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 Contributions and Above-L" sheetId="1" r:id="rId4"/>
    <sheet state="visible" name="Zipcode Analysis per Candidate" sheetId="2" r:id="rId5"/>
    <sheet state="visible" name="Straw Donations Used to Bypass " sheetId="3" r:id="rId6"/>
  </sheets>
  <definedNames>
    <definedName hidden="1" localSheetId="0" name="_xlnm._FilterDatabase">'Total Contributions and Above-L'!$AS$1:$AT$1607</definedName>
  </definedNames>
  <calcPr/>
</workbook>
</file>

<file path=xl/sharedStrings.xml><?xml version="1.0" encoding="utf-8"?>
<sst xmlns="http://schemas.openxmlformats.org/spreadsheetml/2006/main" count="17381" uniqueCount="4441">
  <si>
    <t>Report:</t>
  </si>
  <si>
    <t>S/R:</t>
  </si>
  <si>
    <t>Name:</t>
  </si>
  <si>
    <t>First Name</t>
  </si>
  <si>
    <t>Last Name</t>
  </si>
  <si>
    <t>COMBINED FULL NAME</t>
  </si>
  <si>
    <t>Zipcode</t>
  </si>
  <si>
    <t>Last, First</t>
  </si>
  <si>
    <t>Street</t>
  </si>
  <si>
    <t>City Zipcode</t>
  </si>
  <si>
    <t>Contributors</t>
  </si>
  <si>
    <t>Contact Type:</t>
  </si>
  <si>
    <t>ReportId</t>
  </si>
  <si>
    <t>Report Type:</t>
  </si>
  <si>
    <t>Amount:</t>
  </si>
  <si>
    <t>Cand/Committee:</t>
  </si>
  <si>
    <t>Transaction Date:</t>
  </si>
  <si>
    <t>Date/Time Submitted:</t>
  </si>
  <si>
    <t>Helper</t>
  </si>
  <si>
    <t>Total Contributions Per Zipcode</t>
  </si>
  <si>
    <t>Total Contributions per Last Name</t>
  </si>
  <si>
    <t>Chad West</t>
  </si>
  <si>
    <t>Tennell Atkins</t>
  </si>
  <si>
    <t>Adam Bazaldua</t>
  </si>
  <si>
    <t>Paula Blackmon</t>
  </si>
  <si>
    <t>Eric Johnson</t>
  </si>
  <si>
    <t>Kathy Stewart</t>
  </si>
  <si>
    <t>Jesus Moreno</t>
  </si>
  <si>
    <t>Cara Mendelsohn</t>
  </si>
  <si>
    <t>Omar Narvaez</t>
  </si>
  <si>
    <t>Gay Willis</t>
  </si>
  <si>
    <t>Jaynie Schultz</t>
  </si>
  <si>
    <t>Brian Hasenbauer</t>
  </si>
  <si>
    <t>Jaime Resendez</t>
  </si>
  <si>
    <t>Paul Ridley</t>
  </si>
  <si>
    <t>Byron McGough</t>
  </si>
  <si>
    <t>Okema Thomas</t>
  </si>
  <si>
    <t>Monica R Alonzo</t>
  </si>
  <si>
    <t>Albert Mata</t>
  </si>
  <si>
    <t>Carolyn Arnold</t>
  </si>
  <si>
    <t>Andre Turner</t>
  </si>
  <si>
    <t>Multiple donors in family?</t>
  </si>
  <si>
    <t>Unique First Names Per Last Name</t>
  </si>
  <si>
    <t>At Least one Donation includes Spouse?</t>
  </si>
  <si>
    <t>Max Allowable Contribution Per Last Name</t>
  </si>
  <si>
    <t>Total Contributions</t>
  </si>
  <si>
    <t>Unique Addresses</t>
  </si>
  <si>
    <t>Address Outside of Texas</t>
  </si>
  <si>
    <t>Address outside of Dallas?</t>
  </si>
  <si>
    <t>Total Contributions from ADDR Outside of Texas</t>
  </si>
  <si>
    <t>Total Contributions from ADDR Outside of Dallas</t>
  </si>
  <si>
    <t>Helper for ADDR Outside of Dallas</t>
  </si>
  <si>
    <t>Addresses Outside of Dallas</t>
  </si>
  <si>
    <t>Total Out-of-Dallas Contributions for Address</t>
  </si>
  <si>
    <t># of Candidates that the Address donated to</t>
  </si>
  <si>
    <t>N/A</t>
  </si>
  <si>
    <t>View S/R</t>
  </si>
  <si>
    <t>Ablon, Michael
5908 Azalea Ln.
Dallas, TX 75230</t>
  </si>
  <si>
    <t xml:space="preserve">5908 Azalea Ln.
Dallas, TX 75230          </t>
  </si>
  <si>
    <t>Ablon, Michael</t>
  </si>
  <si>
    <t>Contributor</t>
  </si>
  <si>
    <t>July 15: Semi-Annual 2022</t>
  </si>
  <si>
    <t>Ablon, Michael
5908 Azalea Ln
Dallas, TX 75230</t>
  </si>
  <si>
    <t xml:space="preserve">5908 Azalea Ln
Dallas, TX 75230          </t>
  </si>
  <si>
    <t>View TEC</t>
  </si>
  <si>
    <t>Ablon, Mike
5908 
Dallas, TX 75230</t>
  </si>
  <si>
    <t xml:space="preserve">5908 
Dallas, TX 75230           </t>
  </si>
  <si>
    <t>Ablon, Mike</t>
  </si>
  <si>
    <t>January 15: Semi-Annual 2023</t>
  </si>
  <si>
    <t>Abrams, John
6427 Bob O Link Dr.
Dallas, TX 75214</t>
  </si>
  <si>
    <t xml:space="preserve">6427 Bob O Link Dr.
Dallas, TX 75214        </t>
  </si>
  <si>
    <t>Abrams, John</t>
  </si>
  <si>
    <t>Abtahi, Bobby
1126 
Dallas, TX 75203</t>
  </si>
  <si>
    <t xml:space="preserve">1126 
Dallas, TX 75203           </t>
  </si>
  <si>
    <t>Abtahi, Bobby</t>
  </si>
  <si>
    <t>Abtahi, Robert
1126 N Zang Blvd
Dallas, TX 75203</t>
  </si>
  <si>
    <t xml:space="preserve">1126 N Zang Blvd
Dallas, TX 75203         </t>
  </si>
  <si>
    <t>Abtahi, Robert</t>
  </si>
  <si>
    <t>Abtahi, Robert
1126 N. Zang
Dallas, TX 75203</t>
  </si>
  <si>
    <t xml:space="preserve">1126 N. Zang
Dallas, TX 75203          </t>
  </si>
  <si>
    <t>Abtahi, Robert
1126 North Zang Boulevard
Dallas, TX 75203</t>
  </si>
  <si>
    <t xml:space="preserve">1126 North Zang Boulevard
Dallas, TX 75203         </t>
  </si>
  <si>
    <t>Acosta, Arcillia
1341 W. Mockingbird Ln
Dallas, TX 75247</t>
  </si>
  <si>
    <t xml:space="preserve">1341 W. Mockingbird Ln
Dallas, TX 75247         </t>
  </si>
  <si>
    <t>Acosta, Arcillia</t>
  </si>
  <si>
    <t>Adam McGough for Dallas Election Committee
5931 Greenville Ave
Dallas, TX 75206</t>
  </si>
  <si>
    <t xml:space="preserve">mcgough for Dallas Election Committee
5931 Greenville Ave
Dallas, TX 75206      </t>
  </si>
  <si>
    <t>Adam McGough for Dallas Election Committee</t>
  </si>
  <si>
    <t>Adams, James
1201 Elm Street
Dallas, TX 75270</t>
  </si>
  <si>
    <t xml:space="preserve">1201 Elm Street
Dallas, TX 75270          </t>
  </si>
  <si>
    <t>Adams, James</t>
  </si>
  <si>
    <t>Adams, Jim
9927 Capridge
Dallas, TX 75238</t>
  </si>
  <si>
    <t xml:space="preserve">9927 Capridge
Dallas, TX 75238           </t>
  </si>
  <si>
    <t>Adams, Jim</t>
  </si>
  <si>
    <t>Adams, John
4011 Miramar Avenue
Dallas, TX 75205</t>
  </si>
  <si>
    <t xml:space="preserve">4011 Miramar Avenue
Dallas, TX 75205          </t>
  </si>
  <si>
    <t>Adams, John</t>
  </si>
  <si>
    <t>Addy, Lydia
3805 Normandy Ave.
Dallas, TX 75205</t>
  </si>
  <si>
    <t xml:space="preserve">3805 Normandy Ave.
Dallas, TX 75205          </t>
  </si>
  <si>
    <t>Addy, Lydia</t>
  </si>
  <si>
    <t>Addy, Lydia
3805 Normandy Ave
Dallas, TX 75205</t>
  </si>
  <si>
    <t xml:space="preserve">3805 Normandy Ave
Dallas, TX 75205          </t>
  </si>
  <si>
    <t>Addy, William
3805 
Dallas, TX 75205</t>
  </si>
  <si>
    <t xml:space="preserve">3805 
Dallas, TX 75205           </t>
  </si>
  <si>
    <t>Addy, William</t>
  </si>
  <si>
    <t>Addy, William
3805 Normandy Ave.
Dallas, TX 75205</t>
  </si>
  <si>
    <t>Addy, William
3805 Normandy Ave
Dallas, TX 75205</t>
  </si>
  <si>
    <t>January 15: Semi-Annual 2023
Correction Affidavit</t>
  </si>
  <si>
    <t>Addy, William
3805 Normandy
Dallas, TX 75205</t>
  </si>
  <si>
    <t xml:space="preserve">3805 Normandy
Dallas, TX 75205           </t>
  </si>
  <si>
    <t>Afkhami, Andrea
2308 Blackberry Dr.
Richardson, TX 75082</t>
  </si>
  <si>
    <t xml:space="preserve">2308 Blackberry Dr.
Richardson, TX 75082          </t>
  </si>
  <si>
    <t>Afkhami, Andrea</t>
  </si>
  <si>
    <t>Afkhami, Kambiz
2308 Blackberry Dr.
Richardson, TX 75082</t>
  </si>
  <si>
    <t>Afkhami, Kambiz</t>
  </si>
  <si>
    <t>Agarwal, Arun
123 
Dallas, TX 75207</t>
  </si>
  <si>
    <t xml:space="preserve">123 
Dallas, TX 75207           </t>
  </si>
  <si>
    <t>Agarwal, Arun</t>
  </si>
  <si>
    <t>Agarwal, Arun
123 Oak Lawn Ave
Dallas, TX 75207</t>
  </si>
  <si>
    <t xml:space="preserve">123 Oak Lawn Ave
Dallas, TX 75207         </t>
  </si>
  <si>
    <t>Agarwal, Arun
123 Oak Lawn
Dallas, TX 75207</t>
  </si>
  <si>
    <t xml:space="preserve">123 Oak Lawn
Dallas, TX 75207          </t>
  </si>
  <si>
    <t>Agarwal, Durga
2921 University Blvd
Houston, TX 77005</t>
  </si>
  <si>
    <t xml:space="preserve">2921 University Blvd
Houston, TX 77005          </t>
  </si>
  <si>
    <t>Agarwal, Durga</t>
  </si>
  <si>
    <t>Agarwal, Jiten
13710 Slate Creek Lane
Houston, TX 77077</t>
  </si>
  <si>
    <t xml:space="preserve">13710 Slate Creek Lane
Houston, TX 77077         </t>
  </si>
  <si>
    <t>Agarwal, Jiten</t>
  </si>
  <si>
    <t>Agnich, Robert
11 Cheltenham Way
Dallas, TX 75230</t>
  </si>
  <si>
    <t xml:space="preserve">11 Cheltenham Way
Dallas, TX 75230          </t>
  </si>
  <si>
    <t>Agnich, Robert</t>
  </si>
  <si>
    <t>Agnich, Victoria
11 Cheltenham Way
Dallas, TX 75230</t>
  </si>
  <si>
    <t>Agnich, Victoria</t>
  </si>
  <si>
    <t>Aisner, Robert
27 Edge Hill Drive
Dallas, TX 75248</t>
  </si>
  <si>
    <t xml:space="preserve">27 Edge Hill Drive
Dallas, TX 75248         </t>
  </si>
  <si>
    <t>Aisner, Robert</t>
  </si>
  <si>
    <t>Alcantar, Joe
7304 Lane Park Court
Dallas, TX 75225</t>
  </si>
  <si>
    <t xml:space="preserve">7304 Lane Park Court
Dallas, TX 75225         </t>
  </si>
  <si>
    <t>Alcantar, Joe</t>
  </si>
  <si>
    <t>Alcantar, Joe
7304 Lane Park Ct.
Dallas, TX 75225</t>
  </si>
  <si>
    <t xml:space="preserve">7304 Lane Park Ct.
Dallas, TX 75225         </t>
  </si>
  <si>
    <t>Alcantar, Joe
7304 Lane Park Ct
Dallas, TX 75225</t>
  </si>
  <si>
    <t xml:space="preserve">7304 Lane Park Ct
Dallas, TX 75225         </t>
  </si>
  <si>
    <t>Aldredge, Chris
7014 Preston Grove
Dallas, TX 75230</t>
  </si>
  <si>
    <t xml:space="preserve">7014 Preston Grove
Dallas, TX 75230          </t>
  </si>
  <si>
    <t>Aldredge, Chris</t>
  </si>
  <si>
    <t>Aldredge, Cindy
7014 Preston Grove
Dallas, TX 75230</t>
  </si>
  <si>
    <t>Aldredge, Cindy</t>
  </si>
  <si>
    <t>Alef, Brian
6756 Inverness Lane
Dallas, TX 75214</t>
  </si>
  <si>
    <t xml:space="preserve">6756 Inverness Lane
Dallas, TX 75214          </t>
  </si>
  <si>
    <t>Alef, Brian</t>
  </si>
  <si>
    <t>Allen, Artie
18720 Amador Ave
Dallas, TX 75252</t>
  </si>
  <si>
    <t xml:space="preserve">18720 Amador Ave
Dallas, TX 75252          </t>
  </si>
  <si>
    <t>Allen, Artie</t>
  </si>
  <si>
    <t>Allen, Julie
7614 Currin Dr
Dallas, TX 75230</t>
  </si>
  <si>
    <t xml:space="preserve">7614 Currin Dr
Dallas, TX 75230          </t>
  </si>
  <si>
    <t>Allen, Julie</t>
  </si>
  <si>
    <t>Almond, Bradley
8115 San Benito Way
Dallas, TX 75218</t>
  </si>
  <si>
    <t xml:space="preserve">8115 San Benito Way
Dallas, TX 75218         </t>
  </si>
  <si>
    <t>Almond, Bradley</t>
  </si>
  <si>
    <t>Alpert, Robert
4514 Cole Ave
Dallas, TX 75205</t>
  </si>
  <si>
    <t xml:space="preserve">4514 Cole Ave
Dallas, TX 75205          </t>
  </si>
  <si>
    <t>Alpert, Robert</t>
  </si>
  <si>
    <t>Alvarado, Barbara
318 S. Waverly Dr.
Dallas, TX 75208</t>
  </si>
  <si>
    <t xml:space="preserve">318 S. Waverly Dr.
Dallas, TX 75208         </t>
  </si>
  <si>
    <t>Alvarado, Barbara</t>
  </si>
  <si>
    <t>American Airlines PAC
1200 17th St NW
Washington, DC 20036</t>
  </si>
  <si>
    <t xml:space="preserve">airlines PAC
1200 17th St NW
Washington, DC 20036        </t>
  </si>
  <si>
    <t>American Airlines PAC</t>
  </si>
  <si>
    <t>American Airlines PAC
1200 17th Street NW
Washington, DC 20036</t>
  </si>
  <si>
    <t xml:space="preserve">airlines PAC
1200 17th Street NW
Washington, DC 20036        </t>
  </si>
  <si>
    <t>Andersen, Jakob
903 Stevens Woods Ct.
Dallas, TX 75208</t>
  </si>
  <si>
    <t xml:space="preserve">903 Stevens Woods Ct.
Dallas, TX 75208         </t>
  </si>
  <si>
    <t>Andersen, Jakob</t>
  </si>
  <si>
    <t>Anderson, Annette
3706 Pallos Verdas Dr
Dallas, TX 75229</t>
  </si>
  <si>
    <t xml:space="preserve">3706 Pallos Verdas Dr
Dallas, TX 75229         </t>
  </si>
  <si>
    <t>Anderson, Annette</t>
  </si>
  <si>
    <t>Anderson, Carl
2929 Carlisle St.
Dallas, TX 75204</t>
  </si>
  <si>
    <t xml:space="preserve">2929 Carlisle St.
Dallas, TX 75204          </t>
  </si>
  <si>
    <t>Anderson, Carl</t>
  </si>
  <si>
    <t>Anderson, Decarla
2738 Whitewood Dr.
Dallas, TX 75233</t>
  </si>
  <si>
    <t xml:space="preserve">2738 Whitewood Dr.
Dallas, TX 75233          </t>
  </si>
  <si>
    <t>Anderson, Decarla</t>
  </si>
  <si>
    <t>Anderson, Dick
3700 N Capital of TX Hwy
Austin, TX 78746</t>
  </si>
  <si>
    <t xml:space="preserve">3700 N Capital of TX Hwy
Austin, TX 78746       </t>
  </si>
  <si>
    <t>Anderson, Dick</t>
  </si>
  <si>
    <t>Anderson, Simone
3808 Southwestern Blvd.
Dallas, TX 75225</t>
  </si>
  <si>
    <t xml:space="preserve">3808 Southwestern Blvd.
Dallas, TX 75225          </t>
  </si>
  <si>
    <t>Anderson, Simone</t>
  </si>
  <si>
    <t>Anderson, Terri
657 Knights Way
Coppell, TX 75019</t>
  </si>
  <si>
    <t xml:space="preserve">657 Knights Way
Coppell, TX 75019          </t>
  </si>
  <si>
    <t>Anderson, Terri</t>
  </si>
  <si>
    <t>Anderson-Guthrie, Carol
3211 Basil Ct
Dallas, TX 75204</t>
  </si>
  <si>
    <t xml:space="preserve">3211 Basil Ct
Dallas, TX 75204          </t>
  </si>
  <si>
    <t>Anderson-Guthrie, Carol</t>
  </si>
  <si>
    <t>Andres, Marc
2800 N Henderson Ave
Dallas, TX 75206</t>
  </si>
  <si>
    <t xml:space="preserve">2800 N Henderson Ave
Dallas, TX 75206         </t>
  </si>
  <si>
    <t>Andres, Marc</t>
  </si>
  <si>
    <t>Andres, Marc
2800 N. Henderson Ave.
Dallas, TX 75206</t>
  </si>
  <si>
    <t xml:space="preserve">2800 N. Henderson Ave.
Dallas, TX 75206         </t>
  </si>
  <si>
    <t>Andres, Marc
2800 North Henderson Ave
Dallas, TX 75206</t>
  </si>
  <si>
    <t xml:space="preserve">2800 North Henderson Ave
Dallas, TX 75206         </t>
  </si>
  <si>
    <t>Andres, Warren
3710 Rawlins St.
Dallas, TX 75219</t>
  </si>
  <si>
    <t xml:space="preserve">3710 Rawlins St.
Dallas, TX 75219          </t>
  </si>
  <si>
    <t>Andres, Warren</t>
  </si>
  <si>
    <t>Anglin, Mike
1414 W. Colorado Blvd.
Dallas, TX 75208</t>
  </si>
  <si>
    <t xml:space="preserve">1414 W. Colorado Blvd.
Dallas, TX 75208         </t>
  </si>
  <si>
    <t>Anglin, Mike</t>
  </si>
  <si>
    <t>Apartment Association of Greater Dallas
5728 LBJ Fwy.
Dallas, TX 75240</t>
  </si>
  <si>
    <t xml:space="preserve">association of Greater Dallas
5728 LBJ Fwy.
Dallas, TX 75240       </t>
  </si>
  <si>
    <t>Apartment Association of Greater Dallas</t>
  </si>
  <si>
    <t>Apartment Association of Greater Dallas
5728 LBJ Fwy
Dallas, TX 75240</t>
  </si>
  <si>
    <t xml:space="preserve">association of Greater Dallas
5728 LBJ Fwy
Dallas, TX 75240       </t>
  </si>
  <si>
    <t>Applequist, Chris
17440 Dallas Pkwy
Dallas, TX 75287</t>
  </si>
  <si>
    <t xml:space="preserve">17440 Dallas Pkwy
Dallas, TX 75287          </t>
  </si>
  <si>
    <t>Applequist, Chris</t>
  </si>
  <si>
    <t>Applequist, Chris
9034 Meadowknoll Dr.
Dallas, TX 75243</t>
  </si>
  <si>
    <t xml:space="preserve">9034 Meadowknoll Dr.
Dallas, TX 75243          </t>
  </si>
  <si>
    <t>Aranza, Anthony
1507 Stonehedge Bend Dr.
Houston, TX 77073</t>
  </si>
  <si>
    <t xml:space="preserve">1507 Stonehedge Bend Dr.
Houston, TX 77073         </t>
  </si>
  <si>
    <t>Aranza, Anthony</t>
  </si>
  <si>
    <t>Aranza, Anthony
1507 Stonehedge Bend Dr
Houston, TX 77073</t>
  </si>
  <si>
    <t xml:space="preserve">1507 Stonehedge Bend Dr
Houston, TX 77073         </t>
  </si>
  <si>
    <t>Aranza, Gilbert
000 P.O Box 601527
Dallas, TX 75360</t>
  </si>
  <si>
    <t xml:space="preserve">0 P.O Box 601527
Dallas, TX 75360         </t>
  </si>
  <si>
    <t>Aranza, Gilbert</t>
  </si>
  <si>
    <t>Aranza, Gilbert
PO Box 601527
Dallas, TX 75360</t>
  </si>
  <si>
    <t xml:space="preserve">
 Box 601527
Dallas, TX 75360          </t>
  </si>
  <si>
    <t>Aranza, Humberto
3105 San Jacinto
Dallas, TX 75204</t>
  </si>
  <si>
    <t xml:space="preserve">3105 San Jacinto
Dallas, TX 75204          </t>
  </si>
  <si>
    <t>Aranza, Humberto</t>
  </si>
  <si>
    <t>Aranza, Humberto
3105 SanJacinto St
Dallas, TX 75204</t>
  </si>
  <si>
    <t xml:space="preserve">3105 SanJacinto St
Dallas, TX 75204          </t>
  </si>
  <si>
    <t>Aranza, Roselind
3445 University
Dallas, TX 75205</t>
  </si>
  <si>
    <t xml:space="preserve">3445 University
Dallas, TX 75205           </t>
  </si>
  <si>
    <t>Aranza, Roselind</t>
  </si>
  <si>
    <t>Ardendorff, Justin
3508 Bryn Mawr Dr.
Dallas, TX 75225</t>
  </si>
  <si>
    <t xml:space="preserve">3508 Bryn Mawr Dr.
Dallas, TX 75225         </t>
  </si>
  <si>
    <t>Ardendorff, Justin</t>
  </si>
  <si>
    <t>Argarwal, Arun
123 Oak Lawn Ave
Dallas, TX 75207</t>
  </si>
  <si>
    <t>Argarwal, Arun</t>
  </si>
  <si>
    <t>Arnold, Greg &amp; Ashley
PO Box 1481
Texarkana, TX 75504</t>
  </si>
  <si>
    <t xml:space="preserve">greg &amp; Ashley
PO Box 1481
Texarkana, TX 75504        </t>
  </si>
  <si>
    <t>Arnold, Greg &amp; Ashley</t>
  </si>
  <si>
    <t>Ash, Michael
1535 Camino Lago
Irving, TX 75039</t>
  </si>
  <si>
    <t xml:space="preserve">1535 Camino Lago
Irving, TX 75039          </t>
  </si>
  <si>
    <t>Ash, Michael</t>
  </si>
  <si>
    <t>Aslam, Chris
PO Box 496539
Garland, TX 75049</t>
  </si>
  <si>
    <t xml:space="preserve">
 Box 496539
Garland, TX 75049          </t>
  </si>
  <si>
    <t>Aslam, Chris</t>
  </si>
  <si>
    <t>Assaff, Jim
PO Box 190464
Dallas, TX 75219</t>
  </si>
  <si>
    <t xml:space="preserve">
 Box 190464
Dallas, TX 75219          </t>
  </si>
  <si>
    <t>Assaff, Jim</t>
  </si>
  <si>
    <t>AT&amp;T PAC
816 Congress Ave.
Austin, TX 78701</t>
  </si>
  <si>
    <t xml:space="preserve">816 Congress Ave.
Austin, TX 78701          </t>
  </si>
  <si>
    <t>AT&amp;T PAC</t>
  </si>
  <si>
    <t>AT&amp;T PAC
816 Congress Ave
Austin, TX 78701</t>
  </si>
  <si>
    <t xml:space="preserve">816 Congress Ave
Austin, TX 78701          </t>
  </si>
  <si>
    <t>Attlee, Tim
8751 Collin McKinney Pkwy
McKinney, TX 75070</t>
  </si>
  <si>
    <t xml:space="preserve">8751 Collin McKinney Pkwy
McKinney, TX 75070         </t>
  </si>
  <si>
    <t>Attlee, Tim</t>
  </si>
  <si>
    <t>Attlee, Veronica
8751 Collin McKinney Pkwy
McKinney, TX 75070</t>
  </si>
  <si>
    <t>Attlee, Veronica</t>
  </si>
  <si>
    <t>Aukeman, Cheryl
1915 W. Colorado Blvd
Dallas, TX 75208</t>
  </si>
  <si>
    <t xml:space="preserve">1915 W. Colorado Blvd
Dallas, TX 75208         </t>
  </si>
  <si>
    <t>Aukeman, Cheryl</t>
  </si>
  <si>
    <t>Ayala, Juan
9668 Arborhill Dr
Dallas, TX 75243</t>
  </si>
  <si>
    <t xml:space="preserve">9668 Arborhill Dr
Dallas, TX 75243          </t>
  </si>
  <si>
    <t>Ayala, Juan</t>
  </si>
  <si>
    <t>Ayala, Juan
9668 Arborhill
Dallas, TX 75243</t>
  </si>
  <si>
    <t xml:space="preserve">9668 Arborhill
Dallas, TX 75243           </t>
  </si>
  <si>
    <t>Bach, Matthew
15746 Covewood Cir
Dallas, TX 75248</t>
  </si>
  <si>
    <t xml:space="preserve">15746 Covewood Cir
Dallas, TX 75248          </t>
  </si>
  <si>
    <t>Bach, Matthew</t>
  </si>
  <si>
    <t>Bacon, Diana
9834 Shoreview Rd
Dallas, TX 75238</t>
  </si>
  <si>
    <t xml:space="preserve">9834 Shoreview Rd
Dallas, TX 75238          </t>
  </si>
  <si>
    <t>Bacon, Diana</t>
  </si>
  <si>
    <t>Badgett, Charles
8602 Middle Downs Dr.
Dallas, TX 75243</t>
  </si>
  <si>
    <t xml:space="preserve">8602 Middle Downs Dr.
Dallas, TX 75243         </t>
  </si>
  <si>
    <t>Badgett, Charles</t>
  </si>
  <si>
    <t>Bailey, Kathleen
11057 Mandalay
Dallas, TX 75228</t>
  </si>
  <si>
    <t xml:space="preserve">11057 Mandalay
Dallas, TX 75228           </t>
  </si>
  <si>
    <t>Bailey, Kathleen</t>
  </si>
  <si>
    <t>Bailey, Mary
3817 Normandy Ave
Dallas, TX 75205</t>
  </si>
  <si>
    <t xml:space="preserve">3817 Normandy Ave
Dallas, TX 75205          </t>
  </si>
  <si>
    <t>Bailey, Mary</t>
  </si>
  <si>
    <t>Bailey, Roy
4211 Brookview Drive
Dallas, TX 75220</t>
  </si>
  <si>
    <t xml:space="preserve">4211 Brookview Drive
Dallas, TX 75220          </t>
  </si>
  <si>
    <t>Bailey, Roy</t>
  </si>
  <si>
    <t>Baker, Jeri
10416 Church Road Dallas
Dallas, TX 75238</t>
  </si>
  <si>
    <t xml:space="preserve">10416 Church Road Dallas
Dallas, TX 75238         </t>
  </si>
  <si>
    <t>Baker, Jeri</t>
  </si>
  <si>
    <t>Baker, Jerry
10416 Church Road
Dallas, TX 75238</t>
  </si>
  <si>
    <t xml:space="preserve">10416 Church Road
Dallas, TX 75238          </t>
  </si>
  <si>
    <t>Baker, Jerry</t>
  </si>
  <si>
    <t>Baker, Thad F.
4011 Commerce St.
Dallas, TX 75226</t>
  </si>
  <si>
    <t xml:space="preserve">thad F.
4011 Commerce St.
Dallas, TX 75226         </t>
  </si>
  <si>
    <t>Baker, Thad F.</t>
  </si>
  <si>
    <t>Baker, Thad
4011 Commerce
Dallas, TX 75226</t>
  </si>
  <si>
    <t xml:space="preserve">4011 Commerce
Dallas, TX 75226           </t>
  </si>
  <si>
    <t>Baker, Thad</t>
  </si>
  <si>
    <t>Bame, Seth
4439 Westway Ave.
Dallas, TX 75205</t>
  </si>
  <si>
    <t xml:space="preserve">4439 Westway Ave.
Dallas, TX 75205          </t>
  </si>
  <si>
    <t>Bame, Seth</t>
  </si>
  <si>
    <t>Banerjee, Amit
12640 
Dallas, TX 75035</t>
  </si>
  <si>
    <t xml:space="preserve">12640 
Dallas, TX 75035           </t>
  </si>
  <si>
    <t>Banerjee, Amit</t>
  </si>
  <si>
    <t>Barab, Stuart
9132 Branch Hollow
Dallas, TX 75243</t>
  </si>
  <si>
    <t xml:space="preserve">9132 Branch Hollow
Dallas, TX 75243          </t>
  </si>
  <si>
    <t>Barab, Stuart</t>
  </si>
  <si>
    <t>Barling, Hannah
1777 N Record st
Dallas, TX 75202</t>
  </si>
  <si>
    <t xml:space="preserve">1777 N Record st
Dallas, TX 75202         </t>
  </si>
  <si>
    <t>Barling, Hannah</t>
  </si>
  <si>
    <t>Barnes, Madge
1100 Lake Carolyn Pkwy
Irving, TX 75039</t>
  </si>
  <si>
    <t xml:space="preserve">1100 Lake Carolyn Pkwy
Irving, TX 75039         </t>
  </si>
  <si>
    <t>Barnes, Madge</t>
  </si>
  <si>
    <t>Barnett &amp; family, Mitchell and Miriam Lewis
14020 Hughes Ln
Dallas, TX 75254</t>
  </si>
  <si>
    <t xml:space="preserve">&amp; family, Mitchell and Miriam Lewis
14020 Hughes Ln
Dallas, TX 75254     </t>
  </si>
  <si>
    <t>Barnett &amp; family, Mitchell and Miriam Lewis</t>
  </si>
  <si>
    <t>Barnett, Billy Bob
310 Calvary Dr
Euless, TX 76040</t>
  </si>
  <si>
    <t xml:space="preserve">billy Bob
310 Calvary Dr
Euless, TX 76040         </t>
  </si>
  <si>
    <t>Barnett, Billy Bob</t>
  </si>
  <si>
    <t>Barnett, Sheli
14003 Hughes Lane
Dallas, TX 75254</t>
  </si>
  <si>
    <t xml:space="preserve">14003 Hughes Lane
Dallas, TX 75254          </t>
  </si>
  <si>
    <t>Barnett, Sheli</t>
  </si>
  <si>
    <t>Maximum per Column</t>
  </si>
  <si>
    <t>Bates, Floyd
2705 Irving Blvd
Dallas, TX 75207</t>
  </si>
  <si>
    <t xml:space="preserve">2705 Irving Blvd
Dallas, TX 75207          </t>
  </si>
  <si>
    <t>Bates, Floyd</t>
  </si>
  <si>
    <t>SUM of Contributions Outside of Dallas</t>
  </si>
  <si>
    <t>Baum, Zachary
PO Box 587
East Setauket, NY 11733</t>
  </si>
  <si>
    <t xml:space="preserve">
 Box 587
East Setauket, NY 11733         </t>
  </si>
  <si>
    <t>Baum, Zachary</t>
  </si>
  <si>
    <t>Bazaldua, Adam
6926 Belteau Lane
Dallas, TX 75227</t>
  </si>
  <si>
    <t xml:space="preserve">6926 Belteau Lane
Dallas, TX 75227          </t>
  </si>
  <si>
    <t>Bazaldua, Adam</t>
  </si>
  <si>
    <t>Notes:
The above table calculates (per-candidate) ALL donations coming from addresses outside of Dallas, Tx.
This data includes donations from outside of Texas as well.
The contributions coming outside of Texas are relatively insignificant (last update was ~$14,000)
Consequently, I did not perform a per-candidate analysis with a strict focus on donations outside of Texas.</t>
  </si>
  <si>
    <t>Bazaldua, Karen
1649 
Midlothian, TX 76065</t>
  </si>
  <si>
    <t xml:space="preserve">1649 
Midlothian, TX 76065           </t>
  </si>
  <si>
    <t>Bazaldua, Karen</t>
  </si>
  <si>
    <t>Bazan, Kathryn
10456 Vinemont Street
Dallas, TX 75218</t>
  </si>
  <si>
    <t xml:space="preserve">10456 Vinemont Street
Dallas, TX 75218          </t>
  </si>
  <si>
    <t>Bazan, Kathryn</t>
  </si>
  <si>
    <t>Bazan, Kathryn
10456 Vinemont
Dallas, TX 75218</t>
  </si>
  <si>
    <t xml:space="preserve">10456 Vinemont
Dallas, TX 75218           </t>
  </si>
  <si>
    <t>Beane, Alan
12596 Montego Plaza
Dallas, TX 75230</t>
  </si>
  <si>
    <t xml:space="preserve">12596 Montego Plaza
Dallas, TX 75230          </t>
  </si>
  <si>
    <t>Beane, Alan</t>
  </si>
  <si>
    <t>Beard, Bramlet
PO Box 1224
Ennis, TX 75120</t>
  </si>
  <si>
    <t xml:space="preserve">
 Box 1224
Ennis, TX 75120          </t>
  </si>
  <si>
    <t>Beard, Bramlet</t>
  </si>
  <si>
    <t>Beaver, Howell
4232 San Carlos
Dallas, TX 75205</t>
  </si>
  <si>
    <t xml:space="preserve">4232 San Carlos
Dallas, TX 75205          </t>
  </si>
  <si>
    <t>Beaver, Howell</t>
  </si>
  <si>
    <t>Becker, Will
304 Town East Blvd
Sunnyvale, TX 75182</t>
  </si>
  <si>
    <t xml:space="preserve">304 Town East Blvd
Sunnyvale, TX 75182         </t>
  </si>
  <si>
    <t>Becker, Will</t>
  </si>
  <si>
    <t>Bedford, Calen
1512 Commerce St.
Dallas, TX 75201</t>
  </si>
  <si>
    <t xml:space="preserve">1512 Commerce St.
Dallas, TX 75201          </t>
  </si>
  <si>
    <t>Bedford, Calen</t>
  </si>
  <si>
    <t>Bell, Celia
8804 Mariscal Canyon Dr.
Austin, TX 78759</t>
  </si>
  <si>
    <t xml:space="preserve">8804 Mariscal Canyon Dr.
Austin, TX 78759         </t>
  </si>
  <si>
    <t>Bell, Celia</t>
  </si>
  <si>
    <t>Bell, David
8350 Meadow Road
Dallas, TX 75231</t>
  </si>
  <si>
    <t xml:space="preserve">8350 Meadow Road
Dallas, TX 75231          </t>
  </si>
  <si>
    <t>Bell, David</t>
  </si>
  <si>
    <t>Bell, Mitchell
3362 Blackburn St.
Dallas, TX 75204</t>
  </si>
  <si>
    <t xml:space="preserve">3362 Blackburn St.
Dallas, TX 75204          </t>
  </si>
  <si>
    <t>Bell, Mitchell</t>
  </si>
  <si>
    <t>Bell, Pamela
30 Alcalde Rd.
Santa Fe, NM 87508</t>
  </si>
  <si>
    <t xml:space="preserve">30 Alcalde Rd.
Santa Fe, NM 87508         </t>
  </si>
  <si>
    <t>Bell, Pamela</t>
  </si>
  <si>
    <t>Bellew, Chris
9406 Crestedge Dr.
Dallas, TX 75238</t>
  </si>
  <si>
    <t xml:space="preserve">9406 Crestedge Dr.
Dallas, TX 75238          </t>
  </si>
  <si>
    <t>Bellew, Chris</t>
  </si>
  <si>
    <t>Bellew, Jill
9406 Crestedge
Dallas, TX 75238</t>
  </si>
  <si>
    <t xml:space="preserve">9406 Crestedge
Dallas, TX 75238           </t>
  </si>
  <si>
    <t>Bellew, Jill</t>
  </si>
  <si>
    <t>Bennett, Dottie
3405 Rustic Way Lane
Falls Church, VA 22044</t>
  </si>
  <si>
    <t xml:space="preserve">3405 Rustic Way Lane
Falls Church, VA 22044        </t>
  </si>
  <si>
    <t>Bennett, Dottie</t>
  </si>
  <si>
    <t>Bennett, Jeffrey
3100 Commerce St
Dallas, TX 75226</t>
  </si>
  <si>
    <t xml:space="preserve">3100 Commerce St
Dallas, TX 75226          </t>
  </si>
  <si>
    <t>Bennett, Jeffrey</t>
  </si>
  <si>
    <t>Benson, Kenneth
1527 Waterside Ct.
Dallas, TX 75218</t>
  </si>
  <si>
    <t xml:space="preserve">1527 Waterside Ct.
Dallas, TX 75218          </t>
  </si>
  <si>
    <t>Benson, Kenneth</t>
  </si>
  <si>
    <t>Benton, Levi
3417 Milam St
Houston, TX 77002</t>
  </si>
  <si>
    <t xml:space="preserve">3417 Milam St
Houston, TX 77002          </t>
  </si>
  <si>
    <t>Benton, Levi</t>
  </si>
  <si>
    <t>Bernbaum, bruce
7715 Northaven Road
Dallas, TX 75230</t>
  </si>
  <si>
    <t xml:space="preserve">7715 Northaven Road
Dallas, TX 75230          </t>
  </si>
  <si>
    <t>Bernbaum, bruce</t>
  </si>
  <si>
    <t>Berry, Sammie
1219 Coronado Lane
Duncanville, TX 75137</t>
  </si>
  <si>
    <t xml:space="preserve">1219 Coronado Lane
Duncanville, TX 75137          </t>
  </si>
  <si>
    <t>Berry, Sammie</t>
  </si>
  <si>
    <t>Berry, Sammie
1219 Coronado Ln
Duncanville, TX 75137</t>
  </si>
  <si>
    <t xml:space="preserve">1219 Coronado Ln
Duncanville, TX 75137          </t>
  </si>
  <si>
    <t>Best, Nancy
9762 
Dallas, TX 75220</t>
  </si>
  <si>
    <t xml:space="preserve">9762 
Dallas, TX 75220           </t>
  </si>
  <si>
    <t>Best, Nancy</t>
  </si>
  <si>
    <t>Best, Nancy
9762 Audubon Place
Dallas, TX 75220</t>
  </si>
  <si>
    <t xml:space="preserve">9762 Audubon Place
Dallas, TX 75220          </t>
  </si>
  <si>
    <t>Beth Freundlich Trustee
4283 NW 64th St
Boca Raton, FL 33496</t>
  </si>
  <si>
    <t xml:space="preserve">freundlich Trustee
4283 NW 64th St
Boca Raton, FL 33496       </t>
  </si>
  <si>
    <t>Beth Freundlich Trustee</t>
  </si>
  <si>
    <t>Beucler, Reid
6060 N Central Expwy Suite 125
Dallas, TX 75206</t>
  </si>
  <si>
    <t xml:space="preserve">6060 N Central Expwy Suite 125
Dallas, TX 75206       </t>
  </si>
  <si>
    <t>Beucler, Reid</t>
  </si>
  <si>
    <t>Beucler, Reid
6060 N. Central Expwy.
Dallas, TX 75206</t>
  </si>
  <si>
    <t xml:space="preserve">6060 N. Central Expwy.
Dallas, TX 75206         </t>
  </si>
  <si>
    <t>Bhatt, Rohan
5932 Rosebud Dr.
Dallas, TX 75252</t>
  </si>
  <si>
    <t xml:space="preserve">5932 Rosebud Dr.
Dallas, TX 75252          </t>
  </si>
  <si>
    <t>Bhatt, Rohan</t>
  </si>
  <si>
    <t>Bibcom, Jody
12201 Wightman
Dallas, TX 75243</t>
  </si>
  <si>
    <t xml:space="preserve">12201 Wightman
Dallas, TX 75243           </t>
  </si>
  <si>
    <t>Bibcom, Jody</t>
  </si>
  <si>
    <t>BILLINGSLEY, HENRY
1722 ROUTH ST
DALLAS, TX 75201</t>
  </si>
  <si>
    <t xml:space="preserve">1722 ROUTH ST
DALLAS, TX 75201          </t>
  </si>
  <si>
    <t>BILLINGSLEY, HENRY</t>
  </si>
  <si>
    <t>Billingsley, Lindsay
5369 Nakoma Dr
Dallas, TX 75209</t>
  </si>
  <si>
    <t xml:space="preserve">5369 Nakoma Dr
Dallas, TX 75209          </t>
  </si>
  <si>
    <t>Billingsley, Lindsay</t>
  </si>
  <si>
    <t>Billingsley, Lucy
1722 Routh St.
Dallas, TX 75201</t>
  </si>
  <si>
    <t xml:space="preserve">1722 Routh St.
Dallas, TX 75201          </t>
  </si>
  <si>
    <t>Billingsley, Lucy</t>
  </si>
  <si>
    <t>Billingsley, Lucy
1722 Routh St
Dallas, TX 75201</t>
  </si>
  <si>
    <t xml:space="preserve">1722 Routh St
Dallas, TX 75201          </t>
  </si>
  <si>
    <t>Billingsley, Lucy
1722 Routh Street Suite
Dallas, TX 75201</t>
  </si>
  <si>
    <t xml:space="preserve">1722 Routh Street Suite
Dallas, TX 75201         </t>
  </si>
  <si>
    <t>Billingsley, Lucy
1722 Routh Street
Dallas, TX 75201</t>
  </si>
  <si>
    <t xml:space="preserve">1722 Routh Street
Dallas, TX 75201          </t>
  </si>
  <si>
    <t>Billingsley, Lucy
1723 Routh Street
Dallas, TX 75201</t>
  </si>
  <si>
    <t xml:space="preserve">1723 Routh Street
Dallas, TX 75201          </t>
  </si>
  <si>
    <t>Bird, Brandi
9710 Blanco dr
Lantana, TX 76226</t>
  </si>
  <si>
    <t xml:space="preserve">9710 Blanco dr
Lantana, TX 76226          </t>
  </si>
  <si>
    <t>Bird, Brandi</t>
  </si>
  <si>
    <t>Bischoff, Brian
3417 Princeton Ave.
Dallas, TX 75205</t>
  </si>
  <si>
    <t xml:space="preserve">3417 Princeton Ave.
Dallas, TX 75205          </t>
  </si>
  <si>
    <t>Bischoff, Brian</t>
  </si>
  <si>
    <t>Bischoff, Kasey
3417 Princeton Ave.
Dallas, TX 75205</t>
  </si>
  <si>
    <t>Bischoff, Kasey</t>
  </si>
  <si>
    <t>Bishop LeMelle, Janice
813 Rainbow Ln
Cedar Hill, TX 75104</t>
  </si>
  <si>
    <t xml:space="preserve">, Janice
813 Rainbow Ln
Cedar Hill, TX 75104        </t>
  </si>
  <si>
    <t>Bishop LeMelle, Janice</t>
  </si>
  <si>
    <t>Bisor, Robert
4327 Travis Street
Dallas, TX 75205</t>
  </si>
  <si>
    <t xml:space="preserve">4327 Travis Street
Dallas, TX 75205          </t>
  </si>
  <si>
    <t>Bisor, Robert</t>
  </si>
  <si>
    <t>Black, Jan Hart
4563 Isabella
Dallas, TX 75229</t>
  </si>
  <si>
    <t xml:space="preserve">jan Hart
4563 Isabella
Dallas, TX 75229          </t>
  </si>
  <si>
    <t>Black, Jan Hart</t>
  </si>
  <si>
    <t>Black, Tre
751 
Dallas, TX 75208</t>
  </si>
  <si>
    <t xml:space="preserve">751 
Dallas, TX 75208           </t>
  </si>
  <si>
    <t>Black, Tre</t>
  </si>
  <si>
    <t>Black, Tre
751 Kessler Lake Dr.
Dallas, TX 75208</t>
  </si>
  <si>
    <t xml:space="preserve">751 Kessler Lake Dr.
Dallas, TX 75208         </t>
  </si>
  <si>
    <t>Black, Tre
751 Kessler Lake Dr
Dallas, TX 75208</t>
  </si>
  <si>
    <t xml:space="preserve">751 Kessler Lake Dr
Dallas, TX 75208         </t>
  </si>
  <si>
    <t>Blair, Lorie
2010 Autumn Meadow Trail
Dallas, TX 75232-3704</t>
  </si>
  <si>
    <t xml:space="preserve">2010 Autumn Meadow Trail
Dallas, TX 75232-3704         </t>
  </si>
  <si>
    <t>75232-3704</t>
  </si>
  <si>
    <t>Blair, Lorie</t>
  </si>
  <si>
    <t>Blanco, Erica
419 S Garrett Ave
Dallas, TX 75223</t>
  </si>
  <si>
    <t xml:space="preserve">419 S Garrett Ave
Dallas, TX 75223         </t>
  </si>
  <si>
    <t>Blanco, Erica</t>
  </si>
  <si>
    <t>Blessing, Edward
8235 Douglas Ave
Dallas, TX 75225</t>
  </si>
  <si>
    <t xml:space="preserve">8235 Douglas Ave
Dallas, TX 75225          </t>
  </si>
  <si>
    <t>Blessing, Edward</t>
  </si>
  <si>
    <t>Blewett, David
6228 Vickery Blvd.
Dallas, TX 75214</t>
  </si>
  <si>
    <t xml:space="preserve">6228 Vickery Blvd.
Dallas, TX 75214          </t>
  </si>
  <si>
    <t>Blewett, David</t>
  </si>
  <si>
    <t>Bloch, Michael
14901 Quorum Drive
Dallas, TX 75254</t>
  </si>
  <si>
    <t xml:space="preserve">14901 Quorum Drive
Dallas, TX 75254          </t>
  </si>
  <si>
    <t>Bloch, Michael</t>
  </si>
  <si>
    <t>Bloom, Brian
6330 Northwood Road
Dallas, TX 75225</t>
  </si>
  <si>
    <t xml:space="preserve">6330 Northwood Road
Dallas, TX 75225          </t>
  </si>
  <si>
    <t>Bloom, Brian</t>
  </si>
  <si>
    <t>Bobbitt, Jeanne
4500 Roland Avenue
Dallas, TX 75219</t>
  </si>
  <si>
    <t xml:space="preserve">4500 Roland Avenue
Dallas, TX 75219          </t>
  </si>
  <si>
    <t>Bobbitt, Jeanne</t>
  </si>
  <si>
    <t>Bobosky, Shelby
6823 La Vista Dr.
Dallas, TX 75214</t>
  </si>
  <si>
    <t xml:space="preserve">6823 La Vista Dr.
Dallas, TX 75214         </t>
  </si>
  <si>
    <t>Bobosky, Shelby</t>
  </si>
  <si>
    <t>Bobosky, Shelby
6823 La Vista Dr
Dallas, TX 75214</t>
  </si>
  <si>
    <t xml:space="preserve">6823 La Vista Dr
Dallas, TX 75214         </t>
  </si>
  <si>
    <t>Bogen, Sheryl
12032 Excelsior Way
Dallas, TX 75230</t>
  </si>
  <si>
    <t xml:space="preserve">12032 Excelsior Way
Dallas, TX 75230          </t>
  </si>
  <si>
    <t>Bogen, Sheryl</t>
  </si>
  <si>
    <t>Gearing, Charles
9332 Mercer Dr.
Dallas, TX 75228</t>
  </si>
  <si>
    <t xml:space="preserve">9332 Mercer Dr.
Dallas, TX 75228          </t>
  </si>
  <si>
    <t>Gearing, Charles</t>
  </si>
  <si>
    <t>Saxer, Jonathan
727 N. Oak Cliff Blvd.
Dallas, TX 75208</t>
  </si>
  <si>
    <t xml:space="preserve">727 N. Oak Cliff Blvd.
Dallas, TX 75208        </t>
  </si>
  <si>
    <t>Saxer, Jonathan</t>
  </si>
  <si>
    <t>Homan 2, Katherine
1629 Handley Dr.
Dallas, TX 75208</t>
  </si>
  <si>
    <t xml:space="preserve">2, Katherine
1629 Handley Dr.
Dallas, TX 75208         </t>
  </si>
  <si>
    <t>Homan 2, Katherine</t>
  </si>
  <si>
    <t>Norcross, Chuck
506 Woolsey Dr.
Dallas, TX 75224</t>
  </si>
  <si>
    <t xml:space="preserve">506 Woolsey Dr.
Dallas, TX 75224          </t>
  </si>
  <si>
    <t>Norcross, Chuck</t>
  </si>
  <si>
    <t>Melton, Michael
3804 Immel Dr.
Flower Mound, TX 75022</t>
  </si>
  <si>
    <t xml:space="preserve">3804 Immel Dr.
Flower Mound, TX 75022         </t>
  </si>
  <si>
    <t>Melton, Michael</t>
  </si>
  <si>
    <t>Marsh, Whitney
1610 Cascade Ave.
Dallas, TX 75224</t>
  </si>
  <si>
    <t xml:space="preserve">1610 Cascade Ave.
Dallas, TX 75224          </t>
  </si>
  <si>
    <t>Marsh, Whitney</t>
  </si>
  <si>
    <t>Sherman, Diane
107 N. Clinton Ave.
Dallas, TX 75208</t>
  </si>
  <si>
    <t xml:space="preserve">107 N. Clinton Ave.
Dallas, TX 75208         </t>
  </si>
  <si>
    <t>Sherman, Diane</t>
  </si>
  <si>
    <t>Noltemy, Kim
2301 Flora St.
Dallas, TX 75201</t>
  </si>
  <si>
    <t xml:space="preserve">2301 Flora St.
Dallas, TX 75201          </t>
  </si>
  <si>
    <t>Noltemy, Kim</t>
  </si>
  <si>
    <t>Buss, Suzanne
653 Culpepper Place
Dallas, TX 75208</t>
  </si>
  <si>
    <t xml:space="preserve">653 Culpepper Place
Dallas, TX 75208          </t>
  </si>
  <si>
    <t>Buss, Suzanne</t>
  </si>
  <si>
    <t>Ellis, Zandra
1801 W. 10th St.
Dallas, TX 75208</t>
  </si>
  <si>
    <t xml:space="preserve">1801 W. 10th St.
Dallas, TX 75208         </t>
  </si>
  <si>
    <t>Ellis, Zandra</t>
  </si>
  <si>
    <t>Chernock, Christian
1611 Rio Vista Dr.
Dallas, TX 75208</t>
  </si>
  <si>
    <t xml:space="preserve">1611 Rio Vista Dr.
Dallas, TX 75208         </t>
  </si>
  <si>
    <t>Chernock, Christian</t>
  </si>
  <si>
    <t>Ruiz, Eliseo (Lee)
214 S. Willomet Ave.
Dallas, TX 75208</t>
  </si>
  <si>
    <t xml:space="preserve">eliseo (Lee)
214 S. Willomet Ave.
Dallas, TX 75208        </t>
  </si>
  <si>
    <t>)</t>
  </si>
  <si>
    <t>Ruiz, Eliseo (Lee)</t>
  </si>
  <si>
    <t>Cole, Harry
2803 Mayfair Ln.
McKinney, TX 75071</t>
  </si>
  <si>
    <t xml:space="preserve">2803 Mayfair Ln.
McKinney, TX 75071          </t>
  </si>
  <si>
    <t>Cole, Harry</t>
  </si>
  <si>
    <t>Hagan, Anne
204 S. Willomet Ave.
Dallas, TX 75208</t>
  </si>
  <si>
    <t xml:space="preserve">204 S. Willomet Ave.
Dallas, TX 75208         </t>
  </si>
  <si>
    <t>Hagan, Anne</t>
  </si>
  <si>
    <t>Gilbreath, Jake
2102 Sharon Ln.
Austin, TX 78703</t>
  </si>
  <si>
    <t xml:space="preserve">2102 Sharon Ln.
Austin, TX 78703          </t>
  </si>
  <si>
    <t>Gilbreath, Jake</t>
  </si>
  <si>
    <t>Roberts, Jr., George
309 Monssen Dr
Dallas, TX 75224</t>
  </si>
  <si>
    <t xml:space="preserve">., George
309 Monssen Dr
Dallas, TX 75224         </t>
  </si>
  <si>
    <t>Roberts, Jr., George</t>
  </si>
  <si>
    <t>Mackey, Ben
307 N. Polk St.
Dallas, TX 75208</t>
  </si>
  <si>
    <t xml:space="preserve">307 N. Polk St.
Dallas, TX 75208         </t>
  </si>
  <si>
    <t>Mackey, Ben</t>
  </si>
  <si>
    <t>Flaim, John G.
1900 N. Pearl St.
Dallas, TX 75201</t>
  </si>
  <si>
    <t xml:space="preserve">john G.
1900 N. Pearl St.
Dallas, TX 75201        </t>
  </si>
  <si>
    <t>Flaim, John G.</t>
  </si>
  <si>
    <t>Preziosi, David
2229 Lawndale Dr.
Dallas, TX 75211</t>
  </si>
  <si>
    <t xml:space="preserve">2229 Lawndale Dr.
Dallas, TX 75211          </t>
  </si>
  <si>
    <t>Preziosi, David</t>
  </si>
  <si>
    <t>Nasca, Ralph
4713 Clydesdale Dr.
Flower Mound, TX 75028</t>
  </si>
  <si>
    <t xml:space="preserve">4713 Clydesdale Dr.
Flower Mound, TX 75028         </t>
  </si>
  <si>
    <t>Nasca, Ralph</t>
  </si>
  <si>
    <t>Masterman, Shane
914 Stevens Woods Ct.
Dallas, TX 75208</t>
  </si>
  <si>
    <t xml:space="preserve">914 Stevens Woods Ct.
Dallas, TX 75208         </t>
  </si>
  <si>
    <t>Masterman, Shane</t>
  </si>
  <si>
    <t>Herenandez, Socorro
1860 Masters Dr.
Desoto, TX 75115</t>
  </si>
  <si>
    <t xml:space="preserve">1860 Masters Dr.
Desoto, TX 75115          </t>
  </si>
  <si>
    <t>Herenandez, Socorro</t>
  </si>
  <si>
    <t>Rudnicki, Teresa
6909 Tokalon Dr.
Dallas, TX 75214</t>
  </si>
  <si>
    <t xml:space="preserve">6909 Tokalon Dr.
Dallas, TX 75214          </t>
  </si>
  <si>
    <t>Rudnicki, Teresa</t>
  </si>
  <si>
    <t>Taylor, Victor
1650 Oak Knoll St.
Dallas, TX 75208</t>
  </si>
  <si>
    <t xml:space="preserve">1650 Oak Knoll St.
Dallas, TX 75208         </t>
  </si>
  <si>
    <t>Taylor, Victor</t>
  </si>
  <si>
    <t>Carey, Jeff
300 E. Round Grove Rd.
Lewisville, TX 75067</t>
  </si>
  <si>
    <t xml:space="preserve">300 E. Round Grove Rd.
Lewisville, TX 75067        </t>
  </si>
  <si>
    <t>Carey, Jeff</t>
  </si>
  <si>
    <t>Suarez, Michael
907 Stevens Woods Ct.
Dallas, TX 75208</t>
  </si>
  <si>
    <t xml:space="preserve">907 Stevens Woods Ct.
Dallas, TX 75208         </t>
  </si>
  <si>
    <t>Suarez, Michael</t>
  </si>
  <si>
    <t>Yancey, Jay
850 N. Clinton Ave
Dallas, TX 75208</t>
  </si>
  <si>
    <t xml:space="preserve">850 N. Clinton Ave
Dallas, TX 75208         </t>
  </si>
  <si>
    <t>Yancey, Jay</t>
  </si>
  <si>
    <t>Luther, David
619 Kessler Spgs. Ave.
Dallas, TX 75208</t>
  </si>
  <si>
    <t xml:space="preserve">619 Kessler Spgs. Ave.
Dallas, TX 75208         </t>
  </si>
  <si>
    <t>Luther, David</t>
  </si>
  <si>
    <t>Goodwin, Elisa
2310 Broken Point
McKinney, TX 75702</t>
  </si>
  <si>
    <t xml:space="preserve">2310 Broken Point
McKinney, TX 75702          </t>
  </si>
  <si>
    <t>Goodwin, Elisa</t>
  </si>
  <si>
    <t>Fay, Anne
2145 Kessler Ct.
Dallas, TX 75208</t>
  </si>
  <si>
    <t xml:space="preserve">2145 Kessler Ct.
Dallas, TX 75208          </t>
  </si>
  <si>
    <t>Fay, Anne</t>
  </si>
  <si>
    <t>Jalomo 2, Augustine
607 W. Canty St.
Dallas, TX 75208</t>
  </si>
  <si>
    <t xml:space="preserve">2, Augustine
607 W. Canty St.
Dallas, TX 75208        </t>
  </si>
  <si>
    <t>Jalomo 2, Augustine</t>
  </si>
  <si>
    <t>Orr, Benjamin
518 N. Manus Dr.
Dallas, TX 75222</t>
  </si>
  <si>
    <t xml:space="preserve">518 N. Manus Dr.
Dallas, TX 75222         </t>
  </si>
  <si>
    <t>Orr, Benjamin</t>
  </si>
  <si>
    <t>Stimson, Bob
2116 Kessler Ct.
Dallas, TX 75208</t>
  </si>
  <si>
    <t xml:space="preserve">2116 Kessler Ct.
Dallas, TX 75208          </t>
  </si>
  <si>
    <t>Stimson, Bob</t>
  </si>
  <si>
    <t>Drennan, Cynthia
1655 Kessler Canyon Dr.
Dallas, TX 75208</t>
  </si>
  <si>
    <t xml:space="preserve">1655 Kessler Canyon Dr.
Dallas, TX 75208         </t>
  </si>
  <si>
    <t>Drennan, Cynthia</t>
  </si>
  <si>
    <t>Carabeta, Frank
303 W. Davis St.
Dallas, TX 75208</t>
  </si>
  <si>
    <t xml:space="preserve">303 W. Davis St.
Dallas, TX 75208         </t>
  </si>
  <si>
    <t>Carabeta, Frank</t>
  </si>
  <si>
    <t>Mathis, James
2029 W. Colorado Blvd.
Dallas, TX 75208</t>
  </si>
  <si>
    <t xml:space="preserve">2029 W. Colorado Blvd.
Dallas, TX 75208         </t>
  </si>
  <si>
    <t>Mathis, James</t>
  </si>
  <si>
    <t>Garza, Jerome
PO Box 223932
Dallas, TX 75222</t>
  </si>
  <si>
    <t xml:space="preserve">
 Box 223932
Dallas, TX 75222          </t>
  </si>
  <si>
    <t>Garza, Jerome</t>
  </si>
  <si>
    <t>Whitney, Joe
1652 Sylvan Ave.
Dallas, TX 75208</t>
  </si>
  <si>
    <t xml:space="preserve">1652 Sylvan Ave.
Dallas, TX 75208          </t>
  </si>
  <si>
    <t>Whitney, Joe</t>
  </si>
  <si>
    <t>Neill, John
3629 Greenbrier Dr.
Dallas, TX 75225</t>
  </si>
  <si>
    <t xml:space="preserve">3629 Greenbrier Dr.
Dallas, TX 75225          </t>
  </si>
  <si>
    <t>Neill, John</t>
  </si>
  <si>
    <t>Hetzel, Jonathon
7002 Vivian Ave.
Dallas, TX 75223</t>
  </si>
  <si>
    <t xml:space="preserve">7002 Vivian Ave.
Dallas, TX 75223          </t>
  </si>
  <si>
    <t>Hetzel, Jonathon</t>
  </si>
  <si>
    <t>Raymond, Kellye
1001 W. 10th St.
Dallas, TX 75208</t>
  </si>
  <si>
    <t xml:space="preserve">1001 W. 10th St.
Dallas, TX 75208         </t>
  </si>
  <si>
    <t>Raymond, Kellye</t>
  </si>
  <si>
    <t>Rachel, Kevin
1642 Kessler Ct.
Dallas, TX 75208</t>
  </si>
  <si>
    <t xml:space="preserve">1642 Kessler Ct.
Dallas, TX 75208          </t>
  </si>
  <si>
    <t>Rachel, Kevin</t>
  </si>
  <si>
    <t>Vineyard, Lawrence
11436 Strait Ln.
Dallas, TX 75229</t>
  </si>
  <si>
    <t xml:space="preserve">11436 Strait Ln.
Dallas, TX 75229          </t>
  </si>
  <si>
    <t>Vineyard, Lawrence</t>
  </si>
  <si>
    <t>Salcedo, Louis
3 Richmond Ct.
Mansfield, TX 76063</t>
  </si>
  <si>
    <t xml:space="preserve">3 Richmond Ct.
Mansfield, TX 76063          </t>
  </si>
  <si>
    <t>Salcedo, Louis</t>
  </si>
  <si>
    <t>Phillips, Marci
1210 N. Winnetka Ave.
Dallas, TX 75208</t>
  </si>
  <si>
    <t xml:space="preserve">1210 N. Winnetka Ave.
Dallas, TX 75208         </t>
  </si>
  <si>
    <t>Phillips, Marci</t>
  </si>
  <si>
    <t>Drennan, Mark
1655 Kessler Canyon Dr.
Dallas, TX 75208</t>
  </si>
  <si>
    <t>Drennan, Mark</t>
  </si>
  <si>
    <t>Kirk-Tekippe, Matthew
3301 Hudnall St.
Dallas, TX 75235</t>
  </si>
  <si>
    <t xml:space="preserve">3301 Hudnall St.
Dallas, TX 75235          </t>
  </si>
  <si>
    <t>Kirk-Tekippe, Matthew</t>
  </si>
  <si>
    <t>Granoff, Peter
2207 Kessler Woods Ct.
Dallas, TX 75208</t>
  </si>
  <si>
    <t xml:space="preserve">2207 Kessler Woods Ct.
Dallas, TX 75208         </t>
  </si>
  <si>
    <t>Granoff, Peter</t>
  </si>
  <si>
    <t>Bradshaw, Stefanie
2929 Wycliff Ave.
Dallas, TX 75219</t>
  </si>
  <si>
    <t xml:space="preserve">2929 Wycliff Ave.
Dallas, TX 75219          </t>
  </si>
  <si>
    <t>Bradshaw, Stefanie</t>
  </si>
  <si>
    <t>Reese, Susan B.
2622 Commerce St.
Dallas, TX 75226</t>
  </si>
  <si>
    <t xml:space="preserve">susan B.
2622 Commerce St.
Dallas, TX 75226         </t>
  </si>
  <si>
    <t>Reese, Susan B.</t>
  </si>
  <si>
    <t>Kapioltas, Tom
2295 Sussex Ln.
Allen, TX 75013</t>
  </si>
  <si>
    <t xml:space="preserve">2295 Sussex Ln.
Allen, TX 75013          </t>
  </si>
  <si>
    <t>Kapioltas, Tom</t>
  </si>
  <si>
    <t>Zimmerman, William
105 S. Willomet Ave.
Dallas, TX 75208</t>
  </si>
  <si>
    <t xml:space="preserve">105 S. Willomet Ave.
Dallas, TX 75208         </t>
  </si>
  <si>
    <t>Zimmerman, William</t>
  </si>
  <si>
    <t>Johnslon, Willis
1001 Belleview St.
Dallas, TX 75215</t>
  </si>
  <si>
    <t xml:space="preserve">1001 Belleview St.
Dallas, TX 75215          </t>
  </si>
  <si>
    <t>Johnslon, Willis</t>
  </si>
  <si>
    <t>Parker, Dr. Mark
3606 S. Tyler St.
Dallas, TX 75224</t>
  </si>
  <si>
    <t xml:space="preserve">. Mark
3606 S. Tyler St.
Dallas, TX 75224        </t>
  </si>
  <si>
    <t>Parker, Dr. Mark</t>
  </si>
  <si>
    <t>Johnson, Eric
3606 S. Tyler St.
Dallas, TX 75224</t>
  </si>
  <si>
    <t xml:space="preserve">3606 S. Tyler St.
Dallas, TX 75224         </t>
  </si>
  <si>
    <t>Johnson, Eric</t>
  </si>
  <si>
    <t>Galvan, Nancy
1411 Junior Dr.
Dallas, TX 75208</t>
  </si>
  <si>
    <t xml:space="preserve">1411 Junior Dr.
Dallas, TX 75208          </t>
  </si>
  <si>
    <t>Galvan, Nancy</t>
  </si>
  <si>
    <t>Nuchereno, Frank
4310 Nashwood Ln.
Dallas, TX 75244</t>
  </si>
  <si>
    <t xml:space="preserve">4310 Nashwood Ln.
Dallas, TX 75244          </t>
  </si>
  <si>
    <t>Nuchereno, Frank</t>
  </si>
  <si>
    <t>Keyes, Wesley
202 N. Clinton Ave
Dallas, TX 75208</t>
  </si>
  <si>
    <t xml:space="preserve">202 N. Clinton Ave
Dallas, TX 75208         </t>
  </si>
  <si>
    <t>Keyes, Wesley</t>
  </si>
  <si>
    <t>Lutz, Carl
3724 Waldorf Dr.
Dallas, TX 75229</t>
  </si>
  <si>
    <t xml:space="preserve">3724 Waldorf Dr.
Dallas, TX 75229          </t>
  </si>
  <si>
    <t>Lutz, Carl</t>
  </si>
  <si>
    <t>Littlefield, Kristene
3700 Cole Ave.
Dallas, TX 75204</t>
  </si>
  <si>
    <t xml:space="preserve">3700 Cole Ave.
Dallas, TX 75204          </t>
  </si>
  <si>
    <t>Littlefield, Kristene</t>
  </si>
  <si>
    <t>Venton for Texas
1075 Griffin St. W.
Dallas, TX 75215</t>
  </si>
  <si>
    <t xml:space="preserve">for Texas
1075 Griffin St. W.
Dallas, TX 75215        </t>
  </si>
  <si>
    <t>Venton for Texas</t>
  </si>
  <si>
    <t>Reese, Katherine
5310 Northmoor Dr.
Dallas, TX 75229</t>
  </si>
  <si>
    <t xml:space="preserve">5310 Northmoor Dr.
Dallas, TX 75229          </t>
  </si>
  <si>
    <t>Reese, Katherine</t>
  </si>
  <si>
    <t>Page, Anthony
3210 Carlisle St.
Dallas, TX 75204</t>
  </si>
  <si>
    <t xml:space="preserve">3210 Carlisle St.
Dallas, TX 75204          </t>
  </si>
  <si>
    <t>Page, Anthony</t>
  </si>
  <si>
    <t>Gates, Jennifer
4914 Keyhole Ln.
Dallas, TX 75229</t>
  </si>
  <si>
    <t xml:space="preserve">4914 Keyhole Ln.
Dallas, TX 75229          </t>
  </si>
  <si>
    <t>Gates, Jennifer</t>
  </si>
  <si>
    <t>Wallace, Andy
4433 Westway Ave.
Dallas, TX 75205</t>
  </si>
  <si>
    <t xml:space="preserve">4433 Westway Ave.
Dallas, TX 75205          </t>
  </si>
  <si>
    <t>Wallace, Andy</t>
  </si>
  <si>
    <t>Connatser, Becky
815 W. Greenbriar Ln.
Dallas, TX 75208</t>
  </si>
  <si>
    <t xml:space="preserve">815 W. Greenbriar Ln.
Dallas, TX 75208         </t>
  </si>
  <si>
    <t>Connatser, Becky</t>
  </si>
  <si>
    <t>Howell, Bryan
685 Kessler Reserve Ct.
Dallas, TX 75208</t>
  </si>
  <si>
    <t xml:space="preserve">685 Kessler Reserve Ct.
Dallas, TX 75208         </t>
  </si>
  <si>
    <t>Howell, Bryan</t>
  </si>
  <si>
    <t>Collins-Bratton, Calvert
4738 Hallmark Dr.
Dallas, TX 75229</t>
  </si>
  <si>
    <t xml:space="preserve">4738 Hallmark Dr.
Dallas, TX 75229          </t>
  </si>
  <si>
    <t>Collins-Bratton, Calvert</t>
  </si>
  <si>
    <t>Urano, Cam
311 N. Edgefield Ave
Dallas, TX 75208</t>
  </si>
  <si>
    <t xml:space="preserve">311 N. Edgefield Ave
Dallas, TX 75208         </t>
  </si>
  <si>
    <t>Urano, Cam</t>
  </si>
  <si>
    <t>Dolezal, Chad
1015 S. Winnetka Ave.
Dallas, TX 75298</t>
  </si>
  <si>
    <t xml:space="preserve">1015 S. Winnetka Ave.
Dallas, TX 75298         </t>
  </si>
  <si>
    <t>Dolezal, Chad</t>
  </si>
  <si>
    <t>Pope, Chase
6060 N Central Expwy.
Dallas, TX 75206</t>
  </si>
  <si>
    <t xml:space="preserve">6060 N Central Expwy.
Dallas, TX 75206         </t>
  </si>
  <si>
    <t>Pope, Chase</t>
  </si>
  <si>
    <t>Huerta, Daniel
1414 Cedar Hill Ave.
Dallas, TX 75208</t>
  </si>
  <si>
    <t xml:space="preserve">1414 Cedar Hill Ave.
Dallas, TX 75208         </t>
  </si>
  <si>
    <t>Huerta, Daniel</t>
  </si>
  <si>
    <t>Sherman, Daniel (Vinnie)
1743 Elmwood Blvd.
Dallas, TX 75224</t>
  </si>
  <si>
    <t xml:space="preserve">daniel (Vinnie)
1743 Elmwood Blvd.
Dallas, TX 75224         </t>
  </si>
  <si>
    <t>Sherman, Daniel (Vinnie)</t>
  </si>
  <si>
    <t>Neurohr, Garrison
4444 Cole Ave.
Dallas, TX 75205</t>
  </si>
  <si>
    <t xml:space="preserve">4444 Cole Ave.
Dallas, TX 75205          </t>
  </si>
  <si>
    <t>Neurohr, Garrison</t>
  </si>
  <si>
    <t>Orr, Jeremy
1033 Cedar Hill Ave.
Dallas, TX 75208</t>
  </si>
  <si>
    <t xml:space="preserve">1033 Cedar Hill Ave.
Dallas, TX 75208         </t>
  </si>
  <si>
    <t>Orr, Jeremy</t>
  </si>
  <si>
    <t>Taylor, Lisa
923 Salmon Dr.
Dallas, TX 75208</t>
  </si>
  <si>
    <t xml:space="preserve">923 Salmon Dr.
Dallas, TX 75208          </t>
  </si>
  <si>
    <t>Taylor, Lisa</t>
  </si>
  <si>
    <t>Donathan, Marsha
12101 Trinity Blvd.
Euless, TX 76040</t>
  </si>
  <si>
    <t xml:space="preserve">12101 Trinity Blvd.
Euless, TX 76040          </t>
  </si>
  <si>
    <t>Donathan, Marsha</t>
  </si>
  <si>
    <t>Hunt, Ray
1900 N. Akard St.
Dallas, TX 75201</t>
  </si>
  <si>
    <t xml:space="preserve">1900 N. Akard St.
Dallas, TX 75201         </t>
  </si>
  <si>
    <t>Hunt, Ray</t>
  </si>
  <si>
    <t>Holloway, Ryan
4325 Elm St.
Dallas, TX 75226</t>
  </si>
  <si>
    <t xml:space="preserve">4325 Elm St.
Dallas, TX 75226          </t>
  </si>
  <si>
    <t>Holloway, Ryan</t>
  </si>
  <si>
    <t>McDonald, Sam
2630 Shelby Ave.
Dallas, TX 75219</t>
  </si>
  <si>
    <t xml:space="preserve">2630 Shelby Ave.
Dallas, TX 75219          </t>
  </si>
  <si>
    <t>McDonald, Sam</t>
  </si>
  <si>
    <t>Engwall, Stephanie
700 N. Oak Cliff Blvd.
Dallas, TX 75208</t>
  </si>
  <si>
    <t xml:space="preserve">700 N. Oak Cliff Blvd.
Dallas, TX 75208        </t>
  </si>
  <si>
    <t>Engwall, Stephanie</t>
  </si>
  <si>
    <t>HBA Greater Dallas HOME PAC
5816 W Plano Parkway
Plano, TX 75093</t>
  </si>
  <si>
    <t xml:space="preserve">greater Dallas HOME PAC
5816 W Plano Parkway
Plano, TX 75093      </t>
  </si>
  <si>
    <t>HBA Greater Dallas HOME PAC</t>
  </si>
  <si>
    <t>Stonewall Democrats PAC
PO Box 192305
Dallas, TX 75219</t>
  </si>
  <si>
    <t xml:space="preserve">democrats PAC
PO Box 192305
Dallas, TX 75219         </t>
  </si>
  <si>
    <t>Stonewall Democrats PAC</t>
  </si>
  <si>
    <t>TREPAC
PO Box 2246
Austin, TX 78768</t>
  </si>
  <si>
    <t xml:space="preserve">box 2246
Austin, TX 78768           </t>
  </si>
  <si>
    <t>TREPAC</t>
  </si>
  <si>
    <t>Crow, Patrick
4818 N. Lindhurst
Dallas, TX 75229</t>
  </si>
  <si>
    <t xml:space="preserve">4818 N. Lindhurst
Dallas, TX 75229          </t>
  </si>
  <si>
    <t>Crow, Patrick</t>
  </si>
  <si>
    <t>Gerber, Pam
4435 Holland Ave.
Dallas, TX 75219</t>
  </si>
  <si>
    <t xml:space="preserve">4435 Holland Ave.
Dallas, TX 75219          </t>
  </si>
  <si>
    <t>Gerber, Pam</t>
  </si>
  <si>
    <t>Schenkkel, Pete
4231 Belclaire Ave
Dallas, TX 75205</t>
  </si>
  <si>
    <t xml:space="preserve">4231 Belclaire Ave
Dallas, TX 75205          </t>
  </si>
  <si>
    <t>Schenkkel, Pete</t>
  </si>
  <si>
    <t>Assanie, Sadiq
1441 Van Winkle Drive
Carrollton, TX 75007</t>
  </si>
  <si>
    <t xml:space="preserve">1441 Van Winkle Drive
Carrollton, TX 75007         </t>
  </si>
  <si>
    <t>Assanie, Sadiq</t>
  </si>
  <si>
    <t>HealthPAC
PO Box 4680
Dallas, TX 75208</t>
  </si>
  <si>
    <t xml:space="preserve">box 4680
Dallas, TX 75208           </t>
  </si>
  <si>
    <t>HealthPAC</t>
  </si>
  <si>
    <t>Deason, Darwin
3953 Maple Ave
Dallas, TX 75219</t>
  </si>
  <si>
    <t xml:space="preserve">3953 Maple Ave
Dallas, TX 75219          </t>
  </si>
  <si>
    <t>Deason, Darwin</t>
  </si>
  <si>
    <t>Elk, Charles
6504 Bailey Road
Sachse, TX 75048</t>
  </si>
  <si>
    <t xml:space="preserve">6504 Bailey Road
Sachse, TX 75048          </t>
  </si>
  <si>
    <t>Elk, Charles</t>
  </si>
  <si>
    <t>Feyer, Robert
2335 Hyde Street
San Francisco, CA 94109</t>
  </si>
  <si>
    <t xml:space="preserve">2335 Hyde Street
San Francisco, CA 94109         </t>
  </si>
  <si>
    <t>Feyer, Robert</t>
  </si>
  <si>
    <t>Garraway, Selwyn
100 Greenwich St
New York, NY 10006</t>
  </si>
  <si>
    <t xml:space="preserve">100 Greenwich St
New York, NY 10006         </t>
  </si>
  <si>
    <t>Garraway, Selwyn</t>
  </si>
  <si>
    <t>Glendenning, Don
2200 Ross Ave
Dallas, TX 75201</t>
  </si>
  <si>
    <t xml:space="preserve">2200 Ross Ave
Dallas, TX 75201          </t>
  </si>
  <si>
    <t>Glendenning, Don</t>
  </si>
  <si>
    <t>Hall, Stephen
11565 E Ricks Circle
Dallas, TX 75230</t>
  </si>
  <si>
    <t xml:space="preserve">11565 E Ricks Circle
Dallas, TX 75230         </t>
  </si>
  <si>
    <t>Hall, Stephen</t>
  </si>
  <si>
    <t>Hasty, Gary
1001 Clinton St
Carrollton, TX 75007</t>
  </si>
  <si>
    <t xml:space="preserve">1001 Clinton St
Carrollton, TX 75007          </t>
  </si>
  <si>
    <t>Hasty, Gary</t>
  </si>
  <si>
    <t>Hunt, Hunter
1900 N. Akard St
Dallas, TX 75201</t>
  </si>
  <si>
    <t xml:space="preserve">1900 N. Akard St
Dallas, TX 75201         </t>
  </si>
  <si>
    <t>Hunt, Hunter</t>
  </si>
  <si>
    <t>Hutchison, Kay
25 Downs Lake Circle
Dallas, TX 75230</t>
  </si>
  <si>
    <t xml:space="preserve">25 Downs Lake Circle
Dallas, TX 75230         </t>
  </si>
  <si>
    <t>Hutchison, Kay</t>
  </si>
  <si>
    <t>Jones, Stuart
5522 Waneta Drive
Dallas, TX 75209</t>
  </si>
  <si>
    <t xml:space="preserve">5522 Waneta Drive
Dallas, TX 75209          </t>
  </si>
  <si>
    <t>Jones, Stuart</t>
  </si>
  <si>
    <t>Kumar, Pankaj
5333 Deloache Ave
Dallas, TX 75220</t>
  </si>
  <si>
    <t xml:space="preserve">5333 Deloache Ave
Dallas, TX 75220          </t>
  </si>
  <si>
    <t>Kumar, Pankaj</t>
  </si>
  <si>
    <t>McCants, Rick
613 Birch Lane
Richardson, TX 75081</t>
  </si>
  <si>
    <t xml:space="preserve">613 Birch Lane
Richardson, TX 75081          </t>
  </si>
  <si>
    <t>McCants, Rick</t>
  </si>
  <si>
    <t>Mihalopoulos, Frank
4645 N Central Exp
Dallas, TX 75205</t>
  </si>
  <si>
    <t xml:space="preserve">4645 N Central Exp
Dallas, TX 75205         </t>
  </si>
  <si>
    <t>Mihalopoulos, Frank</t>
  </si>
  <si>
    <t>Murphy, James
7725 La Cosa Dr
Dallas, TX 75248</t>
  </si>
  <si>
    <t xml:space="preserve">7725 La Cosa Dr
Dallas, TX 75248         </t>
  </si>
  <si>
    <t>Murphy, James</t>
  </si>
  <si>
    <t>Myers, Mike
6310 Lemmon Ave
Dallas, TX 75209</t>
  </si>
  <si>
    <t xml:space="preserve">6310 Lemmon Ave
Dallas, TX 75209          </t>
  </si>
  <si>
    <t>Myers, Mike</t>
  </si>
  <si>
    <t>Norris, Gina
4240 Prescott Ave
Dallas, TX 75219</t>
  </si>
  <si>
    <t xml:space="preserve">4240 Prescott Ave
Dallas, TX 75219          </t>
  </si>
  <si>
    <t>Norris, Gina</t>
  </si>
  <si>
    <t>Nye, Erle
8523 Thackery St
Dallas, TX 75225</t>
  </si>
  <si>
    <t xml:space="preserve">8523 Thackery St
Dallas, TX 75225          </t>
  </si>
  <si>
    <t>Nye, Erle</t>
  </si>
  <si>
    <t>Rajani, Saleem
515 W Main St
Allen, TX 75013</t>
  </si>
  <si>
    <t xml:space="preserve">515 W Main St
Allen, TX 75013         </t>
  </si>
  <si>
    <t>Rajani, Saleem</t>
  </si>
  <si>
    <t>Rose, Deedie
3963 Maple Ave
Dallas, TX 75219</t>
  </si>
  <si>
    <t xml:space="preserve">3963 Maple Ave
Dallas, TX 75219          </t>
  </si>
  <si>
    <t>Rose, Deedie</t>
  </si>
  <si>
    <t>Sampson, Demetris
PO Box 763834
Dallas, TX 75376</t>
  </si>
  <si>
    <t xml:space="preserve">
 Box 763834
Dallas, TX 75376          </t>
  </si>
  <si>
    <t>Sampson, Demetris</t>
  </si>
  <si>
    <t>Sewell, Carl
3860 W Northwest Hwy
Dallas, TX 75220</t>
  </si>
  <si>
    <t xml:space="preserve">3860 W Northwest Hwy
Dallas, TX 75220         </t>
  </si>
  <si>
    <t>Sewell, Carl</t>
  </si>
  <si>
    <t>Staubach, Roger
5242 Ravine Dr
Dallas, TX 75220</t>
  </si>
  <si>
    <t xml:space="preserve">5242 Ravine Dr
Dallas, TX 75220          </t>
  </si>
  <si>
    <t>Staubach, Roger</t>
  </si>
  <si>
    <t>Tanner, Desi
2707 Runningbrook
Dallas, TX 75228</t>
  </si>
  <si>
    <t xml:space="preserve">2707 Runningbrook
Dallas, TX 75228           </t>
  </si>
  <si>
    <t>Tanner, Desi</t>
  </si>
  <si>
    <t>White, Carlos
733 Mulberry Lane
Desoto, TX 75115</t>
  </si>
  <si>
    <t xml:space="preserve">733 Mulberry Lane
Desoto, TX 75115          </t>
  </si>
  <si>
    <t>White, Carlos</t>
  </si>
  <si>
    <t>WSP USA PAC
1 Penn Plaza
New York, NY 10119</t>
  </si>
  <si>
    <t xml:space="preserve">usa PAC
1 Penn Plaza
New York, NY 10119        </t>
  </si>
  <si>
    <t>WSP USA PAC</t>
  </si>
  <si>
    <t>Perot Jr., Ross
3000 Turtle Creek Blvd
Dallas, TX 75219</t>
  </si>
  <si>
    <t xml:space="preserve">., Ross
3000 Turtle Creek Blvd
Dallas, TX 75219        </t>
  </si>
  <si>
    <t>Perot Jr., Ross</t>
  </si>
  <si>
    <t>Tillotson, Jeffrey
4515 W Mockingbird Ln
Dallas, TX 75209</t>
  </si>
  <si>
    <t xml:space="preserve">4515 W Mockingbird Ln
Dallas, TX 75209         </t>
  </si>
  <si>
    <t>Tillotson, Jeffrey</t>
  </si>
  <si>
    <t>Goldberg, Kenneth
4 Robledo Dr
Dallas, TX 75230</t>
  </si>
  <si>
    <t xml:space="preserve">4 Robledo Dr
Dallas, TX 75230          </t>
  </si>
  <si>
    <t>Goldberg, Kenneth</t>
  </si>
  <si>
    <t>Drysdale, Joseph
3300 Wentwood Dr
Dallas, TX 75225</t>
  </si>
  <si>
    <t xml:space="preserve">3300 Wentwood Dr
Dallas, TX 75225          </t>
  </si>
  <si>
    <t>Drysdale, Joseph</t>
  </si>
  <si>
    <t>Welsh, Fred
2706 Lawtherwood Ct
Dallas, TX 75214</t>
  </si>
  <si>
    <t xml:space="preserve">2706 Lawtherwood Ct
Dallas, TX 75214          </t>
  </si>
  <si>
    <t>Welsh, Fred</t>
  </si>
  <si>
    <t>Nambiar, Vipin
5534 West Hanover Ave
Dallas, TX 75209</t>
  </si>
  <si>
    <t xml:space="preserve">5534 West Hanover Ave
Dallas, TX 75209         </t>
  </si>
  <si>
    <t>Nambiar, Vipin</t>
  </si>
  <si>
    <t>Purdy, Torbejorne
10808 Strait Ln
Dallas, TX 75229</t>
  </si>
  <si>
    <t xml:space="preserve">10808 Strait Ln
Dallas, TX 75229          </t>
  </si>
  <si>
    <t>Purdy, Torbejorne</t>
  </si>
  <si>
    <t>Bradshaw, Horace
PO Box 764526
Dallas, TX 75232</t>
  </si>
  <si>
    <t xml:space="preserve">
 Box 764526
Dallas, TX 75232          </t>
  </si>
  <si>
    <t>Bradshaw, Horace</t>
  </si>
  <si>
    <t>Battie, Susie &amp; Derrick
1456 Chapman Dr
Lancaster, TX 75134</t>
  </si>
  <si>
    <t xml:space="preserve">susie &amp; Derrick
1456 Chapman Dr
Lancaster, TX 75134        </t>
  </si>
  <si>
    <t>Battie, Susie &amp; Derrick</t>
  </si>
  <si>
    <t>Olson, Lyndon
5400 Bosque Blvd
Waco, TX 76710</t>
  </si>
  <si>
    <t xml:space="preserve">5400 Bosque Blvd
Waco, TX 76710          </t>
  </si>
  <si>
    <t>Olson, Lyndon</t>
  </si>
  <si>
    <t>Moore, Tony
6823 S Florence Ave
Tulsa, OK 74136</t>
  </si>
  <si>
    <t xml:space="preserve">6823 S Florence Ave
Tulsa, OK 74136         </t>
  </si>
  <si>
    <t>Moore, Tony</t>
  </si>
  <si>
    <t>Desai, Seemal
4047 Glenhurst Ln
Frisco, TX 75033</t>
  </si>
  <si>
    <t xml:space="preserve">4047 Glenhurst Ln
Frisco, TX 75033          </t>
  </si>
  <si>
    <t>Desai, Seemal</t>
  </si>
  <si>
    <t>Oliver, Jesse
3812 Holliday Road
Dallas, TX 75224</t>
  </si>
  <si>
    <t xml:space="preserve">3812 Holliday Road
Dallas, TX 75224          </t>
  </si>
  <si>
    <t>Oliver, Jesse</t>
  </si>
  <si>
    <t>Idoux, Kathryn
6123 Orchid Ln
Dallas, TX 75230</t>
  </si>
  <si>
    <t xml:space="preserve">6123 Orchid Ln
Dallas, TX 75230          </t>
  </si>
  <si>
    <t>Idoux, Kathryn</t>
  </si>
  <si>
    <t>Idoux, Stephen
6123 Orchid Ln
Dallas, TX 75230</t>
  </si>
  <si>
    <t>Idoux, Stephen</t>
  </si>
  <si>
    <t>Coffman, Barbara
8100 Lomo Alto Dr
Dallas, TX 75225</t>
  </si>
  <si>
    <t xml:space="preserve">8100 Lomo Alto Dr
Dallas, TX 75225         </t>
  </si>
  <si>
    <t>Coffman, Barbara</t>
  </si>
  <si>
    <t>Wilson, Michael
6739 Avalon Ave
Dallas, TX 75214</t>
  </si>
  <si>
    <t xml:space="preserve">6739 Avalon Ave
Dallas, TX 75214          </t>
  </si>
  <si>
    <t>Wilson, Michael</t>
  </si>
  <si>
    <t>Carter, Stefani
2408 Victory Park Ln
Dallas, TX 75219</t>
  </si>
  <si>
    <t xml:space="preserve">2408 Victory Park Ln
Dallas, TX 75219         </t>
  </si>
  <si>
    <t>Carter, Stefani</t>
  </si>
  <si>
    <t>McDougal, Matthew
4001 Ross Ave
Dallas, TX 75204</t>
  </si>
  <si>
    <t xml:space="preserve">4001 Ross Ave
Dallas, TX 75204          </t>
  </si>
  <si>
    <t>McDougal, Matthew</t>
  </si>
  <si>
    <t>Smith, William
9254 Forest Lane
Dallas, TX 75243</t>
  </si>
  <si>
    <t xml:space="preserve">9254 Forest Lane
Dallas, TX 75243          </t>
  </si>
  <si>
    <t>Smith, William</t>
  </si>
  <si>
    <t>Mittal, Shridhar
4311 Valley Ridge Rd
Dallas, TX 75220</t>
  </si>
  <si>
    <t xml:space="preserve">4311 Valley Ridge Rd
Dallas, TX 75220         </t>
  </si>
  <si>
    <t>Mittal, Shridhar</t>
  </si>
  <si>
    <t>Thomas, Cheri
608 Belhaven Dr
Allen, TX 75013</t>
  </si>
  <si>
    <t xml:space="preserve">608 Belhaven Dr
Allen, TX 75013          </t>
  </si>
  <si>
    <t>Thomas, Cheri</t>
  </si>
  <si>
    <t>Miller, John
8226 Douglas Ave
Dallas, TX 75225</t>
  </si>
  <si>
    <t xml:space="preserve">8226 Douglas Ave
Dallas, TX 75225          </t>
  </si>
  <si>
    <t>Miller, John</t>
  </si>
  <si>
    <t>Woodlief, Mari
3864 W Beverly Dr
Dallas, TX 75209</t>
  </si>
  <si>
    <t xml:space="preserve">3864 W Beverly Dr
Dallas, TX 75209         </t>
  </si>
  <si>
    <t>Woodlief, Mari</t>
  </si>
  <si>
    <t>Rastogi, Dev
18723 Mapletree Ln
Dallas, TX 75209</t>
  </si>
  <si>
    <t xml:space="preserve">18723 Mapletree Ln
Dallas, TX 75209          </t>
  </si>
  <si>
    <t>Rastogi, Dev</t>
  </si>
  <si>
    <t>Parish, Deborah
1910 Pacific Ave
Dallas, TX 75201</t>
  </si>
  <si>
    <t xml:space="preserve">1910 Pacific Ave
Dallas, TX 75201          </t>
  </si>
  <si>
    <t>Parish, Deborah</t>
  </si>
  <si>
    <t>Rupani, Amirali
16555 Preston Trail Dr
Dallas, TX 75201</t>
  </si>
  <si>
    <t xml:space="preserve">16555 Preston Trail Dr
Dallas, TX 75201         </t>
  </si>
  <si>
    <t>Rupani, Amirali</t>
  </si>
  <si>
    <t>Lashlee, Rhett
5310 Stonegate Dr
Dallas, TX 75209</t>
  </si>
  <si>
    <t xml:space="preserve">5310 Stonegate Dr
Dallas, TX 75209          </t>
  </si>
  <si>
    <t>Lashlee, Rhett</t>
  </si>
  <si>
    <t>Maltese, Kelly
5500 Caruth Haven Ln
Dallas, TX 75225</t>
  </si>
  <si>
    <t xml:space="preserve">5500 Caruth Haven Ln
Dallas, TX 75225         </t>
  </si>
  <si>
    <t>Maltese, Kelly</t>
  </si>
  <si>
    <t>Bowles, Trey
4117 COLGATE AVE
Dallas, TX 75225</t>
  </si>
  <si>
    <t xml:space="preserve">4117 COLGATE AVE
Dallas, TX 75225          </t>
  </si>
  <si>
    <t>Bowles, Trey</t>
  </si>
  <si>
    <t>Noble, Anthony
113 Cree Dr
Forest Heights, MD 20745</t>
  </si>
  <si>
    <t xml:space="preserve">113 Cree Dr
Forest Heights, MD 20745         </t>
  </si>
  <si>
    <t>Noble, Anthony</t>
  </si>
  <si>
    <t>Roberts, Richard
3600 Rosedale
Dallas, TX 75205</t>
  </si>
  <si>
    <t xml:space="preserve">3600 Rosedale
Dallas, TX 75205           </t>
  </si>
  <si>
    <t>Roberts, Richard</t>
  </si>
  <si>
    <t>King, Johnnie
1243 W Pleasant Run Rd
DeSoto, TX 75043</t>
  </si>
  <si>
    <t xml:space="preserve">1243 W Pleasant Run Rd
DeSoto, TX 75043        </t>
  </si>
  <si>
    <t>King, Johnnie</t>
  </si>
  <si>
    <t>Mier, Brian
8515 San Benito Way
Dallas, TX 75218</t>
  </si>
  <si>
    <t xml:space="preserve">8515 San Benito Way
Dallas, TX 75218         </t>
  </si>
  <si>
    <t>Mier, Brian</t>
  </si>
  <si>
    <t>Gates, Jennifer &amp; John
4915 Keyhole Ln
Dallas, TX 75229</t>
  </si>
  <si>
    <t xml:space="preserve">jennifer &amp; John
4915 Keyhole Ln
Dallas, TX 75229        </t>
  </si>
  <si>
    <t>Gates, Jennifer &amp; John</t>
  </si>
  <si>
    <t>Wani, Rajen
3606 Greenville Ave
Dallas, TX 75206</t>
  </si>
  <si>
    <t xml:space="preserve">3606 Greenville Ave
Dallas, TX 75206          </t>
  </si>
  <si>
    <t>Wani, Rajen</t>
  </si>
  <si>
    <t>Malik, Rajeev
1159 Cottonwood Ln
Irving, TX 75038</t>
  </si>
  <si>
    <t xml:space="preserve">1159 Cottonwood Ln
Irving, TX 75038          </t>
  </si>
  <si>
    <t>Malik, Rajeev</t>
  </si>
  <si>
    <t>Miller, MacKenzie
400 Oak Ridge Dr
Fairview, TX 75069</t>
  </si>
  <si>
    <t xml:space="preserve">400 Oak Ridge Dr
Fairview, TX 75069         </t>
  </si>
  <si>
    <t>Miller, MacKenzie</t>
  </si>
  <si>
    <t>Lovell, Robert
1633 Prince William Ln
Frisco, TX 75034</t>
  </si>
  <si>
    <t xml:space="preserve">1633 Prince William Ln
Frisco, TX 75034         </t>
  </si>
  <si>
    <t>Lovell, Robert</t>
  </si>
  <si>
    <t>Russell, Thomas
4425 San Carlos Dr
Dallas, TX 75205</t>
  </si>
  <si>
    <t xml:space="preserve">4425 San Carlos Dr
Dallas, TX 75205         </t>
  </si>
  <si>
    <t>Russell, Thomas</t>
  </si>
  <si>
    <t>Dym, Kevin
7928 Fallmeadow Ln
Dallas, TX 75248</t>
  </si>
  <si>
    <t xml:space="preserve">7928 Fallmeadow Ln
Dallas, TX 75248          </t>
  </si>
  <si>
    <t>Dym, Kevin</t>
  </si>
  <si>
    <t>Stauffer, Brett
2920 State Street
Dallas, TX 75204</t>
  </si>
  <si>
    <t xml:space="preserve">2920 State Street
Dallas, TX 75204          </t>
  </si>
  <si>
    <t>Stauffer, Brett</t>
  </si>
  <si>
    <t>Davis, Denise
58 Country Oaks Dr
Buda, TX 78610</t>
  </si>
  <si>
    <t xml:space="preserve">58 Country Oaks Dr
Buda, TX 78610         </t>
  </si>
  <si>
    <t>Davis, Denise</t>
  </si>
  <si>
    <t>Childress, Anita
8366 Santa Clara Dr
Dallas, TX 75218</t>
  </si>
  <si>
    <t xml:space="preserve">8366 Santa Clara Dr
Dallas, TX 75218         </t>
  </si>
  <si>
    <t>Childress, Anita</t>
  </si>
  <si>
    <t>Evans, Timothy
682 W Alamosa Dr
Chandler, AZ 85248</t>
  </si>
  <si>
    <t xml:space="preserve">682 W Alamosa Dr
Chandler, AZ 85248         </t>
  </si>
  <si>
    <t>Evans, Timothy</t>
  </si>
  <si>
    <t>Gibson, Michael
512 Cool Meadow Ct
DeSoto, TX 75115</t>
  </si>
  <si>
    <t xml:space="preserve">512 Cool Meadow Ct
DeSoto, TX 75115         </t>
  </si>
  <si>
    <t>Gibson, Michael</t>
  </si>
  <si>
    <t>Stein, Sheldon
14911 Quorum Dr
Dallas, TX 75254</t>
  </si>
  <si>
    <t xml:space="preserve">14911 Quorum Dr
Dallas, TX 75254          </t>
  </si>
  <si>
    <t>Stein, Sheldon</t>
  </si>
  <si>
    <t>Katz, Marc
10244 Epping Ln
Dallas, TX 75229</t>
  </si>
  <si>
    <t xml:space="preserve">10244 Epping Ln
Dallas, TX 75229          </t>
  </si>
  <si>
    <t>Katz, Marc</t>
  </si>
  <si>
    <t>Scovell, Dupree
7034 Alexander Dr
Dallas, TX 75214</t>
  </si>
  <si>
    <t xml:space="preserve">7034 Alexander Dr
Dallas, TX 75214          </t>
  </si>
  <si>
    <t>Scovell, Dupree</t>
  </si>
  <si>
    <t>Marshall, Carrie
12601 Natalie Dr
Balch Springs, TX 75180</t>
  </si>
  <si>
    <t xml:space="preserve">12601 Natalie Dr
Balch Springs, TX 75180         </t>
  </si>
  <si>
    <t>Marshall, Carrie</t>
  </si>
  <si>
    <t>Quezada, Michael
2739 Vela
Grand Prairie, TX 75054</t>
  </si>
  <si>
    <t xml:space="preserve">2739 Vela
Grand Prairie, TX 75054          </t>
  </si>
  <si>
    <t>Quezada, Michael</t>
  </si>
  <si>
    <t>Walsh, Patrick
6502 Deloache Ave
Dallas, TX 75225</t>
  </si>
  <si>
    <t xml:space="preserve">6502 Deloache Ave
Dallas, TX 75225          </t>
  </si>
  <si>
    <t>Walsh, Patrick</t>
  </si>
  <si>
    <t>Shidid, Tony
6208 Copperhill Dr
Dallas, TX 75248</t>
  </si>
  <si>
    <t xml:space="preserve">6208 Copperhill Dr
Dallas, TX 75248          </t>
  </si>
  <si>
    <t>Shidid, Tony</t>
  </si>
  <si>
    <t>Sanford, Christa
8249 Forest Hills Blvd
Dallas, TX 75218</t>
  </si>
  <si>
    <t xml:space="preserve">8249 Forest Hills Blvd
Dallas, TX 75218         </t>
  </si>
  <si>
    <t>Sanford, Christa</t>
  </si>
  <si>
    <t>Leal, Ben
6949 Clay Academy Blvd
Dallas, TX 75236</t>
  </si>
  <si>
    <t xml:space="preserve">6949 Clay Academy Blvd
Dallas, TX 75236         </t>
  </si>
  <si>
    <t>Leal, Ben</t>
  </si>
  <si>
    <t>Johnson, Jacob
3107 West Camp Wisdom Rd
Dallas, TX 75237</t>
  </si>
  <si>
    <t xml:space="preserve">3107 West Camp Wisdom Rd
Dallas, TX 75237        </t>
  </si>
  <si>
    <t>Johnson, Jacob</t>
  </si>
  <si>
    <t>Wilson, Nancy
6739 Avalon Ave
Dallas, TX 75214</t>
  </si>
  <si>
    <t>Wilson, Nancy</t>
  </si>
  <si>
    <t>Green, Ronald
811 Main Street
Houston, TX 77002</t>
  </si>
  <si>
    <t xml:space="preserve">811 Main Street
Houston, TX 77002          </t>
  </si>
  <si>
    <t>Green, Ronald</t>
  </si>
  <si>
    <t>Ley, Georgia
6522 Orchid Lane
Dallas, TX 75230</t>
  </si>
  <si>
    <t xml:space="preserve">6522 Orchid Lane
Dallas, TX 75230          </t>
  </si>
  <si>
    <t>Ley, Georgia</t>
  </si>
  <si>
    <t>Smith, Dee Anna
1721 Woodsong Dr
Brentwood, TN 37027</t>
  </si>
  <si>
    <t xml:space="preserve">dee Anna
1721 Woodsong Dr
Brentwood, TN 37027         </t>
  </si>
  <si>
    <t>Smith, Dee Anna</t>
  </si>
  <si>
    <t>Christian, Jerry
8112 Fox Creek Trail
Dallas, TX 75249</t>
  </si>
  <si>
    <t xml:space="preserve">8112 Fox Creek Trail
Dallas, TX 75249         </t>
  </si>
  <si>
    <t>Christian, Jerry</t>
  </si>
  <si>
    <t>Pittman, Aubrey Nick
100 Crescent Court
Dallas, TX 75201</t>
  </si>
  <si>
    <t xml:space="preserve">aubrey Nick
100 Crescent Court
Dallas, TX 75201         </t>
  </si>
  <si>
    <t>Pittman, Aubrey Nick</t>
  </si>
  <si>
    <t>Yxall, Thomas
2519 Cambria Blvd
Dallas, TX 75214</t>
  </si>
  <si>
    <t xml:space="preserve">2519 Cambria Blvd
Dallas, TX 75214          </t>
  </si>
  <si>
    <t>Yxall, Thomas</t>
  </si>
  <si>
    <t>English, Charles
PO Box 140189
Dallas, TX 75214</t>
  </si>
  <si>
    <t xml:space="preserve">
 Box 140189
Dallas, TX 75214          </t>
  </si>
  <si>
    <t>English, Charles</t>
  </si>
  <si>
    <t>Johansen, Mark
2501 N Harwood
Dallas, TX 75201</t>
  </si>
  <si>
    <t xml:space="preserve">2501 N Harwood
Dallas, TX 75201          </t>
  </si>
  <si>
    <t>Johansen, Mark</t>
  </si>
  <si>
    <t>Santa-Maria, Arthur
785 Huntingdon Street
Coppell, TX 75019</t>
  </si>
  <si>
    <t xml:space="preserve">785 Huntingdon Street
Coppell, TX 75019          </t>
  </si>
  <si>
    <t>Santa-Maria, Arthur</t>
  </si>
  <si>
    <t>Fleiss, Eric
3808 Miramar Ave
Dallas, TX 75205</t>
  </si>
  <si>
    <t xml:space="preserve">3808 Miramar Ave
Dallas, TX 75205          </t>
  </si>
  <si>
    <t>Fleiss, Eric</t>
  </si>
  <si>
    <t>Heckler, Alexander
4555 North Bay Rd
Miami Beach, FL 33140</t>
  </si>
  <si>
    <t xml:space="preserve">4555 North Bay Rd
Miami Beach, FL 33140        </t>
  </si>
  <si>
    <t>Heckler, Alexander</t>
  </si>
  <si>
    <t>Huffines, James
4012 Gillon Ave
Dallas, TX 75205</t>
  </si>
  <si>
    <t xml:space="preserve">4012 Gillon Ave
Dallas, TX 75205          </t>
  </si>
  <si>
    <t>Huffines, James</t>
  </si>
  <si>
    <t>James, Derrick
2419 Amber Leaf Court
Cedar Hill, TX 75104</t>
  </si>
  <si>
    <t xml:space="preserve">2419 Amber Leaf Court
Cedar Hill, TX 75104        </t>
  </si>
  <si>
    <t>James, Derrick</t>
  </si>
  <si>
    <t>Matthews, Charles
4235 Bobbitt Dr
Dallas, TX 75229</t>
  </si>
  <si>
    <t xml:space="preserve">4235 Bobbitt Dr
Dallas, TX 75229          </t>
  </si>
  <si>
    <t>Matthews, Charles</t>
  </si>
  <si>
    <t>Walker, Blake
7018 Elmridge Dr
Dallas, TX 75240</t>
  </si>
  <si>
    <t xml:space="preserve">7018 Elmridge Dr
Dallas, TX 75240          </t>
  </si>
  <si>
    <t>Walker, Blake</t>
  </si>
  <si>
    <t>Chandler, Jennifer
7609 Southwestern Blvd
Dallas, TX 75225</t>
  </si>
  <si>
    <t xml:space="preserve">7609 Southwestern Blvd
Dallas, TX 75225          </t>
  </si>
  <si>
    <t>Chandler, Jennifer</t>
  </si>
  <si>
    <t>McBee, Lynn
3925 Stonebridge Dr
Dallas, TX 75204</t>
  </si>
  <si>
    <t xml:space="preserve">3925 Stonebridge Dr
Dallas, TX 75204          </t>
  </si>
  <si>
    <t>McBee, Lynn</t>
  </si>
  <si>
    <t>Genender, Paul
200 Crescent Court
Dallas, TX 75201</t>
  </si>
  <si>
    <t xml:space="preserve">200 Crescent Court
Dallas, TX 75201          </t>
  </si>
  <si>
    <t>Genender, Paul</t>
  </si>
  <si>
    <t>Booker, Sherese
PO Box 210641
Dallas, TX 75211</t>
  </si>
  <si>
    <t xml:space="preserve">
 Box 210641
Dallas, TX 75211          </t>
  </si>
  <si>
    <t>Booker, Sherese</t>
  </si>
  <si>
    <t>McClinton, Marguerite
354 Matlock Road
Mansfield, TX 76063</t>
  </si>
  <si>
    <t xml:space="preserve">354 Matlock Road
Mansfield, TX 76063          </t>
  </si>
  <si>
    <t>McClinton, Marguerite</t>
  </si>
  <si>
    <t>Heiskell, Michael
5601 Bridge Street
Fort Worth, TX 76112</t>
  </si>
  <si>
    <t xml:space="preserve">5601 Bridge Street
Fort Worth, TX 76112         </t>
  </si>
  <si>
    <t>Heiskell, Michael</t>
  </si>
  <si>
    <t>Patterson, Bennie
8850 Fair Oaks Xing
Dallas, TX 75243</t>
  </si>
  <si>
    <t xml:space="preserve">8850 Fair Oaks Xing
Dallas, TX 75243         </t>
  </si>
  <si>
    <t>Patterson, Bennie</t>
  </si>
  <si>
    <t>Lazof, Chenza
2555 North Pearl St
Dallas, TX 75201</t>
  </si>
  <si>
    <t xml:space="preserve">2555 North Pearl St
Dallas, TX 75201         </t>
  </si>
  <si>
    <t>Lazof, Chenza</t>
  </si>
  <si>
    <t>Walne, Joni &amp; Alan
10020 Caribou Trail
Dallas, TX 75238</t>
  </si>
  <si>
    <t xml:space="preserve">joni &amp; Alan
10020 Caribou Trail
Dallas, TX 75238        </t>
  </si>
  <si>
    <t>Walne, Joni &amp; Alan</t>
  </si>
  <si>
    <t>ODwyer, Tom
9615 Airline Road
Dallas, TX 75225</t>
  </si>
  <si>
    <t xml:space="preserve">9615 Airline Road
Dallas, TX 75225          </t>
  </si>
  <si>
    <t>ODwyer, Tom</t>
  </si>
  <si>
    <t>Marshall, E Pierce
6425 Belmead Dr
Dallas, TX 75230</t>
  </si>
  <si>
    <t xml:space="preserve">e Pierce
6425 Belmead Dr
Dallas, TX 75230         </t>
  </si>
  <si>
    <t>Marshall, E Pierce</t>
  </si>
  <si>
    <t>Mitchell, Sarah
7008 Merrilee Ln
Dallas, TX 75214</t>
  </si>
  <si>
    <t xml:space="preserve">7008 Merrilee Ln
Dallas, TX 75214          </t>
  </si>
  <si>
    <t>Mitchell, Sarah</t>
  </si>
  <si>
    <t>Welch, Terrence
4 Ryddington Pl
Dallas, TX 75230</t>
  </si>
  <si>
    <t xml:space="preserve">4 Ryddington Pl
Dallas, TX 75230          </t>
  </si>
  <si>
    <t>Welch, Terrence</t>
  </si>
  <si>
    <t>Steinhart, Ronald
25 Robledo Dr
Dallas, TX 75230</t>
  </si>
  <si>
    <t xml:space="preserve">25 Robledo Dr
Dallas, TX 75230          </t>
  </si>
  <si>
    <t>Steinhart, Ronald</t>
  </si>
  <si>
    <t>Murchison, Robert
10131 Gaywood Road
Dallas, TX 75229</t>
  </si>
  <si>
    <t xml:space="preserve">10131 Gaywood Road
Dallas, TX 75229          </t>
  </si>
  <si>
    <t>Murchison, Robert</t>
  </si>
  <si>
    <t>Jordan, Robert
6515 Northaven Road
Dallas, TX 75230</t>
  </si>
  <si>
    <t xml:space="preserve">6515 Northaven Road
Dallas, TX 75230          </t>
  </si>
  <si>
    <t>Jordan, Robert</t>
  </si>
  <si>
    <t>Gunnin, Mark
6027 Desco Drive
Dallas, TX 75225</t>
  </si>
  <si>
    <t xml:space="preserve">6027 Desco Drive
Dallas, TX 75225          </t>
  </si>
  <si>
    <t>Gunnin, Mark</t>
  </si>
  <si>
    <t>Folsom, Steve
16475 Dallas Parkway
Addison, TX 75001</t>
  </si>
  <si>
    <t xml:space="preserve">16475 Dallas Parkway
Addison, TX 75001          </t>
  </si>
  <si>
    <t>Folsom, Steve</t>
  </si>
  <si>
    <t>Heinbaugh, Chris
1801 Annex Ave
Dallas, TX 75204</t>
  </si>
  <si>
    <t xml:space="preserve">1801 Annex Ave
Dallas, TX 75204          </t>
  </si>
  <si>
    <t>Heinbaugh, Chris</t>
  </si>
  <si>
    <t>Kang, Julia
PO Box 631153
Irving, TX 75063</t>
  </si>
  <si>
    <t xml:space="preserve">
 Box 631153
Irving, TX 75063          </t>
  </si>
  <si>
    <t>Kang, Julia</t>
  </si>
  <si>
    <t>Poss, Mary
6405 Mercedes Ave
Dallas, TX 75214</t>
  </si>
  <si>
    <t xml:space="preserve">6405 Mercedes Ave
Dallas, TX 75214          </t>
  </si>
  <si>
    <t>Poss, Mary</t>
  </si>
  <si>
    <t>Lawry, Aletheia
10462 North Nicklaus Dr
Fountain Hill, AZ 85268</t>
  </si>
  <si>
    <t xml:space="preserve">10462 North Nicklaus Dr
Fountain Hill, AZ 85268        </t>
  </si>
  <si>
    <t>Lawry, Aletheia</t>
  </si>
  <si>
    <t>Lanier, Robert
345 Glen Iris Drive NE
Atlanta, GA 30312</t>
  </si>
  <si>
    <t xml:space="preserve">345 Glen Iris Drive NE
Atlanta, GA 30312        </t>
  </si>
  <si>
    <t>Lanier, Robert</t>
  </si>
  <si>
    <t>Bumpas, Diane
5306 Surrey Circle
Dallas, TX 75209</t>
  </si>
  <si>
    <t xml:space="preserve">5306 Surrey Circle
Dallas, TX 75209          </t>
  </si>
  <si>
    <t>Bumpas, Diane</t>
  </si>
  <si>
    <t>Gruber, Mike
300 Crescent Court
Dallas, TX 75201</t>
  </si>
  <si>
    <t xml:space="preserve">300 Crescent Court
Dallas, TX 75201          </t>
  </si>
  <si>
    <t>Gruber, Mike</t>
  </si>
  <si>
    <t>Higgins, Mary Pat
9216 Heatherdale rive
Dallas, TX 75243</t>
  </si>
  <si>
    <t xml:space="preserve">mary Pat
9216 Heatherdale rive
Dallas, TX 75243         </t>
  </si>
  <si>
    <t>Higgins, Mary Pat</t>
  </si>
  <si>
    <t>Magnis, Ellen
5511 Preston Fairways Dr
Dallas, TX 75252</t>
  </si>
  <si>
    <t xml:space="preserve">5511 Preston Fairways Dr
Dallas, TX 75252         </t>
  </si>
  <si>
    <t>Magnis, Ellen</t>
  </si>
  <si>
    <t>Chaisson, Avis
2828 Woodside Street
Dallas, TX 75204</t>
  </si>
  <si>
    <t xml:space="preserve">2828 Woodside Street
Dallas, TX 75204          </t>
  </si>
  <si>
    <t>Chaisson, Avis</t>
  </si>
  <si>
    <t>Huth, Tom
13455 Noel Rd
Dallas, TX 75240</t>
  </si>
  <si>
    <t xml:space="preserve">13455 Noel Rd
Dallas, TX 75240          </t>
  </si>
  <si>
    <t>Huth, Tom</t>
  </si>
  <si>
    <t>Falvo, Susan
2507 Auburn Ave
Dallas, TX 75214</t>
  </si>
  <si>
    <t xml:space="preserve">2507 Auburn Ave
Dallas, TX 75214          </t>
  </si>
  <si>
    <t>Falvo, Susan</t>
  </si>
  <si>
    <t>Bullock, Sue &amp; Robert
8020 Frankford Road
Dallas, TX 75252</t>
  </si>
  <si>
    <t xml:space="preserve">sue &amp; Robert
8020 Frankford Road
Dallas, TX 75252        </t>
  </si>
  <si>
    <t>Bullock, Sue &amp; Robert</t>
  </si>
  <si>
    <t>Nash-Huntley, Tracey
6607 Orchid Lane
Dallas, TX 75230</t>
  </si>
  <si>
    <t xml:space="preserve">6607 Orchid Lane
Dallas, TX 75230          </t>
  </si>
  <si>
    <t>Nash-Huntley, Tracey</t>
  </si>
  <si>
    <t>Parobek, Jim
7233 Brennans Dr
Dallas, TX 75214</t>
  </si>
  <si>
    <t xml:space="preserve">7233 Brennans Dr
Dallas, TX 75214          </t>
  </si>
  <si>
    <t>Parobek, Jim</t>
  </si>
  <si>
    <t>Margolin, Ann
2828 Hood Street
Dallas, TX 75219</t>
  </si>
  <si>
    <t xml:space="preserve">2828 Hood Street
Dallas, TX 75219          </t>
  </si>
  <si>
    <t>Margolin, Ann</t>
  </si>
  <si>
    <t>Payne, Kendric
8304 Marble Dale Court
Alexandria, VA 22308</t>
  </si>
  <si>
    <t xml:space="preserve">8304 Marble Dale Court
Alexandria, VA 22308         </t>
  </si>
  <si>
    <t>Payne, Kendric</t>
  </si>
  <si>
    <t>Fleiss, Eric
2100 Ross Ave
Dallas, TX 75201</t>
  </si>
  <si>
    <t xml:space="preserve">2100 Ross Ave
Dallas, TX 75201          </t>
  </si>
  <si>
    <t>Petree, Davana
5999 Lindenshire Lane
Dallas, TX 75230</t>
  </si>
  <si>
    <t xml:space="preserve">5999 Lindenshire Lane
Dallas, TX 75230          </t>
  </si>
  <si>
    <t>Petree, Davana</t>
  </si>
  <si>
    <t>Reis, James
4327 Travis Street
Dallas, TX 75205</t>
  </si>
  <si>
    <t>Reis, James</t>
  </si>
  <si>
    <t>Byrne, Tim
2000 McKinney Ave
Dallas, TX 75201</t>
  </si>
  <si>
    <t xml:space="preserve">2000 McKinney Ave
Dallas, TX 75201          </t>
  </si>
  <si>
    <t>Byrne, Tim</t>
  </si>
  <si>
    <t>Headington, Tim
1608 Main Street
Dallas, TX 75201</t>
  </si>
  <si>
    <t xml:space="preserve">1608 Main Street
Dallas, TX 75201          </t>
  </si>
  <si>
    <t>Headington, Tim</t>
  </si>
  <si>
    <t>Hancock, Barry
4514 Travis Street
Dallas, TX 75205</t>
  </si>
  <si>
    <t xml:space="preserve">4514 Travis Street
Dallas, TX 75205          </t>
  </si>
  <si>
    <t>Hancock, Barry</t>
  </si>
  <si>
    <t>Hunt, Angela
8811 Antrim Drive
Dallas, TX 75218</t>
  </si>
  <si>
    <t xml:space="preserve">8811 Antrim Drive
Dallas, TX 75218          </t>
  </si>
  <si>
    <t>Hunt, Angela</t>
  </si>
  <si>
    <t>Panipinto, Jim
6146 Lupton Drive
Dallas, TX 75225</t>
  </si>
  <si>
    <t xml:space="preserve">6146 Lupton Drive
Dallas, TX 75225          </t>
  </si>
  <si>
    <t>Panipinto, Jim</t>
  </si>
  <si>
    <t>Howell, Kristen
3408 Purdue
Dallas, TX 75225</t>
  </si>
  <si>
    <t xml:space="preserve">3408 Purdue
Dallas, TX 75225           </t>
  </si>
  <si>
    <t>Howell, Kristen</t>
  </si>
  <si>
    <t>Perkins, Mark
8911 Guernsey Ln
Dallas, TX 75220</t>
  </si>
  <si>
    <t xml:space="preserve">8911 Guernsey Ln
Dallas, TX 75220          </t>
  </si>
  <si>
    <t>Perkins, Mark</t>
  </si>
  <si>
    <t>Crumpecker, Brad
4630 Gulfstream Drive
Dallas, TX 75244</t>
  </si>
  <si>
    <t xml:space="preserve">4630 Gulfstream Drive
Dallas, TX 75244          </t>
  </si>
  <si>
    <t>Crumpecker, Brad</t>
  </si>
  <si>
    <t>Cowger, Walter
6414 Mimosa Ln.
Dallas, TX 75230</t>
  </si>
  <si>
    <t xml:space="preserve">6414 Mimosa Ln.
Dallas, TX 75230          </t>
  </si>
  <si>
    <t>Cowger, Walter</t>
  </si>
  <si>
    <t>Frank, Jerome
6310 Lemmon Ave
Dallas, TX 75209</t>
  </si>
  <si>
    <t>Frank, Jerome</t>
  </si>
  <si>
    <t>Music, Josh and Jodi
4526 Forest Bend Road
Dallas, TX 75244</t>
  </si>
  <si>
    <t xml:space="preserve">josh and Jodi
4526 Forest Bend Road
Dallas, TX 75244       </t>
  </si>
  <si>
    <t>Music, Josh and Jodi</t>
  </si>
  <si>
    <t>Lunceford, Kay
4411 Williamsburg Road
Dallas, TX 75220</t>
  </si>
  <si>
    <t xml:space="preserve">4411 Williamsburg Road
Dallas, TX 75220          </t>
  </si>
  <si>
    <t>Lunceford, Kay</t>
  </si>
  <si>
    <t>Henry, Rue
4803 Shadywood Lane
Dallas, TX 75209</t>
  </si>
  <si>
    <t xml:space="preserve">4803 Shadywood Lane
Dallas, TX 75209          </t>
  </si>
  <si>
    <t>Henry, Rue</t>
  </si>
  <si>
    <t>Murchison, Suellen
6346 Northwood Rd.
Dallas, TX 75225</t>
  </si>
  <si>
    <t xml:space="preserve">6346 Northwood Rd.
Dallas, TX 75225          </t>
  </si>
  <si>
    <t>Murchison, Suellen</t>
  </si>
  <si>
    <t>Henry, Clayton
9322 Moss Trail
Dallas, TX 75231</t>
  </si>
  <si>
    <t xml:space="preserve">9322 Moss Trail
Dallas, TX 75231          </t>
  </si>
  <si>
    <t>Henry, Clayton</t>
  </si>
  <si>
    <t>Minic, Bo
9322 Summer Creek Circle
Dallas, TX 75231</t>
  </si>
  <si>
    <t xml:space="preserve">9322 Summer Creek Circle
Dallas, TX 75231         </t>
  </si>
  <si>
    <t>Minic, Bo</t>
  </si>
  <si>
    <t>Smith, Ray A.
12395 Crestline Avenue
Dallas, TX 75244</t>
  </si>
  <si>
    <t xml:space="preserve">ray A.
12395 Crestline Avenue
Dallas, TX 75244         </t>
  </si>
  <si>
    <t>Smith, Ray A.</t>
  </si>
  <si>
    <t>Worsham, Raguet
5453 Surrey Circle
Dallas, TX 75209</t>
  </si>
  <si>
    <t xml:space="preserve">5453 Surrey Circle
Dallas, TX 75209          </t>
  </si>
  <si>
    <t>Worsham, Raguet</t>
  </si>
  <si>
    <t>Note:
The table to the right shows the total contributions made to each candidate per last name.</t>
  </si>
  <si>
    <t>Gonzales, Pete
10755 Morning Glory Drive
Dallas, TX 75229</t>
  </si>
  <si>
    <t xml:space="preserve">10755 Morning Glory Drive
Dallas, TX 75229         </t>
  </si>
  <si>
    <t>Gonzales, Pete</t>
  </si>
  <si>
    <t>Perdue, Rick
7712 Southwestern Blvd.
Dallas, TX 75225</t>
  </si>
  <si>
    <t xml:space="preserve">7712 Southwestern Blvd.
Dallas, TX 75225          </t>
  </si>
  <si>
    <t>Perdue, Rick</t>
  </si>
  <si>
    <t>Reisenbichler, Lori
5505 Montrose Dr
Dallas, TX 75209</t>
  </si>
  <si>
    <t xml:space="preserve">5505 Montrose Dr
Dallas, TX 75209          </t>
  </si>
  <si>
    <t>Reisenbichler, Lori</t>
  </si>
  <si>
    <t>Corman, Annette
8240 Manderville Lane
Dallas, TX 75231</t>
  </si>
  <si>
    <t xml:space="preserve">8240 Manderville Lane
Dallas, TX 75231          </t>
  </si>
  <si>
    <t>Corman, Annette</t>
  </si>
  <si>
    <t>Davis, Macey
8322 Ridgelea Street
Dallas, TX 75209</t>
  </si>
  <si>
    <t xml:space="preserve">8322 Ridgelea Street
Dallas, TX 75209          </t>
  </si>
  <si>
    <t>Davis, Macey</t>
  </si>
  <si>
    <t>Name, Kara
3511 Timberview Rd
Dallas, TX 75229</t>
  </si>
  <si>
    <t xml:space="preserve">3511 Timberview Rd
Dallas, TX 75229          </t>
  </si>
  <si>
    <t>Name, Kara</t>
  </si>
  <si>
    <t>Horwitz, Sandy
6155 Bandera Av
Dallas, TX 75225</t>
  </si>
  <si>
    <t xml:space="preserve">6155 Bandera Av
Dallas, TX 75225          </t>
  </si>
  <si>
    <t>Horwitz, Sandy</t>
  </si>
  <si>
    <t>Edmondson, Mark
12523 12523 Matisse Lane
Dallas, TX 75230</t>
  </si>
  <si>
    <t xml:space="preserve">12523 12523 Matisse Lane
Dallas, TX 75230         </t>
  </si>
  <si>
    <t>Edmondson, Mark</t>
  </si>
  <si>
    <t>Nugent, Deborah &amp; Jim
4717 Mill Run Road
Dallas, TX 75244</t>
  </si>
  <si>
    <t xml:space="preserve">deborah &amp; Jim
4717 Mill Run Road
Dallas, TX 75244       </t>
  </si>
  <si>
    <t>Nugent, Deborah &amp; Jim</t>
  </si>
  <si>
    <t>Harding, Anne
3031 Timberview Rd
Dallas, TX 75229</t>
  </si>
  <si>
    <t xml:space="preserve">3031 Timberview Rd
Dallas, TX 75229          </t>
  </si>
  <si>
    <t>Harding, Anne</t>
  </si>
  <si>
    <t>Spalding, Dawn
25 Highland Park Village
Dallas, TX 75205</t>
  </si>
  <si>
    <t xml:space="preserve">25 Highland Park Village
Dallas, TX 75205         </t>
  </si>
  <si>
    <t>Spalding, Dawn</t>
  </si>
  <si>
    <t>Hunt, Amy
10615 Royal Club Ln
Dallas, TX 75229</t>
  </si>
  <si>
    <t xml:space="preserve">10615 Royal Club Ln
Dallas, TX 75229         </t>
  </si>
  <si>
    <t>Hunt, Amy</t>
  </si>
  <si>
    <t>Murchison, Maggie
10131 Gaywood Rd.
Dallas, TX 75229</t>
  </si>
  <si>
    <t xml:space="preserve">10131 Gaywood Rd.
Dallas, TX 75229          </t>
  </si>
  <si>
    <t>Murchison, Maggie</t>
  </si>
  <si>
    <t>Huntington, Ann
5020 Lilac Lane
Dallas, TX 75209</t>
  </si>
  <si>
    <t xml:space="preserve">5020 Lilac Lane
Dallas, TX 75209          </t>
  </si>
  <si>
    <t>Huntington, Ann</t>
  </si>
  <si>
    <t>Hazelton, John
4829 Melissa Lane
Dallas, TX 75229</t>
  </si>
  <si>
    <t xml:space="preserve">4829 Melissa Lane
Dallas, TX 75229          </t>
  </si>
  <si>
    <t>Hazelton, John</t>
  </si>
  <si>
    <t>Trimble, Robert
8333 Douglas Ave Ste 1350
Dallas, TX 75225</t>
  </si>
  <si>
    <t xml:space="preserve">8333 Douglas Ave Ste 1350
Dallas, TX 75225        </t>
  </si>
  <si>
    <t>Trimble, Robert</t>
  </si>
  <si>
    <t>Dunlap, John
6123 Lupton Drive
Dallas, TX 75225</t>
  </si>
  <si>
    <t xml:space="preserve">6123 Lupton Drive
Dallas, TX 75225          </t>
  </si>
  <si>
    <t>Dunlap, John</t>
  </si>
  <si>
    <t>Noyes, Bob
10647 Royal Springs Drive
Dallas, TX 75229</t>
  </si>
  <si>
    <t xml:space="preserve">10647 Royal Springs Drive
Dallas, TX 75229         </t>
  </si>
  <si>
    <t>Noyes, Bob</t>
  </si>
  <si>
    <t>Losinger, Sarah
4506 Park Lane
Dallas, TX 75220</t>
  </si>
  <si>
    <t xml:space="preserve">4506 Park Lane
Dallas, TX 75220          </t>
  </si>
  <si>
    <t>Losinger, Sarah</t>
  </si>
  <si>
    <t>Glaser, Marnie
5635 Southwestern Blvd
Dallas, TX 75209</t>
  </si>
  <si>
    <t xml:space="preserve">5635 Southwestern Blvd
Dallas, TX 75209          </t>
  </si>
  <si>
    <t>Glaser, Marnie</t>
  </si>
  <si>
    <t>Sutton, Deborah
7256 Ashington Drive
Dallas, TX 75225</t>
  </si>
  <si>
    <t xml:space="preserve">7256 Ashington Drive
Dallas, TX 75225          </t>
  </si>
  <si>
    <t>Sutton, Deborah</t>
  </si>
  <si>
    <t>Jones, Joanne
5337 Livingston Ave
Dallas, TX 75209</t>
  </si>
  <si>
    <t xml:space="preserve">5337 Livingston Ave
Dallas, TX 75209          </t>
  </si>
  <si>
    <t>Jones, Joanne</t>
  </si>
  <si>
    <t>Hopkins, Shelton
4707 Crooked Lane
Dallas, TX 75229</t>
  </si>
  <si>
    <t xml:space="preserve">4707 Crooked Lane
Dallas, TX 75229          </t>
  </si>
  <si>
    <t>Hopkins, Shelton</t>
  </si>
  <si>
    <t>Minic, Bo/
6152 Summer Creek Circle
Dallas, TX 75231</t>
  </si>
  <si>
    <t xml:space="preserve">/
6152 Summer Creek Circle
Dallas, TX 75231         </t>
  </si>
  <si>
    <t>Minic, Bo/</t>
  </si>
  <si>
    <t>Bonfield, Heather
3320 Walchard Court
Dallas, TX 75229</t>
  </si>
  <si>
    <t xml:space="preserve">3320 Walchard Court
Dallas, TX 75229          </t>
  </si>
  <si>
    <t>Bonfield, Heather</t>
  </si>
  <si>
    <t>Gagne, Michael
1455 Oates Drive
Dallas, TX 75228</t>
  </si>
  <si>
    <t xml:space="preserve">1455 Oates Drive
Dallas, TX 75228          </t>
  </si>
  <si>
    <t>Gagne, Michael</t>
  </si>
  <si>
    <t>Chambers, Thomas
2030 Irving Blvd
Dallas, TX 75207</t>
  </si>
  <si>
    <t xml:space="preserve">2030 Irving Blvd
Dallas, TX 75207          </t>
  </si>
  <si>
    <t>Chambers, Thomas</t>
  </si>
  <si>
    <t>Hunt, Ray
1900 N. Akard St
Dallas, TX 75201</t>
  </si>
  <si>
    <t>Glenn, Paxon
4708 W. Hanover
Dallas, TX 75209</t>
  </si>
  <si>
    <t xml:space="preserve">4708 W. Hanover
Dallas, TX 75209          </t>
  </si>
  <si>
    <t>Glenn, Paxon</t>
  </si>
  <si>
    <t>Levonyak, Mark
3904 Fairlakes Drive
Dallas, TX 75226</t>
  </si>
  <si>
    <t xml:space="preserve">3904 Fairlakes Drive
Dallas, TX 75226          </t>
  </si>
  <si>
    <t>Levonyak, Mark</t>
  </si>
  <si>
    <t>Wetsel, Kenneth
4016 Fairlakes Dr
Dallas, TX 75228</t>
  </si>
  <si>
    <t xml:space="preserve">4016 Fairlakes Dr
Dallas, TX 75228          </t>
  </si>
  <si>
    <t>Wetsel, Kenneth</t>
  </si>
  <si>
    <t>Jouvenat, James
3902 Fairlakes Dr
Dallas, TX 75228</t>
  </si>
  <si>
    <t xml:space="preserve">3902 Fairlakes Dr
Dallas, TX 75228          </t>
  </si>
  <si>
    <t>Jouvenat, James</t>
  </si>
  <si>
    <t>Gatlin, Paige
PO Box 670865
Dallas, TX 75367</t>
  </si>
  <si>
    <t xml:space="preserve">
 Box 670865
Dallas, TX 75367          </t>
  </si>
  <si>
    <t>Gatlin, Paige</t>
  </si>
  <si>
    <t>Schenkel, Pete
614 Bishop
Dallas, TX 75208</t>
  </si>
  <si>
    <t xml:space="preserve">614 Bishop
Dallas, TX 75208           </t>
  </si>
  <si>
    <t>Schenkel, Pete</t>
  </si>
  <si>
    <t>Martin, VJ
8230 Claremont Drive
Dallas, TX 75228</t>
  </si>
  <si>
    <t xml:space="preserve">8230 Claremont Drive
Dallas, TX 75228          </t>
  </si>
  <si>
    <t>Martin, VJ</t>
  </si>
  <si>
    <t>Schenkel, Austin
3317 Purdue
Dallas, TX 75226</t>
  </si>
  <si>
    <t xml:space="preserve">3317 Purdue
Dallas, TX 75226           </t>
  </si>
  <si>
    <t>Schenkel, Austin</t>
  </si>
  <si>
    <t>Owen, Linda
5645 Caruth
Dallas, TX 75209</t>
  </si>
  <si>
    <t xml:space="preserve">5645 Caruth
Dallas, TX 75209           </t>
  </si>
  <si>
    <t>Owen, Linda</t>
  </si>
  <si>
    <t>Northwest Drive Inns Inc
8522 Garland Rd
Dallas, TX 75218</t>
  </si>
  <si>
    <t xml:space="preserve">drive Inns Inc
8522 Garland Rd
Dallas, TX 75218        </t>
  </si>
  <si>
    <t>Northwest Drive Inns Inc</t>
  </si>
  <si>
    <t>Ellerman, Jeff
4012 Miramar Ave
Dallas, TX 75205</t>
  </si>
  <si>
    <t xml:space="preserve">4012 Miramar Ave
Dallas, TX 75205          </t>
  </si>
  <si>
    <t>Ellerman, Jeff</t>
  </si>
  <si>
    <t>Dale, Larry
6019 St. Andrews
Dallas, TX 75205</t>
  </si>
  <si>
    <t xml:space="preserve">6019 St. Andrews
Dallas, TX 75205          </t>
  </si>
  <si>
    <t>Dale, Larry</t>
  </si>
  <si>
    <t>Mihalopolous, Frank
4633 N. Central Exprwy
Dallas, TX 75205</t>
  </si>
  <si>
    <t xml:space="preserve">4633 N. Central Exprwy
Dallas, TX 75205         </t>
  </si>
  <si>
    <t>Mihalopolous, Frank</t>
  </si>
  <si>
    <t>Crow, Patrick
4818 N. Lindhurst Ave
Dallas, TX 75229</t>
  </si>
  <si>
    <t xml:space="preserve">4818 N. Lindhurst Ave
Dallas, TX 75229         </t>
  </si>
  <si>
    <t>Forsyth Lill, Velletta
622 Blair Blvd.
Dallas, TX 75223</t>
  </si>
  <si>
    <t xml:space="preserve">, Velletta
622 Blair Blvd.
Dallas, TX 75223         </t>
  </si>
  <si>
    <t>Forsyth Lill, Velletta</t>
  </si>
  <si>
    <t>Fulton, Duncan
6629 Golf Dr
Dallas, TX 75205</t>
  </si>
  <si>
    <t xml:space="preserve">6629 Golf Dr
Dallas, TX 75205          </t>
  </si>
  <si>
    <t>Fulton, Duncan</t>
  </si>
  <si>
    <t>Tarpley, Gloria
8378 Forest Hills Blvd.
Dallas, TX 75218</t>
  </si>
  <si>
    <t xml:space="preserve">8378 Forest Hills Blvd.
Dallas, TX 75218         </t>
  </si>
  <si>
    <t>Tarpley, Gloria</t>
  </si>
  <si>
    <t>Chase, Scott
1700 Pacific
Dallas, TX 75201</t>
  </si>
  <si>
    <t xml:space="preserve">1700 Pacific
Dallas, TX 75201           </t>
  </si>
  <si>
    <t>Chase, Scott</t>
  </si>
  <si>
    <t>Ellis, Tom
6872 burwood Lane
Dallas, TX 75214</t>
  </si>
  <si>
    <t xml:space="preserve">6872 burwood Lane
Dallas, TX 75214          </t>
  </si>
  <si>
    <t>Ellis, Tom</t>
  </si>
  <si>
    <t>GERBER, PAM
4435 HOLLAND AVE
DALLAS, TX 75219</t>
  </si>
  <si>
    <t xml:space="preserve">4435 HOLLAND AVE
DALLAS, TX 75219          </t>
  </si>
  <si>
    <t>GERBER, PAM</t>
  </si>
  <si>
    <t>Jackson, Lee
6011 Desco Dr
Dallas, TX 75225</t>
  </si>
  <si>
    <t xml:space="preserve">6011 Desco Dr
Dallas, TX 75225          </t>
  </si>
  <si>
    <t>Jackson, Lee</t>
  </si>
  <si>
    <t>Offutt, Larry
6038 Bryan Pkwy
Dallas, TX 75206</t>
  </si>
  <si>
    <t xml:space="preserve">6038 Bryan Pkwy
Dallas, TX 75206          </t>
  </si>
  <si>
    <t>Offutt, Larry</t>
  </si>
  <si>
    <t>Stern, Andy
5916 Club Oaks Dr
Dallas, TX 75248</t>
  </si>
  <si>
    <t xml:space="preserve">5916 Club Oaks Dr
Dallas, TX 75248         </t>
  </si>
  <si>
    <t>Stern, Andy</t>
  </si>
  <si>
    <t>Mason, George
6821 Carolyncrest
Dallas, TX 75214</t>
  </si>
  <si>
    <t xml:space="preserve">6821 Carolyncrest
Dallas, TX 75214           </t>
  </si>
  <si>
    <t>Mason, George</t>
  </si>
  <si>
    <t>Steinhart, Ronald
25 Robledo Dr.
Dallas, TX 75230</t>
  </si>
  <si>
    <t xml:space="preserve">25 Robledo Dr.
Dallas, TX 75230          </t>
  </si>
  <si>
    <t>Borruf, Darren
6445 Lake Circle Dr.
Dallas, TX 75214</t>
  </si>
  <si>
    <t xml:space="preserve">6445 Lake Circle Dr.
Dallas, TX 75214         </t>
  </si>
  <si>
    <t>Borruf, Darren</t>
  </si>
  <si>
    <t>Stansbury, Sandy
6278 Martel Dr
Dallas, TX 75214</t>
  </si>
  <si>
    <t xml:space="preserve">6278 Martel Dr
Dallas, TX 75214          </t>
  </si>
  <si>
    <t>Stansbury, Sandy</t>
  </si>
  <si>
    <t>Gole, Kristi
6726 Williamson Rd.
Dallas, TX 75214</t>
  </si>
  <si>
    <t xml:space="preserve">6726 Williamson Rd.
Dallas, TX 75214          </t>
  </si>
  <si>
    <t>Gole, Kristi</t>
  </si>
  <si>
    <t>Henry, Barry
1717 Arts Plaza
Dallas, TX 75201</t>
  </si>
  <si>
    <t xml:space="preserve">1717 Arts Plaza
Dallas, TX 75201          </t>
  </si>
  <si>
    <t>Henry, Barry</t>
  </si>
  <si>
    <t>Warner, Michael
4727 Arvilla
Houston, TX 77021</t>
  </si>
  <si>
    <t xml:space="preserve">4727 Arvilla
Houston, TX 77021           </t>
  </si>
  <si>
    <t>Warner, Michael</t>
  </si>
  <si>
    <t>Russo, Garth
8543 ALta Mira Dr
Dallas, TX 75218</t>
  </si>
  <si>
    <t xml:space="preserve">8543 ALta Mira Dr
Dallas, TX 75218         </t>
  </si>
  <si>
    <t>Russo, Garth</t>
  </si>
  <si>
    <t>Shapiro, Mary Beth
6656 Lakewood Blvd
Dallas, TX 75214</t>
  </si>
  <si>
    <t xml:space="preserve">mary Beth
6656 Lakewood Blvd
Dallas, TX 75214         </t>
  </si>
  <si>
    <t>Shapiro, Mary Beth</t>
  </si>
  <si>
    <t>Williams, Keith
6615 Lange Circle
Dallas, TX 75214</t>
  </si>
  <si>
    <t xml:space="preserve">6615 Lange Circle
Dallas, TX 75214          </t>
  </si>
  <si>
    <t>Williams, Keith</t>
  </si>
  <si>
    <t>Conner, Terry
7110 Lakewood Blvd
Dallas, TX 75214</t>
  </si>
  <si>
    <t xml:space="preserve">7110 Lakewood Blvd
Dallas, TX 75214          </t>
  </si>
  <si>
    <t>Conner, Terry</t>
  </si>
  <si>
    <t>Howard, Todd
9623 Athelone
Dallas, TX 75218</t>
  </si>
  <si>
    <t xml:space="preserve">9623 Athelone
Dallas, TX 75218           </t>
  </si>
  <si>
    <t>Howard, Todd</t>
  </si>
  <si>
    <t>Karol, Jennifer
5370 Medors Lane
Dallas, TX 75229</t>
  </si>
  <si>
    <t xml:space="preserve">5370 Medors Lane
Dallas, TX 75229          </t>
  </si>
  <si>
    <t>Karol, Jennifer</t>
  </si>
  <si>
    <t>Key, Ben
7100 Bennington Dr
Dallas, TX 75214</t>
  </si>
  <si>
    <t xml:space="preserve">7100 Bennington Dr
Dallas, TX 75214          </t>
  </si>
  <si>
    <t>Key, Ben</t>
  </si>
  <si>
    <t>Offut, Larry
6038 Bryan Pkwy
Dallas, TX 75206</t>
  </si>
  <si>
    <t>Offut, Larry</t>
  </si>
  <si>
    <t>Smith, Suzanne
3210 Carlisle
Dallas, TX 75204</t>
  </si>
  <si>
    <t xml:space="preserve">3210 Carlisle
Dallas, TX 75204           </t>
  </si>
  <si>
    <t>Smith, Suzanne</t>
  </si>
  <si>
    <t>Syler, Terry
6661 Lakewood Blvd
Dallas, TX 75214</t>
  </si>
  <si>
    <t xml:space="preserve">6661 Lakewood Blvd
Dallas, TX 75214          </t>
  </si>
  <si>
    <t>Syler, Terry</t>
  </si>
  <si>
    <t>Vallot, Collette
4333 Gilbert Ave
Dallas, TX 75219</t>
  </si>
  <si>
    <t xml:space="preserve">4333 Gilbert Ave
Dallas, TX 75219          </t>
  </si>
  <si>
    <t>Vallot, Collette</t>
  </si>
  <si>
    <t>Greef, Holly
6665 Lakewood Blvd.
Dallas, TX 75214</t>
  </si>
  <si>
    <t xml:space="preserve">6665 Lakewood Blvd.
Dallas, TX 75214          </t>
  </si>
  <si>
    <t>Greef, Holly</t>
  </si>
  <si>
    <t>Greef, Holly
6665 Lakewood Blvd
Dallas, TX 75214</t>
  </si>
  <si>
    <t xml:space="preserve">6665 Lakewood Blvd
Dallas, TX 75214          </t>
  </si>
  <si>
    <t>Schossler, Rodney
6336 Tulip
Dallas, TX 75230</t>
  </si>
  <si>
    <t xml:space="preserve">6336 Tulip
Dallas, TX 75230           </t>
  </si>
  <si>
    <t>Schossler, Rodney</t>
  </si>
  <si>
    <t>Wendel, Diane
6913 Lakewood Blvd
Dallas, TX 75214</t>
  </si>
  <si>
    <t xml:space="preserve">6913 Lakewood Blvd
Dallas, TX 75214          </t>
  </si>
  <si>
    <t>Wendel, Diane</t>
  </si>
  <si>
    <t>Davis, Macey
8322 Ridgelea St.
Dallas, TX 75209</t>
  </si>
  <si>
    <t xml:space="preserve">8322 Ridgelea St.
Dallas, TX 75209          </t>
  </si>
  <si>
    <t>Treadway, Brandy
7520 Yamani
Dallas, TX 75230</t>
  </si>
  <si>
    <t xml:space="preserve">7520 Yamani
Dallas, TX 75230           </t>
  </si>
  <si>
    <t>Treadway, Brandy</t>
  </si>
  <si>
    <t>Rybczyk, Madelyn
1507 Tranquilla Dr
Dallas, TX 75218</t>
  </si>
  <si>
    <t xml:space="preserve">1507 Tranquilla Dr
Dallas, TX 75218          </t>
  </si>
  <si>
    <t>Rybczyk, Madelyn</t>
  </si>
  <si>
    <t>Owen, Jennifer
6541 Arborist
Dallas, TX 75214</t>
  </si>
  <si>
    <t xml:space="preserve">6541 Arborist
Dallas, TX 75214           </t>
  </si>
  <si>
    <t>Owen, Jennifer</t>
  </si>
  <si>
    <t>Faz, Isaac
101 N. Clinton Ave
Dallas, TX 75208</t>
  </si>
  <si>
    <t xml:space="preserve">101 N. Clinton Ave
Dallas, TX 75208         </t>
  </si>
  <si>
    <t>Faz, Isaac</t>
  </si>
  <si>
    <t>Forsyth Lill, Veletta
622 Blair Blvd
Dallas, TX 75223</t>
  </si>
  <si>
    <t xml:space="preserve">, Veletta
622 Blair Blvd
Dallas, TX 75223         </t>
  </si>
  <si>
    <t>Forsyth Lill, Veletta</t>
  </si>
  <si>
    <t>Gates, Jennifer
4914 Keyhole Lane
Dallas, TX 75229</t>
  </si>
  <si>
    <t xml:space="preserve">4914 Keyhole Lane
Dallas, TX 75229          </t>
  </si>
  <si>
    <t>Hardtner, Karen
415 Janie Lane
Shreveport, LA 71106</t>
  </si>
  <si>
    <t xml:space="preserve">415 Janie Lane
Shreveport, LA 71106          </t>
  </si>
  <si>
    <t>Hardtner, Karen</t>
  </si>
  <si>
    <t>Hoseterey, Jennifer
1409 Bella Vista
Dallas, TX 75218</t>
  </si>
  <si>
    <t xml:space="preserve">1409 Bella Vista
Dallas, TX 75218          </t>
  </si>
  <si>
    <t>Hoseterey, Jennifer</t>
  </si>
  <si>
    <t>Hong, Sunhee
4315 Melissa Ln
Dallas, TX 75229</t>
  </si>
  <si>
    <t xml:space="preserve">4315 Melissa Ln
Dallas, TX 75229          </t>
  </si>
  <si>
    <t>Hong, Sunhee</t>
  </si>
  <si>
    <t>Irvin, Kathleen
6620 Ridgemont Dr
Dallas, TX 75214</t>
  </si>
  <si>
    <t xml:space="preserve">6620 Ridgemont Dr
Dallas, TX 75214          </t>
  </si>
  <si>
    <t>Irvin, Kathleen</t>
  </si>
  <si>
    <t>Kirby, Deborah
7027 Merilee Ln
Dallas, TX 75214</t>
  </si>
  <si>
    <t xml:space="preserve">7027 Merilee Ln
Dallas, TX 75214          </t>
  </si>
  <si>
    <t>Kirby, Deborah</t>
  </si>
  <si>
    <t>Oakley, Ed
3824 Cedar Springs
Dallas, TX 75219</t>
  </si>
  <si>
    <t xml:space="preserve">3824 Cedar Springs
Dallas, TX 75219          </t>
  </si>
  <si>
    <t>Oakley, Ed</t>
  </si>
  <si>
    <t>Tarpley, Gloria
8378 Forest Hills
Dallas, TX 75218</t>
  </si>
  <si>
    <t xml:space="preserve">8378 Forest Hills
Dallas, TX 75218          </t>
  </si>
  <si>
    <t>Ehrhardt, Harryette
3525 Turtle Creek
Dallas, TX 75219</t>
  </si>
  <si>
    <t xml:space="preserve">3525 Turtle Creek
Dallas, TX 75219          </t>
  </si>
  <si>
    <t>Ehrhardt, Harryette</t>
  </si>
  <si>
    <t>Miller, Shirley
5701 Trail Meadow Dr.
Dallas, TX 75230</t>
  </si>
  <si>
    <t xml:space="preserve">5701 Trail Meadow Dr.
Dallas, TX 75230         </t>
  </si>
  <si>
    <t>Miller, Shirley</t>
  </si>
  <si>
    <t>Ramos, Steven
6711 Dalhart
Dallas, TX 75214</t>
  </si>
  <si>
    <t xml:space="preserve">6711 Dalhart
Dallas, TX 75214           </t>
  </si>
  <si>
    <t>Ramos, Steven</t>
  </si>
  <si>
    <t>Saucedo, Felix
6729 Santa Maria Ln
Dallas, TX 75214</t>
  </si>
  <si>
    <t xml:space="preserve">6729 Santa Maria Ln
Dallas, TX 75214         </t>
  </si>
  <si>
    <t>Saucedo, Felix</t>
  </si>
  <si>
    <t>Johnson, Willis
1001 Belleview
Dallas, TX 75210</t>
  </si>
  <si>
    <t xml:space="preserve">1001 Belleview
Dallas, TX 75210           </t>
  </si>
  <si>
    <t>Johnson, Willis</t>
  </si>
  <si>
    <t>McBee, Lynn
1722 Routh St
Dallas, TX 75204</t>
  </si>
  <si>
    <t xml:space="preserve">1722 Routh St
Dallas, TX 75204          </t>
  </si>
  <si>
    <t>Vandiver, Carol
6705 Bob O Link
Dallas, TX 75214</t>
  </si>
  <si>
    <t xml:space="preserve">6705 Bob O Link
Dallas, TX 75214         </t>
  </si>
  <si>
    <t>Vandiver, Carol</t>
  </si>
  <si>
    <t>Ellis, Tom
6872 Burwood
Dallas, TX 75214</t>
  </si>
  <si>
    <t xml:space="preserve">6872 Burwood
Dallas, TX 75214           </t>
  </si>
  <si>
    <t>Forester, Jay
6465 Ravendale
Dallas, TX 75214</t>
  </si>
  <si>
    <t xml:space="preserve">6465 Ravendale
Dallas, TX 75214           </t>
  </si>
  <si>
    <t>Forester, Jay</t>
  </si>
  <si>
    <t>Newton, Karen
10415 Fern St
Dallas, TX 75228</t>
  </si>
  <si>
    <t xml:space="preserve">10415 Fern St
Dallas, TX 75228          </t>
  </si>
  <si>
    <t>Newton, Karen</t>
  </si>
  <si>
    <t>Pearce, Jennifer
5826 Mercedes
Dallas, TX 75206</t>
  </si>
  <si>
    <t xml:space="preserve">5826 Mercedes
Dallas, TX 75206           </t>
  </si>
  <si>
    <t>Pearce, Jennifer</t>
  </si>
  <si>
    <t>Shadid, Tony
6208 Copperhill Dr
Dallas, TX 75248</t>
  </si>
  <si>
    <t>Shadid, Tony</t>
  </si>
  <si>
    <t>Suhm, Mary
12703 Nutty Brown Rd
Austin, TX 78737</t>
  </si>
  <si>
    <t xml:space="preserve">12703 Nutty Brown Rd
Austin, TX 78737         </t>
  </si>
  <si>
    <t>Suhm, Mary</t>
  </si>
  <si>
    <t>Corcoran, Anna
7140 Westlake
Dallas, TX 75214</t>
  </si>
  <si>
    <t xml:space="preserve">7140 Westlake
Dallas, TX 75214           </t>
  </si>
  <si>
    <t>Corcoran, Anna</t>
  </si>
  <si>
    <t>Hoffman, Alan
7324 Gaston
Dallas, TX 75214</t>
  </si>
  <si>
    <t xml:space="preserve">7324 Gaston
Dallas, TX 75214           </t>
  </si>
  <si>
    <t>Hoffman, Alan</t>
  </si>
  <si>
    <t>Hoffman, Pamela
9010 Groveland Dr
Dallas, TX 75218</t>
  </si>
  <si>
    <t xml:space="preserve">9010 Groveland Dr
Dallas, TX 75218          </t>
  </si>
  <si>
    <t>Hoffman, Pamela</t>
  </si>
  <si>
    <t>Reed, Holly
7123 LaVista Dr.
Dallas, TX 75214</t>
  </si>
  <si>
    <t xml:space="preserve">7123 LaVista Dr.
Dallas, TX 75214          </t>
  </si>
  <si>
    <t>Reed, Holly</t>
  </si>
  <si>
    <t>Maggard, Lauren
6601 Lake Circle Dr.
Dallas, TX 75214</t>
  </si>
  <si>
    <t xml:space="preserve">6601 Lake Circle Dr.
Dallas, TX 75214         </t>
  </si>
  <si>
    <t>Maggard, Lauren</t>
  </si>
  <si>
    <t>Gonzalez, Alex
16226 Amberwood Rd
Dallas, TX 75248</t>
  </si>
  <si>
    <t xml:space="preserve">16226 Amberwood Rd
Dallas, TX 75248          </t>
  </si>
  <si>
    <t>Gonzalez, Alex</t>
  </si>
  <si>
    <t>Weaver, Sylvia
6920 Clemson Dr
Dallas, TX 75214</t>
  </si>
  <si>
    <t xml:space="preserve">6920 Clemson Dr
Dallas, TX 75214          </t>
  </si>
  <si>
    <t>Weaver, Sylvia</t>
  </si>
  <si>
    <t>Wallace, Chris
4235 Castle Rock Ct.
IRVING, TX 75038</t>
  </si>
  <si>
    <t xml:space="preserve">4235 Castle Rock Ct.
IRVING, TX 75038         </t>
  </si>
  <si>
    <t>Wallace, Chris</t>
  </si>
  <si>
    <t>Linebarger, Goggan, Blair &amp; Simpson
PO Box 17426
Austin, TX 78760</t>
  </si>
  <si>
    <t xml:space="preserve">, Blair &amp; Simpson
PO Box 17426
Austin, TX 78760       </t>
  </si>
  <si>
    <t>Linebarger, Goggan, Blair &amp; Simpson</t>
  </si>
  <si>
    <t>Fergason, Jane
4130 Santa Barbara Dr.
Dallas, TX 75214</t>
  </si>
  <si>
    <t xml:space="preserve">4130 Santa Barbara Dr.
Dallas, TX 75214         </t>
  </si>
  <si>
    <t>Fergason, Jane</t>
  </si>
  <si>
    <t>Grantham, Jennifer
4101 Commerce St.
Dallas, TX 75226</t>
  </si>
  <si>
    <t xml:space="preserve">4101 Commerce St.
Dallas, TX 75226          </t>
  </si>
  <si>
    <t>Grantham, Jennifer</t>
  </si>
  <si>
    <t>Hoffland, Scott
7278 Williamson Cir
Dallas, TX 75214</t>
  </si>
  <si>
    <t xml:space="preserve">7278 Williamson Cir
Dallas, TX 75214          </t>
  </si>
  <si>
    <t>Hoffland, Scott</t>
  </si>
  <si>
    <t>Krywucki, Michael
500 N. Akard
Dallas, TX 75201</t>
  </si>
  <si>
    <t xml:space="preserve">500 N. Akard
Dallas, TX 75201          </t>
  </si>
  <si>
    <t>Krywucki, Michael</t>
  </si>
  <si>
    <t>Lane, Lawrence
4101 Commerce
Dallas, TX 75226</t>
  </si>
  <si>
    <t xml:space="preserve">4101 Commerce
Dallas, TX 75226           </t>
  </si>
  <si>
    <t>Lane, Lawrence</t>
  </si>
  <si>
    <t>Veale, Michael
1717 Arts Place
Dallas, TX 75201</t>
  </si>
  <si>
    <t xml:space="preserve">1717 Arts Place
Dallas, TX 75201          </t>
  </si>
  <si>
    <t>Veale, Michael</t>
  </si>
  <si>
    <t>Coates, Sam
26 Rydington Pl
Dallas, TX 75230</t>
  </si>
  <si>
    <t xml:space="preserve">26 Rydington Pl
Dallas, TX 75230          </t>
  </si>
  <si>
    <t>Coates, Sam</t>
  </si>
  <si>
    <t>McDonough, Sally
5847 Montecello Ave
Dallas, TX 75206</t>
  </si>
  <si>
    <t xml:space="preserve">5847 Montecello Ave
Dallas, TX 75206          </t>
  </si>
  <si>
    <t>McDonough, Sally</t>
  </si>
  <si>
    <t>Bryant, Shawn
321 Overdale Ct.
Sunnyvale, TX 75182</t>
  </si>
  <si>
    <t xml:space="preserve">321 Overdale Ct.
Sunnyvale, TX 75182          </t>
  </si>
  <si>
    <t>Bryant, Shawn</t>
  </si>
  <si>
    <t>TREPAC
PO Box 2246
Austin, TX 78768-2246</t>
  </si>
  <si>
    <t xml:space="preserve">box 2246
Austin, TX 78768-2246           </t>
  </si>
  <si>
    <t>78768-2246</t>
  </si>
  <si>
    <t>Rybczyk, Mark
1507 Tranquilla Dr.
Dallas, TX 75218</t>
  </si>
  <si>
    <t xml:space="preserve">1507 Tranquilla Dr.
Dallas, TX 75218          </t>
  </si>
  <si>
    <t>Rybczyk, Mark</t>
  </si>
  <si>
    <t>Rybczyk, Madelyn
1507 Tranquilla
Dallas, TX 75218</t>
  </si>
  <si>
    <t xml:space="preserve">1507 Tranquilla
Dallas, TX 75218           </t>
  </si>
  <si>
    <t>Fossey, Graham
9360 Creel Creek
Dallas, TX 75228</t>
  </si>
  <si>
    <t xml:space="preserve">9360 Creel Creek
Dallas, TX 75228          </t>
  </si>
  <si>
    <t>Fossey, Graham</t>
  </si>
  <si>
    <t>Sandoval, Stephanie
2307 Wilma Rodolph Rd.
Austin, TX 78748</t>
  </si>
  <si>
    <t xml:space="preserve">2307 Wilma Rodolph Rd.
Austin, TX 78748         </t>
  </si>
  <si>
    <t>Sandoval, Stephanie</t>
  </si>
  <si>
    <t>Hawkins, Marquis
123 E. Woodin Blvd
Dallas, TX 75216</t>
  </si>
  <si>
    <t xml:space="preserve">123 E. Woodin Blvd
Dallas, TX 75216         </t>
  </si>
  <si>
    <t>Hawkins, Marquis</t>
  </si>
  <si>
    <t>Kirk, Ronald
6342 Mercedes Ave
Dallas, TX 75214</t>
  </si>
  <si>
    <t xml:space="preserve">6342 Mercedes Ave
Dallas, TX 75214          </t>
  </si>
  <si>
    <t>Kirk, Ronald</t>
  </si>
  <si>
    <t>Montgomery, Ken
6951 Wakefield St.
Dallas, TX 75231</t>
  </si>
  <si>
    <t xml:space="preserve">6951 Wakefield St.
Dallas, TX 75231          </t>
  </si>
  <si>
    <t>Montgomery, Ken</t>
  </si>
  <si>
    <t>Snoyer, Jeff
3639 Overbrook Dr.
Dallas, TX 75205</t>
  </si>
  <si>
    <t xml:space="preserve">3639 Overbrook Dr.
Dallas, TX 75205          </t>
  </si>
  <si>
    <t>Snoyer, Jeff</t>
  </si>
  <si>
    <t>Sampson, DeMetris
PO Box 76383
Dallas, TX 75376-3834</t>
  </si>
  <si>
    <t xml:space="preserve">
 Box 76383
Dallas, TX 75376-3834          </t>
  </si>
  <si>
    <t>75376-3834</t>
  </si>
  <si>
    <t>Sampson, DeMetris</t>
  </si>
  <si>
    <t>Bryant, Randall
1910 Pacific Ave
Dallas, TX 75201</t>
  </si>
  <si>
    <t>Bryant, Randall</t>
  </si>
  <si>
    <t>Casey, Karen
6100 Tremont St.
Dallas, TX 75214</t>
  </si>
  <si>
    <t xml:space="preserve">6100 Tremont St.
Dallas, TX 75214          </t>
  </si>
  <si>
    <t>Casey, Karen</t>
  </si>
  <si>
    <t>Crone, Phil
6518 Trammel Dr.
Dallas, TX 75214</t>
  </si>
  <si>
    <t xml:space="preserve">6518 Trammel Dr.
Dallas, TX 75214          </t>
  </si>
  <si>
    <t>Crone, Phil</t>
  </si>
  <si>
    <t>Garcia, Ryan
3901 Travis St.
Dallas, TX 75204</t>
  </si>
  <si>
    <t xml:space="preserve">3901 Travis St.
Dallas, TX 75204          </t>
  </si>
  <si>
    <t>Garcia, Ryan</t>
  </si>
  <si>
    <t>Griggs, David
13214 Glad Acres
Dallas, TX 75234</t>
  </si>
  <si>
    <t xml:space="preserve">13214 Glad Acres
Dallas, TX 75234          </t>
  </si>
  <si>
    <t>Griggs, David</t>
  </si>
  <si>
    <t>Kemp, Eric
8380 San Leandro Dr.
Dallas, TX 75218</t>
  </si>
  <si>
    <t xml:space="preserve">8380 San Leandro Dr.
Dallas, TX 75218         </t>
  </si>
  <si>
    <t>Kemp, Eric</t>
  </si>
  <si>
    <t>Rice, Betty
2611 Millmar Dr.
Dallas, TX 75228</t>
  </si>
  <si>
    <t xml:space="preserve">2611 Millmar Dr.
Dallas, TX 75228          </t>
  </si>
  <si>
    <t>Rice, Betty</t>
  </si>
  <si>
    <t>Cain, David
6307 Club Lake Ct.
Dallas, TX 75214</t>
  </si>
  <si>
    <t xml:space="preserve">6307 Club Lake Ct.
Dallas, TX 75214         </t>
  </si>
  <si>
    <t>Cain, David</t>
  </si>
  <si>
    <t>Creuzot, John
8185 San Leandro
Dallas, TX 75218</t>
  </si>
  <si>
    <t xml:space="preserve">8185 San Leandro
Dallas, TX 75218          </t>
  </si>
  <si>
    <t>Creuzot, John</t>
  </si>
  <si>
    <t>Gearing, Charles
9322 Mercer Dr.
Dallas, TX 75228</t>
  </si>
  <si>
    <t xml:space="preserve">9322 Mercer Dr.
Dallas, TX 75228          </t>
  </si>
  <si>
    <t>Givens, Rod
6200 Los Robles Ln
MEsquite, TX 75215</t>
  </si>
  <si>
    <t xml:space="preserve">6200 Los Robles Ln
MEsquite, TX 75215         </t>
  </si>
  <si>
    <t>Givens, Rod</t>
  </si>
  <si>
    <t>Givens, Rod
6200 Los Robles Drive
Mesquite, TX 75215</t>
  </si>
  <si>
    <t xml:space="preserve">6200 Los Robles Drive
Mesquite, TX 75215         </t>
  </si>
  <si>
    <t>Jasso, Juan
821 Haines Ave.
Dallas, TX 75208</t>
  </si>
  <si>
    <t xml:space="preserve">821 Haines Ave.
Dallas, TX 75208          </t>
  </si>
  <si>
    <t>Jasso, Juan</t>
  </si>
  <si>
    <t>Malone, Kimberly
8824 Diceman Dr.
Dallas, TX 75218</t>
  </si>
  <si>
    <t xml:space="preserve">8824 Diceman Dr.
Dallas, TX 75218          </t>
  </si>
  <si>
    <t>Malone, Kimberly</t>
  </si>
  <si>
    <t>Melton, WJ
613 Mount Auburn Ave.
Dallas, TX 75223</t>
  </si>
  <si>
    <t xml:space="preserve">613 Mount Auburn Ave.
Dallas, TX 75223         </t>
  </si>
  <si>
    <t>Melton, WJ</t>
  </si>
  <si>
    <t>Paluso, Angela
6535 Bob O Link
Dallas, TX 75214</t>
  </si>
  <si>
    <t xml:space="preserve">6535 Bob O Link
Dallas, TX 75214         </t>
  </si>
  <si>
    <t>Paluso, Angela</t>
  </si>
  <si>
    <t>Rivas, Jose
6145 Park Dale Dr
Dallas, TX 75227</t>
  </si>
  <si>
    <t xml:space="preserve">6145 Park Dale Dr
Dallas, TX 75227         </t>
  </si>
  <si>
    <t>Rivas, Jose</t>
  </si>
  <si>
    <t>Simon, Jason
1917 Valley Oaks Ct
Irving, TX 75016</t>
  </si>
  <si>
    <t xml:space="preserve">1917 Valley Oaks Ct
Irving, TX 75016         </t>
  </si>
  <si>
    <t>Simon, Jason</t>
  </si>
  <si>
    <t>Sleeper, Neal
3374 Blackburn
Dallas, TX 75204</t>
  </si>
  <si>
    <t xml:space="preserve">3374 Blackburn
Dallas, TX 75204           </t>
  </si>
  <si>
    <t>Sleeper, Neal</t>
  </si>
  <si>
    <t>Tiller, Martha
5909 Luther Lake
Dallas, TX 75225</t>
  </si>
  <si>
    <t xml:space="preserve">5909 Luther Lake
Dallas, TX 75225          </t>
  </si>
  <si>
    <t>Tiller, Martha</t>
  </si>
  <si>
    <t>Bragalone, Mickie
4105 W. Lanther Drive
Dallas, TX 75214</t>
  </si>
  <si>
    <t xml:space="preserve">4105 W. Lanther Drive
Dallas, TX 75214         </t>
  </si>
  <si>
    <t>Bragalone, Mickie</t>
  </si>
  <si>
    <t>Fuentes, Mark
10811 Fernald Ave
Dallas, TX 75218</t>
  </si>
  <si>
    <t xml:space="preserve">10811 Fernald Ave
Dallas, TX 75218          </t>
  </si>
  <si>
    <t>Fuentes, Mark</t>
  </si>
  <si>
    <t>Platt, Mark
6956 Dalhart Ln
Dallas, TX 75214</t>
  </si>
  <si>
    <t xml:space="preserve">6956 Dalhart Ln
Dallas, TX 75214          </t>
  </si>
  <si>
    <t>Platt, Mark</t>
  </si>
  <si>
    <t>Starr, Heidi
6713 Avalon Ave
Dallas, TX 75214</t>
  </si>
  <si>
    <t xml:space="preserve">6713 Avalon Ave
Dallas, TX 75214          </t>
  </si>
  <si>
    <t>Starr, Heidi</t>
  </si>
  <si>
    <t>Kotvis, Jill
6620 Yosemite
Dallas, TX 75214</t>
  </si>
  <si>
    <t xml:space="preserve">6620 Yosemite
Dallas, TX 75214           </t>
  </si>
  <si>
    <t>Kotvis, Jill</t>
  </si>
  <si>
    <t>Rawlings, Margaret
10434 Lennox Lane
Dallas, TX 75229</t>
  </si>
  <si>
    <t xml:space="preserve">10434 Lennox Lane
Dallas, TX 75229          </t>
  </si>
  <si>
    <t>Rawlings, Margaret</t>
  </si>
  <si>
    <t>Scovell, T. Dupree
7034 Alexander Dr.
Dallas, TX 75214</t>
  </si>
  <si>
    <t xml:space="preserve">. Dupree
7034 Alexander Dr.
Dallas, TX 75214         </t>
  </si>
  <si>
    <t>Scovell, T. Dupree</t>
  </si>
  <si>
    <t>Brewer, Hilda
6429 McCommas Blvd
Dallas, TX 75214</t>
  </si>
  <si>
    <t xml:space="preserve">6429 McCommas Blvd
Dallas, TX 75214          </t>
  </si>
  <si>
    <t>Brewer, Hilda</t>
  </si>
  <si>
    <t>Hansbany, Maria
3509 Hillbrook St
Dallas, TX 75214</t>
  </si>
  <si>
    <t xml:space="preserve">3509 Hillbrook St
Dallas, TX 75214          </t>
  </si>
  <si>
    <t>Hansbany, Maria</t>
  </si>
  <si>
    <t>Hoffland, Amy
7278 Williamson Cir
Dallas, TX 75214</t>
  </si>
  <si>
    <t>Hoffland, Amy</t>
  </si>
  <si>
    <t>Hunt, Melissa
8231 San Fernando
Dallas, TX 75218</t>
  </si>
  <si>
    <t xml:space="preserve">8231 San Fernando
Dallas, TX 75218          </t>
  </si>
  <si>
    <t>Hunt, Melissa</t>
  </si>
  <si>
    <t>Johnston, Erin
6604 Northridge
Dallas, TX 75214</t>
  </si>
  <si>
    <t xml:space="preserve">6604 Northridge
Dallas, TX 75214           </t>
  </si>
  <si>
    <t>Johnston, Erin</t>
  </si>
  <si>
    <t>Page, Anthony
3210 Carlisle
Dallas, TX 75204</t>
  </si>
  <si>
    <t>Paradise, Mitch
8335 San Fernando Way
Dallas, TX 75218</t>
  </si>
  <si>
    <t xml:space="preserve">8335 San Fernando Way
Dallas, TX 75218         </t>
  </si>
  <si>
    <t>Paradise, Mitch</t>
  </si>
  <si>
    <t>Perdue, Rick
7712 Southwestern Blvd
Dallas, TX 75225</t>
  </si>
  <si>
    <t xml:space="preserve">7712 Southwestern Blvd
Dallas, TX 75225          </t>
  </si>
  <si>
    <t>Pittman, David
6232 Highgate Ln
Dallas, TX 75214</t>
  </si>
  <si>
    <t xml:space="preserve">6232 Highgate Ln
Dallas, TX 75214          </t>
  </si>
  <si>
    <t>Pittman, David</t>
  </si>
  <si>
    <t>Spellicy, Courtney
7117 Wake Forest Dr
Dallas, TX 75214</t>
  </si>
  <si>
    <t xml:space="preserve">7117 Wake Forest Dr
Dallas, TX 75214         </t>
  </si>
  <si>
    <t>Spellicy, Courtney</t>
  </si>
  <si>
    <t>Sullivan, Joseph
6759 Avalon
Dallas, TX 75214</t>
  </si>
  <si>
    <t xml:space="preserve">6759 Avalon
Dallas, TX 75214           </t>
  </si>
  <si>
    <t>Sullivan, Joseph</t>
  </si>
  <si>
    <t>Tarpley, Gloria
8378 Forest Hills Blvd
Dallas, TX 75218</t>
  </si>
  <si>
    <t xml:space="preserve">8378 Forest Hills Blvd
Dallas, TX 75218         </t>
  </si>
  <si>
    <t>Wells, Chris
7238 Mimosa
Dallas, TX 75230</t>
  </si>
  <si>
    <t xml:space="preserve">7238 Mimosa
Dallas, TX 75230           </t>
  </si>
  <si>
    <t>Wells, Chris</t>
  </si>
  <si>
    <t>Wendel, George
6913 Lakewood Blvd
Dallas, TX 75214</t>
  </si>
  <si>
    <t>Wendel, George</t>
  </si>
  <si>
    <t>Wise, Phillip Johnston
3444 University Blvd
Dallas, TX 75205</t>
  </si>
  <si>
    <t xml:space="preserve">phillip Johnston
3444 University Blvd
Dallas, TX 75205         </t>
  </si>
  <si>
    <t>Wise, Phillip Johnston</t>
  </si>
  <si>
    <t>Wynne, Shannon
3601 Normandy Ave
Dallas, TX 75205</t>
  </si>
  <si>
    <t xml:space="preserve">3601 Normandy Ave
Dallas, TX 75205          </t>
  </si>
  <si>
    <t>Wynne, Shannon</t>
  </si>
  <si>
    <t>Davidson, Larry
6451 Patrick
Dallas, TX 75214</t>
  </si>
  <si>
    <t xml:space="preserve">6451 Patrick
Dallas, TX 75214           </t>
  </si>
  <si>
    <t>Davidson, Larry</t>
  </si>
  <si>
    <t>Frank, Jerome
5514 Montrose
Dallas, TX 75209</t>
  </si>
  <si>
    <t xml:space="preserve">5514 Montrose
Dallas, TX 75209           </t>
  </si>
  <si>
    <t>Brown, Dave
2500 Houston
Dallas, TX 75219</t>
  </si>
  <si>
    <t xml:space="preserve">2500 Houston
Dallas, TX 75219           </t>
  </si>
  <si>
    <t>Brown, Dave</t>
  </si>
  <si>
    <t>Cline, Michael
3925 Carnegie Ln
Raleigh, NC 27612</t>
  </si>
  <si>
    <t xml:space="preserve">3925 Carnegie Ln
Raleigh, NC 27612          </t>
  </si>
  <si>
    <t>Cline, Michael</t>
  </si>
  <si>
    <t>Terry, Mike
1224 Inwood Rd
Dallas, NC 75244</t>
  </si>
  <si>
    <t xml:space="preserve">1224 Inwood Rd
Dallas, NC 75244          </t>
  </si>
  <si>
    <t>Terry, Mike</t>
  </si>
  <si>
    <t>Hunt, Ray
1900 North Akard
Dallas, TX 75201</t>
  </si>
  <si>
    <t xml:space="preserve">1900 North Akard
Dallas, TX 75201          </t>
  </si>
  <si>
    <t>Byrne, Tim
3720 Miramar Ave
Dallas, TX 75205</t>
  </si>
  <si>
    <t xml:space="preserve">3720 Miramar Ave
Dallas, TX 75205          </t>
  </si>
  <si>
    <t>Totals</t>
  </si>
  <si>
    <t>Linebarger LLP
PO Box 17423
Austin, TX 78760</t>
  </si>
  <si>
    <t xml:space="preserve">
 Box 17423
Austin, TX 78760          </t>
  </si>
  <si>
    <t>Linebarger LLP</t>
  </si>
  <si>
    <t>Ragan, Tanya
630 S Pearl
Dallas, TX 75201</t>
  </si>
  <si>
    <t xml:space="preserve">630 S Pearl
Dallas, TX 75201          </t>
  </si>
  <si>
    <t>Ragan, Tanya</t>
  </si>
  <si>
    <t>Notes:
The above table analyzes each unique address to determine the origin of the donations.
This analysis prioritizes the identification of donations outside of Dallas and those outside of Texas
The first two columns in the analysis are used to sum the total number of addresses making donations from outside of Texas or outside of Dallas
The remaining two columns sum the total contributions from each address for those two conditions.</t>
  </si>
  <si>
    <t>Minnis, Norma
PO Box 75214
Dallas, TX 75214</t>
  </si>
  <si>
    <t xml:space="preserve">
 Box 75214
Dallas, TX 75214          </t>
  </si>
  <si>
    <t>Minnis, Norma</t>
  </si>
  <si>
    <t>Cadena, Elsa
6815 American Way
Dallas, TX 75237</t>
  </si>
  <si>
    <t xml:space="preserve">6815 American Way
Dallas, TX 75237          </t>
  </si>
  <si>
    <t>Cadena, Elsa</t>
  </si>
  <si>
    <t>Reznik, Staci
4007 Lively
Dallas, TX 75220</t>
  </si>
  <si>
    <t xml:space="preserve">4007 Lively
Dallas, TX 75220           </t>
  </si>
  <si>
    <t>Reznik, Staci</t>
  </si>
  <si>
    <t>Hill, Todd
604 Fort Worth Ave
Dallas, TX 75208</t>
  </si>
  <si>
    <t xml:space="preserve">604 Fort Worth Ave
Dallas, TX 75208         </t>
  </si>
  <si>
    <t>Hill, Todd</t>
  </si>
  <si>
    <t>Pegram, Derric
2642 Bahama
Dallas, TX 75211</t>
  </si>
  <si>
    <t xml:space="preserve">2642 Bahama
Dallas, TX 75211           </t>
  </si>
  <si>
    <t>Pegram, Derric</t>
  </si>
  <si>
    <t>Patterson, Brandi
3405 Bellcrest
Celina, TX 75009</t>
  </si>
  <si>
    <t xml:space="preserve">3405 Bellcrest
Celina, TX 75009           </t>
  </si>
  <si>
    <t>Patterson, Brandi</t>
  </si>
  <si>
    <t>Leal, Chris
1777 N Record St
Dallas, TX 75202</t>
  </si>
  <si>
    <t xml:space="preserve">1777 N Record St
Dallas, TX 75202         </t>
  </si>
  <si>
    <t>Leal, Chris</t>
  </si>
  <si>
    <t>Hernandez, Flora
6042 Prestonshire
Dallas, TX 76225</t>
  </si>
  <si>
    <t xml:space="preserve">6042 Prestonshire
Dallas, TX 76225           </t>
  </si>
  <si>
    <t>Hernandez, Flora</t>
  </si>
  <si>
    <t>Marston, Alando
4861 Sunnyvale Street
Dallas, TX 75214</t>
  </si>
  <si>
    <t xml:space="preserve">4861 Sunnyvale Street
Dallas, TX 75214          </t>
  </si>
  <si>
    <t>Marston, Alando</t>
  </si>
  <si>
    <t>Ramos, Steven
1234 n/a
Dallas, TX 12345</t>
  </si>
  <si>
    <t xml:space="preserve">1234 n/a
Dallas, TX 12345           </t>
  </si>
  <si>
    <t>/</t>
  </si>
  <si>
    <t>Offutt, Larry
6038 
Dallas, TX 75206</t>
  </si>
  <si>
    <t xml:space="preserve">6038 
Dallas, TX 75206           </t>
  </si>
  <si>
    <t>Schenkel, Pete
4231 
Dallas, TX 75205</t>
  </si>
  <si>
    <t xml:space="preserve">4231 
Dallas, TX 75205           </t>
  </si>
  <si>
    <t>Hunt, Ray
1900 
Dallas, TX 75201</t>
  </si>
  <si>
    <t xml:space="preserve">1900 
Dallas, TX 75201           </t>
  </si>
  <si>
    <t>Stewart, Kathy
9509 Shady Valley Dr.
Dallas, TX 75238</t>
  </si>
  <si>
    <t xml:space="preserve">9509 Shady Valley Dr.
Dallas, TX 75238         </t>
  </si>
  <si>
    <t>Stewart, Kathy</t>
  </si>
  <si>
    <t>Cox, Cecelia
5112 Woodview Ave.
Austin, TX 78756</t>
  </si>
  <si>
    <t xml:space="preserve">5112 Woodview Ave.
Austin, TX 78756          </t>
  </si>
  <si>
    <t>Cox, Cecelia</t>
  </si>
  <si>
    <t>Klemme, Kelly
9525 Milltrail
Dallas, TX 75238</t>
  </si>
  <si>
    <t xml:space="preserve">9525 Milltrail
Dallas, TX 75238           </t>
  </si>
  <si>
    <t>Klemme, Kelly</t>
  </si>
  <si>
    <t>Briggs, Lisa
9759 Edgepine
Dallas, TX 75238</t>
  </si>
  <si>
    <t xml:space="preserve">9759 Edgepine
Dallas, TX 75238           </t>
  </si>
  <si>
    <t>Briggs, Lisa</t>
  </si>
  <si>
    <t>Hedrick, Steve
11310 Goddard Ct.
Dallas, TX 75218</t>
  </si>
  <si>
    <t xml:space="preserve">11310 Goddard Ct.
Dallas, TX 75218          </t>
  </si>
  <si>
    <t>Hedrick, Steve</t>
  </si>
  <si>
    <t>Coutant, Kenneth
9318 Clearhurst
Dallas, TX 75238</t>
  </si>
  <si>
    <t xml:space="preserve">9318 Clearhurst
Dallas, TX 75238           </t>
  </si>
  <si>
    <t>Coutant, Kenneth</t>
  </si>
  <si>
    <t>Jones, Kathryn
6920 Midcrest Dr.
Dallas, TX 75254</t>
  </si>
  <si>
    <t xml:space="preserve">6920 Midcrest Dr.
Dallas, TX 75254          </t>
  </si>
  <si>
    <t>Jones, Kathryn</t>
  </si>
  <si>
    <t>Stein, Mitchell
11210 Bellafonte Dr.
Dallas, TX 75243</t>
  </si>
  <si>
    <t xml:space="preserve">11210 Bellafonte Dr.
Dallas, TX 75243          </t>
  </si>
  <si>
    <t>Stein, Mitchell</t>
  </si>
  <si>
    <t>Stewart, Elizabeth
6801 Valburn Dr.
Austin, TX 78731</t>
  </si>
  <si>
    <t xml:space="preserve">6801 Valburn Dr.
Austin, TX 78731          </t>
  </si>
  <si>
    <t>Stewart, Elizabeth</t>
  </si>
  <si>
    <t>Glendenning, Don
2200 Ross Avenue
Dallas, TX 75201</t>
  </si>
  <si>
    <t xml:space="preserve">2200 Ross Avenue
Dallas, TX 75201          </t>
  </si>
  <si>
    <t>Siegers, Rolf
9432 Brentgate
Dallas, TX 75238</t>
  </si>
  <si>
    <t xml:space="preserve">9432 Brentgate
Dallas, TX 75238           </t>
  </si>
  <si>
    <t>Siegers, Rolf</t>
  </si>
  <si>
    <t>Siegers, Anita
9432 Brentgate
Dallas, TX 75238</t>
  </si>
  <si>
    <t>Siegers, Anita</t>
  </si>
  <si>
    <t>Boyd, Bill
10140 Ferndale
Dallas, TX 75238</t>
  </si>
  <si>
    <t xml:space="preserve">10140 Ferndale
Dallas, TX 75238           </t>
  </si>
  <si>
    <t>Boyd, Bill</t>
  </si>
  <si>
    <t>King, Jenny
9206 Canter Dr.
Dallas, TX 75231</t>
  </si>
  <si>
    <t xml:space="preserve">9206 Canter Dr.
Dallas, TX 75231          </t>
  </si>
  <si>
    <t>King, Jenny</t>
  </si>
  <si>
    <t>Bonahoom, Julie
9114 Arborside
Dallas, TX 75243</t>
  </si>
  <si>
    <t xml:space="preserve">9114 Arborside
Dallas, TX 75243           </t>
  </si>
  <si>
    <t>Bonahoom, Julie</t>
  </si>
  <si>
    <t>Lauck, Larry
10529 Estate Lane
Dallas, TX 75238</t>
  </si>
  <si>
    <t xml:space="preserve">10529 Estate Lane
Dallas, TX 75238          </t>
  </si>
  <si>
    <t>Lauck, Larry</t>
  </si>
  <si>
    <t>Timmerman, Amy
9924 Edgecove
Dallas, TX 75238</t>
  </si>
  <si>
    <t xml:space="preserve">9924 Edgecove
Dallas, TX 75238           </t>
  </si>
  <si>
    <t>Timmerman, Amy</t>
  </si>
  <si>
    <t>Lewis, Gale
6829 Blackwood
Dallas, TX 75231</t>
  </si>
  <si>
    <t xml:space="preserve">6829 Blackwood
Dallas, TX 75231           </t>
  </si>
  <si>
    <t>Lewis, Gale</t>
  </si>
  <si>
    <t>Bubel, Laurie
9624 Spring Branch
Dallas, TX 75238</t>
  </si>
  <si>
    <t xml:space="preserve">9624 Spring Branch
Dallas, TX 75238          </t>
  </si>
  <si>
    <t>Bubel, Laurie</t>
  </si>
  <si>
    <t>Carrick, Julie
3221 Clubview Dr
Argyle, TX 76226</t>
  </si>
  <si>
    <t xml:space="preserve">3221 Clubview Dr
Argyle, TX 76226          </t>
  </si>
  <si>
    <t>Carrick, Julie</t>
  </si>
  <si>
    <t>Fenimore, Elizabeth
9728 Windledge
Dallas, TX 75238</t>
  </si>
  <si>
    <t xml:space="preserve">9728 Windledge
Dallas, TX 75238           </t>
  </si>
  <si>
    <t>Fenimore, Elizabeth</t>
  </si>
  <si>
    <t>Stewart, Molly
8750 Westminister Terrace
Dallas, TX 75243</t>
  </si>
  <si>
    <t xml:space="preserve">8750 Westminister Terrace
Dallas, TX 75243          </t>
  </si>
  <si>
    <t>Stewart, Molly</t>
  </si>
  <si>
    <t>Brunkenhoefer, Carolyn
9077 Fairglen Dr.
Dallas, TX 75231</t>
  </si>
  <si>
    <t xml:space="preserve">9077 Fairglen Dr.
Dallas, TX 75231          </t>
  </si>
  <si>
    <t>Brunkenhoefer, Carolyn</t>
  </si>
  <si>
    <t>Jodie, Julie
9617 Windy Hill
Dallas, TX 75238</t>
  </si>
  <si>
    <t xml:space="preserve">9617 Windy Hill
Dallas, TX 75238          </t>
  </si>
  <si>
    <t>Jodie, Julie</t>
  </si>
  <si>
    <t>Goocher, Jennifer
3202 Winged Elm Dr
Cedar Park, TX 78616</t>
  </si>
  <si>
    <t xml:space="preserve">3202 Winged Elm Dr
Cedar Park, TX 78616        </t>
  </si>
  <si>
    <t>Goocher, Jennifer</t>
  </si>
  <si>
    <t>Lee, Larry
7302 Danashire
Dallas, TX 75231</t>
  </si>
  <si>
    <t xml:space="preserve">7302 Danashire
Dallas, TX 75231           </t>
  </si>
  <si>
    <t>Lee, Larry</t>
  </si>
  <si>
    <t>Lee, Alison
7302 Danashire
Dallas, TX 75231</t>
  </si>
  <si>
    <t>Lee, Alison</t>
  </si>
  <si>
    <t>Reeder, Chuck
4515 Belfort Pl
Dallas, TX 75205</t>
  </si>
  <si>
    <t xml:space="preserve">4515 Belfort Pl
Dallas, TX 75205          </t>
  </si>
  <si>
    <t>Reeder, Chuck</t>
  </si>
  <si>
    <t>Lonergan, Kim
10050 Caribou Trail
Dallas, TX 75238</t>
  </si>
  <si>
    <t xml:space="preserve">10050 Caribou Trail
Dallas, TX 75238          </t>
  </si>
  <si>
    <t>Lonergan, Kim</t>
  </si>
  <si>
    <t>Griffith, Gary
6875 Carolyncrest Dr
Dallas, TX 75214</t>
  </si>
  <si>
    <t xml:space="preserve">6875 Carolyncrest Dr
Dallas, TX 75214          </t>
  </si>
  <si>
    <t>Griffith, Gary</t>
  </si>
  <si>
    <t>Morgan, Susan
9227 Dove Meadow
Dallas, TX 75243</t>
  </si>
  <si>
    <t xml:space="preserve">9227 Dove Meadow
Dallas, TX 75243          </t>
  </si>
  <si>
    <t>Morgan, Susan</t>
  </si>
  <si>
    <t>McIlwain, Mike
9109 Clearhurst
Dallas, TX 75238</t>
  </si>
  <si>
    <t xml:space="preserve">9109 Clearhurst
Dallas, TX 75238           </t>
  </si>
  <si>
    <t>McIlwain, Mike</t>
  </si>
  <si>
    <t>McIlwain, Judy
9109 Clearhurst
Dallas, TX 75238</t>
  </si>
  <si>
    <t>McIlwain, Judy</t>
  </si>
  <si>
    <t>Harris, Tom
10011 Caribou Trail
Dallas, TX 75238</t>
  </si>
  <si>
    <t xml:space="preserve">10011 Caribou Trail
Dallas, TX 75238          </t>
  </si>
  <si>
    <t>Harris, Tom</t>
  </si>
  <si>
    <t>Harris, Michelle
10011 Caribou Trail
Dallas, TX 75238</t>
  </si>
  <si>
    <t>Harris, Michelle</t>
  </si>
  <si>
    <t>Woolley, Cindy
9215 Meadowglen
Dallas, TX 75238</t>
  </si>
  <si>
    <t xml:space="preserve">9215 Meadowglen
Dallas, TX 75238           </t>
  </si>
  <si>
    <t>Woolley, Cindy</t>
  </si>
  <si>
    <t>Woolley, Byron
9215 Meadowglen
Dallas, TX 75238</t>
  </si>
  <si>
    <t>Woolley, Byron</t>
  </si>
  <si>
    <t>Rabe, Doug
7746 Eagle Trail
Dallas, TX 75238</t>
  </si>
  <si>
    <t xml:space="preserve">7746 Eagle Trail
Dallas, TX 75238          </t>
  </si>
  <si>
    <t>Rabe, Doug</t>
  </si>
  <si>
    <t>Rabe, Nancy
7746 Eagle Trail
Dallas, TX 75238</t>
  </si>
  <si>
    <t>Rabe, Nancy</t>
  </si>
  <si>
    <t>Cowlishaw, Melanie
9531 Windy Hill Road
Dallas, TX 75238</t>
  </si>
  <si>
    <t xml:space="preserve">9531 Windy Hill Road
Dallas, TX 75238         </t>
  </si>
  <si>
    <t>Cowlishaw, Melanie</t>
  </si>
  <si>
    <t>Henneberger, Cynthia
8928 Fairglen
Dallas, TX 75231</t>
  </si>
  <si>
    <t xml:space="preserve">8928 Fairglen
Dallas, TX 75231           </t>
  </si>
  <si>
    <t>Henneberger, Cynthia</t>
  </si>
  <si>
    <t>Sides, Lisa
9949 Caribou Trail
Dallas, TX 75238</t>
  </si>
  <si>
    <t xml:space="preserve">9949 Caribou Trail
Dallas, TX 75238          </t>
  </si>
  <si>
    <t>Sides, Lisa</t>
  </si>
  <si>
    <t>Morgan, Murray
9931 Wood Forest Dr
Dallas, TX 75243</t>
  </si>
  <si>
    <t xml:space="preserve">9931 Wood Forest Dr
Dallas, TX 75243         </t>
  </si>
  <si>
    <t>Morgan, Murray</t>
  </si>
  <si>
    <t>Rafkin, William
3601 Turtle Creek Blvd
Dallas, TX 75219</t>
  </si>
  <si>
    <t xml:space="preserve">3601 Turtle Creek Blvd
Dallas, TX 75219         </t>
  </si>
  <si>
    <t>Rafkin, William</t>
  </si>
  <si>
    <t>Duval, Greg
9218 Loma Vista
Dallas, TX 75243</t>
  </si>
  <si>
    <t xml:space="preserve">9218 Loma Vista
Dallas, TX 75243          </t>
  </si>
  <si>
    <t>Duval, Greg</t>
  </si>
  <si>
    <t>Burns, Sherman
9205 Clover Valley
Dallas, TX 75243</t>
  </si>
  <si>
    <t xml:space="preserve">9205 Clover Valley
Dallas, TX 75243          </t>
  </si>
  <si>
    <t>Burns, Sherman</t>
  </si>
  <si>
    <t>Hughes, Paula
8046 Nimrod Trail
Dallas, TX 75238</t>
  </si>
  <si>
    <t xml:space="preserve">8046 Nimrod Trail
Dallas, TX 75238          </t>
  </si>
  <si>
    <t>Hughes, Paula</t>
  </si>
  <si>
    <t>Zreet, Cheryl
9617 Windy Terrace
Dallas, TX 75231</t>
  </si>
  <si>
    <t xml:space="preserve">9617 Windy Terrace
Dallas, TX 75231          </t>
  </si>
  <si>
    <t>Zreet, Cheryl</t>
  </si>
  <si>
    <t>Woods, Brenda
9474 Dartridge
Dallas, TX 75238</t>
  </si>
  <si>
    <t xml:space="preserve">9474 Dartridge
Dallas, TX 75238           </t>
  </si>
  <si>
    <t>Woods, Brenda</t>
  </si>
  <si>
    <t>Holmes, Mark
9225 Royalpine Dr,
Dallas, TX 75238</t>
  </si>
  <si>
    <t xml:space="preserve">9225 Royalpine Dr,
Dallas, TX 75238          </t>
  </si>
  <si>
    <t>Holmes, Mark</t>
  </si>
  <si>
    <t>Stell, Jan
PO Box 38298
Dallas, TX 75238</t>
  </si>
  <si>
    <t xml:space="preserve">
 Box 38298
Dallas, TX 75238          </t>
  </si>
  <si>
    <t>Stell, Jan</t>
  </si>
  <si>
    <t>Iyriad Roofing &amp; Construction LLC
6060 Chevelia Dr
Dallas, TX 75232-4159</t>
  </si>
  <si>
    <t xml:space="preserve">roofing &amp; Construction LLC
6060 Chevelia Dr
Dallas, TX 75232-4159       </t>
  </si>
  <si>
    <t>Iyriad Roofing &amp; Construction LLC</t>
  </si>
  <si>
    <t>Chopp, Stephony
2448 Club Manor Dr
Dallas, TX 75237-2702</t>
  </si>
  <si>
    <t xml:space="preserve">2448 Club Manor Dr
Dallas, TX 75237-2702         </t>
  </si>
  <si>
    <t>75237-2702</t>
  </si>
  <si>
    <t>Chopp, Stephony</t>
  </si>
  <si>
    <t>SOUTHWEST AIRLINES CO FREEDOM FUND
PO Box 36611
Dallas, TX 75235</t>
  </si>
  <si>
    <t xml:space="preserve">airlines CO FREEDOM FUND
PO Box 36611
Dallas, TX 75235       </t>
  </si>
  <si>
    <t>SOUTHWEST AIRLINES CO FREEDOM FUND</t>
  </si>
  <si>
    <t>Sampson, Demetris
PO Box 763837
Dallas, TX 75376</t>
  </si>
  <si>
    <t xml:space="preserve">
 Box 763837
Dallas, TX 75376          </t>
  </si>
  <si>
    <t>OLABIMTAN, AFISU
74 BUCK TRAIL
SADLER, TX 76264</t>
  </si>
  <si>
    <t xml:space="preserve">74 BUCK TRAIL
SADLER, TX 76264          </t>
  </si>
  <si>
    <t>OLABIMTAN, AFISU</t>
  </si>
  <si>
    <t>Mapp, Trelaine
12612 Beech Tree Lane
Euless, TX 76040</t>
  </si>
  <si>
    <t xml:space="preserve">12612 Beech Tree Lane
Euless, TX 76040         </t>
  </si>
  <si>
    <t>Mapp, Trelaine</t>
  </si>
  <si>
    <t>Warren, Wayne
7 Equestrian Trail
Duncanville, TX 75116</t>
  </si>
  <si>
    <t xml:space="preserve">7 Equestrian Trail
Duncanville, TX 75116          </t>
  </si>
  <si>
    <t>Warren, Wayne</t>
  </si>
  <si>
    <t>Levis Consulting Group LLC
600 Six Flags Dr
Arlington, TX 76011</t>
  </si>
  <si>
    <t xml:space="preserve">consulting Group LLC
600 Six Flags Dr
Arlington, TX 76011       </t>
  </si>
  <si>
    <t>Levis Consulting Group LLC</t>
  </si>
  <si>
    <t>Hixson, Chuck
1030 Harvest Hill
Prosper, TX 75078</t>
  </si>
  <si>
    <t xml:space="preserve">1030 Harvest Hill
Prosper, TX 75078          </t>
  </si>
  <si>
    <t>Hixson, Chuck</t>
  </si>
  <si>
    <t>Hunt, Ray
1900 North Akard St
Dallas, TX 75201</t>
  </si>
  <si>
    <t xml:space="preserve">1900 North Akard St
Dallas, TX 75201         </t>
  </si>
  <si>
    <t>Clardy, Karen
9314 Bill Browne Lane
Dallas, TX 75243</t>
  </si>
  <si>
    <t xml:space="preserve">9314 Bill Browne Lane
Dallas, TX 75243         </t>
  </si>
  <si>
    <t>Clardy, Karen</t>
  </si>
  <si>
    <t>Housewright, Tipton
10102 Candlebrook Dr.
Dallas, TX 75243</t>
  </si>
  <si>
    <t xml:space="preserve">10102 Candlebrook Dr.
Dallas, TX 75243          </t>
  </si>
  <si>
    <t>Housewright, Tipton</t>
  </si>
  <si>
    <t>Stewart, Robb
9509 Shady Valley Dr.
Dallas, TX 75238</t>
  </si>
  <si>
    <t>Stewart, Robb</t>
  </si>
  <si>
    <t>Mellinger, Jill
9210 Westview Cr
Dallas, TX 75231</t>
  </si>
  <si>
    <t xml:space="preserve">9210 Westview Cr
Dallas, TX 75231          </t>
  </si>
  <si>
    <t>Mellinger, Jill</t>
  </si>
  <si>
    <t>Rabe, Doug
77 Eagle Trail
Dallas, TX 75238</t>
  </si>
  <si>
    <t xml:space="preserve">77 Eagle Trail
Dallas, TX 75238          </t>
  </si>
  <si>
    <t>Connell, Fran
9736 Broken Bow
Dallas, TX 75238</t>
  </si>
  <si>
    <t xml:space="preserve">9736 Broken Bow
Dallas, TX 75238          </t>
  </si>
  <si>
    <t>Connell, Fran</t>
  </si>
  <si>
    <t>Thompson, Alyson
12323 Creekspan
Dallas, TX 75243</t>
  </si>
  <si>
    <t xml:space="preserve">12323 Creekspan
Dallas, TX 75243           </t>
  </si>
  <si>
    <t>Thompson, Alyson</t>
  </si>
  <si>
    <t>Hunt, Clark
5956 Sherry Lane
Dallas, TX 75225</t>
  </si>
  <si>
    <t xml:space="preserve">5956 Sherry Lane
Dallas, TX 75225          </t>
  </si>
  <si>
    <t>Hunt, Clark</t>
  </si>
  <si>
    <t>McIntyre, William
4815 Shadywood Lane
Dallas, TX 75209</t>
  </si>
  <si>
    <t xml:space="preserve">4815 Shadywood Lane
Dallas, TX 75209          </t>
  </si>
  <si>
    <t>McIntyre, William</t>
  </si>
  <si>
    <t>Cook, Robby
PO Box 716
Eagle Lake, TX 77434</t>
  </si>
  <si>
    <t xml:space="preserve">
 Box 716
Eagle Lake, TX 77434         </t>
  </si>
  <si>
    <t>Cook, Robby</t>
  </si>
  <si>
    <t>McAtee, David
6824 Lupton Drive
Dallas, TX 75225</t>
  </si>
  <si>
    <t xml:space="preserve">6824 Lupton Drive
Dallas, TX 75225          </t>
  </si>
  <si>
    <t>McAtee, David</t>
  </si>
  <si>
    <t>McDade, Jim
10956 Audelia Rd
Dallas, TX 75243</t>
  </si>
  <si>
    <t xml:space="preserve">10956 Audelia Rd
Dallas, TX 75243          </t>
  </si>
  <si>
    <t>McDade, Jim</t>
  </si>
  <si>
    <t>Nash, Susan and Ron
3505 Turtle Creek Blvd
Dallas, TX 75219</t>
  </si>
  <si>
    <t xml:space="preserve">susan and Ron
3505 Turtle Creek Blvd
Dallas, TX 75219       </t>
  </si>
  <si>
    <t>Nash, Susan and Ron</t>
  </si>
  <si>
    <t>Pitts, John
3652 Chevy Chase
Houston, TX 77019</t>
  </si>
  <si>
    <t xml:space="preserve">3652 Chevy Chase
Houston, TX 77019          </t>
  </si>
  <si>
    <t>Pitts, John</t>
  </si>
  <si>
    <t>Polumbo, C.D.
210 Lavaca St.
Austin, TX 78701</t>
  </si>
  <si>
    <t xml:space="preserve">.
210 St.
Austin, TX 78701          </t>
  </si>
  <si>
    <t>Polumbo, C.D.</t>
  </si>
  <si>
    <t>Rupani, Amir
19555 Preston Trail Dr
Dallas, TX 75248</t>
  </si>
  <si>
    <t>Rupani, Amir</t>
  </si>
  <si>
    <t>Schenkel, Pete
614 N Bishop
Dallas, TX 75208</t>
  </si>
  <si>
    <t>Schulz, Amanda
5943 Palo Pinto Ave
Dallas, TX 75206</t>
  </si>
  <si>
    <t>Schulz, Amanda</t>
  </si>
  <si>
    <t>Sewell, Carl &amp; Peggy
3860 W Northwest Hwy
Dallas, TX 75220</t>
  </si>
  <si>
    <t>Sewell, Carl &amp; Peggy</t>
  </si>
  <si>
    <t>Charter Texas PAC
1001 Congress Ave
Austin, TX 78701</t>
  </si>
  <si>
    <t>Charter Texas PAC</t>
  </si>
  <si>
    <t>Norton Rose Fulbright LLP Texas Cmte
1301 McKinney
Houston, TX 77010</t>
  </si>
  <si>
    <t>Norton Rose Fulbright LLP Texas Cmte</t>
  </si>
  <si>
    <t>Dallas Police Officers PAC
1412 Griffin St E
Dallas, TX 75215</t>
  </si>
  <si>
    <t>Dallas Police Officers PAC</t>
  </si>
  <si>
    <t>Southwest Airlines CO Freedom Fund PAC
PO Box 36611
Dallas, TX 75235</t>
  </si>
  <si>
    <t>Southwest Airlines CO Freedom Fund PAC</t>
  </si>
  <si>
    <t>Texas Automobile Dealers Association PAC
1108 Lavaca St
Austin, TX 78701</t>
  </si>
  <si>
    <t>Texas Automobile Dealers Association PAC</t>
  </si>
  <si>
    <t>Crow, Trammell
4000 Rock Creek Dr
Dallas, TX 75204</t>
  </si>
  <si>
    <t>Crow, Trammell</t>
  </si>
  <si>
    <t>Crow, Harlan
4700 Preston Rd
Dallas, TX 75205</t>
  </si>
  <si>
    <t>Crow, Harlan</t>
  </si>
  <si>
    <t>Crow, Kathy
4700 Preston Rd
Dallas, TX 75205</t>
  </si>
  <si>
    <t>Crow, Kathy</t>
  </si>
  <si>
    <t>Deason, Kimberly &amp; Darwin
3953 Maple Ave
Dallas, TX 75219</t>
  </si>
  <si>
    <t>Deason, Kimberly &amp; Darwin</t>
  </si>
  <si>
    <t>Enzler, Matthew
6027 Goliad Ave
Dallas, TX 75206</t>
  </si>
  <si>
    <t>Enzler, Matthew</t>
  </si>
  <si>
    <t>Farmer, Curt
6307 Prestonshire Lane
Dallas, TX 75225</t>
  </si>
  <si>
    <t>Farmer, Curt</t>
  </si>
  <si>
    <t>Fertitta, Tilman
1510 West Loop South
Houston, TX 77027</t>
  </si>
  <si>
    <t>Fertitta, Tilman</t>
  </si>
  <si>
    <t>Hunt, Ray
1900 N Akard St
Dallas, TX 75201</t>
  </si>
  <si>
    <t>Hunt, Hunter
1900 N Akard St
Dallas, TX 75201</t>
  </si>
  <si>
    <t>Hunt, Nancy Ann
1900 N Akard St
Dallas, TX 75201</t>
  </si>
  <si>
    <t>Hunt, Nancy Ann</t>
  </si>
  <si>
    <t>Kleinert, Chris
1900 N Akard St
Dallas, TX 75201</t>
  </si>
  <si>
    <t>Kleinert, Chris</t>
  </si>
  <si>
    <t>Meurer, Tom
5818 Bent Trail
Dallas, TX 75248</t>
  </si>
  <si>
    <t>Meurer, Tom</t>
  </si>
  <si>
    <t>Myers, Mike
4009 Miramar Ave
Dallas, TX 75205</t>
  </si>
  <si>
    <t>Rose, Deedie
5 Willowood St
Dallas, TX 75205</t>
  </si>
  <si>
    <t>Rowling, Bob
4001 Maple Ave
Dallas, TX 75219</t>
  </si>
  <si>
    <t>Rowling, Bob</t>
  </si>
  <si>
    <t>Sewell III, Carl &amp; Josie
3911 Gillon Ave
Dallas, TX 75205</t>
  </si>
  <si>
    <t>Sewell III, Carl &amp; Josie</t>
  </si>
  <si>
    <t>Walker, Brenda
310 Calvary Dr
Euless, TX 76040</t>
  </si>
  <si>
    <t>Walker, Brenda</t>
  </si>
  <si>
    <t>Zulejkic, David
PO Box 2590
Wylie, TX 75098</t>
  </si>
  <si>
    <t>Zulejkic, David</t>
  </si>
  <si>
    <t>Eisenberg, Phil
3215 Plumb Street
Houston, TX 77005</t>
  </si>
  <si>
    <t>Eisenberg, Phil</t>
  </si>
  <si>
    <t>Grace, Jim
1305 Guadalupe St
Austin, TX 78701</t>
  </si>
  <si>
    <t>Grace, Jim</t>
  </si>
  <si>
    <t>Gutierrez, Hugo
10322 Sugar Hill
Houston, TX 77042</t>
  </si>
  <si>
    <t>Gutierrez, Hugo</t>
  </si>
  <si>
    <t>Hooey, Betty
2621 Exline Street
Dallas, TX 75215</t>
  </si>
  <si>
    <t>Hooey, Betty</t>
  </si>
  <si>
    <t>Love, Jeff
3744 Inwood
Houston, TX 77019</t>
  </si>
  <si>
    <t>Love, Jeff</t>
  </si>
  <si>
    <t>Peters, Mike
11007 Hunters Park Dr
Houston, TX 77024</t>
  </si>
  <si>
    <t>Peters, Mike</t>
  </si>
  <si>
    <t>Cammack, Kerry
919 Congress Ave
Austin, TX 78701</t>
  </si>
  <si>
    <t>Cammack, Kerry</t>
  </si>
  <si>
    <t>Glenn, Eric
3916 Coopers Hawk Cove
Austin, TX 78738</t>
  </si>
  <si>
    <t>Glenn, Eric</t>
  </si>
  <si>
    <t>Hawley, Brad
600 Congress Ave
Austin, TX 78738</t>
  </si>
  <si>
    <t>Hawley, Brad</t>
  </si>
  <si>
    <t>Hodge, Daniel
405 W 14th St
Austin, TX 78701</t>
  </si>
  <si>
    <t>Hodge, Daniel</t>
  </si>
  <si>
    <t>Jones, Buddy
823 Congress Ave
Austin, TX 78701</t>
  </si>
  <si>
    <t>Jones, Buddy</t>
  </si>
  <si>
    <t>Keffer, James
1105 S Seaman St
Eastland, TX 76448</t>
  </si>
  <si>
    <t>Keffer, James</t>
  </si>
  <si>
    <t>Bracewell PAC
711 Louisiana St
Houston, TX 77002</t>
  </si>
  <si>
    <t>Bracewell PAC</t>
  </si>
  <si>
    <t>Gulf States Toyota State PAC
1375 Enclave Parkway
Houston, TX 77077</t>
  </si>
  <si>
    <t>Gulf States Toyota State PAC</t>
  </si>
  <si>
    <t>Kelley, Rusty
919 Congress Ave
Austin, TX 78701</t>
  </si>
  <si>
    <t>Kelley, Rusty</t>
  </si>
  <si>
    <t>Long, Wade
2004 Stamford Ln
Austin, TX 78703</t>
  </si>
  <si>
    <t>Long, Wade</t>
  </si>
  <si>
    <t>Nosek, Nicole
6 Basin Ledge East
West Lake Hills, TX 78746</t>
  </si>
  <si>
    <t>Nosek, Nicole</t>
  </si>
  <si>
    <t>Texas Association of Realtors MetroTex PAC
PO Box 2246
Austin, TX 78768</t>
  </si>
  <si>
    <t>Texas Association of Realtors MetroTex PAC</t>
  </si>
  <si>
    <t>Health Care Service Corp. PAC
300 East Randolph St
Chicago, IL 60601</t>
  </si>
  <si>
    <t>Health Care Service Corp. PAC</t>
  </si>
  <si>
    <t>Lee, Sheila Jackson
4412 Almeda Rd
Houston, TX 77004</t>
  </si>
  <si>
    <t>Lee, Sheila Jackson</t>
  </si>
  <si>
    <t>Hardwick, Herbert
2405 Grand Boulevard
Kansas City, MO 64108</t>
  </si>
  <si>
    <t>Hardwick, Herbert</t>
  </si>
  <si>
    <t>Locke Lord LLP PAC
2200 Ross Ave
Dallas, TX 75201</t>
  </si>
  <si>
    <t>Locke Lord LLP PAC</t>
  </si>
  <si>
    <t>Hunton Andrews Kurth PAC
600 Travis
Houston, TX 77002</t>
  </si>
  <si>
    <t>Hunton Andrews Kurth PAC</t>
  </si>
  <si>
    <t>Madden, John
8080 N Central Expy
Dallas, TX 75206</t>
  </si>
  <si>
    <t>Madden, John</t>
  </si>
  <si>
    <t>Garraway, Selwyn
106 Greenwich St
New York, NY 10006</t>
  </si>
  <si>
    <t>Mani, Chithrai
4005 Dawn Dr
Flower Mound, TX 75022</t>
  </si>
  <si>
    <t>Mani, Chithrai</t>
  </si>
  <si>
    <t>Jakes, T.D.
3703 Patience Blvd
Dallas, TX 75236</t>
  </si>
  <si>
    <t>Jakes, T.D.</t>
  </si>
  <si>
    <t>Iwasko, Ava
4420 Cedarbrush Dr
Dallas, TX 75287</t>
  </si>
  <si>
    <t>Iwasko, Ava</t>
  </si>
  <si>
    <t>Rothenberger, Reagan
4315 Brooktree Ln
Dallas, TX 75287</t>
  </si>
  <si>
    <t>Rothenberger, Reagan</t>
  </si>
  <si>
    <t>Rubin, Brent
7103 Coronado Ave
Dallas, TX 75214</t>
  </si>
  <si>
    <t>Rubin, Brent</t>
  </si>
  <si>
    <t>Velvin, Elaine
12418 Montego Plaza
Dallas, TX 75230</t>
  </si>
  <si>
    <t>Velvin, Elaine</t>
  </si>
  <si>
    <t>Page, Marcia
330 Las Colinas Blvd E
Irving, TX 75039</t>
  </si>
  <si>
    <t>Page, Marcia</t>
  </si>
  <si>
    <t>Neumann, Dave
6318 Turner Way
Dallas, TX 75039</t>
  </si>
  <si>
    <t>Neumann, Dave</t>
  </si>
  <si>
    <t>Taylor, Catherine
5600 West Lovers Lane
Dallas, TX 75209</t>
  </si>
  <si>
    <t>Taylor, Catherine</t>
  </si>
  <si>
    <t>Jackson, Sarah
8600 Thackery St
Dallas, TX 75225</t>
  </si>
  <si>
    <t>Jackson, Sarah</t>
  </si>
  <si>
    <t>Carter, Margot
3913 Amherst Ave
Dallas, TX 75225</t>
  </si>
  <si>
    <t>Carter, Margot</t>
  </si>
  <si>
    <t>Yoxall, Thomas
2519 Cambria Blvd
Dallas, TX 75214</t>
  </si>
  <si>
    <t>Yoxall, Thomas</t>
  </si>
  <si>
    <t>Luther, David
619 Kessler Springs Ave
Dallas, TX 75208</t>
  </si>
  <si>
    <t>Mann, Bruce
24 Linnaean Street
Cambridge, MA 02138</t>
  </si>
  <si>
    <t>Mann, Bruce</t>
  </si>
  <si>
    <t>Lutin, Jason
3216 Princeton Ave
Dallas, TX 75205</t>
  </si>
  <si>
    <t>Lutin, Jason</t>
  </si>
  <si>
    <t>Culbreath, Betty
630 Villa Creek Dr
Duncanville, TX 75137</t>
  </si>
  <si>
    <t>Culbreath, Betty</t>
  </si>
  <si>
    <t>Sacher, Sury and David
7225 South Janmar court
Dallas, TX 75230</t>
  </si>
  <si>
    <t>Sacher, Sury and David</t>
  </si>
  <si>
    <t>Renfro, Liz &amp; Mel
8211 Hunnicut Rd
Dallas, TX 75228</t>
  </si>
  <si>
    <t>Renfro, Liz &amp; Mel</t>
  </si>
  <si>
    <t>Vaught, Allen
6122 Palo Pinto Ave
Dallas, TX 75214</t>
  </si>
  <si>
    <t>Vaught, Allen</t>
  </si>
  <si>
    <t>Ku, Charles
148 Red Oak Lane
Flower Mound, TX 75028</t>
  </si>
  <si>
    <t>Ku, Charles</t>
  </si>
  <si>
    <t>Sampson, DeMetris
2207 Elderoaks Lane
Dallas, TX 75232</t>
  </si>
  <si>
    <t>Dominguez, Jeffrey
3112 Windsor Road
Austin, TX 78703</t>
  </si>
  <si>
    <t>Dominguez, Jeffrey</t>
  </si>
  <si>
    <t>Okon, Louis
7219 Kenny Lane
Dallas, TX 75230</t>
  </si>
  <si>
    <t>Okon, Louis</t>
  </si>
  <si>
    <t>Knaupe, Gregg
800 Westbrook Dr
West Lake, TX 78746</t>
  </si>
  <si>
    <t>Knaupe, Gregg</t>
  </si>
  <si>
    <t>Wynne, Katherine
342 N Manus Dr
Dallas, TX 75224</t>
  </si>
  <si>
    <t>Wynne, Katherine</t>
  </si>
  <si>
    <t>Gump, Richard
6015 Oakcrest Road
Dallas, TX 75248</t>
  </si>
  <si>
    <t>Gump, Richard</t>
  </si>
  <si>
    <t>Koch, Justin
12132 Fieldwood Lane
Dallas, TX 75244</t>
  </si>
  <si>
    <t>Koch, Justin</t>
  </si>
  <si>
    <t>Ross, Darmetta
3107 W Camp Wisdom
Dallas, TX 75237</t>
  </si>
  <si>
    <t>Ross, Darmetta</t>
  </si>
  <si>
    <t>Johnson, Lelious
1256 Payne Dr
Lancaster, TX 75134</t>
  </si>
  <si>
    <t>Johnson, Lelious</t>
  </si>
  <si>
    <t>Brown, David
4719 Cole Ave
Dallas, TX 75205</t>
  </si>
  <si>
    <t>Brown, David</t>
  </si>
  <si>
    <t>Brock, Anthony
5915 Mesa Brook Ln
Houston, TX 77041</t>
  </si>
  <si>
    <t>Brock, Anthony</t>
  </si>
  <si>
    <t>Griffith, Gary
6875 Carolyncrest Drive
Dallas, TX 75214</t>
  </si>
  <si>
    <t>Mondell, Fonya
1918 Moser Ave
Dallas, TX 75206</t>
  </si>
  <si>
    <t>Mondell, Fonya</t>
  </si>
  <si>
    <t>Dym, Kevin
7928 Fallowmeadow Ln
Dallas, TX 75206</t>
  </si>
  <si>
    <t>Scovell, Tyler Dupree
7034 Alexander Dr
Dallas, TX 75214</t>
  </si>
  <si>
    <t>Scovell, Tyler Dupree</t>
  </si>
  <si>
    <t>Bullock, Robert and Sue
8020 Frankford Rd
Dallas, TX 75252</t>
  </si>
  <si>
    <t>Bullock, Robert and Sue</t>
  </si>
  <si>
    <t>Popolo, Joe
9002 Douglas Ave
Dallas, TX 75225</t>
  </si>
  <si>
    <t>Popolo, Joe</t>
  </si>
  <si>
    <t>Capelo, Jaime
401 W 15th St
Austin, TX 78701</t>
  </si>
  <si>
    <t>Capelo, Jaime</t>
  </si>
  <si>
    <t>Feinstein, Ari
7047 Currin Dr
Dallas, TX 75230</t>
  </si>
  <si>
    <t>Feinstein, Ari</t>
  </si>
  <si>
    <t>Lazof, Chenza
2555 N Pearl St
Dallas, TX 75201</t>
  </si>
  <si>
    <t>Senat, Doran
1410 Iowa Ave
Dallas, TX 75216</t>
  </si>
  <si>
    <t>Senat, Doran</t>
  </si>
  <si>
    <t>Botefuhr, John
10119 Estacado Dr
Dallas, TX 75228</t>
  </si>
  <si>
    <t>Botefuhr, John</t>
  </si>
  <si>
    <t>Phillips, Slay
506 Sacramento Dr
Austin, TX 78704</t>
  </si>
  <si>
    <t>Phillips, Slay</t>
  </si>
  <si>
    <t>Oliver, Jesse
3812 Holliday Rd
Dallas, TX 75224</t>
  </si>
  <si>
    <t>Tolbert, Marah
1700 Cedar Springs Rd
Dallas, TX 75202</t>
  </si>
  <si>
    <t>Tolbert, Marah</t>
  </si>
  <si>
    <t>Sacher, Mervyn
12115 Talmay Dr
Dallas, TX 75230</t>
  </si>
  <si>
    <t>Sacher, Mervyn</t>
  </si>
  <si>
    <t>Paley, Andrew
6022 Windbreak Tr
Dallas, TX 75252</t>
  </si>
  <si>
    <t>Paley, Andrew</t>
  </si>
  <si>
    <t>Houston, Matt
1504 Boca Chica Dr
Dallas, TX 75232</t>
  </si>
  <si>
    <t>Houston, Matt</t>
  </si>
  <si>
    <t>Fowler, Joe Bart
4720 Rockcliff Rd
Austin, TX 78746</t>
  </si>
  <si>
    <t>Fowler, Joe Bart</t>
  </si>
  <si>
    <t>Clark, Sandra
6029 S R L Thornton Fwy
Dallas, TX 75232</t>
  </si>
  <si>
    <t>Clark, Sandra</t>
  </si>
  <si>
    <t>Hurst, Michael
2100 Ross Ave
Dallas, TX 75201</t>
  </si>
  <si>
    <t>Hurst, Michael</t>
  </si>
  <si>
    <t>Tony, Bryan
1500 Pecos St
Dallas, TX 75204</t>
  </si>
  <si>
    <t>Tony, Bryan</t>
  </si>
  <si>
    <t>Luallen, Brian
2772 Gaston Ave
Dallas, TX 75226</t>
  </si>
  <si>
    <t>Luallen, Brian</t>
  </si>
  <si>
    <t>Williams, Johnette
1609 Lauren Springs Court
DeSoto, TX 75115</t>
  </si>
  <si>
    <t>Williams, Johnette</t>
  </si>
  <si>
    <t>Davenport, Cheryl
7575 S Westmoreland
Dallas, TX 75237</t>
  </si>
  <si>
    <t>Davenport, Cheryl</t>
  </si>
  <si>
    <t>Mueller, Jason
10331 Sherbrook Ln
Dallas, TX 75229</t>
  </si>
  <si>
    <t>Mueller, Jason</t>
  </si>
  <si>
    <t>Shirejian, George
10404 Westlawn
Dallas, TX 75229</t>
  </si>
  <si>
    <t>Shirejian, George</t>
  </si>
  <si>
    <t>Toney, Keith
4619 Wedgecrest Dr
Dallas, TX 75232</t>
  </si>
  <si>
    <t>Toney, Keith</t>
  </si>
  <si>
    <t>Starling, Christina
8501 Old Hickory Trail
Dallas, TX 75237</t>
  </si>
  <si>
    <t>Starling, Christina</t>
  </si>
  <si>
    <t>Kazora, Benedict
637 Medinah Rd
Red Oak, TX 75154</t>
  </si>
  <si>
    <t>Kazora, Benedict</t>
  </si>
  <si>
    <t>Parker, Petey
1717 Arts Plaza
Dallas, TX 75201</t>
  </si>
  <si>
    <t>Parker, Petey</t>
  </si>
  <si>
    <t>Cager, Rubye
5315 Rocky Ridge Rd
Dallas, TX 75241</t>
  </si>
  <si>
    <t>Cager, Rubye</t>
  </si>
  <si>
    <t>Johnson, Willis
1700 Pacific Ave
Dallas, TX 75201</t>
  </si>
  <si>
    <t>Twining, Kevin
8122 San Benito Way
Dallas, TX 75218</t>
  </si>
  <si>
    <t>Twining, Kevin</t>
  </si>
  <si>
    <t>Parish, Deborah
3114 Dorrington Cir
Dallas, TX 75228</t>
  </si>
  <si>
    <t>Parish, Donald
3114 Dorrington Cir
Dallas, TX 75228</t>
  </si>
  <si>
    <t>Parish, Donald</t>
  </si>
  <si>
    <t>Davidson, John Mark
9010 Eustis Ave
Dallas, TX 75218</t>
  </si>
  <si>
    <t>Davidson, John Mark</t>
  </si>
  <si>
    <t>Vaca, Nina
10670 N Central Expy
Dallas, TX 75231</t>
  </si>
  <si>
    <t>Vaca, Nina</t>
  </si>
  <si>
    <t>Hinojosa, Gustavo
4431 Holland Ave
Dallas, TX 75219</t>
  </si>
  <si>
    <t>Hinojosa, Gustavo</t>
  </si>
  <si>
    <t>Harris, Tonie
1503 Tubman Road Southeast
Washington, DC 20020</t>
  </si>
  <si>
    <t>Harris, Tonie</t>
  </si>
  <si>
    <t>Meade, Nikelle
5363 Austral Loop
Austin, TX 78739</t>
  </si>
  <si>
    <t>Meade, Nikelle</t>
  </si>
  <si>
    <t>Satterthwaite, Gwendolyn
4804 Cape Coral Dr
Dallas, TX 75287</t>
  </si>
  <si>
    <t>Satterthwaite, Gwendolyn</t>
  </si>
  <si>
    <t>Kutac, Gary &amp; Angela
1552 San Saba Dr
Dallas, TX 75218</t>
  </si>
  <si>
    <t>Kutac, Gary &amp; Angela</t>
  </si>
  <si>
    <t>Sandler, Derek
6426 Woodland Dr
Dallas, TX 75225</t>
  </si>
  <si>
    <t>Sandler, Derek</t>
  </si>
  <si>
    <t>Thomas, Bart
608 Belhaven
Allen, TX 75013</t>
  </si>
  <si>
    <t>Thomas, Bart</t>
  </si>
  <si>
    <t>Brown, James
16805 Deer Park Dr
Dallas, TX 75248</t>
  </si>
  <si>
    <t>Brown, James</t>
  </si>
  <si>
    <t>McCullough, JoAnne
7239 Lane Park Dr
Dallas, TX 75225</t>
  </si>
  <si>
    <t>McCullough, JoAnne</t>
  </si>
  <si>
    <t>Woodlief, Mari
3864 West Beverly
Dallas, TX 75209</t>
  </si>
  <si>
    <t>Kazee, Eric
517 Cedarwood St
Aubrey, TX 76227</t>
  </si>
  <si>
    <t>Kazee, Eric</t>
  </si>
  <si>
    <t>Champion, Ocie
3629 Vilbig Road
Dallas, TX 75212</t>
  </si>
  <si>
    <t>Champion, Ocie</t>
  </si>
  <si>
    <t>Burrell, Monica
PO Box 851991
Mesquite, TX 75185</t>
  </si>
  <si>
    <t>Burrell, Monica</t>
  </si>
  <si>
    <t>Lester, James
6363 W Camp Wisdom
Dallas, TX 75236</t>
  </si>
  <si>
    <t>Lester, James</t>
  </si>
  <si>
    <t>Tran, Jimmy
5024 Denton Dr
Dallas, TX 75235</t>
  </si>
  <si>
    <t>Tran, Jimmy</t>
  </si>
  <si>
    <t>Roberts, Whit
3600 Rosedale
Dallas, TX 75205</t>
  </si>
  <si>
    <t>Roberts, Whit</t>
  </si>
  <si>
    <t>Williams, Yolanda
1012 Pindar Ave
Dallas, TX 75217</t>
  </si>
  <si>
    <t>Williams, Yolanda</t>
  </si>
  <si>
    <t>Jones, Kelly
1731 Eagle River Trail
Lancaster, TX 75146</t>
  </si>
  <si>
    <t>Jones, Kelly</t>
  </si>
  <si>
    <t>Taylor, Sharain
2105 Kessler Court
Dallas, TX 75208</t>
  </si>
  <si>
    <t>Taylor, Sharain</t>
  </si>
  <si>
    <t>Egan, Danielle
4512 Belclaire Ave
Dallas, TX 75205</t>
  </si>
  <si>
    <t>Egan, Danielle</t>
  </si>
  <si>
    <t>Stewart, Alecia
10616 Big Thicket Dr
Dallas, TX 75217</t>
  </si>
  <si>
    <t>Stewart, Alecia</t>
  </si>
  <si>
    <t>Borick, Steven
2707 Kipling St
Houston, TX 77098</t>
  </si>
  <si>
    <t>Borick, Steven</t>
  </si>
  <si>
    <t>Kelly, Gary
2702 Love Field Dr
Dallas, TX 75235</t>
  </si>
  <si>
    <t>Kelly, Gary</t>
  </si>
  <si>
    <t>Johnson, Leander
3111 N Houston St
Dallas, TX 75219</t>
  </si>
  <si>
    <t>Johnson, Leander</t>
  </si>
  <si>
    <t>Brown, Clara
4541 Crown Knoll Cir
Dallas, TX 75232</t>
  </si>
  <si>
    <t>Brown, Clara</t>
  </si>
  <si>
    <t>Frazier, Karen
2829 Trailhouse Dr
Dallas, TX 75237</t>
  </si>
  <si>
    <t>Frazier, Karen</t>
  </si>
  <si>
    <t>Notes:
This is an analysis of unique last names that contributed to Dallas Elections.
This may include family members' contributions and unrelated people who share the same last name
Ignore the struck-through numbers. The straw donation calculations are done on Sheet 2</t>
  </si>
  <si>
    <t>Above Column helps find permutations like these:
1. HUSBAND
2. WIFE
3. HUSBAND AND WIFE
In the 2021 city elections, this was a statistically significant pattern of familial contributions
This pattern helped donors to fly under the radar w.r.t. above-limit contributions</t>
  </si>
  <si>
    <t>Above limits calculated as $1,000 x N
Where N is the number of unique first names associated with the last name.</t>
  </si>
  <si>
    <t>Notes:
The above table calculates the donations made to candidates that are above the legal limit.
This starts with an aggregation of contributions made by last name, shown in the table to the left.
This above table uses the total 'familial' contributions, and subtracts the maximum legal contribution for the 'family'.
The maximum legal contribution for a 'family' is determined by the number of unique first names within the 'family' multiplied by $1000 (or $10,000 for mayor)</t>
  </si>
  <si>
    <t>Setnick, Benjamin
222 Lakeridge Dr
Dallas, TX 75218</t>
  </si>
  <si>
    <t>Setnick, Benjamin</t>
  </si>
  <si>
    <t># of Last Names that Exceeded Limit</t>
  </si>
  <si>
    <t>Total Contributions Exceeding Limit for Last Name
(Accounts for Individuals who share same last name)</t>
  </si>
  <si>
    <t>Sum of Contributions per Last Name minus $1000
(indicator of straw donations used to bypass single-donor limits)</t>
  </si>
  <si>
    <t>% Contributions Exceeding Limit Compared to Total Contributions</t>
  </si>
  <si>
    <t>Murchison, Maggie
10131 Gaywood Rd
Dallas, TX 75229</t>
  </si>
  <si>
    <t>Percent of Straw Donations above the single-donor limit vs. Total Contributions</t>
  </si>
  <si>
    <t>Jones, Dale
700 Park Regency Place
Atlanta, GA 30326</t>
  </si>
  <si>
    <t>Jones, Dale</t>
  </si>
  <si>
    <t>Townsend, KB
PO Box 720231
Dallas, TX 75372</t>
  </si>
  <si>
    <t>Townsend, KB</t>
  </si>
  <si>
    <t>Number of Last Names with more than 1 person</t>
  </si>
  <si>
    <t>Haggerty, Clint
1221 Manufacturing St
Dallas, TX 75207</t>
  </si>
  <si>
    <t>Haggerty, Clint</t>
  </si>
  <si>
    <t>Total Number of Unique Last Names</t>
  </si>
  <si>
    <t>Koop, Linda
15210 Leafy Ln
Dallas, TX 75248</t>
  </si>
  <si>
    <t>Koop, Linda</t>
  </si>
  <si>
    <t>Number of Last Names that include "and" indicating a donation on behalf of a married couple</t>
  </si>
  <si>
    <t>Feuer, Ian
822 Kings Canyon Court
Coppell, TX 75019</t>
  </si>
  <si>
    <t>Feuer, Ian</t>
  </si>
  <si>
    <t>Dorantes, Alan
1908 Emilia Dr
Celina, TX 75009</t>
  </si>
  <si>
    <t>Dorantes, Alan</t>
  </si>
  <si>
    <t>King, Delva
1243 W Pleasant Run Road
Desoto, TX 75115</t>
  </si>
  <si>
    <t>King, Delva</t>
  </si>
  <si>
    <t>Conley, Paige
10429 Yorkford Dr
Dallas, TX 75238</t>
  </si>
  <si>
    <t>Conley, Paige</t>
  </si>
  <si>
    <t>Hill, Kendall
3126 Ross Ave
Dallas, TX 75204</t>
  </si>
  <si>
    <t>Hill, Kendall</t>
  </si>
  <si>
    <t>Jones, Venton
1075 Griffin St W
Dallas, TX 75215</t>
  </si>
  <si>
    <t>Jones, Venton</t>
  </si>
  <si>
    <t>Larosiliere, Tracy
6604 Briar Ridge Lane
Plano, TX 75024</t>
  </si>
  <si>
    <t>Larosiliere, Tracy</t>
  </si>
  <si>
    <t>Huerta, Daniel
1414 Cedar Hill
Dallas, TX 75208</t>
  </si>
  <si>
    <t>Starnes, Darrell
11937 Denton Dr
Dallas, TX 75234</t>
  </si>
  <si>
    <t>Starnes, Darrell</t>
  </si>
  <si>
    <t>Joyner, Oscar
1512 Nelson Dr
Irving, TX 75038</t>
  </si>
  <si>
    <t>Joyner, Oscar</t>
  </si>
  <si>
    <t>Robinson, David
1720 Dartmouth Dr
Glenn Heights, TX 75154</t>
  </si>
  <si>
    <t>Robinson, David</t>
  </si>
  <si>
    <t>Vindas, Andrea
448 W 19th St
Houston, TX 77008</t>
  </si>
  <si>
    <t>Vindas, Andrea</t>
  </si>
  <si>
    <t>Silva, Carlos
901 Lakeside Cir
Lewisville, TX 75057</t>
  </si>
  <si>
    <t>Silva, Carlos</t>
  </si>
  <si>
    <t>Syed, Sana
3838 Oak Lawn
Dallas, TX 75219</t>
  </si>
  <si>
    <t>Syed, Sana</t>
  </si>
  <si>
    <t>Mier, Dan
8515 San Benito Way
Dallas, TX 75218</t>
  </si>
  <si>
    <t>Mier, Dan</t>
  </si>
  <si>
    <t>Ford, Chris
8047 Moss Meadows Dr
Dallas, TX 75231</t>
  </si>
  <si>
    <t>Ford, Chris</t>
  </si>
  <si>
    <t>Warner, Michael
4727 Arvilla Lane
Houston, TX 77021</t>
  </si>
  <si>
    <t>Moore, Matt
5807 Still Forest Dr
Dallas, TX 75252</t>
  </si>
  <si>
    <t>Moore, Matt</t>
  </si>
  <si>
    <t>Garfield, Ray
6306 Stonehill Dr
Dallas, TX 75254</t>
  </si>
  <si>
    <t>Garfield, Ray</t>
  </si>
  <si>
    <t>Price, Mandy
6303 Revere Place
Dallas, TX 75214</t>
  </si>
  <si>
    <t>Price, Mandy</t>
  </si>
  <si>
    <t>Kelly, Patrick
6544 Winton Street
Dallas, TX 75214</t>
  </si>
  <si>
    <t>Kelly, Patrick</t>
  </si>
  <si>
    <t>Coleman, William
6643 Prairie Flower Trail
Dallas, TX 75227</t>
  </si>
  <si>
    <t>Coleman, William</t>
  </si>
  <si>
    <t>Perryman, Sally
6138 Woodland Dri
Dallas, TX 75225</t>
  </si>
  <si>
    <t>Perryman, Sally</t>
  </si>
  <si>
    <t>Perryman, Thomas
6138 Woodland Dr
Dallas, TX 75225</t>
  </si>
  <si>
    <t>Perryman, Thomas</t>
  </si>
  <si>
    <t>Segura, Rodolfo
9706 Maplehill Dr
Dallas, TX 75238</t>
  </si>
  <si>
    <t>Segura, Rodolfo</t>
  </si>
  <si>
    <t>Hubbard, Michael
1510 Redbird Dr
Garland, TX 75043</t>
  </si>
  <si>
    <t>Hubbard, Michael</t>
  </si>
  <si>
    <t>Webb, Crayton
5505 W University Blvd
Dallas, TX 75209</t>
  </si>
  <si>
    <t>Webb, Crayton</t>
  </si>
  <si>
    <t>Dunning, Tom &amp; Sally
9239 Hathaway St
Dallas, TX 75220</t>
  </si>
  <si>
    <t>Dunning, Tom &amp; Sally</t>
  </si>
  <si>
    <t>Henry, Justin
7012 Lindsley Ave
Dallas, TX 75223</t>
  </si>
  <si>
    <t>Henry, Justin</t>
  </si>
  <si>
    <t>Sadler, Tamara
1113 Bordeaux
DeSoto, TX 75115</t>
  </si>
  <si>
    <t>Sadler, Tamara</t>
  </si>
  <si>
    <t>Walters, Robert
2001 Ross Ave
Dallas, TX 75201</t>
  </si>
  <si>
    <t>Walters, Robert</t>
  </si>
  <si>
    <t>Malveaux, Mark
6138 Desco Dr
Dallas, TX 75225</t>
  </si>
  <si>
    <t>Malveaux, Mark</t>
  </si>
  <si>
    <t>Enobakhare, Jesuorobo
305 W Commerce St
Dallas, TX 75208</t>
  </si>
  <si>
    <t>Enobakhare, Jesuorobo</t>
  </si>
  <si>
    <t>McDougal, Matthew
4001 Ross Ave
Dallas, TX 75205</t>
  </si>
  <si>
    <t>Matthews, Jack
120 Winding Creek Way
Argyle, TX 76226</t>
  </si>
  <si>
    <t>Matthews, Jack</t>
  </si>
  <si>
    <t>Lashlee, Rhett
3500 Villanova St
Dallas, TX 75225</t>
  </si>
  <si>
    <t>Christian, Doretha
8112 Fox Creek Trail
Dallas, TX 75249</t>
  </si>
  <si>
    <t>Christian, Doretha</t>
  </si>
  <si>
    <t>Cabrales, David
2021 McKinney Ave
Dallas, TX 75201</t>
  </si>
  <si>
    <t>Cabrales, David</t>
  </si>
  <si>
    <t>Tsao, William
6435 Riverview Lane
Dallas, TX 75252</t>
  </si>
  <si>
    <t>Tsao, William</t>
  </si>
  <si>
    <t>Odom, Anita
1708 Richlen
Dallas, TX 75115</t>
  </si>
  <si>
    <t>Odom, Anita</t>
  </si>
  <si>
    <t>Garcia, Matthew
500 N Akard St
Dallas, TX 75201</t>
  </si>
  <si>
    <t>Garcia, Matthew</t>
  </si>
  <si>
    <t>Garcia, Matthew
7415 Chattington Dr
Dallas, TX 75248</t>
  </si>
  <si>
    <t>Brunson, Albert
8328 Mountainview Dr
Dallas, TX 75249</t>
  </si>
  <si>
    <t>Brunson, Albert</t>
  </si>
  <si>
    <t>Flournoy, LaTonya
2303 Ave H
Grand Prairie, TX 75050</t>
  </si>
  <si>
    <t>Flournoy, LaTonya</t>
  </si>
  <si>
    <t>Lester, Cedric
512 N Hampton Road
DeSoto, TX 75115</t>
  </si>
  <si>
    <t>Lester, Cedric</t>
  </si>
  <si>
    <t>Luce, Tom
7338 Lane Park Dr
Dallas, TX 75225</t>
  </si>
  <si>
    <t>Luce, Tom</t>
  </si>
  <si>
    <t>Hall, Steve &amp; Joy
5959 Royal Lane
Dallas, TX 75230</t>
  </si>
  <si>
    <t>Hall, Steve &amp; Joy</t>
  </si>
  <si>
    <t>Hopper, John
8821 Tudor Pl
Dallas, TX 75228</t>
  </si>
  <si>
    <t>Hopper, John</t>
  </si>
  <si>
    <t>Washburne, Ray
47 Highland Park Village
Dallas, TX 75205</t>
  </si>
  <si>
    <t>Washburne, Ray</t>
  </si>
  <si>
    <t>Goldman, Bridget
4312 Larchmont St
Dallas, TX 75205</t>
  </si>
  <si>
    <t>Goldman, Bridget</t>
  </si>
  <si>
    <t>Keyes, Katrina
3839 McKinney Ave
Dallas, TX 75244</t>
  </si>
  <si>
    <t>Keyes, Katrina</t>
  </si>
  <si>
    <t>Pailet, Jeff
7308 Williamswood Dr
Dallas, TX 75252</t>
  </si>
  <si>
    <t>Pailet, Jeff</t>
  </si>
  <si>
    <t>Walne, Alan
120 Rayflex Dr
Richardson, TX 75081</t>
  </si>
  <si>
    <t>Walne, Alan</t>
  </si>
  <si>
    <t>Hernandez, James
1236 W 18th St
Houston, TX 77008</t>
  </si>
  <si>
    <t>Hernandez, James</t>
  </si>
  <si>
    <t>Collie, Robert
5939 Pine Forest Road
Houston, TX 77057</t>
  </si>
  <si>
    <t>Collie, Robert</t>
  </si>
  <si>
    <t>Johnson, Willis
1001 Belleview St
Dallas, TX 75215</t>
  </si>
  <si>
    <t>Taylor, David
11307 Coloma Lane
Houston, TX 77024</t>
  </si>
  <si>
    <t>Taylor, David</t>
  </si>
  <si>
    <t>Cox, Jonathan
1415 North Loop West
Houston, TX 77024</t>
  </si>
  <si>
    <t>Cox, Jonathan</t>
  </si>
  <si>
    <t>Pradia, Troy
1415 N Loop West
Houston, TX 77004</t>
  </si>
  <si>
    <t>Pradia, Troy</t>
  </si>
  <si>
    <t>Lee, Jason
3602 Garrott St
Houston, TX 77006</t>
  </si>
  <si>
    <t>Lee, Jason</t>
  </si>
  <si>
    <t>Deckard, Chassidy
409 Travis St
Houston, TX 77002</t>
  </si>
  <si>
    <t>Deckard, Chassidy</t>
  </si>
  <si>
    <t>Stanton, James
6125 Luther Ln
Dallas, TX 75225</t>
  </si>
  <si>
    <t>Stanton, James</t>
  </si>
  <si>
    <t>Nosek, Nicole
6 Basin Ledge East
West Lake, TX 78746</t>
  </si>
  <si>
    <t>Murchison, Robert
5430 LBJ Fwy
Dallas, TX 75240</t>
  </si>
  <si>
    <t>Idoux, Steve
6123 Orchid Lane
Dallas, TX 75230</t>
  </si>
  <si>
    <t>Idoux, Steve</t>
  </si>
  <si>
    <t>Pick, Jacki
10134 Waller Dr
Dallas, TX 75229</t>
  </si>
  <si>
    <t>Pick, Jacki</t>
  </si>
  <si>
    <t>Deason, Doug
10134 Waller Dr
Dallas, TX 75229</t>
  </si>
  <si>
    <t>Deason, Doug</t>
  </si>
  <si>
    <t>Miller, Ronald
7920 Beltline
Dallas, TX 75254</t>
  </si>
  <si>
    <t>Miller, Ronald</t>
  </si>
  <si>
    <t>Martin, Jack
100 Crescent Court
Dallas, TX 75201</t>
  </si>
  <si>
    <t>Martin, Jack</t>
  </si>
  <si>
    <t>Kress, Barnett
1400 Hardouin Ave
Austin, TX 78703</t>
  </si>
  <si>
    <t>Kress, Barnett</t>
  </si>
  <si>
    <t>Sampson, Demetris
2207 Elderoaks Ln
Dallas, TX 75232</t>
  </si>
  <si>
    <t>Gruber, Mike
1918 Olive St
Dallas, TX 75201</t>
  </si>
  <si>
    <t>Chapman, Jeffrey
4851 Harrys Lane
Dallas, TX 75229</t>
  </si>
  <si>
    <t>Chapman, Jeffrey</t>
  </si>
  <si>
    <t>Todd, Shawn
400 Ervay
Dallas, TX 75201</t>
  </si>
  <si>
    <t>Todd, Shawn</t>
  </si>
  <si>
    <t>Seay, George
2626 Cole Ave
Dallas, TX 75204</t>
  </si>
  <si>
    <t>Seay, George</t>
  </si>
  <si>
    <t>Lonsdale, Joe
2407 S Congress Ave
Austin, TX 78704</t>
  </si>
  <si>
    <t>Lonsdale, Joe</t>
  </si>
  <si>
    <t>Jakes, T.D.
8416 Meadowbrook Rd
Fort Worth, TX 76120</t>
  </si>
  <si>
    <t>Hicks, Thomas
310 First Street Southeast
Washington, DC 20003</t>
  </si>
  <si>
    <t>Hicks, Thomas</t>
  </si>
  <si>
    <t>Johnson, Avery
1401 Elm St
Dallas, TX 75202</t>
  </si>
  <si>
    <t>Johnson, Avery</t>
  </si>
  <si>
    <t>Ryan, George &amp; Amanda
PO Box 803447
Dallas, TX 75380</t>
  </si>
  <si>
    <t>Ryan, George &amp; Amanda</t>
  </si>
  <si>
    <t>Vasquez, Mary
1709 East Ave
Katy, TX 77493</t>
  </si>
  <si>
    <t>Vasquez, Mary</t>
  </si>
  <si>
    <t>Crow, Katherine
4700 Preston Rd
Dallas, TX 75205</t>
  </si>
  <si>
    <t>Crow, Katherine</t>
  </si>
  <si>
    <t>Crow, Harlan
3819 Maple Ave
Dallas, TX 75219</t>
  </si>
  <si>
    <t>HBA of Greater Dallas HOMEPAC
5816 W. Plano Pkwy
Plano, TX 75093</t>
  </si>
  <si>
    <t>HBA of Greater Dallas HOMEPAC</t>
  </si>
  <si>
    <t>Mazziotta, Beth
7114 Royal Lane
Dallas, TX 75230</t>
  </si>
  <si>
    <t>Mazziotta, Beth</t>
  </si>
  <si>
    <t>Hunt, Ray
1900 N Akard Street
Dallas, TX 75201</t>
  </si>
  <si>
    <t>Stein, Sheldon
9338 Meadowbrook Dr
Dallas, TX 75220</t>
  </si>
  <si>
    <t>Stein, Barbara
9338 Meadowbrook Dr
Dallas, TX 75220</t>
  </si>
  <si>
    <t>Stein, Barbara</t>
  </si>
  <si>
    <t>Burk, Leland
5311 Park Ln
Dallas, TX 75220</t>
  </si>
  <si>
    <t>Burk, Leland</t>
  </si>
  <si>
    <t>Deitchman, Buzz and Nancy
17205 Wester Way Ct
Dallas, TX 75248</t>
  </si>
  <si>
    <t>Deitchman, Buzz and Nancy</t>
  </si>
  <si>
    <t>Goad, Robert
7034 Lattimore Dr
Dallas, TX 75252</t>
  </si>
  <si>
    <t>Goad, Robert</t>
  </si>
  <si>
    <t>Cohen, Doug
2731 Satsuma Dr
Dallas, TX 75229</t>
  </si>
  <si>
    <t>Cohen, Doug</t>
  </si>
  <si>
    <t>Clore, William
9613 Watkins Rd
Laytonsville, MD 20882</t>
  </si>
  <si>
    <t>Clore, William</t>
  </si>
  <si>
    <t>Whitman Bobbitt, Jeanne
4500 Roland Ave
Dallas, TX 75219</t>
  </si>
  <si>
    <t>Whitman Bobbitt, Jeanne</t>
  </si>
  <si>
    <t>Frauman, Mindy
74315 Midbury Drive
Dallas, TX 75230</t>
  </si>
  <si>
    <t>Frauman, Mindy</t>
  </si>
  <si>
    <t>Koslin, Rochelle
3456 Brook Mountain Lane
Birmingham, AL 35223</t>
  </si>
  <si>
    <t>Koslin, Rochelle</t>
  </si>
  <si>
    <t>Barnett, Miriam
14020 Hughes Lane
Dallas, TX 75254</t>
  </si>
  <si>
    <t>Barnett, Miriam</t>
  </si>
  <si>
    <t>Tsao, William Ming Tzong
6435 Riverview Lane
Dallas, TX 75248</t>
  </si>
  <si>
    <t>Tsao, William Ming Tzong</t>
  </si>
  <si>
    <t>Epstein, Dia
6 Ryddington Place
Dallas, TX 75230</t>
  </si>
  <si>
    <t>Epstein, Dia</t>
  </si>
  <si>
    <t>Forbes, Jeff
10159 Coveridge Drive
Dallas, TX 75238</t>
  </si>
  <si>
    <t>Forbes, Jeff</t>
  </si>
  <si>
    <t>Stack, Carter
7304 Malabar Ln
Dallas, TX 75230</t>
  </si>
  <si>
    <t>Stack, Carter</t>
  </si>
  <si>
    <t>Krakow, Robert
4258 Shorecrest Drive
Dallas, TX 75209</t>
  </si>
  <si>
    <t>Krakow, Robert</t>
  </si>
  <si>
    <t>Loomis, Jo
6857 Greenwich Lane
Dallas, TX 75230</t>
  </si>
  <si>
    <t>Loomis, Jo</t>
  </si>
  <si>
    <t>Feldman, Cynthia
5358 Meaders Ln
Dallas, TX 75229</t>
  </si>
  <si>
    <t>Feldman, Cynthia</t>
  </si>
  <si>
    <t>Baird, Jerry
6918 Lloyd Valley Ln
Dallas, TX 75230</t>
  </si>
  <si>
    <t>Baird, Jerry</t>
  </si>
  <si>
    <t>Nicklaus Sabin, Patricia
12606 Breckenridge Drive
Dallas, TX 75230</t>
  </si>
  <si>
    <t>Nicklaus Sabin, Patricia</t>
  </si>
  <si>
    <t>Heller, Stephen
6740 Harvest Glen Dr
Dallas, TX 75248</t>
  </si>
  <si>
    <t>Heller, Stephen</t>
  </si>
  <si>
    <t>Rutchik, Morris
5200 Keller Springs Road
Dallas, TX 75248</t>
  </si>
  <si>
    <t>Rutchik, Morris</t>
  </si>
  <si>
    <t>Wilkofsky, Susan
11651 Hillcrest Rd
Dallas, TX 75230</t>
  </si>
  <si>
    <t>Wilkofsky, Susan</t>
  </si>
  <si>
    <t>Radunsky, Barbara
12015 Excelsior Way
Dallas, TX 75230</t>
  </si>
  <si>
    <t>Radunsky, Barbara</t>
  </si>
  <si>
    <t>Swartzbaugh, Nathan
7716 Royal Ln
Dallas, TX 75230</t>
  </si>
  <si>
    <t>Swartzbaugh, Nathan</t>
  </si>
  <si>
    <t>Erback, Elaine
7731 Royal Lane
Dallas, TX 75230</t>
  </si>
  <si>
    <t>Erback, Elaine</t>
  </si>
  <si>
    <t>Ohayon, Jacques
6246 Dykes Way
dallas, TX 75230</t>
  </si>
  <si>
    <t>Ohayon, Jacques</t>
  </si>
  <si>
    <t>Rothschild, Barry
6915 Currin Drive
Dallas, TX 75230</t>
  </si>
  <si>
    <t>Rothschild, Barry</t>
  </si>
  <si>
    <t>Smith, Suzanne
3210 Carlisle Street
Dallas, TX 75204</t>
  </si>
  <si>
    <t>Nayeb, Farhad
10515 Lennox Ln
Dallas, TX 75229</t>
  </si>
  <si>
    <t>Nayeb, Farhad</t>
  </si>
  <si>
    <t>Kittleson, Terry
7051 Orchid Lane
Dallas, TX 75230</t>
  </si>
  <si>
    <t>Kittleson, Terry</t>
  </si>
  <si>
    <t>Mersky, Charles
7406 Midbury Drive
Dallas, TX 75230</t>
  </si>
  <si>
    <t>Mersky, Charles</t>
  </si>
  <si>
    <t>Ginsburg, Lawrence
6911 Oak Manor Drive
Dallas, TX 75230</t>
  </si>
  <si>
    <t>Ginsburg, Lawrence</t>
  </si>
  <si>
    <t>Mizrahi, Jennifer
1306 Beachview Rd
Annapolis, MD 21403</t>
  </si>
  <si>
    <t>Mizrahi, Jennifer</t>
  </si>
  <si>
    <t>Lee, Carl
12045 Edgestone Road
Dallas, TX 75230</t>
  </si>
  <si>
    <t>Lee, Carl</t>
  </si>
  <si>
    <t>Hebley, Sandi
12304 Shiremont Drive
Dallas, TX 75230</t>
  </si>
  <si>
    <t>Hebley, Sandi</t>
  </si>
  <si>
    <t>Milstein, Robert
6440 Preston Crest Lane
Dallas, TX 75230</t>
  </si>
  <si>
    <t>Milstein, Robert</t>
  </si>
  <si>
    <t>Jonas, Hylton
4615 Briar Oaks Circle
Dallas, TX 75287</t>
  </si>
  <si>
    <t>Jonas, Hylton</t>
  </si>
  <si>
    <t>Duplantis, Kandi
5202 Harbor Town Dr
Dallas, TX 75287</t>
  </si>
  <si>
    <t>Duplantis, Kandi</t>
  </si>
  <si>
    <t>Jordan, Cris
4843 Junius Street
Dallas, TX 75246</t>
  </si>
  <si>
    <t>Jordan, Cris</t>
  </si>
  <si>
    <t>Chafetz, Paul
12006 De Or
Dallas, TX 75230</t>
  </si>
  <si>
    <t>Chafetz, Paul</t>
  </si>
  <si>
    <t>Palmer, Wendy
7715 Midbury Drive
Dallas, TX 75230</t>
  </si>
  <si>
    <t>Palmer, Wendy</t>
  </si>
  <si>
    <t>Fried, Randall
6263 Prestoncrest Ln
Dallas, TX 75230</t>
  </si>
  <si>
    <t>Fried, Randall</t>
  </si>
  <si>
    <t>Cohen, Howard
13209 Roaring Springs Lane
Dallas, TX 75240</t>
  </si>
  <si>
    <t>Cohen, Howard</t>
  </si>
  <si>
    <t>Fritts, Jeff
14108 Regency Place
Dallas, TX 75254</t>
  </si>
  <si>
    <t>Fritts, Jeff</t>
  </si>
  <si>
    <t>Gallant, Ann
7231 Northaven Road
Dallas, TX 75230</t>
  </si>
  <si>
    <t>Gallant, Ann</t>
  </si>
  <si>
    <t>Sims, Mike
6121 Lavendale Ave
Dallas, TX 75230</t>
  </si>
  <si>
    <t>Sims, Mike</t>
  </si>
  <si>
    <t>Weber, Angela
6007 Meadow Crest Drive
Dallas, TX 75230</t>
  </si>
  <si>
    <t>Weber, Angela</t>
  </si>
  <si>
    <t>Pogson, Anne
12112 Talmay Drive
Dallas, TX 75230</t>
  </si>
  <si>
    <t>Pogson, Anne</t>
  </si>
  <si>
    <t>Leibs, Arlene
11607 St Michaels Dr
Dallas, TX 75035</t>
  </si>
  <si>
    <t>Leibs, Arlene</t>
  </si>
  <si>
    <t>Meltzer, Hedy
13345 Peyton Drive
Dallas, TX 75240</t>
  </si>
  <si>
    <t>Meltzer, Hedy</t>
  </si>
  <si>
    <t>Romaner, Carla
2902 Victoria Circle
Coconut Creek, FL 33066</t>
  </si>
  <si>
    <t>Romaner, Carla</t>
  </si>
  <si>
    <t>Radoff, Michael
16814 Thomas Chapel Drive
Dallas, TX 75248</t>
  </si>
  <si>
    <t>Radoff, Michael</t>
  </si>
  <si>
    <t>Raffkind, Eliot
6527 Westgate Drive
Dallas, TX 75254</t>
  </si>
  <si>
    <t>Raffkind, Eliot</t>
  </si>
  <si>
    <t>Brown, Ike
909 Lake Carolyn Parkway
Irving, TX 75039</t>
  </si>
  <si>
    <t>Brown, Ike</t>
  </si>
  <si>
    <t>Scofield, Paula
21 Ashton Court
Dallas, TX 75230</t>
  </si>
  <si>
    <t>Scofield, Paula</t>
  </si>
  <si>
    <t>Willard, Carolyn
7132 Helsem Bend Circle
Dallas, TX 75230</t>
  </si>
  <si>
    <t>Willard, Carolyn</t>
  </si>
  <si>
    <t>Glazer, Barbara
5665 Arapaho Rd
Dallas, TX 75248</t>
  </si>
  <si>
    <t>Glazer, Barbara</t>
  </si>
  <si>
    <t>Suffness, Dorit
6961 Brookshire Dr
Dallas, TX 75230</t>
  </si>
  <si>
    <t>Suffness, Dorit</t>
  </si>
  <si>
    <t>Suttle, Karen
12526 Sunlight Drive
Dallas, TX 75230</t>
  </si>
  <si>
    <t>Suttle, Karen</t>
  </si>
  <si>
    <t>Epstein, Bentzi
6107 Prestoncrest Ln
Dallas, TX 75230</t>
  </si>
  <si>
    <t>Epstein, Bentzi</t>
  </si>
  <si>
    <t>Marcum, Janet
7714 Maplecrest Drive
Dallas, TX 75254</t>
  </si>
  <si>
    <t>Marcum, Janet</t>
  </si>
  <si>
    <t>Steinberg, Jeffrey
6130 Preston Haven Dr
Dallas, TX 75230</t>
  </si>
  <si>
    <t>Steinberg, Jeffrey</t>
  </si>
  <si>
    <t>Friedman, Colin
5200 Keller Springs Road
Dallas, TX 75248</t>
  </si>
  <si>
    <t>Friedman, Colin</t>
  </si>
  <si>
    <t>Arbetter, Fonda
4140 Rainsong
Dallas, TX 75287</t>
  </si>
  <si>
    <t>Arbetter, Fonda</t>
  </si>
  <si>
    <t>Pulley, Tegwin
11435 Hillcrest Road
Dallas, TX 75230</t>
  </si>
  <si>
    <t>Pulley, Tegwin</t>
  </si>
  <si>
    <t>Sample, Susan
11731 Saint Michaels Dr
Dallas, TX 75230</t>
  </si>
  <si>
    <t>Sample, Susan</t>
  </si>
  <si>
    <t>Sahuc, Philip
10828 Pagewood Dr
Dallas, TX 75230</t>
  </si>
  <si>
    <t>Sahuc, Philip</t>
  </si>
  <si>
    <t>Worden, Lawrence
2019 Old Orchard Dr
Dallas, TX 75208</t>
  </si>
  <si>
    <t>Worden, Lawrence</t>
  </si>
  <si>
    <t>Redifer, Patricia
14105 Regency Place
Dallas, TX 75254</t>
  </si>
  <si>
    <t>Redifer, Patricia</t>
  </si>
  <si>
    <t>Magadini, Tricy
11417 Saint Michaels Drive
Dallas, TX 75230</t>
  </si>
  <si>
    <t>Magadini, Tricy</t>
  </si>
  <si>
    <t>Cohen, Arbe
13105 Roaring Springs Lane
Dallas, TX 75240</t>
  </si>
  <si>
    <t>Cohen, Arbe</t>
  </si>
  <si>
    <t>Johnson, Willis
1001 Belleview
Dallas, TX 75215</t>
  </si>
  <si>
    <t>Kofoed, Peter
7122 Brookshire Circle
Dallas, TX 75230</t>
  </si>
  <si>
    <t>Kofoed, Peter</t>
  </si>
  <si>
    <t>Zale, Donald
26 Stonecourt Drive
Dallas, TX 75225</t>
  </si>
  <si>
    <t>Zale, Donald</t>
  </si>
  <si>
    <t>West, Chad
3606 S Tyler Street
Dallas, TX 75224</t>
  </si>
  <si>
    <t>West, Chad</t>
  </si>
  <si>
    <t>Friedland, Ellen
519 Westbourne Dr
West Hollywood, CA 90048</t>
  </si>
  <si>
    <t>Friedland, Ellen</t>
  </si>
  <si>
    <t>Goldberg, Marshal
7215 S Janmar Dr
Dallas, TX 75339</t>
  </si>
  <si>
    <t>Goldberg, Marshal</t>
  </si>
  <si>
    <t>Weiner, Harvey
6101 Ohio Drive
Plano, TX 75024</t>
  </si>
  <si>
    <t>Weiner, Harvey</t>
  </si>
  <si>
    <t>Cheirif, Heidy
6027 Shetland Drive
Dallas, TX 75230</t>
  </si>
  <si>
    <t>Cheirif, Heidy</t>
  </si>
  <si>
    <t>Steinbrecher, Janyce
7452 Malabar Lane
Dallas, TX 75230</t>
  </si>
  <si>
    <t>Steinbrecher, Janyce</t>
  </si>
  <si>
    <t>Hampton, Joanna
5408 Swiss Avenue
Dallas, TX 75214</t>
  </si>
  <si>
    <t>Hampton, Joanna</t>
  </si>
  <si>
    <t>Seymour, Jeffrey
7806 Yamini Dr
Dallas, TX 75230</t>
  </si>
  <si>
    <t>Seymour, Jeffrey</t>
  </si>
  <si>
    <t>Chafetz, Paul
12255 Montego Plaza
Dallas, TX 75230</t>
  </si>
  <si>
    <t>Waldman, Helen
17005 Preston Bend Drive
Dallas, TX 75248</t>
  </si>
  <si>
    <t>Waldman, Helen</t>
  </si>
  <si>
    <t>Schwarz, Janice
12107 Prestonridge Road
Dallas, TX 75230</t>
  </si>
  <si>
    <t>Schwarz, Janice</t>
  </si>
  <si>
    <t>Steinfield, David
11603 High Forest Drive
Dallas, TX 75230</t>
  </si>
  <si>
    <t>Steinfield, David</t>
  </si>
  <si>
    <t>Rosenberg, Steven
12036 Arbargee Cir
DALLAS, TX 75230</t>
  </si>
  <si>
    <t>Rosenberg, Steven</t>
  </si>
  <si>
    <t>Presby, Ellen
8210 Vitex Ave
Dallas, TX 75252</t>
  </si>
  <si>
    <t>Presby, Ellen</t>
  </si>
  <si>
    <t>Cheatham, Diane
PO Box 191166
Dallas, TX 75219</t>
  </si>
  <si>
    <t>Cheatham, Diane</t>
  </si>
  <si>
    <t>Hodes, Daniel
19 North Vista De Catalina
Laguna Beach, CA 92651</t>
  </si>
  <si>
    <t>Hodes, Daniel</t>
  </si>
  <si>
    <t>Schenkel, Peter
614 North Bishop Avenue
Dallas, TX 75208</t>
  </si>
  <si>
    <t>Schenkel, Peter</t>
  </si>
  <si>
    <t>Lyle, Bobby
34 Masland Circle
Dallas, TX 75230</t>
  </si>
  <si>
    <t>Lyle, Bobby</t>
  </si>
  <si>
    <t>Kleinman, Mark
6926 Midbury Dr
Dallas, TX 75230</t>
  </si>
  <si>
    <t>Kleinman, Mark</t>
  </si>
  <si>
    <t>Hoppenstein, Carole Ann
3831 Duchess Trail
Dallas, TX 75229</t>
  </si>
  <si>
    <t>Hoppenstein, Carole Ann</t>
  </si>
  <si>
    <t>Meyerson, Morton
8604 Turtle Creek Boulevard
Dallas, TX 75225</t>
  </si>
  <si>
    <t>Meyerson, Morton</t>
  </si>
  <si>
    <t>Mackler, Scott
12123 Edgestone Rd
Dallas, TX 75230</t>
  </si>
  <si>
    <t>Mackler, Scott</t>
  </si>
  <si>
    <t>Rabin, Stanley
24 Downs Lake Circle
Dallas, TX 75230</t>
  </si>
  <si>
    <t>Rabin, Stanley</t>
  </si>
  <si>
    <t>Polsky, Debra
15221 Berry Trail
Dallas, TX 75248</t>
  </si>
  <si>
    <t>Polsky, Debra</t>
  </si>
  <si>
    <t>Kaseff, Barry
6508 Overhill Road
Mission Hills, KS 66208</t>
  </si>
  <si>
    <t>Kaseff, Barry</t>
  </si>
  <si>
    <t>Houck, Trish
1547 Cedar Hill Ave
Dallas, TX 75208</t>
  </si>
  <si>
    <t>Houck, Trish</t>
  </si>
  <si>
    <t>Ward, John
5020 Abbott Avenue
Dallas, TX 75205</t>
  </si>
  <si>
    <t>Ward, John</t>
  </si>
  <si>
    <t>Rubin, Ron
150 Carondelet Plaza
Clayton, MO 63105</t>
  </si>
  <si>
    <t>Rubin, Ron</t>
  </si>
  <si>
    <t>Hunt, Ray
1900 North Akard Street
Dallas, TX 75201</t>
  </si>
  <si>
    <t>Hunt, Ray
1900 N. Akard Street
Dallas, TX 75201</t>
  </si>
  <si>
    <t>Southwest Airlines Co. Freedom Fund
PO Box 36611
Dallas, TX 75235</t>
  </si>
  <si>
    <t>Southwest Airlines Co. Freedom Fund</t>
  </si>
  <si>
    <t>HERMANN, SCOTTY
405 Londonderry Suite 106
WACO, TX 76712</t>
  </si>
  <si>
    <t>HERMANN, SCOTTY</t>
  </si>
  <si>
    <t>Pankey, Julie
3435 Wendy Lane
Dallas, TX 75214</t>
  </si>
  <si>
    <t>Pankey, Julie</t>
  </si>
  <si>
    <t>Hurley, S.J.
2227 Vantage Street
Dallas, TX 75207</t>
  </si>
  <si>
    <t>Hurley, S.J.</t>
  </si>
  <si>
    <t>Casto, Larry
2500 McKinney Ave
Dallas, TX 75201</t>
  </si>
  <si>
    <t>Casto, Larry</t>
  </si>
  <si>
    <t>Spellicy, Courtney
7117 Wake Forrest Drive
Dallas, TX 75214</t>
  </si>
  <si>
    <t>McCrary, Michael
1302 Bellaire Dr
Grapevine, TX 76051</t>
  </si>
  <si>
    <t>McCrary, Michael</t>
  </si>
  <si>
    <t>Byrne, J Tim
3720 Miramar Ave
Dallas, TX 75205</t>
  </si>
  <si>
    <t>Byrne, J Tim</t>
  </si>
  <si>
    <t>Courtwright, Jeff
6785 Avalon Ave
Dallas, TX 75214</t>
  </si>
  <si>
    <t>Courtwright, Jeff</t>
  </si>
  <si>
    <t>Halfmann, Zoe
3565 Waldorf
Dallas, TX 75229</t>
  </si>
  <si>
    <t>Halfmann, Zoe</t>
  </si>
  <si>
    <t>Reed, Holly
7123 La Vista
Dallas, TX 75214</t>
  </si>
  <si>
    <t>Robin Autopilot Holdings, LLC
8400 Esters Blvd Ste 150
Irving, TX 75063</t>
  </si>
  <si>
    <t>Robin Autopilot Holdings, LLC</t>
  </si>
  <si>
    <t>Coats Rose P.C. PAC
9 Greenway Plaza Ste. 1000
Houston, TX 77046</t>
  </si>
  <si>
    <t>Coats Rose P.C. PAC</t>
  </si>
  <si>
    <t>See, Alonzo
6507 Bob O Link Dr
Dallas, TX 75214</t>
  </si>
  <si>
    <t>See, Alonzo</t>
  </si>
  <si>
    <t>Henry, Barry
1717 Arts Plaza Residence 1801
Dallas, TX 75201</t>
  </si>
  <si>
    <t>Dann, Mark
9510 West Lake Highlands Drive
Dallas, TX 75218</t>
  </si>
  <si>
    <t>Dann, Mark</t>
  </si>
  <si>
    <t>Veale, Michael
1717 Arts Plaza 2207
Dallas, TX 75201</t>
  </si>
  <si>
    <t>Forsythe Lill, Veletta
622 Blair Blvd.
Dallas, TX 75223</t>
  </si>
  <si>
    <t>Forsythe Lill, Veletta</t>
  </si>
  <si>
    <t>Wallace, Chris
4235 Castle Rock Court
IRVING, TX 75038</t>
  </si>
  <si>
    <t>Coyle, Grady
6524 Winton St
Dallas, TX 75214</t>
  </si>
  <si>
    <t>Coyle, Grady</t>
  </si>
  <si>
    <t>Newton, Karen
10415 Fern Dr
Dallas, TX 75228</t>
  </si>
  <si>
    <t>Conner, Terry
7110 Lakewood Boulevard
Dallas, TX 75214</t>
  </si>
  <si>
    <t>HBA of Greater Dallas HOME PAC
5816 West Plano Pkwy
Plano, TX 75093</t>
  </si>
  <si>
    <t>HBA of Greater Dallas HOME PAC</t>
  </si>
  <si>
    <t>Pouland, John
345 Patriot Drive
Buda, TX 78610</t>
  </si>
  <si>
    <t>Pouland, John</t>
  </si>
  <si>
    <t>Dawson Thompson, Roslyn
2 Botsford Court
Dallas, TX 75225</t>
  </si>
  <si>
    <t>Dawson Thompson, Roslyn</t>
  </si>
  <si>
    <t>Saab, Elizabeth
7344 Edgerton Drive
Dallas, TX 75231</t>
  </si>
  <si>
    <t>Saab, Elizabeth</t>
  </si>
  <si>
    <t>Grant, Joseph
4305 Overhill
Dallas, TX 75205</t>
  </si>
  <si>
    <t>Grant, Joseph</t>
  </si>
  <si>
    <t>Mason, George
6821 Carolyncrest Dr
Dallas, TX 75214</t>
  </si>
  <si>
    <t>Ybarra, Manny
2390 Westchester Dr
Lucas, TX 75002</t>
  </si>
  <si>
    <t>Ybarra, Manny</t>
  </si>
  <si>
    <t>Raymond, Anne
4111 W. Lawther
Dallas, TX 75214</t>
  </si>
  <si>
    <t>Raymond, Anne</t>
  </si>
  <si>
    <t>Clay, Barbara
8246 Forest Hills Blvd
Dallas, TX 75218</t>
  </si>
  <si>
    <t>Clay, Barbara</t>
  </si>
  <si>
    <t>Cook, Mary
1942 Malone Cliff View
Dallas, TX 75208</t>
  </si>
  <si>
    <t>Cook, Mary</t>
  </si>
  <si>
    <t>Syler, Terry
6661 Lakewood Boulevard
DALLAS, TX 75214</t>
  </si>
  <si>
    <t>Ellis, Thomas
6872 BURWOOD LN
DALLAS, TX 75214</t>
  </si>
  <si>
    <t>Ellis, Thomas</t>
  </si>
  <si>
    <t>Hoyt, Karen
7152 Dalewood Lane
Dallas, TX 75214</t>
  </si>
  <si>
    <t>Hoyt, Karen</t>
  </si>
  <si>
    <t>Hofland, Amy
7278 Williamson Circle
Dallas, TX 75214</t>
  </si>
  <si>
    <t>Hofland, Amy</t>
  </si>
  <si>
    <t>Casey, Karen
6100 Tremont St
Dallas, TX 75214</t>
  </si>
  <si>
    <t>Boone, Garrett
4809 Cole Ave
Dallas, TX 75205</t>
  </si>
  <si>
    <t>Boone, Garrett</t>
  </si>
  <si>
    <t>Elevation Management, LLC
6208 Copperhill Drive
Dallas, TX 75248</t>
  </si>
  <si>
    <t>Elevation Management, LLC</t>
  </si>
  <si>
    <t>England, Andy
6567 Anita Street
Dallas, TX 75214</t>
  </si>
  <si>
    <t>England, Andy</t>
  </si>
  <si>
    <t>Vandiver, Rich
6705 Bob O Link Drive
Dallas, TX 75214</t>
  </si>
  <si>
    <t>Vandiver, Rich</t>
  </si>
  <si>
    <t>Garcia, Ryan
8102 Old Moss Road
Dallas, TX 75231</t>
  </si>
  <si>
    <t>Matthews, John
320 West Main Street
Lewisville, TX 75057</t>
  </si>
  <si>
    <t>Matthews, John</t>
  </si>
  <si>
    <t>Hoffman, Alan
9010 Groveland Drive
Dallas, TX 75218</t>
  </si>
  <si>
    <t>Linderman, Tricia
4409 Westside
Dallas, TX 75209</t>
  </si>
  <si>
    <t>Linderman, Tricia</t>
  </si>
  <si>
    <t>Schulz, Amanda
5943 Palo Pinto Avenue
Dallas, TX 75206</t>
  </si>
  <si>
    <t>Hays, Brandon
440 Parkhurst Dr
Dallas, TX 75218</t>
  </si>
  <si>
    <t>Hays, Brandon</t>
  </si>
  <si>
    <t>SMITH, Jake
3700 E Randol Mill Road
Arlington, TX 76011</t>
  </si>
  <si>
    <t>SMITH, Jake</t>
  </si>
  <si>
    <t>Hamilton, Jane Hope
623 Aspen Valley Lane
Dallas, TX 75208</t>
  </si>
  <si>
    <t>Hamilton, Jane Hope</t>
  </si>
  <si>
    <t>Rigelsky, Jay
6342 Belmont
Dallas, TX 75214</t>
  </si>
  <si>
    <t>Rigelsky, Jay</t>
  </si>
  <si>
    <t>Williams, Kirk
3012 Rosedale Avenue
Dallas, TX 75205</t>
  </si>
  <si>
    <t>Williams, Kirk</t>
  </si>
  <si>
    <t>Proctor, John Lee
1524 Oak Meadows
Dallas, TX 75232</t>
  </si>
  <si>
    <t>Proctor, John Lee</t>
  </si>
  <si>
    <t>Lopez, Roy
4326 Meadowdale
Dallas, TX 75229</t>
  </si>
  <si>
    <t>Lopez, Roy</t>
  </si>
  <si>
    <t>Melton, Warren
613 Mt. Auburn
Dallas, TX 75223</t>
  </si>
  <si>
    <t>Melton, Warren</t>
  </si>
  <si>
    <t>Goldwater, Andrea
40637 Annabelle Glen Place
Aldie, VA 20105</t>
  </si>
  <si>
    <t>Goldwater, Andrea</t>
  </si>
  <si>
    <t>Sievers, Lisa
8238 Barbaree Boulevard
Dallas, TX 75228</t>
  </si>
  <si>
    <t>Sievers, Lisa</t>
  </si>
  <si>
    <t>Rodriguez, Minerva
400 North Saint Paul Street 300
Dallas, TX 75201</t>
  </si>
  <si>
    <t>Rodriguez, Minerva</t>
  </si>
  <si>
    <t>Valach, Kenneth
5 Lazee Trail
Houston, TX 77024</t>
  </si>
  <si>
    <t>Valach, Kenneth</t>
  </si>
  <si>
    <t>Crow, Katherine
4700 Preston
Dallas, TX 75205</t>
  </si>
  <si>
    <t>Holloway, Mike and
1505 Elm St 1004
DALLAS, TX 75201</t>
  </si>
  <si>
    <t>Holloway, Mike and</t>
  </si>
  <si>
    <t>Bratton, Calvert Collins
4738 Hallmark Drive
Dallas, TX 75229</t>
  </si>
  <si>
    <t>Bratton, Calvert Collins</t>
  </si>
  <si>
    <t>Kraft, Eric
7039 Lakeshore Drive
Dallas, TX 75214</t>
  </si>
  <si>
    <t>Kraft, Eric</t>
  </si>
  <si>
    <t>Bryant, Kevin
4463 Brookview Dr
Dallas, TX 75220</t>
  </si>
  <si>
    <t>Bryant, Kevin</t>
  </si>
  <si>
    <t>Crow, Trammell
4000 Rock Creek Drive
Dallas, TX 75204</t>
  </si>
  <si>
    <t>Boruff, Darren
6445 Lake Circle Drive
Dallas, TX 75214</t>
  </si>
  <si>
    <t>Boruff, Darren</t>
  </si>
  <si>
    <t>Coats, Sam
26 Ryddington Pl
Dallas, TX 75230</t>
  </si>
  <si>
    <t>Coats, Sam</t>
  </si>
  <si>
    <t>Finkelman, Lois
11437 West Ricks Circle
Dallas, TX 75230</t>
  </si>
  <si>
    <t>Finkelman, Lois</t>
  </si>
  <si>
    <t>Smith, Suzanne
3210 Carlisle Street No 62
Dallas, TX 75204</t>
  </si>
  <si>
    <t>Owen, Jennifer
6541 Arborist Lane
Dallas, TX 75214</t>
  </si>
  <si>
    <t>Green, Rhonda
6646 E. Lovers Lane
Dallas, TX 75214</t>
  </si>
  <si>
    <t>Green, Rhonda</t>
  </si>
  <si>
    <t>Dalton, Jeff
8552 Royal County Down Drive
McKinney, TX 75070</t>
  </si>
  <si>
    <t>Dalton, Jeff</t>
  </si>
  <si>
    <t>Estrada, Erika
10419 Lanshire
Dallas, TX 75238</t>
  </si>
  <si>
    <t>Estrada, Erika</t>
  </si>
  <si>
    <t>Hunter, Terry
2210 Ash Grove Way
Dallas, TX 75228</t>
  </si>
  <si>
    <t>Hunter, Terry</t>
  </si>
  <si>
    <t>Kanthor, Pam
230 Barclay Ave
Coppell, TX 75019</t>
  </si>
  <si>
    <t>Kanthor, Pam</t>
  </si>
  <si>
    <t>Reiss, William
2310 Mimosa Pl
Wilmington, NC 28403</t>
  </si>
  <si>
    <t>Reiss, William</t>
  </si>
  <si>
    <t>Grazzini, Alessio
4207 Calculus dr
Dallas, TX 75244</t>
  </si>
  <si>
    <t>Grazzini, Alessio</t>
  </si>
  <si>
    <t>Lin, Gilbert
8498 Banquo Dr
Dallas, TX 75228</t>
  </si>
  <si>
    <t>Lin, Gilbert</t>
  </si>
  <si>
    <t>Donovan, Carol
6509 Malcolm Drive
Dallas, TX 75214</t>
  </si>
  <si>
    <t>Donovan, Carol</t>
  </si>
  <si>
    <t>Overby, Debra
8530 Bacardi Dr
Dallas, TX 75238</t>
  </si>
  <si>
    <t>Overby, Debra</t>
  </si>
  <si>
    <t>Ginsberg, Elizabeth
6172 Preston Haven
Dallas, TX 75230</t>
  </si>
  <si>
    <t>Ginsberg, Elizabeth</t>
  </si>
  <si>
    <t>Noble, Kristy
9821 Estacado Dr
Dallas, TX 75228</t>
  </si>
  <si>
    <t>Noble, Kristy</t>
  </si>
  <si>
    <t>Feustel, Christi
7301 LAKEWOOD BLVD
DALLAS, TX 75214</t>
  </si>
  <si>
    <t>Feustel, Christi</t>
  </si>
  <si>
    <t>Piper, Victoria
179 Highland
Hamilton, MA 19820</t>
  </si>
  <si>
    <t>Piper, Victoria</t>
  </si>
  <si>
    <t>Walsh, Joshua
2525 North Henderson Avenue
Dallas, TX 75206</t>
  </si>
  <si>
    <t>Walsh, Joshua</t>
  </si>
  <si>
    <t>Gearing, Charles
9332 Mercer Dr
Dallas, TX 75228</t>
  </si>
  <si>
    <t>Dorminy, Sean
9318 Wildahven Drive
Dallas, TX 75238</t>
  </si>
  <si>
    <t>Dorminy, Sean</t>
  </si>
  <si>
    <t>Nettles, Archie
18959 Lina St
Dallas, TX 75287</t>
  </si>
  <si>
    <t>Nettles, Archie</t>
  </si>
  <si>
    <t>Hasenbauer, Brian
9811 Estate Lane
DALLAS, TX 75238</t>
  </si>
  <si>
    <t>Hasenbauer, Brian</t>
  </si>
  <si>
    <t>Mills, Rosanne
6906 Casa Loma Ave
Dallas, TX 75214</t>
  </si>
  <si>
    <t>Mills, Rosanne</t>
  </si>
  <si>
    <t>Odum, Ania
4249 W Goret Road
Tucson, AZ 85745</t>
  </si>
  <si>
    <t>Odum, Ania</t>
  </si>
  <si>
    <t>Guynes, Adrienne
6646 E. Lovers Lane
Dallas, TX 75214</t>
  </si>
  <si>
    <t>Guynes, Adrienne</t>
  </si>
  <si>
    <t>Skemp, Douglas
511 N. Akard Street
Dallas, TX 75201</t>
  </si>
  <si>
    <t>Skemp, Douglas</t>
  </si>
  <si>
    <t>Christen, FL
4833 W. Lawther Drive
Dallas, TX 75214</t>
  </si>
  <si>
    <t>Christen, FL</t>
  </si>
  <si>
    <t>Keen Homes LLC
6953 Bob O Link
Dallas, TX 75214</t>
  </si>
  <si>
    <t>Keen Homes LLC</t>
  </si>
  <si>
    <t>Caldwell, James
3511 Trinity Meadows
Midland, TX 79707</t>
  </si>
  <si>
    <t>Caldwell, James</t>
  </si>
  <si>
    <t>Jones, Edwin
1316 Parkview Lane
Murphy, TX 75094</t>
  </si>
  <si>
    <t>Jones, Edwin</t>
  </si>
  <si>
    <t>Carey, Jeff
300 E. Round Grove
Lewisville, TX 75067</t>
  </si>
  <si>
    <t>Page, Tony
3210 Carlyle
Dallas, TX 75204</t>
  </si>
  <si>
    <t>Page, Tony</t>
  </si>
  <si>
    <t>Puente, Eric
2400 Catherine
Dallas, TX 75208</t>
  </si>
  <si>
    <t>Puente, Eric</t>
  </si>
  <si>
    <t>Sanders, Jerri
2351 W Northwest Hwy
Dallas, TX 75235</t>
  </si>
  <si>
    <t>Sanders, Jerri</t>
  </si>
  <si>
    <t>Park, Mangu
4253 Hunt Dr
Carrollton, TX 75010</t>
  </si>
  <si>
    <t>Park, Mangu</t>
  </si>
  <si>
    <t>Byrne, Tim
3720 Miramar
Dallas, TX 75205</t>
  </si>
  <si>
    <t>Hunt, Ray
1900 N Akard
Dallas, TX 75201</t>
  </si>
  <si>
    <t>Pitchford, Joseph
200 Crescent Court
Dallas, TX 75201</t>
  </si>
  <si>
    <t>Pitchford, Joseph</t>
  </si>
  <si>
    <t>Butts, Kelem
3030 McKinney
Dallas, TX 75204</t>
  </si>
  <si>
    <t>Butts, Kelem</t>
  </si>
  <si>
    <t>Naul, Alan
3899 Maple Ave
Dallas, TX 75219</t>
  </si>
  <si>
    <t>Naul, Alan</t>
  </si>
  <si>
    <t>Casey, Karen
6100 Tremont
Dallas, TX 75214</t>
  </si>
  <si>
    <t>Ohland, Bill
0000 P.O. Box 140810
Dallas, TX 75214</t>
  </si>
  <si>
    <t>Ohland, Bill</t>
  </si>
  <si>
    <t>Pankey, Julie
3435 Wendy Ln.
Dallas, TX 75214</t>
  </si>
  <si>
    <t>Pankey, Judson
3435 Wendy Ln.
Dallas, TX 75214</t>
  </si>
  <si>
    <t>Pankey, Judson</t>
  </si>
  <si>
    <t>Flabiano, Noah and Molly
5402 Emerson Ave
Dallas, TX 75209</t>
  </si>
  <si>
    <t>Flabiano, Noah and Molly</t>
  </si>
  <si>
    <t>Leslie, Joann and Brian
6226 McCommas
Dallas, TX 75214</t>
  </si>
  <si>
    <t>Leslie, Joann and Brian</t>
  </si>
  <si>
    <t>Sleeper, Neal
3374 Blackburn
Dallas, TX 75201</t>
  </si>
  <si>
    <t>Schieber, Laura and Chad
3209 Drexel Dr
Dallas, TX 75205</t>
  </si>
  <si>
    <t>Schieber, Laura and Chad</t>
  </si>
  <si>
    <t>McNamara, Donald
3899 Maple Ave
Dallas, TX 75219</t>
  </si>
  <si>
    <t>McNamara, Donald</t>
  </si>
  <si>
    <t>Cobb, Phil
3839 McKinney Ave.
Dallas, TX 75204</t>
  </si>
  <si>
    <t>Cobb, Phil</t>
  </si>
  <si>
    <t>Friedman, Richard
20 University Rd
Cambridge, MA 02138</t>
  </si>
  <si>
    <t>Friedman, Richard</t>
  </si>
  <si>
    <t>Klemm, Nancy
1 Dalton
Boston, MA 02115</t>
  </si>
  <si>
    <t>Klemm, Nancy</t>
  </si>
  <si>
    <t>Montfort, Jesus and Jane
1610 Hyland Greens Dr
Grapevine, TX 76051</t>
  </si>
  <si>
    <t>Montfort, Jesus and Jane</t>
  </si>
  <si>
    <t>Segrest, Matt
3012 Fairmont St.
Dallas, TX 75201</t>
  </si>
  <si>
    <t>Segrest, Matt</t>
  </si>
  <si>
    <t>Martin, VJ
8230 
Dallas, TX 75228</t>
  </si>
  <si>
    <t>Norris, Gina
4240 
Dallas, TX 75219</t>
  </si>
  <si>
    <t>Linebarger Goggan Blair &amp; Sampson, LLC
PO Box 17428
Austin, TX 78760</t>
  </si>
  <si>
    <t>Linebarger Goggan Blair &amp; Sampson, LLC</t>
  </si>
  <si>
    <t>Sifford, Bruce
12221 
Dallas, TX 75251</t>
  </si>
  <si>
    <t>Sifford, Bruce</t>
  </si>
  <si>
    <t>Hebeler, Rulan
3600 
Dallas, TX 75205</t>
  </si>
  <si>
    <t>Hebeler, Rulan</t>
  </si>
  <si>
    <t>Brundage, Ashley
408 
Coppell, TX 75019</t>
  </si>
  <si>
    <t>Brundage, Ashley</t>
  </si>
  <si>
    <t>Lamont, Adam
9432 
Dallas, TX 75243</t>
  </si>
  <si>
    <t>Lamont, Adam</t>
  </si>
  <si>
    <t>Laster, Joseph
2721 
Dallas, TX 75215</t>
  </si>
  <si>
    <t>Laster, Joseph</t>
  </si>
  <si>
    <t>Cambpell, Stewart
6427 
Dallas, TX 75214</t>
  </si>
  <si>
    <t>Cambpell, Stewart</t>
  </si>
  <si>
    <t>Krochtengel, Zachary
17014 
Dallas, TX 75248</t>
  </si>
  <si>
    <t>Krochtengel, Zachary</t>
  </si>
  <si>
    <t>Blackmon, Paula
6333 
Dallas, TX 75214</t>
  </si>
  <si>
    <t>Blackmon, Paula</t>
  </si>
  <si>
    <t>Creuzot, John
8185 
Dallas, TX 75218</t>
  </si>
  <si>
    <t>Foy, Morgan
1777 
Dallas, TX 75202</t>
  </si>
  <si>
    <t>Foy, Morgan</t>
  </si>
  <si>
    <t>Wear, Tyler
5955 
Dallas, TX 75206</t>
  </si>
  <si>
    <t>Wear, Tyler</t>
  </si>
  <si>
    <t>Melton, Lauren
2921 
Dallas, TX 75228</t>
  </si>
  <si>
    <t>Melton, Lauren</t>
  </si>
  <si>
    <t>Melton, Mark
2921 
Dallas, TX 75228</t>
  </si>
  <si>
    <t>Melton, Mark</t>
  </si>
  <si>
    <t>Leal, Chris
1777 
Dallas, TX 75202</t>
  </si>
  <si>
    <t>Matthews, Jack
320 
Lewisville, TX 75057</t>
  </si>
  <si>
    <t>Crockett, Jasmine
PO Box 227235
Dallas, TX 75222</t>
  </si>
  <si>
    <t>Crockett, Jasmine</t>
  </si>
  <si>
    <t>McBee, Lynn
3925 
Dallas, TX 75204</t>
  </si>
  <si>
    <t>Sanders, Tricia
4930 
Garland, TX 75044</t>
  </si>
  <si>
    <t>Sanders, Tricia</t>
  </si>
  <si>
    <t>Rogers, Kevin
6312 
Dallas, TX 75214</t>
  </si>
  <si>
    <t>Rogers, Kevin</t>
  </si>
  <si>
    <t>Silhan, Gailya
6918 
Dallas, TX 75223</t>
  </si>
  <si>
    <t>Silhan, Gailya</t>
  </si>
  <si>
    <t>Freeland, Steve
14801 
Dallas, TX 75254</t>
  </si>
  <si>
    <t>Freeland, Steve</t>
  </si>
  <si>
    <t>Johnson, Eric
3525 
Dallas, TX 75219</t>
  </si>
  <si>
    <t>Montano, Bradley
3525 
Dallas, TX 75219</t>
  </si>
  <si>
    <t>Montano, Bradley</t>
  </si>
  <si>
    <t>Bracken, Robert
6114 
Dallas, TX 75206</t>
  </si>
  <si>
    <t>Bracken, Robert</t>
  </si>
  <si>
    <t>Shelton, Nancy
3913 
Dallas, TX 75205</t>
  </si>
  <si>
    <t>Shelton, Nancy</t>
  </si>
  <si>
    <t>Neil, JoDee
3253 
Dallas, TX 75229</t>
  </si>
  <si>
    <t>Neil, JoDee</t>
  </si>
  <si>
    <t>Bland, Jody
3010 
Dallas, TX 75204</t>
  </si>
  <si>
    <t>Bland, Jody</t>
  </si>
  <si>
    <t>Mccrea, Mitchell
5750 
Dallas, TX 75214</t>
  </si>
  <si>
    <t>Mccrea, Mitchell</t>
  </si>
  <si>
    <t>Keyes, Katrina
3839 
Dallas, TX 75204</t>
  </si>
  <si>
    <t>Mihalopoulos, Frank
4645 
Dallas, TX 75205</t>
  </si>
  <si>
    <t>Price, John
510 
Dallas, TX 75203</t>
  </si>
  <si>
    <t>Price, John</t>
  </si>
  <si>
    <t>Emery, Janice
160 
Swannanoa, NC 28778</t>
  </si>
  <si>
    <t>Emery, Janice</t>
  </si>
  <si>
    <t>Kraus, Peter
4906 
Dallas, TX 75209</t>
  </si>
  <si>
    <t>Kraus, Peter</t>
  </si>
  <si>
    <t>Bazaldua, Daniel
6404 
Arlington, TX 76001</t>
  </si>
  <si>
    <t>Bazaldua, Daniel</t>
  </si>
  <si>
    <t>Myers, Kirk
1604 
Desoto, TX 75115</t>
  </si>
  <si>
    <t>Myers, Kirk</t>
  </si>
  <si>
    <t>Luallen, Brian
2772 
Dallas, TX 75226</t>
  </si>
  <si>
    <t>Heinbaugh, Chris
1801 
Dallas, TX 75204</t>
  </si>
  <si>
    <t>Abrac LLC
2600 
Dallas, TX 75201</t>
  </si>
  <si>
    <t>Abrac LLC</t>
  </si>
  <si>
    <t>Deleon Provisions
1450 
Dallas, TX 75218</t>
  </si>
  <si>
    <t>Deleon Provisions</t>
  </si>
  <si>
    <t>Winn, Tim
398 
Kosse, TX 76653</t>
  </si>
  <si>
    <t>Winn, Tim</t>
  </si>
  <si>
    <t>Chase, Scott
1700 
Dallas, TX 75201</t>
  </si>
  <si>
    <t>Dewar, Clarie
5359 
Dallas, TX 75209</t>
  </si>
  <si>
    <t>Dewar, Clarie</t>
  </si>
  <si>
    <t>Sullivan, Peter
5947 
Dallas, TX 75206</t>
  </si>
  <si>
    <t>Sullivan, Peter</t>
  </si>
  <si>
    <t>Addy, Lydia
3805 
Dallas, TX 75205</t>
  </si>
  <si>
    <t>Patel, Sunil
5122 
Dallas, TX 75210</t>
  </si>
  <si>
    <t>Patel, Sunil</t>
  </si>
  <si>
    <t>Scudder, Kendall
2158 
Dallas, TX 75228</t>
  </si>
  <si>
    <t>Scudder, Kendall</t>
  </si>
  <si>
    <t>Valach, Kenneth
5 
Houston, TX 77024</t>
  </si>
  <si>
    <t>Crow, Katherine
4700 
Dallas, TX 75205</t>
  </si>
  <si>
    <t>Rimal, Karrol
10600 
Austin, TX 78748</t>
  </si>
  <si>
    <t>Rimal, Karrol</t>
  </si>
  <si>
    <t>Crow, Harlan
3819 
Dallas, TX 75219</t>
  </si>
  <si>
    <t>Brown, Jason
2534 
Dallas, TX 75215</t>
  </si>
  <si>
    <t>Brown, Jason</t>
  </si>
  <si>
    <t>Mitchell, Elayna
5323 
Dallas, TX 75214</t>
  </si>
  <si>
    <t>Mitchell, Elayna</t>
  </si>
  <si>
    <t>Reynolds, Melissa
713 
Denton, TX 76209</t>
  </si>
  <si>
    <t>Reynolds, Melissa</t>
  </si>
  <si>
    <t>Dohanian, Armen
5859 
Dallas, TX 75227</t>
  </si>
  <si>
    <t>Dohanian, Armen</t>
  </si>
  <si>
    <t>Schenkel, Pete
614 
Dallas, TX 75208</t>
  </si>
  <si>
    <t>Southwest Airlines Freedom Fund PAC
PO Box 36611
Dallas, TX 75235</t>
  </si>
  <si>
    <t>Southwest Airlines Freedom Fund PAC</t>
  </si>
  <si>
    <t>Narvaez, Sylvia
8049 Ridgeview
Houston, TX 77055</t>
  </si>
  <si>
    <t>Narvaez, Sylvia</t>
  </si>
  <si>
    <t>Cheema, Supreet
4753 Harlow Bend
Irving, TX 75038</t>
  </si>
  <si>
    <t>Cheema, Supreet</t>
  </si>
  <si>
    <t>Davidson, Alyssa
2353 N Field St
Dallas, TX 75201</t>
  </si>
  <si>
    <t>Davidson, Alyssa</t>
  </si>
  <si>
    <t>Ridley, Paul
5100 Victor
Dallas, TX 75214</t>
  </si>
  <si>
    <t>Ridley, Paul</t>
  </si>
  <si>
    <t>Solis, Diane
1551 Oak Lawn
Dallas, TX 75207</t>
  </si>
  <si>
    <t>Solis, Diane</t>
  </si>
  <si>
    <t>Flores, Hector
1030 Tracy Avenue
Duncanville, TX 75137</t>
  </si>
  <si>
    <t>Flores, Hector</t>
  </si>
  <si>
    <t>Olivarez, Javier
9749 Kittyhawk
Dallas, TX 75217</t>
  </si>
  <si>
    <t>Olivarez, Javier</t>
  </si>
  <si>
    <t>Myers, Richard
17115 Skelton Place
Dallas, TX 75248</t>
  </si>
  <si>
    <t>Myers, Richard</t>
  </si>
  <si>
    <t>Lunceford, Michael
4440 Shady Hill Drive
Dallas, TX 75229</t>
  </si>
  <si>
    <t>Lunceford, Michael</t>
  </si>
  <si>
    <t>Forsythe-Lill, Veletta
622 Blair Blvd
Dallas, TX 75223</t>
  </si>
  <si>
    <t>Forsythe-Lill, Veletta</t>
  </si>
  <si>
    <t>Watson, Irish
3979 Granite Hill Dr
Dallas, TX 75241</t>
  </si>
  <si>
    <t>Watson, Irish</t>
  </si>
  <si>
    <t>Conwright, Fred
1441 Robert B Cullum
Dallas, TX 75210</t>
  </si>
  <si>
    <t>Conwright, Fred</t>
  </si>
  <si>
    <t>Hill, John
2820 Reagan St
Dallas, TX 75219</t>
  </si>
  <si>
    <t>Hill, John</t>
  </si>
  <si>
    <t>Hanson, Swede
9925 Lakeside
Dallas, TX 75218</t>
  </si>
  <si>
    <t>Hanson, Swede</t>
  </si>
  <si>
    <t>Phillips, Elizabeth
4655 Ashworth
Cumming, GA 30040</t>
  </si>
  <si>
    <t>Phillips, Elizabeth</t>
  </si>
  <si>
    <t>Montgomery, Mike
1020 E Levee
Dallas, TX 75207</t>
  </si>
  <si>
    <t>Montgomery, Mike</t>
  </si>
  <si>
    <t>Etheridge, Rosalind
PO Box 601527
Dallas, TX 75360</t>
  </si>
  <si>
    <t>Etheridge, Rosalind</t>
  </si>
  <si>
    <t>Hernandez, Gustavo
2410 Logan St
Dallas, TX 75215</t>
  </si>
  <si>
    <t>Hernandez, Gustavo</t>
  </si>
  <si>
    <t>Ferdows, Mr Mrs Dario
10505 Shady Trail
Dallas, TX 75220</t>
  </si>
  <si>
    <t>Ferdows, Mr Mrs Dario</t>
  </si>
  <si>
    <t>Mahsani, Mr Mrs Sam
PO Box 162327
Dallas, TX 75231</t>
  </si>
  <si>
    <t>Mahsani, Mr Mrs Sam</t>
  </si>
  <si>
    <t>Dauterman, Peter
8117 Preston Road
Dallas, TX 75225</t>
  </si>
  <si>
    <t>Dauterman, Peter</t>
  </si>
  <si>
    <t>Smith, Wayne
7775 Firefall Way
Dallas, TX 75230</t>
  </si>
  <si>
    <t>Smith, Wayne</t>
  </si>
  <si>
    <t>Worsham, Raguet
PO Box 988
Little Elm, TX 75068</t>
  </si>
  <si>
    <t>Nugent, Jim
4717 Mill Run Road
Dallas, TX 75244</t>
  </si>
  <si>
    <t>Nugent, Jim</t>
  </si>
  <si>
    <t>Gomez, Ty
3143 JubileeTrail
Dallas, TX 75229</t>
  </si>
  <si>
    <t>Gomez, Ty</t>
  </si>
  <si>
    <t>Edmondson, Mark
12523 Matisse Ln, Dallas, TX
Dallas, TX 75230</t>
  </si>
  <si>
    <t>Carafiol, Robin
4630 Gulfstream Drive
Dallas, TX 75244</t>
  </si>
  <si>
    <t>Carafiol, Robin</t>
  </si>
  <si>
    <t>McGovern, Katherine
4364 Royal Ridge Drive
Dallas, TX 75229</t>
  </si>
  <si>
    <t>McGovern, Katherine</t>
  </si>
  <si>
    <t>Minic, Bo
6152 Summer Creek Circle
Dallas, TX 75231</t>
  </si>
  <si>
    <t>Bradford, Heather
3220 Lakenheath Pl
Dallas, TX 75204</t>
  </si>
  <si>
    <t>Bradford, Heather</t>
  </si>
  <si>
    <t>Garcia, Catalina
10455 N. Central Expressway
Dallas, TX 75231</t>
  </si>
  <si>
    <t>Garcia, Catalina</t>
  </si>
  <si>
    <t>Orr, Bruce
5639 Willow Lane
Dallas, TX 75230</t>
  </si>
  <si>
    <t>Orr, Bruce</t>
  </si>
  <si>
    <t>Olerio, Louis
4133 Hyer Street Dallas, TX
Dallas, TX 75205</t>
  </si>
  <si>
    <t>Olerio, Louis</t>
  </si>
  <si>
    <t>McMinn, Susie
14802 ENTERPRISE DR APT 43D
Farmers Branch, TX 75234</t>
  </si>
  <si>
    <t>McMinn, Susie</t>
  </si>
  <si>
    <t>Brata, James
6443 Del Norte Lane
Dallas, TX 75225</t>
  </si>
  <si>
    <t>Brata, James</t>
  </si>
  <si>
    <t>Stewart, Kathy
9509 Shady Valley Drive, Dallas, TX
Dallas, TX 75238</t>
  </si>
  <si>
    <t>Moreno, Jesse
4809 Victor Street, Dallas, TX
Dallas, TX 75246</t>
  </si>
  <si>
    <t>Moreno, Jesse</t>
  </si>
  <si>
    <t>Smith, Ray
12395 Crestline Avenue
Dallas, TX 75244</t>
  </si>
  <si>
    <t>Smith, Ray</t>
  </si>
  <si>
    <t>Lovejoy, Jana
6542 Chevy Chase Avenue
Dallas, TX 75225</t>
  </si>
  <si>
    <t>Lovejoy, Jana</t>
  </si>
  <si>
    <t>Stein, Sheldon
9338 Meadowbrook Drive
Dallas, TX 75220</t>
  </si>
  <si>
    <t>Wood, Ann
7209 Baxtershire
Dallas, TX 75230</t>
  </si>
  <si>
    <t>Wood, Ann</t>
  </si>
  <si>
    <t>Losinger, Sarah
4506 Park Ln
Dallas, TX 75220</t>
  </si>
  <si>
    <t>Nix, Stephen
8511 Blue Bonnet Road,
Dallas, TX 75209</t>
  </si>
  <si>
    <t>Nix, Stephen</t>
  </si>
  <si>
    <t>Bryant, Kevin
4463 Brookview Dr, Dallas, TX
Dallas, TX 75220</t>
  </si>
  <si>
    <t>Hunt, Amy
10615 ROYAL CLUB LN, Dallas, TX
Dallas, TX 75229</t>
  </si>
  <si>
    <t>Johnson, Eric
3525 Turtle Creek Blvd
Dallas, TX 75219</t>
  </si>
  <si>
    <t>Crow, Harlan
3819 Maple Ave
Dallas, TX 75219-3919</t>
  </si>
  <si>
    <t>Valach, Kenneth
5 Lazee Trail
Houston, TX 77024-5006</t>
  </si>
  <si>
    <t>Sloan, Jamie
2829 North Bend Drive
Dallas, TX 75229</t>
  </si>
  <si>
    <t>Sloan, Jamie</t>
  </si>
  <si>
    <t>Siepiela, Mark
5437 MEADOW CREST DR
Dallas, TX 75229</t>
  </si>
  <si>
    <t>Siepiela, Mark</t>
  </si>
  <si>
    <t>Groves, Joseph
114 Lake Forest Ct.
Garland, TX 75044</t>
  </si>
  <si>
    <t>Groves, Joseph</t>
  </si>
  <si>
    <t>Perry, Philip
3610 N. Versailles
Dallas, TX 75092</t>
  </si>
  <si>
    <t>Perry, Philip</t>
  </si>
  <si>
    <t>Dankert, Charlie
3367 VALIANT DR
Dallas, TX 75229</t>
  </si>
  <si>
    <t>Dankert, Charlie</t>
  </si>
  <si>
    <t>Linebarger Goggan Blair &amp; Sampson
PO Box 17428
Austin, TX 78760</t>
  </si>
  <si>
    <t>Linebarger Goggan Blair &amp; Sampson</t>
  </si>
  <si>
    <t>Southwest Freedom Fund
PO Box 3661
Dallas, TX 75235-1611</t>
  </si>
  <si>
    <t>Southwest Freedom Fund</t>
  </si>
  <si>
    <t>Mata, Albert
105 S Bishop Ave
Dallas, TX 75208</t>
  </si>
  <si>
    <t>Mata, Albert</t>
  </si>
  <si>
    <t>Gonzales, Nancy
105 S Bishop Ave
Dallas, TX 75208</t>
  </si>
  <si>
    <t>Gonzales, Nancy</t>
  </si>
  <si>
    <t>Carden, Paul
2007 Harlandale Ave
Dallas, TX 75216</t>
  </si>
  <si>
    <t>Carden, Paul</t>
  </si>
  <si>
    <t>Amaya, Carlos
107 Garvin Way
Midlothian, TX 76065</t>
  </si>
  <si>
    <t>Amaya, Carlos</t>
  </si>
  <si>
    <t>Bolding, Chris
302 S. Rosemont Ave.
Dallas, TX 75208</t>
  </si>
  <si>
    <t>Bolding, Chris</t>
  </si>
  <si>
    <t>Revi, Gay
908 N. Bishop Ave.
Dallas, TX 75208</t>
  </si>
  <si>
    <t>Revi, Gay</t>
  </si>
  <si>
    <t>Melnick, Susan
2316 Kessler Pkwy
Dallas, TX 75208</t>
  </si>
  <si>
    <t>Melnick, Susan</t>
  </si>
  <si>
    <t>Schultz, Jaynie
11222 St. Michaels Dr.
Dallas, TX 75230</t>
  </si>
  <si>
    <t>Schultz, Jaynie</t>
  </si>
  <si>
    <t>Dingman, Carol
13223 Glad Acres Dr.
Dallas, TX 75234</t>
  </si>
  <si>
    <t>Dingman, Carol</t>
  </si>
  <si>
    <t>Burns, Joel
2420 S. Adams St.
Ft. Worth, TX 76110</t>
  </si>
  <si>
    <t>Burns, Joel</t>
  </si>
  <si>
    <t>Urby, Joe
1364 Romano Place
Dallas, TX 75215</t>
  </si>
  <si>
    <t>Urby, Joe</t>
  </si>
  <si>
    <t>Bradshaw, Stefani
2929 Wycliff Ave.
Dallas, TX 75219</t>
  </si>
  <si>
    <t>Bradshaw, Stefani</t>
  </si>
  <si>
    <t>Hill, Todd
PO Box 192305
Dallas, TX 75219</t>
  </si>
  <si>
    <t>Hargraves, Jennifer
4201 Spring Valley Rd.
Dallas, TX 75244</t>
  </si>
  <si>
    <t>Hargraves, Jennifer</t>
  </si>
  <si>
    <t>Woodruff, Grant
8315 Cabrera Dr.
Dallas, TX 75228</t>
  </si>
  <si>
    <t>Woodruff, Grant</t>
  </si>
  <si>
    <t>Dalheim, Cullen
127 Pittsburgh St.
Dallas, TX 75207</t>
  </si>
  <si>
    <t>Dalheim, Cullen</t>
  </si>
  <si>
    <t>Edwards, Dianne
223 S. Marlborough Ave.
Dallas, TX 75208</t>
  </si>
  <si>
    <t>Edwards, Dianne</t>
  </si>
  <si>
    <t>Clark, Michael
6750 Hillcrest Plaza Dr.
Dallas, TX 75230</t>
  </si>
  <si>
    <t>Clark, Michael</t>
  </si>
  <si>
    <t>Ginsburg, Harold
2610 Fairmount St.
Dallas, TX 75201</t>
  </si>
  <si>
    <t>Ginsburg, Harold</t>
  </si>
  <si>
    <t>Spence, David
408 W. 8th St.
Dallas, TX 75208</t>
  </si>
  <si>
    <t>Spence, David</t>
  </si>
  <si>
    <t>Chase, Scott
1700 Pacific Ave.
Dallas, TX 75201</t>
  </si>
  <si>
    <t>Evans, Nate
3572 Boone Park Ave.
Jacksonville, FL 32205</t>
  </si>
  <si>
    <t>Evans, Nate</t>
  </si>
  <si>
    <t>Garza, Rick
101 S. Jennings Ave.
Ft. Worth, TX 76104</t>
  </si>
  <si>
    <t>Garza, Rick</t>
  </si>
  <si>
    <t>Gruber, Mike
1918 Olive St.
Dallas, TX 75201</t>
  </si>
  <si>
    <t>Peña, Lucilo
1717 Arts Plaza
Dallas, TX 75201</t>
  </si>
  <si>
    <t>Peña, Lucilo</t>
  </si>
  <si>
    <t>Schorman, Elizabeth
1219 N. Winnetka Ave.
Dallas, TX 75208</t>
  </si>
  <si>
    <t>Schorman, Elizabeth</t>
  </si>
  <si>
    <t>Headington, Timothy
1608 Main St.
Dallas, TX 75201</t>
  </si>
  <si>
    <t>Headington, Timothy</t>
  </si>
  <si>
    <t>Pirkey, Melissa
1525 Parliament Ln.
Plano, TX 75093</t>
  </si>
  <si>
    <t>Pirkey, Melissa</t>
  </si>
  <si>
    <t>Wilson, Joe
6208 Copperhill Dr.
Dallas, TX 75248</t>
  </si>
  <si>
    <t>Wilson, Joe</t>
  </si>
  <si>
    <t>Beitler, Patrick
1218 Elmwood Blvd
Dallas, TX 75224</t>
  </si>
  <si>
    <t>Beitler, Patrick</t>
  </si>
  <si>
    <t>Camarillo, Sylvia
3 Richmond Ct.
Mansfield, TX 76063</t>
  </si>
  <si>
    <t>Camarillo, Sylvia</t>
  </si>
  <si>
    <t>Davis, Amy
1106 N. Clinton Ave
Dallas, TX 75208</t>
  </si>
  <si>
    <t>Davis, Amy</t>
  </si>
  <si>
    <t>Dismore, Socorro
1860 Masters Dr.
Dallas, TX 75115</t>
  </si>
  <si>
    <t>Dismore, Socorro</t>
  </si>
  <si>
    <t>Hamilton, Jane Hope
623 Aspen Valley Ln.
Dallas, TX 75208</t>
  </si>
  <si>
    <t>Long, William
3500 Kim Dr.
Irving, TX 75061</t>
  </si>
  <si>
    <t>Long, William</t>
  </si>
  <si>
    <t>Krochtengel, Zachary
17014 Preston Bend Dr.
Dallas, TX 75248</t>
  </si>
  <si>
    <t>Andres, Sarah
PO Box 17428
Austin, TX 78760</t>
  </si>
  <si>
    <t>Andres, Sarah</t>
  </si>
  <si>
    <t>Lopez, Bridget
4326 Meadowdale Ln.
Dallas, TX 75229</t>
  </si>
  <si>
    <t>Lopez, Bridget</t>
  </si>
  <si>
    <t>Orr, Marci
211 S. Tyler St.
Dallas, TX 75224</t>
  </si>
  <si>
    <t>Orr, Marci</t>
  </si>
  <si>
    <t>Owens, Gerald
1508 Winding Hollow Ln.
Plano, TX 75093</t>
  </si>
  <si>
    <t>Owens, Gerald</t>
  </si>
  <si>
    <t>Santa Maria, Arthur
785 Huntingdon St.
Coppell, TX 76501</t>
  </si>
  <si>
    <t>Santa Maria, Arthur</t>
  </si>
  <si>
    <t>Thorne, Harold
3550 Gifco Rd.
Midlothian, TX 76065</t>
  </si>
  <si>
    <t>Thorne, Harold</t>
  </si>
  <si>
    <t>Sievers, Lisa
8238 Barbaree Blvd.
Dallas, TX 75228</t>
  </si>
  <si>
    <t>Smades, David
732 Kessler Lake Dr.
Dallas, TX 75208</t>
  </si>
  <si>
    <t>Smades, David</t>
  </si>
  <si>
    <t>Crow, Katherine
4700 Preston Rd.
Dallas, TX 75205</t>
  </si>
  <si>
    <t>Bryant, Kevin
4463 Brookview Dr.
Dallas, TX 75220</t>
  </si>
  <si>
    <t>Ellison, Brock
6405 Marquett Dr.
Rowlett, TX 75089</t>
  </si>
  <si>
    <t>Ellison, Brock</t>
  </si>
  <si>
    <t>Gonzalez, Crystal
6231 Meadow Rd.
Dallas, TX 75230</t>
  </si>
  <si>
    <t>Gonzalez, Crystal</t>
  </si>
  <si>
    <t>Edgemon, Christopher
5540 Farquhar
Dallas, TX 75209</t>
  </si>
  <si>
    <t>Edgemon, Christopher</t>
  </si>
  <si>
    <t>Greenhouse, Clyde
1129 N. Beckley Ave
Dallas, TX 75208</t>
  </si>
  <si>
    <t>Greenhouse, Clyde</t>
  </si>
  <si>
    <t>McLaren, Jill
6051 Kenwood Ave.
Dallas, TX 75206</t>
  </si>
  <si>
    <t>McLaren, Jill</t>
  </si>
  <si>
    <t>Worden, Lawrence
2019 Old Orchard Dr.
Dallas, TX 75230</t>
  </si>
  <si>
    <t>Hampton, Logan
2501 N. Harwood St.
Dallas, TX 75201</t>
  </si>
  <si>
    <t>Hampton, Logan</t>
  </si>
  <si>
    <t>Hellyar, Nicholas
2368 Rice Blvd
Houston, TX 77005</t>
  </si>
  <si>
    <t>Hellyar, Nicholas</t>
  </si>
  <si>
    <t>Linburg, Heather
5619 Purdue Ave.
Dallas, TX 75209</t>
  </si>
  <si>
    <t>Linburg, Heather</t>
  </si>
  <si>
    <t>Rouse, Will
2501 N. Harwood St.
Dallas, TX 75201</t>
  </si>
  <si>
    <t>Rouse, Will</t>
  </si>
  <si>
    <t>Larsen, Scott
665 Kessler Reserve Ct.
Dallas, TX 75208</t>
  </si>
  <si>
    <t>Larsen, Scott</t>
  </si>
  <si>
    <t>McGinnis, Gayla
4144 N Central Expwy.
Dallas, TX 75204</t>
  </si>
  <si>
    <t>McGinnis, Gayla</t>
  </si>
  <si>
    <t>Culak, Chris
1223 Kings Hwy.
Dallas, TX 75208</t>
  </si>
  <si>
    <t>Culak, Chris</t>
  </si>
  <si>
    <t>Spence, Gary
1921 Marydale Dr.
Dallas, TX 75208</t>
  </si>
  <si>
    <t>Spence, Gary</t>
  </si>
  <si>
    <t>Christopher, Roberta
307 N. Windomere Ave.
Dallas, TX 75208</t>
  </si>
  <si>
    <t>Christopher, Roberta</t>
  </si>
  <si>
    <t>Coffee, Ben
2169 Kessler Ct.
Dallas, TX 75208</t>
  </si>
  <si>
    <t>Coffee, Ben</t>
  </si>
  <si>
    <t>Hicks, Tiffany
740 Rainbow Dr.
Dallas, TX 75208</t>
  </si>
  <si>
    <t>Hicks, Tiffany</t>
  </si>
  <si>
    <t>Johnson, Eric
3525 Turtle Creek Blvd.
Dallas, TX 75219</t>
  </si>
  <si>
    <t>Lamb, Sarah
5630 Willis Ave.
Dallas, TX 75206</t>
  </si>
  <si>
    <t>Lamb, Sarah</t>
  </si>
  <si>
    <t>Linburg, Angela
4660 N. Versailles Ave.
Dallas, TX 75209</t>
  </si>
  <si>
    <t>Linburg, Angela</t>
  </si>
  <si>
    <t>Perez, Joel
1303 Lansford Ave.
Dallas, TX 75224</t>
  </si>
  <si>
    <t>Perez, Joel</t>
  </si>
  <si>
    <t>White, David
15750 Spectrum Dr.
Addison, TX 75001</t>
  </si>
  <si>
    <t>White, David</t>
  </si>
  <si>
    <t>Wood, Megan
5121 Southbrook Dr.
Dallas, TX 75209</t>
  </si>
  <si>
    <t>Wood, Megan</t>
  </si>
  <si>
    <t>Hewitt, Kathy
1410 Yakimo Dr.
Dallas, TX 75208</t>
  </si>
  <si>
    <t>Hewitt, Kathy</t>
  </si>
  <si>
    <t>Homan, Katherine
1629 Handley Dr.
Dallas, TX 75208</t>
  </si>
  <si>
    <t>Homan, Katherine</t>
  </si>
  <si>
    <t>Matthews, John
320 W. Main St.
Lewisville, TX 75057</t>
  </si>
  <si>
    <t>Weempe, Jane
1316 W. Canterbury Ct.
Dallas, TX 75208</t>
  </si>
  <si>
    <t>Weempe, Jane</t>
  </si>
  <si>
    <t>Schenkel, Stephen
3610 Turtle Creek Blvd.
Dallas, TX 75219</t>
  </si>
  <si>
    <t>Schenkel, Stephen</t>
  </si>
  <si>
    <t>Lindegaard, Joanna
133 E De La Guerra St
Santa Barbara, CA 93101</t>
  </si>
  <si>
    <t>Lindegaard, Joanna</t>
  </si>
  <si>
    <t>Pitts, Jim
3525 Turtle Creek Blvd.
Dallas, TX 75219</t>
  </si>
  <si>
    <t>Pitts, Jim</t>
  </si>
  <si>
    <t>SWA Freedom Fund PAC
PO Box 36611
Dallas, TX 75235</t>
  </si>
  <si>
    <t>SWA Freedom Fund PAC</t>
  </si>
  <si>
    <t>Bufford, Quontinetta
2500 N. Houston Street
Dallas, TX 75219</t>
  </si>
  <si>
    <t>Bufford, Quontinetta</t>
  </si>
  <si>
    <t>Lill, Veletta
622 Blair Blvd
Dallas, TX 75223</t>
  </si>
  <si>
    <t>Lill, Veletta</t>
  </si>
  <si>
    <t>Boone, Garrett
2417 Loving Ave
Dallas, TX 75214</t>
  </si>
  <si>
    <t>Reichert, Veronica
3924 Kimballdale Drive
Dallas, TX 75233</t>
  </si>
  <si>
    <t>Reichert, Veronica</t>
  </si>
  <si>
    <t>Brown, Susanna
4175 Wilada Drive
Dallas, TX 75220</t>
  </si>
  <si>
    <t>Brown, Susanna</t>
  </si>
  <si>
    <t>Santa-Maria, Arrthur
785 Huntingdon St
Coppell, TX 75019</t>
  </si>
  <si>
    <t>Santa-Maria, Arrthur</t>
  </si>
  <si>
    <t>Rodriguez, Minerva
1036 Opal Drive
Despot, TX 75115</t>
  </si>
  <si>
    <t>Walker, Melody
127 Oakwood Lane
Hickory Creek, TX 75065</t>
  </si>
  <si>
    <t>Walker, Melody</t>
  </si>
  <si>
    <t>Holmes, Jesse
2107 Canton Street
Dallas, TX 75201</t>
  </si>
  <si>
    <t>Holmes, Jesse</t>
  </si>
  <si>
    <t>Carnahan, Andrew
4411 Bowser Ave
Dallas, TX 75219</t>
  </si>
  <si>
    <t>Carnahan, Andrew</t>
  </si>
  <si>
    <t>Mortimer, Samuel
1623 Main St
Dallas, TX 75201</t>
  </si>
  <si>
    <t>Mortimer, Samuel</t>
  </si>
  <si>
    <t>Havlick, Mita
5331 Monticello Ave.
Dallas, TX 75206</t>
  </si>
  <si>
    <t>Havlick, Mita</t>
  </si>
  <si>
    <t>John Bryant Campaign
PO Box 140977
Dallas, TX 75214</t>
  </si>
  <si>
    <t>John Bryant Campaign</t>
  </si>
  <si>
    <t>Linville, Stephen
5023 Maple Springs Blvd.
Dallas, TX 75235</t>
  </si>
  <si>
    <t>Linville, Stephen</t>
  </si>
  <si>
    <t>Ward, Erik
3825 Mcfarlin Blvd
Dallas, TX 75205</t>
  </si>
  <si>
    <t>Ward, Erik</t>
  </si>
  <si>
    <t>Hetzel, Jonathan
7002 Vivian Ave
Dallas, TX 75223</t>
  </si>
  <si>
    <t>Hetzel, Jonathan</t>
  </si>
  <si>
    <t>Nedler, Donald
8703 Allen Brook Ct
Dallas, TX 75243</t>
  </si>
  <si>
    <t>Nedler, Donald</t>
  </si>
  <si>
    <t>Medrano, Pauline
2346 Douglas Ave
Dallas, TX 75219</t>
  </si>
  <si>
    <t>Medrano, Pauline</t>
  </si>
  <si>
    <t>Eharhardt, Harryette
3525 Turtle Creek Blvd
Dallas, TX 75219</t>
  </si>
  <si>
    <t>Eharhardt, Harryette</t>
  </si>
  <si>
    <t>Lopez, Bridget
4326 Meadowdale Lane
Dallas, TX 75229</t>
  </si>
  <si>
    <t>Linebarger Noggin Blair &amp; Sampson, LLP
PO Box 17428
Austin, TX 78760</t>
  </si>
  <si>
    <t>Linebarger Noggin Blair &amp; Sampson, LLP</t>
  </si>
  <si>
    <t>Garza, Jorge
2231 Hondo Ave
Dallas, TX 75219</t>
  </si>
  <si>
    <t>Garza, Jorge</t>
  </si>
  <si>
    <t>Aranza, Anthony
1507 Stonehenge Bend Dr
Houston, TX 77072</t>
  </si>
  <si>
    <t>Montfort, Jane
1610 Hyland Greens Dr
Grapevine, TX 76051</t>
  </si>
  <si>
    <t>Montfort, Jane</t>
  </si>
  <si>
    <t>Crow, Harlen
3819 Maple Ave
Dallas, TX 75219</t>
  </si>
  <si>
    <t>Crow, Harlen</t>
  </si>
  <si>
    <t>Morales, Mayra
6834 Victoria
Dallas, TX 75209</t>
  </si>
  <si>
    <t>Morales, Mayra</t>
  </si>
  <si>
    <t>Coats and Rose
9 Greenway Plaza, Suite 1000
Dallas, TX 77046</t>
  </si>
  <si>
    <t>Coats and Rose</t>
  </si>
  <si>
    <t>King, Kenneth
1447 Hwy 75 S.
Dallas, TX 75831</t>
  </si>
  <si>
    <t>King, Kenneth</t>
  </si>
  <si>
    <t>Zavala, Mr Mrs Jose
9978 Bowman
Dallas, TX 75220</t>
  </si>
  <si>
    <t>Zavala, Mr Mrs Jose</t>
  </si>
  <si>
    <t>Flanagan, Lashonda
646 Grovemeadow
Arlington, TX 75061</t>
  </si>
  <si>
    <t>Flanagan, Lashonda</t>
  </si>
  <si>
    <t>COX, Bill
9304 9304 LOCARNO
Dallas, TX 75243</t>
  </si>
  <si>
    <t>COX, Bill</t>
  </si>
  <si>
    <t>Final Report (COH)</t>
  </si>
  <si>
    <t>ROGERS, JOYCE
8355 South Saint Lawrence
Chicago, IL 60619</t>
  </si>
  <si>
    <t>ROGERS, JOYCE</t>
  </si>
  <si>
    <t>Unique Zipcodes</t>
  </si>
  <si>
    <t>Dallas, TX 75230</t>
  </si>
  <si>
    <t>Dallas, TX 75214</t>
  </si>
  <si>
    <t>Dallas, TX 75203</t>
  </si>
  <si>
    <t>Dallas, TX 75247</t>
  </si>
  <si>
    <t>Dallas, TX 75206</t>
  </si>
  <si>
    <t>Dallas, TX 75270</t>
  </si>
  <si>
    <t>Dallas, TX 75238</t>
  </si>
  <si>
    <t>Dallas, TX 75205</t>
  </si>
  <si>
    <t>Richardson, TX 75082</t>
  </si>
  <si>
    <t>Dallas, TX 75207</t>
  </si>
  <si>
    <t>Houston, TX 77005</t>
  </si>
  <si>
    <t>Houston, TX 77077</t>
  </si>
  <si>
    <t>Dallas, TX 75248</t>
  </si>
  <si>
    <t>Dallas, TX 75225</t>
  </si>
  <si>
    <t>Dallas, TX 75252</t>
  </si>
  <si>
    <t>Dallas, TX 75218</t>
  </si>
  <si>
    <t>Dallas, TX 75208</t>
  </si>
  <si>
    <t>Washington, DC 20036</t>
  </si>
  <si>
    <t>Dallas, TX 75229</t>
  </si>
  <si>
    <t>Dallas, TX 75204</t>
  </si>
  <si>
    <t>Dallas, TX 75233</t>
  </si>
  <si>
    <t>Austin, TX 78746</t>
  </si>
  <si>
    <t>Coppell, TX 75019</t>
  </si>
  <si>
    <t>Dallas, TX 75219</t>
  </si>
  <si>
    <t>Dallas, TX 75240</t>
  </si>
  <si>
    <t>Dallas, TX 75287</t>
  </si>
  <si>
    <t>Dallas, TX 75243</t>
  </si>
  <si>
    <t>Houston, TX 77073</t>
  </si>
  <si>
    <t>Dallas, TX 75360</t>
  </si>
  <si>
    <t>Texarkana, TX 75504</t>
  </si>
  <si>
    <t>Irving, TX 75039</t>
  </si>
  <si>
    <t>Garland, TX 75049</t>
  </si>
  <si>
    <t>Austin, TX 78701</t>
  </si>
  <si>
    <t>McKinney, TX 75070</t>
  </si>
  <si>
    <t>Dallas, TX 75228</t>
  </si>
  <si>
    <t>Dallas, TX 75220</t>
  </si>
  <si>
    <t>Dallas, TX 75226</t>
  </si>
  <si>
    <t>Dallas, TX 75035</t>
  </si>
  <si>
    <t>Dallas, TX 75202</t>
  </si>
  <si>
    <t>Dallas, TX 75254</t>
  </si>
  <si>
    <t>Euless, TX 76040</t>
  </si>
  <si>
    <t>East Setauket, NY 11733</t>
  </si>
  <si>
    <t>Dallas, TX 75227</t>
  </si>
  <si>
    <t>Midlothian, TX 76065</t>
  </si>
  <si>
    <t>Ennis, TX 75120</t>
  </si>
  <si>
    <t>Sunnyvale, TX 75182</t>
  </si>
  <si>
    <t>Dallas, TX 75201</t>
  </si>
  <si>
    <t>Austin, TX 78759</t>
  </si>
  <si>
    <t>Dallas, TX 75231</t>
  </si>
  <si>
    <t>Santa Fe, NM 87508</t>
  </si>
  <si>
    <t>Falls Church, VA 22044</t>
  </si>
  <si>
    <t>Houston, TX 77002</t>
  </si>
  <si>
    <t>Duncanville, TX 75137</t>
  </si>
  <si>
    <t>Boca Raton, FL 33496</t>
  </si>
  <si>
    <t>DALLAS, TX 75201</t>
  </si>
  <si>
    <t>Dallas, TX 75209</t>
  </si>
  <si>
    <t>Lantana, TX 76226</t>
  </si>
  <si>
    <t>Cedar Hill, TX 75104</t>
  </si>
  <si>
    <t>Dallas, TX 75232-3704</t>
  </si>
  <si>
    <t>Dallas, TX 75223</t>
  </si>
  <si>
    <t>Dallas, TX 75224</t>
  </si>
  <si>
    <t>Flower Mound, TX 75022</t>
  </si>
  <si>
    <t>McKinney, TX 75071</t>
  </si>
  <si>
    <t>Austin, TX 78703</t>
  </si>
  <si>
    <t>Dallas, TX 75211</t>
  </si>
  <si>
    <t>Flower Mound, TX 75028</t>
  </si>
  <si>
    <t>Desoto, TX 75115</t>
  </si>
  <si>
    <t>Lewisville, TX 75067</t>
  </si>
  <si>
    <t>McKinney, TX 75702</t>
  </si>
  <si>
    <t>Dallas, TX 75222</t>
  </si>
  <si>
    <t>Mansfield, TX 76063</t>
  </si>
  <si>
    <t>Dallas, TX 75235</t>
  </si>
  <si>
    <t>Allen, TX 75013</t>
  </si>
  <si>
    <t>Dallas, TX 75215</t>
  </si>
  <si>
    <t>Dallas, TX 75244</t>
  </si>
  <si>
    <t>Dallas, TX 75298</t>
  </si>
  <si>
    <t>Plano, TX 75093</t>
  </si>
  <si>
    <t>Austin, TX 78768</t>
  </si>
  <si>
    <t>Carrollton, TX 75007</t>
  </si>
  <si>
    <t>Sachse, TX 75048</t>
  </si>
  <si>
    <t>San Francisco, CA 94109</t>
  </si>
  <si>
    <t>New York, NY 10006</t>
  </si>
  <si>
    <t>Richardson, TX 75081</t>
  </si>
  <si>
    <t>Dallas, TX 75376</t>
  </si>
  <si>
    <t>New York, NY 10119</t>
  </si>
  <si>
    <t>Dallas, TX 75232</t>
  </si>
  <si>
    <t>Lancaster, TX 75134</t>
  </si>
  <si>
    <t>Waco, TX 76710</t>
  </si>
  <si>
    <t>Tulsa, OK 74136</t>
  </si>
  <si>
    <t>Frisco, TX 75033</t>
  </si>
  <si>
    <t>Forest Heights, MD 20745</t>
  </si>
  <si>
    <t>DeSoto, TX 75043</t>
  </si>
  <si>
    <t>Irving, TX 75038</t>
  </si>
  <si>
    <t>Fairview, TX 75069</t>
  </si>
  <si>
    <t>Frisco, TX 75034</t>
  </si>
  <si>
    <t>Buda, TX 78610</t>
  </si>
  <si>
    <t>Chandler, AZ 85248</t>
  </si>
  <si>
    <t>DeSoto, TX 75115</t>
  </si>
  <si>
    <t>Balch Springs, TX 75180</t>
  </si>
  <si>
    <t>Grand Prairie, TX 75054</t>
  </si>
  <si>
    <t>Dallas, TX 75236</t>
  </si>
  <si>
    <t>Dallas, TX 75237</t>
  </si>
  <si>
    <t>Brentwood, TN 37027</t>
  </si>
  <si>
    <t>Dallas, TX 75249</t>
  </si>
  <si>
    <t>Miami Beach, FL 33140</t>
  </si>
  <si>
    <t>Fort Worth, TX 76112</t>
  </si>
  <si>
    <t>Addison, TX 75001</t>
  </si>
  <si>
    <t>Irving, TX 75063</t>
  </si>
  <si>
    <t>Fountain Hill, AZ 85268</t>
  </si>
  <si>
    <t>Atlanta, GA 30312</t>
  </si>
  <si>
    <t>Alexandria, VA 22308</t>
  </si>
  <si>
    <t>Dallas, TX 75367</t>
  </si>
  <si>
    <t>DALLAS, TX 75219</t>
  </si>
  <si>
    <t>Houston, TX 77021</t>
  </si>
  <si>
    <t>Shreveport, LA 71106</t>
  </si>
  <si>
    <t>Dallas, TX 75210</t>
  </si>
  <si>
    <t>Austin, TX 78737</t>
  </si>
  <si>
    <t>IRVING, TX 75038</t>
  </si>
  <si>
    <t>Austin, TX 78760</t>
  </si>
  <si>
    <t>Austin, TX 78768-2246</t>
  </si>
  <si>
    <t>Austin, TX 78748</t>
  </si>
  <si>
    <t>Dallas, TX 75216</t>
  </si>
  <si>
    <t>Dallas, TX 75376-3834</t>
  </si>
  <si>
    <t>Dallas, TX 75234</t>
  </si>
  <si>
    <t>MEsquite, TX 75215</t>
  </si>
  <si>
    <t>Mesquite, TX 75215</t>
  </si>
  <si>
    <t>Irving, TX 75016</t>
  </si>
  <si>
    <t>Raleigh, NC 27612</t>
  </si>
  <si>
    <t>Dallas, NC 75244</t>
  </si>
  <si>
    <t>Celina, TX 75009</t>
  </si>
  <si>
    <t>Dallas, TX 76225</t>
  </si>
  <si>
    <t>Dallas, TX 12345</t>
  </si>
  <si>
    <t>Austin, TX 78756</t>
  </si>
  <si>
    <t>Austin, TX 78731</t>
  </si>
  <si>
    <t>Argyle, TX 76226</t>
  </si>
  <si>
    <t>Cedar Park, TX 78616</t>
  </si>
  <si>
    <t>Dallas, TX 75232-4159</t>
  </si>
  <si>
    <t>Dallas, TX 75237-2702</t>
  </si>
  <si>
    <t>SADLER, TX 76264</t>
  </si>
  <si>
    <t>Duncanville, TX 75116</t>
  </si>
  <si>
    <t>Arlington, TX 76011</t>
  </si>
  <si>
    <t>Prosper, TX 75078</t>
  </si>
  <si>
    <t>Eagle Lake, TX 77434</t>
  </si>
  <si>
    <t>Houston, TX 77019</t>
  </si>
  <si>
    <t>Houston, TX 77010</t>
  </si>
  <si>
    <t>Houston, TX 77027</t>
  </si>
  <si>
    <t>Wylie, TX 75098</t>
  </si>
  <si>
    <t>Houston, TX 77042</t>
  </si>
  <si>
    <t>Houston, TX 77024</t>
  </si>
  <si>
    <t>Austin, TX 78738</t>
  </si>
  <si>
    <t>Eastland, TX 76448</t>
  </si>
  <si>
    <t>West Lake Hills, TX 78746</t>
  </si>
  <si>
    <t>Chicago, IL 60601</t>
  </si>
  <si>
    <t>Houston, TX 77004</t>
  </si>
  <si>
    <t>Kansas City, MO 64108</t>
  </si>
  <si>
    <t>Dallas, TX 75039</t>
  </si>
  <si>
    <t>Cambridge, MA 02138</t>
  </si>
  <si>
    <t>West Lake, TX 78746</t>
  </si>
  <si>
    <t>Houston, TX 77041</t>
  </si>
  <si>
    <t>Austin, TX 78704</t>
  </si>
  <si>
    <t>Red Oak, TX 75154</t>
  </si>
  <si>
    <t>Dallas, TX 75241</t>
  </si>
  <si>
    <t>Washington, DC 20020</t>
  </si>
  <si>
    <t>Austin, TX 78739</t>
  </si>
  <si>
    <t>Aubrey, TX 76227</t>
  </si>
  <si>
    <t>Dallas, TX 75212</t>
  </si>
  <si>
    <t>Mesquite, TX 75185</t>
  </si>
  <si>
    <t>Dallas, TX 75217</t>
  </si>
  <si>
    <t>Lancaster, TX 75146</t>
  </si>
  <si>
    <t>Houston, TX 77098</t>
  </si>
  <si>
    <t>Atlanta, GA 30326</t>
  </si>
  <si>
    <t>Dallas, TX 75372</t>
  </si>
  <si>
    <t>Plano, TX 75024</t>
  </si>
  <si>
    <t>Glenn Heights, TX 75154</t>
  </si>
  <si>
    <t>Houston, TX 77008</t>
  </si>
  <si>
    <t>Lewisville, TX 75057</t>
  </si>
  <si>
    <t>Garland, TX 75043</t>
  </si>
  <si>
    <t>Dallas, TX 75115</t>
  </si>
  <si>
    <t>Grand Prairie, TX 75050</t>
  </si>
  <si>
    <t>Houston, TX 77057</t>
  </si>
  <si>
    <t>Houston, TX 77006</t>
  </si>
  <si>
    <t>Fort Worth, TX 76120</t>
  </si>
  <si>
    <t>Washington, DC 20003</t>
  </si>
  <si>
    <t>Dallas, TX 75380</t>
  </si>
  <si>
    <t>Katy, TX 77493</t>
  </si>
  <si>
    <t>Laytonsville, MD 20882</t>
  </si>
  <si>
    <t>Birmingham, AL 35223</t>
  </si>
  <si>
    <t>dallas, TX 75230</t>
  </si>
  <si>
    <t>Annapolis, MD 21403</t>
  </si>
  <si>
    <t>Dallas, TX 75246</t>
  </si>
  <si>
    <t>Coconut Creek, FL 33066</t>
  </si>
  <si>
    <t>West Hollywood, CA 90048</t>
  </si>
  <si>
    <t>Dallas, TX 75339</t>
  </si>
  <si>
    <t>DALLAS, TX 75230</t>
  </si>
  <si>
    <t>Laguna Beach, CA 92651</t>
  </si>
  <si>
    <t>Mission Hills, KS 66208</t>
  </si>
  <si>
    <t>Clayton, MO 63105</t>
  </si>
  <si>
    <t>WACO, TX 76712</t>
  </si>
  <si>
    <t>Grapevine, TX 76051</t>
  </si>
  <si>
    <t>Houston, TX 77046</t>
  </si>
  <si>
    <t>Lucas, TX 75002</t>
  </si>
  <si>
    <t>DALLAS, TX 75214</t>
  </si>
  <si>
    <t>Aldie, VA 20105</t>
  </si>
  <si>
    <t>Wilmington, NC 28403</t>
  </si>
  <si>
    <t>Hamilton, MA 19820</t>
  </si>
  <si>
    <t>DALLAS, TX 75238</t>
  </si>
  <si>
    <t>Tucson, AZ 85745</t>
  </si>
  <si>
    <t>Midland, TX 79707</t>
  </si>
  <si>
    <t>Murphy, TX 75094</t>
  </si>
  <si>
    <t>Carrollton, TX 75010</t>
  </si>
  <si>
    <t>Boston, MA 02115</t>
  </si>
  <si>
    <t>Dallas, TX 75251</t>
  </si>
  <si>
    <t>Garland, TX 75044</t>
  </si>
  <si>
    <t>Swannanoa, NC 28778</t>
  </si>
  <si>
    <t>Arlington, TX 76001</t>
  </si>
  <si>
    <t>Kosse, TX 76653</t>
  </si>
  <si>
    <t>Denton, TX 76209</t>
  </si>
  <si>
    <t>Houston, TX 77055</t>
  </si>
  <si>
    <t>Cumming, GA 30040</t>
  </si>
  <si>
    <t>Little Elm, TX 75068</t>
  </si>
  <si>
    <t>Farmers Branch, TX 75234</t>
  </si>
  <si>
    <t>Dallas, TX 75219-3919</t>
  </si>
  <si>
    <t>Houston, TX 77024-5006</t>
  </si>
  <si>
    <t>Dallas, TX 75092</t>
  </si>
  <si>
    <t>Dallas, TX 75235-1611</t>
  </si>
  <si>
    <t>Ft. Worth, TX 76110</t>
  </si>
  <si>
    <t>Jacksonville, FL 32205</t>
  </si>
  <si>
    <t>Ft. Worth, TX 76104</t>
  </si>
  <si>
    <t>Irving, TX 75061</t>
  </si>
  <si>
    <t>Coppell, TX 76501</t>
  </si>
  <si>
    <t>Rowlett, TX 75089</t>
  </si>
  <si>
    <t>Santa Barbara, CA 93101</t>
  </si>
  <si>
    <t>Despot, TX 75115</t>
  </si>
  <si>
    <t>Hickory Creek, TX 75065</t>
  </si>
  <si>
    <t>Houston, TX 77072</t>
  </si>
  <si>
    <t>Dallas, TX 77046</t>
  </si>
  <si>
    <t>Dallas, TX 75831</t>
  </si>
  <si>
    <t>Arlington, TX 75061</t>
  </si>
  <si>
    <t>Chicago, IL 60619</t>
  </si>
  <si>
    <t>Ablon</t>
  </si>
  <si>
    <t>Abrams</t>
  </si>
  <si>
    <t>Abtahi</t>
  </si>
  <si>
    <t>Acosta</t>
  </si>
  <si>
    <t>Adam</t>
  </si>
  <si>
    <t>Adams</t>
  </si>
  <si>
    <t>Addy</t>
  </si>
  <si>
    <t>Afkhami</t>
  </si>
  <si>
    <t>Agarwal</t>
  </si>
  <si>
    <t>Agnich</t>
  </si>
  <si>
    <t>Aisner</t>
  </si>
  <si>
    <t>Alcantar</t>
  </si>
  <si>
    <t>Aldredge</t>
  </si>
  <si>
    <t>Alef</t>
  </si>
  <si>
    <t>Allen</t>
  </si>
  <si>
    <t>Almond</t>
  </si>
  <si>
    <t>Alpert</t>
  </si>
  <si>
    <t>Alvarado</t>
  </si>
  <si>
    <t>American</t>
  </si>
  <si>
    <t>Andersen</t>
  </si>
  <si>
    <t>Anderson</t>
  </si>
  <si>
    <t>Anderson-Guthrie</t>
  </si>
  <si>
    <t>Andres</t>
  </si>
  <si>
    <t>Anglin</t>
  </si>
  <si>
    <t>Apartment</t>
  </si>
  <si>
    <t>Applequist</t>
  </si>
  <si>
    <t>Aranza</t>
  </si>
  <si>
    <t>Ardendorff</t>
  </si>
  <si>
    <t>Argarwal</t>
  </si>
  <si>
    <t>Arnold</t>
  </si>
  <si>
    <t>Ash</t>
  </si>
  <si>
    <t>Aslam</t>
  </si>
  <si>
    <t>Assaff</t>
  </si>
  <si>
    <t>AT&amp;T</t>
  </si>
  <si>
    <t>Attlee</t>
  </si>
  <si>
    <t>Aukeman</t>
  </si>
  <si>
    <t>Ayala</t>
  </si>
  <si>
    <t>Bach</t>
  </si>
  <si>
    <t>Bacon</t>
  </si>
  <si>
    <t>Badgett</t>
  </si>
  <si>
    <t>Bailey</t>
  </si>
  <si>
    <t>Baker</t>
  </si>
  <si>
    <t>Bame</t>
  </si>
  <si>
    <t>Banerjee</t>
  </si>
  <si>
    <t>Barab</t>
  </si>
  <si>
    <t>Barling</t>
  </si>
  <si>
    <t>Barnes</t>
  </si>
  <si>
    <t>Barnett</t>
  </si>
  <si>
    <t>Bates</t>
  </si>
  <si>
    <t>Baum</t>
  </si>
  <si>
    <t>Bazaldua</t>
  </si>
  <si>
    <t>Bazan</t>
  </si>
  <si>
    <t>Beane</t>
  </si>
  <si>
    <t>Beard</t>
  </si>
  <si>
    <t>Beaver</t>
  </si>
  <si>
    <t>Becker</t>
  </si>
  <si>
    <t>Bedford</t>
  </si>
  <si>
    <t>Bell</t>
  </si>
  <si>
    <t>Bellew</t>
  </si>
  <si>
    <t>Bennett</t>
  </si>
  <si>
    <t>Benson</t>
  </si>
  <si>
    <t>Benton</t>
  </si>
  <si>
    <t>Bernbaum</t>
  </si>
  <si>
    <t>Berry</t>
  </si>
  <si>
    <t>Best</t>
  </si>
  <si>
    <t>Beth</t>
  </si>
  <si>
    <t>Beucler</t>
  </si>
  <si>
    <t>Bhatt</t>
  </si>
  <si>
    <t>Bibcom</t>
  </si>
  <si>
    <t>BILLINGSLEY</t>
  </si>
  <si>
    <t>Billingsley</t>
  </si>
  <si>
    <t>Bird</t>
  </si>
  <si>
    <t>Bischoff</t>
  </si>
  <si>
    <t>Bishop</t>
  </si>
  <si>
    <t>Bisor</t>
  </si>
  <si>
    <t>Black</t>
  </si>
  <si>
    <t>Blair</t>
  </si>
  <si>
    <t>Blanco</t>
  </si>
  <si>
    <t>Blessing</t>
  </si>
  <si>
    <t>Blewett</t>
  </si>
  <si>
    <t>Bloch</t>
  </si>
  <si>
    <t>Bloom</t>
  </si>
  <si>
    <t>Bobbitt</t>
  </si>
  <si>
    <t>Bobosky</t>
  </si>
  <si>
    <t>Bogen</t>
  </si>
  <si>
    <t>Gearing</t>
  </si>
  <si>
    <t>Saxer</t>
  </si>
  <si>
    <t>Homan</t>
  </si>
  <si>
    <t>Norcross</t>
  </si>
  <si>
    <t>Melton</t>
  </si>
  <si>
    <t>Marsh</t>
  </si>
  <si>
    <t>Sherman</t>
  </si>
  <si>
    <t>Noltemy</t>
  </si>
  <si>
    <t>Buss</t>
  </si>
  <si>
    <t>Ellis</t>
  </si>
  <si>
    <t>Chernock</t>
  </si>
  <si>
    <t>Ruiz</t>
  </si>
  <si>
    <t>Cole</t>
  </si>
  <si>
    <t>Hagan</t>
  </si>
  <si>
    <t>Gilbreath</t>
  </si>
  <si>
    <t>Roberts</t>
  </si>
  <si>
    <t>Mackey</t>
  </si>
  <si>
    <t>Flaim</t>
  </si>
  <si>
    <t>Preziosi</t>
  </si>
  <si>
    <t>Nasca</t>
  </si>
  <si>
    <t>Masterman</t>
  </si>
  <si>
    <t>Herenandez</t>
  </si>
  <si>
    <t>Rudnicki</t>
  </si>
  <si>
    <t>Taylor</t>
  </si>
  <si>
    <t>Carey</t>
  </si>
  <si>
    <t>Suarez</t>
  </si>
  <si>
    <t>Yancey</t>
  </si>
  <si>
    <t>Luther</t>
  </si>
  <si>
    <t>Goodwin</t>
  </si>
  <si>
    <t>Fay</t>
  </si>
  <si>
    <t>Jalomo</t>
  </si>
  <si>
    <t>Orr</t>
  </si>
  <si>
    <t>Stimson</t>
  </si>
  <si>
    <t>Drennan</t>
  </si>
  <si>
    <t>Carabeta</t>
  </si>
  <si>
    <t>Mathis</t>
  </si>
  <si>
    <t>Garza</t>
  </si>
  <si>
    <t>Whitney</t>
  </si>
  <si>
    <t>Neill</t>
  </si>
  <si>
    <t>Hetzel</t>
  </si>
  <si>
    <t>Raymond</t>
  </si>
  <si>
    <t>Rachel</t>
  </si>
  <si>
    <t>Vineyard</t>
  </si>
  <si>
    <t>Salcedo</t>
  </si>
  <si>
    <t>Phillips</t>
  </si>
  <si>
    <t>Kirk-Tekippe</t>
  </si>
  <si>
    <t>Granoff</t>
  </si>
  <si>
    <t>Bradshaw</t>
  </si>
  <si>
    <t>Reese</t>
  </si>
  <si>
    <t>Kapioltas</t>
  </si>
  <si>
    <t>Zimmerman</t>
  </si>
  <si>
    <t>Johnslon</t>
  </si>
  <si>
    <t>Parker</t>
  </si>
  <si>
    <t>Johnson</t>
  </si>
  <si>
    <t>Galvan</t>
  </si>
  <si>
    <t>Nuchereno</t>
  </si>
  <si>
    <t>Keyes</t>
  </si>
  <si>
    <t>Lutz</t>
  </si>
  <si>
    <t>Littlefield</t>
  </si>
  <si>
    <t>Venton</t>
  </si>
  <si>
    <t>Page</t>
  </si>
  <si>
    <t>Gates</t>
  </si>
  <si>
    <t>Wallace</t>
  </si>
  <si>
    <t>Connatser</t>
  </si>
  <si>
    <t>Howell</t>
  </si>
  <si>
    <t>Collins-Bratton</t>
  </si>
  <si>
    <t>Urano</t>
  </si>
  <si>
    <t>Dolezal</t>
  </si>
  <si>
    <t>Pope</t>
  </si>
  <si>
    <t>Huerta</t>
  </si>
  <si>
    <t>Neurohr</t>
  </si>
  <si>
    <t>Donathan</t>
  </si>
  <si>
    <t>Hunt</t>
  </si>
  <si>
    <t>Holloway</t>
  </si>
  <si>
    <t>McDonald</t>
  </si>
  <si>
    <t>Engwall</t>
  </si>
  <si>
    <t>HBA</t>
  </si>
  <si>
    <t>Stonewall</t>
  </si>
  <si>
    <t>TREPAC
PO</t>
  </si>
  <si>
    <t>Crow</t>
  </si>
  <si>
    <t>Gerber</t>
  </si>
  <si>
    <t>Schenkkel</t>
  </si>
  <si>
    <t>Assanie</t>
  </si>
  <si>
    <t>HealthPAC
PO</t>
  </si>
  <si>
    <t>Deason</t>
  </si>
  <si>
    <t>Elk</t>
  </si>
  <si>
    <t>Feyer</t>
  </si>
  <si>
    <t>Garraway</t>
  </si>
  <si>
    <t>Glendenning</t>
  </si>
  <si>
    <t>Hall</t>
  </si>
  <si>
    <t>Hasty</t>
  </si>
  <si>
    <t>Hutchison</t>
  </si>
  <si>
    <t>Jones</t>
  </si>
  <si>
    <t>Kumar</t>
  </si>
  <si>
    <t>McCants</t>
  </si>
  <si>
    <t>Mihalopoulos</t>
  </si>
  <si>
    <t>Murphy</t>
  </si>
  <si>
    <t>Myers</t>
  </si>
  <si>
    <t>Norris</t>
  </si>
  <si>
    <t>Nye</t>
  </si>
  <si>
    <t>Rajani</t>
  </si>
  <si>
    <t>Rose</t>
  </si>
  <si>
    <t>Sampson</t>
  </si>
  <si>
    <t>Sewell</t>
  </si>
  <si>
    <t>Staubach</t>
  </si>
  <si>
    <t>Tanner</t>
  </si>
  <si>
    <t>White</t>
  </si>
  <si>
    <t>WSP</t>
  </si>
  <si>
    <t>Perot</t>
  </si>
  <si>
    <t>Tillotson</t>
  </si>
  <si>
    <t>Goldberg</t>
  </si>
  <si>
    <t>Drysdale</t>
  </si>
  <si>
    <t>Welsh</t>
  </si>
  <si>
    <t>Nambiar</t>
  </si>
  <si>
    <t>Purdy</t>
  </si>
  <si>
    <t>Battie</t>
  </si>
  <si>
    <t>Olson</t>
  </si>
  <si>
    <t>Moore</t>
  </si>
  <si>
    <t>Desai</t>
  </si>
  <si>
    <t>Oliver</t>
  </si>
  <si>
    <t>Idoux</t>
  </si>
  <si>
    <t>Coffman</t>
  </si>
  <si>
    <t>Wilson</t>
  </si>
  <si>
    <t>Carter</t>
  </si>
  <si>
    <t>McDougal</t>
  </si>
  <si>
    <t>Smith</t>
  </si>
  <si>
    <t>Mittal</t>
  </si>
  <si>
    <t>Thomas</t>
  </si>
  <si>
    <t>Miller</t>
  </si>
  <si>
    <t>Woodlief</t>
  </si>
  <si>
    <t>Rastogi</t>
  </si>
  <si>
    <t>Parish</t>
  </si>
  <si>
    <t>Rupani</t>
  </si>
  <si>
    <t>Lashlee</t>
  </si>
  <si>
    <t>Maltese</t>
  </si>
  <si>
    <t>Bowles</t>
  </si>
  <si>
    <t>Noble</t>
  </si>
  <si>
    <t>King</t>
  </si>
  <si>
    <t>Mier</t>
  </si>
  <si>
    <t>Wani</t>
  </si>
  <si>
    <t>Malik</t>
  </si>
  <si>
    <t>Lovell</t>
  </si>
  <si>
    <t>Russell</t>
  </si>
  <si>
    <t>Dym</t>
  </si>
  <si>
    <t>Stauffer</t>
  </si>
  <si>
    <t>Davis</t>
  </si>
  <si>
    <t>Childress</t>
  </si>
  <si>
    <t>Evans</t>
  </si>
  <si>
    <t>Gibson</t>
  </si>
  <si>
    <t>Stein</t>
  </si>
  <si>
    <t>Katz</t>
  </si>
  <si>
    <t>Scovell</t>
  </si>
  <si>
    <t>Marshall</t>
  </si>
  <si>
    <t>Quezada</t>
  </si>
  <si>
    <t>Walsh</t>
  </si>
  <si>
    <t>Shidid</t>
  </si>
  <si>
    <t>Sanford</t>
  </si>
  <si>
    <t>Leal</t>
  </si>
  <si>
    <t>Green</t>
  </si>
  <si>
    <t>Ley</t>
  </si>
  <si>
    <t>Christian</t>
  </si>
  <si>
    <t>Pittman</t>
  </si>
  <si>
    <t>Yxall</t>
  </si>
  <si>
    <t>English</t>
  </si>
  <si>
    <t>Johansen</t>
  </si>
  <si>
    <t>Santa-Maria</t>
  </si>
  <si>
    <t>Fleiss</t>
  </si>
  <si>
    <t>Heckler</t>
  </si>
  <si>
    <t>Huffines</t>
  </si>
  <si>
    <t>James</t>
  </si>
  <si>
    <t>Matthews</t>
  </si>
  <si>
    <t>Walker</t>
  </si>
  <si>
    <t>Chandler</t>
  </si>
  <si>
    <t>McBee</t>
  </si>
  <si>
    <t>Genender</t>
  </si>
  <si>
    <t>Booker</t>
  </si>
  <si>
    <t>McClinton</t>
  </si>
  <si>
    <t>Heiskell</t>
  </si>
  <si>
    <t>Patterson</t>
  </si>
  <si>
    <t>Lazof</t>
  </si>
  <si>
    <t>Walne</t>
  </si>
  <si>
    <t>ODwyer</t>
  </si>
  <si>
    <t>Mitchell</t>
  </si>
  <si>
    <t>Welch</t>
  </si>
  <si>
    <t>Steinhart</t>
  </si>
  <si>
    <t>Murchison</t>
  </si>
  <si>
    <t>Jordan</t>
  </si>
  <si>
    <t>Gunnin</t>
  </si>
  <si>
    <t>Folsom</t>
  </si>
  <si>
    <t>Heinbaugh</t>
  </si>
  <si>
    <t>Kang</t>
  </si>
  <si>
    <t>Poss</t>
  </si>
  <si>
    <t>Lawry</t>
  </si>
  <si>
    <t>Lanier</t>
  </si>
  <si>
    <t>Bumpas</t>
  </si>
  <si>
    <t>Gruber</t>
  </si>
  <si>
    <t>Higgins</t>
  </si>
  <si>
    <t>Magnis</t>
  </si>
  <si>
    <t>Chaisson</t>
  </si>
  <si>
    <t>Huth</t>
  </si>
  <si>
    <t>Falvo</t>
  </si>
  <si>
    <t>Bullock</t>
  </si>
  <si>
    <t>Nash-Huntley</t>
  </si>
  <si>
    <t>Parobek</t>
  </si>
  <si>
    <t>Margolin</t>
  </si>
  <si>
    <t>Payne</t>
  </si>
  <si>
    <t>Petree</t>
  </si>
  <si>
    <t>Reis</t>
  </si>
  <si>
    <t>Byrne</t>
  </si>
  <si>
    <t>Headington</t>
  </si>
  <si>
    <t>Hancock</t>
  </si>
  <si>
    <t>Panipinto</t>
  </si>
  <si>
    <t>Perkins</t>
  </si>
  <si>
    <t>Crumpecker</t>
  </si>
  <si>
    <t>Cowger</t>
  </si>
  <si>
    <t>Frank</t>
  </si>
  <si>
    <t>Music</t>
  </si>
  <si>
    <t>Lunceford</t>
  </si>
  <si>
    <t>Henry</t>
  </si>
  <si>
    <t>Minic</t>
  </si>
  <si>
    <t>Worsham</t>
  </si>
  <si>
    <t>Gonzales</t>
  </si>
  <si>
    <t>Perdue</t>
  </si>
  <si>
    <t>Reisenbichler</t>
  </si>
  <si>
    <t>Corman</t>
  </si>
  <si>
    <t>Name</t>
  </si>
  <si>
    <t>Horwitz</t>
  </si>
  <si>
    <t>Edmondson</t>
  </si>
  <si>
    <t>Nugent</t>
  </si>
  <si>
    <t>Harding</t>
  </si>
  <si>
    <t>Spalding</t>
  </si>
  <si>
    <t>Huntington</t>
  </si>
  <si>
    <t>Hazelton</t>
  </si>
  <si>
    <t>Trimble</t>
  </si>
  <si>
    <t>Dunlap</t>
  </si>
  <si>
    <t>Noyes</t>
  </si>
  <si>
    <t>Losinger</t>
  </si>
  <si>
    <t>Glaser</t>
  </si>
  <si>
    <t>Sutton</t>
  </si>
  <si>
    <t>Hopkins</t>
  </si>
  <si>
    <t>Bonfield</t>
  </si>
  <si>
    <t>Gagne</t>
  </si>
  <si>
    <t>Chambers</t>
  </si>
  <si>
    <t>Glenn</t>
  </si>
  <si>
    <t>Levonyak</t>
  </si>
  <si>
    <t>Wetsel</t>
  </si>
  <si>
    <t>Jouvenat</t>
  </si>
  <si>
    <t>Gatlin</t>
  </si>
  <si>
    <t>Schenkel</t>
  </si>
  <si>
    <t>Martin</t>
  </si>
  <si>
    <t>Owen</t>
  </si>
  <si>
    <t>Northwest</t>
  </si>
  <si>
    <t>Ellerman</t>
  </si>
  <si>
    <t>Dale</t>
  </si>
  <si>
    <t>Mihalopolous</t>
  </si>
  <si>
    <t>Forsyth</t>
  </si>
  <si>
    <t>Fulton</t>
  </si>
  <si>
    <t>Tarpley</t>
  </si>
  <si>
    <t>Chase</t>
  </si>
  <si>
    <t>GERBER</t>
  </si>
  <si>
    <t>Jackson</t>
  </si>
  <si>
    <t>Offutt</t>
  </si>
  <si>
    <t>Stern</t>
  </si>
  <si>
    <t>Mason</t>
  </si>
  <si>
    <t>Borruf</t>
  </si>
  <si>
    <t>Stansbury</t>
  </si>
  <si>
    <t>Gole</t>
  </si>
  <si>
    <t>Warner</t>
  </si>
  <si>
    <t>Russo</t>
  </si>
  <si>
    <t>Shapiro</t>
  </si>
  <si>
    <t>Williams</t>
  </si>
  <si>
    <t>Conner</t>
  </si>
  <si>
    <t>Howard</t>
  </si>
  <si>
    <t>Karol</t>
  </si>
  <si>
    <t>Key</t>
  </si>
  <si>
    <t>Offut</t>
  </si>
  <si>
    <t>Syler</t>
  </si>
  <si>
    <t>Vallot</t>
  </si>
  <si>
    <t>Greef</t>
  </si>
  <si>
    <t>Schossler</t>
  </si>
  <si>
    <t>Wendel</t>
  </si>
  <si>
    <t>Treadway</t>
  </si>
  <si>
    <t>Rybczyk</t>
  </si>
  <si>
    <t>Faz</t>
  </si>
  <si>
    <t>Hardtner</t>
  </si>
  <si>
    <t>Hoseterey</t>
  </si>
  <si>
    <t>Hong</t>
  </si>
  <si>
    <t>Irvin</t>
  </si>
  <si>
    <t>Kirby</t>
  </si>
  <si>
    <t>Oakley</t>
  </si>
  <si>
    <t>Ehrhardt</t>
  </si>
  <si>
    <t>Ramos</t>
  </si>
  <si>
    <t>Saucedo</t>
  </si>
  <si>
    <t>Vandiver</t>
  </si>
  <si>
    <t>Forester</t>
  </si>
  <si>
    <t>Newton</t>
  </si>
  <si>
    <t>Pearce</t>
  </si>
  <si>
    <t>Shadid</t>
  </si>
  <si>
    <t>Suhm</t>
  </si>
  <si>
    <t>Corcoran</t>
  </si>
  <si>
    <t>Hoffman</t>
  </si>
  <si>
    <t>Reed</t>
  </si>
  <si>
    <t>Maggard</t>
  </si>
  <si>
    <t>Gonzalez</t>
  </si>
  <si>
    <t>Weaver</t>
  </si>
  <si>
    <t>Linebarger</t>
  </si>
  <si>
    <t>Fergason</t>
  </si>
  <si>
    <t>Grantham</t>
  </si>
  <si>
    <t>Hoffland</t>
  </si>
  <si>
    <t>Krywucki</t>
  </si>
  <si>
    <t>Lane</t>
  </si>
  <si>
    <t>Veale</t>
  </si>
  <si>
    <t>Coates</t>
  </si>
  <si>
    <t>McDonough</t>
  </si>
  <si>
    <t>Bryant</t>
  </si>
  <si>
    <t>Fossey</t>
  </si>
  <si>
    <t>Sandoval</t>
  </si>
  <si>
    <t>Hawkins</t>
  </si>
  <si>
    <t>Kirk</t>
  </si>
  <si>
    <t>Montgomery</t>
  </si>
  <si>
    <t>Snoyer</t>
  </si>
  <si>
    <t>Casey</t>
  </si>
  <si>
    <t>Crone</t>
  </si>
  <si>
    <t>Garcia</t>
  </si>
  <si>
    <t>Griggs</t>
  </si>
  <si>
    <t>Kemp</t>
  </si>
  <si>
    <t>Rice</t>
  </si>
  <si>
    <t>Cain</t>
  </si>
  <si>
    <t>Creuzot</t>
  </si>
  <si>
    <t>Givens</t>
  </si>
  <si>
    <t>Jasso</t>
  </si>
  <si>
    <t>Malone</t>
  </si>
  <si>
    <t>Paluso</t>
  </si>
  <si>
    <t>Rivas</t>
  </si>
  <si>
    <t>Simon</t>
  </si>
  <si>
    <t>Sleeper</t>
  </si>
  <si>
    <t>Tiller</t>
  </si>
  <si>
    <t>Bragalone</t>
  </si>
  <si>
    <t>Fuentes</t>
  </si>
  <si>
    <t>Platt</t>
  </si>
  <si>
    <t>Starr</t>
  </si>
  <si>
    <t>Kotvis</t>
  </si>
  <si>
    <t>Rawlings</t>
  </si>
  <si>
    <t>Brewer</t>
  </si>
  <si>
    <t>Hansbany</t>
  </si>
  <si>
    <t>Johnston</t>
  </si>
  <si>
    <t>Paradise</t>
  </si>
  <si>
    <t>Spellicy</t>
  </si>
  <si>
    <t>Sullivan</t>
  </si>
  <si>
    <t>Wells</t>
  </si>
  <si>
    <t>Wise</t>
  </si>
  <si>
    <t>Wynne</t>
  </si>
  <si>
    <t>Davidson</t>
  </si>
  <si>
    <t>Brown</t>
  </si>
  <si>
    <t>Cline</t>
  </si>
  <si>
    <t>Terry</t>
  </si>
  <si>
    <t>Ragan</t>
  </si>
  <si>
    <t>Minnis</t>
  </si>
  <si>
    <t>Cadena</t>
  </si>
  <si>
    <t>Reznik</t>
  </si>
  <si>
    <t>Hill</t>
  </si>
  <si>
    <t>Pegram</t>
  </si>
  <si>
    <t>Hernandez</t>
  </si>
  <si>
    <t>Marston</t>
  </si>
  <si>
    <t>Stewart</t>
  </si>
  <si>
    <t>Cox</t>
  </si>
  <si>
    <t>Klemme</t>
  </si>
  <si>
    <t>Briggs</t>
  </si>
  <si>
    <t>Hedrick</t>
  </si>
  <si>
    <t>Coutant</t>
  </si>
  <si>
    <t>Siegers</t>
  </si>
  <si>
    <t>Boyd</t>
  </si>
  <si>
    <t>Bonahoom</t>
  </si>
  <si>
    <t>Lauck</t>
  </si>
  <si>
    <t>Timmerman</t>
  </si>
  <si>
    <t>Lewis</t>
  </si>
  <si>
    <t>Bubel</t>
  </si>
  <si>
    <t>Carrick</t>
  </si>
  <si>
    <t>Fenimore</t>
  </si>
  <si>
    <t>Brunkenhoefer</t>
  </si>
  <si>
    <t>Jodie</t>
  </si>
  <si>
    <t>Goocher</t>
  </si>
  <si>
    <t>Lee</t>
  </si>
  <si>
    <t>Reeder</t>
  </si>
  <si>
    <t>Lonergan</t>
  </si>
  <si>
    <t>Griffith</t>
  </si>
  <si>
    <t>Morgan</t>
  </si>
  <si>
    <t>McIlwain</t>
  </si>
  <si>
    <t>Harris</t>
  </si>
  <si>
    <t>Woolley</t>
  </si>
  <si>
    <t>Rabe</t>
  </si>
  <si>
    <t>Cowlishaw</t>
  </si>
  <si>
    <t>Henneberger</t>
  </si>
  <si>
    <t>Sides</t>
  </si>
  <si>
    <t>Rafkin</t>
  </si>
  <si>
    <t>Duval</t>
  </si>
  <si>
    <t>Burns</t>
  </si>
  <si>
    <t>Hughes</t>
  </si>
  <si>
    <t>Zreet</t>
  </si>
  <si>
    <t>Woods</t>
  </si>
  <si>
    <t>Holmes</t>
  </si>
  <si>
    <t>Stell</t>
  </si>
  <si>
    <t>Iyriad</t>
  </si>
  <si>
    <t>Chopp</t>
  </si>
  <si>
    <t>SOUTHWEST</t>
  </si>
  <si>
    <t>OLABIMTAN</t>
  </si>
  <si>
    <t>Mapp</t>
  </si>
  <si>
    <t>Warren</t>
  </si>
  <si>
    <t>Levis</t>
  </si>
  <si>
    <t>Hixson</t>
  </si>
  <si>
    <t>Clardy</t>
  </si>
  <si>
    <t>Housewright</t>
  </si>
  <si>
    <t>Mellinger</t>
  </si>
  <si>
    <t>Connell</t>
  </si>
  <si>
    <t>Thompson</t>
  </si>
  <si>
    <t>McIntyre</t>
  </si>
  <si>
    <t>Cook</t>
  </si>
  <si>
    <t>McAtee</t>
  </si>
  <si>
    <t>McDade</t>
  </si>
  <si>
    <t>Nash</t>
  </si>
  <si>
    <t>Pitts</t>
  </si>
  <si>
    <t>Polumbo</t>
  </si>
  <si>
    <t>Schulz</t>
  </si>
  <si>
    <t>Charter</t>
  </si>
  <si>
    <t>Norton</t>
  </si>
  <si>
    <t>Dallas</t>
  </si>
  <si>
    <t>Southwest</t>
  </si>
  <si>
    <t>Texas</t>
  </si>
  <si>
    <t>Enzler</t>
  </si>
  <si>
    <t>Farmer</t>
  </si>
  <si>
    <t>Fertitta</t>
  </si>
  <si>
    <t>Kleinert</t>
  </si>
  <si>
    <t>Meurer</t>
  </si>
  <si>
    <t>Rowling</t>
  </si>
  <si>
    <t>Zulejkic</t>
  </si>
  <si>
    <t>Eisenberg</t>
  </si>
  <si>
    <t>Grace</t>
  </si>
  <si>
    <t>Gutierrez</t>
  </si>
  <si>
    <t>Hooey</t>
  </si>
  <si>
    <t>Love</t>
  </si>
  <si>
    <t>Peters</t>
  </si>
  <si>
    <t>Cammack</t>
  </si>
  <si>
    <t>Hawley</t>
  </si>
  <si>
    <t>Hodge</t>
  </si>
  <si>
    <t>Keffer</t>
  </si>
  <si>
    <t>Bracewell</t>
  </si>
  <si>
    <t>Gulf</t>
  </si>
  <si>
    <t>Kelley</t>
  </si>
  <si>
    <t>Long</t>
  </si>
  <si>
    <t>Nosek</t>
  </si>
  <si>
    <t>Health</t>
  </si>
  <si>
    <t>Hardwick</t>
  </si>
  <si>
    <t>Locke</t>
  </si>
  <si>
    <t>Hunton</t>
  </si>
  <si>
    <t>Madden</t>
  </si>
  <si>
    <t>Mani</t>
  </si>
  <si>
    <t>Jakes</t>
  </si>
  <si>
    <t>Iwasko</t>
  </si>
  <si>
    <t>Rothenberger</t>
  </si>
  <si>
    <t>Rubin</t>
  </si>
  <si>
    <t>Velvin</t>
  </si>
  <si>
    <t>Neumann</t>
  </si>
  <si>
    <t>Yoxall</t>
  </si>
  <si>
    <t>Mann</t>
  </si>
  <si>
    <t>Lutin</t>
  </si>
  <si>
    <t>Culbreath</t>
  </si>
  <si>
    <t>Sacher</t>
  </si>
  <si>
    <t>Renfro</t>
  </si>
  <si>
    <t>Vaught</t>
  </si>
  <si>
    <t>Ku</t>
  </si>
  <si>
    <t>Dominguez</t>
  </si>
  <si>
    <t>Okon</t>
  </si>
  <si>
    <t>Knaupe</t>
  </si>
  <si>
    <t>Gump</t>
  </si>
  <si>
    <t>Koch</t>
  </si>
  <si>
    <t>Ross</t>
  </si>
  <si>
    <t>Brock</t>
  </si>
  <si>
    <t>Mondell</t>
  </si>
  <si>
    <t>Popolo</t>
  </si>
  <si>
    <t>Capelo</t>
  </si>
  <si>
    <t>Feinstein</t>
  </si>
  <si>
    <t>Senat</t>
  </si>
  <si>
    <t>Botefuhr</t>
  </si>
  <si>
    <t>Tolbert</t>
  </si>
  <si>
    <t>Paley</t>
  </si>
  <si>
    <t>Houston</t>
  </si>
  <si>
    <t>Fowler</t>
  </si>
  <si>
    <t>Clark</t>
  </si>
  <si>
    <t>Hurst</t>
  </si>
  <si>
    <t>Tony</t>
  </si>
  <si>
    <t>Luallen</t>
  </si>
  <si>
    <t>Davenport</t>
  </si>
  <si>
    <t>Mueller</t>
  </si>
  <si>
    <t>Shirejian</t>
  </si>
  <si>
    <t>Toney</t>
  </si>
  <si>
    <t>Starling</t>
  </si>
  <si>
    <t>Kazora</t>
  </si>
  <si>
    <t>Cager</t>
  </si>
  <si>
    <t>Twining</t>
  </si>
  <si>
    <t>Vaca</t>
  </si>
  <si>
    <t>Hinojosa</t>
  </si>
  <si>
    <t>Meade</t>
  </si>
  <si>
    <t>Satterthwaite</t>
  </si>
  <si>
    <t>Kutac</t>
  </si>
  <si>
    <t>Sandler</t>
  </si>
  <si>
    <t>McCullough</t>
  </si>
  <si>
    <t>Kazee</t>
  </si>
  <si>
    <t>Champion</t>
  </si>
  <si>
    <t>Burrell</t>
  </si>
  <si>
    <t>Lester</t>
  </si>
  <si>
    <t>Tran</t>
  </si>
  <si>
    <t>Egan</t>
  </si>
  <si>
    <t>Borick</t>
  </si>
  <si>
    <t>Kelly</t>
  </si>
  <si>
    <t>Frazier</t>
  </si>
  <si>
    <t>Setnick</t>
  </si>
  <si>
    <t>Townsend</t>
  </si>
  <si>
    <t>Haggerty</t>
  </si>
  <si>
    <t>Koop</t>
  </si>
  <si>
    <t>Feuer</t>
  </si>
  <si>
    <t>Dorantes</t>
  </si>
  <si>
    <t>Conley</t>
  </si>
  <si>
    <t>Larosiliere</t>
  </si>
  <si>
    <t>Starnes</t>
  </si>
  <si>
    <t>Joyner</t>
  </si>
  <si>
    <t>Robinson</t>
  </si>
  <si>
    <t>Vindas</t>
  </si>
  <si>
    <t>Silva</t>
  </si>
  <si>
    <t>Syed</t>
  </si>
  <si>
    <t>Ford</t>
  </si>
  <si>
    <t>Garfield</t>
  </si>
  <si>
    <t>Price</t>
  </si>
  <si>
    <t>Coleman</t>
  </si>
  <si>
    <t>Perryman</t>
  </si>
  <si>
    <t>Segura</t>
  </si>
  <si>
    <t>Hubbard</t>
  </si>
  <si>
    <t>Webb</t>
  </si>
  <si>
    <t>Dunning</t>
  </si>
  <si>
    <t>Sadler</t>
  </si>
  <si>
    <t>Walters</t>
  </si>
  <si>
    <t>Malveaux</t>
  </si>
  <si>
    <t>Enobakhare</t>
  </si>
  <si>
    <t>Cabrales</t>
  </si>
  <si>
    <t>Tsao</t>
  </si>
  <si>
    <t>Odom</t>
  </si>
  <si>
    <t>Brunson</t>
  </si>
  <si>
    <t>Flournoy</t>
  </si>
  <si>
    <t>Luce</t>
  </si>
  <si>
    <t>Hopper</t>
  </si>
  <si>
    <t>Washburne</t>
  </si>
  <si>
    <t>Goldman</t>
  </si>
  <si>
    <t>Pailet</t>
  </si>
  <si>
    <t>Collie</t>
  </si>
  <si>
    <t>Pradia</t>
  </si>
  <si>
    <t>Deckard</t>
  </si>
  <si>
    <t>Stanton</t>
  </si>
  <si>
    <t>Pick</t>
  </si>
  <si>
    <t>Kress</t>
  </si>
  <si>
    <t>Chapman</t>
  </si>
  <si>
    <t>Todd</t>
  </si>
  <si>
    <t>Seay</t>
  </si>
  <si>
    <t>Lonsdale</t>
  </si>
  <si>
    <t>Hicks</t>
  </si>
  <si>
    <t>Ryan</t>
  </si>
  <si>
    <t>Vasquez</t>
  </si>
  <si>
    <t>Mazziotta</t>
  </si>
  <si>
    <t>Burk</t>
  </si>
  <si>
    <t>Deitchman</t>
  </si>
  <si>
    <t>Goad</t>
  </si>
  <si>
    <t>Cohen</t>
  </si>
  <si>
    <t>Clore</t>
  </si>
  <si>
    <t>Whitman</t>
  </si>
  <si>
    <t>Frauman</t>
  </si>
  <si>
    <t>Koslin</t>
  </si>
  <si>
    <t>Epstein</t>
  </si>
  <si>
    <t>Forbes</t>
  </si>
  <si>
    <t>Stack</t>
  </si>
  <si>
    <t>Krakow</t>
  </si>
  <si>
    <t>Loomis</t>
  </si>
  <si>
    <t>Feldman</t>
  </si>
  <si>
    <t>Baird</t>
  </si>
  <si>
    <t>Nicklaus</t>
  </si>
  <si>
    <t>Heller</t>
  </si>
  <si>
    <t>Rutchik</t>
  </si>
  <si>
    <t>Wilkofsky</t>
  </si>
  <si>
    <t>Radunsky</t>
  </si>
  <si>
    <t>Swartzbaugh</t>
  </si>
  <si>
    <t>Erback</t>
  </si>
  <si>
    <t>Ohayon</t>
  </si>
  <si>
    <t>Rothschild</t>
  </si>
  <si>
    <t>Nayeb</t>
  </si>
  <si>
    <t>Kittleson</t>
  </si>
  <si>
    <t>Mersky</t>
  </si>
  <si>
    <t>Ginsburg</t>
  </si>
  <si>
    <t>Mizrahi</t>
  </si>
  <si>
    <t>Hebley</t>
  </si>
  <si>
    <t>Milstein</t>
  </si>
  <si>
    <t>Jonas</t>
  </si>
  <si>
    <t>Duplantis</t>
  </si>
  <si>
    <t>Chafetz</t>
  </si>
  <si>
    <t>Palmer</t>
  </si>
  <si>
    <t>Fried</t>
  </si>
  <si>
    <t>Fritts</t>
  </si>
  <si>
    <t>Gallant</t>
  </si>
  <si>
    <t>Sims</t>
  </si>
  <si>
    <t>Weber</t>
  </si>
  <si>
    <t>Pogson</t>
  </si>
  <si>
    <t>Leibs</t>
  </si>
  <si>
    <t>Meltzer</t>
  </si>
  <si>
    <t>Romaner</t>
  </si>
  <si>
    <t>Radoff</t>
  </si>
  <si>
    <t>Raffkind</t>
  </si>
  <si>
    <t>Scofield</t>
  </si>
  <si>
    <t>Willard</t>
  </si>
  <si>
    <t>Glazer</t>
  </si>
  <si>
    <t>Suffness</t>
  </si>
  <si>
    <t>Suttle</t>
  </si>
  <si>
    <t>Marcum</t>
  </si>
  <si>
    <t>Steinberg</t>
  </si>
  <si>
    <t>Friedman</t>
  </si>
  <si>
    <t>Arbetter</t>
  </si>
  <si>
    <t>Pulley</t>
  </si>
  <si>
    <t>Sample</t>
  </si>
  <si>
    <t>Sahuc</t>
  </si>
  <si>
    <t>Worden</t>
  </si>
  <si>
    <t>Redifer</t>
  </si>
  <si>
    <t>Magadini</t>
  </si>
  <si>
    <t>Kofoed</t>
  </si>
  <si>
    <t>Zale</t>
  </si>
  <si>
    <t>West</t>
  </si>
  <si>
    <t>Friedland</t>
  </si>
  <si>
    <t>Weiner</t>
  </si>
  <si>
    <t>Cheirif</t>
  </si>
  <si>
    <t>Steinbrecher</t>
  </si>
  <si>
    <t>Hampton</t>
  </si>
  <si>
    <t>Seymour</t>
  </si>
  <si>
    <t>Waldman</t>
  </si>
  <si>
    <t>Schwarz</t>
  </si>
  <si>
    <t>Steinfield</t>
  </si>
  <si>
    <t>Rosenberg</t>
  </si>
  <si>
    <t>Presby</t>
  </si>
  <si>
    <t>Cheatham</t>
  </si>
  <si>
    <t>Hodes</t>
  </si>
  <si>
    <t>Lyle</t>
  </si>
  <si>
    <t>Kleinman</t>
  </si>
  <si>
    <t>Hoppenstein</t>
  </si>
  <si>
    <t>Meyerson</t>
  </si>
  <si>
    <t>Mackler</t>
  </si>
  <si>
    <t>Rabin</t>
  </si>
  <si>
    <t>Polsky</t>
  </si>
  <si>
    <t>Kaseff</t>
  </si>
  <si>
    <t>Houck</t>
  </si>
  <si>
    <t>Ward</t>
  </si>
  <si>
    <t>HERMANN</t>
  </si>
  <si>
    <t>Pankey</t>
  </si>
  <si>
    <t>Hurley</t>
  </si>
  <si>
    <t>Casto</t>
  </si>
  <si>
    <t>McCrary</t>
  </si>
  <si>
    <t>Courtwright</t>
  </si>
  <si>
    <t>Halfmann</t>
  </si>
  <si>
    <t>Robin</t>
  </si>
  <si>
    <t>Coats</t>
  </si>
  <si>
    <t>See</t>
  </si>
  <si>
    <t>Dann</t>
  </si>
  <si>
    <t>Forsythe</t>
  </si>
  <si>
    <t>Coyle</t>
  </si>
  <si>
    <t>Pouland</t>
  </si>
  <si>
    <t>Dawson</t>
  </si>
  <si>
    <t>Saab</t>
  </si>
  <si>
    <t>Grant</t>
  </si>
  <si>
    <t>Ybarra</t>
  </si>
  <si>
    <t>Clay</t>
  </si>
  <si>
    <t>Hoyt</t>
  </si>
  <si>
    <t>Hofland</t>
  </si>
  <si>
    <t>Boone</t>
  </si>
  <si>
    <t>Elevation</t>
  </si>
  <si>
    <t>England</t>
  </si>
  <si>
    <t>Linderman</t>
  </si>
  <si>
    <t>Hays</t>
  </si>
  <si>
    <t>SMITH</t>
  </si>
  <si>
    <t>Hamilton</t>
  </si>
  <si>
    <t>Rigelsky</t>
  </si>
  <si>
    <t>Proctor</t>
  </si>
  <si>
    <t>Lopez</t>
  </si>
  <si>
    <t>Goldwater</t>
  </si>
  <si>
    <t>Sievers</t>
  </si>
  <si>
    <t>Rodriguez</t>
  </si>
  <si>
    <t>Valach</t>
  </si>
  <si>
    <t>Bratton</t>
  </si>
  <si>
    <t>Kraft</t>
  </si>
  <si>
    <t>Boruff</t>
  </si>
  <si>
    <t>Finkelman</t>
  </si>
  <si>
    <t>Dalton</t>
  </si>
  <si>
    <t>Estrada</t>
  </si>
  <si>
    <t>Hunter</t>
  </si>
  <si>
    <t>Kanthor</t>
  </si>
  <si>
    <t>Reiss</t>
  </si>
  <si>
    <t>Grazzini</t>
  </si>
  <si>
    <t>Lin</t>
  </si>
  <si>
    <t>Donovan</t>
  </si>
  <si>
    <t>Overby</t>
  </si>
  <si>
    <t>Ginsberg</t>
  </si>
  <si>
    <t>Feustel</t>
  </si>
  <si>
    <t>Piper</t>
  </si>
  <si>
    <t>Dorminy</t>
  </si>
  <si>
    <t>Nettles</t>
  </si>
  <si>
    <t>Hasenbauer</t>
  </si>
  <si>
    <t>Mills</t>
  </si>
  <si>
    <t>Odum</t>
  </si>
  <si>
    <t>Guynes</t>
  </si>
  <si>
    <t>Skemp</t>
  </si>
  <si>
    <t>Christen</t>
  </si>
  <si>
    <t>Keen</t>
  </si>
  <si>
    <t>Caldwell</t>
  </si>
  <si>
    <t>Puente</t>
  </si>
  <si>
    <t>Sanders</t>
  </si>
  <si>
    <t>Park</t>
  </si>
  <si>
    <t>Pitchford</t>
  </si>
  <si>
    <t>Butts</t>
  </si>
  <si>
    <t>Naul</t>
  </si>
  <si>
    <t>Ohland</t>
  </si>
  <si>
    <t>Flabiano</t>
  </si>
  <si>
    <t>Leslie</t>
  </si>
  <si>
    <t>Schieber</t>
  </si>
  <si>
    <t>McNamara</t>
  </si>
  <si>
    <t>Cobb</t>
  </si>
  <si>
    <t>Klemm</t>
  </si>
  <si>
    <t>Montfort</t>
  </si>
  <si>
    <t>Segrest</t>
  </si>
  <si>
    <t>Sifford</t>
  </si>
  <si>
    <t>Hebeler</t>
  </si>
  <si>
    <t>Brundage</t>
  </si>
  <si>
    <t>Lamont</t>
  </si>
  <si>
    <t>Laster</t>
  </si>
  <si>
    <t>Cambpell</t>
  </si>
  <si>
    <t>Krochtengel</t>
  </si>
  <si>
    <t>Blackmon</t>
  </si>
  <si>
    <t>Foy</t>
  </si>
  <si>
    <t>Wear</t>
  </si>
  <si>
    <t>Crockett</t>
  </si>
  <si>
    <t>Rogers</t>
  </si>
  <si>
    <t>Silhan</t>
  </si>
  <si>
    <t>Freeland</t>
  </si>
  <si>
    <t>Montano</t>
  </si>
  <si>
    <t>Bracken</t>
  </si>
  <si>
    <t>Shelton</t>
  </si>
  <si>
    <t>Neil</t>
  </si>
  <si>
    <t>Bland</t>
  </si>
  <si>
    <t>Mccrea</t>
  </si>
  <si>
    <t>Emery</t>
  </si>
  <si>
    <t>Kraus</t>
  </si>
  <si>
    <t>Abrac</t>
  </si>
  <si>
    <t>Deleon</t>
  </si>
  <si>
    <t>Winn</t>
  </si>
  <si>
    <t>Dewar</t>
  </si>
  <si>
    <t>Patel</t>
  </si>
  <si>
    <t>Scudder</t>
  </si>
  <si>
    <t>Rimal</t>
  </si>
  <si>
    <t>Reynolds</t>
  </si>
  <si>
    <t>Dohanian</t>
  </si>
  <si>
    <t>Narvaez</t>
  </si>
  <si>
    <t>Cheema</t>
  </si>
  <si>
    <t>Ridley</t>
  </si>
  <si>
    <t>Solis</t>
  </si>
  <si>
    <t>Flores</t>
  </si>
  <si>
    <t>Olivarez</t>
  </si>
  <si>
    <t>Forsythe-Lill</t>
  </si>
  <si>
    <t>Watson</t>
  </si>
  <si>
    <t>Conwright</t>
  </si>
  <si>
    <t>Hanson</t>
  </si>
  <si>
    <t>Etheridge</t>
  </si>
  <si>
    <t>Ferdows</t>
  </si>
  <si>
    <t>Mahsani</t>
  </si>
  <si>
    <t>Dauterman</t>
  </si>
  <si>
    <t>Gomez</t>
  </si>
  <si>
    <t>Carafiol</t>
  </si>
  <si>
    <t>McGovern</t>
  </si>
  <si>
    <t>Bradford</t>
  </si>
  <si>
    <t>Olerio</t>
  </si>
  <si>
    <t>McMinn</t>
  </si>
  <si>
    <t>Brata</t>
  </si>
  <si>
    <t>Moreno</t>
  </si>
  <si>
    <t>Lovejoy</t>
  </si>
  <si>
    <t>Wood</t>
  </si>
  <si>
    <t>Nix</t>
  </si>
  <si>
    <t>Sloan</t>
  </si>
  <si>
    <t>Siepiela</t>
  </si>
  <si>
    <t>Groves</t>
  </si>
  <si>
    <t>Perry</t>
  </si>
  <si>
    <t>Dankert</t>
  </si>
  <si>
    <t>Mata</t>
  </si>
  <si>
    <t>Carden</t>
  </si>
  <si>
    <t>Amaya</t>
  </si>
  <si>
    <t>Bolding</t>
  </si>
  <si>
    <t>Revi</t>
  </si>
  <si>
    <t>Melnick</t>
  </si>
  <si>
    <t>Schultz</t>
  </si>
  <si>
    <t>Dingman</t>
  </si>
  <si>
    <t>Urby</t>
  </si>
  <si>
    <t>Hargraves</t>
  </si>
  <si>
    <t>Woodruff</t>
  </si>
  <si>
    <t>Dalheim</t>
  </si>
  <si>
    <t>Edwards</t>
  </si>
  <si>
    <t>Spence</t>
  </si>
  <si>
    <t>Peña</t>
  </si>
  <si>
    <t>Schorman</t>
  </si>
  <si>
    <t>Pirkey</t>
  </si>
  <si>
    <t>Beitler</t>
  </si>
  <si>
    <t>Camarillo</t>
  </si>
  <si>
    <t>Dismore</t>
  </si>
  <si>
    <t>Owens</t>
  </si>
  <si>
    <t>Santa</t>
  </si>
  <si>
    <t>Thorne</t>
  </si>
  <si>
    <t>Smades</t>
  </si>
  <si>
    <t>Ellison</t>
  </si>
  <si>
    <t>Edgemon</t>
  </si>
  <si>
    <t>Greenhouse</t>
  </si>
  <si>
    <t>McLaren</t>
  </si>
  <si>
    <t>Hellyar</t>
  </si>
  <si>
    <t>Linburg</t>
  </si>
  <si>
    <t>Rouse</t>
  </si>
  <si>
    <t>Larsen</t>
  </si>
  <si>
    <t>McGinnis</t>
  </si>
  <si>
    <t>Culak</t>
  </si>
  <si>
    <t>Christopher</t>
  </si>
  <si>
    <t>Coffee</t>
  </si>
  <si>
    <t>Lamb</t>
  </si>
  <si>
    <t>Perez</t>
  </si>
  <si>
    <t>Hewitt</t>
  </si>
  <si>
    <t>Weempe</t>
  </si>
  <si>
    <t>Lindegaard</t>
  </si>
  <si>
    <t>SWA</t>
  </si>
  <si>
    <t>Bufford</t>
  </si>
  <si>
    <t>Lill</t>
  </si>
  <si>
    <t>Reichert</t>
  </si>
  <si>
    <t>Carnahan</t>
  </si>
  <si>
    <t>Mortimer</t>
  </si>
  <si>
    <t>Havlick</t>
  </si>
  <si>
    <t>John</t>
  </si>
  <si>
    <t>Linville</t>
  </si>
  <si>
    <t>Nedler</t>
  </si>
  <si>
    <t>Medrano</t>
  </si>
  <si>
    <t>Eharhardt</t>
  </si>
  <si>
    <t>Morales</t>
  </si>
  <si>
    <t>Zavala</t>
  </si>
  <si>
    <t>Flanagan</t>
  </si>
  <si>
    <t>COX</t>
  </si>
  <si>
    <t>ROGERS</t>
  </si>
  <si>
    <t>Sum all donations that are above 1000, regardless of whether multiple in-family donations</t>
  </si>
  <si>
    <t>% of Above vs. Total Contributions</t>
  </si>
  <si>
    <t>Notes:
The above chart calculates the total contributions from a family and subtracts the maximum single-contributor limit
These operations represent instances of potential (?) straw donations made amongst family members.
I chose the single-contributor limit in order to demonstrate the inflation of a single voter's influence on city elections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</si>
</sst>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am/pm"/>
    <numFmt numFmtId="165" formatCode="m/d/yyyy"/>
    <numFmt numFmtId="166" formatCode="&quot;$&quot;#,##0.00"/>
  </numFmts>
  <fonts count="24">
    <font>
      <sz val="10.0"/>
      <color rgb="FF000000"/>
      <name val="Arial"/>
      <scheme val="minor"/>
    </font>
    <font>
      <b/>
      <color rgb="FFFFFFFF"/>
      <name val="Arial"/>
    </font>
    <font>
      <b/>
      <color theme="1"/>
      <name val="Arial"/>
    </font>
    <font>
      <b/>
      <color rgb="FF000066"/>
      <name val="Arial"/>
    </font>
    <font>
      <b/>
      <color theme="1"/>
      <name val="Arial"/>
      <scheme val="minor"/>
    </font>
    <font>
      <b/>
      <sz val="11.0"/>
      <color rgb="FF000000"/>
      <name val="Inconsolata"/>
    </font>
    <font>
      <b/>
      <sz val="12.0"/>
      <color rgb="FF000066"/>
      <name val="Arial"/>
    </font>
    <font>
      <color rgb="FF000066"/>
      <name val="Arial"/>
    </font>
    <font>
      <u/>
      <color rgb="FF000066"/>
      <name val="Arial"/>
    </font>
    <font>
      <color theme="1"/>
      <name val="Arial"/>
    </font>
    <font>
      <color theme="1"/>
      <name val="Arial"/>
      <scheme val="minor"/>
    </font>
    <font>
      <u/>
      <color rgb="FF000066"/>
      <name val="Arial"/>
    </font>
    <font>
      <sz val="11.0"/>
      <color rgb="FF000000"/>
      <name val="Inconsolata"/>
    </font>
    <font>
      <color rgb="FF232629"/>
      <name val="Ui-monospace"/>
    </font>
    <font>
      <sz val="12.0"/>
      <color rgb="FF000000"/>
      <name val="Arial"/>
    </font>
    <font>
      <b/>
      <sz val="12.0"/>
      <color rgb="FF000000"/>
      <name val="Arial"/>
    </font>
    <font/>
    <font>
      <sz val="12.0"/>
      <color rgb="FF000066"/>
      <name val="Arial"/>
    </font>
    <font>
      <b/>
      <sz val="14.0"/>
      <color rgb="FF000066"/>
      <name val="Arial"/>
    </font>
    <font>
      <sz val="12.0"/>
      <color theme="1"/>
      <name val="Arial"/>
    </font>
    <font>
      <sz val="14.0"/>
      <color rgb="FF000066"/>
      <name val="Arial"/>
    </font>
    <font>
      <sz val="14.0"/>
      <color theme="1"/>
      <name val="Arial"/>
      <scheme val="minor"/>
    </font>
    <font>
      <b/>
      <sz val="12.0"/>
      <color theme="1"/>
      <name val="Arial"/>
    </font>
    <font>
      <strike/>
      <color rgb="FF000066"/>
      <name val="Arial"/>
    </font>
  </fonts>
  <fills count="8">
    <fill>
      <patternFill patternType="none"/>
    </fill>
    <fill>
      <patternFill patternType="lightGray"/>
    </fill>
    <fill>
      <patternFill patternType="solid">
        <fgColor rgb="FF006699"/>
        <bgColor rgb="FF006699"/>
      </patternFill>
    </fill>
    <fill>
      <patternFill patternType="solid">
        <fgColor rgb="FFB6D7A8"/>
        <bgColor rgb="FFB6D7A8"/>
      </patternFill>
    </fill>
    <fill>
      <patternFill patternType="solid">
        <fgColor rgb="FF6AA84F"/>
        <bgColor rgb="FF6AA84F"/>
      </patternFill>
    </fill>
    <fill>
      <patternFill patternType="solid">
        <fgColor rgb="FFF1F1F1"/>
        <bgColor rgb="FFF1F1F1"/>
      </patternFill>
    </fill>
    <fill>
      <patternFill patternType="solid">
        <fgColor rgb="FFFFFFFF"/>
        <bgColor rgb="FFFFFFFF"/>
      </patternFill>
    </fill>
    <fill>
      <patternFill patternType="solid">
        <fgColor rgb="FFE3E6E8"/>
        <bgColor rgb="FFE3E6E8"/>
      </patternFill>
    </fill>
  </fills>
  <borders count="16">
    <border/>
    <border>
      <left style="thick">
        <color rgb="FF000000"/>
      </left>
      <right style="thick">
        <color rgb="FF000000"/>
      </righ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thick">
        <color rgb="FF000000"/>
      </bottom>
    </border>
    <border>
      <left style="thick">
        <color rgb="FF000000"/>
      </left>
      <right style="thick">
        <color rgb="FF000000"/>
      </right>
      <top style="thick">
        <color rgb="FF000000"/>
      </top>
    </border>
    <border>
      <left style="thick">
        <color rgb="FF000000"/>
      </left>
      <right style="thick">
        <color rgb="FF000000"/>
      </right>
    </border>
    <border>
      <top style="thick">
        <color rgb="FF000000"/>
      </top>
    </border>
    <border>
      <right style="thick">
        <color rgb="FF000000"/>
      </right>
      <top style="thick">
        <color rgb="FF000000"/>
      </top>
    </border>
    <border>
      <left style="thick">
        <color rgb="FF000000"/>
      </left>
      <top style="thick">
        <color rgb="FF000000"/>
      </top>
    </border>
    <border>
      <left style="thick">
        <color rgb="FF000000"/>
      </left>
    </border>
    <border>
      <right style="thick">
        <color rgb="FF000000"/>
      </right>
    </border>
  </borders>
  <cellStyleXfs count="1">
    <xf borderId="0" fillId="0" fontId="0" numFmtId="0" applyAlignment="1" applyFont="1"/>
  </cellStyleXfs>
  <cellXfs count="150">
    <xf borderId="0" fillId="0" fontId="0" numFmtId="0" xfId="0" applyAlignment="1" applyFont="1">
      <alignment readingOrder="0" shrinkToFit="0" vertical="bottom" wrapText="0"/>
    </xf>
    <xf borderId="0" fillId="2" fontId="1" numFmtId="0" xfId="0" applyAlignment="1" applyFill="1" applyFont="1">
      <alignment shrinkToFit="0" vertical="bottom" wrapText="1"/>
    </xf>
    <xf borderId="0" fillId="3" fontId="1" numFmtId="0" xfId="0" applyAlignment="1" applyFill="1" applyFont="1">
      <alignment shrinkToFit="0" vertical="bottom" wrapText="1"/>
    </xf>
    <xf borderId="0" fillId="2" fontId="1" numFmtId="0" xfId="0" applyAlignment="1" applyFont="1">
      <alignment shrinkToFit="0" vertical="bottom" wrapText="1"/>
    </xf>
    <xf borderId="0" fillId="3" fontId="1" numFmtId="0" xfId="0" applyAlignment="1" applyFont="1">
      <alignment readingOrder="0" shrinkToFit="0" vertical="bottom" wrapText="1"/>
    </xf>
    <xf borderId="0" fillId="2" fontId="1" numFmtId="0" xfId="0" applyAlignment="1" applyFont="1">
      <alignment readingOrder="0" shrinkToFit="0" vertical="bottom" wrapText="1"/>
    </xf>
    <xf borderId="0" fillId="3" fontId="1" numFmtId="1" xfId="0" applyAlignment="1" applyFont="1" applyNumberFormat="1">
      <alignment shrinkToFit="0" vertical="bottom" wrapText="1"/>
    </xf>
    <xf borderId="0" fillId="0" fontId="2" numFmtId="0" xfId="0" applyAlignment="1" applyFont="1">
      <alignment shrinkToFit="0" vertical="bottom" wrapText="1"/>
    </xf>
    <xf borderId="0" fillId="4" fontId="1" numFmtId="0" xfId="0" applyAlignment="1" applyFill="1" applyFont="1">
      <alignment readingOrder="0" shrinkToFit="0" vertical="bottom" wrapText="1"/>
    </xf>
    <xf borderId="0" fillId="2" fontId="1" numFmtId="49" xfId="0" applyAlignment="1" applyFont="1" applyNumberFormat="1">
      <alignment readingOrder="0" shrinkToFit="0" vertical="bottom" wrapText="1"/>
    </xf>
    <xf borderId="0" fillId="4" fontId="1" numFmtId="1" xfId="0" applyAlignment="1" applyFont="1" applyNumberFormat="1">
      <alignment horizontal="center" readingOrder="0" shrinkToFit="0" vertical="bottom" wrapText="1"/>
    </xf>
    <xf borderId="0" fillId="5" fontId="3" numFmtId="1" xfId="0" applyAlignment="1" applyFill="1" applyFont="1" applyNumberFormat="1">
      <alignment horizontal="center" readingOrder="0" vertical="bottom"/>
    </xf>
    <xf borderId="0" fillId="5" fontId="3" numFmtId="49" xfId="0" applyAlignment="1" applyFont="1" applyNumberFormat="1">
      <alignment horizontal="center" shrinkToFit="0" vertical="bottom" wrapText="1"/>
    </xf>
    <xf borderId="0" fillId="6" fontId="3" numFmtId="164" xfId="0" applyAlignment="1" applyFill="1" applyFont="1" applyNumberFormat="1">
      <alignment horizontal="center" shrinkToFit="0" vertical="bottom" wrapText="1"/>
    </xf>
    <xf borderId="0" fillId="5" fontId="3" numFmtId="164" xfId="0" applyAlignment="1" applyFont="1" applyNumberFormat="1">
      <alignment horizontal="center" shrinkToFit="0" vertical="bottom" wrapText="1"/>
    </xf>
    <xf borderId="0" fillId="3" fontId="4" numFmtId="0" xfId="0" applyAlignment="1" applyFont="1">
      <alignment horizontal="center" readingOrder="0" shrinkToFit="0" wrapText="1"/>
    </xf>
    <xf borderId="0" fillId="3" fontId="4" numFmtId="0" xfId="0" applyAlignment="1" applyFont="1">
      <alignment readingOrder="0" shrinkToFit="0" wrapText="1"/>
    </xf>
    <xf borderId="0" fillId="0" fontId="4" numFmtId="0" xfId="0" applyAlignment="1" applyFont="1">
      <alignment readingOrder="0" shrinkToFit="0" wrapText="1"/>
    </xf>
    <xf borderId="0" fillId="6" fontId="5" numFmtId="1" xfId="0" applyAlignment="1" applyFont="1" applyNumberFormat="1">
      <alignment readingOrder="0" shrinkToFit="0" wrapText="1"/>
    </xf>
    <xf borderId="0" fillId="3" fontId="3" numFmtId="0" xfId="0" applyAlignment="1" applyFont="1">
      <alignment horizontal="center" readingOrder="0" shrinkToFit="0" vertical="bottom" wrapText="1"/>
    </xf>
    <xf borderId="0" fillId="6" fontId="3" numFmtId="0" xfId="0" applyAlignment="1" applyFont="1">
      <alignment horizontal="center" readingOrder="0" shrinkToFit="0" vertical="bottom" wrapText="1"/>
    </xf>
    <xf borderId="0" fillId="3" fontId="6" numFmtId="0" xfId="0" applyAlignment="1" applyFont="1">
      <alignment horizontal="center" readingOrder="0" shrinkToFit="0" vertical="bottom" wrapText="1"/>
    </xf>
    <xf borderId="0" fillId="5" fontId="7" numFmtId="0" xfId="0" applyAlignment="1" applyFont="1">
      <alignment vertical="bottom"/>
    </xf>
    <xf borderId="0" fillId="5" fontId="8" numFmtId="0" xfId="0" applyAlignment="1" applyFont="1">
      <alignment vertical="bottom"/>
    </xf>
    <xf borderId="0" fillId="3" fontId="7" numFmtId="0" xfId="0" applyAlignment="1" applyFont="1">
      <alignment vertical="bottom"/>
    </xf>
    <xf borderId="0" fillId="5" fontId="7" numFmtId="0" xfId="0" applyAlignment="1" applyFont="1">
      <alignment vertical="bottom"/>
    </xf>
    <xf borderId="0" fillId="5" fontId="7" numFmtId="0" xfId="0" applyAlignment="1" applyFont="1">
      <alignment horizontal="right" vertical="bottom"/>
    </xf>
    <xf borderId="0" fillId="3" fontId="7" numFmtId="1" xfId="0" applyAlignment="1" applyFont="1" applyNumberFormat="1">
      <alignment horizontal="center" vertical="bottom"/>
    </xf>
    <xf borderId="0" fillId="5" fontId="7" numFmtId="165" xfId="0" applyAlignment="1" applyFont="1" applyNumberFormat="1">
      <alignment horizontal="right" vertical="bottom"/>
    </xf>
    <xf borderId="0" fillId="5" fontId="7" numFmtId="164" xfId="0" applyAlignment="1" applyFont="1" applyNumberFormat="1">
      <alignment horizontal="right" vertical="bottom"/>
    </xf>
    <xf borderId="0" fillId="0" fontId="9" numFmtId="0" xfId="0" applyAlignment="1" applyFont="1">
      <alignment horizontal="right" vertical="bottom"/>
    </xf>
    <xf borderId="0" fillId="3" fontId="7" numFmtId="0" xfId="0" applyAlignment="1" applyFont="1">
      <alignment vertical="bottom"/>
    </xf>
    <xf borderId="0" fillId="3" fontId="7" numFmtId="49" xfId="0" applyAlignment="1" applyFont="1" applyNumberFormat="1">
      <alignment horizontal="right" readingOrder="0" vertical="bottom"/>
    </xf>
    <xf borderId="0" fillId="5" fontId="3" numFmtId="49" xfId="0" applyAlignment="1" applyFont="1" applyNumberFormat="1">
      <alignment horizontal="center" vertical="bottom"/>
    </xf>
    <xf borderId="0" fillId="6" fontId="3" numFmtId="164" xfId="0" applyAlignment="1" applyFont="1" applyNumberFormat="1">
      <alignment horizontal="center" vertical="bottom"/>
    </xf>
    <xf borderId="0" fillId="5" fontId="3" numFmtId="164" xfId="0" applyAlignment="1" applyFont="1" applyNumberFormat="1">
      <alignment horizontal="center" vertical="bottom"/>
    </xf>
    <xf borderId="0" fillId="3" fontId="10" numFmtId="0" xfId="0" applyFont="1"/>
    <xf borderId="0" fillId="3" fontId="3" numFmtId="164" xfId="0" applyAlignment="1" applyFont="1" applyNumberFormat="1">
      <alignment horizontal="center" vertical="bottom"/>
    </xf>
    <xf borderId="0" fillId="3" fontId="3" numFmtId="49" xfId="0" applyAlignment="1" applyFont="1" applyNumberFormat="1">
      <alignment horizontal="center" vertical="bottom"/>
    </xf>
    <xf borderId="0" fillId="3" fontId="6" numFmtId="164" xfId="0" applyAlignment="1" applyFont="1" applyNumberFormat="1">
      <alignment horizontal="center" vertical="bottom"/>
    </xf>
    <xf borderId="0" fillId="6" fontId="7" numFmtId="0" xfId="0" applyAlignment="1" applyFont="1">
      <alignment vertical="bottom"/>
    </xf>
    <xf borderId="0" fillId="6" fontId="11" numFmtId="0" xfId="0" applyAlignment="1" applyFont="1">
      <alignment vertical="bottom"/>
    </xf>
    <xf borderId="0" fillId="6" fontId="7" numFmtId="0" xfId="0" applyAlignment="1" applyFont="1">
      <alignment horizontal="right" vertical="bottom"/>
    </xf>
    <xf borderId="0" fillId="6" fontId="7" numFmtId="165" xfId="0" applyAlignment="1" applyFont="1" applyNumberFormat="1">
      <alignment horizontal="right" vertical="bottom"/>
    </xf>
    <xf borderId="0" fillId="6" fontId="7" numFmtId="164" xfId="0" applyAlignment="1" applyFont="1" applyNumberFormat="1">
      <alignment horizontal="right" vertical="bottom"/>
    </xf>
    <xf borderId="0" fillId="3" fontId="12" numFmtId="166" xfId="0" applyFont="1" applyNumberFormat="1"/>
    <xf borderId="0" fillId="6" fontId="7" numFmtId="1" xfId="0" applyAlignment="1" applyFont="1" applyNumberFormat="1">
      <alignment horizontal="center" vertical="bottom"/>
    </xf>
    <xf borderId="0" fillId="6" fontId="7" numFmtId="49" xfId="0" applyAlignment="1" applyFont="1" applyNumberFormat="1">
      <alignment horizontal="right" vertical="bottom"/>
    </xf>
    <xf borderId="0" fillId="6" fontId="7" numFmtId="166" xfId="0" applyAlignment="1" applyFont="1" applyNumberFormat="1">
      <alignment horizontal="right" vertical="bottom"/>
    </xf>
    <xf borderId="0" fillId="7" fontId="13" numFmtId="49" xfId="0" applyAlignment="1" applyFill="1" applyFont="1" applyNumberFormat="1">
      <alignment horizontal="left" readingOrder="0"/>
    </xf>
    <xf borderId="0" fillId="3" fontId="7" numFmtId="49" xfId="0" applyAlignment="1" applyFont="1" applyNumberFormat="1">
      <alignment horizontal="center" vertical="bottom"/>
    </xf>
    <xf borderId="0" fillId="3" fontId="12" numFmtId="49" xfId="0" applyAlignment="1" applyFont="1" applyNumberFormat="1">
      <alignment readingOrder="0"/>
    </xf>
    <xf borderId="0" fillId="6" fontId="12" numFmtId="49" xfId="0" applyAlignment="1" applyFont="1" applyNumberFormat="1">
      <alignment readingOrder="0"/>
    </xf>
    <xf borderId="0" fillId="3" fontId="14" numFmtId="49" xfId="0" applyAlignment="1" applyFont="1" applyNumberFormat="1">
      <alignment readingOrder="0"/>
    </xf>
    <xf borderId="0" fillId="5" fontId="7" numFmtId="0" xfId="0" applyAlignment="1" applyFont="1">
      <alignment horizontal="right" vertical="bottom"/>
    </xf>
    <xf borderId="0" fillId="0" fontId="10" numFmtId="0" xfId="0" applyAlignment="1" applyFont="1">
      <alignment horizontal="center"/>
    </xf>
    <xf borderId="0" fillId="6" fontId="7" numFmtId="1" xfId="0" applyAlignment="1" applyFont="1" applyNumberFormat="1">
      <alignment horizontal="center" readingOrder="0" vertical="bottom"/>
    </xf>
    <xf borderId="0" fillId="5" fontId="7" numFmtId="1" xfId="0" applyAlignment="1" applyFont="1" applyNumberFormat="1">
      <alignment horizontal="center" vertical="bottom"/>
    </xf>
    <xf borderId="0" fillId="6" fontId="14" numFmtId="49" xfId="0" applyAlignment="1" applyFont="1" applyNumberFormat="1">
      <alignment readingOrder="0"/>
    </xf>
    <xf borderId="1" fillId="3" fontId="14" numFmtId="49" xfId="0" applyAlignment="1" applyBorder="1" applyFont="1" applyNumberFormat="1">
      <alignment readingOrder="0"/>
    </xf>
    <xf borderId="2" fillId="3" fontId="12" numFmtId="49" xfId="0" applyAlignment="1" applyBorder="1" applyFont="1" applyNumberFormat="1">
      <alignment readingOrder="0"/>
    </xf>
    <xf borderId="3" fillId="3" fontId="12" numFmtId="49" xfId="0" applyAlignment="1" applyBorder="1" applyFont="1" applyNumberFormat="1">
      <alignment readingOrder="0"/>
    </xf>
    <xf borderId="4" fillId="3" fontId="15" numFmtId="49" xfId="0" applyAlignment="1" applyBorder="1" applyFont="1" applyNumberFormat="1">
      <alignment horizontal="center" readingOrder="0" shrinkToFit="0" vertical="center" wrapText="1"/>
    </xf>
    <xf borderId="5" fillId="3" fontId="12" numFmtId="49" xfId="0" applyAlignment="1" applyBorder="1" applyFont="1" applyNumberFormat="1">
      <alignment readingOrder="0"/>
    </xf>
    <xf borderId="6" fillId="3" fontId="12" numFmtId="49" xfId="0" applyAlignment="1" applyBorder="1" applyFont="1" applyNumberFormat="1">
      <alignment readingOrder="0"/>
    </xf>
    <xf borderId="7" fillId="3" fontId="12" numFmtId="49" xfId="0" applyAlignment="1" applyBorder="1" applyFont="1" applyNumberFormat="1">
      <alignment readingOrder="0"/>
    </xf>
    <xf borderId="0" fillId="0" fontId="12" numFmtId="49" xfId="0" applyAlignment="1" applyFont="1" applyNumberFormat="1">
      <alignment readingOrder="0"/>
    </xf>
    <xf borderId="8" fillId="3" fontId="14" numFmtId="49" xfId="0" applyAlignment="1" applyBorder="1" applyFont="1" applyNumberFormat="1">
      <alignment horizontal="center" readingOrder="0" shrinkToFit="0" vertical="center" wrapText="1"/>
    </xf>
    <xf borderId="2" fillId="0" fontId="16" numFmtId="0" xfId="0" applyBorder="1" applyFont="1"/>
    <xf borderId="3" fillId="0" fontId="16" numFmtId="0" xfId="0" applyBorder="1" applyFont="1"/>
    <xf borderId="0" fillId="5" fontId="7" numFmtId="49" xfId="0" applyAlignment="1" applyFont="1" applyNumberFormat="1">
      <alignment horizontal="right" vertical="bottom"/>
    </xf>
    <xf borderId="9" fillId="5" fontId="3" numFmtId="0" xfId="0" applyAlignment="1" applyBorder="1" applyFont="1">
      <alignment horizontal="center" readingOrder="0" shrinkToFit="0" vertical="center" wrapText="1"/>
    </xf>
    <xf borderId="10" fillId="0" fontId="16" numFmtId="0" xfId="0" applyBorder="1" applyFont="1"/>
    <xf borderId="4" fillId="0" fontId="16" numFmtId="0" xfId="0" applyBorder="1" applyFont="1"/>
    <xf borderId="0" fillId="6" fontId="7" numFmtId="49" xfId="0" applyAlignment="1" applyFont="1" applyNumberFormat="1">
      <alignment horizontal="center" vertical="bottom"/>
    </xf>
    <xf borderId="0" fillId="6" fontId="17" numFmtId="49" xfId="0" applyAlignment="1" applyFont="1" applyNumberFormat="1">
      <alignment horizontal="center" vertical="bottom"/>
    </xf>
    <xf borderId="0" fillId="3" fontId="7" numFmtId="49" xfId="0" applyAlignment="1" applyFont="1" applyNumberFormat="1">
      <alignment horizontal="center" readingOrder="0" vertical="bottom"/>
    </xf>
    <xf borderId="0" fillId="3" fontId="7" numFmtId="166" xfId="0" applyAlignment="1" applyFont="1" applyNumberFormat="1">
      <alignment horizontal="center" vertical="bottom"/>
    </xf>
    <xf borderId="0" fillId="6" fontId="7" numFmtId="166" xfId="0" applyAlignment="1" applyFont="1" applyNumberFormat="1">
      <alignment horizontal="center" vertical="bottom"/>
    </xf>
    <xf borderId="0" fillId="6" fontId="17" numFmtId="166" xfId="0" applyAlignment="1" applyFont="1" applyNumberFormat="1">
      <alignment horizontal="center" vertical="bottom"/>
    </xf>
    <xf borderId="0" fillId="3" fontId="18" numFmtId="49" xfId="0" applyAlignment="1" applyFont="1" applyNumberFormat="1">
      <alignment horizontal="center" readingOrder="0" shrinkToFit="0" vertical="center" wrapText="1"/>
    </xf>
    <xf borderId="0" fillId="0" fontId="3" numFmtId="49" xfId="0" applyAlignment="1" applyFont="1" applyNumberFormat="1">
      <alignment horizontal="center" vertical="bottom"/>
    </xf>
    <xf borderId="0" fillId="0" fontId="19" numFmtId="0" xfId="0" applyAlignment="1" applyFont="1">
      <alignment horizontal="center"/>
    </xf>
    <xf borderId="8" fillId="3" fontId="20" numFmtId="1" xfId="0" applyAlignment="1" applyBorder="1" applyFont="1" applyNumberFormat="1">
      <alignment horizontal="center" readingOrder="0" vertical="center"/>
    </xf>
    <xf borderId="8" fillId="3" fontId="21" numFmtId="0" xfId="0" applyAlignment="1" applyBorder="1" applyFont="1">
      <alignment horizontal="center" readingOrder="0" shrinkToFit="0" vertical="center" wrapText="1"/>
    </xf>
    <xf borderId="3" fillId="3" fontId="21" numFmtId="0" xfId="0" applyAlignment="1" applyBorder="1" applyFont="1">
      <alignment horizontal="center" readingOrder="0" shrinkToFit="0" vertical="center" wrapText="1"/>
    </xf>
    <xf borderId="8" fillId="3" fontId="21" numFmtId="0" xfId="0" applyAlignment="1" applyBorder="1" applyFont="1">
      <alignment horizontal="center" readingOrder="0" shrinkToFit="0" wrapText="1"/>
    </xf>
    <xf borderId="1" fillId="3" fontId="4" numFmtId="0" xfId="0" applyAlignment="1" applyBorder="1" applyFont="1">
      <alignment readingOrder="0"/>
    </xf>
    <xf borderId="0" fillId="0" fontId="4" numFmtId="0" xfId="0" applyAlignment="1" applyFont="1">
      <alignment readingOrder="0"/>
    </xf>
    <xf borderId="0" fillId="0" fontId="4" numFmtId="0" xfId="0" applyAlignment="1" applyFont="1">
      <alignment horizontal="center" readingOrder="0"/>
    </xf>
    <xf borderId="0" fillId="0" fontId="22" numFmtId="0" xfId="0" applyAlignment="1" applyFont="1">
      <alignment horizontal="center" readingOrder="0"/>
    </xf>
    <xf borderId="9" fillId="5" fontId="23" numFmtId="1" xfId="0" applyAlignment="1" applyBorder="1" applyFont="1" applyNumberFormat="1">
      <alignment horizontal="center" readingOrder="0" vertical="bottom"/>
    </xf>
    <xf borderId="11" fillId="6" fontId="23" numFmtId="49" xfId="0" applyAlignment="1" applyBorder="1" applyFont="1" applyNumberFormat="1">
      <alignment horizontal="right" vertical="bottom"/>
    </xf>
    <xf borderId="12" fillId="6" fontId="23" numFmtId="49" xfId="0" applyAlignment="1" applyBorder="1" applyFont="1" applyNumberFormat="1">
      <alignment horizontal="right" vertical="bottom"/>
    </xf>
    <xf borderId="1" fillId="3" fontId="4" numFmtId="0" xfId="0" applyAlignment="1" applyBorder="1" applyFont="1">
      <alignment horizontal="center" readingOrder="0"/>
    </xf>
    <xf borderId="2" fillId="3" fontId="10" numFmtId="166" xfId="0" applyBorder="1" applyFont="1" applyNumberFormat="1"/>
    <xf borderId="1" fillId="3" fontId="4" numFmtId="166" xfId="0" applyBorder="1" applyFont="1" applyNumberFormat="1"/>
    <xf borderId="0" fillId="0" fontId="4" numFmtId="166" xfId="0" applyFont="1" applyNumberFormat="1"/>
    <xf borderId="0" fillId="0" fontId="4" numFmtId="166" xfId="0" applyAlignment="1" applyFont="1" applyNumberFormat="1">
      <alignment horizontal="center"/>
    </xf>
    <xf borderId="0" fillId="0" fontId="22" numFmtId="166" xfId="0" applyAlignment="1" applyFont="1" applyNumberFormat="1">
      <alignment horizontal="center"/>
    </xf>
    <xf borderId="1" fillId="6" fontId="23" numFmtId="1" xfId="0" applyAlignment="1" applyBorder="1" applyFont="1" applyNumberFormat="1">
      <alignment horizontal="center" readingOrder="0" vertical="bottom"/>
    </xf>
    <xf borderId="2" fillId="6" fontId="23" numFmtId="49" xfId="0" applyAlignment="1" applyBorder="1" applyFont="1" applyNumberFormat="1">
      <alignment horizontal="right" vertical="bottom"/>
    </xf>
    <xf borderId="3" fillId="6" fontId="23" numFmtId="49" xfId="0" applyAlignment="1" applyBorder="1" applyFont="1" applyNumberFormat="1">
      <alignment horizontal="right" vertical="bottom"/>
    </xf>
    <xf borderId="0" fillId="0" fontId="10" numFmtId="166" xfId="0" applyFont="1" applyNumberFormat="1"/>
    <xf borderId="4" fillId="3" fontId="4" numFmtId="0" xfId="0" applyAlignment="1" applyBorder="1" applyFont="1">
      <alignment horizontal="center" readingOrder="0" shrinkToFit="0" wrapText="1"/>
    </xf>
    <xf borderId="6" fillId="3" fontId="10" numFmtId="10" xfId="0" applyBorder="1" applyFont="1" applyNumberFormat="1"/>
    <xf borderId="1" fillId="3" fontId="4" numFmtId="10" xfId="0" applyBorder="1" applyFont="1" applyNumberFormat="1"/>
    <xf borderId="0" fillId="0" fontId="4" numFmtId="10" xfId="0" applyFont="1" applyNumberFormat="1"/>
    <xf borderId="0" fillId="0" fontId="4" numFmtId="10" xfId="0" applyAlignment="1" applyFont="1" applyNumberFormat="1">
      <alignment horizontal="center"/>
    </xf>
    <xf borderId="0" fillId="0" fontId="22" numFmtId="10" xfId="0" applyAlignment="1" applyFont="1" applyNumberFormat="1">
      <alignment horizontal="center"/>
    </xf>
    <xf borderId="1" fillId="3" fontId="7" numFmtId="1" xfId="0" applyAlignment="1" applyBorder="1" applyFont="1" applyNumberFormat="1">
      <alignment horizontal="center" readingOrder="0" vertical="bottom"/>
    </xf>
    <xf borderId="2" fillId="3" fontId="7" numFmtId="49" xfId="0" applyAlignment="1" applyBorder="1" applyFont="1" applyNumberFormat="1">
      <alignment horizontal="right" vertical="bottom"/>
    </xf>
    <xf borderId="3" fillId="3" fontId="7" numFmtId="49" xfId="0" applyAlignment="1" applyBorder="1" applyFont="1" applyNumberFormat="1">
      <alignment horizontal="right" vertical="bottom"/>
    </xf>
    <xf borderId="4" fillId="6" fontId="23" numFmtId="1" xfId="0" applyAlignment="1" applyBorder="1" applyFont="1" applyNumberFormat="1">
      <alignment horizontal="center" readingOrder="0" vertical="bottom"/>
    </xf>
    <xf borderId="6" fillId="6" fontId="23" numFmtId="10" xfId="0" applyAlignment="1" applyBorder="1" applyFont="1" applyNumberFormat="1">
      <alignment horizontal="right" vertical="bottom"/>
    </xf>
    <xf borderId="7" fillId="6" fontId="23" numFmtId="10" xfId="0" applyAlignment="1" applyBorder="1" applyFont="1" applyNumberFormat="1">
      <alignment horizontal="right" vertical="bottom"/>
    </xf>
    <xf borderId="1" fillId="3" fontId="3" numFmtId="49" xfId="0" applyAlignment="1" applyBorder="1" applyFont="1" applyNumberFormat="1">
      <alignment horizontal="center" vertical="bottom"/>
    </xf>
    <xf borderId="1" fillId="3" fontId="10" numFmtId="0" xfId="0" applyAlignment="1" applyBorder="1" applyFont="1">
      <alignment horizontal="center" readingOrder="0"/>
    </xf>
    <xf borderId="1" fillId="3" fontId="4" numFmtId="0" xfId="0" applyAlignment="1" applyBorder="1" applyFont="1">
      <alignment horizontal="center" readingOrder="0" vertical="bottom"/>
    </xf>
    <xf borderId="1" fillId="3" fontId="7" numFmtId="1" xfId="0" applyAlignment="1" applyBorder="1" applyFont="1" applyNumberFormat="1">
      <alignment horizontal="center" readingOrder="0" shrinkToFit="0" vertical="bottom" wrapText="1"/>
    </xf>
    <xf borderId="0" fillId="5" fontId="7" numFmtId="1" xfId="0" applyAlignment="1" applyFont="1" applyNumberFormat="1">
      <alignment vertical="bottom"/>
    </xf>
    <xf borderId="0" fillId="6" fontId="7" numFmtId="1" xfId="0" applyAlignment="1" applyFont="1" applyNumberFormat="1">
      <alignment vertical="bottom"/>
    </xf>
    <xf borderId="13" fillId="2" fontId="1" numFmtId="0" xfId="0" applyAlignment="1" applyBorder="1" applyFont="1">
      <alignment readingOrder="0" shrinkToFit="0" vertical="bottom" wrapText="1"/>
    </xf>
    <xf borderId="11" fillId="2" fontId="1" numFmtId="0" xfId="0" applyAlignment="1" applyBorder="1" applyFont="1">
      <alignment readingOrder="0" shrinkToFit="0" vertical="bottom" wrapText="1"/>
    </xf>
    <xf borderId="11" fillId="3" fontId="1" numFmtId="1" xfId="0" applyAlignment="1" applyBorder="1" applyFont="1" applyNumberFormat="1">
      <alignment shrinkToFit="0" vertical="bottom" wrapText="1"/>
    </xf>
    <xf borderId="12" fillId="3" fontId="1" numFmtId="0" xfId="0" applyAlignment="1" applyBorder="1" applyFont="1">
      <alignment shrinkToFit="0" vertical="bottom" wrapText="1"/>
    </xf>
    <xf borderId="14" fillId="2" fontId="1" numFmtId="0" xfId="0" applyAlignment="1" applyBorder="1" applyFont="1">
      <alignment readingOrder="0" shrinkToFit="0" vertical="bottom" wrapText="1"/>
    </xf>
    <xf borderId="0" fillId="6" fontId="5" numFmtId="0" xfId="0" applyAlignment="1" applyFont="1">
      <alignment readingOrder="0"/>
    </xf>
    <xf borderId="0" fillId="0" fontId="4" numFmtId="0" xfId="0" applyFont="1"/>
    <xf borderId="15" fillId="0" fontId="4" numFmtId="0" xfId="0" applyAlignment="1" applyBorder="1" applyFont="1">
      <alignment readingOrder="0"/>
    </xf>
    <xf borderId="14" fillId="5" fontId="7" numFmtId="0" xfId="0" applyAlignment="1" applyBorder="1" applyFont="1">
      <alignment vertical="bottom"/>
    </xf>
    <xf borderId="15" fillId="3" fontId="7" numFmtId="0" xfId="0" applyAlignment="1" applyBorder="1" applyFont="1">
      <alignment vertical="bottom"/>
    </xf>
    <xf borderId="0" fillId="0" fontId="10" numFmtId="0" xfId="0" applyFont="1"/>
    <xf borderId="15" fillId="0" fontId="10" numFmtId="0" xfId="0" applyBorder="1" applyFont="1"/>
    <xf borderId="15" fillId="3" fontId="7" numFmtId="0" xfId="0" applyAlignment="1" applyBorder="1" applyFont="1">
      <alignment vertical="bottom"/>
    </xf>
    <xf borderId="5" fillId="5" fontId="7" numFmtId="0" xfId="0" applyAlignment="1" applyBorder="1" applyFont="1">
      <alignment vertical="bottom"/>
    </xf>
    <xf borderId="6" fillId="0" fontId="10" numFmtId="0" xfId="0" applyBorder="1" applyFont="1"/>
    <xf borderId="7" fillId="0" fontId="10" numFmtId="0" xfId="0" applyBorder="1" applyFont="1"/>
    <xf borderId="14" fillId="6" fontId="7" numFmtId="0" xfId="0" applyAlignment="1" applyBorder="1" applyFont="1">
      <alignment vertical="bottom"/>
    </xf>
    <xf borderId="14" fillId="5" fontId="7" numFmtId="0" xfId="0" applyAlignment="1" applyBorder="1" applyFont="1">
      <alignment vertical="bottom"/>
    </xf>
    <xf borderId="5" fillId="6" fontId="7" numFmtId="0" xfId="0" applyAlignment="1" applyBorder="1" applyFont="1">
      <alignment vertical="bottom"/>
    </xf>
    <xf borderId="6" fillId="6" fontId="7" numFmtId="0" xfId="0" applyAlignment="1" applyBorder="1" applyFont="1">
      <alignment vertical="bottom"/>
    </xf>
    <xf borderId="6" fillId="3" fontId="7" numFmtId="1" xfId="0" applyAlignment="1" applyBorder="1" applyFont="1" applyNumberFormat="1">
      <alignment horizontal="center" vertical="bottom"/>
    </xf>
    <xf borderId="7" fillId="3" fontId="7" numFmtId="0" xfId="0" applyAlignment="1" applyBorder="1" applyFont="1">
      <alignment vertical="bottom"/>
    </xf>
    <xf borderId="0" fillId="0" fontId="4" numFmtId="0" xfId="0" applyAlignment="1" applyFont="1">
      <alignment readingOrder="0"/>
    </xf>
    <xf borderId="0" fillId="0" fontId="10" numFmtId="0" xfId="0" applyAlignment="1" applyFont="1">
      <alignment readingOrder="0"/>
    </xf>
    <xf borderId="1" fillId="3" fontId="10" numFmtId="0" xfId="0" applyAlignment="1" applyBorder="1" applyFont="1">
      <alignment readingOrder="0" shrinkToFit="0" wrapText="1"/>
    </xf>
    <xf borderId="3" fillId="3" fontId="10" numFmtId="166" xfId="0" applyBorder="1" applyFont="1" applyNumberFormat="1"/>
    <xf borderId="4" fillId="3" fontId="10" numFmtId="0" xfId="0" applyAlignment="1" applyBorder="1" applyFont="1">
      <alignment readingOrder="0"/>
    </xf>
    <xf borderId="7" fillId="3" fontId="10" numFmtId="10" xfId="0" applyBorder="1" applyFont="1" applyNumberFormat="1"/>
  </cellXfs>
  <cellStyles count="1">
    <cellStyle xfId="0" name="Normal" builtinId="0"/>
  </cellStyles>
  <dxfs count="1">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Contributions vs. Zipcode</a:t>
            </a:r>
          </a:p>
        </c:rich>
      </c:tx>
      <c:overlay val="0"/>
    </c:title>
    <c:plotArea>
      <c:layout/>
      <c:barChart>
        <c:barDir val="col"/>
        <c:ser>
          <c:idx val="0"/>
          <c:order val="0"/>
          <c:tx>
            <c:strRef>
              <c:f>'Total Contributions and Above-L'!$AT$2</c:f>
            </c:strRef>
          </c:tx>
          <c:spPr>
            <a:solidFill>
              <a:schemeClr val="accent1"/>
            </a:solidFill>
            <a:ln cmpd="sng">
              <a:solidFill>
                <a:srgbClr val="000000"/>
              </a:solidFill>
            </a:ln>
          </c:spPr>
          <c:cat>
            <c:strRef>
              <c:f>'Total Contributions and Above-L'!$AS$3:$AS$153</c:f>
            </c:strRef>
          </c:cat>
          <c:val>
            <c:numRef>
              <c:f>'Total Contributions and Above-L'!$AT$3:$AT$153</c:f>
              <c:numCache/>
            </c:numRef>
          </c:val>
        </c:ser>
        <c:axId val="1121892699"/>
        <c:axId val="500508081"/>
      </c:barChart>
      <c:catAx>
        <c:axId val="11218926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Zipcode</a:t>
                </a:r>
              </a:p>
            </c:rich>
          </c:tx>
          <c:overlay val="0"/>
        </c:title>
        <c:numFmt formatCode="General" sourceLinked="1"/>
        <c:majorTickMark val="none"/>
        <c:minorTickMark val="none"/>
        <c:spPr/>
        <c:txPr>
          <a:bodyPr/>
          <a:lstStyle/>
          <a:p>
            <a:pPr lvl="0">
              <a:defRPr b="0">
                <a:solidFill>
                  <a:srgbClr val="000000"/>
                </a:solidFill>
                <a:latin typeface="+mn-lt"/>
              </a:defRPr>
            </a:pPr>
          </a:p>
        </c:txPr>
        <c:crossAx val="500508081"/>
      </c:catAx>
      <c:valAx>
        <c:axId val="500508081"/>
        <c:scaling>
          <c:orientation val="minMax"/>
          <c:min val="100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Contributions</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112189269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48</xdr:col>
      <xdr:colOff>142875</xdr:colOff>
      <xdr:row>1</xdr:row>
      <xdr:rowOff>0</xdr:rowOff>
    </xdr:from>
    <xdr:ext cx="8867775" cy="54864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7.0"/>
    <col customWidth="1" min="4" max="22" width="11.25"/>
    <col customWidth="1" min="23" max="23" width="22.88"/>
    <col customWidth="1" min="24" max="30" width="30.25"/>
    <col customWidth="1" min="31" max="31" width="14.13"/>
    <col customWidth="1" min="32" max="32" width="16.0"/>
    <col customWidth="1" min="33" max="35" width="11.25"/>
    <col customWidth="1" min="36" max="36" width="23.0"/>
    <col customWidth="1" min="37" max="37" width="10.75"/>
    <col customWidth="1" min="38" max="41" width="8.75"/>
    <col customWidth="1" min="42" max="42" width="28.63"/>
    <col customWidth="1" min="43" max="44" width="8.75"/>
    <col customWidth="1" min="46" max="46" width="24.25"/>
    <col customWidth="1" min="48" max="48" width="14.13"/>
    <col customWidth="1" min="49" max="49" width="73.88"/>
    <col customWidth="1" min="50" max="50" width="26.25"/>
    <col customWidth="1" min="51" max="51" width="23.5"/>
    <col customWidth="1" min="70" max="70" width="18.25"/>
    <col customWidth="1" min="71" max="71" width="27.25"/>
    <col customWidth="1" min="72" max="72" width="31.13"/>
    <col customWidth="1" min="73" max="73" width="32.75"/>
    <col customWidth="1" min="75" max="75" width="46.13"/>
    <col customWidth="1" min="99" max="99" width="47.75"/>
    <col customWidth="1" min="100" max="100" width="51.75"/>
    <col customWidth="1" min="101" max="104" width="30.25"/>
    <col customWidth="1" min="105" max="105" width="35.0"/>
    <col customWidth="1" min="106" max="127" width="30.25"/>
  </cols>
  <sheetData>
    <row r="1" ht="61.5" customHeight="1">
      <c r="A1" s="1" t="s">
        <v>0</v>
      </c>
      <c r="B1" s="1" t="s">
        <v>1</v>
      </c>
      <c r="C1" s="2" t="s">
        <v>2</v>
      </c>
      <c r="D1" s="3"/>
      <c r="E1" s="3"/>
      <c r="F1" s="3"/>
      <c r="G1" s="3"/>
      <c r="H1" s="3"/>
      <c r="I1" s="3"/>
      <c r="J1" s="3"/>
      <c r="K1" s="3"/>
      <c r="L1" s="3"/>
      <c r="M1" s="3"/>
      <c r="N1" s="3"/>
      <c r="O1" s="3"/>
      <c r="P1" s="3"/>
      <c r="Q1" s="3"/>
      <c r="R1" s="3"/>
      <c r="S1" s="3"/>
      <c r="T1" s="3"/>
      <c r="U1" s="4" t="s">
        <v>3</v>
      </c>
      <c r="V1" s="4" t="s">
        <v>4</v>
      </c>
      <c r="W1" s="5" t="s">
        <v>5</v>
      </c>
      <c r="X1" s="3"/>
      <c r="Y1" s="5" t="s">
        <v>6</v>
      </c>
      <c r="Z1" s="5" t="s">
        <v>7</v>
      </c>
      <c r="AA1" s="5" t="s">
        <v>8</v>
      </c>
      <c r="AB1" s="5" t="s">
        <v>9</v>
      </c>
      <c r="AC1" s="4" t="s">
        <v>10</v>
      </c>
      <c r="AD1" s="3"/>
      <c r="AE1" s="3"/>
      <c r="AF1" s="3"/>
      <c r="AG1" s="3" t="s">
        <v>11</v>
      </c>
      <c r="AH1" s="3" t="s">
        <v>12</v>
      </c>
      <c r="AI1" s="3" t="s">
        <v>13</v>
      </c>
      <c r="AJ1" s="6" t="s">
        <v>14</v>
      </c>
      <c r="AK1" s="2" t="s">
        <v>15</v>
      </c>
      <c r="AL1" s="3" t="s">
        <v>16</v>
      </c>
      <c r="AM1" s="3" t="s">
        <v>17</v>
      </c>
      <c r="AN1" s="7" t="s">
        <v>18</v>
      </c>
      <c r="AO1" s="8"/>
      <c r="AP1" s="8"/>
      <c r="AQ1" s="8"/>
      <c r="AR1" s="8"/>
      <c r="AS1" s="5" t="s">
        <v>6</v>
      </c>
      <c r="AT1" s="9" t="s">
        <v>19</v>
      </c>
      <c r="AU1" s="1"/>
      <c r="AV1" s="10" t="s">
        <v>4</v>
      </c>
      <c r="AW1" s="11" t="s">
        <v>20</v>
      </c>
      <c r="AX1" s="12" t="s">
        <v>21</v>
      </c>
      <c r="AY1" s="13" t="s">
        <v>22</v>
      </c>
      <c r="AZ1" s="14" t="s">
        <v>23</v>
      </c>
      <c r="BA1" s="13" t="s">
        <v>24</v>
      </c>
      <c r="BB1" s="14" t="s">
        <v>25</v>
      </c>
      <c r="BC1" s="13" t="s">
        <v>26</v>
      </c>
      <c r="BD1" s="14" t="s">
        <v>27</v>
      </c>
      <c r="BE1" s="13" t="s">
        <v>28</v>
      </c>
      <c r="BF1" s="14" t="s">
        <v>29</v>
      </c>
      <c r="BG1" s="13" t="s">
        <v>30</v>
      </c>
      <c r="BH1" s="14" t="s">
        <v>31</v>
      </c>
      <c r="BI1" s="13" t="s">
        <v>32</v>
      </c>
      <c r="BJ1" s="14" t="s">
        <v>33</v>
      </c>
      <c r="BK1" s="13" t="s">
        <v>34</v>
      </c>
      <c r="BL1" s="14" t="s">
        <v>35</v>
      </c>
      <c r="BM1" s="13" t="s">
        <v>36</v>
      </c>
      <c r="BN1" s="14" t="s">
        <v>37</v>
      </c>
      <c r="BO1" s="13" t="s">
        <v>38</v>
      </c>
      <c r="BP1" s="14" t="s">
        <v>39</v>
      </c>
      <c r="BQ1" s="13" t="s">
        <v>40</v>
      </c>
      <c r="BR1" s="15" t="s">
        <v>41</v>
      </c>
      <c r="BS1" s="16" t="s">
        <v>42</v>
      </c>
      <c r="BT1" s="17" t="s">
        <v>43</v>
      </c>
      <c r="BU1" s="16" t="s">
        <v>44</v>
      </c>
      <c r="BV1" s="10" t="s">
        <v>4</v>
      </c>
      <c r="BW1" s="18" t="s">
        <v>45</v>
      </c>
      <c r="BX1" s="12" t="s">
        <v>21</v>
      </c>
      <c r="BY1" s="13" t="s">
        <v>22</v>
      </c>
      <c r="BZ1" s="14" t="s">
        <v>23</v>
      </c>
      <c r="CA1" s="13" t="s">
        <v>24</v>
      </c>
      <c r="CB1" s="14" t="s">
        <v>25</v>
      </c>
      <c r="CC1" s="13" t="s">
        <v>26</v>
      </c>
      <c r="CD1" s="14" t="s">
        <v>27</v>
      </c>
      <c r="CE1" s="13" t="s">
        <v>28</v>
      </c>
      <c r="CF1" s="14" t="s">
        <v>29</v>
      </c>
      <c r="CG1" s="13" t="s">
        <v>30</v>
      </c>
      <c r="CH1" s="14" t="s">
        <v>31</v>
      </c>
      <c r="CI1" s="13" t="s">
        <v>32</v>
      </c>
      <c r="CJ1" s="14" t="s">
        <v>33</v>
      </c>
      <c r="CK1" s="13" t="s">
        <v>34</v>
      </c>
      <c r="CL1" s="14" t="s">
        <v>35</v>
      </c>
      <c r="CM1" s="13" t="s">
        <v>36</v>
      </c>
      <c r="CN1" s="14" t="s">
        <v>37</v>
      </c>
      <c r="CO1" s="13" t="s">
        <v>38</v>
      </c>
      <c r="CP1" s="14" t="s">
        <v>39</v>
      </c>
      <c r="CQ1" s="13" t="s">
        <v>40</v>
      </c>
      <c r="CR1" s="13"/>
      <c r="CS1" s="13"/>
      <c r="CT1" s="13"/>
      <c r="CU1" s="19" t="s">
        <v>46</v>
      </c>
      <c r="CV1" s="19" t="s">
        <v>47</v>
      </c>
      <c r="CW1" s="19" t="s">
        <v>48</v>
      </c>
      <c r="CX1" s="19" t="s">
        <v>49</v>
      </c>
      <c r="CY1" s="19" t="s">
        <v>50</v>
      </c>
      <c r="CZ1" s="20" t="s">
        <v>51</v>
      </c>
      <c r="DA1" s="21" t="s">
        <v>52</v>
      </c>
      <c r="DB1" s="12" t="s">
        <v>21</v>
      </c>
      <c r="DC1" s="13" t="s">
        <v>22</v>
      </c>
      <c r="DD1" s="14" t="s">
        <v>23</v>
      </c>
      <c r="DE1" s="13" t="s">
        <v>24</v>
      </c>
      <c r="DF1" s="14" t="s">
        <v>25</v>
      </c>
      <c r="DG1" s="13" t="s">
        <v>26</v>
      </c>
      <c r="DH1" s="14" t="s">
        <v>27</v>
      </c>
      <c r="DI1" s="13" t="s">
        <v>28</v>
      </c>
      <c r="DJ1" s="14" t="s">
        <v>29</v>
      </c>
      <c r="DK1" s="13" t="s">
        <v>30</v>
      </c>
      <c r="DL1" s="14" t="s">
        <v>31</v>
      </c>
      <c r="DM1" s="13" t="s">
        <v>32</v>
      </c>
      <c r="DN1" s="14" t="s">
        <v>33</v>
      </c>
      <c r="DO1" s="13" t="s">
        <v>34</v>
      </c>
      <c r="DP1" s="14" t="s">
        <v>35</v>
      </c>
      <c r="DQ1" s="13" t="s">
        <v>36</v>
      </c>
      <c r="DR1" s="14" t="s">
        <v>37</v>
      </c>
      <c r="DS1" s="13" t="s">
        <v>38</v>
      </c>
      <c r="DT1" s="14" t="s">
        <v>39</v>
      </c>
      <c r="DU1" s="13" t="s">
        <v>40</v>
      </c>
      <c r="DV1" s="20" t="s">
        <v>53</v>
      </c>
      <c r="DW1" s="20" t="s">
        <v>54</v>
      </c>
    </row>
    <row r="2">
      <c r="A2" s="22" t="s">
        <v>55</v>
      </c>
      <c r="B2" s="23" t="s">
        <v>56</v>
      </c>
      <c r="C2" s="24" t="s">
        <v>57</v>
      </c>
      <c r="D2" s="25" t="str">
        <f>IFERROR(__xludf.DUMMYFUNCTION("SPLIT(C2,"" "")"),"Ablon,")</f>
        <v>Ablon,</v>
      </c>
      <c r="E2" s="25" t="str">
        <f>IFERROR(__xludf.DUMMYFUNCTION("""COMPUTED_VALUE"""),"Michael
5908")</f>
        <v>Michael
5908</v>
      </c>
      <c r="F2" s="25" t="str">
        <f>IFERROR(__xludf.DUMMYFUNCTION("""COMPUTED_VALUE"""),"Azalea")</f>
        <v>Azalea</v>
      </c>
      <c r="G2" s="25" t="str">
        <f>IFERROR(__xludf.DUMMYFUNCTION("""COMPUTED_VALUE"""),"Ln.
Dallas,")</f>
        <v>Ln.
Dallas,</v>
      </c>
      <c r="H2" s="25" t="str">
        <f>IFERROR(__xludf.DUMMYFUNCTION("""COMPUTED_VALUE"""),"TX")</f>
        <v>TX</v>
      </c>
      <c r="I2" s="25">
        <f>IFERROR(__xludf.DUMMYFUNCTION("""COMPUTED_VALUE"""),75230.0)</f>
        <v>75230</v>
      </c>
      <c r="J2" s="25"/>
      <c r="K2" s="25"/>
      <c r="L2" s="25"/>
      <c r="M2" s="25"/>
      <c r="N2" s="25"/>
      <c r="O2" s="25"/>
      <c r="P2" s="25"/>
      <c r="Q2" s="25"/>
      <c r="R2" s="25"/>
      <c r="S2" s="25"/>
      <c r="T2" s="25"/>
      <c r="U2" s="24" t="str">
        <f>IFERROR(__xludf.DUMMYFUNCTION("SPLIT(E2,""01234567890"")"),"Michael
")</f>
        <v>Michael
</v>
      </c>
      <c r="V2" s="24" t="str">
        <f>IFERROR(__xludf.DUMMYFUNCTION("SPLIT(D2,"","")"),"Ablon")</f>
        <v>Ablon</v>
      </c>
      <c r="W2" s="25" t="str">
        <f t="shared" ref="W2:W1607" si="1">CONCAT(CONCAT(UPPER(U2)," "),UPPER(V2))</f>
        <v>MICHAEL
 ABLON</v>
      </c>
      <c r="X2" s="25" t="s">
        <v>58</v>
      </c>
      <c r="Y2" s="25">
        <v>75230.0</v>
      </c>
      <c r="Z2" s="25" t="str">
        <f>IFERROR(__xludf.DUMMYFUNCTION("SPLIT(C2,""
"")"),"Ablon, Michael")</f>
        <v>Ablon, Michael</v>
      </c>
      <c r="AA2" s="25" t="str">
        <f>IFERROR(__xludf.DUMMYFUNCTION("""COMPUTED_VALUE"""),"5908 Azalea Ln.")</f>
        <v>5908 Azalea Ln.</v>
      </c>
      <c r="AB2" s="25" t="str">
        <f>IFERROR(__xludf.DUMMYFUNCTION("""COMPUTED_VALUE"""),"Dallas, TX 75230")</f>
        <v>Dallas, TX 75230</v>
      </c>
      <c r="AC2" s="24" t="s">
        <v>59</v>
      </c>
      <c r="AD2" s="25"/>
      <c r="AE2" s="25"/>
      <c r="AF2" s="25"/>
      <c r="AG2" s="25" t="s">
        <v>60</v>
      </c>
      <c r="AH2" s="26">
        <v>2441.0</v>
      </c>
      <c r="AI2" s="25" t="s">
        <v>61</v>
      </c>
      <c r="AJ2" s="27">
        <v>1000.0</v>
      </c>
      <c r="AK2" s="24" t="s">
        <v>21</v>
      </c>
      <c r="AL2" s="28">
        <v>44732.0</v>
      </c>
      <c r="AM2" s="29">
        <v>44756.4640625</v>
      </c>
      <c r="AN2" s="30">
        <v>2.0</v>
      </c>
      <c r="AO2" s="22"/>
      <c r="AP2" s="22"/>
      <c r="AQ2" s="22"/>
      <c r="AR2" s="22"/>
      <c r="AS2" s="31" t="str">
        <f>IFERROR(__xludf.DUMMYFUNCTION("UNIQUE(Y:Y)"),"Zipcode")</f>
        <v>Zipcode</v>
      </c>
      <c r="AT2" s="32" t="s">
        <v>19</v>
      </c>
      <c r="AU2" s="22"/>
      <c r="AV2" s="11" t="str">
        <f>IFERROR(__xludf.DUMMYFUNCTION("UNIQUE(V:V)"),"Last Name")</f>
        <v>Last Name</v>
      </c>
      <c r="AW2" s="11" t="s">
        <v>20</v>
      </c>
      <c r="AX2" s="33" t="s">
        <v>21</v>
      </c>
      <c r="AY2" s="34" t="s">
        <v>22</v>
      </c>
      <c r="AZ2" s="35" t="s">
        <v>23</v>
      </c>
      <c r="BA2" s="34" t="s">
        <v>24</v>
      </c>
      <c r="BB2" s="35" t="s">
        <v>25</v>
      </c>
      <c r="BC2" s="34" t="s">
        <v>26</v>
      </c>
      <c r="BD2" s="35" t="s">
        <v>27</v>
      </c>
      <c r="BE2" s="34" t="s">
        <v>28</v>
      </c>
      <c r="BF2" s="35" t="s">
        <v>29</v>
      </c>
      <c r="BG2" s="34" t="s">
        <v>30</v>
      </c>
      <c r="BH2" s="35" t="s">
        <v>31</v>
      </c>
      <c r="BI2" s="34" t="s">
        <v>32</v>
      </c>
      <c r="BJ2" s="35" t="s">
        <v>33</v>
      </c>
      <c r="BK2" s="34" t="s">
        <v>34</v>
      </c>
      <c r="BL2" s="35" t="s">
        <v>35</v>
      </c>
      <c r="BM2" s="34" t="s">
        <v>36</v>
      </c>
      <c r="BN2" s="35" t="s">
        <v>37</v>
      </c>
      <c r="BO2" s="34" t="s">
        <v>38</v>
      </c>
      <c r="BP2" s="35" t="s">
        <v>39</v>
      </c>
      <c r="BQ2" s="34" t="s">
        <v>40</v>
      </c>
      <c r="BR2" s="36"/>
      <c r="BS2" s="37"/>
      <c r="BT2" s="33"/>
      <c r="BU2" s="38"/>
      <c r="BV2" s="11" t="str">
        <f>IFERROR(__xludf.DUMMYFUNCTION("UNIQUE(AV:AV)"),"Last Name")</f>
        <v>Last Name</v>
      </c>
      <c r="BW2" s="11" t="s">
        <v>45</v>
      </c>
      <c r="BX2" s="33" t="s">
        <v>21</v>
      </c>
      <c r="BY2" s="34" t="s">
        <v>22</v>
      </c>
      <c r="BZ2" s="35" t="s">
        <v>23</v>
      </c>
      <c r="CA2" s="34" t="s">
        <v>24</v>
      </c>
      <c r="CB2" s="35" t="s">
        <v>25</v>
      </c>
      <c r="CC2" s="34" t="s">
        <v>26</v>
      </c>
      <c r="CD2" s="35" t="s">
        <v>27</v>
      </c>
      <c r="CE2" s="34" t="s">
        <v>28</v>
      </c>
      <c r="CF2" s="35" t="s">
        <v>29</v>
      </c>
      <c r="CG2" s="34" t="s">
        <v>30</v>
      </c>
      <c r="CH2" s="35" t="s">
        <v>31</v>
      </c>
      <c r="CI2" s="34" t="s">
        <v>32</v>
      </c>
      <c r="CJ2" s="35" t="s">
        <v>33</v>
      </c>
      <c r="CK2" s="34" t="s">
        <v>34</v>
      </c>
      <c r="CL2" s="35" t="s">
        <v>35</v>
      </c>
      <c r="CM2" s="34" t="s">
        <v>36</v>
      </c>
      <c r="CN2" s="35" t="s">
        <v>37</v>
      </c>
      <c r="CO2" s="34" t="s">
        <v>38</v>
      </c>
      <c r="CP2" s="35" t="s">
        <v>39</v>
      </c>
      <c r="CQ2" s="34" t="s">
        <v>40</v>
      </c>
      <c r="CR2" s="34"/>
      <c r="CS2" s="34"/>
      <c r="CT2" s="34"/>
      <c r="CU2" s="37" t="str">
        <f>IFERROR(__xludf.DUMMYFUNCTION("UNIQUE(X:X)"),"")</f>
        <v/>
      </c>
      <c r="CV2" s="37"/>
      <c r="CW2" s="37"/>
      <c r="CX2" s="37"/>
      <c r="CY2" s="37"/>
      <c r="CZ2" s="34"/>
      <c r="DA2" s="39" t="str">
        <f>IFERROR(__xludf.DUMMYFUNCTION("UNIQUE(CZ3:CZ1607)"),"")</f>
        <v/>
      </c>
      <c r="DB2" s="33" t="s">
        <v>21</v>
      </c>
      <c r="DC2" s="34" t="s">
        <v>22</v>
      </c>
      <c r="DD2" s="35" t="s">
        <v>23</v>
      </c>
      <c r="DE2" s="34" t="s">
        <v>24</v>
      </c>
      <c r="DF2" s="35" t="s">
        <v>25</v>
      </c>
      <c r="DG2" s="34" t="s">
        <v>26</v>
      </c>
      <c r="DH2" s="35" t="s">
        <v>27</v>
      </c>
      <c r="DI2" s="34" t="s">
        <v>28</v>
      </c>
      <c r="DJ2" s="35" t="s">
        <v>29</v>
      </c>
      <c r="DK2" s="34" t="s">
        <v>30</v>
      </c>
      <c r="DL2" s="35" t="s">
        <v>31</v>
      </c>
      <c r="DM2" s="34" t="s">
        <v>32</v>
      </c>
      <c r="DN2" s="35" t="s">
        <v>33</v>
      </c>
      <c r="DO2" s="34" t="s">
        <v>34</v>
      </c>
      <c r="DP2" s="35" t="s">
        <v>35</v>
      </c>
      <c r="DQ2" s="34" t="s">
        <v>36</v>
      </c>
      <c r="DR2" s="35" t="s">
        <v>37</v>
      </c>
      <c r="DS2" s="34" t="s">
        <v>38</v>
      </c>
      <c r="DT2" s="35" t="s">
        <v>39</v>
      </c>
      <c r="DU2" s="34" t="s">
        <v>40</v>
      </c>
      <c r="DV2" s="34"/>
      <c r="DW2" s="34"/>
    </row>
    <row r="3">
      <c r="A3" s="40" t="s">
        <v>55</v>
      </c>
      <c r="B3" s="41" t="s">
        <v>56</v>
      </c>
      <c r="C3" s="31" t="s">
        <v>62</v>
      </c>
      <c r="D3" s="25" t="str">
        <f>IFERROR(__xludf.DUMMYFUNCTION("SPLIT(C3,"" "")"),"Ablon,")</f>
        <v>Ablon,</v>
      </c>
      <c r="E3" s="40" t="str">
        <f>IFERROR(__xludf.DUMMYFUNCTION("""COMPUTED_VALUE"""),"Michael
5908")</f>
        <v>Michael
5908</v>
      </c>
      <c r="F3" s="40" t="str">
        <f>IFERROR(__xludf.DUMMYFUNCTION("""COMPUTED_VALUE"""),"Azalea")</f>
        <v>Azalea</v>
      </c>
      <c r="G3" s="40" t="str">
        <f>IFERROR(__xludf.DUMMYFUNCTION("""COMPUTED_VALUE"""),"Ln
Dallas,")</f>
        <v>Ln
Dallas,</v>
      </c>
      <c r="H3" s="40" t="str">
        <f>IFERROR(__xludf.DUMMYFUNCTION("""COMPUTED_VALUE"""),"TX")</f>
        <v>TX</v>
      </c>
      <c r="I3" s="40">
        <f>IFERROR(__xludf.DUMMYFUNCTION("""COMPUTED_VALUE"""),75230.0)</f>
        <v>75230</v>
      </c>
      <c r="J3" s="40"/>
      <c r="K3" s="40"/>
      <c r="L3" s="40"/>
      <c r="M3" s="40"/>
      <c r="N3" s="40"/>
      <c r="O3" s="40"/>
      <c r="P3" s="40"/>
      <c r="Q3" s="40"/>
      <c r="R3" s="40"/>
      <c r="S3" s="40"/>
      <c r="T3" s="40"/>
      <c r="U3" s="24" t="str">
        <f>IFERROR(__xludf.DUMMYFUNCTION("SPLIT(E3,""01234567890"")"),"Michael
")</f>
        <v>Michael
</v>
      </c>
      <c r="V3" s="24" t="str">
        <f>IFERROR(__xludf.DUMMYFUNCTION("SPLIT(D3,"","")"),"Ablon")</f>
        <v>Ablon</v>
      </c>
      <c r="W3" s="25" t="str">
        <f t="shared" si="1"/>
        <v>MICHAEL
 ABLON</v>
      </c>
      <c r="X3" s="25" t="s">
        <v>63</v>
      </c>
      <c r="Y3" s="25">
        <v>75230.0</v>
      </c>
      <c r="Z3" s="25" t="str">
        <f>IFERROR(__xludf.DUMMYFUNCTION("SPLIT(C3,""
"")"),"Ablon, Michael")</f>
        <v>Ablon, Michael</v>
      </c>
      <c r="AA3" s="25" t="str">
        <f>IFERROR(__xludf.DUMMYFUNCTION("""COMPUTED_VALUE"""),"5908 Azalea Ln")</f>
        <v>5908 Azalea Ln</v>
      </c>
      <c r="AB3" s="25" t="str">
        <f>IFERROR(__xludf.DUMMYFUNCTION("""COMPUTED_VALUE"""),"Dallas, TX 75230")</f>
        <v>Dallas, TX 75230</v>
      </c>
      <c r="AC3" s="24" t="s">
        <v>59</v>
      </c>
      <c r="AD3" s="25"/>
      <c r="AE3" s="25"/>
      <c r="AF3" s="25"/>
      <c r="AG3" s="40" t="s">
        <v>60</v>
      </c>
      <c r="AH3" s="42">
        <v>2433.0</v>
      </c>
      <c r="AI3" s="40" t="s">
        <v>61</v>
      </c>
      <c r="AJ3" s="27">
        <v>500.0</v>
      </c>
      <c r="AK3" s="31" t="s">
        <v>22</v>
      </c>
      <c r="AL3" s="43">
        <v>44733.0</v>
      </c>
      <c r="AM3" s="44">
        <v>44756.690254629626</v>
      </c>
      <c r="AN3" s="30">
        <v>2.0</v>
      </c>
      <c r="AO3" s="40"/>
      <c r="AP3" s="40"/>
      <c r="AQ3" s="40"/>
      <c r="AR3" s="40"/>
      <c r="AS3" s="31">
        <f>IFERROR(__xludf.DUMMYFUNCTION("""COMPUTED_VALUE"""),75230.0)</f>
        <v>75230</v>
      </c>
      <c r="AT3" s="45">
        <f t="shared" ref="AT3:AT153" si="6">SUMIF(Y:Y,AS3,AJ:AJ)</f>
        <v>48832</v>
      </c>
      <c r="AU3" s="40"/>
      <c r="AV3" s="46" t="str">
        <f>IFERROR(__xludf.DUMMYFUNCTION("""COMPUTED_VALUE"""),"Ablon")</f>
        <v>Ablon</v>
      </c>
      <c r="AW3" s="46">
        <f t="shared" ref="AW3:AW935" si="7">SUMIF(V:V,AV3,AJ:AJ)</f>
        <v>3000</v>
      </c>
      <c r="AX3" s="47">
        <f t="shared" ref="AX3:BQ3" si="2">SUMIFS($AJ:$AJ,$V:$V,$AV3,$AK:$AK,AX$2)</f>
        <v>2000</v>
      </c>
      <c r="AY3" s="48">
        <f t="shared" si="2"/>
        <v>500</v>
      </c>
      <c r="AZ3" s="48">
        <f t="shared" si="2"/>
        <v>500</v>
      </c>
      <c r="BA3" s="48">
        <f t="shared" si="2"/>
        <v>0</v>
      </c>
      <c r="BB3" s="48">
        <f t="shared" si="2"/>
        <v>0</v>
      </c>
      <c r="BC3" s="48">
        <f t="shared" si="2"/>
        <v>0</v>
      </c>
      <c r="BD3" s="48">
        <f t="shared" si="2"/>
        <v>0</v>
      </c>
      <c r="BE3" s="48">
        <f t="shared" si="2"/>
        <v>0</v>
      </c>
      <c r="BF3" s="48">
        <f t="shared" si="2"/>
        <v>0</v>
      </c>
      <c r="BG3" s="48">
        <f t="shared" si="2"/>
        <v>0</v>
      </c>
      <c r="BH3" s="48">
        <f t="shared" si="2"/>
        <v>0</v>
      </c>
      <c r="BI3" s="48">
        <f t="shared" si="2"/>
        <v>0</v>
      </c>
      <c r="BJ3" s="48">
        <f t="shared" si="2"/>
        <v>0</v>
      </c>
      <c r="BK3" s="48">
        <f t="shared" si="2"/>
        <v>0</v>
      </c>
      <c r="BL3" s="48">
        <f t="shared" si="2"/>
        <v>0</v>
      </c>
      <c r="BM3" s="48">
        <f t="shared" si="2"/>
        <v>0</v>
      </c>
      <c r="BN3" s="48">
        <f t="shared" si="2"/>
        <v>0</v>
      </c>
      <c r="BO3" s="48">
        <f t="shared" si="2"/>
        <v>0</v>
      </c>
      <c r="BP3" s="48">
        <f t="shared" si="2"/>
        <v>0</v>
      </c>
      <c r="BQ3" s="48">
        <f t="shared" si="2"/>
        <v>0</v>
      </c>
      <c r="BR3" s="36">
        <f t="shared" ref="BR3:BR935" si="9">IF(BS3&gt;1,1,0)</f>
        <v>1</v>
      </c>
      <c r="BS3" s="38">
        <f t="shared" ref="BS3:BS935" si="10">COUNTUNIQUEIFS(U:U,V:V,AV3)</f>
        <v>2</v>
      </c>
      <c r="BT3" s="49">
        <f t="shared" ref="BT3:BT935" si="11">COUNTIF(AC:AC, " *and*")</f>
        <v>0</v>
      </c>
      <c r="BU3" s="38">
        <f t="shared" ref="BU3:BU935" si="12">1000*BS3</f>
        <v>2000</v>
      </c>
      <c r="BV3" s="46" t="str">
        <f>IFERROR(__xludf.DUMMYFUNCTION("""COMPUTED_VALUE"""),"Ablon")</f>
        <v>Ablon</v>
      </c>
      <c r="BW3" s="46">
        <f t="shared" ref="BW3:BW935" si="13">SUMIF(V:V,AV3,AJ:AJ)</f>
        <v>3000</v>
      </c>
      <c r="BX3" s="47">
        <f t="shared" ref="BX3:CA3" si="3">AX3-$BU3</f>
        <v>0</v>
      </c>
      <c r="BY3" s="47">
        <f t="shared" si="3"/>
        <v>-1500</v>
      </c>
      <c r="BZ3" s="47">
        <f t="shared" si="3"/>
        <v>-1500</v>
      </c>
      <c r="CA3" s="47">
        <f t="shared" si="3"/>
        <v>-2000</v>
      </c>
      <c r="CB3" s="47">
        <f t="shared" ref="CB3:CB935" si="15">BB3-$BU3*10</f>
        <v>-20000</v>
      </c>
      <c r="CC3" s="47">
        <f t="shared" ref="CC3:CQ3" si="4">BC3-$BU3</f>
        <v>-2000</v>
      </c>
      <c r="CD3" s="47">
        <f t="shared" si="4"/>
        <v>-2000</v>
      </c>
      <c r="CE3" s="47">
        <f t="shared" si="4"/>
        <v>-2000</v>
      </c>
      <c r="CF3" s="47">
        <f t="shared" si="4"/>
        <v>-2000</v>
      </c>
      <c r="CG3" s="47">
        <f t="shared" si="4"/>
        <v>-2000</v>
      </c>
      <c r="CH3" s="47">
        <f t="shared" si="4"/>
        <v>-2000</v>
      </c>
      <c r="CI3" s="47">
        <f t="shared" si="4"/>
        <v>-2000</v>
      </c>
      <c r="CJ3" s="47">
        <f t="shared" si="4"/>
        <v>-2000</v>
      </c>
      <c r="CK3" s="47">
        <f t="shared" si="4"/>
        <v>-2000</v>
      </c>
      <c r="CL3" s="47">
        <f t="shared" si="4"/>
        <v>-2000</v>
      </c>
      <c r="CM3" s="47">
        <f t="shared" si="4"/>
        <v>-2000</v>
      </c>
      <c r="CN3" s="47">
        <f t="shared" si="4"/>
        <v>-2000</v>
      </c>
      <c r="CO3" s="47">
        <f t="shared" si="4"/>
        <v>-2000</v>
      </c>
      <c r="CP3" s="47">
        <f t="shared" si="4"/>
        <v>-2000</v>
      </c>
      <c r="CQ3" s="47">
        <f t="shared" si="4"/>
        <v>-2000</v>
      </c>
      <c r="CR3" s="47"/>
      <c r="CS3" s="47"/>
      <c r="CT3" s="47"/>
      <c r="CU3" s="50" t="str">
        <f>IFERROR(__xludf.DUMMYFUNCTION("""COMPUTED_VALUE"""),"5908 Azalea Ln.
Dallas, TX 75230          ")</f>
        <v>5908 Azalea Ln.
Dallas, TX 75230          </v>
      </c>
      <c r="CV3" s="51">
        <f>IFERROR(__xludf.DUMMYFUNCTION("IF(REGEXMATCH(UPPER(CU3), ""TX""),0,1)"),0.0)</f>
        <v>0</v>
      </c>
      <c r="CW3" s="51">
        <f>IFERROR(__xludf.DUMMYFUNCTION("IF(REGEXMATCH(UPPER(CU3), ""DALLAS""),0,1)"),0.0)</f>
        <v>0</v>
      </c>
      <c r="CX3" s="51">
        <f t="shared" ref="CX3:CX640" si="17">SUMIFS($AJ:$AJ,$X:$X,CU3)*CV3</f>
        <v>0</v>
      </c>
      <c r="CY3" s="51">
        <f t="shared" ref="CY3:CY640" si="18">SUMIFS($AJ:$AJ,$X:$X,CU3)*CW3</f>
        <v>0</v>
      </c>
      <c r="CZ3" s="52" t="str">
        <f t="shared" ref="CZ3:CZ640" si="19">IF(CW3,CU3,)</f>
        <v/>
      </c>
      <c r="DA3" s="53" t="str">
        <f>IFERROR(__xludf.DUMMYFUNCTION("""COMPUTED_VALUE"""),"2308 Blackberry Dr.
Richardson, TX 75082          ")</f>
        <v>2308 Blackberry Dr.
Richardson, TX 75082          </v>
      </c>
      <c r="DB3" s="52">
        <f>SUMIFS($AJ:$AJ,$X:$X,$DA$3,$AK:$AK,DB$2)</f>
        <v>0</v>
      </c>
      <c r="DC3" s="52">
        <f t="shared" ref="DC3:DU3" si="5">SUMIFS($AJ:$AJ,$X:$X,$DA3,$AK:$AK,DC$2)</f>
        <v>0</v>
      </c>
      <c r="DD3" s="52">
        <f t="shared" si="5"/>
        <v>0</v>
      </c>
      <c r="DE3" s="52">
        <f t="shared" si="5"/>
        <v>0</v>
      </c>
      <c r="DF3" s="52">
        <f t="shared" si="5"/>
        <v>0</v>
      </c>
      <c r="DG3" s="52">
        <f t="shared" si="5"/>
        <v>200</v>
      </c>
      <c r="DH3" s="52">
        <f t="shared" si="5"/>
        <v>0</v>
      </c>
      <c r="DI3" s="52">
        <f t="shared" si="5"/>
        <v>0</v>
      </c>
      <c r="DJ3" s="52">
        <f t="shared" si="5"/>
        <v>0</v>
      </c>
      <c r="DK3" s="52">
        <f t="shared" si="5"/>
        <v>0</v>
      </c>
      <c r="DL3" s="52">
        <f t="shared" si="5"/>
        <v>0</v>
      </c>
      <c r="DM3" s="52">
        <f t="shared" si="5"/>
        <v>0</v>
      </c>
      <c r="DN3" s="52">
        <f t="shared" si="5"/>
        <v>0</v>
      </c>
      <c r="DO3" s="52">
        <f t="shared" si="5"/>
        <v>0</v>
      </c>
      <c r="DP3" s="52">
        <f t="shared" si="5"/>
        <v>0</v>
      </c>
      <c r="DQ3" s="52">
        <f t="shared" si="5"/>
        <v>0</v>
      </c>
      <c r="DR3" s="52">
        <f t="shared" si="5"/>
        <v>0</v>
      </c>
      <c r="DS3" s="52">
        <f t="shared" si="5"/>
        <v>0</v>
      </c>
      <c r="DT3" s="52">
        <f t="shared" si="5"/>
        <v>0</v>
      </c>
      <c r="DU3" s="52">
        <f t="shared" si="5"/>
        <v>0</v>
      </c>
      <c r="DV3" s="52">
        <f t="shared" ref="DV3:DV104" si="21">SUM(DB3:DU3)</f>
        <v>200</v>
      </c>
      <c r="DW3" s="52">
        <f t="shared" ref="DW3:DW104" si="22">COUNTIF(DB3:DU3, "&gt;0")</f>
        <v>1</v>
      </c>
    </row>
    <row r="4">
      <c r="A4" s="23" t="s">
        <v>64</v>
      </c>
      <c r="B4" s="23" t="s">
        <v>56</v>
      </c>
      <c r="C4" s="31" t="s">
        <v>65</v>
      </c>
      <c r="D4" s="25" t="str">
        <f>IFERROR(__xludf.DUMMYFUNCTION("SPLIT(C4,"" "")"),"Ablon,")</f>
        <v>Ablon,</v>
      </c>
      <c r="E4" s="22" t="str">
        <f>IFERROR(__xludf.DUMMYFUNCTION("""COMPUTED_VALUE"""),"Mike
5908")</f>
        <v>Mike
5908</v>
      </c>
      <c r="F4" s="22" t="str">
        <f>IFERROR(__xludf.DUMMYFUNCTION("""COMPUTED_VALUE"""),"
Dallas,")</f>
        <v>
Dallas,</v>
      </c>
      <c r="G4" s="22" t="str">
        <f>IFERROR(__xludf.DUMMYFUNCTION("""COMPUTED_VALUE"""),"TX")</f>
        <v>TX</v>
      </c>
      <c r="H4" s="22">
        <f>IFERROR(__xludf.DUMMYFUNCTION("""COMPUTED_VALUE"""),75230.0)</f>
        <v>75230</v>
      </c>
      <c r="I4" s="22"/>
      <c r="J4" s="22"/>
      <c r="K4" s="22"/>
      <c r="L4" s="22"/>
      <c r="M4" s="22"/>
      <c r="N4" s="22"/>
      <c r="O4" s="22"/>
      <c r="P4" s="22"/>
      <c r="Q4" s="22"/>
      <c r="R4" s="22"/>
      <c r="S4" s="22"/>
      <c r="T4" s="22"/>
      <c r="U4" s="24" t="str">
        <f>IFERROR(__xludf.DUMMYFUNCTION("SPLIT(E4,""01234567890"")"),"Mike
")</f>
        <v>Mike
</v>
      </c>
      <c r="V4" s="24" t="str">
        <f>IFERROR(__xludf.DUMMYFUNCTION("SPLIT(D4,"","")"),"Ablon")</f>
        <v>Ablon</v>
      </c>
      <c r="W4" s="25" t="str">
        <f t="shared" si="1"/>
        <v>MIKE
 ABLON</v>
      </c>
      <c r="X4" s="25" t="s">
        <v>66</v>
      </c>
      <c r="Y4" s="25">
        <v>75230.0</v>
      </c>
      <c r="Z4" s="25" t="str">
        <f>IFERROR(__xludf.DUMMYFUNCTION("SPLIT(C4,""
"")"),"Ablon, Mike")</f>
        <v>Ablon, Mike</v>
      </c>
      <c r="AA4" s="25">
        <f>IFERROR(__xludf.DUMMYFUNCTION("""COMPUTED_VALUE"""),5908.0)</f>
        <v>5908</v>
      </c>
      <c r="AB4" s="25" t="str">
        <f>IFERROR(__xludf.DUMMYFUNCTION("""COMPUTED_VALUE"""),"Dallas, TX 75230")</f>
        <v>Dallas, TX 75230</v>
      </c>
      <c r="AC4" s="24" t="s">
        <v>67</v>
      </c>
      <c r="AD4" s="25"/>
      <c r="AE4" s="25"/>
      <c r="AF4" s="25"/>
      <c r="AG4" s="22" t="s">
        <v>60</v>
      </c>
      <c r="AH4" s="54">
        <v>2500.0</v>
      </c>
      <c r="AI4" s="22" t="s">
        <v>68</v>
      </c>
      <c r="AJ4" s="27">
        <v>500.0</v>
      </c>
      <c r="AK4" s="31" t="s">
        <v>23</v>
      </c>
      <c r="AL4" s="28">
        <v>44784.0</v>
      </c>
      <c r="AM4" s="29">
        <v>44941.874814814815</v>
      </c>
      <c r="AN4" s="30">
        <v>2.0</v>
      </c>
      <c r="AO4" s="22"/>
      <c r="AP4" s="22"/>
      <c r="AQ4" s="22"/>
      <c r="AR4" s="22"/>
      <c r="AS4" s="31">
        <f>IFERROR(__xludf.DUMMYFUNCTION("""COMPUTED_VALUE"""),75214.0)</f>
        <v>75214</v>
      </c>
      <c r="AT4" s="45">
        <f t="shared" si="6"/>
        <v>28075</v>
      </c>
      <c r="AU4" s="22"/>
      <c r="AV4" s="55" t="str">
        <f>IFERROR(__xludf.DUMMYFUNCTION("""COMPUTED_VALUE"""),"Abrams")</f>
        <v>Abrams</v>
      </c>
      <c r="AW4" s="46">
        <f t="shared" si="7"/>
        <v>200</v>
      </c>
      <c r="AX4" s="47">
        <f t="shared" ref="AX4:BQ4" si="8">SUMIFS($AJ:$AJ,$V:$V,$AV4,$AK:$AK,AX$2)</f>
        <v>0</v>
      </c>
      <c r="AY4" s="48">
        <f t="shared" si="8"/>
        <v>0</v>
      </c>
      <c r="AZ4" s="48">
        <f t="shared" si="8"/>
        <v>0</v>
      </c>
      <c r="BA4" s="48">
        <f t="shared" si="8"/>
        <v>200</v>
      </c>
      <c r="BB4" s="48">
        <f t="shared" si="8"/>
        <v>0</v>
      </c>
      <c r="BC4" s="48">
        <f t="shared" si="8"/>
        <v>0</v>
      </c>
      <c r="BD4" s="48">
        <f t="shared" si="8"/>
        <v>0</v>
      </c>
      <c r="BE4" s="48">
        <f t="shared" si="8"/>
        <v>0</v>
      </c>
      <c r="BF4" s="48">
        <f t="shared" si="8"/>
        <v>0</v>
      </c>
      <c r="BG4" s="48">
        <f t="shared" si="8"/>
        <v>0</v>
      </c>
      <c r="BH4" s="48">
        <f t="shared" si="8"/>
        <v>0</v>
      </c>
      <c r="BI4" s="48">
        <f t="shared" si="8"/>
        <v>0</v>
      </c>
      <c r="BJ4" s="48">
        <f t="shared" si="8"/>
        <v>0</v>
      </c>
      <c r="BK4" s="48">
        <f t="shared" si="8"/>
        <v>0</v>
      </c>
      <c r="BL4" s="48">
        <f t="shared" si="8"/>
        <v>0</v>
      </c>
      <c r="BM4" s="48">
        <f t="shared" si="8"/>
        <v>0</v>
      </c>
      <c r="BN4" s="48">
        <f t="shared" si="8"/>
        <v>0</v>
      </c>
      <c r="BO4" s="48">
        <f t="shared" si="8"/>
        <v>0</v>
      </c>
      <c r="BP4" s="48">
        <f t="shared" si="8"/>
        <v>0</v>
      </c>
      <c r="BQ4" s="48">
        <f t="shared" si="8"/>
        <v>0</v>
      </c>
      <c r="BR4" s="36">
        <f t="shared" si="9"/>
        <v>0</v>
      </c>
      <c r="BS4" s="38">
        <f t="shared" si="10"/>
        <v>1</v>
      </c>
      <c r="BT4" s="49">
        <f t="shared" si="11"/>
        <v>0</v>
      </c>
      <c r="BU4" s="38">
        <f t="shared" si="12"/>
        <v>1000</v>
      </c>
      <c r="BV4" s="55" t="str">
        <f>IFERROR(__xludf.DUMMYFUNCTION("""COMPUTED_VALUE"""),"Abrams")</f>
        <v>Abrams</v>
      </c>
      <c r="BW4" s="46">
        <f t="shared" si="13"/>
        <v>200</v>
      </c>
      <c r="BX4" s="47">
        <f t="shared" ref="BX4:CA4" si="14">AX4-$BU4</f>
        <v>-1000</v>
      </c>
      <c r="BY4" s="47">
        <f t="shared" si="14"/>
        <v>-1000</v>
      </c>
      <c r="BZ4" s="47">
        <f t="shared" si="14"/>
        <v>-1000</v>
      </c>
      <c r="CA4" s="47">
        <f t="shared" si="14"/>
        <v>-800</v>
      </c>
      <c r="CB4" s="47">
        <f t="shared" si="15"/>
        <v>-10000</v>
      </c>
      <c r="CC4" s="47">
        <f t="shared" ref="CC4:CQ4" si="16">BC4-$BU4</f>
        <v>-1000</v>
      </c>
      <c r="CD4" s="47">
        <f t="shared" si="16"/>
        <v>-1000</v>
      </c>
      <c r="CE4" s="47">
        <f t="shared" si="16"/>
        <v>-1000</v>
      </c>
      <c r="CF4" s="47">
        <f t="shared" si="16"/>
        <v>-1000</v>
      </c>
      <c r="CG4" s="47">
        <f t="shared" si="16"/>
        <v>-1000</v>
      </c>
      <c r="CH4" s="47">
        <f t="shared" si="16"/>
        <v>-1000</v>
      </c>
      <c r="CI4" s="47">
        <f t="shared" si="16"/>
        <v>-1000</v>
      </c>
      <c r="CJ4" s="47">
        <f t="shared" si="16"/>
        <v>-1000</v>
      </c>
      <c r="CK4" s="47">
        <f t="shared" si="16"/>
        <v>-1000</v>
      </c>
      <c r="CL4" s="47">
        <f t="shared" si="16"/>
        <v>-1000</v>
      </c>
      <c r="CM4" s="47">
        <f t="shared" si="16"/>
        <v>-1000</v>
      </c>
      <c r="CN4" s="47">
        <f t="shared" si="16"/>
        <v>-1000</v>
      </c>
      <c r="CO4" s="47">
        <f t="shared" si="16"/>
        <v>-1000</v>
      </c>
      <c r="CP4" s="47">
        <f t="shared" si="16"/>
        <v>-1000</v>
      </c>
      <c r="CQ4" s="47">
        <f t="shared" si="16"/>
        <v>-1000</v>
      </c>
      <c r="CR4" s="47"/>
      <c r="CS4" s="47"/>
      <c r="CT4" s="47"/>
      <c r="CU4" s="50" t="str">
        <f>IFERROR(__xludf.DUMMYFUNCTION("""COMPUTED_VALUE"""),"5908 Azalea Ln
Dallas, TX 75230          ")</f>
        <v>5908 Azalea Ln
Dallas, TX 75230          </v>
      </c>
      <c r="CV4" s="51">
        <f>IFERROR(__xludf.DUMMYFUNCTION("IF(REGEXMATCH(UPPER(CU4), ""TX""),0,1)"),0.0)</f>
        <v>0</v>
      </c>
      <c r="CW4" s="51">
        <f>IFERROR(__xludf.DUMMYFUNCTION("IF(REGEXMATCH(UPPER(CU4), ""DALLAS""),0,1)"),0.0)</f>
        <v>0</v>
      </c>
      <c r="CX4" s="51">
        <f t="shared" si="17"/>
        <v>0</v>
      </c>
      <c r="CY4" s="51">
        <f t="shared" si="18"/>
        <v>0</v>
      </c>
      <c r="CZ4" s="52" t="str">
        <f t="shared" si="19"/>
        <v/>
      </c>
      <c r="DA4" s="53" t="str">
        <f>IFERROR(__xludf.DUMMYFUNCTION("""COMPUTED_VALUE"""),"2921 University Blvd
Houston, TX 77005          ")</f>
        <v>2921 University Blvd
Houston, TX 77005          </v>
      </c>
      <c r="DB4" s="52">
        <f t="shared" ref="DB4:DU4" si="20">SUMIFS($AJ:$AJ,$X:$X,$DA4,$AK:$AK,DB$2)</f>
        <v>0</v>
      </c>
      <c r="DC4" s="52">
        <f t="shared" si="20"/>
        <v>0</v>
      </c>
      <c r="DD4" s="52">
        <f t="shared" si="20"/>
        <v>0</v>
      </c>
      <c r="DE4" s="52">
        <f t="shared" si="20"/>
        <v>0</v>
      </c>
      <c r="DF4" s="52">
        <f t="shared" si="20"/>
        <v>1000</v>
      </c>
      <c r="DG4" s="52">
        <f t="shared" si="20"/>
        <v>0</v>
      </c>
      <c r="DH4" s="52">
        <f t="shared" si="20"/>
        <v>0</v>
      </c>
      <c r="DI4" s="52">
        <f t="shared" si="20"/>
        <v>0</v>
      </c>
      <c r="DJ4" s="52">
        <f t="shared" si="20"/>
        <v>0</v>
      </c>
      <c r="DK4" s="52">
        <f t="shared" si="20"/>
        <v>0</v>
      </c>
      <c r="DL4" s="52">
        <f t="shared" si="20"/>
        <v>0</v>
      </c>
      <c r="DM4" s="52">
        <f t="shared" si="20"/>
        <v>0</v>
      </c>
      <c r="DN4" s="52">
        <f t="shared" si="20"/>
        <v>0</v>
      </c>
      <c r="DO4" s="52">
        <f t="shared" si="20"/>
        <v>0</v>
      </c>
      <c r="DP4" s="52">
        <f t="shared" si="20"/>
        <v>0</v>
      </c>
      <c r="DQ4" s="52">
        <f t="shared" si="20"/>
        <v>0</v>
      </c>
      <c r="DR4" s="52">
        <f t="shared" si="20"/>
        <v>0</v>
      </c>
      <c r="DS4" s="52">
        <f t="shared" si="20"/>
        <v>0</v>
      </c>
      <c r="DT4" s="52">
        <f t="shared" si="20"/>
        <v>0</v>
      </c>
      <c r="DU4" s="52">
        <f t="shared" si="20"/>
        <v>0</v>
      </c>
      <c r="DV4" s="52">
        <f t="shared" si="21"/>
        <v>1000</v>
      </c>
      <c r="DW4" s="52">
        <f t="shared" si="22"/>
        <v>1</v>
      </c>
    </row>
    <row r="5">
      <c r="A5" s="40" t="s">
        <v>55</v>
      </c>
      <c r="B5" s="41" t="s">
        <v>56</v>
      </c>
      <c r="C5" s="31" t="s">
        <v>69</v>
      </c>
      <c r="D5" s="25" t="str">
        <f>IFERROR(__xludf.DUMMYFUNCTION("SPLIT(C5,"" "")"),"Abrams,")</f>
        <v>Abrams,</v>
      </c>
      <c r="E5" s="40" t="str">
        <f>IFERROR(__xludf.DUMMYFUNCTION("""COMPUTED_VALUE"""),"John
6427")</f>
        <v>John
6427</v>
      </c>
      <c r="F5" s="40" t="str">
        <f>IFERROR(__xludf.DUMMYFUNCTION("""COMPUTED_VALUE"""),"Bob")</f>
        <v>Bob</v>
      </c>
      <c r="G5" s="40" t="str">
        <f>IFERROR(__xludf.DUMMYFUNCTION("""COMPUTED_VALUE"""),"O")</f>
        <v>O</v>
      </c>
      <c r="H5" s="40" t="str">
        <f>IFERROR(__xludf.DUMMYFUNCTION("""COMPUTED_VALUE"""),"Link")</f>
        <v>Link</v>
      </c>
      <c r="I5" s="40" t="str">
        <f>IFERROR(__xludf.DUMMYFUNCTION("""COMPUTED_VALUE"""),"Dr.
Dallas,")</f>
        <v>Dr.
Dallas,</v>
      </c>
      <c r="J5" s="40" t="str">
        <f>IFERROR(__xludf.DUMMYFUNCTION("""COMPUTED_VALUE"""),"TX")</f>
        <v>TX</v>
      </c>
      <c r="K5" s="40">
        <f>IFERROR(__xludf.DUMMYFUNCTION("""COMPUTED_VALUE"""),75214.0)</f>
        <v>75214</v>
      </c>
      <c r="L5" s="40"/>
      <c r="M5" s="40"/>
      <c r="N5" s="40"/>
      <c r="O5" s="40"/>
      <c r="P5" s="40"/>
      <c r="Q5" s="40"/>
      <c r="R5" s="40"/>
      <c r="S5" s="40"/>
      <c r="T5" s="40"/>
      <c r="U5" s="24" t="str">
        <f>IFERROR(__xludf.DUMMYFUNCTION("SPLIT(E5,""01234567890"")"),"John
")</f>
        <v>John
</v>
      </c>
      <c r="V5" s="24" t="str">
        <f>IFERROR(__xludf.DUMMYFUNCTION("SPLIT(D5,"","")"),"Abrams")</f>
        <v>Abrams</v>
      </c>
      <c r="W5" s="25" t="str">
        <f t="shared" si="1"/>
        <v>JOHN
 ABRAMS</v>
      </c>
      <c r="X5" s="25" t="s">
        <v>70</v>
      </c>
      <c r="Y5" s="25">
        <v>75214.0</v>
      </c>
      <c r="Z5" s="25" t="str">
        <f>IFERROR(__xludf.DUMMYFUNCTION("SPLIT(C5,""
"")"),"Abrams, John")</f>
        <v>Abrams, John</v>
      </c>
      <c r="AA5" s="25" t="str">
        <f>IFERROR(__xludf.DUMMYFUNCTION("""COMPUTED_VALUE"""),"6427 Bob O Link Dr.")</f>
        <v>6427 Bob O Link Dr.</v>
      </c>
      <c r="AB5" s="25" t="str">
        <f>IFERROR(__xludf.DUMMYFUNCTION("""COMPUTED_VALUE"""),"Dallas, TX 75214")</f>
        <v>Dallas, TX 75214</v>
      </c>
      <c r="AC5" s="24" t="s">
        <v>71</v>
      </c>
      <c r="AD5" s="25"/>
      <c r="AE5" s="25"/>
      <c r="AF5" s="25"/>
      <c r="AG5" s="40" t="s">
        <v>60</v>
      </c>
      <c r="AH5" s="42">
        <v>2486.0</v>
      </c>
      <c r="AI5" s="40" t="s">
        <v>68</v>
      </c>
      <c r="AJ5" s="27">
        <v>50.0</v>
      </c>
      <c r="AK5" s="31" t="s">
        <v>24</v>
      </c>
      <c r="AL5" s="43">
        <v>44888.0</v>
      </c>
      <c r="AM5" s="44">
        <v>44942.42989583333</v>
      </c>
      <c r="AN5" s="30">
        <v>2.0</v>
      </c>
      <c r="AO5" s="40"/>
      <c r="AP5" s="40"/>
      <c r="AQ5" s="40"/>
      <c r="AR5" s="40"/>
      <c r="AS5" s="31">
        <f>IFERROR(__xludf.DUMMYFUNCTION("""COMPUTED_VALUE"""),75203.0)</f>
        <v>75203</v>
      </c>
      <c r="AT5" s="45">
        <f t="shared" si="6"/>
        <v>1550</v>
      </c>
      <c r="AU5" s="40"/>
      <c r="AV5" s="56" t="str">
        <f>IFERROR(__xludf.DUMMYFUNCTION("""COMPUTED_VALUE"""),"Abtahi")</f>
        <v>Abtahi</v>
      </c>
      <c r="AW5" s="46">
        <f t="shared" si="7"/>
        <v>1900</v>
      </c>
      <c r="AX5" s="47">
        <f t="shared" ref="AX5:BQ5" si="23">SUMIFS($AJ:$AJ,$V:$V,$AV5,$AK:$AK,AX$2)</f>
        <v>950</v>
      </c>
      <c r="AY5" s="48">
        <f t="shared" si="23"/>
        <v>0</v>
      </c>
      <c r="AZ5" s="48">
        <f t="shared" si="23"/>
        <v>250</v>
      </c>
      <c r="BA5" s="48">
        <f t="shared" si="23"/>
        <v>200</v>
      </c>
      <c r="BB5" s="48">
        <f t="shared" si="23"/>
        <v>500</v>
      </c>
      <c r="BC5" s="48">
        <f t="shared" si="23"/>
        <v>0</v>
      </c>
      <c r="BD5" s="48">
        <f t="shared" si="23"/>
        <v>0</v>
      </c>
      <c r="BE5" s="48">
        <f t="shared" si="23"/>
        <v>0</v>
      </c>
      <c r="BF5" s="48">
        <f t="shared" si="23"/>
        <v>0</v>
      </c>
      <c r="BG5" s="48">
        <f t="shared" si="23"/>
        <v>0</v>
      </c>
      <c r="BH5" s="48">
        <f t="shared" si="23"/>
        <v>0</v>
      </c>
      <c r="BI5" s="48">
        <f t="shared" si="23"/>
        <v>0</v>
      </c>
      <c r="BJ5" s="48">
        <f t="shared" si="23"/>
        <v>0</v>
      </c>
      <c r="BK5" s="48">
        <f t="shared" si="23"/>
        <v>0</v>
      </c>
      <c r="BL5" s="48">
        <f t="shared" si="23"/>
        <v>0</v>
      </c>
      <c r="BM5" s="48">
        <f t="shared" si="23"/>
        <v>0</v>
      </c>
      <c r="BN5" s="48">
        <f t="shared" si="23"/>
        <v>0</v>
      </c>
      <c r="BO5" s="48">
        <f t="shared" si="23"/>
        <v>0</v>
      </c>
      <c r="BP5" s="48">
        <f t="shared" si="23"/>
        <v>0</v>
      </c>
      <c r="BQ5" s="48">
        <f t="shared" si="23"/>
        <v>0</v>
      </c>
      <c r="BR5" s="36">
        <f t="shared" si="9"/>
        <v>1</v>
      </c>
      <c r="BS5" s="38">
        <f t="shared" si="10"/>
        <v>2</v>
      </c>
      <c r="BT5" s="49">
        <f t="shared" si="11"/>
        <v>0</v>
      </c>
      <c r="BU5" s="38">
        <f t="shared" si="12"/>
        <v>2000</v>
      </c>
      <c r="BV5" s="56" t="str">
        <f>IFERROR(__xludf.DUMMYFUNCTION("""COMPUTED_VALUE"""),"Abtahi")</f>
        <v>Abtahi</v>
      </c>
      <c r="BW5" s="46">
        <f t="shared" si="13"/>
        <v>1900</v>
      </c>
      <c r="BX5" s="47">
        <f t="shared" ref="BX5:CA5" si="24">AX5-$BU5</f>
        <v>-1050</v>
      </c>
      <c r="BY5" s="47">
        <f t="shared" si="24"/>
        <v>-2000</v>
      </c>
      <c r="BZ5" s="47">
        <f t="shared" si="24"/>
        <v>-1750</v>
      </c>
      <c r="CA5" s="47">
        <f t="shared" si="24"/>
        <v>-1800</v>
      </c>
      <c r="CB5" s="47">
        <f t="shared" si="15"/>
        <v>-19500</v>
      </c>
      <c r="CC5" s="47">
        <f t="shared" ref="CC5:CQ5" si="25">BC5-$BU5</f>
        <v>-2000</v>
      </c>
      <c r="CD5" s="47">
        <f t="shared" si="25"/>
        <v>-2000</v>
      </c>
      <c r="CE5" s="47">
        <f t="shared" si="25"/>
        <v>-2000</v>
      </c>
      <c r="CF5" s="47">
        <f t="shared" si="25"/>
        <v>-2000</v>
      </c>
      <c r="CG5" s="47">
        <f t="shared" si="25"/>
        <v>-2000</v>
      </c>
      <c r="CH5" s="47">
        <f t="shared" si="25"/>
        <v>-2000</v>
      </c>
      <c r="CI5" s="47">
        <f t="shared" si="25"/>
        <v>-2000</v>
      </c>
      <c r="CJ5" s="47">
        <f t="shared" si="25"/>
        <v>-2000</v>
      </c>
      <c r="CK5" s="47">
        <f t="shared" si="25"/>
        <v>-2000</v>
      </c>
      <c r="CL5" s="47">
        <f t="shared" si="25"/>
        <v>-2000</v>
      </c>
      <c r="CM5" s="47">
        <f t="shared" si="25"/>
        <v>-2000</v>
      </c>
      <c r="CN5" s="47">
        <f t="shared" si="25"/>
        <v>-2000</v>
      </c>
      <c r="CO5" s="47">
        <f t="shared" si="25"/>
        <v>-2000</v>
      </c>
      <c r="CP5" s="47">
        <f t="shared" si="25"/>
        <v>-2000</v>
      </c>
      <c r="CQ5" s="47">
        <f t="shared" si="25"/>
        <v>-2000</v>
      </c>
      <c r="CR5" s="47"/>
      <c r="CS5" s="47"/>
      <c r="CT5" s="47"/>
      <c r="CU5" s="50" t="str">
        <f>IFERROR(__xludf.DUMMYFUNCTION("""COMPUTED_VALUE"""),"5908 
Dallas, TX 75230           ")</f>
        <v>5908 
Dallas, TX 75230           </v>
      </c>
      <c r="CV5" s="51">
        <f>IFERROR(__xludf.DUMMYFUNCTION("IF(REGEXMATCH(UPPER(CU5), ""TX""),0,1)"),0.0)</f>
        <v>0</v>
      </c>
      <c r="CW5" s="51">
        <f>IFERROR(__xludf.DUMMYFUNCTION("IF(REGEXMATCH(UPPER(CU5), ""DALLAS""),0,1)"),0.0)</f>
        <v>0</v>
      </c>
      <c r="CX5" s="51">
        <f t="shared" si="17"/>
        <v>0</v>
      </c>
      <c r="CY5" s="51">
        <f t="shared" si="18"/>
        <v>0</v>
      </c>
      <c r="CZ5" s="52" t="str">
        <f t="shared" si="19"/>
        <v/>
      </c>
      <c r="DA5" s="53" t="str">
        <f>IFERROR(__xludf.DUMMYFUNCTION("""COMPUTED_VALUE"""),"13710 Slate Creek Lane
Houston, TX 77077         ")</f>
        <v>13710 Slate Creek Lane
Houston, TX 77077         </v>
      </c>
      <c r="DB5" s="52">
        <f t="shared" ref="DB5:DU5" si="26">SUMIFS($AJ:$AJ,$X:$X,$DA5,$AK:$AK,DB$2)</f>
        <v>0</v>
      </c>
      <c r="DC5" s="52">
        <f t="shared" si="26"/>
        <v>0</v>
      </c>
      <c r="DD5" s="52">
        <f t="shared" si="26"/>
        <v>0</v>
      </c>
      <c r="DE5" s="52">
        <f t="shared" si="26"/>
        <v>0</v>
      </c>
      <c r="DF5" s="52">
        <f t="shared" si="26"/>
        <v>2000</v>
      </c>
      <c r="DG5" s="52">
        <f t="shared" si="26"/>
        <v>0</v>
      </c>
      <c r="DH5" s="52">
        <f t="shared" si="26"/>
        <v>0</v>
      </c>
      <c r="DI5" s="52">
        <f t="shared" si="26"/>
        <v>0</v>
      </c>
      <c r="DJ5" s="52">
        <f t="shared" si="26"/>
        <v>0</v>
      </c>
      <c r="DK5" s="52">
        <f t="shared" si="26"/>
        <v>0</v>
      </c>
      <c r="DL5" s="52">
        <f t="shared" si="26"/>
        <v>0</v>
      </c>
      <c r="DM5" s="52">
        <f t="shared" si="26"/>
        <v>0</v>
      </c>
      <c r="DN5" s="52">
        <f t="shared" si="26"/>
        <v>0</v>
      </c>
      <c r="DO5" s="52">
        <f t="shared" si="26"/>
        <v>0</v>
      </c>
      <c r="DP5" s="52">
        <f t="shared" si="26"/>
        <v>0</v>
      </c>
      <c r="DQ5" s="52">
        <f t="shared" si="26"/>
        <v>0</v>
      </c>
      <c r="DR5" s="52">
        <f t="shared" si="26"/>
        <v>0</v>
      </c>
      <c r="DS5" s="52">
        <f t="shared" si="26"/>
        <v>0</v>
      </c>
      <c r="DT5" s="52">
        <f t="shared" si="26"/>
        <v>0</v>
      </c>
      <c r="DU5" s="52">
        <f t="shared" si="26"/>
        <v>0</v>
      </c>
      <c r="DV5" s="52">
        <f t="shared" si="21"/>
        <v>2000</v>
      </c>
      <c r="DW5" s="52">
        <f t="shared" si="22"/>
        <v>1</v>
      </c>
    </row>
    <row r="6">
      <c r="A6" s="22" t="s">
        <v>55</v>
      </c>
      <c r="B6" s="23" t="s">
        <v>56</v>
      </c>
      <c r="C6" s="31" t="s">
        <v>69</v>
      </c>
      <c r="D6" s="25" t="str">
        <f>IFERROR(__xludf.DUMMYFUNCTION("SPLIT(C6,"" "")"),"Abrams,")</f>
        <v>Abrams,</v>
      </c>
      <c r="E6" s="22" t="str">
        <f>IFERROR(__xludf.DUMMYFUNCTION("""COMPUTED_VALUE"""),"John
6427")</f>
        <v>John
6427</v>
      </c>
      <c r="F6" s="22" t="str">
        <f>IFERROR(__xludf.DUMMYFUNCTION("""COMPUTED_VALUE"""),"Bob")</f>
        <v>Bob</v>
      </c>
      <c r="G6" s="22" t="str">
        <f>IFERROR(__xludf.DUMMYFUNCTION("""COMPUTED_VALUE"""),"O")</f>
        <v>O</v>
      </c>
      <c r="H6" s="22" t="str">
        <f>IFERROR(__xludf.DUMMYFUNCTION("""COMPUTED_VALUE"""),"Link")</f>
        <v>Link</v>
      </c>
      <c r="I6" s="22" t="str">
        <f>IFERROR(__xludf.DUMMYFUNCTION("""COMPUTED_VALUE"""),"Dr.
Dallas,")</f>
        <v>Dr.
Dallas,</v>
      </c>
      <c r="J6" s="22" t="str">
        <f>IFERROR(__xludf.DUMMYFUNCTION("""COMPUTED_VALUE"""),"TX")</f>
        <v>TX</v>
      </c>
      <c r="K6" s="22">
        <f>IFERROR(__xludf.DUMMYFUNCTION("""COMPUTED_VALUE"""),75214.0)</f>
        <v>75214</v>
      </c>
      <c r="L6" s="22"/>
      <c r="M6" s="22"/>
      <c r="N6" s="22"/>
      <c r="O6" s="22"/>
      <c r="P6" s="22"/>
      <c r="Q6" s="22"/>
      <c r="R6" s="22"/>
      <c r="S6" s="22"/>
      <c r="T6" s="22"/>
      <c r="U6" s="24" t="str">
        <f>IFERROR(__xludf.DUMMYFUNCTION("SPLIT(E6,""01234567890"")"),"John
")</f>
        <v>John
</v>
      </c>
      <c r="V6" s="24" t="str">
        <f>IFERROR(__xludf.DUMMYFUNCTION("SPLIT(D6,"","")"),"Abrams")</f>
        <v>Abrams</v>
      </c>
      <c r="W6" s="25" t="str">
        <f t="shared" si="1"/>
        <v>JOHN
 ABRAMS</v>
      </c>
      <c r="X6" s="25" t="s">
        <v>70</v>
      </c>
      <c r="Y6" s="25">
        <v>75214.0</v>
      </c>
      <c r="Z6" s="25" t="str">
        <f>IFERROR(__xludf.DUMMYFUNCTION("SPLIT(C6,""
"")"),"Abrams, John")</f>
        <v>Abrams, John</v>
      </c>
      <c r="AA6" s="25" t="str">
        <f>IFERROR(__xludf.DUMMYFUNCTION("""COMPUTED_VALUE"""),"6427 Bob O Link Dr.")</f>
        <v>6427 Bob O Link Dr.</v>
      </c>
      <c r="AB6" s="25" t="str">
        <f>IFERROR(__xludf.DUMMYFUNCTION("""COMPUTED_VALUE"""),"Dallas, TX 75214")</f>
        <v>Dallas, TX 75214</v>
      </c>
      <c r="AC6" s="24" t="s">
        <v>71</v>
      </c>
      <c r="AD6" s="25"/>
      <c r="AE6" s="25"/>
      <c r="AF6" s="25"/>
      <c r="AG6" s="22" t="s">
        <v>60</v>
      </c>
      <c r="AH6" s="54">
        <v>2486.0</v>
      </c>
      <c r="AI6" s="22" t="s">
        <v>68</v>
      </c>
      <c r="AJ6" s="27">
        <v>50.0</v>
      </c>
      <c r="AK6" s="31" t="s">
        <v>24</v>
      </c>
      <c r="AL6" s="28">
        <v>44906.0</v>
      </c>
      <c r="AM6" s="29">
        <v>44942.42989583333</v>
      </c>
      <c r="AN6" s="30">
        <v>2.0</v>
      </c>
      <c r="AO6" s="22"/>
      <c r="AP6" s="22"/>
      <c r="AQ6" s="22"/>
      <c r="AR6" s="22"/>
      <c r="AS6" s="31">
        <f>IFERROR(__xludf.DUMMYFUNCTION("""COMPUTED_VALUE"""),75247.0)</f>
        <v>75247</v>
      </c>
      <c r="AT6" s="45">
        <f t="shared" si="6"/>
        <v>2000</v>
      </c>
      <c r="AU6" s="22"/>
      <c r="AV6" s="57" t="str">
        <f>IFERROR(__xludf.DUMMYFUNCTION("""COMPUTED_VALUE"""),"Acosta")</f>
        <v>Acosta</v>
      </c>
      <c r="AW6" s="46">
        <f t="shared" si="7"/>
        <v>2000</v>
      </c>
      <c r="AX6" s="47">
        <f t="shared" ref="AX6:BQ6" si="27">SUMIFS($AJ:$AJ,$V:$V,$AV6,$AK:$AK,AX$2)</f>
        <v>0</v>
      </c>
      <c r="AY6" s="48">
        <f t="shared" si="27"/>
        <v>0</v>
      </c>
      <c r="AZ6" s="48">
        <f t="shared" si="27"/>
        <v>0</v>
      </c>
      <c r="BA6" s="48">
        <f t="shared" si="27"/>
        <v>2000</v>
      </c>
      <c r="BB6" s="48">
        <f t="shared" si="27"/>
        <v>0</v>
      </c>
      <c r="BC6" s="48">
        <f t="shared" si="27"/>
        <v>0</v>
      </c>
      <c r="BD6" s="48">
        <f t="shared" si="27"/>
        <v>0</v>
      </c>
      <c r="BE6" s="48">
        <f t="shared" si="27"/>
        <v>0</v>
      </c>
      <c r="BF6" s="48">
        <f t="shared" si="27"/>
        <v>0</v>
      </c>
      <c r="BG6" s="48">
        <f t="shared" si="27"/>
        <v>0</v>
      </c>
      <c r="BH6" s="48">
        <f t="shared" si="27"/>
        <v>0</v>
      </c>
      <c r="BI6" s="48">
        <f t="shared" si="27"/>
        <v>0</v>
      </c>
      <c r="BJ6" s="48">
        <f t="shared" si="27"/>
        <v>0</v>
      </c>
      <c r="BK6" s="48">
        <f t="shared" si="27"/>
        <v>0</v>
      </c>
      <c r="BL6" s="48">
        <f t="shared" si="27"/>
        <v>0</v>
      </c>
      <c r="BM6" s="48">
        <f t="shared" si="27"/>
        <v>0</v>
      </c>
      <c r="BN6" s="48">
        <f t="shared" si="27"/>
        <v>0</v>
      </c>
      <c r="BO6" s="48">
        <f t="shared" si="27"/>
        <v>0</v>
      </c>
      <c r="BP6" s="48">
        <f t="shared" si="27"/>
        <v>0</v>
      </c>
      <c r="BQ6" s="48">
        <f t="shared" si="27"/>
        <v>0</v>
      </c>
      <c r="BR6" s="36">
        <f t="shared" si="9"/>
        <v>0</v>
      </c>
      <c r="BS6" s="38">
        <f t="shared" si="10"/>
        <v>1</v>
      </c>
      <c r="BT6" s="49">
        <f t="shared" si="11"/>
        <v>0</v>
      </c>
      <c r="BU6" s="38">
        <f t="shared" si="12"/>
        <v>1000</v>
      </c>
      <c r="BV6" s="57" t="str">
        <f>IFERROR(__xludf.DUMMYFUNCTION("""COMPUTED_VALUE"""),"Acosta")</f>
        <v>Acosta</v>
      </c>
      <c r="BW6" s="46">
        <f t="shared" si="13"/>
        <v>2000</v>
      </c>
      <c r="BX6" s="47">
        <f t="shared" ref="BX6:CA6" si="28">AX6-$BU6</f>
        <v>-1000</v>
      </c>
      <c r="BY6" s="47">
        <f t="shared" si="28"/>
        <v>-1000</v>
      </c>
      <c r="BZ6" s="47">
        <f t="shared" si="28"/>
        <v>-1000</v>
      </c>
      <c r="CA6" s="47">
        <f t="shared" si="28"/>
        <v>1000</v>
      </c>
      <c r="CB6" s="47">
        <f t="shared" si="15"/>
        <v>-10000</v>
      </c>
      <c r="CC6" s="47">
        <f t="shared" ref="CC6:CQ6" si="29">BC6-$BU6</f>
        <v>-1000</v>
      </c>
      <c r="CD6" s="47">
        <f t="shared" si="29"/>
        <v>-1000</v>
      </c>
      <c r="CE6" s="47">
        <f t="shared" si="29"/>
        <v>-1000</v>
      </c>
      <c r="CF6" s="47">
        <f t="shared" si="29"/>
        <v>-1000</v>
      </c>
      <c r="CG6" s="47">
        <f t="shared" si="29"/>
        <v>-1000</v>
      </c>
      <c r="CH6" s="47">
        <f t="shared" si="29"/>
        <v>-1000</v>
      </c>
      <c r="CI6" s="47">
        <f t="shared" si="29"/>
        <v>-1000</v>
      </c>
      <c r="CJ6" s="47">
        <f t="shared" si="29"/>
        <v>-1000</v>
      </c>
      <c r="CK6" s="47">
        <f t="shared" si="29"/>
        <v>-1000</v>
      </c>
      <c r="CL6" s="47">
        <f t="shared" si="29"/>
        <v>-1000</v>
      </c>
      <c r="CM6" s="47">
        <f t="shared" si="29"/>
        <v>-1000</v>
      </c>
      <c r="CN6" s="47">
        <f t="shared" si="29"/>
        <v>-1000</v>
      </c>
      <c r="CO6" s="47">
        <f t="shared" si="29"/>
        <v>-1000</v>
      </c>
      <c r="CP6" s="47">
        <f t="shared" si="29"/>
        <v>-1000</v>
      </c>
      <c r="CQ6" s="47">
        <f t="shared" si="29"/>
        <v>-1000</v>
      </c>
      <c r="CR6" s="47"/>
      <c r="CS6" s="47"/>
      <c r="CT6" s="47"/>
      <c r="CU6" s="50" t="str">
        <f>IFERROR(__xludf.DUMMYFUNCTION("""COMPUTED_VALUE"""),"6427 Bob O Link Dr.
Dallas, TX 75214        ")</f>
        <v>6427 Bob O Link Dr.
Dallas, TX 75214        </v>
      </c>
      <c r="CV6" s="51">
        <f>IFERROR(__xludf.DUMMYFUNCTION("IF(REGEXMATCH(UPPER(CU6), ""TX""),0,1)"),0.0)</f>
        <v>0</v>
      </c>
      <c r="CW6" s="51">
        <f>IFERROR(__xludf.DUMMYFUNCTION("IF(REGEXMATCH(UPPER(CU6), ""DALLAS""),0,1)"),0.0)</f>
        <v>0</v>
      </c>
      <c r="CX6" s="51">
        <f t="shared" si="17"/>
        <v>0</v>
      </c>
      <c r="CY6" s="51">
        <f t="shared" si="18"/>
        <v>0</v>
      </c>
      <c r="CZ6" s="52" t="str">
        <f t="shared" si="19"/>
        <v/>
      </c>
      <c r="DA6" s="53" t="str">
        <f>IFERROR(__xludf.DUMMYFUNCTION("""COMPUTED_VALUE"""),"airlines PAC
1200 17th St NW
Washington, DC 20036        ")</f>
        <v>airlines PAC
1200 17th St NW
Washington, DC 20036        </v>
      </c>
      <c r="DB6" s="52">
        <f t="shared" ref="DB6:DU6" si="30">SUMIFS($AJ:$AJ,$X:$X,$DA6,$AK:$AK,DB$2)</f>
        <v>0</v>
      </c>
      <c r="DC6" s="52">
        <f t="shared" si="30"/>
        <v>0</v>
      </c>
      <c r="DD6" s="52">
        <f t="shared" si="30"/>
        <v>0</v>
      </c>
      <c r="DE6" s="52">
        <f t="shared" si="30"/>
        <v>0</v>
      </c>
      <c r="DF6" s="52">
        <f t="shared" si="30"/>
        <v>2500</v>
      </c>
      <c r="DG6" s="52">
        <f t="shared" si="30"/>
        <v>0</v>
      </c>
      <c r="DH6" s="52">
        <f t="shared" si="30"/>
        <v>0</v>
      </c>
      <c r="DI6" s="52">
        <f t="shared" si="30"/>
        <v>0</v>
      </c>
      <c r="DJ6" s="52">
        <f t="shared" si="30"/>
        <v>0</v>
      </c>
      <c r="DK6" s="52">
        <f t="shared" si="30"/>
        <v>0</v>
      </c>
      <c r="DL6" s="52">
        <f t="shared" si="30"/>
        <v>0</v>
      </c>
      <c r="DM6" s="52">
        <f t="shared" si="30"/>
        <v>0</v>
      </c>
      <c r="DN6" s="52">
        <f t="shared" si="30"/>
        <v>0</v>
      </c>
      <c r="DO6" s="52">
        <f t="shared" si="30"/>
        <v>0</v>
      </c>
      <c r="DP6" s="52">
        <f t="shared" si="30"/>
        <v>0</v>
      </c>
      <c r="DQ6" s="52">
        <f t="shared" si="30"/>
        <v>0</v>
      </c>
      <c r="DR6" s="52">
        <f t="shared" si="30"/>
        <v>0</v>
      </c>
      <c r="DS6" s="52">
        <f t="shared" si="30"/>
        <v>0</v>
      </c>
      <c r="DT6" s="52">
        <f t="shared" si="30"/>
        <v>0</v>
      </c>
      <c r="DU6" s="52">
        <f t="shared" si="30"/>
        <v>0</v>
      </c>
      <c r="DV6" s="52">
        <f t="shared" si="21"/>
        <v>2500</v>
      </c>
      <c r="DW6" s="52">
        <f t="shared" si="22"/>
        <v>1</v>
      </c>
    </row>
    <row r="7">
      <c r="A7" s="40" t="s">
        <v>55</v>
      </c>
      <c r="B7" s="41" t="s">
        <v>56</v>
      </c>
      <c r="C7" s="31" t="s">
        <v>72</v>
      </c>
      <c r="D7" s="25" t="str">
        <f>IFERROR(__xludf.DUMMYFUNCTION("SPLIT(C7,"" "")"),"Abtahi,")</f>
        <v>Abtahi,</v>
      </c>
      <c r="E7" s="40" t="str">
        <f>IFERROR(__xludf.DUMMYFUNCTION("""COMPUTED_VALUE"""),"Bobby
1126")</f>
        <v>Bobby
1126</v>
      </c>
      <c r="F7" s="40" t="str">
        <f>IFERROR(__xludf.DUMMYFUNCTION("""COMPUTED_VALUE"""),"
Dallas,")</f>
        <v>
Dallas,</v>
      </c>
      <c r="G7" s="40" t="str">
        <f>IFERROR(__xludf.DUMMYFUNCTION("""COMPUTED_VALUE"""),"TX")</f>
        <v>TX</v>
      </c>
      <c r="H7" s="40">
        <f>IFERROR(__xludf.DUMMYFUNCTION("""COMPUTED_VALUE"""),75203.0)</f>
        <v>75203</v>
      </c>
      <c r="I7" s="40"/>
      <c r="J7" s="40"/>
      <c r="K7" s="40"/>
      <c r="L7" s="40"/>
      <c r="M7" s="40"/>
      <c r="N7" s="40"/>
      <c r="O7" s="40"/>
      <c r="P7" s="40"/>
      <c r="Q7" s="40"/>
      <c r="R7" s="40"/>
      <c r="S7" s="40"/>
      <c r="T7" s="40"/>
      <c r="U7" s="24" t="str">
        <f>IFERROR(__xludf.DUMMYFUNCTION("SPLIT(E7,""01234567890"")"),"Bobby
")</f>
        <v>Bobby
</v>
      </c>
      <c r="V7" s="24" t="str">
        <f>IFERROR(__xludf.DUMMYFUNCTION("SPLIT(D7,"","")"),"Abtahi")</f>
        <v>Abtahi</v>
      </c>
      <c r="W7" s="25" t="str">
        <f t="shared" si="1"/>
        <v>BOBBY
 ABTAHI</v>
      </c>
      <c r="X7" s="25" t="s">
        <v>73</v>
      </c>
      <c r="Y7" s="25">
        <v>75203.0</v>
      </c>
      <c r="Z7" s="25" t="str">
        <f>IFERROR(__xludf.DUMMYFUNCTION("SPLIT(C7,""
"")"),"Abtahi, Bobby")</f>
        <v>Abtahi, Bobby</v>
      </c>
      <c r="AA7" s="25">
        <f>IFERROR(__xludf.DUMMYFUNCTION("""COMPUTED_VALUE"""),1126.0)</f>
        <v>1126</v>
      </c>
      <c r="AB7" s="25" t="str">
        <f>IFERROR(__xludf.DUMMYFUNCTION("""COMPUTED_VALUE"""),"Dallas, TX 75203")</f>
        <v>Dallas, TX 75203</v>
      </c>
      <c r="AC7" s="24" t="s">
        <v>74</v>
      </c>
      <c r="AD7" s="25"/>
      <c r="AE7" s="25"/>
      <c r="AF7" s="25"/>
      <c r="AG7" s="40" t="s">
        <v>60</v>
      </c>
      <c r="AH7" s="42">
        <v>2500.0</v>
      </c>
      <c r="AI7" s="40" t="s">
        <v>68</v>
      </c>
      <c r="AJ7" s="27">
        <v>250.0</v>
      </c>
      <c r="AK7" s="31" t="s">
        <v>23</v>
      </c>
      <c r="AL7" s="43">
        <v>44845.0</v>
      </c>
      <c r="AM7" s="44">
        <v>44941.874814814815</v>
      </c>
      <c r="AN7" s="30">
        <v>2.0</v>
      </c>
      <c r="AO7" s="40"/>
      <c r="AP7" s="40"/>
      <c r="AQ7" s="40"/>
      <c r="AR7" s="40"/>
      <c r="AS7" s="31">
        <f>IFERROR(__xludf.DUMMYFUNCTION("""COMPUTED_VALUE"""),75206.0)</f>
        <v>75206</v>
      </c>
      <c r="AT7" s="45">
        <f t="shared" si="6"/>
        <v>8100</v>
      </c>
      <c r="AU7" s="40"/>
      <c r="AV7" s="46" t="str">
        <f>IFERROR(__xludf.DUMMYFUNCTION("""COMPUTED_VALUE"""),"Adam")</f>
        <v>Adam</v>
      </c>
      <c r="AW7" s="46">
        <f t="shared" si="7"/>
        <v>2000</v>
      </c>
      <c r="AX7" s="47">
        <f t="shared" ref="AX7:BQ7" si="31">SUMIFS($AJ:$AJ,$V:$V,$AV7,$AK:$AK,AX$2)</f>
        <v>0</v>
      </c>
      <c r="AY7" s="48">
        <f t="shared" si="31"/>
        <v>0</v>
      </c>
      <c r="AZ7" s="48">
        <f t="shared" si="31"/>
        <v>0</v>
      </c>
      <c r="BA7" s="48">
        <f t="shared" si="31"/>
        <v>0</v>
      </c>
      <c r="BB7" s="48">
        <f t="shared" si="31"/>
        <v>0</v>
      </c>
      <c r="BC7" s="48">
        <f t="shared" si="31"/>
        <v>2000</v>
      </c>
      <c r="BD7" s="48">
        <f t="shared" si="31"/>
        <v>0</v>
      </c>
      <c r="BE7" s="48">
        <f t="shared" si="31"/>
        <v>0</v>
      </c>
      <c r="BF7" s="48">
        <f t="shared" si="31"/>
        <v>0</v>
      </c>
      <c r="BG7" s="48">
        <f t="shared" si="31"/>
        <v>0</v>
      </c>
      <c r="BH7" s="48">
        <f t="shared" si="31"/>
        <v>0</v>
      </c>
      <c r="BI7" s="48">
        <f t="shared" si="31"/>
        <v>0</v>
      </c>
      <c r="BJ7" s="48">
        <f t="shared" si="31"/>
        <v>0</v>
      </c>
      <c r="BK7" s="48">
        <f t="shared" si="31"/>
        <v>0</v>
      </c>
      <c r="BL7" s="48">
        <f t="shared" si="31"/>
        <v>0</v>
      </c>
      <c r="BM7" s="48">
        <f t="shared" si="31"/>
        <v>0</v>
      </c>
      <c r="BN7" s="48">
        <f t="shared" si="31"/>
        <v>0</v>
      </c>
      <c r="BO7" s="48">
        <f t="shared" si="31"/>
        <v>0</v>
      </c>
      <c r="BP7" s="48">
        <f t="shared" si="31"/>
        <v>0</v>
      </c>
      <c r="BQ7" s="48">
        <f t="shared" si="31"/>
        <v>0</v>
      </c>
      <c r="BR7" s="36">
        <f t="shared" si="9"/>
        <v>0</v>
      </c>
      <c r="BS7" s="38">
        <f t="shared" si="10"/>
        <v>1</v>
      </c>
      <c r="BT7" s="49">
        <f t="shared" si="11"/>
        <v>0</v>
      </c>
      <c r="BU7" s="38">
        <f t="shared" si="12"/>
        <v>1000</v>
      </c>
      <c r="BV7" s="46" t="str">
        <f>IFERROR(__xludf.DUMMYFUNCTION("""COMPUTED_VALUE"""),"Adam")</f>
        <v>Adam</v>
      </c>
      <c r="BW7" s="46">
        <f t="shared" si="13"/>
        <v>2000</v>
      </c>
      <c r="BX7" s="47">
        <f t="shared" ref="BX7:CA7" si="32">AX7-$BU7</f>
        <v>-1000</v>
      </c>
      <c r="BY7" s="47">
        <f t="shared" si="32"/>
        <v>-1000</v>
      </c>
      <c r="BZ7" s="47">
        <f t="shared" si="32"/>
        <v>-1000</v>
      </c>
      <c r="CA7" s="47">
        <f t="shared" si="32"/>
        <v>-1000</v>
      </c>
      <c r="CB7" s="47">
        <f t="shared" si="15"/>
        <v>-10000</v>
      </c>
      <c r="CC7" s="47">
        <f t="shared" ref="CC7:CQ7" si="33">BC7-$BU7</f>
        <v>1000</v>
      </c>
      <c r="CD7" s="47">
        <f t="shared" si="33"/>
        <v>-1000</v>
      </c>
      <c r="CE7" s="47">
        <f t="shared" si="33"/>
        <v>-1000</v>
      </c>
      <c r="CF7" s="47">
        <f t="shared" si="33"/>
        <v>-1000</v>
      </c>
      <c r="CG7" s="47">
        <f t="shared" si="33"/>
        <v>-1000</v>
      </c>
      <c r="CH7" s="47">
        <f t="shared" si="33"/>
        <v>-1000</v>
      </c>
      <c r="CI7" s="47">
        <f t="shared" si="33"/>
        <v>-1000</v>
      </c>
      <c r="CJ7" s="47">
        <f t="shared" si="33"/>
        <v>-1000</v>
      </c>
      <c r="CK7" s="47">
        <f t="shared" si="33"/>
        <v>-1000</v>
      </c>
      <c r="CL7" s="47">
        <f t="shared" si="33"/>
        <v>-1000</v>
      </c>
      <c r="CM7" s="47">
        <f t="shared" si="33"/>
        <v>-1000</v>
      </c>
      <c r="CN7" s="47">
        <f t="shared" si="33"/>
        <v>-1000</v>
      </c>
      <c r="CO7" s="47">
        <f t="shared" si="33"/>
        <v>-1000</v>
      </c>
      <c r="CP7" s="47">
        <f t="shared" si="33"/>
        <v>-1000</v>
      </c>
      <c r="CQ7" s="47">
        <f t="shared" si="33"/>
        <v>-1000</v>
      </c>
      <c r="CR7" s="47"/>
      <c r="CS7" s="47"/>
      <c r="CT7" s="47"/>
      <c r="CU7" s="50" t="str">
        <f>IFERROR(__xludf.DUMMYFUNCTION("""COMPUTED_VALUE"""),"1126 
Dallas, TX 75203           ")</f>
        <v>1126 
Dallas, TX 75203           </v>
      </c>
      <c r="CV7" s="51">
        <f>IFERROR(__xludf.DUMMYFUNCTION("IF(REGEXMATCH(UPPER(CU7), ""TX""),0,1)"),0.0)</f>
        <v>0</v>
      </c>
      <c r="CW7" s="51">
        <f>IFERROR(__xludf.DUMMYFUNCTION("IF(REGEXMATCH(UPPER(CU7), ""DALLAS""),0,1)"),0.0)</f>
        <v>0</v>
      </c>
      <c r="CX7" s="51">
        <f t="shared" si="17"/>
        <v>0</v>
      </c>
      <c r="CY7" s="51">
        <f t="shared" si="18"/>
        <v>0</v>
      </c>
      <c r="CZ7" s="52" t="str">
        <f t="shared" si="19"/>
        <v/>
      </c>
      <c r="DA7" s="53" t="str">
        <f>IFERROR(__xludf.DUMMYFUNCTION("""COMPUTED_VALUE"""),"airlines PAC
1200 17th Street NW
Washington, DC 20036        ")</f>
        <v>airlines PAC
1200 17th Street NW
Washington, DC 20036        </v>
      </c>
      <c r="DB7" s="52">
        <f t="shared" ref="DB7:DU7" si="34">SUMIFS($AJ:$AJ,$X:$X,$DA7,$AK:$AK,DB$2)</f>
        <v>0</v>
      </c>
      <c r="DC7" s="52">
        <f t="shared" si="34"/>
        <v>0</v>
      </c>
      <c r="DD7" s="52">
        <f t="shared" si="34"/>
        <v>0</v>
      </c>
      <c r="DE7" s="52">
        <f t="shared" si="34"/>
        <v>0</v>
      </c>
      <c r="DF7" s="52">
        <f t="shared" si="34"/>
        <v>2500</v>
      </c>
      <c r="DG7" s="52">
        <f t="shared" si="34"/>
        <v>0</v>
      </c>
      <c r="DH7" s="52">
        <f t="shared" si="34"/>
        <v>0</v>
      </c>
      <c r="DI7" s="52">
        <f t="shared" si="34"/>
        <v>0</v>
      </c>
      <c r="DJ7" s="52">
        <f t="shared" si="34"/>
        <v>0</v>
      </c>
      <c r="DK7" s="52">
        <f t="shared" si="34"/>
        <v>0</v>
      </c>
      <c r="DL7" s="52">
        <f t="shared" si="34"/>
        <v>0</v>
      </c>
      <c r="DM7" s="52">
        <f t="shared" si="34"/>
        <v>0</v>
      </c>
      <c r="DN7" s="52">
        <f t="shared" si="34"/>
        <v>0</v>
      </c>
      <c r="DO7" s="52">
        <f t="shared" si="34"/>
        <v>0</v>
      </c>
      <c r="DP7" s="52">
        <f t="shared" si="34"/>
        <v>0</v>
      </c>
      <c r="DQ7" s="52">
        <f t="shared" si="34"/>
        <v>0</v>
      </c>
      <c r="DR7" s="52">
        <f t="shared" si="34"/>
        <v>0</v>
      </c>
      <c r="DS7" s="52">
        <f t="shared" si="34"/>
        <v>0</v>
      </c>
      <c r="DT7" s="52">
        <f t="shared" si="34"/>
        <v>0</v>
      </c>
      <c r="DU7" s="52">
        <f t="shared" si="34"/>
        <v>0</v>
      </c>
      <c r="DV7" s="52">
        <f t="shared" si="21"/>
        <v>2500</v>
      </c>
      <c r="DW7" s="52">
        <f t="shared" si="22"/>
        <v>1</v>
      </c>
    </row>
    <row r="8">
      <c r="A8" s="23" t="s">
        <v>64</v>
      </c>
      <c r="B8" s="23" t="s">
        <v>56</v>
      </c>
      <c r="C8" s="31" t="s">
        <v>75</v>
      </c>
      <c r="D8" s="25" t="str">
        <f>IFERROR(__xludf.DUMMYFUNCTION("SPLIT(C8,"" "")"),"Abtahi,")</f>
        <v>Abtahi,</v>
      </c>
      <c r="E8" s="22" t="str">
        <f>IFERROR(__xludf.DUMMYFUNCTION("""COMPUTED_VALUE"""),"Robert
1126")</f>
        <v>Robert
1126</v>
      </c>
      <c r="F8" s="22" t="str">
        <f>IFERROR(__xludf.DUMMYFUNCTION("""COMPUTED_VALUE"""),"N")</f>
        <v>N</v>
      </c>
      <c r="G8" s="22" t="str">
        <f>IFERROR(__xludf.DUMMYFUNCTION("""COMPUTED_VALUE"""),"Zang")</f>
        <v>Zang</v>
      </c>
      <c r="H8" s="22" t="str">
        <f>IFERROR(__xludf.DUMMYFUNCTION("""COMPUTED_VALUE"""),"Blvd
Dallas,")</f>
        <v>Blvd
Dallas,</v>
      </c>
      <c r="I8" s="22" t="str">
        <f>IFERROR(__xludf.DUMMYFUNCTION("""COMPUTED_VALUE"""),"TX")</f>
        <v>TX</v>
      </c>
      <c r="J8" s="22">
        <f>IFERROR(__xludf.DUMMYFUNCTION("""COMPUTED_VALUE"""),75203.0)</f>
        <v>75203</v>
      </c>
      <c r="K8" s="22"/>
      <c r="L8" s="22"/>
      <c r="M8" s="22"/>
      <c r="N8" s="22"/>
      <c r="O8" s="22"/>
      <c r="P8" s="22"/>
      <c r="Q8" s="22"/>
      <c r="R8" s="22"/>
      <c r="S8" s="22"/>
      <c r="T8" s="22"/>
      <c r="U8" s="24" t="str">
        <f>IFERROR(__xludf.DUMMYFUNCTION("SPLIT(E8,""01234567890"")"),"Robert
")</f>
        <v>Robert
</v>
      </c>
      <c r="V8" s="24" t="str">
        <f>IFERROR(__xludf.DUMMYFUNCTION("SPLIT(D8,"","")"),"Abtahi")</f>
        <v>Abtahi</v>
      </c>
      <c r="W8" s="25" t="str">
        <f t="shared" si="1"/>
        <v>ROBERT
 ABTAHI</v>
      </c>
      <c r="X8" s="25" t="s">
        <v>76</v>
      </c>
      <c r="Y8" s="25">
        <v>75203.0</v>
      </c>
      <c r="Z8" s="25" t="str">
        <f>IFERROR(__xludf.DUMMYFUNCTION("SPLIT(C8,""
"")"),"Abtahi, Robert")</f>
        <v>Abtahi, Robert</v>
      </c>
      <c r="AA8" s="25" t="str">
        <f>IFERROR(__xludf.DUMMYFUNCTION("""COMPUTED_VALUE"""),"1126 N Zang Blvd")</f>
        <v>1126 N Zang Blvd</v>
      </c>
      <c r="AB8" s="25" t="str">
        <f>IFERROR(__xludf.DUMMYFUNCTION("""COMPUTED_VALUE"""),"Dallas, TX 75203")</f>
        <v>Dallas, TX 75203</v>
      </c>
      <c r="AC8" s="24" t="s">
        <v>77</v>
      </c>
      <c r="AD8" s="25"/>
      <c r="AE8" s="25"/>
      <c r="AF8" s="25"/>
      <c r="AG8" s="22" t="s">
        <v>60</v>
      </c>
      <c r="AH8" s="54">
        <v>2481.0</v>
      </c>
      <c r="AI8" s="22" t="s">
        <v>68</v>
      </c>
      <c r="AJ8" s="27">
        <v>250.0</v>
      </c>
      <c r="AK8" s="31" t="s">
        <v>25</v>
      </c>
      <c r="AL8" s="28">
        <v>44839.0</v>
      </c>
      <c r="AM8" s="29">
        <v>44937.81995370371</v>
      </c>
      <c r="AN8" s="30">
        <v>2.0</v>
      </c>
      <c r="AO8" s="22"/>
      <c r="AP8" s="22"/>
      <c r="AQ8" s="22"/>
      <c r="AR8" s="22"/>
      <c r="AS8" s="31">
        <f>IFERROR(__xludf.DUMMYFUNCTION("""COMPUTED_VALUE"""),75270.0)</f>
        <v>75270</v>
      </c>
      <c r="AT8" s="45">
        <f t="shared" si="6"/>
        <v>50</v>
      </c>
      <c r="AU8" s="22"/>
      <c r="AV8" s="57" t="str">
        <f>IFERROR(__xludf.DUMMYFUNCTION("""COMPUTED_VALUE"""),"Adams")</f>
        <v>Adams</v>
      </c>
      <c r="AW8" s="46">
        <f t="shared" si="7"/>
        <v>6050</v>
      </c>
      <c r="AX8" s="47">
        <f t="shared" ref="AX8:BQ8" si="35">SUMIFS($AJ:$AJ,$V:$V,$AV8,$AK:$AK,AX$2)</f>
        <v>0</v>
      </c>
      <c r="AY8" s="48">
        <f t="shared" si="35"/>
        <v>0</v>
      </c>
      <c r="AZ8" s="48">
        <f t="shared" si="35"/>
        <v>0</v>
      </c>
      <c r="BA8" s="48">
        <f t="shared" si="35"/>
        <v>0</v>
      </c>
      <c r="BB8" s="48">
        <f t="shared" si="35"/>
        <v>5000</v>
      </c>
      <c r="BC8" s="48">
        <f t="shared" si="35"/>
        <v>1000</v>
      </c>
      <c r="BD8" s="48">
        <f t="shared" si="35"/>
        <v>50</v>
      </c>
      <c r="BE8" s="48">
        <f t="shared" si="35"/>
        <v>0</v>
      </c>
      <c r="BF8" s="48">
        <f t="shared" si="35"/>
        <v>0</v>
      </c>
      <c r="BG8" s="48">
        <f t="shared" si="35"/>
        <v>0</v>
      </c>
      <c r="BH8" s="48">
        <f t="shared" si="35"/>
        <v>0</v>
      </c>
      <c r="BI8" s="48">
        <f t="shared" si="35"/>
        <v>0</v>
      </c>
      <c r="BJ8" s="48">
        <f t="shared" si="35"/>
        <v>0</v>
      </c>
      <c r="BK8" s="48">
        <f t="shared" si="35"/>
        <v>0</v>
      </c>
      <c r="BL8" s="48">
        <f t="shared" si="35"/>
        <v>0</v>
      </c>
      <c r="BM8" s="48">
        <f t="shared" si="35"/>
        <v>0</v>
      </c>
      <c r="BN8" s="48">
        <f t="shared" si="35"/>
        <v>0</v>
      </c>
      <c r="BO8" s="48">
        <f t="shared" si="35"/>
        <v>0</v>
      </c>
      <c r="BP8" s="48">
        <f t="shared" si="35"/>
        <v>0</v>
      </c>
      <c r="BQ8" s="48">
        <f t="shared" si="35"/>
        <v>0</v>
      </c>
      <c r="BR8" s="36">
        <f t="shared" si="9"/>
        <v>1</v>
      </c>
      <c r="BS8" s="38">
        <f t="shared" si="10"/>
        <v>3</v>
      </c>
      <c r="BT8" s="49">
        <f t="shared" si="11"/>
        <v>0</v>
      </c>
      <c r="BU8" s="38">
        <f t="shared" si="12"/>
        <v>3000</v>
      </c>
      <c r="BV8" s="57" t="str">
        <f>IFERROR(__xludf.DUMMYFUNCTION("""COMPUTED_VALUE"""),"Adams")</f>
        <v>Adams</v>
      </c>
      <c r="BW8" s="46">
        <f t="shared" si="13"/>
        <v>6050</v>
      </c>
      <c r="BX8" s="47">
        <f t="shared" ref="BX8:CA8" si="36">AX8-$BU8</f>
        <v>-3000</v>
      </c>
      <c r="BY8" s="47">
        <f t="shared" si="36"/>
        <v>-3000</v>
      </c>
      <c r="BZ8" s="47">
        <f t="shared" si="36"/>
        <v>-3000</v>
      </c>
      <c r="CA8" s="47">
        <f t="shared" si="36"/>
        <v>-3000</v>
      </c>
      <c r="CB8" s="47">
        <f t="shared" si="15"/>
        <v>-25000</v>
      </c>
      <c r="CC8" s="47">
        <f t="shared" ref="CC8:CQ8" si="37">BC8-$BU8</f>
        <v>-2000</v>
      </c>
      <c r="CD8" s="47">
        <f t="shared" si="37"/>
        <v>-2950</v>
      </c>
      <c r="CE8" s="47">
        <f t="shared" si="37"/>
        <v>-3000</v>
      </c>
      <c r="CF8" s="47">
        <f t="shared" si="37"/>
        <v>-3000</v>
      </c>
      <c r="CG8" s="47">
        <f t="shared" si="37"/>
        <v>-3000</v>
      </c>
      <c r="CH8" s="47">
        <f t="shared" si="37"/>
        <v>-3000</v>
      </c>
      <c r="CI8" s="47">
        <f t="shared" si="37"/>
        <v>-3000</v>
      </c>
      <c r="CJ8" s="47">
        <f t="shared" si="37"/>
        <v>-3000</v>
      </c>
      <c r="CK8" s="47">
        <f t="shared" si="37"/>
        <v>-3000</v>
      </c>
      <c r="CL8" s="47">
        <f t="shared" si="37"/>
        <v>-3000</v>
      </c>
      <c r="CM8" s="47">
        <f t="shared" si="37"/>
        <v>-3000</v>
      </c>
      <c r="CN8" s="47">
        <f t="shared" si="37"/>
        <v>-3000</v>
      </c>
      <c r="CO8" s="47">
        <f t="shared" si="37"/>
        <v>-3000</v>
      </c>
      <c r="CP8" s="47">
        <f t="shared" si="37"/>
        <v>-3000</v>
      </c>
      <c r="CQ8" s="47">
        <f t="shared" si="37"/>
        <v>-3000</v>
      </c>
      <c r="CR8" s="47"/>
      <c r="CS8" s="47"/>
      <c r="CT8" s="47"/>
      <c r="CU8" s="50" t="str">
        <f>IFERROR(__xludf.DUMMYFUNCTION("""COMPUTED_VALUE"""),"1126 N Zang Blvd
Dallas, TX 75203         ")</f>
        <v>1126 N Zang Blvd
Dallas, TX 75203         </v>
      </c>
      <c r="CV8" s="51">
        <f>IFERROR(__xludf.DUMMYFUNCTION("IF(REGEXMATCH(UPPER(CU8), ""TX""),0,1)"),0.0)</f>
        <v>0</v>
      </c>
      <c r="CW8" s="51">
        <f>IFERROR(__xludf.DUMMYFUNCTION("IF(REGEXMATCH(UPPER(CU8), ""DALLAS""),0,1)"),0.0)</f>
        <v>0</v>
      </c>
      <c r="CX8" s="51">
        <f t="shared" si="17"/>
        <v>0</v>
      </c>
      <c r="CY8" s="51">
        <f t="shared" si="18"/>
        <v>0</v>
      </c>
      <c r="CZ8" s="52" t="str">
        <f t="shared" si="19"/>
        <v/>
      </c>
      <c r="DA8" s="53" t="str">
        <f>IFERROR(__xludf.DUMMYFUNCTION("""COMPUTED_VALUE"""),"3700 N Capital of TX Hwy
Austin, TX 78746       ")</f>
        <v>3700 N Capital of TX Hwy
Austin, TX 78746       </v>
      </c>
      <c r="DB8" s="52">
        <f t="shared" ref="DB8:DU8" si="38">SUMIFS($AJ:$AJ,$X:$X,$DA8,$AK:$AK,DB$2)</f>
        <v>0</v>
      </c>
      <c r="DC8" s="52">
        <f t="shared" si="38"/>
        <v>0</v>
      </c>
      <c r="DD8" s="52">
        <f t="shared" si="38"/>
        <v>0</v>
      </c>
      <c r="DE8" s="52">
        <f t="shared" si="38"/>
        <v>0</v>
      </c>
      <c r="DF8" s="52">
        <f t="shared" si="38"/>
        <v>1000</v>
      </c>
      <c r="DG8" s="52">
        <f t="shared" si="38"/>
        <v>0</v>
      </c>
      <c r="DH8" s="52">
        <f t="shared" si="38"/>
        <v>0</v>
      </c>
      <c r="DI8" s="52">
        <f t="shared" si="38"/>
        <v>0</v>
      </c>
      <c r="DJ8" s="52">
        <f t="shared" si="38"/>
        <v>0</v>
      </c>
      <c r="DK8" s="52">
        <f t="shared" si="38"/>
        <v>0</v>
      </c>
      <c r="DL8" s="52">
        <f t="shared" si="38"/>
        <v>0</v>
      </c>
      <c r="DM8" s="52">
        <f t="shared" si="38"/>
        <v>0</v>
      </c>
      <c r="DN8" s="52">
        <f t="shared" si="38"/>
        <v>0</v>
      </c>
      <c r="DO8" s="52">
        <f t="shared" si="38"/>
        <v>0</v>
      </c>
      <c r="DP8" s="52">
        <f t="shared" si="38"/>
        <v>0</v>
      </c>
      <c r="DQ8" s="52">
        <f t="shared" si="38"/>
        <v>0</v>
      </c>
      <c r="DR8" s="52">
        <f t="shared" si="38"/>
        <v>0</v>
      </c>
      <c r="DS8" s="52">
        <f t="shared" si="38"/>
        <v>0</v>
      </c>
      <c r="DT8" s="52">
        <f t="shared" si="38"/>
        <v>0</v>
      </c>
      <c r="DU8" s="52">
        <f t="shared" si="38"/>
        <v>0</v>
      </c>
      <c r="DV8" s="52">
        <f t="shared" si="21"/>
        <v>1000</v>
      </c>
      <c r="DW8" s="52">
        <f t="shared" si="22"/>
        <v>1</v>
      </c>
    </row>
    <row r="9">
      <c r="A9" s="41" t="s">
        <v>64</v>
      </c>
      <c r="B9" s="41" t="s">
        <v>56</v>
      </c>
      <c r="C9" s="31" t="s">
        <v>78</v>
      </c>
      <c r="D9" s="25" t="str">
        <f>IFERROR(__xludf.DUMMYFUNCTION("SPLIT(C9,"" "")"),"Abtahi,")</f>
        <v>Abtahi,</v>
      </c>
      <c r="E9" s="40" t="str">
        <f>IFERROR(__xludf.DUMMYFUNCTION("""COMPUTED_VALUE"""),"Robert
1126")</f>
        <v>Robert
1126</v>
      </c>
      <c r="F9" s="40" t="str">
        <f>IFERROR(__xludf.DUMMYFUNCTION("""COMPUTED_VALUE"""),"N.")</f>
        <v>N.</v>
      </c>
      <c r="G9" s="40" t="str">
        <f>IFERROR(__xludf.DUMMYFUNCTION("""COMPUTED_VALUE"""),"Zang
Dallas,")</f>
        <v>Zang
Dallas,</v>
      </c>
      <c r="H9" s="40" t="str">
        <f>IFERROR(__xludf.DUMMYFUNCTION("""COMPUTED_VALUE"""),"TX")</f>
        <v>TX</v>
      </c>
      <c r="I9" s="40">
        <f>IFERROR(__xludf.DUMMYFUNCTION("""COMPUTED_VALUE"""),75203.0)</f>
        <v>75203</v>
      </c>
      <c r="J9" s="40"/>
      <c r="K9" s="40"/>
      <c r="L9" s="40"/>
      <c r="M9" s="40"/>
      <c r="N9" s="40"/>
      <c r="O9" s="40"/>
      <c r="P9" s="40"/>
      <c r="Q9" s="40"/>
      <c r="R9" s="40"/>
      <c r="S9" s="40"/>
      <c r="T9" s="40"/>
      <c r="U9" s="24" t="str">
        <f>IFERROR(__xludf.DUMMYFUNCTION("SPLIT(E9,""01234567890"")"),"Robert
")</f>
        <v>Robert
</v>
      </c>
      <c r="V9" s="24" t="str">
        <f>IFERROR(__xludf.DUMMYFUNCTION("SPLIT(D9,"","")"),"Abtahi")</f>
        <v>Abtahi</v>
      </c>
      <c r="W9" s="25" t="str">
        <f t="shared" si="1"/>
        <v>ROBERT
 ABTAHI</v>
      </c>
      <c r="X9" s="25" t="s">
        <v>79</v>
      </c>
      <c r="Y9" s="25">
        <v>75203.0</v>
      </c>
      <c r="Z9" s="25" t="str">
        <f>IFERROR(__xludf.DUMMYFUNCTION("SPLIT(C9,""
"")"),"Abtahi, Robert")</f>
        <v>Abtahi, Robert</v>
      </c>
      <c r="AA9" s="25" t="str">
        <f>IFERROR(__xludf.DUMMYFUNCTION("""COMPUTED_VALUE"""),"1126 N. Zang")</f>
        <v>1126 N. Zang</v>
      </c>
      <c r="AB9" s="25" t="str">
        <f>IFERROR(__xludf.DUMMYFUNCTION("""COMPUTED_VALUE"""),"Dallas, TX 75203")</f>
        <v>Dallas, TX 75203</v>
      </c>
      <c r="AC9" s="24" t="s">
        <v>77</v>
      </c>
      <c r="AD9" s="25"/>
      <c r="AE9" s="25"/>
      <c r="AF9" s="25"/>
      <c r="AG9" s="40" t="s">
        <v>60</v>
      </c>
      <c r="AH9" s="42">
        <v>2441.0</v>
      </c>
      <c r="AI9" s="40" t="s">
        <v>61</v>
      </c>
      <c r="AJ9" s="27">
        <v>950.0</v>
      </c>
      <c r="AK9" s="31" t="s">
        <v>21</v>
      </c>
      <c r="AL9" s="43">
        <v>44718.0</v>
      </c>
      <c r="AM9" s="44">
        <v>44756.4640625</v>
      </c>
      <c r="AN9" s="30">
        <v>2.0</v>
      </c>
      <c r="AO9" s="40"/>
      <c r="AP9" s="40"/>
      <c r="AQ9" s="40"/>
      <c r="AR9" s="40"/>
      <c r="AS9" s="31">
        <f>IFERROR(__xludf.DUMMYFUNCTION("""COMPUTED_VALUE"""),75238.0)</f>
        <v>75238</v>
      </c>
      <c r="AT9" s="45">
        <f t="shared" si="6"/>
        <v>16850</v>
      </c>
      <c r="AU9" s="40"/>
      <c r="AV9" s="46" t="str">
        <f>IFERROR(__xludf.DUMMYFUNCTION("""COMPUTED_VALUE"""),"Addy")</f>
        <v>Addy</v>
      </c>
      <c r="AW9" s="46">
        <f t="shared" si="7"/>
        <v>18000</v>
      </c>
      <c r="AX9" s="47">
        <f t="shared" ref="AX9:BQ9" si="39">SUMIFS($AJ:$AJ,$V:$V,$AV9,$AK:$AK,AX$2)</f>
        <v>3000</v>
      </c>
      <c r="AY9" s="48">
        <f t="shared" si="39"/>
        <v>0</v>
      </c>
      <c r="AZ9" s="48">
        <f t="shared" si="39"/>
        <v>3000</v>
      </c>
      <c r="BA9" s="48">
        <f t="shared" si="39"/>
        <v>0</v>
      </c>
      <c r="BB9" s="48">
        <f t="shared" si="39"/>
        <v>0</v>
      </c>
      <c r="BC9" s="48">
        <f t="shared" si="39"/>
        <v>0</v>
      </c>
      <c r="BD9" s="48">
        <f t="shared" si="39"/>
        <v>2000</v>
      </c>
      <c r="BE9" s="48">
        <f t="shared" si="39"/>
        <v>8000</v>
      </c>
      <c r="BF9" s="48">
        <f t="shared" si="39"/>
        <v>2000</v>
      </c>
      <c r="BG9" s="48">
        <f t="shared" si="39"/>
        <v>0</v>
      </c>
      <c r="BH9" s="48">
        <f t="shared" si="39"/>
        <v>0</v>
      </c>
      <c r="BI9" s="48">
        <f t="shared" si="39"/>
        <v>0</v>
      </c>
      <c r="BJ9" s="48">
        <f t="shared" si="39"/>
        <v>0</v>
      </c>
      <c r="BK9" s="48">
        <f t="shared" si="39"/>
        <v>0</v>
      </c>
      <c r="BL9" s="48">
        <f t="shared" si="39"/>
        <v>0</v>
      </c>
      <c r="BM9" s="48">
        <f t="shared" si="39"/>
        <v>0</v>
      </c>
      <c r="BN9" s="48">
        <f t="shared" si="39"/>
        <v>0</v>
      </c>
      <c r="BO9" s="48">
        <f t="shared" si="39"/>
        <v>0</v>
      </c>
      <c r="BP9" s="48">
        <f t="shared" si="39"/>
        <v>0</v>
      </c>
      <c r="BQ9" s="48">
        <f t="shared" si="39"/>
        <v>0</v>
      </c>
      <c r="BR9" s="36">
        <f t="shared" si="9"/>
        <v>1</v>
      </c>
      <c r="BS9" s="38">
        <f t="shared" si="10"/>
        <v>2</v>
      </c>
      <c r="BT9" s="49">
        <f t="shared" si="11"/>
        <v>0</v>
      </c>
      <c r="BU9" s="38">
        <f t="shared" si="12"/>
        <v>2000</v>
      </c>
      <c r="BV9" s="46" t="str">
        <f>IFERROR(__xludf.DUMMYFUNCTION("""COMPUTED_VALUE"""),"Addy")</f>
        <v>Addy</v>
      </c>
      <c r="BW9" s="46">
        <f t="shared" si="13"/>
        <v>18000</v>
      </c>
      <c r="BX9" s="47">
        <f t="shared" ref="BX9:CA9" si="40">AX9-$BU9</f>
        <v>1000</v>
      </c>
      <c r="BY9" s="47">
        <f t="shared" si="40"/>
        <v>-2000</v>
      </c>
      <c r="BZ9" s="47">
        <f t="shared" si="40"/>
        <v>1000</v>
      </c>
      <c r="CA9" s="47">
        <f t="shared" si="40"/>
        <v>-2000</v>
      </c>
      <c r="CB9" s="47">
        <f t="shared" si="15"/>
        <v>-20000</v>
      </c>
      <c r="CC9" s="47">
        <f t="shared" ref="CC9:CQ9" si="41">BC9-$BU9</f>
        <v>-2000</v>
      </c>
      <c r="CD9" s="47">
        <f t="shared" si="41"/>
        <v>0</v>
      </c>
      <c r="CE9" s="47">
        <f t="shared" si="41"/>
        <v>6000</v>
      </c>
      <c r="CF9" s="47">
        <f t="shared" si="41"/>
        <v>0</v>
      </c>
      <c r="CG9" s="47">
        <f t="shared" si="41"/>
        <v>-2000</v>
      </c>
      <c r="CH9" s="47">
        <f t="shared" si="41"/>
        <v>-2000</v>
      </c>
      <c r="CI9" s="47">
        <f t="shared" si="41"/>
        <v>-2000</v>
      </c>
      <c r="CJ9" s="47">
        <f t="shared" si="41"/>
        <v>-2000</v>
      </c>
      <c r="CK9" s="47">
        <f t="shared" si="41"/>
        <v>-2000</v>
      </c>
      <c r="CL9" s="47">
        <f t="shared" si="41"/>
        <v>-2000</v>
      </c>
      <c r="CM9" s="47">
        <f t="shared" si="41"/>
        <v>-2000</v>
      </c>
      <c r="CN9" s="47">
        <f t="shared" si="41"/>
        <v>-2000</v>
      </c>
      <c r="CO9" s="47">
        <f t="shared" si="41"/>
        <v>-2000</v>
      </c>
      <c r="CP9" s="47">
        <f t="shared" si="41"/>
        <v>-2000</v>
      </c>
      <c r="CQ9" s="47">
        <f t="shared" si="41"/>
        <v>-2000</v>
      </c>
      <c r="CR9" s="47"/>
      <c r="CS9" s="47"/>
      <c r="CT9" s="47"/>
      <c r="CU9" s="50" t="str">
        <f>IFERROR(__xludf.DUMMYFUNCTION("""COMPUTED_VALUE"""),"1126 N. Zang
Dallas, TX 75203          ")</f>
        <v>1126 N. Zang
Dallas, TX 75203          </v>
      </c>
      <c r="CV9" s="51">
        <f>IFERROR(__xludf.DUMMYFUNCTION("IF(REGEXMATCH(UPPER(CU9), ""TX""),0,1)"),0.0)</f>
        <v>0</v>
      </c>
      <c r="CW9" s="51">
        <f>IFERROR(__xludf.DUMMYFUNCTION("IF(REGEXMATCH(UPPER(CU9), ""DALLAS""),0,1)"),0.0)</f>
        <v>0</v>
      </c>
      <c r="CX9" s="51">
        <f t="shared" si="17"/>
        <v>0</v>
      </c>
      <c r="CY9" s="51">
        <f t="shared" si="18"/>
        <v>0</v>
      </c>
      <c r="CZ9" s="52" t="str">
        <f t="shared" si="19"/>
        <v/>
      </c>
      <c r="DA9" s="53" t="str">
        <f>IFERROR(__xludf.DUMMYFUNCTION("""COMPUTED_VALUE"""),"657 Knights Way
Coppell, TX 75019          ")</f>
        <v>657 Knights Way
Coppell, TX 75019          </v>
      </c>
      <c r="DB9" s="52">
        <f t="shared" ref="DB9:DU9" si="42">SUMIFS($AJ:$AJ,$X:$X,$DA9,$AK:$AK,DB$2)</f>
        <v>0</v>
      </c>
      <c r="DC9" s="52">
        <f t="shared" si="42"/>
        <v>0</v>
      </c>
      <c r="DD9" s="52">
        <f t="shared" si="42"/>
        <v>0</v>
      </c>
      <c r="DE9" s="52">
        <f t="shared" si="42"/>
        <v>0</v>
      </c>
      <c r="DF9" s="52">
        <f t="shared" si="42"/>
        <v>500</v>
      </c>
      <c r="DG9" s="52">
        <f t="shared" si="42"/>
        <v>0</v>
      </c>
      <c r="DH9" s="52">
        <f t="shared" si="42"/>
        <v>0</v>
      </c>
      <c r="DI9" s="52">
        <f t="shared" si="42"/>
        <v>0</v>
      </c>
      <c r="DJ9" s="52">
        <f t="shared" si="42"/>
        <v>0</v>
      </c>
      <c r="DK9" s="52">
        <f t="shared" si="42"/>
        <v>0</v>
      </c>
      <c r="DL9" s="52">
        <f t="shared" si="42"/>
        <v>0</v>
      </c>
      <c r="DM9" s="52">
        <f t="shared" si="42"/>
        <v>0</v>
      </c>
      <c r="DN9" s="52">
        <f t="shared" si="42"/>
        <v>0</v>
      </c>
      <c r="DO9" s="52">
        <f t="shared" si="42"/>
        <v>0</v>
      </c>
      <c r="DP9" s="52">
        <f t="shared" si="42"/>
        <v>0</v>
      </c>
      <c r="DQ9" s="52">
        <f t="shared" si="42"/>
        <v>0</v>
      </c>
      <c r="DR9" s="52">
        <f t="shared" si="42"/>
        <v>0</v>
      </c>
      <c r="DS9" s="52">
        <f t="shared" si="42"/>
        <v>0</v>
      </c>
      <c r="DT9" s="52">
        <f t="shared" si="42"/>
        <v>0</v>
      </c>
      <c r="DU9" s="52">
        <f t="shared" si="42"/>
        <v>0</v>
      </c>
      <c r="DV9" s="52">
        <f t="shared" si="21"/>
        <v>500</v>
      </c>
      <c r="DW9" s="52">
        <f t="shared" si="22"/>
        <v>1</v>
      </c>
    </row>
    <row r="10">
      <c r="A10" s="23" t="s">
        <v>64</v>
      </c>
      <c r="B10" s="23" t="s">
        <v>56</v>
      </c>
      <c r="C10" s="31" t="s">
        <v>80</v>
      </c>
      <c r="D10" s="25" t="str">
        <f>IFERROR(__xludf.DUMMYFUNCTION("SPLIT(C10,"" "")"),"Abtahi,")</f>
        <v>Abtahi,</v>
      </c>
      <c r="E10" s="22" t="str">
        <f>IFERROR(__xludf.DUMMYFUNCTION("""COMPUTED_VALUE"""),"Robert
1126")</f>
        <v>Robert
1126</v>
      </c>
      <c r="F10" s="22" t="str">
        <f>IFERROR(__xludf.DUMMYFUNCTION("""COMPUTED_VALUE"""),"North")</f>
        <v>North</v>
      </c>
      <c r="G10" s="22" t="str">
        <f>IFERROR(__xludf.DUMMYFUNCTION("""COMPUTED_VALUE"""),"Zang")</f>
        <v>Zang</v>
      </c>
      <c r="H10" s="22" t="str">
        <f>IFERROR(__xludf.DUMMYFUNCTION("""COMPUTED_VALUE"""),"Boulevard
Dallas,")</f>
        <v>Boulevard
Dallas,</v>
      </c>
      <c r="I10" s="22" t="str">
        <f>IFERROR(__xludf.DUMMYFUNCTION("""COMPUTED_VALUE"""),"TX")</f>
        <v>TX</v>
      </c>
      <c r="J10" s="22">
        <f>IFERROR(__xludf.DUMMYFUNCTION("""COMPUTED_VALUE"""),75203.0)</f>
        <v>75203</v>
      </c>
      <c r="K10" s="22"/>
      <c r="L10" s="22"/>
      <c r="M10" s="22"/>
      <c r="N10" s="22"/>
      <c r="O10" s="22"/>
      <c r="P10" s="22"/>
      <c r="Q10" s="22"/>
      <c r="R10" s="22"/>
      <c r="S10" s="22"/>
      <c r="T10" s="22"/>
      <c r="U10" s="24" t="str">
        <f>IFERROR(__xludf.DUMMYFUNCTION("SPLIT(E10,""01234567890"")"),"Robert
")</f>
        <v>Robert
</v>
      </c>
      <c r="V10" s="24" t="str">
        <f>IFERROR(__xludf.DUMMYFUNCTION("SPLIT(D10,"","")"),"Abtahi")</f>
        <v>Abtahi</v>
      </c>
      <c r="W10" s="25" t="str">
        <f t="shared" si="1"/>
        <v>ROBERT
 ABTAHI</v>
      </c>
      <c r="X10" s="25" t="s">
        <v>81</v>
      </c>
      <c r="Y10" s="25">
        <v>75203.0</v>
      </c>
      <c r="Z10" s="25" t="str">
        <f>IFERROR(__xludf.DUMMYFUNCTION("SPLIT(C10,""
"")"),"Abtahi, Robert")</f>
        <v>Abtahi, Robert</v>
      </c>
      <c r="AA10" s="25" t="str">
        <f>IFERROR(__xludf.DUMMYFUNCTION("""COMPUTED_VALUE"""),"1126 North Zang Boulevard")</f>
        <v>1126 North Zang Boulevard</v>
      </c>
      <c r="AB10" s="25" t="str">
        <f>IFERROR(__xludf.DUMMYFUNCTION("""COMPUTED_VALUE"""),"Dallas, TX 75203")</f>
        <v>Dallas, TX 75203</v>
      </c>
      <c r="AC10" s="24" t="s">
        <v>77</v>
      </c>
      <c r="AD10" s="25"/>
      <c r="AE10" s="25"/>
      <c r="AF10" s="25"/>
      <c r="AG10" s="22" t="s">
        <v>60</v>
      </c>
      <c r="AH10" s="54">
        <v>2486.0</v>
      </c>
      <c r="AI10" s="22" t="s">
        <v>68</v>
      </c>
      <c r="AJ10" s="27">
        <v>100.0</v>
      </c>
      <c r="AK10" s="31" t="s">
        <v>24</v>
      </c>
      <c r="AL10" s="28">
        <v>44852.0</v>
      </c>
      <c r="AM10" s="29">
        <v>44942.42989583333</v>
      </c>
      <c r="AN10" s="30">
        <v>2.0</v>
      </c>
      <c r="AO10" s="22"/>
      <c r="AP10" s="22"/>
      <c r="AQ10" s="22"/>
      <c r="AR10" s="22"/>
      <c r="AS10" s="31">
        <f>IFERROR(__xludf.DUMMYFUNCTION("""COMPUTED_VALUE"""),75205.0)</f>
        <v>75205</v>
      </c>
      <c r="AT10" s="45">
        <f t="shared" si="6"/>
        <v>46900</v>
      </c>
      <c r="AU10" s="22"/>
      <c r="AV10" s="57" t="str">
        <f>IFERROR(__xludf.DUMMYFUNCTION("""COMPUTED_VALUE"""),"Afkhami")</f>
        <v>Afkhami</v>
      </c>
      <c r="AW10" s="46">
        <f t="shared" si="7"/>
        <v>200</v>
      </c>
      <c r="AX10" s="47">
        <f t="shared" ref="AX10:BQ10" si="43">SUMIFS($AJ:$AJ,$V:$V,$AV10,$AK:$AK,AX$2)</f>
        <v>0</v>
      </c>
      <c r="AY10" s="48">
        <f t="shared" si="43"/>
        <v>0</v>
      </c>
      <c r="AZ10" s="48">
        <f t="shared" si="43"/>
        <v>0</v>
      </c>
      <c r="BA10" s="48">
        <f t="shared" si="43"/>
        <v>0</v>
      </c>
      <c r="BB10" s="48">
        <f t="shared" si="43"/>
        <v>0</v>
      </c>
      <c r="BC10" s="48">
        <f t="shared" si="43"/>
        <v>200</v>
      </c>
      <c r="BD10" s="48">
        <f t="shared" si="43"/>
        <v>0</v>
      </c>
      <c r="BE10" s="48">
        <f t="shared" si="43"/>
        <v>0</v>
      </c>
      <c r="BF10" s="48">
        <f t="shared" si="43"/>
        <v>0</v>
      </c>
      <c r="BG10" s="48">
        <f t="shared" si="43"/>
        <v>0</v>
      </c>
      <c r="BH10" s="48">
        <f t="shared" si="43"/>
        <v>0</v>
      </c>
      <c r="BI10" s="48">
        <f t="shared" si="43"/>
        <v>0</v>
      </c>
      <c r="BJ10" s="48">
        <f t="shared" si="43"/>
        <v>0</v>
      </c>
      <c r="BK10" s="48">
        <f t="shared" si="43"/>
        <v>0</v>
      </c>
      <c r="BL10" s="48">
        <f t="shared" si="43"/>
        <v>0</v>
      </c>
      <c r="BM10" s="48">
        <f t="shared" si="43"/>
        <v>0</v>
      </c>
      <c r="BN10" s="48">
        <f t="shared" si="43"/>
        <v>0</v>
      </c>
      <c r="BO10" s="48">
        <f t="shared" si="43"/>
        <v>0</v>
      </c>
      <c r="BP10" s="48">
        <f t="shared" si="43"/>
        <v>0</v>
      </c>
      <c r="BQ10" s="48">
        <f t="shared" si="43"/>
        <v>0</v>
      </c>
      <c r="BR10" s="36">
        <f t="shared" si="9"/>
        <v>1</v>
      </c>
      <c r="BS10" s="38">
        <f t="shared" si="10"/>
        <v>2</v>
      </c>
      <c r="BT10" s="49">
        <f t="shared" si="11"/>
        <v>0</v>
      </c>
      <c r="BU10" s="38">
        <f t="shared" si="12"/>
        <v>2000</v>
      </c>
      <c r="BV10" s="57" t="str">
        <f>IFERROR(__xludf.DUMMYFUNCTION("""COMPUTED_VALUE"""),"Afkhami")</f>
        <v>Afkhami</v>
      </c>
      <c r="BW10" s="46">
        <f t="shared" si="13"/>
        <v>200</v>
      </c>
      <c r="BX10" s="47">
        <f t="shared" ref="BX10:CA10" si="44">AX10-$BU10</f>
        <v>-2000</v>
      </c>
      <c r="BY10" s="47">
        <f t="shared" si="44"/>
        <v>-2000</v>
      </c>
      <c r="BZ10" s="47">
        <f t="shared" si="44"/>
        <v>-2000</v>
      </c>
      <c r="CA10" s="47">
        <f t="shared" si="44"/>
        <v>-2000</v>
      </c>
      <c r="CB10" s="47">
        <f t="shared" si="15"/>
        <v>-20000</v>
      </c>
      <c r="CC10" s="47">
        <f t="shared" ref="CC10:CQ10" si="45">BC10-$BU10</f>
        <v>-1800</v>
      </c>
      <c r="CD10" s="47">
        <f t="shared" si="45"/>
        <v>-2000</v>
      </c>
      <c r="CE10" s="47">
        <f t="shared" si="45"/>
        <v>-2000</v>
      </c>
      <c r="CF10" s="47">
        <f t="shared" si="45"/>
        <v>-2000</v>
      </c>
      <c r="CG10" s="47">
        <f t="shared" si="45"/>
        <v>-2000</v>
      </c>
      <c r="CH10" s="47">
        <f t="shared" si="45"/>
        <v>-2000</v>
      </c>
      <c r="CI10" s="47">
        <f t="shared" si="45"/>
        <v>-2000</v>
      </c>
      <c r="CJ10" s="47">
        <f t="shared" si="45"/>
        <v>-2000</v>
      </c>
      <c r="CK10" s="47">
        <f t="shared" si="45"/>
        <v>-2000</v>
      </c>
      <c r="CL10" s="47">
        <f t="shared" si="45"/>
        <v>-2000</v>
      </c>
      <c r="CM10" s="47">
        <f t="shared" si="45"/>
        <v>-2000</v>
      </c>
      <c r="CN10" s="47">
        <f t="shared" si="45"/>
        <v>-2000</v>
      </c>
      <c r="CO10" s="47">
        <f t="shared" si="45"/>
        <v>-2000</v>
      </c>
      <c r="CP10" s="47">
        <f t="shared" si="45"/>
        <v>-2000</v>
      </c>
      <c r="CQ10" s="47">
        <f t="shared" si="45"/>
        <v>-2000</v>
      </c>
      <c r="CR10" s="47"/>
      <c r="CS10" s="47"/>
      <c r="CT10" s="47"/>
      <c r="CU10" s="50" t="str">
        <f>IFERROR(__xludf.DUMMYFUNCTION("""COMPUTED_VALUE"""),"1126 North Zang Boulevard
Dallas, TX 75203         ")</f>
        <v>1126 North Zang Boulevard
Dallas, TX 75203         </v>
      </c>
      <c r="CV10" s="51">
        <f>IFERROR(__xludf.DUMMYFUNCTION("IF(REGEXMATCH(UPPER(CU10), ""TX""),0,1)"),0.0)</f>
        <v>0</v>
      </c>
      <c r="CW10" s="51">
        <f>IFERROR(__xludf.DUMMYFUNCTION("IF(REGEXMATCH(UPPER(CU10), ""DALLAS""),0,1)"),0.0)</f>
        <v>0</v>
      </c>
      <c r="CX10" s="51">
        <f t="shared" si="17"/>
        <v>0</v>
      </c>
      <c r="CY10" s="51">
        <f t="shared" si="18"/>
        <v>0</v>
      </c>
      <c r="CZ10" s="52" t="str">
        <f t="shared" si="19"/>
        <v/>
      </c>
      <c r="DA10" s="53" t="str">
        <f>IFERROR(__xludf.DUMMYFUNCTION("""COMPUTED_VALUE"""),"1507 Stonehedge Bend Dr.
Houston, TX 77073         ")</f>
        <v>1507 Stonehedge Bend Dr.
Houston, TX 77073         </v>
      </c>
      <c r="DB10" s="52">
        <f t="shared" ref="DB10:DU10" si="46">SUMIFS($AJ:$AJ,$X:$X,$DA10,$AK:$AK,DB$2)</f>
        <v>0</v>
      </c>
      <c r="DC10" s="52">
        <f t="shared" si="46"/>
        <v>0</v>
      </c>
      <c r="DD10" s="52">
        <f t="shared" si="46"/>
        <v>0</v>
      </c>
      <c r="DE10" s="52">
        <f t="shared" si="46"/>
        <v>0</v>
      </c>
      <c r="DF10" s="52">
        <f t="shared" si="46"/>
        <v>0</v>
      </c>
      <c r="DG10" s="52">
        <f t="shared" si="46"/>
        <v>0</v>
      </c>
      <c r="DH10" s="52">
        <f t="shared" si="46"/>
        <v>0</v>
      </c>
      <c r="DI10" s="52">
        <f t="shared" si="46"/>
        <v>0</v>
      </c>
      <c r="DJ10" s="52">
        <f t="shared" si="46"/>
        <v>0</v>
      </c>
      <c r="DK10" s="52">
        <f t="shared" si="46"/>
        <v>0</v>
      </c>
      <c r="DL10" s="52">
        <f t="shared" si="46"/>
        <v>0</v>
      </c>
      <c r="DM10" s="52">
        <f t="shared" si="46"/>
        <v>0</v>
      </c>
      <c r="DN10" s="52">
        <f t="shared" si="46"/>
        <v>1000</v>
      </c>
      <c r="DO10" s="52">
        <f t="shared" si="46"/>
        <v>0</v>
      </c>
      <c r="DP10" s="52">
        <f t="shared" si="46"/>
        <v>0</v>
      </c>
      <c r="DQ10" s="52">
        <f t="shared" si="46"/>
        <v>0</v>
      </c>
      <c r="DR10" s="52">
        <f t="shared" si="46"/>
        <v>0</v>
      </c>
      <c r="DS10" s="52">
        <f t="shared" si="46"/>
        <v>0</v>
      </c>
      <c r="DT10" s="52">
        <f t="shared" si="46"/>
        <v>0</v>
      </c>
      <c r="DU10" s="52">
        <f t="shared" si="46"/>
        <v>0</v>
      </c>
      <c r="DV10" s="52">
        <f t="shared" si="21"/>
        <v>1000</v>
      </c>
      <c r="DW10" s="52">
        <f t="shared" si="22"/>
        <v>1</v>
      </c>
    </row>
    <row r="11">
      <c r="A11" s="41" t="s">
        <v>64</v>
      </c>
      <c r="B11" s="41" t="s">
        <v>56</v>
      </c>
      <c r="C11" s="31" t="s">
        <v>82</v>
      </c>
      <c r="D11" s="25" t="str">
        <f>IFERROR(__xludf.DUMMYFUNCTION("SPLIT(C11,"" "")"),"Acosta,")</f>
        <v>Acosta,</v>
      </c>
      <c r="E11" s="40" t="str">
        <f>IFERROR(__xludf.DUMMYFUNCTION("""COMPUTED_VALUE"""),"Arcillia
1341")</f>
        <v>Arcillia
1341</v>
      </c>
      <c r="F11" s="40" t="str">
        <f>IFERROR(__xludf.DUMMYFUNCTION("""COMPUTED_VALUE"""),"W.")</f>
        <v>W.</v>
      </c>
      <c r="G11" s="40" t="str">
        <f>IFERROR(__xludf.DUMMYFUNCTION("""COMPUTED_VALUE"""),"Mockingbird")</f>
        <v>Mockingbird</v>
      </c>
      <c r="H11" s="40" t="str">
        <f>IFERROR(__xludf.DUMMYFUNCTION("""COMPUTED_VALUE"""),"Ln
Dallas,")</f>
        <v>Ln
Dallas,</v>
      </c>
      <c r="I11" s="40" t="str">
        <f>IFERROR(__xludf.DUMMYFUNCTION("""COMPUTED_VALUE"""),"TX")</f>
        <v>TX</v>
      </c>
      <c r="J11" s="40">
        <f>IFERROR(__xludf.DUMMYFUNCTION("""COMPUTED_VALUE"""),75247.0)</f>
        <v>75247</v>
      </c>
      <c r="K11" s="40"/>
      <c r="L11" s="40"/>
      <c r="M11" s="40"/>
      <c r="N11" s="40"/>
      <c r="O11" s="40"/>
      <c r="P11" s="40"/>
      <c r="Q11" s="40"/>
      <c r="R11" s="40"/>
      <c r="S11" s="40"/>
      <c r="T11" s="40"/>
      <c r="U11" s="24" t="str">
        <f>IFERROR(__xludf.DUMMYFUNCTION("SPLIT(E11,""01234567890"")"),"Arcillia
")</f>
        <v>Arcillia
</v>
      </c>
      <c r="V11" s="24" t="str">
        <f>IFERROR(__xludf.DUMMYFUNCTION("SPLIT(D11,"","")"),"Acosta")</f>
        <v>Acosta</v>
      </c>
      <c r="W11" s="25" t="str">
        <f t="shared" si="1"/>
        <v>ARCILLIA
 ACOSTA</v>
      </c>
      <c r="X11" s="25" t="s">
        <v>83</v>
      </c>
      <c r="Y11" s="25">
        <v>75247.0</v>
      </c>
      <c r="Z11" s="25" t="str">
        <f>IFERROR(__xludf.DUMMYFUNCTION("SPLIT(C11,""
"")"),"Acosta, Arcillia")</f>
        <v>Acosta, Arcillia</v>
      </c>
      <c r="AA11" s="25" t="str">
        <f>IFERROR(__xludf.DUMMYFUNCTION("""COMPUTED_VALUE"""),"1341 W. Mockingbird Ln")</f>
        <v>1341 W. Mockingbird Ln</v>
      </c>
      <c r="AB11" s="25" t="str">
        <f>IFERROR(__xludf.DUMMYFUNCTION("""COMPUTED_VALUE"""),"Dallas, TX 75247")</f>
        <v>Dallas, TX 75247</v>
      </c>
      <c r="AC11" s="24" t="s">
        <v>84</v>
      </c>
      <c r="AD11" s="25"/>
      <c r="AE11" s="25"/>
      <c r="AF11" s="25"/>
      <c r="AG11" s="40" t="s">
        <v>60</v>
      </c>
      <c r="AH11" s="42">
        <v>2448.0</v>
      </c>
      <c r="AI11" s="40" t="s">
        <v>61</v>
      </c>
      <c r="AJ11" s="27">
        <v>1000.0</v>
      </c>
      <c r="AK11" s="31" t="s">
        <v>24</v>
      </c>
      <c r="AL11" s="43">
        <v>44742.0</v>
      </c>
      <c r="AM11" s="44">
        <v>44757.44018518519</v>
      </c>
      <c r="AN11" s="30">
        <v>2.0</v>
      </c>
      <c r="AO11" s="40"/>
      <c r="AP11" s="40"/>
      <c r="AQ11" s="40"/>
      <c r="AR11" s="40"/>
      <c r="AS11" s="31">
        <f>IFERROR(__xludf.DUMMYFUNCTION("""COMPUTED_VALUE"""),75082.0)</f>
        <v>75082</v>
      </c>
      <c r="AT11" s="45">
        <f t="shared" si="6"/>
        <v>200</v>
      </c>
      <c r="AU11" s="40"/>
      <c r="AV11" s="46" t="str">
        <f>IFERROR(__xludf.DUMMYFUNCTION("""COMPUTED_VALUE"""),"Agarwal")</f>
        <v>Agarwal</v>
      </c>
      <c r="AW11" s="46">
        <f t="shared" si="7"/>
        <v>27000</v>
      </c>
      <c r="AX11" s="47">
        <f t="shared" ref="AX11:BQ11" si="47">SUMIFS($AJ:$AJ,$V:$V,$AV11,$AK:$AK,AX$2)</f>
        <v>0</v>
      </c>
      <c r="AY11" s="48">
        <f t="shared" si="47"/>
        <v>0</v>
      </c>
      <c r="AZ11" s="48">
        <f t="shared" si="47"/>
        <v>2000</v>
      </c>
      <c r="BA11" s="48">
        <f t="shared" si="47"/>
        <v>0</v>
      </c>
      <c r="BB11" s="48">
        <f t="shared" si="47"/>
        <v>24000</v>
      </c>
      <c r="BC11" s="48">
        <f t="shared" si="47"/>
        <v>0</v>
      </c>
      <c r="BD11" s="48">
        <f t="shared" si="47"/>
        <v>0</v>
      </c>
      <c r="BE11" s="48">
        <f t="shared" si="47"/>
        <v>0</v>
      </c>
      <c r="BF11" s="48">
        <f t="shared" si="47"/>
        <v>1000</v>
      </c>
      <c r="BG11" s="48">
        <f t="shared" si="47"/>
        <v>0</v>
      </c>
      <c r="BH11" s="48">
        <f t="shared" si="47"/>
        <v>0</v>
      </c>
      <c r="BI11" s="48">
        <f t="shared" si="47"/>
        <v>0</v>
      </c>
      <c r="BJ11" s="48">
        <f t="shared" si="47"/>
        <v>0</v>
      </c>
      <c r="BK11" s="48">
        <f t="shared" si="47"/>
        <v>0</v>
      </c>
      <c r="BL11" s="48">
        <f t="shared" si="47"/>
        <v>0</v>
      </c>
      <c r="BM11" s="48">
        <f t="shared" si="47"/>
        <v>0</v>
      </c>
      <c r="BN11" s="48">
        <f t="shared" si="47"/>
        <v>0</v>
      </c>
      <c r="BO11" s="48">
        <f t="shared" si="47"/>
        <v>0</v>
      </c>
      <c r="BP11" s="48">
        <f t="shared" si="47"/>
        <v>0</v>
      </c>
      <c r="BQ11" s="48">
        <f t="shared" si="47"/>
        <v>0</v>
      </c>
      <c r="BR11" s="36">
        <f t="shared" si="9"/>
        <v>1</v>
      </c>
      <c r="BS11" s="38">
        <f t="shared" si="10"/>
        <v>3</v>
      </c>
      <c r="BT11" s="49">
        <f t="shared" si="11"/>
        <v>0</v>
      </c>
      <c r="BU11" s="38">
        <f t="shared" si="12"/>
        <v>3000</v>
      </c>
      <c r="BV11" s="46" t="str">
        <f>IFERROR(__xludf.DUMMYFUNCTION("""COMPUTED_VALUE"""),"Agarwal")</f>
        <v>Agarwal</v>
      </c>
      <c r="BW11" s="46">
        <f t="shared" si="13"/>
        <v>27000</v>
      </c>
      <c r="BX11" s="47">
        <f t="shared" ref="BX11:CA11" si="48">AX11-$BU11</f>
        <v>-3000</v>
      </c>
      <c r="BY11" s="47">
        <f t="shared" si="48"/>
        <v>-3000</v>
      </c>
      <c r="BZ11" s="47">
        <f t="shared" si="48"/>
        <v>-1000</v>
      </c>
      <c r="CA11" s="47">
        <f t="shared" si="48"/>
        <v>-3000</v>
      </c>
      <c r="CB11" s="47">
        <f t="shared" si="15"/>
        <v>-6000</v>
      </c>
      <c r="CC11" s="47">
        <f t="shared" ref="CC11:CQ11" si="49">BC11-$BU11</f>
        <v>-3000</v>
      </c>
      <c r="CD11" s="47">
        <f t="shared" si="49"/>
        <v>-3000</v>
      </c>
      <c r="CE11" s="47">
        <f t="shared" si="49"/>
        <v>-3000</v>
      </c>
      <c r="CF11" s="47">
        <f t="shared" si="49"/>
        <v>-2000</v>
      </c>
      <c r="CG11" s="47">
        <f t="shared" si="49"/>
        <v>-3000</v>
      </c>
      <c r="CH11" s="47">
        <f t="shared" si="49"/>
        <v>-3000</v>
      </c>
      <c r="CI11" s="47">
        <f t="shared" si="49"/>
        <v>-3000</v>
      </c>
      <c r="CJ11" s="47">
        <f t="shared" si="49"/>
        <v>-3000</v>
      </c>
      <c r="CK11" s="47">
        <f t="shared" si="49"/>
        <v>-3000</v>
      </c>
      <c r="CL11" s="47">
        <f t="shared" si="49"/>
        <v>-3000</v>
      </c>
      <c r="CM11" s="47">
        <f t="shared" si="49"/>
        <v>-3000</v>
      </c>
      <c r="CN11" s="47">
        <f t="shared" si="49"/>
        <v>-3000</v>
      </c>
      <c r="CO11" s="47">
        <f t="shared" si="49"/>
        <v>-3000</v>
      </c>
      <c r="CP11" s="47">
        <f t="shared" si="49"/>
        <v>-3000</v>
      </c>
      <c r="CQ11" s="47">
        <f t="shared" si="49"/>
        <v>-3000</v>
      </c>
      <c r="CR11" s="47"/>
      <c r="CS11" s="47"/>
      <c r="CT11" s="47"/>
      <c r="CU11" s="50" t="str">
        <f>IFERROR(__xludf.DUMMYFUNCTION("""COMPUTED_VALUE"""),"1341 W. Mockingbird Ln
Dallas, TX 75247         ")</f>
        <v>1341 W. Mockingbird Ln
Dallas, TX 75247         </v>
      </c>
      <c r="CV11" s="51">
        <f>IFERROR(__xludf.DUMMYFUNCTION("IF(REGEXMATCH(UPPER(CU11), ""TX""),0,1)"),0.0)</f>
        <v>0</v>
      </c>
      <c r="CW11" s="51">
        <f>IFERROR(__xludf.DUMMYFUNCTION("IF(REGEXMATCH(UPPER(CU11), ""DALLAS""),0,1)"),0.0)</f>
        <v>0</v>
      </c>
      <c r="CX11" s="51">
        <f t="shared" si="17"/>
        <v>0</v>
      </c>
      <c r="CY11" s="51">
        <f t="shared" si="18"/>
        <v>0</v>
      </c>
      <c r="CZ11" s="52" t="str">
        <f t="shared" si="19"/>
        <v/>
      </c>
      <c r="DA11" s="53" t="str">
        <f>IFERROR(__xludf.DUMMYFUNCTION("""COMPUTED_VALUE"""),"1507 Stonehedge Bend Dr
Houston, TX 77073         ")</f>
        <v>1507 Stonehedge Bend Dr
Houston, TX 77073         </v>
      </c>
      <c r="DB11" s="52">
        <f t="shared" ref="DB11:DU11" si="50">SUMIFS($AJ:$AJ,$X:$X,$DA11,$AK:$AK,DB$2)</f>
        <v>0</v>
      </c>
      <c r="DC11" s="52">
        <f t="shared" si="50"/>
        <v>1000</v>
      </c>
      <c r="DD11" s="52">
        <f t="shared" si="50"/>
        <v>0</v>
      </c>
      <c r="DE11" s="52">
        <f t="shared" si="50"/>
        <v>0</v>
      </c>
      <c r="DF11" s="52">
        <f t="shared" si="50"/>
        <v>0</v>
      </c>
      <c r="DG11" s="52">
        <f t="shared" si="50"/>
        <v>0</v>
      </c>
      <c r="DH11" s="52">
        <f t="shared" si="50"/>
        <v>0</v>
      </c>
      <c r="DI11" s="52">
        <f t="shared" si="50"/>
        <v>0</v>
      </c>
      <c r="DJ11" s="52">
        <f t="shared" si="50"/>
        <v>0</v>
      </c>
      <c r="DK11" s="52">
        <f t="shared" si="50"/>
        <v>0</v>
      </c>
      <c r="DL11" s="52">
        <f t="shared" si="50"/>
        <v>0</v>
      </c>
      <c r="DM11" s="52">
        <f t="shared" si="50"/>
        <v>0</v>
      </c>
      <c r="DN11" s="52">
        <f t="shared" si="50"/>
        <v>0</v>
      </c>
      <c r="DO11" s="52">
        <f t="shared" si="50"/>
        <v>0</v>
      </c>
      <c r="DP11" s="52">
        <f t="shared" si="50"/>
        <v>0</v>
      </c>
      <c r="DQ11" s="52">
        <f t="shared" si="50"/>
        <v>0</v>
      </c>
      <c r="DR11" s="52">
        <f t="shared" si="50"/>
        <v>0</v>
      </c>
      <c r="DS11" s="52">
        <f t="shared" si="50"/>
        <v>0</v>
      </c>
      <c r="DT11" s="52">
        <f t="shared" si="50"/>
        <v>0</v>
      </c>
      <c r="DU11" s="52">
        <f t="shared" si="50"/>
        <v>0</v>
      </c>
      <c r="DV11" s="52">
        <f t="shared" si="21"/>
        <v>1000</v>
      </c>
      <c r="DW11" s="52">
        <f t="shared" si="22"/>
        <v>1</v>
      </c>
    </row>
    <row r="12">
      <c r="A12" s="23" t="s">
        <v>64</v>
      </c>
      <c r="B12" s="23" t="s">
        <v>56</v>
      </c>
      <c r="C12" s="31" t="s">
        <v>85</v>
      </c>
      <c r="D12" s="25" t="str">
        <f>IFERROR(__xludf.DUMMYFUNCTION("SPLIT(C12,"" "")"),"Adam")</f>
        <v>Adam</v>
      </c>
      <c r="E12" s="22" t="str">
        <f>IFERROR(__xludf.DUMMYFUNCTION("""COMPUTED_VALUE"""),"McGough")</f>
        <v>McGough</v>
      </c>
      <c r="F12" s="22" t="str">
        <f>IFERROR(__xludf.DUMMYFUNCTION("""COMPUTED_VALUE"""),"for")</f>
        <v>for</v>
      </c>
      <c r="G12" s="22" t="str">
        <f>IFERROR(__xludf.DUMMYFUNCTION("""COMPUTED_VALUE"""),"Dallas")</f>
        <v>Dallas</v>
      </c>
      <c r="H12" s="22" t="str">
        <f>IFERROR(__xludf.DUMMYFUNCTION("""COMPUTED_VALUE"""),"Election")</f>
        <v>Election</v>
      </c>
      <c r="I12" s="22" t="str">
        <f>IFERROR(__xludf.DUMMYFUNCTION("""COMPUTED_VALUE"""),"Committee
5931")</f>
        <v>Committee
5931</v>
      </c>
      <c r="J12" s="22" t="str">
        <f>IFERROR(__xludf.DUMMYFUNCTION("""COMPUTED_VALUE"""),"Greenville")</f>
        <v>Greenville</v>
      </c>
      <c r="K12" s="22" t="str">
        <f>IFERROR(__xludf.DUMMYFUNCTION("""COMPUTED_VALUE"""),"Ave
Dallas,")</f>
        <v>Ave
Dallas,</v>
      </c>
      <c r="L12" s="22" t="str">
        <f>IFERROR(__xludf.DUMMYFUNCTION("""COMPUTED_VALUE"""),"TX")</f>
        <v>TX</v>
      </c>
      <c r="M12" s="22">
        <f>IFERROR(__xludf.DUMMYFUNCTION("""COMPUTED_VALUE"""),75206.0)</f>
        <v>75206</v>
      </c>
      <c r="N12" s="22"/>
      <c r="O12" s="22"/>
      <c r="P12" s="22"/>
      <c r="Q12" s="22"/>
      <c r="R12" s="22"/>
      <c r="S12" s="22"/>
      <c r="T12" s="22"/>
      <c r="U12" s="24" t="str">
        <f>IFERROR(__xludf.DUMMYFUNCTION("SPLIT(E12,""01234567890"")"),"McGough")</f>
        <v>McGough</v>
      </c>
      <c r="V12" s="24" t="str">
        <f>IFERROR(__xludf.DUMMYFUNCTION("SPLIT(D12,"","")"),"Adam")</f>
        <v>Adam</v>
      </c>
      <c r="W12" s="25" t="str">
        <f t="shared" si="1"/>
        <v>MCGOUGH ADAM</v>
      </c>
      <c r="X12" s="25" t="s">
        <v>86</v>
      </c>
      <c r="Y12" s="25">
        <v>75206.0</v>
      </c>
      <c r="Z12" s="25" t="str">
        <f>IFERROR(__xludf.DUMMYFUNCTION("SPLIT(C12,""
"")"),"Adam McGough for Dallas Election Committee")</f>
        <v>Adam McGough for Dallas Election Committee</v>
      </c>
      <c r="AA12" s="25" t="str">
        <f>IFERROR(__xludf.DUMMYFUNCTION("""COMPUTED_VALUE"""),"5931 Greenville Ave")</f>
        <v>5931 Greenville Ave</v>
      </c>
      <c r="AB12" s="25" t="str">
        <f>IFERROR(__xludf.DUMMYFUNCTION("""COMPUTED_VALUE"""),"Dallas, TX 75206")</f>
        <v>Dallas, TX 75206</v>
      </c>
      <c r="AC12" s="24" t="s">
        <v>87</v>
      </c>
      <c r="AD12" s="25"/>
      <c r="AE12" s="25"/>
      <c r="AF12" s="25"/>
      <c r="AG12" s="22" t="s">
        <v>60</v>
      </c>
      <c r="AH12" s="54">
        <v>2477.0</v>
      </c>
      <c r="AI12" s="22" t="s">
        <v>68</v>
      </c>
      <c r="AJ12" s="27">
        <v>1000.0</v>
      </c>
      <c r="AK12" s="31" t="s">
        <v>26</v>
      </c>
      <c r="AL12" s="28">
        <v>44883.0</v>
      </c>
      <c r="AM12" s="29">
        <v>44940.42346064815</v>
      </c>
      <c r="AN12" s="30">
        <v>2.0</v>
      </c>
      <c r="AO12" s="22"/>
      <c r="AP12" s="22"/>
      <c r="AQ12" s="22"/>
      <c r="AR12" s="22"/>
      <c r="AS12" s="31">
        <f>IFERROR(__xludf.DUMMYFUNCTION("""COMPUTED_VALUE"""),75207.0)</f>
        <v>75207</v>
      </c>
      <c r="AT12" s="45">
        <f t="shared" si="6"/>
        <v>22500</v>
      </c>
      <c r="AU12" s="22"/>
      <c r="AV12" s="57" t="str">
        <f>IFERROR(__xludf.DUMMYFUNCTION("""COMPUTED_VALUE"""),"Agnich")</f>
        <v>Agnich</v>
      </c>
      <c r="AW12" s="46">
        <f t="shared" si="7"/>
        <v>2500</v>
      </c>
      <c r="AX12" s="47">
        <f t="shared" ref="AX12:BQ12" si="51">SUMIFS($AJ:$AJ,$V:$V,$AV12,$AK:$AK,AX$2)</f>
        <v>0</v>
      </c>
      <c r="AY12" s="48">
        <f t="shared" si="51"/>
        <v>0</v>
      </c>
      <c r="AZ12" s="48">
        <f t="shared" si="51"/>
        <v>0</v>
      </c>
      <c r="BA12" s="48">
        <f t="shared" si="51"/>
        <v>0</v>
      </c>
      <c r="BB12" s="48">
        <f t="shared" si="51"/>
        <v>0</v>
      </c>
      <c r="BC12" s="48">
        <f t="shared" si="51"/>
        <v>0</v>
      </c>
      <c r="BD12" s="48">
        <f t="shared" si="51"/>
        <v>0</v>
      </c>
      <c r="BE12" s="48">
        <f t="shared" si="51"/>
        <v>0</v>
      </c>
      <c r="BF12" s="48">
        <f t="shared" si="51"/>
        <v>0</v>
      </c>
      <c r="BG12" s="48">
        <f t="shared" si="51"/>
        <v>2000</v>
      </c>
      <c r="BH12" s="48">
        <f t="shared" si="51"/>
        <v>500</v>
      </c>
      <c r="BI12" s="48">
        <f t="shared" si="51"/>
        <v>0</v>
      </c>
      <c r="BJ12" s="48">
        <f t="shared" si="51"/>
        <v>0</v>
      </c>
      <c r="BK12" s="48">
        <f t="shared" si="51"/>
        <v>0</v>
      </c>
      <c r="BL12" s="48">
        <f t="shared" si="51"/>
        <v>0</v>
      </c>
      <c r="BM12" s="48">
        <f t="shared" si="51"/>
        <v>0</v>
      </c>
      <c r="BN12" s="48">
        <f t="shared" si="51"/>
        <v>0</v>
      </c>
      <c r="BO12" s="48">
        <f t="shared" si="51"/>
        <v>0</v>
      </c>
      <c r="BP12" s="48">
        <f t="shared" si="51"/>
        <v>0</v>
      </c>
      <c r="BQ12" s="48">
        <f t="shared" si="51"/>
        <v>0</v>
      </c>
      <c r="BR12" s="36">
        <f t="shared" si="9"/>
        <v>1</v>
      </c>
      <c r="BS12" s="38">
        <f t="shared" si="10"/>
        <v>2</v>
      </c>
      <c r="BT12" s="49">
        <f t="shared" si="11"/>
        <v>0</v>
      </c>
      <c r="BU12" s="38">
        <f t="shared" si="12"/>
        <v>2000</v>
      </c>
      <c r="BV12" s="57" t="str">
        <f>IFERROR(__xludf.DUMMYFUNCTION("""COMPUTED_VALUE"""),"Agnich")</f>
        <v>Agnich</v>
      </c>
      <c r="BW12" s="46">
        <f t="shared" si="13"/>
        <v>2500</v>
      </c>
      <c r="BX12" s="47">
        <f t="shared" ref="BX12:CA12" si="52">AX12-$BU12</f>
        <v>-2000</v>
      </c>
      <c r="BY12" s="47">
        <f t="shared" si="52"/>
        <v>-2000</v>
      </c>
      <c r="BZ12" s="47">
        <f t="shared" si="52"/>
        <v>-2000</v>
      </c>
      <c r="CA12" s="47">
        <f t="shared" si="52"/>
        <v>-2000</v>
      </c>
      <c r="CB12" s="47">
        <f t="shared" si="15"/>
        <v>-20000</v>
      </c>
      <c r="CC12" s="47">
        <f t="shared" ref="CC12:CQ12" si="53">BC12-$BU12</f>
        <v>-2000</v>
      </c>
      <c r="CD12" s="47">
        <f t="shared" si="53"/>
        <v>-2000</v>
      </c>
      <c r="CE12" s="47">
        <f t="shared" si="53"/>
        <v>-2000</v>
      </c>
      <c r="CF12" s="47">
        <f t="shared" si="53"/>
        <v>-2000</v>
      </c>
      <c r="CG12" s="47">
        <f t="shared" si="53"/>
        <v>0</v>
      </c>
      <c r="CH12" s="47">
        <f t="shared" si="53"/>
        <v>-1500</v>
      </c>
      <c r="CI12" s="47">
        <f t="shared" si="53"/>
        <v>-2000</v>
      </c>
      <c r="CJ12" s="47">
        <f t="shared" si="53"/>
        <v>-2000</v>
      </c>
      <c r="CK12" s="47">
        <f t="shared" si="53"/>
        <v>-2000</v>
      </c>
      <c r="CL12" s="47">
        <f t="shared" si="53"/>
        <v>-2000</v>
      </c>
      <c r="CM12" s="47">
        <f t="shared" si="53"/>
        <v>-2000</v>
      </c>
      <c r="CN12" s="47">
        <f t="shared" si="53"/>
        <v>-2000</v>
      </c>
      <c r="CO12" s="47">
        <f t="shared" si="53"/>
        <v>-2000</v>
      </c>
      <c r="CP12" s="47">
        <f t="shared" si="53"/>
        <v>-2000</v>
      </c>
      <c r="CQ12" s="47">
        <f t="shared" si="53"/>
        <v>-2000</v>
      </c>
      <c r="CR12" s="47"/>
      <c r="CS12" s="47"/>
      <c r="CT12" s="47"/>
      <c r="CU12" s="50" t="str">
        <f>IFERROR(__xludf.DUMMYFUNCTION("""COMPUTED_VALUE"""),"mcgough for Dallas Election Committee
5931 Greenville Ave
Dallas, TX 75206      ")</f>
        <v>mcgough for Dallas Election Committee
5931 Greenville Ave
Dallas, TX 75206      </v>
      </c>
      <c r="CV12" s="51">
        <f>IFERROR(__xludf.DUMMYFUNCTION("IF(REGEXMATCH(UPPER(CU12), ""TX""),0,1)"),0.0)</f>
        <v>0</v>
      </c>
      <c r="CW12" s="51">
        <f>IFERROR(__xludf.DUMMYFUNCTION("IF(REGEXMATCH(UPPER(CU12), ""DALLAS""),0,1)"),0.0)</f>
        <v>0</v>
      </c>
      <c r="CX12" s="51">
        <f t="shared" si="17"/>
        <v>0</v>
      </c>
      <c r="CY12" s="51">
        <f t="shared" si="18"/>
        <v>0</v>
      </c>
      <c r="CZ12" s="52" t="str">
        <f t="shared" si="19"/>
        <v/>
      </c>
      <c r="DA12" s="53" t="str">
        <f>IFERROR(__xludf.DUMMYFUNCTION("""COMPUTED_VALUE"""),"greg &amp; Ashley
PO Box 1481
Texarkana, TX 75504        ")</f>
        <v>greg &amp; Ashley
PO Box 1481
Texarkana, TX 75504        </v>
      </c>
      <c r="DB12" s="52">
        <f t="shared" ref="DB12:DU12" si="54">SUMIFS($AJ:$AJ,$X:$X,$DA12,$AK:$AK,DB$2)</f>
        <v>0</v>
      </c>
      <c r="DC12" s="52">
        <f t="shared" si="54"/>
        <v>0</v>
      </c>
      <c r="DD12" s="52">
        <f t="shared" si="54"/>
        <v>0</v>
      </c>
      <c r="DE12" s="52">
        <f t="shared" si="54"/>
        <v>0</v>
      </c>
      <c r="DF12" s="52">
        <f t="shared" si="54"/>
        <v>20000</v>
      </c>
      <c r="DG12" s="52">
        <f t="shared" si="54"/>
        <v>0</v>
      </c>
      <c r="DH12" s="52">
        <f t="shared" si="54"/>
        <v>0</v>
      </c>
      <c r="DI12" s="52">
        <f t="shared" si="54"/>
        <v>0</v>
      </c>
      <c r="DJ12" s="52">
        <f t="shared" si="54"/>
        <v>0</v>
      </c>
      <c r="DK12" s="52">
        <f t="shared" si="54"/>
        <v>0</v>
      </c>
      <c r="DL12" s="52">
        <f t="shared" si="54"/>
        <v>0</v>
      </c>
      <c r="DM12" s="52">
        <f t="shared" si="54"/>
        <v>0</v>
      </c>
      <c r="DN12" s="52">
        <f t="shared" si="54"/>
        <v>0</v>
      </c>
      <c r="DO12" s="52">
        <f t="shared" si="54"/>
        <v>0</v>
      </c>
      <c r="DP12" s="52">
        <f t="shared" si="54"/>
        <v>0</v>
      </c>
      <c r="DQ12" s="52">
        <f t="shared" si="54"/>
        <v>0</v>
      </c>
      <c r="DR12" s="52">
        <f t="shared" si="54"/>
        <v>0</v>
      </c>
      <c r="DS12" s="52">
        <f t="shared" si="54"/>
        <v>0</v>
      </c>
      <c r="DT12" s="52">
        <f t="shared" si="54"/>
        <v>0</v>
      </c>
      <c r="DU12" s="52">
        <f t="shared" si="54"/>
        <v>0</v>
      </c>
      <c r="DV12" s="52">
        <f t="shared" si="21"/>
        <v>20000</v>
      </c>
      <c r="DW12" s="52">
        <f t="shared" si="22"/>
        <v>1</v>
      </c>
    </row>
    <row r="13">
      <c r="A13" s="41" t="s">
        <v>64</v>
      </c>
      <c r="B13" s="41" t="s">
        <v>56</v>
      </c>
      <c r="C13" s="31" t="s">
        <v>88</v>
      </c>
      <c r="D13" s="25" t="str">
        <f>IFERROR(__xludf.DUMMYFUNCTION("SPLIT(C13,"" "")"),"Adams,")</f>
        <v>Adams,</v>
      </c>
      <c r="E13" s="40" t="str">
        <f>IFERROR(__xludf.DUMMYFUNCTION("""COMPUTED_VALUE"""),"James
1201")</f>
        <v>James
1201</v>
      </c>
      <c r="F13" s="40" t="str">
        <f>IFERROR(__xludf.DUMMYFUNCTION("""COMPUTED_VALUE"""),"Elm")</f>
        <v>Elm</v>
      </c>
      <c r="G13" s="40" t="str">
        <f>IFERROR(__xludf.DUMMYFUNCTION("""COMPUTED_VALUE"""),"Street
Dallas,")</f>
        <v>Street
Dallas,</v>
      </c>
      <c r="H13" s="40" t="str">
        <f>IFERROR(__xludf.DUMMYFUNCTION("""COMPUTED_VALUE"""),"TX")</f>
        <v>TX</v>
      </c>
      <c r="I13" s="40">
        <f>IFERROR(__xludf.DUMMYFUNCTION("""COMPUTED_VALUE"""),75270.0)</f>
        <v>75270</v>
      </c>
      <c r="J13" s="40"/>
      <c r="K13" s="40"/>
      <c r="L13" s="40"/>
      <c r="M13" s="40"/>
      <c r="N13" s="40"/>
      <c r="O13" s="40"/>
      <c r="P13" s="40"/>
      <c r="Q13" s="40"/>
      <c r="R13" s="40"/>
      <c r="S13" s="40"/>
      <c r="T13" s="40"/>
      <c r="U13" s="24" t="str">
        <f>IFERROR(__xludf.DUMMYFUNCTION("SPLIT(E13,""01234567890"")"),"James
")</f>
        <v>James
</v>
      </c>
      <c r="V13" s="24" t="str">
        <f>IFERROR(__xludf.DUMMYFUNCTION("SPLIT(D13,"","")"),"Adams")</f>
        <v>Adams</v>
      </c>
      <c r="W13" s="25" t="str">
        <f t="shared" si="1"/>
        <v>JAMES
 ADAMS</v>
      </c>
      <c r="X13" s="25" t="s">
        <v>89</v>
      </c>
      <c r="Y13" s="25">
        <v>75270.0</v>
      </c>
      <c r="Z13" s="25" t="str">
        <f>IFERROR(__xludf.DUMMYFUNCTION("SPLIT(C13,""
"")"),"Adams, James")</f>
        <v>Adams, James</v>
      </c>
      <c r="AA13" s="25" t="str">
        <f>IFERROR(__xludf.DUMMYFUNCTION("""COMPUTED_VALUE"""),"1201 Elm Street")</f>
        <v>1201 Elm Street</v>
      </c>
      <c r="AB13" s="25" t="str">
        <f>IFERROR(__xludf.DUMMYFUNCTION("""COMPUTED_VALUE"""),"Dallas, TX 75270")</f>
        <v>Dallas, TX 75270</v>
      </c>
      <c r="AC13" s="24" t="s">
        <v>90</v>
      </c>
      <c r="AD13" s="25"/>
      <c r="AE13" s="25"/>
      <c r="AF13" s="25"/>
      <c r="AG13" s="40" t="s">
        <v>60</v>
      </c>
      <c r="AH13" s="42">
        <v>2515.0</v>
      </c>
      <c r="AI13" s="40" t="s">
        <v>68</v>
      </c>
      <c r="AJ13" s="27">
        <v>50.0</v>
      </c>
      <c r="AK13" s="31" t="s">
        <v>27</v>
      </c>
      <c r="AL13" s="43">
        <v>44877.0</v>
      </c>
      <c r="AM13" s="44">
        <v>44943.69443287037</v>
      </c>
      <c r="AN13" s="30">
        <v>2.0</v>
      </c>
      <c r="AO13" s="40"/>
      <c r="AP13" s="40"/>
      <c r="AQ13" s="40"/>
      <c r="AR13" s="40"/>
      <c r="AS13" s="31">
        <f>IFERROR(__xludf.DUMMYFUNCTION("""COMPUTED_VALUE"""),77005.0)</f>
        <v>77005</v>
      </c>
      <c r="AT13" s="45">
        <f t="shared" si="6"/>
        <v>1000</v>
      </c>
      <c r="AU13" s="40"/>
      <c r="AV13" s="46" t="str">
        <f>IFERROR(__xludf.DUMMYFUNCTION("""COMPUTED_VALUE"""),"Aisner")</f>
        <v>Aisner</v>
      </c>
      <c r="AW13" s="46">
        <f t="shared" si="7"/>
        <v>200</v>
      </c>
      <c r="AX13" s="47">
        <f t="shared" ref="AX13:BQ13" si="55">SUMIFS($AJ:$AJ,$V:$V,$AV13,$AK:$AK,AX$2)</f>
        <v>0</v>
      </c>
      <c r="AY13" s="48">
        <f t="shared" si="55"/>
        <v>0</v>
      </c>
      <c r="AZ13" s="48">
        <f t="shared" si="55"/>
        <v>0</v>
      </c>
      <c r="BA13" s="48">
        <f t="shared" si="55"/>
        <v>0</v>
      </c>
      <c r="BB13" s="48">
        <f t="shared" si="55"/>
        <v>0</v>
      </c>
      <c r="BC13" s="48">
        <f t="shared" si="55"/>
        <v>0</v>
      </c>
      <c r="BD13" s="48">
        <f t="shared" si="55"/>
        <v>0</v>
      </c>
      <c r="BE13" s="48">
        <f t="shared" si="55"/>
        <v>0</v>
      </c>
      <c r="BF13" s="48">
        <f t="shared" si="55"/>
        <v>0</v>
      </c>
      <c r="BG13" s="48">
        <f t="shared" si="55"/>
        <v>0</v>
      </c>
      <c r="BH13" s="48">
        <f t="shared" si="55"/>
        <v>200</v>
      </c>
      <c r="BI13" s="48">
        <f t="shared" si="55"/>
        <v>0</v>
      </c>
      <c r="BJ13" s="48">
        <f t="shared" si="55"/>
        <v>0</v>
      </c>
      <c r="BK13" s="48">
        <f t="shared" si="55"/>
        <v>0</v>
      </c>
      <c r="BL13" s="48">
        <f t="shared" si="55"/>
        <v>0</v>
      </c>
      <c r="BM13" s="48">
        <f t="shared" si="55"/>
        <v>0</v>
      </c>
      <c r="BN13" s="48">
        <f t="shared" si="55"/>
        <v>0</v>
      </c>
      <c r="BO13" s="48">
        <f t="shared" si="55"/>
        <v>0</v>
      </c>
      <c r="BP13" s="48">
        <f t="shared" si="55"/>
        <v>0</v>
      </c>
      <c r="BQ13" s="48">
        <f t="shared" si="55"/>
        <v>0</v>
      </c>
      <c r="BR13" s="36">
        <f t="shared" si="9"/>
        <v>0</v>
      </c>
      <c r="BS13" s="38">
        <f t="shared" si="10"/>
        <v>1</v>
      </c>
      <c r="BT13" s="49">
        <f t="shared" si="11"/>
        <v>0</v>
      </c>
      <c r="BU13" s="38">
        <f t="shared" si="12"/>
        <v>1000</v>
      </c>
      <c r="BV13" s="46" t="str">
        <f>IFERROR(__xludf.DUMMYFUNCTION("""COMPUTED_VALUE"""),"Aisner")</f>
        <v>Aisner</v>
      </c>
      <c r="BW13" s="46">
        <f t="shared" si="13"/>
        <v>200</v>
      </c>
      <c r="BX13" s="47">
        <f t="shared" ref="BX13:CA13" si="56">AX13-$BU13</f>
        <v>-1000</v>
      </c>
      <c r="BY13" s="47">
        <f t="shared" si="56"/>
        <v>-1000</v>
      </c>
      <c r="BZ13" s="47">
        <f t="shared" si="56"/>
        <v>-1000</v>
      </c>
      <c r="CA13" s="47">
        <f t="shared" si="56"/>
        <v>-1000</v>
      </c>
      <c r="CB13" s="47">
        <f t="shared" si="15"/>
        <v>-10000</v>
      </c>
      <c r="CC13" s="47">
        <f t="shared" ref="CC13:CQ13" si="57">BC13-$BU13</f>
        <v>-1000</v>
      </c>
      <c r="CD13" s="47">
        <f t="shared" si="57"/>
        <v>-1000</v>
      </c>
      <c r="CE13" s="47">
        <f t="shared" si="57"/>
        <v>-1000</v>
      </c>
      <c r="CF13" s="47">
        <f t="shared" si="57"/>
        <v>-1000</v>
      </c>
      <c r="CG13" s="47">
        <f t="shared" si="57"/>
        <v>-1000</v>
      </c>
      <c r="CH13" s="47">
        <f t="shared" si="57"/>
        <v>-800</v>
      </c>
      <c r="CI13" s="47">
        <f t="shared" si="57"/>
        <v>-1000</v>
      </c>
      <c r="CJ13" s="47">
        <f t="shared" si="57"/>
        <v>-1000</v>
      </c>
      <c r="CK13" s="47">
        <f t="shared" si="57"/>
        <v>-1000</v>
      </c>
      <c r="CL13" s="47">
        <f t="shared" si="57"/>
        <v>-1000</v>
      </c>
      <c r="CM13" s="47">
        <f t="shared" si="57"/>
        <v>-1000</v>
      </c>
      <c r="CN13" s="47">
        <f t="shared" si="57"/>
        <v>-1000</v>
      </c>
      <c r="CO13" s="47">
        <f t="shared" si="57"/>
        <v>-1000</v>
      </c>
      <c r="CP13" s="47">
        <f t="shared" si="57"/>
        <v>-1000</v>
      </c>
      <c r="CQ13" s="47">
        <f t="shared" si="57"/>
        <v>-1000</v>
      </c>
      <c r="CR13" s="47"/>
      <c r="CS13" s="47"/>
      <c r="CT13" s="47"/>
      <c r="CU13" s="50" t="str">
        <f>IFERROR(__xludf.DUMMYFUNCTION("""COMPUTED_VALUE"""),"1201 Elm Street
Dallas, TX 75270          ")</f>
        <v>1201 Elm Street
Dallas, TX 75270          </v>
      </c>
      <c r="CV13" s="51">
        <f>IFERROR(__xludf.DUMMYFUNCTION("IF(REGEXMATCH(UPPER(CU13), ""TX""),0,1)"),0.0)</f>
        <v>0</v>
      </c>
      <c r="CW13" s="51">
        <f>IFERROR(__xludf.DUMMYFUNCTION("IF(REGEXMATCH(UPPER(CU13), ""DALLAS""),0,1)"),0.0)</f>
        <v>0</v>
      </c>
      <c r="CX13" s="51">
        <f t="shared" si="17"/>
        <v>0</v>
      </c>
      <c r="CY13" s="51">
        <f t="shared" si="18"/>
        <v>0</v>
      </c>
      <c r="CZ13" s="52" t="str">
        <f t="shared" si="19"/>
        <v/>
      </c>
      <c r="DA13" s="53" t="str">
        <f>IFERROR(__xludf.DUMMYFUNCTION("""COMPUTED_VALUE"""),"1535 Camino Lago
Irving, TX 75039          ")</f>
        <v>1535 Camino Lago
Irving, TX 75039          </v>
      </c>
      <c r="DB13" s="52">
        <f t="shared" ref="DB13:DU13" si="58">SUMIFS($AJ:$AJ,$X:$X,$DA13,$AK:$AK,DB$2)</f>
        <v>0</v>
      </c>
      <c r="DC13" s="52">
        <f t="shared" si="58"/>
        <v>0</v>
      </c>
      <c r="DD13" s="52">
        <f t="shared" si="58"/>
        <v>0</v>
      </c>
      <c r="DE13" s="52">
        <f t="shared" si="58"/>
        <v>50</v>
      </c>
      <c r="DF13" s="52">
        <f t="shared" si="58"/>
        <v>0</v>
      </c>
      <c r="DG13" s="52">
        <f t="shared" si="58"/>
        <v>0</v>
      </c>
      <c r="DH13" s="52">
        <f t="shared" si="58"/>
        <v>0</v>
      </c>
      <c r="DI13" s="52">
        <f t="shared" si="58"/>
        <v>0</v>
      </c>
      <c r="DJ13" s="52">
        <f t="shared" si="58"/>
        <v>0</v>
      </c>
      <c r="DK13" s="52">
        <f t="shared" si="58"/>
        <v>0</v>
      </c>
      <c r="DL13" s="52">
        <f t="shared" si="58"/>
        <v>0</v>
      </c>
      <c r="DM13" s="52">
        <f t="shared" si="58"/>
        <v>0</v>
      </c>
      <c r="DN13" s="52">
        <f t="shared" si="58"/>
        <v>0</v>
      </c>
      <c r="DO13" s="52">
        <f t="shared" si="58"/>
        <v>0</v>
      </c>
      <c r="DP13" s="52">
        <f t="shared" si="58"/>
        <v>0</v>
      </c>
      <c r="DQ13" s="52">
        <f t="shared" si="58"/>
        <v>0</v>
      </c>
      <c r="DR13" s="52">
        <f t="shared" si="58"/>
        <v>0</v>
      </c>
      <c r="DS13" s="52">
        <f t="shared" si="58"/>
        <v>0</v>
      </c>
      <c r="DT13" s="52">
        <f t="shared" si="58"/>
        <v>0</v>
      </c>
      <c r="DU13" s="52">
        <f t="shared" si="58"/>
        <v>0</v>
      </c>
      <c r="DV13" s="52">
        <f t="shared" si="21"/>
        <v>50</v>
      </c>
      <c r="DW13" s="52">
        <f t="shared" si="22"/>
        <v>1</v>
      </c>
    </row>
    <row r="14">
      <c r="A14" s="23" t="s">
        <v>64</v>
      </c>
      <c r="B14" s="23" t="s">
        <v>56</v>
      </c>
      <c r="C14" s="31" t="s">
        <v>91</v>
      </c>
      <c r="D14" s="25" t="str">
        <f>IFERROR(__xludf.DUMMYFUNCTION("SPLIT(C14,"" "")"),"Adams,")</f>
        <v>Adams,</v>
      </c>
      <c r="E14" s="22" t="str">
        <f>IFERROR(__xludf.DUMMYFUNCTION("""COMPUTED_VALUE"""),"Jim
9927")</f>
        <v>Jim
9927</v>
      </c>
      <c r="F14" s="22" t="str">
        <f>IFERROR(__xludf.DUMMYFUNCTION("""COMPUTED_VALUE"""),"Capridge
Dallas,")</f>
        <v>Capridge
Dallas,</v>
      </c>
      <c r="G14" s="22" t="str">
        <f>IFERROR(__xludf.DUMMYFUNCTION("""COMPUTED_VALUE"""),"TX")</f>
        <v>TX</v>
      </c>
      <c r="H14" s="22">
        <f>IFERROR(__xludf.DUMMYFUNCTION("""COMPUTED_VALUE"""),75238.0)</f>
        <v>75238</v>
      </c>
      <c r="I14" s="22"/>
      <c r="J14" s="22"/>
      <c r="K14" s="22"/>
      <c r="L14" s="22"/>
      <c r="M14" s="22"/>
      <c r="N14" s="22"/>
      <c r="O14" s="22"/>
      <c r="P14" s="22"/>
      <c r="Q14" s="22"/>
      <c r="R14" s="22"/>
      <c r="S14" s="22"/>
      <c r="T14" s="22"/>
      <c r="U14" s="24" t="str">
        <f>IFERROR(__xludf.DUMMYFUNCTION("SPLIT(E14,""01234567890"")"),"Jim
")</f>
        <v>Jim
</v>
      </c>
      <c r="V14" s="24" t="str">
        <f>IFERROR(__xludf.DUMMYFUNCTION("SPLIT(D14,"","")"),"Adams")</f>
        <v>Adams</v>
      </c>
      <c r="W14" s="25" t="str">
        <f t="shared" si="1"/>
        <v>JIM
 ADAMS</v>
      </c>
      <c r="X14" s="25" t="s">
        <v>92</v>
      </c>
      <c r="Y14" s="25">
        <v>75238.0</v>
      </c>
      <c r="Z14" s="25" t="str">
        <f>IFERROR(__xludf.DUMMYFUNCTION("SPLIT(C14,""
"")"),"Adams, Jim")</f>
        <v>Adams, Jim</v>
      </c>
      <c r="AA14" s="25" t="str">
        <f>IFERROR(__xludf.DUMMYFUNCTION("""COMPUTED_VALUE"""),"9927 Capridge")</f>
        <v>9927 Capridge</v>
      </c>
      <c r="AB14" s="25" t="str">
        <f>IFERROR(__xludf.DUMMYFUNCTION("""COMPUTED_VALUE"""),"Dallas, TX 75238")</f>
        <v>Dallas, TX 75238</v>
      </c>
      <c r="AC14" s="24" t="s">
        <v>93</v>
      </c>
      <c r="AD14" s="25"/>
      <c r="AE14" s="25"/>
      <c r="AF14" s="25"/>
      <c r="AG14" s="22" t="s">
        <v>60</v>
      </c>
      <c r="AH14" s="54">
        <v>2477.0</v>
      </c>
      <c r="AI14" s="22" t="s">
        <v>68</v>
      </c>
      <c r="AJ14" s="27">
        <v>500.0</v>
      </c>
      <c r="AK14" s="31" t="s">
        <v>26</v>
      </c>
      <c r="AL14" s="28">
        <v>44879.0</v>
      </c>
      <c r="AM14" s="29">
        <v>44940.42346064815</v>
      </c>
      <c r="AN14" s="30">
        <v>2.0</v>
      </c>
      <c r="AO14" s="22"/>
      <c r="AP14" s="22"/>
      <c r="AQ14" s="22"/>
      <c r="AR14" s="22"/>
      <c r="AS14" s="31">
        <f>IFERROR(__xludf.DUMMYFUNCTION("""COMPUTED_VALUE"""),77077.0)</f>
        <v>77077</v>
      </c>
      <c r="AT14" s="45">
        <f t="shared" si="6"/>
        <v>2000</v>
      </c>
      <c r="AU14" s="22"/>
      <c r="AV14" s="57" t="str">
        <f>IFERROR(__xludf.DUMMYFUNCTION("""COMPUTED_VALUE"""),"Alcantar")</f>
        <v>Alcantar</v>
      </c>
      <c r="AW14" s="46">
        <f t="shared" si="7"/>
        <v>3500</v>
      </c>
      <c r="AX14" s="47">
        <f t="shared" ref="AX14:BQ14" si="59">SUMIFS($AJ:$AJ,$V:$V,$AV14,$AK:$AK,AX$2)</f>
        <v>0</v>
      </c>
      <c r="AY14" s="48">
        <f t="shared" si="59"/>
        <v>0</v>
      </c>
      <c r="AZ14" s="48">
        <f t="shared" si="59"/>
        <v>0</v>
      </c>
      <c r="BA14" s="48">
        <f t="shared" si="59"/>
        <v>3000</v>
      </c>
      <c r="BB14" s="48">
        <f t="shared" si="59"/>
        <v>0</v>
      </c>
      <c r="BC14" s="48">
        <f t="shared" si="59"/>
        <v>0</v>
      </c>
      <c r="BD14" s="48">
        <f t="shared" si="59"/>
        <v>500</v>
      </c>
      <c r="BE14" s="48">
        <f t="shared" si="59"/>
        <v>0</v>
      </c>
      <c r="BF14" s="48">
        <f t="shared" si="59"/>
        <v>0</v>
      </c>
      <c r="BG14" s="48">
        <f t="shared" si="59"/>
        <v>0</v>
      </c>
      <c r="BH14" s="48">
        <f t="shared" si="59"/>
        <v>0</v>
      </c>
      <c r="BI14" s="48">
        <f t="shared" si="59"/>
        <v>0</v>
      </c>
      <c r="BJ14" s="48">
        <f t="shared" si="59"/>
        <v>0</v>
      </c>
      <c r="BK14" s="48">
        <f t="shared" si="59"/>
        <v>0</v>
      </c>
      <c r="BL14" s="48">
        <f t="shared" si="59"/>
        <v>0</v>
      </c>
      <c r="BM14" s="48">
        <f t="shared" si="59"/>
        <v>0</v>
      </c>
      <c r="BN14" s="48">
        <f t="shared" si="59"/>
        <v>0</v>
      </c>
      <c r="BO14" s="48">
        <f t="shared" si="59"/>
        <v>0</v>
      </c>
      <c r="BP14" s="48">
        <f t="shared" si="59"/>
        <v>0</v>
      </c>
      <c r="BQ14" s="48">
        <f t="shared" si="59"/>
        <v>0</v>
      </c>
      <c r="BR14" s="36">
        <f t="shared" si="9"/>
        <v>0</v>
      </c>
      <c r="BS14" s="38">
        <f t="shared" si="10"/>
        <v>1</v>
      </c>
      <c r="BT14" s="49">
        <f t="shared" si="11"/>
        <v>0</v>
      </c>
      <c r="BU14" s="38">
        <f t="shared" si="12"/>
        <v>1000</v>
      </c>
      <c r="BV14" s="57" t="str">
        <f>IFERROR(__xludf.DUMMYFUNCTION("""COMPUTED_VALUE"""),"Alcantar")</f>
        <v>Alcantar</v>
      </c>
      <c r="BW14" s="46">
        <f t="shared" si="13"/>
        <v>3500</v>
      </c>
      <c r="BX14" s="47">
        <f t="shared" ref="BX14:CA14" si="60">AX14-$BU14</f>
        <v>-1000</v>
      </c>
      <c r="BY14" s="47">
        <f t="shared" si="60"/>
        <v>-1000</v>
      </c>
      <c r="BZ14" s="47">
        <f t="shared" si="60"/>
        <v>-1000</v>
      </c>
      <c r="CA14" s="47">
        <f t="shared" si="60"/>
        <v>2000</v>
      </c>
      <c r="CB14" s="47">
        <f t="shared" si="15"/>
        <v>-10000</v>
      </c>
      <c r="CC14" s="47">
        <f t="shared" ref="CC14:CQ14" si="61">BC14-$BU14</f>
        <v>-1000</v>
      </c>
      <c r="CD14" s="47">
        <f t="shared" si="61"/>
        <v>-500</v>
      </c>
      <c r="CE14" s="47">
        <f t="shared" si="61"/>
        <v>-1000</v>
      </c>
      <c r="CF14" s="47">
        <f t="shared" si="61"/>
        <v>-1000</v>
      </c>
      <c r="CG14" s="47">
        <f t="shared" si="61"/>
        <v>-1000</v>
      </c>
      <c r="CH14" s="47">
        <f t="shared" si="61"/>
        <v>-1000</v>
      </c>
      <c r="CI14" s="47">
        <f t="shared" si="61"/>
        <v>-1000</v>
      </c>
      <c r="CJ14" s="47">
        <f t="shared" si="61"/>
        <v>-1000</v>
      </c>
      <c r="CK14" s="47">
        <f t="shared" si="61"/>
        <v>-1000</v>
      </c>
      <c r="CL14" s="47">
        <f t="shared" si="61"/>
        <v>-1000</v>
      </c>
      <c r="CM14" s="47">
        <f t="shared" si="61"/>
        <v>-1000</v>
      </c>
      <c r="CN14" s="47">
        <f t="shared" si="61"/>
        <v>-1000</v>
      </c>
      <c r="CO14" s="47">
        <f t="shared" si="61"/>
        <v>-1000</v>
      </c>
      <c r="CP14" s="47">
        <f t="shared" si="61"/>
        <v>-1000</v>
      </c>
      <c r="CQ14" s="47">
        <f t="shared" si="61"/>
        <v>-1000</v>
      </c>
      <c r="CR14" s="47"/>
      <c r="CS14" s="47"/>
      <c r="CT14" s="47"/>
      <c r="CU14" s="50" t="str">
        <f>IFERROR(__xludf.DUMMYFUNCTION("""COMPUTED_VALUE"""),"9927 Capridge
Dallas, TX 75238           ")</f>
        <v>9927 Capridge
Dallas, TX 75238           </v>
      </c>
      <c r="CV14" s="51">
        <f>IFERROR(__xludf.DUMMYFUNCTION("IF(REGEXMATCH(UPPER(CU14), ""TX""),0,1)"),0.0)</f>
        <v>0</v>
      </c>
      <c r="CW14" s="51">
        <f>IFERROR(__xludf.DUMMYFUNCTION("IF(REGEXMATCH(UPPER(CU14), ""DALLAS""),0,1)"),0.0)</f>
        <v>0</v>
      </c>
      <c r="CX14" s="51">
        <f t="shared" si="17"/>
        <v>0</v>
      </c>
      <c r="CY14" s="51">
        <f t="shared" si="18"/>
        <v>0</v>
      </c>
      <c r="CZ14" s="52" t="str">
        <f t="shared" si="19"/>
        <v/>
      </c>
      <c r="DA14" s="53" t="str">
        <f>IFERROR(__xludf.DUMMYFUNCTION("""COMPUTED_VALUE"""),"
 Box 496539
Garland, TX 75049          ")</f>
        <v>
 Box 496539
Garland, TX 75049          </v>
      </c>
      <c r="DB14" s="52">
        <f t="shared" ref="DB14:DU14" si="62">SUMIFS($AJ:$AJ,$X:$X,$DA14,$AK:$AK,DB$2)</f>
        <v>1000</v>
      </c>
      <c r="DC14" s="52">
        <f t="shared" si="62"/>
        <v>0</v>
      </c>
      <c r="DD14" s="52">
        <f t="shared" si="62"/>
        <v>0</v>
      </c>
      <c r="DE14" s="52">
        <f t="shared" si="62"/>
        <v>0</v>
      </c>
      <c r="DF14" s="52">
        <f t="shared" si="62"/>
        <v>0</v>
      </c>
      <c r="DG14" s="52">
        <f t="shared" si="62"/>
        <v>0</v>
      </c>
      <c r="DH14" s="52">
        <f t="shared" si="62"/>
        <v>0</v>
      </c>
      <c r="DI14" s="52">
        <f t="shared" si="62"/>
        <v>0</v>
      </c>
      <c r="DJ14" s="52">
        <f t="shared" si="62"/>
        <v>0</v>
      </c>
      <c r="DK14" s="52">
        <f t="shared" si="62"/>
        <v>0</v>
      </c>
      <c r="DL14" s="52">
        <f t="shared" si="62"/>
        <v>0</v>
      </c>
      <c r="DM14" s="52">
        <f t="shared" si="62"/>
        <v>0</v>
      </c>
      <c r="DN14" s="52">
        <f t="shared" si="62"/>
        <v>0</v>
      </c>
      <c r="DO14" s="52">
        <f t="shared" si="62"/>
        <v>0</v>
      </c>
      <c r="DP14" s="52">
        <f t="shared" si="62"/>
        <v>0</v>
      </c>
      <c r="DQ14" s="52">
        <f t="shared" si="62"/>
        <v>0</v>
      </c>
      <c r="DR14" s="52">
        <f t="shared" si="62"/>
        <v>0</v>
      </c>
      <c r="DS14" s="52">
        <f t="shared" si="62"/>
        <v>0</v>
      </c>
      <c r="DT14" s="52">
        <f t="shared" si="62"/>
        <v>0</v>
      </c>
      <c r="DU14" s="52">
        <f t="shared" si="62"/>
        <v>0</v>
      </c>
      <c r="DV14" s="52">
        <f t="shared" si="21"/>
        <v>1000</v>
      </c>
      <c r="DW14" s="52">
        <f t="shared" si="22"/>
        <v>1</v>
      </c>
    </row>
    <row r="15">
      <c r="A15" s="41" t="s">
        <v>64</v>
      </c>
      <c r="B15" s="41" t="s">
        <v>56</v>
      </c>
      <c r="C15" s="31" t="s">
        <v>94</v>
      </c>
      <c r="D15" s="25" t="str">
        <f>IFERROR(__xludf.DUMMYFUNCTION("SPLIT(C15,"" "")"),"Adams,")</f>
        <v>Adams,</v>
      </c>
      <c r="E15" s="40" t="str">
        <f>IFERROR(__xludf.DUMMYFUNCTION("""COMPUTED_VALUE"""),"John
4011")</f>
        <v>John
4011</v>
      </c>
      <c r="F15" s="40" t="str">
        <f>IFERROR(__xludf.DUMMYFUNCTION("""COMPUTED_VALUE"""),"Miramar")</f>
        <v>Miramar</v>
      </c>
      <c r="G15" s="40" t="str">
        <f>IFERROR(__xludf.DUMMYFUNCTION("""COMPUTED_VALUE"""),"Avenue
Dallas,")</f>
        <v>Avenue
Dallas,</v>
      </c>
      <c r="H15" s="40" t="str">
        <f>IFERROR(__xludf.DUMMYFUNCTION("""COMPUTED_VALUE"""),"TX")</f>
        <v>TX</v>
      </c>
      <c r="I15" s="40">
        <f>IFERROR(__xludf.DUMMYFUNCTION("""COMPUTED_VALUE"""),75205.0)</f>
        <v>75205</v>
      </c>
      <c r="J15" s="40"/>
      <c r="K15" s="40"/>
      <c r="L15" s="40"/>
      <c r="M15" s="40"/>
      <c r="N15" s="40"/>
      <c r="O15" s="40"/>
      <c r="P15" s="40"/>
      <c r="Q15" s="40"/>
      <c r="R15" s="40"/>
      <c r="S15" s="40"/>
      <c r="T15" s="40"/>
      <c r="U15" s="24" t="str">
        <f>IFERROR(__xludf.DUMMYFUNCTION("SPLIT(E15,""01234567890"")"),"John
")</f>
        <v>John
</v>
      </c>
      <c r="V15" s="24" t="str">
        <f>IFERROR(__xludf.DUMMYFUNCTION("SPLIT(D15,"","")"),"Adams")</f>
        <v>Adams</v>
      </c>
      <c r="W15" s="25" t="str">
        <f t="shared" si="1"/>
        <v>JOHN
 ADAMS</v>
      </c>
      <c r="X15" s="25" t="s">
        <v>95</v>
      </c>
      <c r="Y15" s="25">
        <v>75205.0</v>
      </c>
      <c r="Z15" s="25" t="str">
        <f>IFERROR(__xludf.DUMMYFUNCTION("SPLIT(C15,""
"")"),"Adams, John")</f>
        <v>Adams, John</v>
      </c>
      <c r="AA15" s="25" t="str">
        <f>IFERROR(__xludf.DUMMYFUNCTION("""COMPUTED_VALUE"""),"4011 Miramar Avenue")</f>
        <v>4011 Miramar Avenue</v>
      </c>
      <c r="AB15" s="25" t="str">
        <f>IFERROR(__xludf.DUMMYFUNCTION("""COMPUTED_VALUE"""),"Dallas, TX 75205")</f>
        <v>Dallas, TX 75205</v>
      </c>
      <c r="AC15" s="24" t="s">
        <v>96</v>
      </c>
      <c r="AD15" s="25"/>
      <c r="AE15" s="25"/>
      <c r="AF15" s="25"/>
      <c r="AG15" s="40" t="s">
        <v>60</v>
      </c>
      <c r="AH15" s="42">
        <v>2481.0</v>
      </c>
      <c r="AI15" s="40" t="s">
        <v>68</v>
      </c>
      <c r="AJ15" s="27">
        <v>2500.0</v>
      </c>
      <c r="AK15" s="31" t="s">
        <v>25</v>
      </c>
      <c r="AL15" s="43">
        <v>44824.0</v>
      </c>
      <c r="AM15" s="44">
        <v>44937.81995370371</v>
      </c>
      <c r="AN15" s="30">
        <v>2.0</v>
      </c>
      <c r="AO15" s="40"/>
      <c r="AP15" s="40"/>
      <c r="AQ15" s="40"/>
      <c r="AR15" s="40"/>
      <c r="AS15" s="31">
        <f>IFERROR(__xludf.DUMMYFUNCTION("""COMPUTED_VALUE"""),75248.0)</f>
        <v>75248</v>
      </c>
      <c r="AT15" s="45">
        <f t="shared" si="6"/>
        <v>1050</v>
      </c>
      <c r="AU15" s="40"/>
      <c r="AV15" s="46" t="str">
        <f>IFERROR(__xludf.DUMMYFUNCTION("""COMPUTED_VALUE"""),"Aldredge")</f>
        <v>Aldredge</v>
      </c>
      <c r="AW15" s="46">
        <f t="shared" si="7"/>
        <v>200</v>
      </c>
      <c r="AX15" s="47">
        <f t="shared" ref="AX15:BQ15" si="63">SUMIFS($AJ:$AJ,$V:$V,$AV15,$AK:$AK,AX$2)</f>
        <v>0</v>
      </c>
      <c r="AY15" s="48">
        <f t="shared" si="63"/>
        <v>0</v>
      </c>
      <c r="AZ15" s="48">
        <f t="shared" si="63"/>
        <v>0</v>
      </c>
      <c r="BA15" s="48">
        <f t="shared" si="63"/>
        <v>0</v>
      </c>
      <c r="BB15" s="48">
        <f t="shared" si="63"/>
        <v>0</v>
      </c>
      <c r="BC15" s="48">
        <f t="shared" si="63"/>
        <v>200</v>
      </c>
      <c r="BD15" s="48">
        <f t="shared" si="63"/>
        <v>0</v>
      </c>
      <c r="BE15" s="48">
        <f t="shared" si="63"/>
        <v>0</v>
      </c>
      <c r="BF15" s="48">
        <f t="shared" si="63"/>
        <v>0</v>
      </c>
      <c r="BG15" s="48">
        <f t="shared" si="63"/>
        <v>0</v>
      </c>
      <c r="BH15" s="48">
        <f t="shared" si="63"/>
        <v>0</v>
      </c>
      <c r="BI15" s="48">
        <f t="shared" si="63"/>
        <v>0</v>
      </c>
      <c r="BJ15" s="48">
        <f t="shared" si="63"/>
        <v>0</v>
      </c>
      <c r="BK15" s="48">
        <f t="shared" si="63"/>
        <v>0</v>
      </c>
      <c r="BL15" s="48">
        <f t="shared" si="63"/>
        <v>0</v>
      </c>
      <c r="BM15" s="48">
        <f t="shared" si="63"/>
        <v>0</v>
      </c>
      <c r="BN15" s="48">
        <f t="shared" si="63"/>
        <v>0</v>
      </c>
      <c r="BO15" s="48">
        <f t="shared" si="63"/>
        <v>0</v>
      </c>
      <c r="BP15" s="48">
        <f t="shared" si="63"/>
        <v>0</v>
      </c>
      <c r="BQ15" s="48">
        <f t="shared" si="63"/>
        <v>0</v>
      </c>
      <c r="BR15" s="36">
        <f t="shared" si="9"/>
        <v>1</v>
      </c>
      <c r="BS15" s="38">
        <f t="shared" si="10"/>
        <v>2</v>
      </c>
      <c r="BT15" s="49">
        <f t="shared" si="11"/>
        <v>0</v>
      </c>
      <c r="BU15" s="38">
        <f t="shared" si="12"/>
        <v>2000</v>
      </c>
      <c r="BV15" s="46" t="str">
        <f>IFERROR(__xludf.DUMMYFUNCTION("""COMPUTED_VALUE"""),"Aldredge")</f>
        <v>Aldredge</v>
      </c>
      <c r="BW15" s="46">
        <f t="shared" si="13"/>
        <v>200</v>
      </c>
      <c r="BX15" s="47">
        <f t="shared" ref="BX15:CA15" si="64">AX15-$BU15</f>
        <v>-2000</v>
      </c>
      <c r="BY15" s="47">
        <f t="shared" si="64"/>
        <v>-2000</v>
      </c>
      <c r="BZ15" s="47">
        <f t="shared" si="64"/>
        <v>-2000</v>
      </c>
      <c r="CA15" s="47">
        <f t="shared" si="64"/>
        <v>-2000</v>
      </c>
      <c r="CB15" s="47">
        <f t="shared" si="15"/>
        <v>-20000</v>
      </c>
      <c r="CC15" s="47">
        <f t="shared" ref="CC15:CQ15" si="65">BC15-$BU15</f>
        <v>-1800</v>
      </c>
      <c r="CD15" s="47">
        <f t="shared" si="65"/>
        <v>-2000</v>
      </c>
      <c r="CE15" s="47">
        <f t="shared" si="65"/>
        <v>-2000</v>
      </c>
      <c r="CF15" s="47">
        <f t="shared" si="65"/>
        <v>-2000</v>
      </c>
      <c r="CG15" s="47">
        <f t="shared" si="65"/>
        <v>-2000</v>
      </c>
      <c r="CH15" s="47">
        <f t="shared" si="65"/>
        <v>-2000</v>
      </c>
      <c r="CI15" s="47">
        <f t="shared" si="65"/>
        <v>-2000</v>
      </c>
      <c r="CJ15" s="47">
        <f t="shared" si="65"/>
        <v>-2000</v>
      </c>
      <c r="CK15" s="47">
        <f t="shared" si="65"/>
        <v>-2000</v>
      </c>
      <c r="CL15" s="47">
        <f t="shared" si="65"/>
        <v>-2000</v>
      </c>
      <c r="CM15" s="47">
        <f t="shared" si="65"/>
        <v>-2000</v>
      </c>
      <c r="CN15" s="47">
        <f t="shared" si="65"/>
        <v>-2000</v>
      </c>
      <c r="CO15" s="47">
        <f t="shared" si="65"/>
        <v>-2000</v>
      </c>
      <c r="CP15" s="47">
        <f t="shared" si="65"/>
        <v>-2000</v>
      </c>
      <c r="CQ15" s="47">
        <f t="shared" si="65"/>
        <v>-2000</v>
      </c>
      <c r="CR15" s="47"/>
      <c r="CS15" s="47"/>
      <c r="CT15" s="47"/>
      <c r="CU15" s="50" t="str">
        <f>IFERROR(__xludf.DUMMYFUNCTION("""COMPUTED_VALUE"""),"4011 Miramar Avenue
Dallas, TX 75205          ")</f>
        <v>4011 Miramar Avenue
Dallas, TX 75205          </v>
      </c>
      <c r="CV15" s="51">
        <f>IFERROR(__xludf.DUMMYFUNCTION("IF(REGEXMATCH(UPPER(CU15), ""TX""),0,1)"),0.0)</f>
        <v>0</v>
      </c>
      <c r="CW15" s="51">
        <f>IFERROR(__xludf.DUMMYFUNCTION("IF(REGEXMATCH(UPPER(CU15), ""DALLAS""),0,1)"),0.0)</f>
        <v>0</v>
      </c>
      <c r="CX15" s="51">
        <f t="shared" si="17"/>
        <v>0</v>
      </c>
      <c r="CY15" s="51">
        <f t="shared" si="18"/>
        <v>0</v>
      </c>
      <c r="CZ15" s="52" t="str">
        <f t="shared" si="19"/>
        <v/>
      </c>
      <c r="DA15" s="53" t="str">
        <f>IFERROR(__xludf.DUMMYFUNCTION("""COMPUTED_VALUE"""),"816 Congress Ave.
Austin, TX 78701          ")</f>
        <v>816 Congress Ave.
Austin, TX 78701          </v>
      </c>
      <c r="DB15" s="52">
        <f t="shared" ref="DB15:DU15" si="66">SUMIFS($AJ:$AJ,$X:$X,$DA15,$AK:$AK,DB$2)</f>
        <v>0</v>
      </c>
      <c r="DC15" s="52">
        <f t="shared" si="66"/>
        <v>0</v>
      </c>
      <c r="DD15" s="52">
        <f t="shared" si="66"/>
        <v>0</v>
      </c>
      <c r="DE15" s="52">
        <f t="shared" si="66"/>
        <v>0</v>
      </c>
      <c r="DF15" s="52">
        <f t="shared" si="66"/>
        <v>5000</v>
      </c>
      <c r="DG15" s="52">
        <f t="shared" si="66"/>
        <v>0</v>
      </c>
      <c r="DH15" s="52">
        <f t="shared" si="66"/>
        <v>0</v>
      </c>
      <c r="DI15" s="52">
        <f t="shared" si="66"/>
        <v>0</v>
      </c>
      <c r="DJ15" s="52">
        <f t="shared" si="66"/>
        <v>0</v>
      </c>
      <c r="DK15" s="52">
        <f t="shared" si="66"/>
        <v>0</v>
      </c>
      <c r="DL15" s="52">
        <f t="shared" si="66"/>
        <v>0</v>
      </c>
      <c r="DM15" s="52">
        <f t="shared" si="66"/>
        <v>0</v>
      </c>
      <c r="DN15" s="52">
        <f t="shared" si="66"/>
        <v>0</v>
      </c>
      <c r="DO15" s="52">
        <f t="shared" si="66"/>
        <v>0</v>
      </c>
      <c r="DP15" s="52">
        <f t="shared" si="66"/>
        <v>0</v>
      </c>
      <c r="DQ15" s="52">
        <f t="shared" si="66"/>
        <v>0</v>
      </c>
      <c r="DR15" s="52">
        <f t="shared" si="66"/>
        <v>0</v>
      </c>
      <c r="DS15" s="52">
        <f t="shared" si="66"/>
        <v>0</v>
      </c>
      <c r="DT15" s="52">
        <f t="shared" si="66"/>
        <v>0</v>
      </c>
      <c r="DU15" s="52">
        <f t="shared" si="66"/>
        <v>0</v>
      </c>
      <c r="DV15" s="52">
        <f t="shared" si="21"/>
        <v>5000</v>
      </c>
      <c r="DW15" s="52">
        <f t="shared" si="22"/>
        <v>1</v>
      </c>
    </row>
    <row r="16">
      <c r="A16" s="22" t="s">
        <v>55</v>
      </c>
      <c r="B16" s="23" t="s">
        <v>56</v>
      </c>
      <c r="C16" s="31" t="s">
        <v>97</v>
      </c>
      <c r="D16" s="25" t="str">
        <f>IFERROR(__xludf.DUMMYFUNCTION("SPLIT(C16,"" "")"),"Addy,")</f>
        <v>Addy,</v>
      </c>
      <c r="E16" s="22" t="str">
        <f>IFERROR(__xludf.DUMMYFUNCTION("""COMPUTED_VALUE"""),"Lydia
3805")</f>
        <v>Lydia
3805</v>
      </c>
      <c r="F16" s="22" t="str">
        <f>IFERROR(__xludf.DUMMYFUNCTION("""COMPUTED_VALUE"""),"Normandy")</f>
        <v>Normandy</v>
      </c>
      <c r="G16" s="22" t="str">
        <f>IFERROR(__xludf.DUMMYFUNCTION("""COMPUTED_VALUE"""),"Ave.
Dallas,")</f>
        <v>Ave.
Dallas,</v>
      </c>
      <c r="H16" s="22" t="str">
        <f>IFERROR(__xludf.DUMMYFUNCTION("""COMPUTED_VALUE"""),"TX")</f>
        <v>TX</v>
      </c>
      <c r="I16" s="22">
        <f>IFERROR(__xludf.DUMMYFUNCTION("""COMPUTED_VALUE"""),75205.0)</f>
        <v>75205</v>
      </c>
      <c r="J16" s="22"/>
      <c r="K16" s="22"/>
      <c r="L16" s="22"/>
      <c r="M16" s="22"/>
      <c r="N16" s="22"/>
      <c r="O16" s="22"/>
      <c r="P16" s="22"/>
      <c r="Q16" s="22"/>
      <c r="R16" s="22"/>
      <c r="S16" s="22"/>
      <c r="T16" s="22"/>
      <c r="U16" s="24" t="str">
        <f>IFERROR(__xludf.DUMMYFUNCTION("SPLIT(E16,""01234567890"")"),"Lydia
")</f>
        <v>Lydia
</v>
      </c>
      <c r="V16" s="24" t="str">
        <f>IFERROR(__xludf.DUMMYFUNCTION("SPLIT(D16,"","")"),"Addy")</f>
        <v>Addy</v>
      </c>
      <c r="W16" s="25" t="str">
        <f t="shared" si="1"/>
        <v>LYDIA
 ADDY</v>
      </c>
      <c r="X16" s="25" t="s">
        <v>98</v>
      </c>
      <c r="Y16" s="25">
        <v>75205.0</v>
      </c>
      <c r="Z16" s="25" t="str">
        <f>IFERROR(__xludf.DUMMYFUNCTION("SPLIT(C16,""
"")"),"Addy, Lydia")</f>
        <v>Addy, Lydia</v>
      </c>
      <c r="AA16" s="25" t="str">
        <f>IFERROR(__xludf.DUMMYFUNCTION("""COMPUTED_VALUE"""),"3805 Normandy Ave.")</f>
        <v>3805 Normandy Ave.</v>
      </c>
      <c r="AB16" s="25" t="str">
        <f>IFERROR(__xludf.DUMMYFUNCTION("""COMPUTED_VALUE"""),"Dallas, TX 75205")</f>
        <v>Dallas, TX 75205</v>
      </c>
      <c r="AC16" s="24" t="s">
        <v>99</v>
      </c>
      <c r="AD16" s="25"/>
      <c r="AE16" s="25"/>
      <c r="AF16" s="25"/>
      <c r="AG16" s="22" t="s">
        <v>60</v>
      </c>
      <c r="AH16" s="54">
        <v>2501.0</v>
      </c>
      <c r="AI16" s="22" t="s">
        <v>68</v>
      </c>
      <c r="AJ16" s="27">
        <v>1000.0</v>
      </c>
      <c r="AK16" s="31" t="s">
        <v>21</v>
      </c>
      <c r="AL16" s="28">
        <v>44909.0</v>
      </c>
      <c r="AM16" s="29">
        <v>44943.63122685185</v>
      </c>
      <c r="AN16" s="30">
        <v>2.0</v>
      </c>
      <c r="AO16" s="22"/>
      <c r="AP16" s="22"/>
      <c r="AQ16" s="22"/>
      <c r="AR16" s="22"/>
      <c r="AS16" s="31">
        <f>IFERROR(__xludf.DUMMYFUNCTION("""COMPUTED_VALUE"""),75225.0)</f>
        <v>75225</v>
      </c>
      <c r="AT16" s="45">
        <f t="shared" si="6"/>
        <v>30225</v>
      </c>
      <c r="AU16" s="22"/>
      <c r="AV16" s="57" t="str">
        <f>IFERROR(__xludf.DUMMYFUNCTION("""COMPUTED_VALUE"""),"Alef")</f>
        <v>Alef</v>
      </c>
      <c r="AW16" s="46">
        <f t="shared" si="7"/>
        <v>200</v>
      </c>
      <c r="AX16" s="47">
        <f t="shared" ref="AX16:BQ16" si="67">SUMIFS($AJ:$AJ,$V:$V,$AV16,$AK:$AK,AX$2)</f>
        <v>200</v>
      </c>
      <c r="AY16" s="48">
        <f t="shared" si="67"/>
        <v>0</v>
      </c>
      <c r="AZ16" s="48">
        <f t="shared" si="67"/>
        <v>0</v>
      </c>
      <c r="BA16" s="48">
        <f t="shared" si="67"/>
        <v>0</v>
      </c>
      <c r="BB16" s="48">
        <f t="shared" si="67"/>
        <v>0</v>
      </c>
      <c r="BC16" s="48">
        <f t="shared" si="67"/>
        <v>0</v>
      </c>
      <c r="BD16" s="48">
        <f t="shared" si="67"/>
        <v>0</v>
      </c>
      <c r="BE16" s="48">
        <f t="shared" si="67"/>
        <v>0</v>
      </c>
      <c r="BF16" s="48">
        <f t="shared" si="67"/>
        <v>0</v>
      </c>
      <c r="BG16" s="48">
        <f t="shared" si="67"/>
        <v>0</v>
      </c>
      <c r="BH16" s="48">
        <f t="shared" si="67"/>
        <v>0</v>
      </c>
      <c r="BI16" s="48">
        <f t="shared" si="67"/>
        <v>0</v>
      </c>
      <c r="BJ16" s="48">
        <f t="shared" si="67"/>
        <v>0</v>
      </c>
      <c r="BK16" s="48">
        <f t="shared" si="67"/>
        <v>0</v>
      </c>
      <c r="BL16" s="48">
        <f t="shared" si="67"/>
        <v>0</v>
      </c>
      <c r="BM16" s="48">
        <f t="shared" si="67"/>
        <v>0</v>
      </c>
      <c r="BN16" s="48">
        <f t="shared" si="67"/>
        <v>0</v>
      </c>
      <c r="BO16" s="48">
        <f t="shared" si="67"/>
        <v>0</v>
      </c>
      <c r="BP16" s="48">
        <f t="shared" si="67"/>
        <v>0</v>
      </c>
      <c r="BQ16" s="48">
        <f t="shared" si="67"/>
        <v>0</v>
      </c>
      <c r="BR16" s="36">
        <f t="shared" si="9"/>
        <v>0</v>
      </c>
      <c r="BS16" s="38">
        <f t="shared" si="10"/>
        <v>1</v>
      </c>
      <c r="BT16" s="49">
        <f t="shared" si="11"/>
        <v>0</v>
      </c>
      <c r="BU16" s="38">
        <f t="shared" si="12"/>
        <v>1000</v>
      </c>
      <c r="BV16" s="57" t="str">
        <f>IFERROR(__xludf.DUMMYFUNCTION("""COMPUTED_VALUE"""),"Alef")</f>
        <v>Alef</v>
      </c>
      <c r="BW16" s="46">
        <f t="shared" si="13"/>
        <v>200</v>
      </c>
      <c r="BX16" s="47">
        <f t="shared" ref="BX16:CA16" si="68">AX16-$BU16</f>
        <v>-800</v>
      </c>
      <c r="BY16" s="47">
        <f t="shared" si="68"/>
        <v>-1000</v>
      </c>
      <c r="BZ16" s="47">
        <f t="shared" si="68"/>
        <v>-1000</v>
      </c>
      <c r="CA16" s="47">
        <f t="shared" si="68"/>
        <v>-1000</v>
      </c>
      <c r="CB16" s="47">
        <f t="shared" si="15"/>
        <v>-10000</v>
      </c>
      <c r="CC16" s="47">
        <f t="shared" ref="CC16:CQ16" si="69">BC16-$BU16</f>
        <v>-1000</v>
      </c>
      <c r="CD16" s="47">
        <f t="shared" si="69"/>
        <v>-1000</v>
      </c>
      <c r="CE16" s="47">
        <f t="shared" si="69"/>
        <v>-1000</v>
      </c>
      <c r="CF16" s="47">
        <f t="shared" si="69"/>
        <v>-1000</v>
      </c>
      <c r="CG16" s="47">
        <f t="shared" si="69"/>
        <v>-1000</v>
      </c>
      <c r="CH16" s="47">
        <f t="shared" si="69"/>
        <v>-1000</v>
      </c>
      <c r="CI16" s="47">
        <f t="shared" si="69"/>
        <v>-1000</v>
      </c>
      <c r="CJ16" s="47">
        <f t="shared" si="69"/>
        <v>-1000</v>
      </c>
      <c r="CK16" s="47">
        <f t="shared" si="69"/>
        <v>-1000</v>
      </c>
      <c r="CL16" s="47">
        <f t="shared" si="69"/>
        <v>-1000</v>
      </c>
      <c r="CM16" s="47">
        <f t="shared" si="69"/>
        <v>-1000</v>
      </c>
      <c r="CN16" s="47">
        <f t="shared" si="69"/>
        <v>-1000</v>
      </c>
      <c r="CO16" s="47">
        <f t="shared" si="69"/>
        <v>-1000</v>
      </c>
      <c r="CP16" s="47">
        <f t="shared" si="69"/>
        <v>-1000</v>
      </c>
      <c r="CQ16" s="47">
        <f t="shared" si="69"/>
        <v>-1000</v>
      </c>
      <c r="CR16" s="47"/>
      <c r="CS16" s="47"/>
      <c r="CT16" s="47"/>
      <c r="CU16" s="50" t="str">
        <f>IFERROR(__xludf.DUMMYFUNCTION("""COMPUTED_VALUE"""),"3805 Normandy Ave.
Dallas, TX 75205          ")</f>
        <v>3805 Normandy Ave.
Dallas, TX 75205          </v>
      </c>
      <c r="CV16" s="51">
        <f>IFERROR(__xludf.DUMMYFUNCTION("IF(REGEXMATCH(UPPER(CU16), ""TX""),0,1)"),0.0)</f>
        <v>0</v>
      </c>
      <c r="CW16" s="51">
        <f>IFERROR(__xludf.DUMMYFUNCTION("IF(REGEXMATCH(UPPER(CU16), ""DALLAS""),0,1)"),0.0)</f>
        <v>0</v>
      </c>
      <c r="CX16" s="51">
        <f t="shared" si="17"/>
        <v>0</v>
      </c>
      <c r="CY16" s="51">
        <f t="shared" si="18"/>
        <v>0</v>
      </c>
      <c r="CZ16" s="52" t="str">
        <f t="shared" si="19"/>
        <v/>
      </c>
      <c r="DA16" s="53" t="str">
        <f>IFERROR(__xludf.DUMMYFUNCTION("""COMPUTED_VALUE"""),"816 Congress Ave
Austin, TX 78701          ")</f>
        <v>816 Congress Ave
Austin, TX 78701          </v>
      </c>
      <c r="DB16" s="52">
        <f t="shared" ref="DB16:DU16" si="70">SUMIFS($AJ:$AJ,$X:$X,$DA16,$AK:$AK,DB$2)</f>
        <v>0</v>
      </c>
      <c r="DC16" s="52">
        <f t="shared" si="70"/>
        <v>0</v>
      </c>
      <c r="DD16" s="52">
        <f t="shared" si="70"/>
        <v>0</v>
      </c>
      <c r="DE16" s="52">
        <f t="shared" si="70"/>
        <v>0</v>
      </c>
      <c r="DF16" s="52">
        <f t="shared" si="70"/>
        <v>5000</v>
      </c>
      <c r="DG16" s="52">
        <f t="shared" si="70"/>
        <v>0</v>
      </c>
      <c r="DH16" s="52">
        <f t="shared" si="70"/>
        <v>0</v>
      </c>
      <c r="DI16" s="52">
        <f t="shared" si="70"/>
        <v>0</v>
      </c>
      <c r="DJ16" s="52">
        <f t="shared" si="70"/>
        <v>0</v>
      </c>
      <c r="DK16" s="52">
        <f t="shared" si="70"/>
        <v>0</v>
      </c>
      <c r="DL16" s="52">
        <f t="shared" si="70"/>
        <v>0</v>
      </c>
      <c r="DM16" s="52">
        <f t="shared" si="70"/>
        <v>0</v>
      </c>
      <c r="DN16" s="52">
        <f t="shared" si="70"/>
        <v>0</v>
      </c>
      <c r="DO16" s="52">
        <f t="shared" si="70"/>
        <v>0</v>
      </c>
      <c r="DP16" s="52">
        <f t="shared" si="70"/>
        <v>0</v>
      </c>
      <c r="DQ16" s="52">
        <f t="shared" si="70"/>
        <v>0</v>
      </c>
      <c r="DR16" s="52">
        <f t="shared" si="70"/>
        <v>0</v>
      </c>
      <c r="DS16" s="52">
        <f t="shared" si="70"/>
        <v>0</v>
      </c>
      <c r="DT16" s="52">
        <f t="shared" si="70"/>
        <v>0</v>
      </c>
      <c r="DU16" s="52">
        <f t="shared" si="70"/>
        <v>0</v>
      </c>
      <c r="DV16" s="52">
        <f t="shared" si="21"/>
        <v>5000</v>
      </c>
      <c r="DW16" s="52">
        <f t="shared" si="22"/>
        <v>1</v>
      </c>
    </row>
    <row r="17">
      <c r="A17" s="41" t="s">
        <v>64</v>
      </c>
      <c r="B17" s="41" t="s">
        <v>56</v>
      </c>
      <c r="C17" s="31" t="s">
        <v>97</v>
      </c>
      <c r="D17" s="25" t="str">
        <f>IFERROR(__xludf.DUMMYFUNCTION("SPLIT(C17,"" "")"),"Addy,")</f>
        <v>Addy,</v>
      </c>
      <c r="E17" s="40" t="str">
        <f>IFERROR(__xludf.DUMMYFUNCTION("""COMPUTED_VALUE"""),"Lydia
3805")</f>
        <v>Lydia
3805</v>
      </c>
      <c r="F17" s="40" t="str">
        <f>IFERROR(__xludf.DUMMYFUNCTION("""COMPUTED_VALUE"""),"Normandy")</f>
        <v>Normandy</v>
      </c>
      <c r="G17" s="40" t="str">
        <f>IFERROR(__xludf.DUMMYFUNCTION("""COMPUTED_VALUE"""),"Ave.
Dallas,")</f>
        <v>Ave.
Dallas,</v>
      </c>
      <c r="H17" s="40" t="str">
        <f>IFERROR(__xludf.DUMMYFUNCTION("""COMPUTED_VALUE"""),"TX")</f>
        <v>TX</v>
      </c>
      <c r="I17" s="40">
        <f>IFERROR(__xludf.DUMMYFUNCTION("""COMPUTED_VALUE"""),75205.0)</f>
        <v>75205</v>
      </c>
      <c r="J17" s="40"/>
      <c r="K17" s="40"/>
      <c r="L17" s="40"/>
      <c r="M17" s="40"/>
      <c r="N17" s="40"/>
      <c r="O17" s="40"/>
      <c r="P17" s="40"/>
      <c r="Q17" s="40"/>
      <c r="R17" s="40"/>
      <c r="S17" s="40"/>
      <c r="T17" s="40"/>
      <c r="U17" s="24" t="str">
        <f>IFERROR(__xludf.DUMMYFUNCTION("SPLIT(E17,""01234567890"")"),"Lydia
")</f>
        <v>Lydia
</v>
      </c>
      <c r="V17" s="24" t="str">
        <f>IFERROR(__xludf.DUMMYFUNCTION("SPLIT(D17,"","")"),"Addy")</f>
        <v>Addy</v>
      </c>
      <c r="W17" s="25" t="str">
        <f t="shared" si="1"/>
        <v>LYDIA
 ADDY</v>
      </c>
      <c r="X17" s="25" t="s">
        <v>98</v>
      </c>
      <c r="Y17" s="25">
        <v>75205.0</v>
      </c>
      <c r="Z17" s="25" t="str">
        <f>IFERROR(__xludf.DUMMYFUNCTION("SPLIT(C17,""
"")"),"Addy, Lydia")</f>
        <v>Addy, Lydia</v>
      </c>
      <c r="AA17" s="25" t="str">
        <f>IFERROR(__xludf.DUMMYFUNCTION("""COMPUTED_VALUE"""),"3805 Normandy Ave.")</f>
        <v>3805 Normandy Ave.</v>
      </c>
      <c r="AB17" s="25" t="str">
        <f>IFERROR(__xludf.DUMMYFUNCTION("""COMPUTED_VALUE"""),"Dallas, TX 75205")</f>
        <v>Dallas, TX 75205</v>
      </c>
      <c r="AC17" s="24" t="s">
        <v>99</v>
      </c>
      <c r="AD17" s="25"/>
      <c r="AE17" s="25"/>
      <c r="AF17" s="25"/>
      <c r="AG17" s="40" t="s">
        <v>60</v>
      </c>
      <c r="AH17" s="42">
        <v>2515.0</v>
      </c>
      <c r="AI17" s="40" t="s">
        <v>68</v>
      </c>
      <c r="AJ17" s="27">
        <v>1000.0</v>
      </c>
      <c r="AK17" s="31" t="s">
        <v>27</v>
      </c>
      <c r="AL17" s="43">
        <v>44854.0</v>
      </c>
      <c r="AM17" s="44">
        <v>44943.69443287037</v>
      </c>
      <c r="AN17" s="30">
        <v>2.0</v>
      </c>
      <c r="AO17" s="40"/>
      <c r="AP17" s="40"/>
      <c r="AQ17" s="40"/>
      <c r="AR17" s="40"/>
      <c r="AS17" s="31">
        <f>IFERROR(__xludf.DUMMYFUNCTION("""COMPUTED_VALUE"""),75252.0)</f>
        <v>75252</v>
      </c>
      <c r="AT17" s="45">
        <f t="shared" si="6"/>
        <v>1750</v>
      </c>
      <c r="AU17" s="40"/>
      <c r="AV17" s="46" t="str">
        <f>IFERROR(__xludf.DUMMYFUNCTION("""COMPUTED_VALUE"""),"Allen")</f>
        <v>Allen</v>
      </c>
      <c r="AW17" s="46">
        <f t="shared" si="7"/>
        <v>352</v>
      </c>
      <c r="AX17" s="47">
        <f t="shared" ref="AX17:BQ17" si="71">SUMIFS($AJ:$AJ,$V:$V,$AV17,$AK:$AK,AX$2)</f>
        <v>0</v>
      </c>
      <c r="AY17" s="48">
        <f t="shared" si="71"/>
        <v>0</v>
      </c>
      <c r="AZ17" s="48">
        <f t="shared" si="71"/>
        <v>0</v>
      </c>
      <c r="BA17" s="48">
        <f t="shared" si="71"/>
        <v>0</v>
      </c>
      <c r="BB17" s="48">
        <f t="shared" si="71"/>
        <v>0</v>
      </c>
      <c r="BC17" s="48">
        <f t="shared" si="71"/>
        <v>0</v>
      </c>
      <c r="BD17" s="48">
        <f t="shared" si="71"/>
        <v>0</v>
      </c>
      <c r="BE17" s="48">
        <f t="shared" si="71"/>
        <v>0</v>
      </c>
      <c r="BF17" s="48">
        <f t="shared" si="71"/>
        <v>0</v>
      </c>
      <c r="BG17" s="48">
        <f t="shared" si="71"/>
        <v>0</v>
      </c>
      <c r="BH17" s="48">
        <f t="shared" si="71"/>
        <v>250</v>
      </c>
      <c r="BI17" s="48">
        <f t="shared" si="71"/>
        <v>102</v>
      </c>
      <c r="BJ17" s="48">
        <f t="shared" si="71"/>
        <v>0</v>
      </c>
      <c r="BK17" s="48">
        <f t="shared" si="71"/>
        <v>0</v>
      </c>
      <c r="BL17" s="48">
        <f t="shared" si="71"/>
        <v>0</v>
      </c>
      <c r="BM17" s="48">
        <f t="shared" si="71"/>
        <v>0</v>
      </c>
      <c r="BN17" s="48">
        <f t="shared" si="71"/>
        <v>0</v>
      </c>
      <c r="BO17" s="48">
        <f t="shared" si="71"/>
        <v>0</v>
      </c>
      <c r="BP17" s="48">
        <f t="shared" si="71"/>
        <v>0</v>
      </c>
      <c r="BQ17" s="48">
        <f t="shared" si="71"/>
        <v>0</v>
      </c>
      <c r="BR17" s="36">
        <f t="shared" si="9"/>
        <v>1</v>
      </c>
      <c r="BS17" s="38">
        <f t="shared" si="10"/>
        <v>2</v>
      </c>
      <c r="BT17" s="49">
        <f t="shared" si="11"/>
        <v>0</v>
      </c>
      <c r="BU17" s="38">
        <f t="shared" si="12"/>
        <v>2000</v>
      </c>
      <c r="BV17" s="46" t="str">
        <f>IFERROR(__xludf.DUMMYFUNCTION("""COMPUTED_VALUE"""),"Allen")</f>
        <v>Allen</v>
      </c>
      <c r="BW17" s="46">
        <f t="shared" si="13"/>
        <v>352</v>
      </c>
      <c r="BX17" s="47">
        <f t="shared" ref="BX17:CA17" si="72">AX17-$BU17</f>
        <v>-2000</v>
      </c>
      <c r="BY17" s="47">
        <f t="shared" si="72"/>
        <v>-2000</v>
      </c>
      <c r="BZ17" s="47">
        <f t="shared" si="72"/>
        <v>-2000</v>
      </c>
      <c r="CA17" s="47">
        <f t="shared" si="72"/>
        <v>-2000</v>
      </c>
      <c r="CB17" s="47">
        <f t="shared" si="15"/>
        <v>-20000</v>
      </c>
      <c r="CC17" s="47">
        <f t="shared" ref="CC17:CQ17" si="73">BC17-$BU17</f>
        <v>-2000</v>
      </c>
      <c r="CD17" s="47">
        <f t="shared" si="73"/>
        <v>-2000</v>
      </c>
      <c r="CE17" s="47">
        <f t="shared" si="73"/>
        <v>-2000</v>
      </c>
      <c r="CF17" s="47">
        <f t="shared" si="73"/>
        <v>-2000</v>
      </c>
      <c r="CG17" s="47">
        <f t="shared" si="73"/>
        <v>-2000</v>
      </c>
      <c r="CH17" s="47">
        <f t="shared" si="73"/>
        <v>-1750</v>
      </c>
      <c r="CI17" s="47">
        <f t="shared" si="73"/>
        <v>-1898</v>
      </c>
      <c r="CJ17" s="47">
        <f t="shared" si="73"/>
        <v>-2000</v>
      </c>
      <c r="CK17" s="47">
        <f t="shared" si="73"/>
        <v>-2000</v>
      </c>
      <c r="CL17" s="47">
        <f t="shared" si="73"/>
        <v>-2000</v>
      </c>
      <c r="CM17" s="47">
        <f t="shared" si="73"/>
        <v>-2000</v>
      </c>
      <c r="CN17" s="47">
        <f t="shared" si="73"/>
        <v>-2000</v>
      </c>
      <c r="CO17" s="47">
        <f t="shared" si="73"/>
        <v>-2000</v>
      </c>
      <c r="CP17" s="47">
        <f t="shared" si="73"/>
        <v>-2000</v>
      </c>
      <c r="CQ17" s="47">
        <f t="shared" si="73"/>
        <v>-2000</v>
      </c>
      <c r="CR17" s="47"/>
      <c r="CS17" s="47"/>
      <c r="CT17" s="47"/>
      <c r="CU17" s="50" t="str">
        <f>IFERROR(__xludf.DUMMYFUNCTION("""COMPUTED_VALUE"""),"3805 Normandy Ave
Dallas, TX 75205          ")</f>
        <v>3805 Normandy Ave
Dallas, TX 75205          </v>
      </c>
      <c r="CV17" s="51">
        <f>IFERROR(__xludf.DUMMYFUNCTION("IF(REGEXMATCH(UPPER(CU17), ""TX""),0,1)"),0.0)</f>
        <v>0</v>
      </c>
      <c r="CW17" s="51">
        <f>IFERROR(__xludf.DUMMYFUNCTION("IF(REGEXMATCH(UPPER(CU17), ""DALLAS""),0,1)"),0.0)</f>
        <v>0</v>
      </c>
      <c r="CX17" s="51">
        <f t="shared" si="17"/>
        <v>0</v>
      </c>
      <c r="CY17" s="51">
        <f t="shared" si="18"/>
        <v>0</v>
      </c>
      <c r="CZ17" s="52" t="str">
        <f t="shared" si="19"/>
        <v/>
      </c>
      <c r="DA17" s="53" t="str">
        <f>IFERROR(__xludf.DUMMYFUNCTION("""COMPUTED_VALUE"""),"8751 Collin McKinney Pkwy
McKinney, TX 75070         ")</f>
        <v>8751 Collin McKinney Pkwy
McKinney, TX 75070         </v>
      </c>
      <c r="DB17" s="52">
        <f t="shared" ref="DB17:DU17" si="74">SUMIFS($AJ:$AJ,$X:$X,$DA17,$AK:$AK,DB$2)</f>
        <v>4000</v>
      </c>
      <c r="DC17" s="52">
        <f t="shared" si="74"/>
        <v>0</v>
      </c>
      <c r="DD17" s="52">
        <f t="shared" si="74"/>
        <v>0</v>
      </c>
      <c r="DE17" s="52">
        <f t="shared" si="74"/>
        <v>0</v>
      </c>
      <c r="DF17" s="52">
        <f t="shared" si="74"/>
        <v>0</v>
      </c>
      <c r="DG17" s="52">
        <f t="shared" si="74"/>
        <v>0</v>
      </c>
      <c r="DH17" s="52">
        <f t="shared" si="74"/>
        <v>0</v>
      </c>
      <c r="DI17" s="52">
        <f t="shared" si="74"/>
        <v>0</v>
      </c>
      <c r="DJ17" s="52">
        <f t="shared" si="74"/>
        <v>0</v>
      </c>
      <c r="DK17" s="52">
        <f t="shared" si="74"/>
        <v>0</v>
      </c>
      <c r="DL17" s="52">
        <f t="shared" si="74"/>
        <v>0</v>
      </c>
      <c r="DM17" s="52">
        <f t="shared" si="74"/>
        <v>0</v>
      </c>
      <c r="DN17" s="52">
        <f t="shared" si="74"/>
        <v>0</v>
      </c>
      <c r="DO17" s="52">
        <f t="shared" si="74"/>
        <v>0</v>
      </c>
      <c r="DP17" s="52">
        <f t="shared" si="74"/>
        <v>0</v>
      </c>
      <c r="DQ17" s="52">
        <f t="shared" si="74"/>
        <v>0</v>
      </c>
      <c r="DR17" s="52">
        <f t="shared" si="74"/>
        <v>0</v>
      </c>
      <c r="DS17" s="52">
        <f t="shared" si="74"/>
        <v>0</v>
      </c>
      <c r="DT17" s="52">
        <f t="shared" si="74"/>
        <v>0</v>
      </c>
      <c r="DU17" s="52">
        <f t="shared" si="74"/>
        <v>0</v>
      </c>
      <c r="DV17" s="52">
        <f t="shared" si="21"/>
        <v>4000</v>
      </c>
      <c r="DW17" s="52">
        <f t="shared" si="22"/>
        <v>1</v>
      </c>
    </row>
    <row r="18">
      <c r="A18" s="23" t="s">
        <v>64</v>
      </c>
      <c r="B18" s="23" t="s">
        <v>56</v>
      </c>
      <c r="C18" s="31" t="s">
        <v>100</v>
      </c>
      <c r="D18" s="25" t="str">
        <f>IFERROR(__xludf.DUMMYFUNCTION("SPLIT(C18,"" "")"),"Addy,")</f>
        <v>Addy,</v>
      </c>
      <c r="E18" s="22" t="str">
        <f>IFERROR(__xludf.DUMMYFUNCTION("""COMPUTED_VALUE"""),"Lydia
3805")</f>
        <v>Lydia
3805</v>
      </c>
      <c r="F18" s="22" t="str">
        <f>IFERROR(__xludf.DUMMYFUNCTION("""COMPUTED_VALUE"""),"Normandy")</f>
        <v>Normandy</v>
      </c>
      <c r="G18" s="22" t="str">
        <f>IFERROR(__xludf.DUMMYFUNCTION("""COMPUTED_VALUE"""),"Ave
Dallas,")</f>
        <v>Ave
Dallas,</v>
      </c>
      <c r="H18" s="22" t="str">
        <f>IFERROR(__xludf.DUMMYFUNCTION("""COMPUTED_VALUE"""),"TX")</f>
        <v>TX</v>
      </c>
      <c r="I18" s="22">
        <f>IFERROR(__xludf.DUMMYFUNCTION("""COMPUTED_VALUE"""),75205.0)</f>
        <v>75205</v>
      </c>
      <c r="J18" s="22"/>
      <c r="K18" s="22"/>
      <c r="L18" s="22"/>
      <c r="M18" s="22"/>
      <c r="N18" s="22"/>
      <c r="O18" s="22"/>
      <c r="P18" s="22"/>
      <c r="Q18" s="22"/>
      <c r="R18" s="22"/>
      <c r="S18" s="22"/>
      <c r="T18" s="22"/>
      <c r="U18" s="24" t="str">
        <f>IFERROR(__xludf.DUMMYFUNCTION("SPLIT(E18,""01234567890"")"),"Lydia
")</f>
        <v>Lydia
</v>
      </c>
      <c r="V18" s="24" t="str">
        <f>IFERROR(__xludf.DUMMYFUNCTION("SPLIT(D18,"","")"),"Addy")</f>
        <v>Addy</v>
      </c>
      <c r="W18" s="25" t="str">
        <f t="shared" si="1"/>
        <v>LYDIA
 ADDY</v>
      </c>
      <c r="X18" s="25" t="s">
        <v>101</v>
      </c>
      <c r="Y18" s="25">
        <v>75205.0</v>
      </c>
      <c r="Z18" s="25" t="str">
        <f>IFERROR(__xludf.DUMMYFUNCTION("SPLIT(C18,""
"")"),"Addy, Lydia")</f>
        <v>Addy, Lydia</v>
      </c>
      <c r="AA18" s="25" t="str">
        <f>IFERROR(__xludf.DUMMYFUNCTION("""COMPUTED_VALUE"""),"3805 Normandy Ave")</f>
        <v>3805 Normandy Ave</v>
      </c>
      <c r="AB18" s="25" t="str">
        <f>IFERROR(__xludf.DUMMYFUNCTION("""COMPUTED_VALUE"""),"Dallas, TX 75205")</f>
        <v>Dallas, TX 75205</v>
      </c>
      <c r="AC18" s="24" t="s">
        <v>99</v>
      </c>
      <c r="AD18" s="25"/>
      <c r="AE18" s="25"/>
      <c r="AF18" s="25"/>
      <c r="AG18" s="22" t="s">
        <v>60</v>
      </c>
      <c r="AH18" s="54">
        <v>2484.0</v>
      </c>
      <c r="AI18" s="22" t="s">
        <v>68</v>
      </c>
      <c r="AJ18" s="27">
        <v>1000.0</v>
      </c>
      <c r="AK18" s="31" t="s">
        <v>28</v>
      </c>
      <c r="AL18" s="28">
        <v>44856.0</v>
      </c>
      <c r="AM18" s="29">
        <v>44937.871145833335</v>
      </c>
      <c r="AN18" s="30">
        <v>2.0</v>
      </c>
      <c r="AO18" s="22"/>
      <c r="AP18" s="22"/>
      <c r="AQ18" s="22"/>
      <c r="AR18" s="22"/>
      <c r="AS18" s="31">
        <f>IFERROR(__xludf.DUMMYFUNCTION("""COMPUTED_VALUE"""),75218.0)</f>
        <v>75218</v>
      </c>
      <c r="AT18" s="45">
        <f t="shared" si="6"/>
        <v>8000</v>
      </c>
      <c r="AU18" s="22"/>
      <c r="AV18" s="57" t="str">
        <f>IFERROR(__xludf.DUMMYFUNCTION("""COMPUTED_VALUE"""),"Almond")</f>
        <v>Almond</v>
      </c>
      <c r="AW18" s="46">
        <f t="shared" si="7"/>
        <v>200</v>
      </c>
      <c r="AX18" s="47">
        <f t="shared" ref="AX18:BQ18" si="75">SUMIFS($AJ:$AJ,$V:$V,$AV18,$AK:$AK,AX$2)</f>
        <v>0</v>
      </c>
      <c r="AY18" s="48">
        <f t="shared" si="75"/>
        <v>0</v>
      </c>
      <c r="AZ18" s="48">
        <f t="shared" si="75"/>
        <v>0</v>
      </c>
      <c r="BA18" s="48">
        <f t="shared" si="75"/>
        <v>200</v>
      </c>
      <c r="BB18" s="48">
        <f t="shared" si="75"/>
        <v>0</v>
      </c>
      <c r="BC18" s="48">
        <f t="shared" si="75"/>
        <v>0</v>
      </c>
      <c r="BD18" s="48">
        <f t="shared" si="75"/>
        <v>0</v>
      </c>
      <c r="BE18" s="48">
        <f t="shared" si="75"/>
        <v>0</v>
      </c>
      <c r="BF18" s="48">
        <f t="shared" si="75"/>
        <v>0</v>
      </c>
      <c r="BG18" s="48">
        <f t="shared" si="75"/>
        <v>0</v>
      </c>
      <c r="BH18" s="48">
        <f t="shared" si="75"/>
        <v>0</v>
      </c>
      <c r="BI18" s="48">
        <f t="shared" si="75"/>
        <v>0</v>
      </c>
      <c r="BJ18" s="48">
        <f t="shared" si="75"/>
        <v>0</v>
      </c>
      <c r="BK18" s="48">
        <f t="shared" si="75"/>
        <v>0</v>
      </c>
      <c r="BL18" s="48">
        <f t="shared" si="75"/>
        <v>0</v>
      </c>
      <c r="BM18" s="48">
        <f t="shared" si="75"/>
        <v>0</v>
      </c>
      <c r="BN18" s="48">
        <f t="shared" si="75"/>
        <v>0</v>
      </c>
      <c r="BO18" s="48">
        <f t="shared" si="75"/>
        <v>0</v>
      </c>
      <c r="BP18" s="48">
        <f t="shared" si="75"/>
        <v>0</v>
      </c>
      <c r="BQ18" s="48">
        <f t="shared" si="75"/>
        <v>0</v>
      </c>
      <c r="BR18" s="36">
        <f t="shared" si="9"/>
        <v>0</v>
      </c>
      <c r="BS18" s="38">
        <f t="shared" si="10"/>
        <v>1</v>
      </c>
      <c r="BT18" s="49">
        <f t="shared" si="11"/>
        <v>0</v>
      </c>
      <c r="BU18" s="38">
        <f t="shared" si="12"/>
        <v>1000</v>
      </c>
      <c r="BV18" s="57" t="str">
        <f>IFERROR(__xludf.DUMMYFUNCTION("""COMPUTED_VALUE"""),"Almond")</f>
        <v>Almond</v>
      </c>
      <c r="BW18" s="46">
        <f t="shared" si="13"/>
        <v>200</v>
      </c>
      <c r="BX18" s="47">
        <f t="shared" ref="BX18:CA18" si="76">AX18-$BU18</f>
        <v>-1000</v>
      </c>
      <c r="BY18" s="47">
        <f t="shared" si="76"/>
        <v>-1000</v>
      </c>
      <c r="BZ18" s="47">
        <f t="shared" si="76"/>
        <v>-1000</v>
      </c>
      <c r="CA18" s="47">
        <f t="shared" si="76"/>
        <v>-800</v>
      </c>
      <c r="CB18" s="47">
        <f t="shared" si="15"/>
        <v>-10000</v>
      </c>
      <c r="CC18" s="47">
        <f t="shared" ref="CC18:CQ18" si="77">BC18-$BU18</f>
        <v>-1000</v>
      </c>
      <c r="CD18" s="47">
        <f t="shared" si="77"/>
        <v>-1000</v>
      </c>
      <c r="CE18" s="47">
        <f t="shared" si="77"/>
        <v>-1000</v>
      </c>
      <c r="CF18" s="47">
        <f t="shared" si="77"/>
        <v>-1000</v>
      </c>
      <c r="CG18" s="47">
        <f t="shared" si="77"/>
        <v>-1000</v>
      </c>
      <c r="CH18" s="47">
        <f t="shared" si="77"/>
        <v>-1000</v>
      </c>
      <c r="CI18" s="47">
        <f t="shared" si="77"/>
        <v>-1000</v>
      </c>
      <c r="CJ18" s="47">
        <f t="shared" si="77"/>
        <v>-1000</v>
      </c>
      <c r="CK18" s="47">
        <f t="shared" si="77"/>
        <v>-1000</v>
      </c>
      <c r="CL18" s="47">
        <f t="shared" si="77"/>
        <v>-1000</v>
      </c>
      <c r="CM18" s="47">
        <f t="shared" si="77"/>
        <v>-1000</v>
      </c>
      <c r="CN18" s="47">
        <f t="shared" si="77"/>
        <v>-1000</v>
      </c>
      <c r="CO18" s="47">
        <f t="shared" si="77"/>
        <v>-1000</v>
      </c>
      <c r="CP18" s="47">
        <f t="shared" si="77"/>
        <v>-1000</v>
      </c>
      <c r="CQ18" s="47">
        <f t="shared" si="77"/>
        <v>-1000</v>
      </c>
      <c r="CR18" s="47"/>
      <c r="CS18" s="47"/>
      <c r="CT18" s="47"/>
      <c r="CU18" s="50" t="str">
        <f>IFERROR(__xludf.DUMMYFUNCTION("""COMPUTED_VALUE"""),"3805 
Dallas, TX 75205           ")</f>
        <v>3805 
Dallas, TX 75205           </v>
      </c>
      <c r="CV18" s="51">
        <f>IFERROR(__xludf.DUMMYFUNCTION("IF(REGEXMATCH(UPPER(CU18), ""TX""),0,1)"),0.0)</f>
        <v>0</v>
      </c>
      <c r="CW18" s="51">
        <f>IFERROR(__xludf.DUMMYFUNCTION("IF(REGEXMATCH(UPPER(CU18), ""DALLAS""),0,1)"),0.0)</f>
        <v>0</v>
      </c>
      <c r="CX18" s="51">
        <f t="shared" si="17"/>
        <v>0</v>
      </c>
      <c r="CY18" s="51">
        <f t="shared" si="18"/>
        <v>0</v>
      </c>
      <c r="CZ18" s="52" t="str">
        <f t="shared" si="19"/>
        <v/>
      </c>
      <c r="DA18" s="53" t="str">
        <f>IFERROR(__xludf.DUMMYFUNCTION("""COMPUTED_VALUE"""),"1100 Lake Carolyn Pkwy
Irving, TX 75039         ")</f>
        <v>1100 Lake Carolyn Pkwy
Irving, TX 75039         </v>
      </c>
      <c r="DB18" s="52">
        <f t="shared" ref="DB18:DU18" si="78">SUMIFS($AJ:$AJ,$X:$X,$DA18,$AK:$AK,DB$2)</f>
        <v>0</v>
      </c>
      <c r="DC18" s="52">
        <f t="shared" si="78"/>
        <v>0</v>
      </c>
      <c r="DD18" s="52">
        <f t="shared" si="78"/>
        <v>0</v>
      </c>
      <c r="DE18" s="52">
        <f t="shared" si="78"/>
        <v>0</v>
      </c>
      <c r="DF18" s="52">
        <f t="shared" si="78"/>
        <v>100</v>
      </c>
      <c r="DG18" s="52">
        <f t="shared" si="78"/>
        <v>0</v>
      </c>
      <c r="DH18" s="52">
        <f t="shared" si="78"/>
        <v>0</v>
      </c>
      <c r="DI18" s="52">
        <f t="shared" si="78"/>
        <v>0</v>
      </c>
      <c r="DJ18" s="52">
        <f t="shared" si="78"/>
        <v>0</v>
      </c>
      <c r="DK18" s="52">
        <f t="shared" si="78"/>
        <v>0</v>
      </c>
      <c r="DL18" s="52">
        <f t="shared" si="78"/>
        <v>0</v>
      </c>
      <c r="DM18" s="52">
        <f t="shared" si="78"/>
        <v>0</v>
      </c>
      <c r="DN18" s="52">
        <f t="shared" si="78"/>
        <v>0</v>
      </c>
      <c r="DO18" s="52">
        <f t="shared" si="78"/>
        <v>0</v>
      </c>
      <c r="DP18" s="52">
        <f t="shared" si="78"/>
        <v>0</v>
      </c>
      <c r="DQ18" s="52">
        <f t="shared" si="78"/>
        <v>0</v>
      </c>
      <c r="DR18" s="52">
        <f t="shared" si="78"/>
        <v>0</v>
      </c>
      <c r="DS18" s="52">
        <f t="shared" si="78"/>
        <v>0</v>
      </c>
      <c r="DT18" s="52">
        <f t="shared" si="78"/>
        <v>0</v>
      </c>
      <c r="DU18" s="52">
        <f t="shared" si="78"/>
        <v>0</v>
      </c>
      <c r="DV18" s="52">
        <f t="shared" si="21"/>
        <v>100</v>
      </c>
      <c r="DW18" s="52">
        <f t="shared" si="22"/>
        <v>1</v>
      </c>
    </row>
    <row r="19">
      <c r="A19" s="41" t="s">
        <v>64</v>
      </c>
      <c r="B19" s="41" t="s">
        <v>56</v>
      </c>
      <c r="C19" s="31" t="s">
        <v>100</v>
      </c>
      <c r="D19" s="25" t="str">
        <f>IFERROR(__xludf.DUMMYFUNCTION("SPLIT(C19,"" "")"),"Addy,")</f>
        <v>Addy,</v>
      </c>
      <c r="E19" s="40" t="str">
        <f>IFERROR(__xludf.DUMMYFUNCTION("""COMPUTED_VALUE"""),"Lydia
3805")</f>
        <v>Lydia
3805</v>
      </c>
      <c r="F19" s="40" t="str">
        <f>IFERROR(__xludf.DUMMYFUNCTION("""COMPUTED_VALUE"""),"Normandy")</f>
        <v>Normandy</v>
      </c>
      <c r="G19" s="40" t="str">
        <f>IFERROR(__xludf.DUMMYFUNCTION("""COMPUTED_VALUE"""),"Ave
Dallas,")</f>
        <v>Ave
Dallas,</v>
      </c>
      <c r="H19" s="40" t="str">
        <f>IFERROR(__xludf.DUMMYFUNCTION("""COMPUTED_VALUE"""),"TX")</f>
        <v>TX</v>
      </c>
      <c r="I19" s="40">
        <f>IFERROR(__xludf.DUMMYFUNCTION("""COMPUTED_VALUE"""),75205.0)</f>
        <v>75205</v>
      </c>
      <c r="J19" s="40"/>
      <c r="K19" s="40"/>
      <c r="L19" s="40"/>
      <c r="M19" s="40"/>
      <c r="N19" s="40"/>
      <c r="O19" s="40"/>
      <c r="P19" s="40"/>
      <c r="Q19" s="40"/>
      <c r="R19" s="40"/>
      <c r="S19" s="40"/>
      <c r="T19" s="40"/>
      <c r="U19" s="24" t="str">
        <f>IFERROR(__xludf.DUMMYFUNCTION("SPLIT(E19,""01234567890"")"),"Lydia
")</f>
        <v>Lydia
</v>
      </c>
      <c r="V19" s="24" t="str">
        <f>IFERROR(__xludf.DUMMYFUNCTION("SPLIT(D19,"","")"),"Addy")</f>
        <v>Addy</v>
      </c>
      <c r="W19" s="25" t="str">
        <f t="shared" si="1"/>
        <v>LYDIA
 ADDY</v>
      </c>
      <c r="X19" s="25" t="s">
        <v>101</v>
      </c>
      <c r="Y19" s="25">
        <v>75205.0</v>
      </c>
      <c r="Z19" s="25" t="str">
        <f>IFERROR(__xludf.DUMMYFUNCTION("SPLIT(C19,""
"")"),"Addy, Lydia")</f>
        <v>Addy, Lydia</v>
      </c>
      <c r="AA19" s="25" t="str">
        <f>IFERROR(__xludf.DUMMYFUNCTION("""COMPUTED_VALUE"""),"3805 Normandy Ave")</f>
        <v>3805 Normandy Ave</v>
      </c>
      <c r="AB19" s="25" t="str">
        <f>IFERROR(__xludf.DUMMYFUNCTION("""COMPUTED_VALUE"""),"Dallas, TX 75205")</f>
        <v>Dallas, TX 75205</v>
      </c>
      <c r="AC19" s="24" t="s">
        <v>99</v>
      </c>
      <c r="AD19" s="25"/>
      <c r="AE19" s="25"/>
      <c r="AF19" s="25"/>
      <c r="AG19" s="40" t="s">
        <v>60</v>
      </c>
      <c r="AH19" s="42">
        <v>2484.0</v>
      </c>
      <c r="AI19" s="40" t="s">
        <v>68</v>
      </c>
      <c r="AJ19" s="27">
        <v>1000.0</v>
      </c>
      <c r="AK19" s="31" t="s">
        <v>28</v>
      </c>
      <c r="AL19" s="43">
        <v>44856.0</v>
      </c>
      <c r="AM19" s="44">
        <v>44937.871145833335</v>
      </c>
      <c r="AN19" s="30">
        <v>2.0</v>
      </c>
      <c r="AO19" s="40"/>
      <c r="AP19" s="40"/>
      <c r="AQ19" s="40"/>
      <c r="AR19" s="40"/>
      <c r="AS19" s="31">
        <f>IFERROR(__xludf.DUMMYFUNCTION("""COMPUTED_VALUE"""),75208.0)</f>
        <v>75208</v>
      </c>
      <c r="AT19" s="45">
        <f t="shared" si="6"/>
        <v>20440</v>
      </c>
      <c r="AU19" s="40"/>
      <c r="AV19" s="46" t="str">
        <f>IFERROR(__xludf.DUMMYFUNCTION("""COMPUTED_VALUE"""),"Alpert")</f>
        <v>Alpert</v>
      </c>
      <c r="AW19" s="46">
        <f t="shared" si="7"/>
        <v>2000</v>
      </c>
      <c r="AX19" s="47">
        <f t="shared" ref="AX19:BQ19" si="79">SUMIFS($AJ:$AJ,$V:$V,$AV19,$AK:$AK,AX$2)</f>
        <v>0</v>
      </c>
      <c r="AY19" s="48">
        <f t="shared" si="79"/>
        <v>0</v>
      </c>
      <c r="AZ19" s="48">
        <f t="shared" si="79"/>
        <v>0</v>
      </c>
      <c r="BA19" s="48">
        <f t="shared" si="79"/>
        <v>0</v>
      </c>
      <c r="BB19" s="48">
        <f t="shared" si="79"/>
        <v>2000</v>
      </c>
      <c r="BC19" s="48">
        <f t="shared" si="79"/>
        <v>0</v>
      </c>
      <c r="BD19" s="48">
        <f t="shared" si="79"/>
        <v>0</v>
      </c>
      <c r="BE19" s="48">
        <f t="shared" si="79"/>
        <v>0</v>
      </c>
      <c r="BF19" s="48">
        <f t="shared" si="79"/>
        <v>0</v>
      </c>
      <c r="BG19" s="48">
        <f t="shared" si="79"/>
        <v>0</v>
      </c>
      <c r="BH19" s="48">
        <f t="shared" si="79"/>
        <v>0</v>
      </c>
      <c r="BI19" s="48">
        <f t="shared" si="79"/>
        <v>0</v>
      </c>
      <c r="BJ19" s="48">
        <f t="shared" si="79"/>
        <v>0</v>
      </c>
      <c r="BK19" s="48">
        <f t="shared" si="79"/>
        <v>0</v>
      </c>
      <c r="BL19" s="48">
        <f t="shared" si="79"/>
        <v>0</v>
      </c>
      <c r="BM19" s="48">
        <f t="shared" si="79"/>
        <v>0</v>
      </c>
      <c r="BN19" s="48">
        <f t="shared" si="79"/>
        <v>0</v>
      </c>
      <c r="BO19" s="48">
        <f t="shared" si="79"/>
        <v>0</v>
      </c>
      <c r="BP19" s="48">
        <f t="shared" si="79"/>
        <v>0</v>
      </c>
      <c r="BQ19" s="48">
        <f t="shared" si="79"/>
        <v>0</v>
      </c>
      <c r="BR19" s="36">
        <f t="shared" si="9"/>
        <v>0</v>
      </c>
      <c r="BS19" s="38">
        <f t="shared" si="10"/>
        <v>1</v>
      </c>
      <c r="BT19" s="49">
        <f t="shared" si="11"/>
        <v>0</v>
      </c>
      <c r="BU19" s="38">
        <f t="shared" si="12"/>
        <v>1000</v>
      </c>
      <c r="BV19" s="46" t="str">
        <f>IFERROR(__xludf.DUMMYFUNCTION("""COMPUTED_VALUE"""),"Alpert")</f>
        <v>Alpert</v>
      </c>
      <c r="BW19" s="46">
        <f t="shared" si="13"/>
        <v>2000</v>
      </c>
      <c r="BX19" s="47">
        <f t="shared" ref="BX19:CA19" si="80">AX19-$BU19</f>
        <v>-1000</v>
      </c>
      <c r="BY19" s="47">
        <f t="shared" si="80"/>
        <v>-1000</v>
      </c>
      <c r="BZ19" s="47">
        <f t="shared" si="80"/>
        <v>-1000</v>
      </c>
      <c r="CA19" s="47">
        <f t="shared" si="80"/>
        <v>-1000</v>
      </c>
      <c r="CB19" s="47">
        <f t="shared" si="15"/>
        <v>-8000</v>
      </c>
      <c r="CC19" s="47">
        <f t="shared" ref="CC19:CQ19" si="81">BC19-$BU19</f>
        <v>-1000</v>
      </c>
      <c r="CD19" s="47">
        <f t="shared" si="81"/>
        <v>-1000</v>
      </c>
      <c r="CE19" s="47">
        <f t="shared" si="81"/>
        <v>-1000</v>
      </c>
      <c r="CF19" s="47">
        <f t="shared" si="81"/>
        <v>-1000</v>
      </c>
      <c r="CG19" s="47">
        <f t="shared" si="81"/>
        <v>-1000</v>
      </c>
      <c r="CH19" s="47">
        <f t="shared" si="81"/>
        <v>-1000</v>
      </c>
      <c r="CI19" s="47">
        <f t="shared" si="81"/>
        <v>-1000</v>
      </c>
      <c r="CJ19" s="47">
        <f t="shared" si="81"/>
        <v>-1000</v>
      </c>
      <c r="CK19" s="47">
        <f t="shared" si="81"/>
        <v>-1000</v>
      </c>
      <c r="CL19" s="47">
        <f t="shared" si="81"/>
        <v>-1000</v>
      </c>
      <c r="CM19" s="47">
        <f t="shared" si="81"/>
        <v>-1000</v>
      </c>
      <c r="CN19" s="47">
        <f t="shared" si="81"/>
        <v>-1000</v>
      </c>
      <c r="CO19" s="47">
        <f t="shared" si="81"/>
        <v>-1000</v>
      </c>
      <c r="CP19" s="47">
        <f t="shared" si="81"/>
        <v>-1000</v>
      </c>
      <c r="CQ19" s="47">
        <f t="shared" si="81"/>
        <v>-1000</v>
      </c>
      <c r="CR19" s="47"/>
      <c r="CS19" s="47"/>
      <c r="CT19" s="47"/>
      <c r="CU19" s="50" t="str">
        <f>IFERROR(__xludf.DUMMYFUNCTION("""COMPUTED_VALUE"""),"3805 Normandy
Dallas, TX 75205           ")</f>
        <v>3805 Normandy
Dallas, TX 75205           </v>
      </c>
      <c r="CV19" s="51">
        <f>IFERROR(__xludf.DUMMYFUNCTION("IF(REGEXMATCH(UPPER(CU19), ""TX""),0,1)"),0.0)</f>
        <v>0</v>
      </c>
      <c r="CW19" s="51">
        <f>IFERROR(__xludf.DUMMYFUNCTION("IF(REGEXMATCH(UPPER(CU19), ""DALLAS""),0,1)"),0.0)</f>
        <v>0</v>
      </c>
      <c r="CX19" s="51">
        <f t="shared" si="17"/>
        <v>0</v>
      </c>
      <c r="CY19" s="51">
        <f t="shared" si="18"/>
        <v>0</v>
      </c>
      <c r="CZ19" s="52" t="str">
        <f t="shared" si="19"/>
        <v/>
      </c>
      <c r="DA19" s="53" t="str">
        <f>IFERROR(__xludf.DUMMYFUNCTION("""COMPUTED_VALUE"""),"billy Bob
310 Calvary Dr
Euless, TX 76040         ")</f>
        <v>billy Bob
310 Calvary Dr
Euless, TX 76040         </v>
      </c>
      <c r="DB19" s="52">
        <f t="shared" ref="DB19:DU19" si="82">SUMIFS($AJ:$AJ,$X:$X,$DA19,$AK:$AK,DB$2)</f>
        <v>0</v>
      </c>
      <c r="DC19" s="52">
        <f t="shared" si="82"/>
        <v>0</v>
      </c>
      <c r="DD19" s="52">
        <f t="shared" si="82"/>
        <v>0</v>
      </c>
      <c r="DE19" s="52">
        <f t="shared" si="82"/>
        <v>0</v>
      </c>
      <c r="DF19" s="52">
        <f t="shared" si="82"/>
        <v>5000</v>
      </c>
      <c r="DG19" s="52">
        <f t="shared" si="82"/>
        <v>0</v>
      </c>
      <c r="DH19" s="52">
        <f t="shared" si="82"/>
        <v>0</v>
      </c>
      <c r="DI19" s="52">
        <f t="shared" si="82"/>
        <v>0</v>
      </c>
      <c r="DJ19" s="52">
        <f t="shared" si="82"/>
        <v>0</v>
      </c>
      <c r="DK19" s="52">
        <f t="shared" si="82"/>
        <v>0</v>
      </c>
      <c r="DL19" s="52">
        <f t="shared" si="82"/>
        <v>0</v>
      </c>
      <c r="DM19" s="52">
        <f t="shared" si="82"/>
        <v>0</v>
      </c>
      <c r="DN19" s="52">
        <f t="shared" si="82"/>
        <v>0</v>
      </c>
      <c r="DO19" s="52">
        <f t="shared" si="82"/>
        <v>0</v>
      </c>
      <c r="DP19" s="52">
        <f t="shared" si="82"/>
        <v>0</v>
      </c>
      <c r="DQ19" s="52">
        <f t="shared" si="82"/>
        <v>0</v>
      </c>
      <c r="DR19" s="52">
        <f t="shared" si="82"/>
        <v>0</v>
      </c>
      <c r="DS19" s="52">
        <f t="shared" si="82"/>
        <v>0</v>
      </c>
      <c r="DT19" s="52">
        <f t="shared" si="82"/>
        <v>0</v>
      </c>
      <c r="DU19" s="52">
        <f t="shared" si="82"/>
        <v>0</v>
      </c>
      <c r="DV19" s="52">
        <f t="shared" si="21"/>
        <v>5000</v>
      </c>
      <c r="DW19" s="52">
        <f t="shared" si="22"/>
        <v>1</v>
      </c>
    </row>
    <row r="20">
      <c r="A20" s="22" t="s">
        <v>55</v>
      </c>
      <c r="B20" s="23" t="s">
        <v>56</v>
      </c>
      <c r="C20" s="31" t="s">
        <v>102</v>
      </c>
      <c r="D20" s="25" t="str">
        <f>IFERROR(__xludf.DUMMYFUNCTION("SPLIT(C20,"" "")"),"Addy,")</f>
        <v>Addy,</v>
      </c>
      <c r="E20" s="22" t="str">
        <f>IFERROR(__xludf.DUMMYFUNCTION("""COMPUTED_VALUE"""),"William
3805")</f>
        <v>William
3805</v>
      </c>
      <c r="F20" s="22" t="str">
        <f>IFERROR(__xludf.DUMMYFUNCTION("""COMPUTED_VALUE"""),"
Dallas,")</f>
        <v>
Dallas,</v>
      </c>
      <c r="G20" s="22" t="str">
        <f>IFERROR(__xludf.DUMMYFUNCTION("""COMPUTED_VALUE"""),"TX")</f>
        <v>TX</v>
      </c>
      <c r="H20" s="22">
        <f>IFERROR(__xludf.DUMMYFUNCTION("""COMPUTED_VALUE"""),75205.0)</f>
        <v>75205</v>
      </c>
      <c r="I20" s="22"/>
      <c r="J20" s="22"/>
      <c r="K20" s="22"/>
      <c r="L20" s="22"/>
      <c r="M20" s="22"/>
      <c r="N20" s="22"/>
      <c r="O20" s="22"/>
      <c r="P20" s="22"/>
      <c r="Q20" s="22"/>
      <c r="R20" s="22"/>
      <c r="S20" s="22"/>
      <c r="T20" s="22"/>
      <c r="U20" s="24" t="str">
        <f>IFERROR(__xludf.DUMMYFUNCTION("SPLIT(E20,""01234567890"")"),"William
")</f>
        <v>William
</v>
      </c>
      <c r="V20" s="24" t="str">
        <f>IFERROR(__xludf.DUMMYFUNCTION("SPLIT(D20,"","")"),"Addy")</f>
        <v>Addy</v>
      </c>
      <c r="W20" s="25" t="str">
        <f t="shared" si="1"/>
        <v>WILLIAM
 ADDY</v>
      </c>
      <c r="X20" s="25" t="s">
        <v>103</v>
      </c>
      <c r="Y20" s="25">
        <v>75205.0</v>
      </c>
      <c r="Z20" s="25" t="str">
        <f>IFERROR(__xludf.DUMMYFUNCTION("SPLIT(C20,""
"")"),"Addy, William")</f>
        <v>Addy, William</v>
      </c>
      <c r="AA20" s="25">
        <f>IFERROR(__xludf.DUMMYFUNCTION("""COMPUTED_VALUE"""),3805.0)</f>
        <v>3805</v>
      </c>
      <c r="AB20" s="25" t="str">
        <f>IFERROR(__xludf.DUMMYFUNCTION("""COMPUTED_VALUE"""),"Dallas, TX 75205")</f>
        <v>Dallas, TX 75205</v>
      </c>
      <c r="AC20" s="24" t="s">
        <v>104</v>
      </c>
      <c r="AD20" s="25"/>
      <c r="AE20" s="25"/>
      <c r="AF20" s="25"/>
      <c r="AG20" s="22" t="s">
        <v>60</v>
      </c>
      <c r="AH20" s="54">
        <v>2500.0</v>
      </c>
      <c r="AI20" s="22" t="s">
        <v>68</v>
      </c>
      <c r="AJ20" s="27">
        <v>1000.0</v>
      </c>
      <c r="AK20" s="31" t="s">
        <v>23</v>
      </c>
      <c r="AL20" s="28">
        <v>44887.0</v>
      </c>
      <c r="AM20" s="29">
        <v>44941.874814814815</v>
      </c>
      <c r="AN20" s="30">
        <v>2.0</v>
      </c>
      <c r="AO20" s="22"/>
      <c r="AP20" s="22"/>
      <c r="AQ20" s="22"/>
      <c r="AR20" s="22"/>
      <c r="AS20" s="31">
        <f>IFERROR(__xludf.DUMMYFUNCTION("""COMPUTED_VALUE"""),17.0)</f>
        <v>17</v>
      </c>
      <c r="AT20" s="45">
        <f t="shared" si="6"/>
        <v>5000</v>
      </c>
      <c r="AU20" s="22"/>
      <c r="AV20" s="57" t="str">
        <f>IFERROR(__xludf.DUMMYFUNCTION("""COMPUTED_VALUE"""),"Alvarado")</f>
        <v>Alvarado</v>
      </c>
      <c r="AW20" s="46">
        <f t="shared" si="7"/>
        <v>200</v>
      </c>
      <c r="AX20" s="47">
        <f t="shared" ref="AX20:BQ20" si="83">SUMIFS($AJ:$AJ,$V:$V,$AV20,$AK:$AK,AX$2)</f>
        <v>200</v>
      </c>
      <c r="AY20" s="48">
        <f t="shared" si="83"/>
        <v>0</v>
      </c>
      <c r="AZ20" s="48">
        <f t="shared" si="83"/>
        <v>0</v>
      </c>
      <c r="BA20" s="48">
        <f t="shared" si="83"/>
        <v>0</v>
      </c>
      <c r="BB20" s="48">
        <f t="shared" si="83"/>
        <v>0</v>
      </c>
      <c r="BC20" s="48">
        <f t="shared" si="83"/>
        <v>0</v>
      </c>
      <c r="BD20" s="48">
        <f t="shared" si="83"/>
        <v>0</v>
      </c>
      <c r="BE20" s="48">
        <f t="shared" si="83"/>
        <v>0</v>
      </c>
      <c r="BF20" s="48">
        <f t="shared" si="83"/>
        <v>0</v>
      </c>
      <c r="BG20" s="48">
        <f t="shared" si="83"/>
        <v>0</v>
      </c>
      <c r="BH20" s="48">
        <f t="shared" si="83"/>
        <v>0</v>
      </c>
      <c r="BI20" s="48">
        <f t="shared" si="83"/>
        <v>0</v>
      </c>
      <c r="BJ20" s="48">
        <f t="shared" si="83"/>
        <v>0</v>
      </c>
      <c r="BK20" s="48">
        <f t="shared" si="83"/>
        <v>0</v>
      </c>
      <c r="BL20" s="48">
        <f t="shared" si="83"/>
        <v>0</v>
      </c>
      <c r="BM20" s="48">
        <f t="shared" si="83"/>
        <v>0</v>
      </c>
      <c r="BN20" s="48">
        <f t="shared" si="83"/>
        <v>0</v>
      </c>
      <c r="BO20" s="48">
        <f t="shared" si="83"/>
        <v>0</v>
      </c>
      <c r="BP20" s="48">
        <f t="shared" si="83"/>
        <v>0</v>
      </c>
      <c r="BQ20" s="48">
        <f t="shared" si="83"/>
        <v>0</v>
      </c>
      <c r="BR20" s="36">
        <f t="shared" si="9"/>
        <v>0</v>
      </c>
      <c r="BS20" s="38">
        <f t="shared" si="10"/>
        <v>1</v>
      </c>
      <c r="BT20" s="49">
        <f t="shared" si="11"/>
        <v>0</v>
      </c>
      <c r="BU20" s="38">
        <f t="shared" si="12"/>
        <v>1000</v>
      </c>
      <c r="BV20" s="57" t="str">
        <f>IFERROR(__xludf.DUMMYFUNCTION("""COMPUTED_VALUE"""),"Alvarado")</f>
        <v>Alvarado</v>
      </c>
      <c r="BW20" s="46">
        <f t="shared" si="13"/>
        <v>200</v>
      </c>
      <c r="BX20" s="47">
        <f t="shared" ref="BX20:CA20" si="84">AX20-$BU20</f>
        <v>-800</v>
      </c>
      <c r="BY20" s="47">
        <f t="shared" si="84"/>
        <v>-1000</v>
      </c>
      <c r="BZ20" s="47">
        <f t="shared" si="84"/>
        <v>-1000</v>
      </c>
      <c r="CA20" s="47">
        <f t="shared" si="84"/>
        <v>-1000</v>
      </c>
      <c r="CB20" s="47">
        <f t="shared" si="15"/>
        <v>-10000</v>
      </c>
      <c r="CC20" s="47">
        <f t="shared" ref="CC20:CQ20" si="85">BC20-$BU20</f>
        <v>-1000</v>
      </c>
      <c r="CD20" s="47">
        <f t="shared" si="85"/>
        <v>-1000</v>
      </c>
      <c r="CE20" s="47">
        <f t="shared" si="85"/>
        <v>-1000</v>
      </c>
      <c r="CF20" s="47">
        <f t="shared" si="85"/>
        <v>-1000</v>
      </c>
      <c r="CG20" s="47">
        <f t="shared" si="85"/>
        <v>-1000</v>
      </c>
      <c r="CH20" s="47">
        <f t="shared" si="85"/>
        <v>-1000</v>
      </c>
      <c r="CI20" s="47">
        <f t="shared" si="85"/>
        <v>-1000</v>
      </c>
      <c r="CJ20" s="47">
        <f t="shared" si="85"/>
        <v>-1000</v>
      </c>
      <c r="CK20" s="47">
        <f t="shared" si="85"/>
        <v>-1000</v>
      </c>
      <c r="CL20" s="47">
        <f t="shared" si="85"/>
        <v>-1000</v>
      </c>
      <c r="CM20" s="47">
        <f t="shared" si="85"/>
        <v>-1000</v>
      </c>
      <c r="CN20" s="47">
        <f t="shared" si="85"/>
        <v>-1000</v>
      </c>
      <c r="CO20" s="47">
        <f t="shared" si="85"/>
        <v>-1000</v>
      </c>
      <c r="CP20" s="47">
        <f t="shared" si="85"/>
        <v>-1000</v>
      </c>
      <c r="CQ20" s="47">
        <f t="shared" si="85"/>
        <v>-1000</v>
      </c>
      <c r="CR20" s="47"/>
      <c r="CS20" s="47"/>
      <c r="CT20" s="47"/>
      <c r="CU20" s="50" t="str">
        <f>IFERROR(__xludf.DUMMYFUNCTION("""COMPUTED_VALUE"""),"2308 Blackberry Dr.
Richardson, TX 75082          ")</f>
        <v>2308 Blackberry Dr.
Richardson, TX 75082          </v>
      </c>
      <c r="CV20" s="51">
        <f>IFERROR(__xludf.DUMMYFUNCTION("IF(REGEXMATCH(UPPER(CU20), ""TX""),0,1)"),0.0)</f>
        <v>0</v>
      </c>
      <c r="CW20" s="51">
        <f>IFERROR(__xludf.DUMMYFUNCTION("IF(REGEXMATCH(UPPER(CU20), ""DALLAS""),0,1)"),1.0)</f>
        <v>1</v>
      </c>
      <c r="CX20" s="51">
        <f t="shared" si="17"/>
        <v>0</v>
      </c>
      <c r="CY20" s="51">
        <f t="shared" si="18"/>
        <v>200</v>
      </c>
      <c r="CZ20" s="52" t="str">
        <f t="shared" si="19"/>
        <v>2308 Blackberry Dr.
Richardson, TX 75082          </v>
      </c>
      <c r="DA20" s="53" t="str">
        <f>IFERROR(__xludf.DUMMYFUNCTION("""COMPUTED_VALUE"""),"
 Box 587
East Setauket, NY 11733         ")</f>
        <v>
 Box 587
East Setauket, NY 11733         </v>
      </c>
      <c r="DB20" s="52">
        <f t="shared" ref="DB20:DU20" si="86">SUMIFS($AJ:$AJ,$X:$X,$DA20,$AK:$AK,DB$2)</f>
        <v>25</v>
      </c>
      <c r="DC20" s="52">
        <f t="shared" si="86"/>
        <v>0</v>
      </c>
      <c r="DD20" s="52">
        <f t="shared" si="86"/>
        <v>0</v>
      </c>
      <c r="DE20" s="52">
        <f t="shared" si="86"/>
        <v>0</v>
      </c>
      <c r="DF20" s="52">
        <f t="shared" si="86"/>
        <v>0</v>
      </c>
      <c r="DG20" s="52">
        <f t="shared" si="86"/>
        <v>0</v>
      </c>
      <c r="DH20" s="52">
        <f t="shared" si="86"/>
        <v>0</v>
      </c>
      <c r="DI20" s="52">
        <f t="shared" si="86"/>
        <v>0</v>
      </c>
      <c r="DJ20" s="52">
        <f t="shared" si="86"/>
        <v>0</v>
      </c>
      <c r="DK20" s="52">
        <f t="shared" si="86"/>
        <v>0</v>
      </c>
      <c r="DL20" s="52">
        <f t="shared" si="86"/>
        <v>0</v>
      </c>
      <c r="DM20" s="52">
        <f t="shared" si="86"/>
        <v>0</v>
      </c>
      <c r="DN20" s="52">
        <f t="shared" si="86"/>
        <v>0</v>
      </c>
      <c r="DO20" s="52">
        <f t="shared" si="86"/>
        <v>0</v>
      </c>
      <c r="DP20" s="52">
        <f t="shared" si="86"/>
        <v>0</v>
      </c>
      <c r="DQ20" s="52">
        <f t="shared" si="86"/>
        <v>0</v>
      </c>
      <c r="DR20" s="52">
        <f t="shared" si="86"/>
        <v>0</v>
      </c>
      <c r="DS20" s="52">
        <f t="shared" si="86"/>
        <v>0</v>
      </c>
      <c r="DT20" s="52">
        <f t="shared" si="86"/>
        <v>0</v>
      </c>
      <c r="DU20" s="52">
        <f t="shared" si="86"/>
        <v>0</v>
      </c>
      <c r="DV20" s="52">
        <f t="shared" si="21"/>
        <v>25</v>
      </c>
      <c r="DW20" s="52">
        <f t="shared" si="22"/>
        <v>1</v>
      </c>
    </row>
    <row r="21">
      <c r="A21" s="41" t="s">
        <v>64</v>
      </c>
      <c r="B21" s="41" t="s">
        <v>56</v>
      </c>
      <c r="C21" s="31" t="s">
        <v>105</v>
      </c>
      <c r="D21" s="25" t="str">
        <f>IFERROR(__xludf.DUMMYFUNCTION("SPLIT(C21,"" "")"),"Addy,")</f>
        <v>Addy,</v>
      </c>
      <c r="E21" s="40" t="str">
        <f>IFERROR(__xludf.DUMMYFUNCTION("""COMPUTED_VALUE"""),"William
3805")</f>
        <v>William
3805</v>
      </c>
      <c r="F21" s="40" t="str">
        <f>IFERROR(__xludf.DUMMYFUNCTION("""COMPUTED_VALUE"""),"Normandy")</f>
        <v>Normandy</v>
      </c>
      <c r="G21" s="40" t="str">
        <f>IFERROR(__xludf.DUMMYFUNCTION("""COMPUTED_VALUE"""),"Ave.
Dallas,")</f>
        <v>Ave.
Dallas,</v>
      </c>
      <c r="H21" s="40" t="str">
        <f>IFERROR(__xludf.DUMMYFUNCTION("""COMPUTED_VALUE"""),"TX")</f>
        <v>TX</v>
      </c>
      <c r="I21" s="40">
        <f>IFERROR(__xludf.DUMMYFUNCTION("""COMPUTED_VALUE"""),75205.0)</f>
        <v>75205</v>
      </c>
      <c r="J21" s="40"/>
      <c r="K21" s="40"/>
      <c r="L21" s="40"/>
      <c r="M21" s="40"/>
      <c r="N21" s="40"/>
      <c r="O21" s="40"/>
      <c r="P21" s="40"/>
      <c r="Q21" s="40"/>
      <c r="R21" s="40"/>
      <c r="S21" s="40"/>
      <c r="T21" s="40"/>
      <c r="U21" s="24" t="str">
        <f>IFERROR(__xludf.DUMMYFUNCTION("SPLIT(E21,""01234567890"")"),"William
")</f>
        <v>William
</v>
      </c>
      <c r="V21" s="24" t="str">
        <f>IFERROR(__xludf.DUMMYFUNCTION("SPLIT(D21,"","")"),"Addy")</f>
        <v>Addy</v>
      </c>
      <c r="W21" s="25" t="str">
        <f t="shared" si="1"/>
        <v>WILLIAM
 ADDY</v>
      </c>
      <c r="X21" s="25" t="s">
        <v>98</v>
      </c>
      <c r="Y21" s="25">
        <v>75205.0</v>
      </c>
      <c r="Z21" s="25" t="str">
        <f>IFERROR(__xludf.DUMMYFUNCTION("SPLIT(C21,""
"")"),"Addy, William")</f>
        <v>Addy, William</v>
      </c>
      <c r="AA21" s="25" t="str">
        <f>IFERROR(__xludf.DUMMYFUNCTION("""COMPUTED_VALUE"""),"3805 Normandy Ave.")</f>
        <v>3805 Normandy Ave.</v>
      </c>
      <c r="AB21" s="25" t="str">
        <f>IFERROR(__xludf.DUMMYFUNCTION("""COMPUTED_VALUE"""),"Dallas, TX 75205")</f>
        <v>Dallas, TX 75205</v>
      </c>
      <c r="AC21" s="24" t="s">
        <v>104</v>
      </c>
      <c r="AD21" s="25"/>
      <c r="AE21" s="25"/>
      <c r="AF21" s="25"/>
      <c r="AG21" s="40" t="s">
        <v>60</v>
      </c>
      <c r="AH21" s="42">
        <v>2501.0</v>
      </c>
      <c r="AI21" s="40" t="s">
        <v>68</v>
      </c>
      <c r="AJ21" s="27">
        <v>1000.0</v>
      </c>
      <c r="AK21" s="31" t="s">
        <v>21</v>
      </c>
      <c r="AL21" s="43">
        <v>44909.0</v>
      </c>
      <c r="AM21" s="44">
        <v>44943.63122685185</v>
      </c>
      <c r="AN21" s="30">
        <v>2.0</v>
      </c>
      <c r="AO21" s="40"/>
      <c r="AP21" s="40"/>
      <c r="AQ21" s="40"/>
      <c r="AR21" s="40"/>
      <c r="AS21" s="31">
        <f>IFERROR(__xludf.DUMMYFUNCTION("""COMPUTED_VALUE"""),75229.0)</f>
        <v>75229</v>
      </c>
      <c r="AT21" s="45">
        <f t="shared" si="6"/>
        <v>17705</v>
      </c>
      <c r="AU21" s="40"/>
      <c r="AV21" s="46" t="str">
        <f>IFERROR(__xludf.DUMMYFUNCTION("""COMPUTED_VALUE"""),"American")</f>
        <v>American</v>
      </c>
      <c r="AW21" s="46">
        <f t="shared" si="7"/>
        <v>10000</v>
      </c>
      <c r="AX21" s="47">
        <f t="shared" ref="AX21:BQ21" si="87">SUMIFS($AJ:$AJ,$V:$V,$AV21,$AK:$AK,AX$2)</f>
        <v>0</v>
      </c>
      <c r="AY21" s="48">
        <f t="shared" si="87"/>
        <v>0</v>
      </c>
      <c r="AZ21" s="48">
        <f t="shared" si="87"/>
        <v>0</v>
      </c>
      <c r="BA21" s="48">
        <f t="shared" si="87"/>
        <v>0</v>
      </c>
      <c r="BB21" s="48">
        <f t="shared" si="87"/>
        <v>10000</v>
      </c>
      <c r="BC21" s="48">
        <f t="shared" si="87"/>
        <v>0</v>
      </c>
      <c r="BD21" s="48">
        <f t="shared" si="87"/>
        <v>0</v>
      </c>
      <c r="BE21" s="48">
        <f t="shared" si="87"/>
        <v>0</v>
      </c>
      <c r="BF21" s="48">
        <f t="shared" si="87"/>
        <v>0</v>
      </c>
      <c r="BG21" s="48">
        <f t="shared" si="87"/>
        <v>0</v>
      </c>
      <c r="BH21" s="48">
        <f t="shared" si="87"/>
        <v>0</v>
      </c>
      <c r="BI21" s="48">
        <f t="shared" si="87"/>
        <v>0</v>
      </c>
      <c r="BJ21" s="48">
        <f t="shared" si="87"/>
        <v>0</v>
      </c>
      <c r="BK21" s="48">
        <f t="shared" si="87"/>
        <v>0</v>
      </c>
      <c r="BL21" s="48">
        <f t="shared" si="87"/>
        <v>0</v>
      </c>
      <c r="BM21" s="48">
        <f t="shared" si="87"/>
        <v>0</v>
      </c>
      <c r="BN21" s="48">
        <f t="shared" si="87"/>
        <v>0</v>
      </c>
      <c r="BO21" s="48">
        <f t="shared" si="87"/>
        <v>0</v>
      </c>
      <c r="BP21" s="48">
        <f t="shared" si="87"/>
        <v>0</v>
      </c>
      <c r="BQ21" s="48">
        <f t="shared" si="87"/>
        <v>0</v>
      </c>
      <c r="BR21" s="36">
        <f t="shared" si="9"/>
        <v>0</v>
      </c>
      <c r="BS21" s="38">
        <f t="shared" si="10"/>
        <v>1</v>
      </c>
      <c r="BT21" s="49">
        <f t="shared" si="11"/>
        <v>0</v>
      </c>
      <c r="BU21" s="38">
        <f t="shared" si="12"/>
        <v>1000</v>
      </c>
      <c r="BV21" s="46" t="str">
        <f>IFERROR(__xludf.DUMMYFUNCTION("""COMPUTED_VALUE"""),"American")</f>
        <v>American</v>
      </c>
      <c r="BW21" s="46">
        <f t="shared" si="13"/>
        <v>10000</v>
      </c>
      <c r="BX21" s="47">
        <f t="shared" ref="BX21:CA21" si="88">AX21-$BU21</f>
        <v>-1000</v>
      </c>
      <c r="BY21" s="47">
        <f t="shared" si="88"/>
        <v>-1000</v>
      </c>
      <c r="BZ21" s="47">
        <f t="shared" si="88"/>
        <v>-1000</v>
      </c>
      <c r="CA21" s="47">
        <f t="shared" si="88"/>
        <v>-1000</v>
      </c>
      <c r="CB21" s="47">
        <f t="shared" si="15"/>
        <v>0</v>
      </c>
      <c r="CC21" s="47">
        <f t="shared" ref="CC21:CQ21" si="89">BC21-$BU21</f>
        <v>-1000</v>
      </c>
      <c r="CD21" s="47">
        <f t="shared" si="89"/>
        <v>-1000</v>
      </c>
      <c r="CE21" s="47">
        <f t="shared" si="89"/>
        <v>-1000</v>
      </c>
      <c r="CF21" s="47">
        <f t="shared" si="89"/>
        <v>-1000</v>
      </c>
      <c r="CG21" s="47">
        <f t="shared" si="89"/>
        <v>-1000</v>
      </c>
      <c r="CH21" s="47">
        <f t="shared" si="89"/>
        <v>-1000</v>
      </c>
      <c r="CI21" s="47">
        <f t="shared" si="89"/>
        <v>-1000</v>
      </c>
      <c r="CJ21" s="47">
        <f t="shared" si="89"/>
        <v>-1000</v>
      </c>
      <c r="CK21" s="47">
        <f t="shared" si="89"/>
        <v>-1000</v>
      </c>
      <c r="CL21" s="47">
        <f t="shared" si="89"/>
        <v>-1000</v>
      </c>
      <c r="CM21" s="47">
        <f t="shared" si="89"/>
        <v>-1000</v>
      </c>
      <c r="CN21" s="47">
        <f t="shared" si="89"/>
        <v>-1000</v>
      </c>
      <c r="CO21" s="47">
        <f t="shared" si="89"/>
        <v>-1000</v>
      </c>
      <c r="CP21" s="47">
        <f t="shared" si="89"/>
        <v>-1000</v>
      </c>
      <c r="CQ21" s="47">
        <f t="shared" si="89"/>
        <v>-1000</v>
      </c>
      <c r="CR21" s="47"/>
      <c r="CS21" s="47"/>
      <c r="CT21" s="47"/>
      <c r="CU21" s="50" t="str">
        <f>IFERROR(__xludf.DUMMYFUNCTION("""COMPUTED_VALUE"""),"123 
Dallas, TX 75207           ")</f>
        <v>123 
Dallas, TX 75207           </v>
      </c>
      <c r="CV21" s="51">
        <f>IFERROR(__xludf.DUMMYFUNCTION("IF(REGEXMATCH(UPPER(CU21), ""TX""),0,1)"),0.0)</f>
        <v>0</v>
      </c>
      <c r="CW21" s="51">
        <f>IFERROR(__xludf.DUMMYFUNCTION("IF(REGEXMATCH(UPPER(CU21), ""DALLAS""),0,1)"),0.0)</f>
        <v>0</v>
      </c>
      <c r="CX21" s="51">
        <f t="shared" si="17"/>
        <v>0</v>
      </c>
      <c r="CY21" s="51">
        <f t="shared" si="18"/>
        <v>0</v>
      </c>
      <c r="CZ21" s="52" t="str">
        <f t="shared" si="19"/>
        <v/>
      </c>
      <c r="DA21" s="53" t="str">
        <f>IFERROR(__xludf.DUMMYFUNCTION("""COMPUTED_VALUE"""),"1649 
Midlothian, TX 76065           ")</f>
        <v>1649 
Midlothian, TX 76065           </v>
      </c>
      <c r="DB21" s="52">
        <f t="shared" ref="DB21:DU21" si="90">SUMIFS($AJ:$AJ,$X:$X,$DA21,$AK:$AK,DB$2)</f>
        <v>0</v>
      </c>
      <c r="DC21" s="52">
        <f t="shared" si="90"/>
        <v>0</v>
      </c>
      <c r="DD21" s="52">
        <f t="shared" si="90"/>
        <v>75</v>
      </c>
      <c r="DE21" s="52">
        <f t="shared" si="90"/>
        <v>0</v>
      </c>
      <c r="DF21" s="52">
        <f t="shared" si="90"/>
        <v>0</v>
      </c>
      <c r="DG21" s="52">
        <f t="shared" si="90"/>
        <v>0</v>
      </c>
      <c r="DH21" s="52">
        <f t="shared" si="90"/>
        <v>0</v>
      </c>
      <c r="DI21" s="52">
        <f t="shared" si="90"/>
        <v>0</v>
      </c>
      <c r="DJ21" s="52">
        <f t="shared" si="90"/>
        <v>0</v>
      </c>
      <c r="DK21" s="52">
        <f t="shared" si="90"/>
        <v>0</v>
      </c>
      <c r="DL21" s="52">
        <f t="shared" si="90"/>
        <v>0</v>
      </c>
      <c r="DM21" s="52">
        <f t="shared" si="90"/>
        <v>0</v>
      </c>
      <c r="DN21" s="52">
        <f t="shared" si="90"/>
        <v>0</v>
      </c>
      <c r="DO21" s="52">
        <f t="shared" si="90"/>
        <v>0</v>
      </c>
      <c r="DP21" s="52">
        <f t="shared" si="90"/>
        <v>0</v>
      </c>
      <c r="DQ21" s="52">
        <f t="shared" si="90"/>
        <v>0</v>
      </c>
      <c r="DR21" s="52">
        <f t="shared" si="90"/>
        <v>0</v>
      </c>
      <c r="DS21" s="52">
        <f t="shared" si="90"/>
        <v>0</v>
      </c>
      <c r="DT21" s="52">
        <f t="shared" si="90"/>
        <v>0</v>
      </c>
      <c r="DU21" s="52">
        <f t="shared" si="90"/>
        <v>0</v>
      </c>
      <c r="DV21" s="52">
        <f t="shared" si="21"/>
        <v>75</v>
      </c>
      <c r="DW21" s="52">
        <f t="shared" si="22"/>
        <v>1</v>
      </c>
    </row>
    <row r="22">
      <c r="A22" s="23" t="s">
        <v>64</v>
      </c>
      <c r="B22" s="23" t="s">
        <v>56</v>
      </c>
      <c r="C22" s="31" t="s">
        <v>106</v>
      </c>
      <c r="D22" s="25" t="str">
        <f>IFERROR(__xludf.DUMMYFUNCTION("SPLIT(C22,"" "")"),"Addy,")</f>
        <v>Addy,</v>
      </c>
      <c r="E22" s="22" t="str">
        <f>IFERROR(__xludf.DUMMYFUNCTION("""COMPUTED_VALUE"""),"William
3805")</f>
        <v>William
3805</v>
      </c>
      <c r="F22" s="22" t="str">
        <f>IFERROR(__xludf.DUMMYFUNCTION("""COMPUTED_VALUE"""),"Normandy")</f>
        <v>Normandy</v>
      </c>
      <c r="G22" s="22" t="str">
        <f>IFERROR(__xludf.DUMMYFUNCTION("""COMPUTED_VALUE"""),"Ave
Dallas,")</f>
        <v>Ave
Dallas,</v>
      </c>
      <c r="H22" s="22" t="str">
        <f>IFERROR(__xludf.DUMMYFUNCTION("""COMPUTED_VALUE"""),"TX")</f>
        <v>TX</v>
      </c>
      <c r="I22" s="22">
        <f>IFERROR(__xludf.DUMMYFUNCTION("""COMPUTED_VALUE"""),75205.0)</f>
        <v>75205</v>
      </c>
      <c r="J22" s="22"/>
      <c r="K22" s="22"/>
      <c r="L22" s="22"/>
      <c r="M22" s="22"/>
      <c r="N22" s="22"/>
      <c r="O22" s="22"/>
      <c r="P22" s="22"/>
      <c r="Q22" s="22"/>
      <c r="R22" s="22"/>
      <c r="S22" s="22"/>
      <c r="T22" s="22"/>
      <c r="U22" s="24" t="str">
        <f>IFERROR(__xludf.DUMMYFUNCTION("SPLIT(E22,""01234567890"")"),"William
")</f>
        <v>William
</v>
      </c>
      <c r="V22" s="24" t="str">
        <f>IFERROR(__xludf.DUMMYFUNCTION("SPLIT(D22,"","")"),"Addy")</f>
        <v>Addy</v>
      </c>
      <c r="W22" s="25" t="str">
        <f t="shared" si="1"/>
        <v>WILLIAM
 ADDY</v>
      </c>
      <c r="X22" s="25" t="s">
        <v>101</v>
      </c>
      <c r="Y22" s="25">
        <v>75205.0</v>
      </c>
      <c r="Z22" s="25" t="str">
        <f>IFERROR(__xludf.DUMMYFUNCTION("SPLIT(C22,""
"")"),"Addy, William")</f>
        <v>Addy, William</v>
      </c>
      <c r="AA22" s="25" t="str">
        <f>IFERROR(__xludf.DUMMYFUNCTION("""COMPUTED_VALUE"""),"3805 Normandy Ave")</f>
        <v>3805 Normandy Ave</v>
      </c>
      <c r="AB22" s="25" t="str">
        <f>IFERROR(__xludf.DUMMYFUNCTION("""COMPUTED_VALUE"""),"Dallas, TX 75205")</f>
        <v>Dallas, TX 75205</v>
      </c>
      <c r="AC22" s="24" t="s">
        <v>104</v>
      </c>
      <c r="AD22" s="25"/>
      <c r="AE22" s="25"/>
      <c r="AF22" s="25"/>
      <c r="AG22" s="22" t="s">
        <v>60</v>
      </c>
      <c r="AH22" s="54">
        <v>2484.0</v>
      </c>
      <c r="AI22" s="22" t="s">
        <v>107</v>
      </c>
      <c r="AJ22" s="27">
        <v>1000.0</v>
      </c>
      <c r="AK22" s="31" t="s">
        <v>28</v>
      </c>
      <c r="AL22" s="28">
        <v>44856.0</v>
      </c>
      <c r="AM22" s="29">
        <v>44937.871145833335</v>
      </c>
      <c r="AN22" s="30">
        <v>2.0</v>
      </c>
      <c r="AO22" s="22"/>
      <c r="AP22" s="22"/>
      <c r="AQ22" s="22"/>
      <c r="AR22" s="22"/>
      <c r="AS22" s="31">
        <f>IFERROR(__xludf.DUMMYFUNCTION("""COMPUTED_VALUE"""),75204.0)</f>
        <v>75204</v>
      </c>
      <c r="AT22" s="45">
        <f t="shared" si="6"/>
        <v>8875</v>
      </c>
      <c r="AU22" s="22"/>
      <c r="AV22" s="57" t="str">
        <f>IFERROR(__xludf.DUMMYFUNCTION("""COMPUTED_VALUE"""),"Andersen")</f>
        <v>Andersen</v>
      </c>
      <c r="AW22" s="46">
        <f t="shared" si="7"/>
        <v>1666</v>
      </c>
      <c r="AX22" s="47">
        <f t="shared" ref="AX22:BQ22" si="91">SUMIFS($AJ:$AJ,$V:$V,$AV22,$AK:$AK,AX$2)</f>
        <v>1666</v>
      </c>
      <c r="AY22" s="48">
        <f t="shared" si="91"/>
        <v>0</v>
      </c>
      <c r="AZ22" s="48">
        <f t="shared" si="91"/>
        <v>0</v>
      </c>
      <c r="BA22" s="48">
        <f t="shared" si="91"/>
        <v>0</v>
      </c>
      <c r="BB22" s="48">
        <f t="shared" si="91"/>
        <v>0</v>
      </c>
      <c r="BC22" s="48">
        <f t="shared" si="91"/>
        <v>0</v>
      </c>
      <c r="BD22" s="48">
        <f t="shared" si="91"/>
        <v>0</v>
      </c>
      <c r="BE22" s="48">
        <f t="shared" si="91"/>
        <v>0</v>
      </c>
      <c r="BF22" s="48">
        <f t="shared" si="91"/>
        <v>0</v>
      </c>
      <c r="BG22" s="48">
        <f t="shared" si="91"/>
        <v>0</v>
      </c>
      <c r="BH22" s="48">
        <f t="shared" si="91"/>
        <v>0</v>
      </c>
      <c r="BI22" s="48">
        <f t="shared" si="91"/>
        <v>0</v>
      </c>
      <c r="BJ22" s="48">
        <f t="shared" si="91"/>
        <v>0</v>
      </c>
      <c r="BK22" s="48">
        <f t="shared" si="91"/>
        <v>0</v>
      </c>
      <c r="BL22" s="48">
        <f t="shared" si="91"/>
        <v>0</v>
      </c>
      <c r="BM22" s="48">
        <f t="shared" si="91"/>
        <v>0</v>
      </c>
      <c r="BN22" s="48">
        <f t="shared" si="91"/>
        <v>0</v>
      </c>
      <c r="BO22" s="48">
        <f t="shared" si="91"/>
        <v>0</v>
      </c>
      <c r="BP22" s="48">
        <f t="shared" si="91"/>
        <v>0</v>
      </c>
      <c r="BQ22" s="48">
        <f t="shared" si="91"/>
        <v>0</v>
      </c>
      <c r="BR22" s="36">
        <f t="shared" si="9"/>
        <v>0</v>
      </c>
      <c r="BS22" s="38">
        <f t="shared" si="10"/>
        <v>1</v>
      </c>
      <c r="BT22" s="49">
        <f t="shared" si="11"/>
        <v>0</v>
      </c>
      <c r="BU22" s="38">
        <f t="shared" si="12"/>
        <v>1000</v>
      </c>
      <c r="BV22" s="57" t="str">
        <f>IFERROR(__xludf.DUMMYFUNCTION("""COMPUTED_VALUE"""),"Andersen")</f>
        <v>Andersen</v>
      </c>
      <c r="BW22" s="46">
        <f t="shared" si="13"/>
        <v>1666</v>
      </c>
      <c r="BX22" s="47">
        <f t="shared" ref="BX22:CA22" si="92">AX22-$BU22</f>
        <v>666</v>
      </c>
      <c r="BY22" s="47">
        <f t="shared" si="92"/>
        <v>-1000</v>
      </c>
      <c r="BZ22" s="47">
        <f t="shared" si="92"/>
        <v>-1000</v>
      </c>
      <c r="CA22" s="47">
        <f t="shared" si="92"/>
        <v>-1000</v>
      </c>
      <c r="CB22" s="47">
        <f t="shared" si="15"/>
        <v>-10000</v>
      </c>
      <c r="CC22" s="47">
        <f t="shared" ref="CC22:CQ22" si="93">BC22-$BU22</f>
        <v>-1000</v>
      </c>
      <c r="CD22" s="47">
        <f t="shared" si="93"/>
        <v>-1000</v>
      </c>
      <c r="CE22" s="47">
        <f t="shared" si="93"/>
        <v>-1000</v>
      </c>
      <c r="CF22" s="47">
        <f t="shared" si="93"/>
        <v>-1000</v>
      </c>
      <c r="CG22" s="47">
        <f t="shared" si="93"/>
        <v>-1000</v>
      </c>
      <c r="CH22" s="47">
        <f t="shared" si="93"/>
        <v>-1000</v>
      </c>
      <c r="CI22" s="47">
        <f t="shared" si="93"/>
        <v>-1000</v>
      </c>
      <c r="CJ22" s="47">
        <f t="shared" si="93"/>
        <v>-1000</v>
      </c>
      <c r="CK22" s="47">
        <f t="shared" si="93"/>
        <v>-1000</v>
      </c>
      <c r="CL22" s="47">
        <f t="shared" si="93"/>
        <v>-1000</v>
      </c>
      <c r="CM22" s="47">
        <f t="shared" si="93"/>
        <v>-1000</v>
      </c>
      <c r="CN22" s="47">
        <f t="shared" si="93"/>
        <v>-1000</v>
      </c>
      <c r="CO22" s="47">
        <f t="shared" si="93"/>
        <v>-1000</v>
      </c>
      <c r="CP22" s="47">
        <f t="shared" si="93"/>
        <v>-1000</v>
      </c>
      <c r="CQ22" s="47">
        <f t="shared" si="93"/>
        <v>-1000</v>
      </c>
      <c r="CR22" s="47"/>
      <c r="CS22" s="47"/>
      <c r="CT22" s="47"/>
      <c r="CU22" s="50" t="str">
        <f>IFERROR(__xludf.DUMMYFUNCTION("""COMPUTED_VALUE"""),"123 Oak Lawn Ave
Dallas, TX 75207         ")</f>
        <v>123 Oak Lawn Ave
Dallas, TX 75207         </v>
      </c>
      <c r="CV22" s="51">
        <f>IFERROR(__xludf.DUMMYFUNCTION("IF(REGEXMATCH(UPPER(CU22), ""TX""),0,1)"),0.0)</f>
        <v>0</v>
      </c>
      <c r="CW22" s="51">
        <f>IFERROR(__xludf.DUMMYFUNCTION("IF(REGEXMATCH(UPPER(CU22), ""DALLAS""),0,1)"),0.0)</f>
        <v>0</v>
      </c>
      <c r="CX22" s="51">
        <f t="shared" si="17"/>
        <v>0</v>
      </c>
      <c r="CY22" s="51">
        <f t="shared" si="18"/>
        <v>0</v>
      </c>
      <c r="CZ22" s="52" t="str">
        <f t="shared" si="19"/>
        <v/>
      </c>
      <c r="DA22" s="53" t="str">
        <f>IFERROR(__xludf.DUMMYFUNCTION("""COMPUTED_VALUE"""),"
 Box 1224
Ennis, TX 75120          ")</f>
        <v>
 Box 1224
Ennis, TX 75120          </v>
      </c>
      <c r="DB22" s="52">
        <f t="shared" ref="DB22:DU22" si="94">SUMIFS($AJ:$AJ,$X:$X,$DA22,$AK:$AK,DB$2)</f>
        <v>0</v>
      </c>
      <c r="DC22" s="52">
        <f t="shared" si="94"/>
        <v>0</v>
      </c>
      <c r="DD22" s="52">
        <f t="shared" si="94"/>
        <v>0</v>
      </c>
      <c r="DE22" s="52">
        <f t="shared" si="94"/>
        <v>0</v>
      </c>
      <c r="DF22" s="52">
        <f t="shared" si="94"/>
        <v>1000</v>
      </c>
      <c r="DG22" s="52">
        <f t="shared" si="94"/>
        <v>0</v>
      </c>
      <c r="DH22" s="52">
        <f t="shared" si="94"/>
        <v>0</v>
      </c>
      <c r="DI22" s="52">
        <f t="shared" si="94"/>
        <v>0</v>
      </c>
      <c r="DJ22" s="52">
        <f t="shared" si="94"/>
        <v>0</v>
      </c>
      <c r="DK22" s="52">
        <f t="shared" si="94"/>
        <v>0</v>
      </c>
      <c r="DL22" s="52">
        <f t="shared" si="94"/>
        <v>0</v>
      </c>
      <c r="DM22" s="52">
        <f t="shared" si="94"/>
        <v>0</v>
      </c>
      <c r="DN22" s="52">
        <f t="shared" si="94"/>
        <v>0</v>
      </c>
      <c r="DO22" s="52">
        <f t="shared" si="94"/>
        <v>0</v>
      </c>
      <c r="DP22" s="52">
        <f t="shared" si="94"/>
        <v>0</v>
      </c>
      <c r="DQ22" s="52">
        <f t="shared" si="94"/>
        <v>0</v>
      </c>
      <c r="DR22" s="52">
        <f t="shared" si="94"/>
        <v>0</v>
      </c>
      <c r="DS22" s="52">
        <f t="shared" si="94"/>
        <v>0</v>
      </c>
      <c r="DT22" s="52">
        <f t="shared" si="94"/>
        <v>0</v>
      </c>
      <c r="DU22" s="52">
        <f t="shared" si="94"/>
        <v>0</v>
      </c>
      <c r="DV22" s="52">
        <f t="shared" si="21"/>
        <v>1000</v>
      </c>
      <c r="DW22" s="52">
        <f t="shared" si="22"/>
        <v>1</v>
      </c>
    </row>
    <row r="23">
      <c r="A23" s="41" t="s">
        <v>64</v>
      </c>
      <c r="B23" s="41" t="s">
        <v>56</v>
      </c>
      <c r="C23" s="31" t="s">
        <v>106</v>
      </c>
      <c r="D23" s="25" t="str">
        <f>IFERROR(__xludf.DUMMYFUNCTION("SPLIT(C23,"" "")"),"Addy,")</f>
        <v>Addy,</v>
      </c>
      <c r="E23" s="40" t="str">
        <f>IFERROR(__xludf.DUMMYFUNCTION("""COMPUTED_VALUE"""),"William
3805")</f>
        <v>William
3805</v>
      </c>
      <c r="F23" s="40" t="str">
        <f>IFERROR(__xludf.DUMMYFUNCTION("""COMPUTED_VALUE"""),"Normandy")</f>
        <v>Normandy</v>
      </c>
      <c r="G23" s="40" t="str">
        <f>IFERROR(__xludf.DUMMYFUNCTION("""COMPUTED_VALUE"""),"Ave
Dallas,")</f>
        <v>Ave
Dallas,</v>
      </c>
      <c r="H23" s="40" t="str">
        <f>IFERROR(__xludf.DUMMYFUNCTION("""COMPUTED_VALUE"""),"TX")</f>
        <v>TX</v>
      </c>
      <c r="I23" s="40">
        <f>IFERROR(__xludf.DUMMYFUNCTION("""COMPUTED_VALUE"""),75205.0)</f>
        <v>75205</v>
      </c>
      <c r="J23" s="40"/>
      <c r="K23" s="40"/>
      <c r="L23" s="40"/>
      <c r="M23" s="40"/>
      <c r="N23" s="40"/>
      <c r="O23" s="40"/>
      <c r="P23" s="40"/>
      <c r="Q23" s="40"/>
      <c r="R23" s="40"/>
      <c r="S23" s="40"/>
      <c r="T23" s="40"/>
      <c r="U23" s="24" t="str">
        <f>IFERROR(__xludf.DUMMYFUNCTION("SPLIT(E23,""01234567890"")"),"William
")</f>
        <v>William
</v>
      </c>
      <c r="V23" s="24" t="str">
        <f>IFERROR(__xludf.DUMMYFUNCTION("SPLIT(D23,"","")"),"Addy")</f>
        <v>Addy</v>
      </c>
      <c r="W23" s="25" t="str">
        <f t="shared" si="1"/>
        <v>WILLIAM
 ADDY</v>
      </c>
      <c r="X23" s="25" t="s">
        <v>101</v>
      </c>
      <c r="Y23" s="25">
        <v>75205.0</v>
      </c>
      <c r="Z23" s="25" t="str">
        <f>IFERROR(__xludf.DUMMYFUNCTION("SPLIT(C23,""
"")"),"Addy, William")</f>
        <v>Addy, William</v>
      </c>
      <c r="AA23" s="25" t="str">
        <f>IFERROR(__xludf.DUMMYFUNCTION("""COMPUTED_VALUE"""),"3805 Normandy Ave")</f>
        <v>3805 Normandy Ave</v>
      </c>
      <c r="AB23" s="25" t="str">
        <f>IFERROR(__xludf.DUMMYFUNCTION("""COMPUTED_VALUE"""),"Dallas, TX 75205")</f>
        <v>Dallas, TX 75205</v>
      </c>
      <c r="AC23" s="24" t="s">
        <v>104</v>
      </c>
      <c r="AD23" s="25"/>
      <c r="AE23" s="25"/>
      <c r="AF23" s="25"/>
      <c r="AG23" s="40" t="s">
        <v>60</v>
      </c>
      <c r="AH23" s="42">
        <v>2484.0</v>
      </c>
      <c r="AI23" s="40" t="s">
        <v>68</v>
      </c>
      <c r="AJ23" s="27">
        <v>1000.0</v>
      </c>
      <c r="AK23" s="31" t="s">
        <v>28</v>
      </c>
      <c r="AL23" s="43">
        <v>44856.0</v>
      </c>
      <c r="AM23" s="44">
        <v>44937.871145833335</v>
      </c>
      <c r="AN23" s="30">
        <v>2.0</v>
      </c>
      <c r="AO23" s="40"/>
      <c r="AP23" s="40"/>
      <c r="AQ23" s="40"/>
      <c r="AR23" s="40"/>
      <c r="AS23" s="31">
        <f>IFERROR(__xludf.DUMMYFUNCTION("""COMPUTED_VALUE"""),75233.0)</f>
        <v>75233</v>
      </c>
      <c r="AT23" s="45">
        <f t="shared" si="6"/>
        <v>1000</v>
      </c>
      <c r="AU23" s="40"/>
      <c r="AV23" s="46" t="str">
        <f>IFERROR(__xludf.DUMMYFUNCTION("""COMPUTED_VALUE"""),"Anderson")</f>
        <v>Anderson</v>
      </c>
      <c r="AW23" s="46">
        <f t="shared" si="7"/>
        <v>7600</v>
      </c>
      <c r="AX23" s="47">
        <f t="shared" ref="AX23:BQ23" si="95">SUMIFS($AJ:$AJ,$V:$V,$AV23,$AK:$AK,AX$2)</f>
        <v>3900</v>
      </c>
      <c r="AY23" s="48">
        <f t="shared" si="95"/>
        <v>0</v>
      </c>
      <c r="AZ23" s="48">
        <f t="shared" si="95"/>
        <v>0</v>
      </c>
      <c r="BA23" s="48">
        <f t="shared" si="95"/>
        <v>0</v>
      </c>
      <c r="BB23" s="48">
        <f t="shared" si="95"/>
        <v>3700</v>
      </c>
      <c r="BC23" s="48">
        <f t="shared" si="95"/>
        <v>0</v>
      </c>
      <c r="BD23" s="48">
        <f t="shared" si="95"/>
        <v>0</v>
      </c>
      <c r="BE23" s="48">
        <f t="shared" si="95"/>
        <v>0</v>
      </c>
      <c r="BF23" s="48">
        <f t="shared" si="95"/>
        <v>0</v>
      </c>
      <c r="BG23" s="48">
        <f t="shared" si="95"/>
        <v>0</v>
      </c>
      <c r="BH23" s="48">
        <f t="shared" si="95"/>
        <v>0</v>
      </c>
      <c r="BI23" s="48">
        <f t="shared" si="95"/>
        <v>0</v>
      </c>
      <c r="BJ23" s="48">
        <f t="shared" si="95"/>
        <v>0</v>
      </c>
      <c r="BK23" s="48">
        <f t="shared" si="95"/>
        <v>0</v>
      </c>
      <c r="BL23" s="48">
        <f t="shared" si="95"/>
        <v>0</v>
      </c>
      <c r="BM23" s="48">
        <f t="shared" si="95"/>
        <v>0</v>
      </c>
      <c r="BN23" s="48">
        <f t="shared" si="95"/>
        <v>0</v>
      </c>
      <c r="BO23" s="48">
        <f t="shared" si="95"/>
        <v>0</v>
      </c>
      <c r="BP23" s="48">
        <f t="shared" si="95"/>
        <v>0</v>
      </c>
      <c r="BQ23" s="48">
        <f t="shared" si="95"/>
        <v>0</v>
      </c>
      <c r="BR23" s="36">
        <f t="shared" si="9"/>
        <v>1</v>
      </c>
      <c r="BS23" s="38">
        <f t="shared" si="10"/>
        <v>6</v>
      </c>
      <c r="BT23" s="49">
        <f t="shared" si="11"/>
        <v>0</v>
      </c>
      <c r="BU23" s="38">
        <f t="shared" si="12"/>
        <v>6000</v>
      </c>
      <c r="BV23" s="46" t="str">
        <f>IFERROR(__xludf.DUMMYFUNCTION("""COMPUTED_VALUE"""),"Anderson")</f>
        <v>Anderson</v>
      </c>
      <c r="BW23" s="46">
        <f t="shared" si="13"/>
        <v>7600</v>
      </c>
      <c r="BX23" s="47">
        <f t="shared" ref="BX23:CA23" si="96">AX23-$BU23</f>
        <v>-2100</v>
      </c>
      <c r="BY23" s="47">
        <f t="shared" si="96"/>
        <v>-6000</v>
      </c>
      <c r="BZ23" s="47">
        <f t="shared" si="96"/>
        <v>-6000</v>
      </c>
      <c r="CA23" s="47">
        <f t="shared" si="96"/>
        <v>-6000</v>
      </c>
      <c r="CB23" s="47">
        <f t="shared" si="15"/>
        <v>-56300</v>
      </c>
      <c r="CC23" s="47">
        <f t="shared" ref="CC23:CQ23" si="97">BC23-$BU23</f>
        <v>-6000</v>
      </c>
      <c r="CD23" s="47">
        <f t="shared" si="97"/>
        <v>-6000</v>
      </c>
      <c r="CE23" s="47">
        <f t="shared" si="97"/>
        <v>-6000</v>
      </c>
      <c r="CF23" s="47">
        <f t="shared" si="97"/>
        <v>-6000</v>
      </c>
      <c r="CG23" s="47">
        <f t="shared" si="97"/>
        <v>-6000</v>
      </c>
      <c r="CH23" s="47">
        <f t="shared" si="97"/>
        <v>-6000</v>
      </c>
      <c r="CI23" s="47">
        <f t="shared" si="97"/>
        <v>-6000</v>
      </c>
      <c r="CJ23" s="47">
        <f t="shared" si="97"/>
        <v>-6000</v>
      </c>
      <c r="CK23" s="47">
        <f t="shared" si="97"/>
        <v>-6000</v>
      </c>
      <c r="CL23" s="47">
        <f t="shared" si="97"/>
        <v>-6000</v>
      </c>
      <c r="CM23" s="47">
        <f t="shared" si="97"/>
        <v>-6000</v>
      </c>
      <c r="CN23" s="47">
        <f t="shared" si="97"/>
        <v>-6000</v>
      </c>
      <c r="CO23" s="47">
        <f t="shared" si="97"/>
        <v>-6000</v>
      </c>
      <c r="CP23" s="47">
        <f t="shared" si="97"/>
        <v>-6000</v>
      </c>
      <c r="CQ23" s="47">
        <f t="shared" si="97"/>
        <v>-6000</v>
      </c>
      <c r="CR23" s="47"/>
      <c r="CS23" s="47"/>
      <c r="CT23" s="47"/>
      <c r="CU23" s="50" t="str">
        <f>IFERROR(__xludf.DUMMYFUNCTION("""COMPUTED_VALUE"""),"123 Oak Lawn
Dallas, TX 75207          ")</f>
        <v>123 Oak Lawn
Dallas, TX 75207          </v>
      </c>
      <c r="CV23" s="51">
        <f>IFERROR(__xludf.DUMMYFUNCTION("IF(REGEXMATCH(UPPER(CU23), ""TX""),0,1)"),0.0)</f>
        <v>0</v>
      </c>
      <c r="CW23" s="51">
        <f>IFERROR(__xludf.DUMMYFUNCTION("IF(REGEXMATCH(UPPER(CU23), ""DALLAS""),0,1)"),0.0)</f>
        <v>0</v>
      </c>
      <c r="CX23" s="51">
        <f t="shared" si="17"/>
        <v>0</v>
      </c>
      <c r="CY23" s="51">
        <f t="shared" si="18"/>
        <v>0</v>
      </c>
      <c r="CZ23" s="52" t="str">
        <f t="shared" si="19"/>
        <v/>
      </c>
      <c r="DA23" s="53" t="str">
        <f>IFERROR(__xludf.DUMMYFUNCTION("""COMPUTED_VALUE"""),"304 Town East Blvd
Sunnyvale, TX 75182         ")</f>
        <v>304 Town East Blvd
Sunnyvale, TX 75182         </v>
      </c>
      <c r="DB23" s="52">
        <f t="shared" ref="DB23:DU23" si="98">SUMIFS($AJ:$AJ,$X:$X,$DA23,$AK:$AK,DB$2)</f>
        <v>0</v>
      </c>
      <c r="DC23" s="52">
        <f t="shared" si="98"/>
        <v>0</v>
      </c>
      <c r="DD23" s="52">
        <f t="shared" si="98"/>
        <v>0</v>
      </c>
      <c r="DE23" s="52">
        <f t="shared" si="98"/>
        <v>0</v>
      </c>
      <c r="DF23" s="52">
        <f t="shared" si="98"/>
        <v>2000</v>
      </c>
      <c r="DG23" s="52">
        <f t="shared" si="98"/>
        <v>0</v>
      </c>
      <c r="DH23" s="52">
        <f t="shared" si="98"/>
        <v>0</v>
      </c>
      <c r="DI23" s="52">
        <f t="shared" si="98"/>
        <v>0</v>
      </c>
      <c r="DJ23" s="52">
        <f t="shared" si="98"/>
        <v>0</v>
      </c>
      <c r="DK23" s="52">
        <f t="shared" si="98"/>
        <v>0</v>
      </c>
      <c r="DL23" s="52">
        <f t="shared" si="98"/>
        <v>0</v>
      </c>
      <c r="DM23" s="52">
        <f t="shared" si="98"/>
        <v>0</v>
      </c>
      <c r="DN23" s="52">
        <f t="shared" si="98"/>
        <v>0</v>
      </c>
      <c r="DO23" s="52">
        <f t="shared" si="98"/>
        <v>0</v>
      </c>
      <c r="DP23" s="52">
        <f t="shared" si="98"/>
        <v>0</v>
      </c>
      <c r="DQ23" s="52">
        <f t="shared" si="98"/>
        <v>0</v>
      </c>
      <c r="DR23" s="52">
        <f t="shared" si="98"/>
        <v>0</v>
      </c>
      <c r="DS23" s="52">
        <f t="shared" si="98"/>
        <v>0</v>
      </c>
      <c r="DT23" s="52">
        <f t="shared" si="98"/>
        <v>0</v>
      </c>
      <c r="DU23" s="52">
        <f t="shared" si="98"/>
        <v>0</v>
      </c>
      <c r="DV23" s="52">
        <f t="shared" si="21"/>
        <v>2000</v>
      </c>
      <c r="DW23" s="52">
        <f t="shared" si="22"/>
        <v>1</v>
      </c>
    </row>
    <row r="24">
      <c r="A24" s="22" t="s">
        <v>55</v>
      </c>
      <c r="B24" s="23" t="s">
        <v>56</v>
      </c>
      <c r="C24" s="31" t="s">
        <v>108</v>
      </c>
      <c r="D24" s="25" t="str">
        <f>IFERROR(__xludf.DUMMYFUNCTION("SPLIT(C24,"" "")"),"Addy,")</f>
        <v>Addy,</v>
      </c>
      <c r="E24" s="22" t="str">
        <f>IFERROR(__xludf.DUMMYFUNCTION("""COMPUTED_VALUE"""),"William
3805")</f>
        <v>William
3805</v>
      </c>
      <c r="F24" s="22" t="str">
        <f>IFERROR(__xludf.DUMMYFUNCTION("""COMPUTED_VALUE"""),"Normandy
Dallas,")</f>
        <v>Normandy
Dallas,</v>
      </c>
      <c r="G24" s="22" t="str">
        <f>IFERROR(__xludf.DUMMYFUNCTION("""COMPUTED_VALUE"""),"TX")</f>
        <v>TX</v>
      </c>
      <c r="H24" s="22">
        <f>IFERROR(__xludf.DUMMYFUNCTION("""COMPUTED_VALUE"""),75205.0)</f>
        <v>75205</v>
      </c>
      <c r="I24" s="22"/>
      <c r="J24" s="22"/>
      <c r="K24" s="22"/>
      <c r="L24" s="22"/>
      <c r="M24" s="22"/>
      <c r="N24" s="22"/>
      <c r="O24" s="22"/>
      <c r="P24" s="22"/>
      <c r="Q24" s="22"/>
      <c r="R24" s="22"/>
      <c r="S24" s="22"/>
      <c r="T24" s="22"/>
      <c r="U24" s="24" t="str">
        <f>IFERROR(__xludf.DUMMYFUNCTION("SPLIT(E24,""01234567890"")"),"William
")</f>
        <v>William
</v>
      </c>
      <c r="V24" s="24" t="str">
        <f>IFERROR(__xludf.DUMMYFUNCTION("SPLIT(D24,"","")"),"Addy")</f>
        <v>Addy</v>
      </c>
      <c r="W24" s="25" t="str">
        <f t="shared" si="1"/>
        <v>WILLIAM
 ADDY</v>
      </c>
      <c r="X24" s="25" t="s">
        <v>109</v>
      </c>
      <c r="Y24" s="25">
        <v>75205.0</v>
      </c>
      <c r="Z24" s="25" t="str">
        <f>IFERROR(__xludf.DUMMYFUNCTION("SPLIT(C24,""
"")"),"Addy, William")</f>
        <v>Addy, William</v>
      </c>
      <c r="AA24" s="25" t="str">
        <f>IFERROR(__xludf.DUMMYFUNCTION("""COMPUTED_VALUE"""),"3805 Normandy")</f>
        <v>3805 Normandy</v>
      </c>
      <c r="AB24" s="25" t="str">
        <f>IFERROR(__xludf.DUMMYFUNCTION("""COMPUTED_VALUE"""),"Dallas, TX 75205")</f>
        <v>Dallas, TX 75205</v>
      </c>
      <c r="AC24" s="24" t="s">
        <v>104</v>
      </c>
      <c r="AD24" s="25"/>
      <c r="AE24" s="25"/>
      <c r="AF24" s="25"/>
      <c r="AG24" s="22" t="s">
        <v>60</v>
      </c>
      <c r="AH24" s="54">
        <v>2503.0</v>
      </c>
      <c r="AI24" s="22" t="s">
        <v>68</v>
      </c>
      <c r="AJ24" s="27">
        <v>1000.0</v>
      </c>
      <c r="AK24" s="31" t="s">
        <v>29</v>
      </c>
      <c r="AL24" s="28">
        <v>44854.0</v>
      </c>
      <c r="AM24" s="29">
        <v>44943.523877314816</v>
      </c>
      <c r="AN24" s="30">
        <v>2.0</v>
      </c>
      <c r="AO24" s="22"/>
      <c r="AP24" s="22"/>
      <c r="AQ24" s="22"/>
      <c r="AR24" s="22"/>
      <c r="AS24" s="31">
        <f>IFERROR(__xludf.DUMMYFUNCTION("""COMPUTED_VALUE"""),78746.0)</f>
        <v>78746</v>
      </c>
      <c r="AT24" s="45">
        <f t="shared" si="6"/>
        <v>1000</v>
      </c>
      <c r="AU24" s="22"/>
      <c r="AV24" s="57" t="str">
        <f>IFERROR(__xludf.DUMMYFUNCTION("""COMPUTED_VALUE"""),"Anderson-Guthrie")</f>
        <v>Anderson-Guthrie</v>
      </c>
      <c r="AW24" s="46">
        <f t="shared" si="7"/>
        <v>200</v>
      </c>
      <c r="AX24" s="47">
        <f t="shared" ref="AX24:BQ24" si="99">SUMIFS($AJ:$AJ,$V:$V,$AV24,$AK:$AK,AX$2)</f>
        <v>0</v>
      </c>
      <c r="AY24" s="48">
        <f t="shared" si="99"/>
        <v>0</v>
      </c>
      <c r="AZ24" s="48">
        <f t="shared" si="99"/>
        <v>0</v>
      </c>
      <c r="BA24" s="48">
        <f t="shared" si="99"/>
        <v>0</v>
      </c>
      <c r="BB24" s="48">
        <f t="shared" si="99"/>
        <v>0</v>
      </c>
      <c r="BC24" s="48">
        <f t="shared" si="99"/>
        <v>0</v>
      </c>
      <c r="BD24" s="48">
        <f t="shared" si="99"/>
        <v>0</v>
      </c>
      <c r="BE24" s="48">
        <f t="shared" si="99"/>
        <v>0</v>
      </c>
      <c r="BF24" s="48">
        <f t="shared" si="99"/>
        <v>0</v>
      </c>
      <c r="BG24" s="48">
        <f t="shared" si="99"/>
        <v>200</v>
      </c>
      <c r="BH24" s="48">
        <f t="shared" si="99"/>
        <v>0</v>
      </c>
      <c r="BI24" s="48">
        <f t="shared" si="99"/>
        <v>0</v>
      </c>
      <c r="BJ24" s="48">
        <f t="shared" si="99"/>
        <v>0</v>
      </c>
      <c r="BK24" s="48">
        <f t="shared" si="99"/>
        <v>0</v>
      </c>
      <c r="BL24" s="48">
        <f t="shared" si="99"/>
        <v>0</v>
      </c>
      <c r="BM24" s="48">
        <f t="shared" si="99"/>
        <v>0</v>
      </c>
      <c r="BN24" s="48">
        <f t="shared" si="99"/>
        <v>0</v>
      </c>
      <c r="BO24" s="48">
        <f t="shared" si="99"/>
        <v>0</v>
      </c>
      <c r="BP24" s="48">
        <f t="shared" si="99"/>
        <v>0</v>
      </c>
      <c r="BQ24" s="48">
        <f t="shared" si="99"/>
        <v>0</v>
      </c>
      <c r="BR24" s="36">
        <f t="shared" si="9"/>
        <v>0</v>
      </c>
      <c r="BS24" s="38">
        <f t="shared" si="10"/>
        <v>1</v>
      </c>
      <c r="BT24" s="49">
        <f t="shared" si="11"/>
        <v>0</v>
      </c>
      <c r="BU24" s="38">
        <f t="shared" si="12"/>
        <v>1000</v>
      </c>
      <c r="BV24" s="57" t="str">
        <f>IFERROR(__xludf.DUMMYFUNCTION("""COMPUTED_VALUE"""),"Anderson-Guthrie")</f>
        <v>Anderson-Guthrie</v>
      </c>
      <c r="BW24" s="46">
        <f t="shared" si="13"/>
        <v>200</v>
      </c>
      <c r="BX24" s="47">
        <f t="shared" ref="BX24:CA24" si="100">AX24-$BU24</f>
        <v>-1000</v>
      </c>
      <c r="BY24" s="47">
        <f t="shared" si="100"/>
        <v>-1000</v>
      </c>
      <c r="BZ24" s="47">
        <f t="shared" si="100"/>
        <v>-1000</v>
      </c>
      <c r="CA24" s="47">
        <f t="shared" si="100"/>
        <v>-1000</v>
      </c>
      <c r="CB24" s="47">
        <f t="shared" si="15"/>
        <v>-10000</v>
      </c>
      <c r="CC24" s="47">
        <f t="shared" ref="CC24:CQ24" si="101">BC24-$BU24</f>
        <v>-1000</v>
      </c>
      <c r="CD24" s="47">
        <f t="shared" si="101"/>
        <v>-1000</v>
      </c>
      <c r="CE24" s="47">
        <f t="shared" si="101"/>
        <v>-1000</v>
      </c>
      <c r="CF24" s="47">
        <f t="shared" si="101"/>
        <v>-1000</v>
      </c>
      <c r="CG24" s="47">
        <f t="shared" si="101"/>
        <v>-800</v>
      </c>
      <c r="CH24" s="47">
        <f t="shared" si="101"/>
        <v>-1000</v>
      </c>
      <c r="CI24" s="47">
        <f t="shared" si="101"/>
        <v>-1000</v>
      </c>
      <c r="CJ24" s="47">
        <f t="shared" si="101"/>
        <v>-1000</v>
      </c>
      <c r="CK24" s="47">
        <f t="shared" si="101"/>
        <v>-1000</v>
      </c>
      <c r="CL24" s="47">
        <f t="shared" si="101"/>
        <v>-1000</v>
      </c>
      <c r="CM24" s="47">
        <f t="shared" si="101"/>
        <v>-1000</v>
      </c>
      <c r="CN24" s="47">
        <f t="shared" si="101"/>
        <v>-1000</v>
      </c>
      <c r="CO24" s="47">
        <f t="shared" si="101"/>
        <v>-1000</v>
      </c>
      <c r="CP24" s="47">
        <f t="shared" si="101"/>
        <v>-1000</v>
      </c>
      <c r="CQ24" s="47">
        <f t="shared" si="101"/>
        <v>-1000</v>
      </c>
      <c r="CR24" s="47"/>
      <c r="CS24" s="47"/>
      <c r="CT24" s="47"/>
      <c r="CU24" s="50" t="str">
        <f>IFERROR(__xludf.DUMMYFUNCTION("""COMPUTED_VALUE"""),"2921 University Blvd
Houston, TX 77005          ")</f>
        <v>2921 University Blvd
Houston, TX 77005          </v>
      </c>
      <c r="CV24" s="51">
        <f>IFERROR(__xludf.DUMMYFUNCTION("IF(REGEXMATCH(UPPER(CU24), ""TX""),0,1)"),0.0)</f>
        <v>0</v>
      </c>
      <c r="CW24" s="51">
        <f>IFERROR(__xludf.DUMMYFUNCTION("IF(REGEXMATCH(UPPER(CU24), ""DALLAS""),0,1)"),1.0)</f>
        <v>1</v>
      </c>
      <c r="CX24" s="51">
        <f t="shared" si="17"/>
        <v>0</v>
      </c>
      <c r="CY24" s="51">
        <f t="shared" si="18"/>
        <v>1000</v>
      </c>
      <c r="CZ24" s="52" t="str">
        <f t="shared" si="19"/>
        <v>2921 University Blvd
Houston, TX 77005          </v>
      </c>
      <c r="DA24" s="53" t="str">
        <f>IFERROR(__xludf.DUMMYFUNCTION("""COMPUTED_VALUE"""),"8804 Mariscal Canyon Dr.
Austin, TX 78759         ")</f>
        <v>8804 Mariscal Canyon Dr.
Austin, TX 78759         </v>
      </c>
      <c r="DB24" s="52">
        <f t="shared" ref="DB24:DU24" si="102">SUMIFS($AJ:$AJ,$X:$X,$DA24,$AK:$AK,DB$2)</f>
        <v>0</v>
      </c>
      <c r="DC24" s="52">
        <f t="shared" si="102"/>
        <v>0</v>
      </c>
      <c r="DD24" s="52">
        <f t="shared" si="102"/>
        <v>0</v>
      </c>
      <c r="DE24" s="52">
        <f t="shared" si="102"/>
        <v>0</v>
      </c>
      <c r="DF24" s="52">
        <f t="shared" si="102"/>
        <v>0</v>
      </c>
      <c r="DG24" s="52">
        <f t="shared" si="102"/>
        <v>200</v>
      </c>
      <c r="DH24" s="52">
        <f t="shared" si="102"/>
        <v>0</v>
      </c>
      <c r="DI24" s="52">
        <f t="shared" si="102"/>
        <v>0</v>
      </c>
      <c r="DJ24" s="52">
        <f t="shared" si="102"/>
        <v>0</v>
      </c>
      <c r="DK24" s="52">
        <f t="shared" si="102"/>
        <v>0</v>
      </c>
      <c r="DL24" s="52">
        <f t="shared" si="102"/>
        <v>0</v>
      </c>
      <c r="DM24" s="52">
        <f t="shared" si="102"/>
        <v>0</v>
      </c>
      <c r="DN24" s="52">
        <f t="shared" si="102"/>
        <v>0</v>
      </c>
      <c r="DO24" s="52">
        <f t="shared" si="102"/>
        <v>0</v>
      </c>
      <c r="DP24" s="52">
        <f t="shared" si="102"/>
        <v>0</v>
      </c>
      <c r="DQ24" s="52">
        <f t="shared" si="102"/>
        <v>0</v>
      </c>
      <c r="DR24" s="52">
        <f t="shared" si="102"/>
        <v>0</v>
      </c>
      <c r="DS24" s="52">
        <f t="shared" si="102"/>
        <v>0</v>
      </c>
      <c r="DT24" s="52">
        <f t="shared" si="102"/>
        <v>0</v>
      </c>
      <c r="DU24" s="52">
        <f t="shared" si="102"/>
        <v>0</v>
      </c>
      <c r="DV24" s="52">
        <f t="shared" si="21"/>
        <v>200</v>
      </c>
      <c r="DW24" s="52">
        <f t="shared" si="22"/>
        <v>1</v>
      </c>
    </row>
    <row r="25">
      <c r="A25" s="41" t="s">
        <v>64</v>
      </c>
      <c r="B25" s="41" t="s">
        <v>56</v>
      </c>
      <c r="C25" s="31" t="s">
        <v>110</v>
      </c>
      <c r="D25" s="25" t="str">
        <f>IFERROR(__xludf.DUMMYFUNCTION("SPLIT(C25,"" "")"),"Afkhami,")</f>
        <v>Afkhami,</v>
      </c>
      <c r="E25" s="40" t="str">
        <f>IFERROR(__xludf.DUMMYFUNCTION("""COMPUTED_VALUE"""),"Andrea
2308")</f>
        <v>Andrea
2308</v>
      </c>
      <c r="F25" s="40" t="str">
        <f>IFERROR(__xludf.DUMMYFUNCTION("""COMPUTED_VALUE"""),"Blackberry")</f>
        <v>Blackberry</v>
      </c>
      <c r="G25" s="40" t="str">
        <f>IFERROR(__xludf.DUMMYFUNCTION("""COMPUTED_VALUE"""),"Dr.
Richardson,")</f>
        <v>Dr.
Richardson,</v>
      </c>
      <c r="H25" s="40" t="str">
        <f>IFERROR(__xludf.DUMMYFUNCTION("""COMPUTED_VALUE"""),"TX")</f>
        <v>TX</v>
      </c>
      <c r="I25" s="40">
        <f>IFERROR(__xludf.DUMMYFUNCTION("""COMPUTED_VALUE"""),75082.0)</f>
        <v>75082</v>
      </c>
      <c r="J25" s="40"/>
      <c r="K25" s="40"/>
      <c r="L25" s="40"/>
      <c r="M25" s="40"/>
      <c r="N25" s="40"/>
      <c r="O25" s="40"/>
      <c r="P25" s="40"/>
      <c r="Q25" s="40"/>
      <c r="R25" s="40"/>
      <c r="S25" s="40"/>
      <c r="T25" s="40"/>
      <c r="U25" s="24" t="str">
        <f>IFERROR(__xludf.DUMMYFUNCTION("SPLIT(E25,""01234567890"")"),"Andrea
")</f>
        <v>Andrea
</v>
      </c>
      <c r="V25" s="24" t="str">
        <f>IFERROR(__xludf.DUMMYFUNCTION("SPLIT(D25,"","")"),"Afkhami")</f>
        <v>Afkhami</v>
      </c>
      <c r="W25" s="25" t="str">
        <f t="shared" si="1"/>
        <v>ANDREA
 AFKHAMI</v>
      </c>
      <c r="X25" s="25" t="s">
        <v>111</v>
      </c>
      <c r="Y25" s="25">
        <v>75082.0</v>
      </c>
      <c r="Z25" s="25" t="str">
        <f>IFERROR(__xludf.DUMMYFUNCTION("SPLIT(C25,""
"")"),"Afkhami, Andrea")</f>
        <v>Afkhami, Andrea</v>
      </c>
      <c r="AA25" s="25" t="str">
        <f>IFERROR(__xludf.DUMMYFUNCTION("""COMPUTED_VALUE"""),"2308 Blackberry Dr.")</f>
        <v>2308 Blackberry Dr.</v>
      </c>
      <c r="AB25" s="25" t="str">
        <f>IFERROR(__xludf.DUMMYFUNCTION("""COMPUTED_VALUE"""),"Richardson, TX 75082")</f>
        <v>Richardson, TX 75082</v>
      </c>
      <c r="AC25" s="24" t="s">
        <v>112</v>
      </c>
      <c r="AD25" s="25"/>
      <c r="AE25" s="25"/>
      <c r="AF25" s="25"/>
      <c r="AG25" s="40" t="s">
        <v>60</v>
      </c>
      <c r="AH25" s="42">
        <v>2477.0</v>
      </c>
      <c r="AI25" s="40" t="s">
        <v>68</v>
      </c>
      <c r="AJ25" s="27">
        <v>50.0</v>
      </c>
      <c r="AK25" s="31" t="s">
        <v>26</v>
      </c>
      <c r="AL25" s="43">
        <v>44879.0</v>
      </c>
      <c r="AM25" s="44">
        <v>44940.42346064815</v>
      </c>
      <c r="AN25" s="30">
        <v>2.0</v>
      </c>
      <c r="AO25" s="40"/>
      <c r="AP25" s="40"/>
      <c r="AQ25" s="40"/>
      <c r="AR25" s="40"/>
      <c r="AS25" s="31">
        <f>IFERROR(__xludf.DUMMYFUNCTION("""COMPUTED_VALUE"""),75019.0)</f>
        <v>75019</v>
      </c>
      <c r="AT25" s="45">
        <f t="shared" si="6"/>
        <v>1500</v>
      </c>
      <c r="AU25" s="40"/>
      <c r="AV25" s="46" t="str">
        <f>IFERROR(__xludf.DUMMYFUNCTION("""COMPUTED_VALUE"""),"Andres")</f>
        <v>Andres</v>
      </c>
      <c r="AW25" s="46">
        <f t="shared" si="7"/>
        <v>2200</v>
      </c>
      <c r="AX25" s="47">
        <f t="shared" ref="AX25:BQ25" si="103">SUMIFS($AJ:$AJ,$V:$V,$AV25,$AK:$AK,AX$2)</f>
        <v>1750</v>
      </c>
      <c r="AY25" s="48">
        <f t="shared" si="103"/>
        <v>0</v>
      </c>
      <c r="AZ25" s="48">
        <f t="shared" si="103"/>
        <v>0</v>
      </c>
      <c r="BA25" s="48">
        <f t="shared" si="103"/>
        <v>0</v>
      </c>
      <c r="BB25" s="48">
        <f t="shared" si="103"/>
        <v>450</v>
      </c>
      <c r="BC25" s="48">
        <f t="shared" si="103"/>
        <v>0</v>
      </c>
      <c r="BD25" s="48">
        <f t="shared" si="103"/>
        <v>0</v>
      </c>
      <c r="BE25" s="48">
        <f t="shared" si="103"/>
        <v>0</v>
      </c>
      <c r="BF25" s="48">
        <f t="shared" si="103"/>
        <v>0</v>
      </c>
      <c r="BG25" s="48">
        <f t="shared" si="103"/>
        <v>0</v>
      </c>
      <c r="BH25" s="48">
        <f t="shared" si="103"/>
        <v>0</v>
      </c>
      <c r="BI25" s="48">
        <f t="shared" si="103"/>
        <v>0</v>
      </c>
      <c r="BJ25" s="48">
        <f t="shared" si="103"/>
        <v>0</v>
      </c>
      <c r="BK25" s="48">
        <f t="shared" si="103"/>
        <v>0</v>
      </c>
      <c r="BL25" s="48">
        <f t="shared" si="103"/>
        <v>0</v>
      </c>
      <c r="BM25" s="48">
        <f t="shared" si="103"/>
        <v>0</v>
      </c>
      <c r="BN25" s="48">
        <f t="shared" si="103"/>
        <v>0</v>
      </c>
      <c r="BO25" s="48">
        <f t="shared" si="103"/>
        <v>0</v>
      </c>
      <c r="BP25" s="48">
        <f t="shared" si="103"/>
        <v>0</v>
      </c>
      <c r="BQ25" s="48">
        <f t="shared" si="103"/>
        <v>0</v>
      </c>
      <c r="BR25" s="36">
        <f t="shared" si="9"/>
        <v>1</v>
      </c>
      <c r="BS25" s="38">
        <f t="shared" si="10"/>
        <v>3</v>
      </c>
      <c r="BT25" s="49">
        <f t="shared" si="11"/>
        <v>0</v>
      </c>
      <c r="BU25" s="38">
        <f t="shared" si="12"/>
        <v>3000</v>
      </c>
      <c r="BV25" s="46" t="str">
        <f>IFERROR(__xludf.DUMMYFUNCTION("""COMPUTED_VALUE"""),"Andres")</f>
        <v>Andres</v>
      </c>
      <c r="BW25" s="46">
        <f t="shared" si="13"/>
        <v>2200</v>
      </c>
      <c r="BX25" s="47">
        <f t="shared" ref="BX25:CA25" si="104">AX25-$BU25</f>
        <v>-1250</v>
      </c>
      <c r="BY25" s="47">
        <f t="shared" si="104"/>
        <v>-3000</v>
      </c>
      <c r="BZ25" s="47">
        <f t="shared" si="104"/>
        <v>-3000</v>
      </c>
      <c r="CA25" s="47">
        <f t="shared" si="104"/>
        <v>-3000</v>
      </c>
      <c r="CB25" s="47">
        <f t="shared" si="15"/>
        <v>-29550</v>
      </c>
      <c r="CC25" s="47">
        <f t="shared" ref="CC25:CQ25" si="105">BC25-$BU25</f>
        <v>-3000</v>
      </c>
      <c r="CD25" s="47">
        <f t="shared" si="105"/>
        <v>-3000</v>
      </c>
      <c r="CE25" s="47">
        <f t="shared" si="105"/>
        <v>-3000</v>
      </c>
      <c r="CF25" s="47">
        <f t="shared" si="105"/>
        <v>-3000</v>
      </c>
      <c r="CG25" s="47">
        <f t="shared" si="105"/>
        <v>-3000</v>
      </c>
      <c r="CH25" s="47">
        <f t="shared" si="105"/>
        <v>-3000</v>
      </c>
      <c r="CI25" s="47">
        <f t="shared" si="105"/>
        <v>-3000</v>
      </c>
      <c r="CJ25" s="47">
        <f t="shared" si="105"/>
        <v>-3000</v>
      </c>
      <c r="CK25" s="47">
        <f t="shared" si="105"/>
        <v>-3000</v>
      </c>
      <c r="CL25" s="47">
        <f t="shared" si="105"/>
        <v>-3000</v>
      </c>
      <c r="CM25" s="47">
        <f t="shared" si="105"/>
        <v>-3000</v>
      </c>
      <c r="CN25" s="47">
        <f t="shared" si="105"/>
        <v>-3000</v>
      </c>
      <c r="CO25" s="47">
        <f t="shared" si="105"/>
        <v>-3000</v>
      </c>
      <c r="CP25" s="47">
        <f t="shared" si="105"/>
        <v>-3000</v>
      </c>
      <c r="CQ25" s="47">
        <f t="shared" si="105"/>
        <v>-3000</v>
      </c>
      <c r="CR25" s="47"/>
      <c r="CS25" s="47"/>
      <c r="CT25" s="47"/>
      <c r="CU25" s="50" t="str">
        <f>IFERROR(__xludf.DUMMYFUNCTION("""COMPUTED_VALUE"""),"13710 Slate Creek Lane
Houston, TX 77077         ")</f>
        <v>13710 Slate Creek Lane
Houston, TX 77077         </v>
      </c>
      <c r="CV25" s="51">
        <f>IFERROR(__xludf.DUMMYFUNCTION("IF(REGEXMATCH(UPPER(CU25), ""TX""),0,1)"),0.0)</f>
        <v>0</v>
      </c>
      <c r="CW25" s="51">
        <f>IFERROR(__xludf.DUMMYFUNCTION("IF(REGEXMATCH(UPPER(CU25), ""DALLAS""),0,1)"),1.0)</f>
        <v>1</v>
      </c>
      <c r="CX25" s="51">
        <f t="shared" si="17"/>
        <v>0</v>
      </c>
      <c r="CY25" s="51">
        <f t="shared" si="18"/>
        <v>2000</v>
      </c>
      <c r="CZ25" s="52" t="str">
        <f t="shared" si="19"/>
        <v>13710 Slate Creek Lane
Houston, TX 77077         </v>
      </c>
      <c r="DA25" s="53" t="str">
        <f>IFERROR(__xludf.DUMMYFUNCTION("""COMPUTED_VALUE"""),"30 Alcalde Rd.
Santa Fe, NM 87508         ")</f>
        <v>30 Alcalde Rd.
Santa Fe, NM 87508         </v>
      </c>
      <c r="DB25" s="52">
        <f t="shared" ref="DB25:DU25" si="106">SUMIFS($AJ:$AJ,$X:$X,$DA25,$AK:$AK,DB$2)</f>
        <v>0</v>
      </c>
      <c r="DC25" s="52">
        <f t="shared" si="106"/>
        <v>0</v>
      </c>
      <c r="DD25" s="52">
        <f t="shared" si="106"/>
        <v>0</v>
      </c>
      <c r="DE25" s="52">
        <f t="shared" si="106"/>
        <v>0</v>
      </c>
      <c r="DF25" s="52">
        <f t="shared" si="106"/>
        <v>0</v>
      </c>
      <c r="DG25" s="52">
        <f t="shared" si="106"/>
        <v>0</v>
      </c>
      <c r="DH25" s="52">
        <f t="shared" si="106"/>
        <v>0</v>
      </c>
      <c r="DI25" s="52">
        <f t="shared" si="106"/>
        <v>0</v>
      </c>
      <c r="DJ25" s="52">
        <f t="shared" si="106"/>
        <v>0</v>
      </c>
      <c r="DK25" s="52">
        <f t="shared" si="106"/>
        <v>0</v>
      </c>
      <c r="DL25" s="52">
        <f t="shared" si="106"/>
        <v>0</v>
      </c>
      <c r="DM25" s="52">
        <f t="shared" si="106"/>
        <v>25</v>
      </c>
      <c r="DN25" s="52">
        <f t="shared" si="106"/>
        <v>0</v>
      </c>
      <c r="DO25" s="52">
        <f t="shared" si="106"/>
        <v>0</v>
      </c>
      <c r="DP25" s="52">
        <f t="shared" si="106"/>
        <v>0</v>
      </c>
      <c r="DQ25" s="52">
        <f t="shared" si="106"/>
        <v>0</v>
      </c>
      <c r="DR25" s="52">
        <f t="shared" si="106"/>
        <v>0</v>
      </c>
      <c r="DS25" s="52">
        <f t="shared" si="106"/>
        <v>0</v>
      </c>
      <c r="DT25" s="52">
        <f t="shared" si="106"/>
        <v>0</v>
      </c>
      <c r="DU25" s="52">
        <f t="shared" si="106"/>
        <v>0</v>
      </c>
      <c r="DV25" s="52">
        <f t="shared" si="21"/>
        <v>25</v>
      </c>
      <c r="DW25" s="52">
        <f t="shared" si="22"/>
        <v>1</v>
      </c>
    </row>
    <row r="26">
      <c r="A26" s="23" t="s">
        <v>64</v>
      </c>
      <c r="B26" s="23" t="s">
        <v>56</v>
      </c>
      <c r="C26" s="31" t="s">
        <v>113</v>
      </c>
      <c r="D26" s="25" t="str">
        <f>IFERROR(__xludf.DUMMYFUNCTION("SPLIT(C26,"" "")"),"Afkhami,")</f>
        <v>Afkhami,</v>
      </c>
      <c r="E26" s="22" t="str">
        <f>IFERROR(__xludf.DUMMYFUNCTION("""COMPUTED_VALUE"""),"Kambiz
2308")</f>
        <v>Kambiz
2308</v>
      </c>
      <c r="F26" s="22" t="str">
        <f>IFERROR(__xludf.DUMMYFUNCTION("""COMPUTED_VALUE"""),"Blackberry")</f>
        <v>Blackberry</v>
      </c>
      <c r="G26" s="22" t="str">
        <f>IFERROR(__xludf.DUMMYFUNCTION("""COMPUTED_VALUE"""),"Dr.
Richardson,")</f>
        <v>Dr.
Richardson,</v>
      </c>
      <c r="H26" s="22" t="str">
        <f>IFERROR(__xludf.DUMMYFUNCTION("""COMPUTED_VALUE"""),"TX")</f>
        <v>TX</v>
      </c>
      <c r="I26" s="22">
        <f>IFERROR(__xludf.DUMMYFUNCTION("""COMPUTED_VALUE"""),75082.0)</f>
        <v>75082</v>
      </c>
      <c r="J26" s="22"/>
      <c r="K26" s="22"/>
      <c r="L26" s="22"/>
      <c r="M26" s="22"/>
      <c r="N26" s="22"/>
      <c r="O26" s="22"/>
      <c r="P26" s="22"/>
      <c r="Q26" s="22"/>
      <c r="R26" s="22"/>
      <c r="S26" s="22"/>
      <c r="T26" s="22"/>
      <c r="U26" s="24" t="str">
        <f>IFERROR(__xludf.DUMMYFUNCTION("SPLIT(E26,""01234567890"")"),"Kambiz
")</f>
        <v>Kambiz
</v>
      </c>
      <c r="V26" s="24" t="str">
        <f>IFERROR(__xludf.DUMMYFUNCTION("SPLIT(D26,"","")"),"Afkhami")</f>
        <v>Afkhami</v>
      </c>
      <c r="W26" s="25" t="str">
        <f t="shared" si="1"/>
        <v>KAMBIZ
 AFKHAMI</v>
      </c>
      <c r="X26" s="25" t="s">
        <v>111</v>
      </c>
      <c r="Y26" s="25">
        <v>75082.0</v>
      </c>
      <c r="Z26" s="25" t="str">
        <f>IFERROR(__xludf.DUMMYFUNCTION("SPLIT(C26,""
"")"),"Afkhami, Kambiz")</f>
        <v>Afkhami, Kambiz</v>
      </c>
      <c r="AA26" s="25" t="str">
        <f>IFERROR(__xludf.DUMMYFUNCTION("""COMPUTED_VALUE"""),"2308 Blackberry Dr.")</f>
        <v>2308 Blackberry Dr.</v>
      </c>
      <c r="AB26" s="25" t="str">
        <f>IFERROR(__xludf.DUMMYFUNCTION("""COMPUTED_VALUE"""),"Richardson, TX 75082")</f>
        <v>Richardson, TX 75082</v>
      </c>
      <c r="AC26" s="24" t="s">
        <v>114</v>
      </c>
      <c r="AD26" s="25"/>
      <c r="AE26" s="25"/>
      <c r="AF26" s="25"/>
      <c r="AG26" s="22" t="s">
        <v>60</v>
      </c>
      <c r="AH26" s="54">
        <v>2477.0</v>
      </c>
      <c r="AI26" s="22" t="s">
        <v>68</v>
      </c>
      <c r="AJ26" s="27">
        <v>50.0</v>
      </c>
      <c r="AK26" s="31" t="s">
        <v>26</v>
      </c>
      <c r="AL26" s="28">
        <v>44879.0</v>
      </c>
      <c r="AM26" s="29">
        <v>44940.42346064815</v>
      </c>
      <c r="AN26" s="30">
        <v>2.0</v>
      </c>
      <c r="AO26" s="22"/>
      <c r="AP26" s="22"/>
      <c r="AQ26" s="22"/>
      <c r="AR26" s="22"/>
      <c r="AS26" s="31">
        <f>IFERROR(__xludf.DUMMYFUNCTION("""COMPUTED_VALUE"""),75219.0)</f>
        <v>75219</v>
      </c>
      <c r="AT26" s="45">
        <f t="shared" si="6"/>
        <v>36300</v>
      </c>
      <c r="AU26" s="22"/>
      <c r="AV26" s="57" t="str">
        <f>IFERROR(__xludf.DUMMYFUNCTION("""COMPUTED_VALUE"""),"Anglin")</f>
        <v>Anglin</v>
      </c>
      <c r="AW26" s="46">
        <f t="shared" si="7"/>
        <v>950</v>
      </c>
      <c r="AX26" s="47">
        <f t="shared" ref="AX26:BQ26" si="107">SUMIFS($AJ:$AJ,$V:$V,$AV26,$AK:$AK,AX$2)</f>
        <v>950</v>
      </c>
      <c r="AY26" s="48">
        <f t="shared" si="107"/>
        <v>0</v>
      </c>
      <c r="AZ26" s="48">
        <f t="shared" si="107"/>
        <v>0</v>
      </c>
      <c r="BA26" s="48">
        <f t="shared" si="107"/>
        <v>0</v>
      </c>
      <c r="BB26" s="48">
        <f t="shared" si="107"/>
        <v>0</v>
      </c>
      <c r="BC26" s="48">
        <f t="shared" si="107"/>
        <v>0</v>
      </c>
      <c r="BD26" s="48">
        <f t="shared" si="107"/>
        <v>0</v>
      </c>
      <c r="BE26" s="48">
        <f t="shared" si="107"/>
        <v>0</v>
      </c>
      <c r="BF26" s="48">
        <f t="shared" si="107"/>
        <v>0</v>
      </c>
      <c r="BG26" s="48">
        <f t="shared" si="107"/>
        <v>0</v>
      </c>
      <c r="BH26" s="48">
        <f t="shared" si="107"/>
        <v>0</v>
      </c>
      <c r="BI26" s="48">
        <f t="shared" si="107"/>
        <v>0</v>
      </c>
      <c r="BJ26" s="48">
        <f t="shared" si="107"/>
        <v>0</v>
      </c>
      <c r="BK26" s="48">
        <f t="shared" si="107"/>
        <v>0</v>
      </c>
      <c r="BL26" s="48">
        <f t="shared" si="107"/>
        <v>0</v>
      </c>
      <c r="BM26" s="48">
        <f t="shared" si="107"/>
        <v>0</v>
      </c>
      <c r="BN26" s="48">
        <f t="shared" si="107"/>
        <v>0</v>
      </c>
      <c r="BO26" s="48">
        <f t="shared" si="107"/>
        <v>0</v>
      </c>
      <c r="BP26" s="48">
        <f t="shared" si="107"/>
        <v>0</v>
      </c>
      <c r="BQ26" s="48">
        <f t="shared" si="107"/>
        <v>0</v>
      </c>
      <c r="BR26" s="36">
        <f t="shared" si="9"/>
        <v>0</v>
      </c>
      <c r="BS26" s="38">
        <f t="shared" si="10"/>
        <v>1</v>
      </c>
      <c r="BT26" s="49">
        <f t="shared" si="11"/>
        <v>0</v>
      </c>
      <c r="BU26" s="38">
        <f t="shared" si="12"/>
        <v>1000</v>
      </c>
      <c r="BV26" s="57" t="str">
        <f>IFERROR(__xludf.DUMMYFUNCTION("""COMPUTED_VALUE"""),"Anglin")</f>
        <v>Anglin</v>
      </c>
      <c r="BW26" s="46">
        <f t="shared" si="13"/>
        <v>950</v>
      </c>
      <c r="BX26" s="47">
        <f t="shared" ref="BX26:CA26" si="108">AX26-$BU26</f>
        <v>-50</v>
      </c>
      <c r="BY26" s="47">
        <f t="shared" si="108"/>
        <v>-1000</v>
      </c>
      <c r="BZ26" s="47">
        <f t="shared" si="108"/>
        <v>-1000</v>
      </c>
      <c r="CA26" s="47">
        <f t="shared" si="108"/>
        <v>-1000</v>
      </c>
      <c r="CB26" s="47">
        <f t="shared" si="15"/>
        <v>-10000</v>
      </c>
      <c r="CC26" s="47">
        <f t="shared" ref="CC26:CQ26" si="109">BC26-$BU26</f>
        <v>-1000</v>
      </c>
      <c r="CD26" s="47">
        <f t="shared" si="109"/>
        <v>-1000</v>
      </c>
      <c r="CE26" s="47">
        <f t="shared" si="109"/>
        <v>-1000</v>
      </c>
      <c r="CF26" s="47">
        <f t="shared" si="109"/>
        <v>-1000</v>
      </c>
      <c r="CG26" s="47">
        <f t="shared" si="109"/>
        <v>-1000</v>
      </c>
      <c r="CH26" s="47">
        <f t="shared" si="109"/>
        <v>-1000</v>
      </c>
      <c r="CI26" s="47">
        <f t="shared" si="109"/>
        <v>-1000</v>
      </c>
      <c r="CJ26" s="47">
        <f t="shared" si="109"/>
        <v>-1000</v>
      </c>
      <c r="CK26" s="47">
        <f t="shared" si="109"/>
        <v>-1000</v>
      </c>
      <c r="CL26" s="47">
        <f t="shared" si="109"/>
        <v>-1000</v>
      </c>
      <c r="CM26" s="47">
        <f t="shared" si="109"/>
        <v>-1000</v>
      </c>
      <c r="CN26" s="47">
        <f t="shared" si="109"/>
        <v>-1000</v>
      </c>
      <c r="CO26" s="47">
        <f t="shared" si="109"/>
        <v>-1000</v>
      </c>
      <c r="CP26" s="47">
        <f t="shared" si="109"/>
        <v>-1000</v>
      </c>
      <c r="CQ26" s="47">
        <f t="shared" si="109"/>
        <v>-1000</v>
      </c>
      <c r="CR26" s="47"/>
      <c r="CS26" s="47"/>
      <c r="CT26" s="47"/>
      <c r="CU26" s="50" t="str">
        <f>IFERROR(__xludf.DUMMYFUNCTION("""COMPUTED_VALUE"""),"11 Cheltenham Way
Dallas, TX 75230          ")</f>
        <v>11 Cheltenham Way
Dallas, TX 75230          </v>
      </c>
      <c r="CV26" s="51">
        <f>IFERROR(__xludf.DUMMYFUNCTION("IF(REGEXMATCH(UPPER(CU26), ""TX""),0,1)"),0.0)</f>
        <v>0</v>
      </c>
      <c r="CW26" s="51">
        <f>IFERROR(__xludf.DUMMYFUNCTION("IF(REGEXMATCH(UPPER(CU26), ""DALLAS""),0,1)"),0.0)</f>
        <v>0</v>
      </c>
      <c r="CX26" s="51">
        <f t="shared" si="17"/>
        <v>0</v>
      </c>
      <c r="CY26" s="51">
        <f t="shared" si="18"/>
        <v>0</v>
      </c>
      <c r="CZ26" s="52" t="str">
        <f t="shared" si="19"/>
        <v/>
      </c>
      <c r="DA26" s="53" t="str">
        <f>IFERROR(__xludf.DUMMYFUNCTION("""COMPUTED_VALUE"""),"3405 Rustic Way Lane
Falls Church, VA 22044        ")</f>
        <v>3405 Rustic Way Lane
Falls Church, VA 22044        </v>
      </c>
      <c r="DB26" s="52">
        <f t="shared" ref="DB26:DU26" si="110">SUMIFS($AJ:$AJ,$X:$X,$DA26,$AK:$AK,DB$2)</f>
        <v>0</v>
      </c>
      <c r="DC26" s="52">
        <f t="shared" si="110"/>
        <v>0</v>
      </c>
      <c r="DD26" s="52">
        <f t="shared" si="110"/>
        <v>0</v>
      </c>
      <c r="DE26" s="52">
        <f t="shared" si="110"/>
        <v>0</v>
      </c>
      <c r="DF26" s="52">
        <f t="shared" si="110"/>
        <v>0</v>
      </c>
      <c r="DG26" s="52">
        <f t="shared" si="110"/>
        <v>0</v>
      </c>
      <c r="DH26" s="52">
        <f t="shared" si="110"/>
        <v>0</v>
      </c>
      <c r="DI26" s="52">
        <f t="shared" si="110"/>
        <v>0</v>
      </c>
      <c r="DJ26" s="52">
        <f t="shared" si="110"/>
        <v>0</v>
      </c>
      <c r="DK26" s="52">
        <f t="shared" si="110"/>
        <v>0</v>
      </c>
      <c r="DL26" s="52">
        <f t="shared" si="110"/>
        <v>100</v>
      </c>
      <c r="DM26" s="52">
        <f t="shared" si="110"/>
        <v>0</v>
      </c>
      <c r="DN26" s="52">
        <f t="shared" si="110"/>
        <v>0</v>
      </c>
      <c r="DO26" s="52">
        <f t="shared" si="110"/>
        <v>0</v>
      </c>
      <c r="DP26" s="52">
        <f t="shared" si="110"/>
        <v>0</v>
      </c>
      <c r="DQ26" s="52">
        <f t="shared" si="110"/>
        <v>0</v>
      </c>
      <c r="DR26" s="52">
        <f t="shared" si="110"/>
        <v>0</v>
      </c>
      <c r="DS26" s="52">
        <f t="shared" si="110"/>
        <v>0</v>
      </c>
      <c r="DT26" s="52">
        <f t="shared" si="110"/>
        <v>0</v>
      </c>
      <c r="DU26" s="52">
        <f t="shared" si="110"/>
        <v>0</v>
      </c>
      <c r="DV26" s="52">
        <f t="shared" si="21"/>
        <v>100</v>
      </c>
      <c r="DW26" s="52">
        <f t="shared" si="22"/>
        <v>1</v>
      </c>
    </row>
    <row r="27">
      <c r="A27" s="41" t="s">
        <v>64</v>
      </c>
      <c r="B27" s="41" t="s">
        <v>56</v>
      </c>
      <c r="C27" s="31" t="s">
        <v>115</v>
      </c>
      <c r="D27" s="25" t="str">
        <f>IFERROR(__xludf.DUMMYFUNCTION("SPLIT(C27,"" "")"),"Agarwal,")</f>
        <v>Agarwal,</v>
      </c>
      <c r="E27" s="40" t="str">
        <f>IFERROR(__xludf.DUMMYFUNCTION("""COMPUTED_VALUE"""),"Arun
123")</f>
        <v>Arun
123</v>
      </c>
      <c r="F27" s="40" t="str">
        <f>IFERROR(__xludf.DUMMYFUNCTION("""COMPUTED_VALUE"""),"
Dallas,")</f>
        <v>
Dallas,</v>
      </c>
      <c r="G27" s="40" t="str">
        <f>IFERROR(__xludf.DUMMYFUNCTION("""COMPUTED_VALUE"""),"TX")</f>
        <v>TX</v>
      </c>
      <c r="H27" s="40">
        <f>IFERROR(__xludf.DUMMYFUNCTION("""COMPUTED_VALUE"""),75207.0)</f>
        <v>75207</v>
      </c>
      <c r="I27" s="40"/>
      <c r="J27" s="40"/>
      <c r="K27" s="40"/>
      <c r="L27" s="40"/>
      <c r="M27" s="40"/>
      <c r="N27" s="40"/>
      <c r="O27" s="40"/>
      <c r="P27" s="40"/>
      <c r="Q27" s="40"/>
      <c r="R27" s="40"/>
      <c r="S27" s="40"/>
      <c r="T27" s="40"/>
      <c r="U27" s="24" t="str">
        <f>IFERROR(__xludf.DUMMYFUNCTION("SPLIT(E27,""01234567890"")"),"Arun
")</f>
        <v>Arun
</v>
      </c>
      <c r="V27" s="24" t="str">
        <f>IFERROR(__xludf.DUMMYFUNCTION("SPLIT(D27,"","")"),"Agarwal")</f>
        <v>Agarwal</v>
      </c>
      <c r="W27" s="25" t="str">
        <f t="shared" si="1"/>
        <v>ARUN
 AGARWAL</v>
      </c>
      <c r="X27" s="25" t="s">
        <v>116</v>
      </c>
      <c r="Y27" s="25">
        <v>75207.0</v>
      </c>
      <c r="Z27" s="25" t="str">
        <f>IFERROR(__xludf.DUMMYFUNCTION("SPLIT(C27,""
"")"),"Agarwal, Arun")</f>
        <v>Agarwal, Arun</v>
      </c>
      <c r="AA27" s="25">
        <f>IFERROR(__xludf.DUMMYFUNCTION("""COMPUTED_VALUE"""),123.0)</f>
        <v>123</v>
      </c>
      <c r="AB27" s="25" t="str">
        <f>IFERROR(__xludf.DUMMYFUNCTION("""COMPUTED_VALUE"""),"Dallas, TX 75207")</f>
        <v>Dallas, TX 75207</v>
      </c>
      <c r="AC27" s="24" t="s">
        <v>117</v>
      </c>
      <c r="AD27" s="25"/>
      <c r="AE27" s="25"/>
      <c r="AF27" s="25"/>
      <c r="AG27" s="40" t="s">
        <v>60</v>
      </c>
      <c r="AH27" s="42">
        <v>2500.0</v>
      </c>
      <c r="AI27" s="40" t="s">
        <v>68</v>
      </c>
      <c r="AJ27" s="27">
        <v>1000.0</v>
      </c>
      <c r="AK27" s="31" t="s">
        <v>23</v>
      </c>
      <c r="AL27" s="43">
        <v>44833.0</v>
      </c>
      <c r="AM27" s="44">
        <v>44941.874814814815</v>
      </c>
      <c r="AN27" s="30">
        <v>2.0</v>
      </c>
      <c r="AO27" s="40"/>
      <c r="AP27" s="40"/>
      <c r="AQ27" s="40"/>
      <c r="AR27" s="40"/>
      <c r="AS27" s="31">
        <f>IFERROR(__xludf.DUMMYFUNCTION("""COMPUTED_VALUE"""),75240.0)</f>
        <v>75240</v>
      </c>
      <c r="AT27" s="45">
        <f t="shared" si="6"/>
        <v>11250</v>
      </c>
      <c r="AU27" s="40"/>
      <c r="AV27" s="46" t="str">
        <f>IFERROR(__xludf.DUMMYFUNCTION("""COMPUTED_VALUE"""),"Apartment")</f>
        <v>Apartment</v>
      </c>
      <c r="AW27" s="46">
        <f t="shared" si="7"/>
        <v>20000</v>
      </c>
      <c r="AX27" s="47">
        <f t="shared" ref="AX27:BQ27" si="111">SUMIFS($AJ:$AJ,$V:$V,$AV27,$AK:$AK,AX$2)</f>
        <v>0</v>
      </c>
      <c r="AY27" s="48">
        <f t="shared" si="111"/>
        <v>0</v>
      </c>
      <c r="AZ27" s="48">
        <f t="shared" si="111"/>
        <v>0</v>
      </c>
      <c r="BA27" s="48">
        <f t="shared" si="111"/>
        <v>0</v>
      </c>
      <c r="BB27" s="48">
        <f t="shared" si="111"/>
        <v>20000</v>
      </c>
      <c r="BC27" s="48">
        <f t="shared" si="111"/>
        <v>0</v>
      </c>
      <c r="BD27" s="48">
        <f t="shared" si="111"/>
        <v>0</v>
      </c>
      <c r="BE27" s="48">
        <f t="shared" si="111"/>
        <v>0</v>
      </c>
      <c r="BF27" s="48">
        <f t="shared" si="111"/>
        <v>0</v>
      </c>
      <c r="BG27" s="48">
        <f t="shared" si="111"/>
        <v>0</v>
      </c>
      <c r="BH27" s="48">
        <f t="shared" si="111"/>
        <v>0</v>
      </c>
      <c r="BI27" s="48">
        <f t="shared" si="111"/>
        <v>0</v>
      </c>
      <c r="BJ27" s="48">
        <f t="shared" si="111"/>
        <v>0</v>
      </c>
      <c r="BK27" s="48">
        <f t="shared" si="111"/>
        <v>0</v>
      </c>
      <c r="BL27" s="48">
        <f t="shared" si="111"/>
        <v>0</v>
      </c>
      <c r="BM27" s="48">
        <f t="shared" si="111"/>
        <v>0</v>
      </c>
      <c r="BN27" s="48">
        <f t="shared" si="111"/>
        <v>0</v>
      </c>
      <c r="BO27" s="48">
        <f t="shared" si="111"/>
        <v>0</v>
      </c>
      <c r="BP27" s="48">
        <f t="shared" si="111"/>
        <v>0</v>
      </c>
      <c r="BQ27" s="48">
        <f t="shared" si="111"/>
        <v>0</v>
      </c>
      <c r="BR27" s="36">
        <f t="shared" si="9"/>
        <v>0</v>
      </c>
      <c r="BS27" s="38">
        <f t="shared" si="10"/>
        <v>1</v>
      </c>
      <c r="BT27" s="49">
        <f t="shared" si="11"/>
        <v>0</v>
      </c>
      <c r="BU27" s="38">
        <f t="shared" si="12"/>
        <v>1000</v>
      </c>
      <c r="BV27" s="46" t="str">
        <f>IFERROR(__xludf.DUMMYFUNCTION("""COMPUTED_VALUE"""),"Apartment")</f>
        <v>Apartment</v>
      </c>
      <c r="BW27" s="46">
        <f t="shared" si="13"/>
        <v>20000</v>
      </c>
      <c r="BX27" s="47">
        <f t="shared" ref="BX27:CA27" si="112">AX27-$BU27</f>
        <v>-1000</v>
      </c>
      <c r="BY27" s="47">
        <f t="shared" si="112"/>
        <v>-1000</v>
      </c>
      <c r="BZ27" s="47">
        <f t="shared" si="112"/>
        <v>-1000</v>
      </c>
      <c r="CA27" s="47">
        <f t="shared" si="112"/>
        <v>-1000</v>
      </c>
      <c r="CB27" s="47">
        <f t="shared" si="15"/>
        <v>10000</v>
      </c>
      <c r="CC27" s="47">
        <f t="shared" ref="CC27:CQ27" si="113">BC27-$BU27</f>
        <v>-1000</v>
      </c>
      <c r="CD27" s="47">
        <f t="shared" si="113"/>
        <v>-1000</v>
      </c>
      <c r="CE27" s="47">
        <f t="shared" si="113"/>
        <v>-1000</v>
      </c>
      <c r="CF27" s="47">
        <f t="shared" si="113"/>
        <v>-1000</v>
      </c>
      <c r="CG27" s="47">
        <f t="shared" si="113"/>
        <v>-1000</v>
      </c>
      <c r="CH27" s="47">
        <f t="shared" si="113"/>
        <v>-1000</v>
      </c>
      <c r="CI27" s="47">
        <f t="shared" si="113"/>
        <v>-1000</v>
      </c>
      <c r="CJ27" s="47">
        <f t="shared" si="113"/>
        <v>-1000</v>
      </c>
      <c r="CK27" s="47">
        <f t="shared" si="113"/>
        <v>-1000</v>
      </c>
      <c r="CL27" s="47">
        <f t="shared" si="113"/>
        <v>-1000</v>
      </c>
      <c r="CM27" s="47">
        <f t="shared" si="113"/>
        <v>-1000</v>
      </c>
      <c r="CN27" s="47">
        <f t="shared" si="113"/>
        <v>-1000</v>
      </c>
      <c r="CO27" s="47">
        <f t="shared" si="113"/>
        <v>-1000</v>
      </c>
      <c r="CP27" s="47">
        <f t="shared" si="113"/>
        <v>-1000</v>
      </c>
      <c r="CQ27" s="47">
        <f t="shared" si="113"/>
        <v>-1000</v>
      </c>
      <c r="CR27" s="47"/>
      <c r="CS27" s="47"/>
      <c r="CT27" s="47"/>
      <c r="CU27" s="50" t="str">
        <f>IFERROR(__xludf.DUMMYFUNCTION("""COMPUTED_VALUE"""),"27 Edge Hill Drive
Dallas, TX 75248         ")</f>
        <v>27 Edge Hill Drive
Dallas, TX 75248         </v>
      </c>
      <c r="CV27" s="51">
        <f>IFERROR(__xludf.DUMMYFUNCTION("IF(REGEXMATCH(UPPER(CU27), ""TX""),0,1)"),0.0)</f>
        <v>0</v>
      </c>
      <c r="CW27" s="51">
        <f>IFERROR(__xludf.DUMMYFUNCTION("IF(REGEXMATCH(UPPER(CU27), ""DALLAS""),0,1)"),0.0)</f>
        <v>0</v>
      </c>
      <c r="CX27" s="51">
        <f t="shared" si="17"/>
        <v>0</v>
      </c>
      <c r="CY27" s="51">
        <f t="shared" si="18"/>
        <v>0</v>
      </c>
      <c r="CZ27" s="52" t="str">
        <f t="shared" si="19"/>
        <v/>
      </c>
      <c r="DA27" s="53" t="str">
        <f>IFERROR(__xludf.DUMMYFUNCTION("""COMPUTED_VALUE"""),"3417 Milam St
Houston, TX 77002          ")</f>
        <v>3417 Milam St
Houston, TX 77002          </v>
      </c>
      <c r="DB27" s="52">
        <f t="shared" ref="DB27:DU27" si="114">SUMIFS($AJ:$AJ,$X:$X,$DA27,$AK:$AK,DB$2)</f>
        <v>0</v>
      </c>
      <c r="DC27" s="52">
        <f t="shared" si="114"/>
        <v>0</v>
      </c>
      <c r="DD27" s="52">
        <f t="shared" si="114"/>
        <v>0</v>
      </c>
      <c r="DE27" s="52">
        <f t="shared" si="114"/>
        <v>0</v>
      </c>
      <c r="DF27" s="52">
        <f t="shared" si="114"/>
        <v>500</v>
      </c>
      <c r="DG27" s="52">
        <f t="shared" si="114"/>
        <v>0</v>
      </c>
      <c r="DH27" s="52">
        <f t="shared" si="114"/>
        <v>0</v>
      </c>
      <c r="DI27" s="52">
        <f t="shared" si="114"/>
        <v>0</v>
      </c>
      <c r="DJ27" s="52">
        <f t="shared" si="114"/>
        <v>0</v>
      </c>
      <c r="DK27" s="52">
        <f t="shared" si="114"/>
        <v>0</v>
      </c>
      <c r="DL27" s="52">
        <f t="shared" si="114"/>
        <v>0</v>
      </c>
      <c r="DM27" s="52">
        <f t="shared" si="114"/>
        <v>0</v>
      </c>
      <c r="DN27" s="52">
        <f t="shared" si="114"/>
        <v>0</v>
      </c>
      <c r="DO27" s="52">
        <f t="shared" si="114"/>
        <v>0</v>
      </c>
      <c r="DP27" s="52">
        <f t="shared" si="114"/>
        <v>0</v>
      </c>
      <c r="DQ27" s="52">
        <f t="shared" si="114"/>
        <v>0</v>
      </c>
      <c r="DR27" s="52">
        <f t="shared" si="114"/>
        <v>0</v>
      </c>
      <c r="DS27" s="52">
        <f t="shared" si="114"/>
        <v>0</v>
      </c>
      <c r="DT27" s="52">
        <f t="shared" si="114"/>
        <v>0</v>
      </c>
      <c r="DU27" s="52">
        <f t="shared" si="114"/>
        <v>0</v>
      </c>
      <c r="DV27" s="52">
        <f t="shared" si="21"/>
        <v>500</v>
      </c>
      <c r="DW27" s="52">
        <f t="shared" si="22"/>
        <v>1</v>
      </c>
    </row>
    <row r="28">
      <c r="A28" s="22" t="s">
        <v>55</v>
      </c>
      <c r="B28" s="23" t="s">
        <v>56</v>
      </c>
      <c r="C28" s="31" t="s">
        <v>118</v>
      </c>
      <c r="D28" s="25" t="str">
        <f>IFERROR(__xludf.DUMMYFUNCTION("SPLIT(C28,"" "")"),"Agarwal,")</f>
        <v>Agarwal,</v>
      </c>
      <c r="E28" s="22" t="str">
        <f>IFERROR(__xludf.DUMMYFUNCTION("""COMPUTED_VALUE"""),"Arun
123")</f>
        <v>Arun
123</v>
      </c>
      <c r="F28" s="22" t="str">
        <f>IFERROR(__xludf.DUMMYFUNCTION("""COMPUTED_VALUE"""),"Oak")</f>
        <v>Oak</v>
      </c>
      <c r="G28" s="22" t="str">
        <f>IFERROR(__xludf.DUMMYFUNCTION("""COMPUTED_VALUE"""),"Lawn")</f>
        <v>Lawn</v>
      </c>
      <c r="H28" s="22" t="str">
        <f>IFERROR(__xludf.DUMMYFUNCTION("""COMPUTED_VALUE"""),"Ave
Dallas,")</f>
        <v>Ave
Dallas,</v>
      </c>
      <c r="I28" s="22" t="str">
        <f>IFERROR(__xludf.DUMMYFUNCTION("""COMPUTED_VALUE"""),"TX")</f>
        <v>TX</v>
      </c>
      <c r="J28" s="22">
        <f>IFERROR(__xludf.DUMMYFUNCTION("""COMPUTED_VALUE"""),75207.0)</f>
        <v>75207</v>
      </c>
      <c r="K28" s="22"/>
      <c r="L28" s="22"/>
      <c r="M28" s="22"/>
      <c r="N28" s="22"/>
      <c r="O28" s="22"/>
      <c r="P28" s="22"/>
      <c r="Q28" s="22"/>
      <c r="R28" s="22"/>
      <c r="S28" s="22"/>
      <c r="T28" s="22"/>
      <c r="U28" s="24" t="str">
        <f>IFERROR(__xludf.DUMMYFUNCTION("SPLIT(E28,""01234567890"")"),"Arun
")</f>
        <v>Arun
</v>
      </c>
      <c r="V28" s="24" t="str">
        <f>IFERROR(__xludf.DUMMYFUNCTION("SPLIT(D28,"","")"),"Agarwal")</f>
        <v>Agarwal</v>
      </c>
      <c r="W28" s="25" t="str">
        <f t="shared" si="1"/>
        <v>ARUN
 AGARWAL</v>
      </c>
      <c r="X28" s="25" t="s">
        <v>119</v>
      </c>
      <c r="Y28" s="25">
        <v>75207.0</v>
      </c>
      <c r="Z28" s="25" t="str">
        <f>IFERROR(__xludf.DUMMYFUNCTION("SPLIT(C28,""
"")"),"Agarwal, Arun")</f>
        <v>Agarwal, Arun</v>
      </c>
      <c r="AA28" s="25" t="str">
        <f>IFERROR(__xludf.DUMMYFUNCTION("""COMPUTED_VALUE"""),"123 Oak Lawn Ave")</f>
        <v>123 Oak Lawn Ave</v>
      </c>
      <c r="AB28" s="25" t="str">
        <f>IFERROR(__xludf.DUMMYFUNCTION("""COMPUTED_VALUE"""),"Dallas, TX 75207")</f>
        <v>Dallas, TX 75207</v>
      </c>
      <c r="AC28" s="24" t="s">
        <v>117</v>
      </c>
      <c r="AD28" s="25"/>
      <c r="AE28" s="25"/>
      <c r="AF28" s="25"/>
      <c r="AG28" s="22" t="s">
        <v>60</v>
      </c>
      <c r="AH28" s="54">
        <v>2481.0</v>
      </c>
      <c r="AI28" s="22" t="s">
        <v>68</v>
      </c>
      <c r="AJ28" s="27">
        <v>5000.0</v>
      </c>
      <c r="AK28" s="31" t="s">
        <v>25</v>
      </c>
      <c r="AL28" s="28">
        <v>44841.0</v>
      </c>
      <c r="AM28" s="29">
        <v>44937.81995370371</v>
      </c>
      <c r="AN28" s="30">
        <v>2.0</v>
      </c>
      <c r="AO28" s="22"/>
      <c r="AP28" s="22"/>
      <c r="AQ28" s="22"/>
      <c r="AR28" s="22"/>
      <c r="AS28" s="31">
        <f>IFERROR(__xludf.DUMMYFUNCTION("""COMPUTED_VALUE"""),75287.0)</f>
        <v>75287</v>
      </c>
      <c r="AT28" s="45">
        <f t="shared" si="6"/>
        <v>2000</v>
      </c>
      <c r="AU28" s="22"/>
      <c r="AV28" s="57" t="str">
        <f>IFERROR(__xludf.DUMMYFUNCTION("""COMPUTED_VALUE"""),"Applequist")</f>
        <v>Applequist</v>
      </c>
      <c r="AW28" s="46">
        <f t="shared" si="7"/>
        <v>3900</v>
      </c>
      <c r="AX28" s="47">
        <f t="shared" ref="AX28:BQ28" si="115">SUMIFS($AJ:$AJ,$V:$V,$AV28,$AK:$AK,AX$2)</f>
        <v>1900</v>
      </c>
      <c r="AY28" s="48">
        <f t="shared" si="115"/>
        <v>0</v>
      </c>
      <c r="AZ28" s="48">
        <f t="shared" si="115"/>
        <v>0</v>
      </c>
      <c r="BA28" s="48">
        <f t="shared" si="115"/>
        <v>2000</v>
      </c>
      <c r="BB28" s="48">
        <f t="shared" si="115"/>
        <v>0</v>
      </c>
      <c r="BC28" s="48">
        <f t="shared" si="115"/>
        <v>0</v>
      </c>
      <c r="BD28" s="48">
        <f t="shared" si="115"/>
        <v>0</v>
      </c>
      <c r="BE28" s="48">
        <f t="shared" si="115"/>
        <v>0</v>
      </c>
      <c r="BF28" s="48">
        <f t="shared" si="115"/>
        <v>0</v>
      </c>
      <c r="BG28" s="48">
        <f t="shared" si="115"/>
        <v>0</v>
      </c>
      <c r="BH28" s="48">
        <f t="shared" si="115"/>
        <v>0</v>
      </c>
      <c r="BI28" s="48">
        <f t="shared" si="115"/>
        <v>0</v>
      </c>
      <c r="BJ28" s="48">
        <f t="shared" si="115"/>
        <v>0</v>
      </c>
      <c r="BK28" s="48">
        <f t="shared" si="115"/>
        <v>0</v>
      </c>
      <c r="BL28" s="48">
        <f t="shared" si="115"/>
        <v>0</v>
      </c>
      <c r="BM28" s="48">
        <f t="shared" si="115"/>
        <v>0</v>
      </c>
      <c r="BN28" s="48">
        <f t="shared" si="115"/>
        <v>0</v>
      </c>
      <c r="BO28" s="48">
        <f t="shared" si="115"/>
        <v>0</v>
      </c>
      <c r="BP28" s="48">
        <f t="shared" si="115"/>
        <v>0</v>
      </c>
      <c r="BQ28" s="48">
        <f t="shared" si="115"/>
        <v>0</v>
      </c>
      <c r="BR28" s="36">
        <f t="shared" si="9"/>
        <v>0</v>
      </c>
      <c r="BS28" s="38">
        <f t="shared" si="10"/>
        <v>1</v>
      </c>
      <c r="BT28" s="49">
        <f t="shared" si="11"/>
        <v>0</v>
      </c>
      <c r="BU28" s="38">
        <f t="shared" si="12"/>
        <v>1000</v>
      </c>
      <c r="BV28" s="57" t="str">
        <f>IFERROR(__xludf.DUMMYFUNCTION("""COMPUTED_VALUE"""),"Applequist")</f>
        <v>Applequist</v>
      </c>
      <c r="BW28" s="46">
        <f t="shared" si="13"/>
        <v>3900</v>
      </c>
      <c r="BX28" s="47">
        <f t="shared" ref="BX28:CA28" si="116">AX28-$BU28</f>
        <v>900</v>
      </c>
      <c r="BY28" s="47">
        <f t="shared" si="116"/>
        <v>-1000</v>
      </c>
      <c r="BZ28" s="47">
        <f t="shared" si="116"/>
        <v>-1000</v>
      </c>
      <c r="CA28" s="47">
        <f t="shared" si="116"/>
        <v>1000</v>
      </c>
      <c r="CB28" s="47">
        <f t="shared" si="15"/>
        <v>-10000</v>
      </c>
      <c r="CC28" s="47">
        <f t="shared" ref="CC28:CQ28" si="117">BC28-$BU28</f>
        <v>-1000</v>
      </c>
      <c r="CD28" s="47">
        <f t="shared" si="117"/>
        <v>-1000</v>
      </c>
      <c r="CE28" s="47">
        <f t="shared" si="117"/>
        <v>-1000</v>
      </c>
      <c r="CF28" s="47">
        <f t="shared" si="117"/>
        <v>-1000</v>
      </c>
      <c r="CG28" s="47">
        <f t="shared" si="117"/>
        <v>-1000</v>
      </c>
      <c r="CH28" s="47">
        <f t="shared" si="117"/>
        <v>-1000</v>
      </c>
      <c r="CI28" s="47">
        <f t="shared" si="117"/>
        <v>-1000</v>
      </c>
      <c r="CJ28" s="47">
        <f t="shared" si="117"/>
        <v>-1000</v>
      </c>
      <c r="CK28" s="47">
        <f t="shared" si="117"/>
        <v>-1000</v>
      </c>
      <c r="CL28" s="47">
        <f t="shared" si="117"/>
        <v>-1000</v>
      </c>
      <c r="CM28" s="47">
        <f t="shared" si="117"/>
        <v>-1000</v>
      </c>
      <c r="CN28" s="47">
        <f t="shared" si="117"/>
        <v>-1000</v>
      </c>
      <c r="CO28" s="47">
        <f t="shared" si="117"/>
        <v>-1000</v>
      </c>
      <c r="CP28" s="47">
        <f t="shared" si="117"/>
        <v>-1000</v>
      </c>
      <c r="CQ28" s="47">
        <f t="shared" si="117"/>
        <v>-1000</v>
      </c>
      <c r="CR28" s="47"/>
      <c r="CS28" s="47"/>
      <c r="CT28" s="47"/>
      <c r="CU28" s="50" t="str">
        <f>IFERROR(__xludf.DUMMYFUNCTION("""COMPUTED_VALUE"""),"7304 Lane Park Court
Dallas, TX 75225         ")</f>
        <v>7304 Lane Park Court
Dallas, TX 75225         </v>
      </c>
      <c r="CV28" s="51">
        <f>IFERROR(__xludf.DUMMYFUNCTION("IF(REGEXMATCH(UPPER(CU28), ""TX""),0,1)"),0.0)</f>
        <v>0</v>
      </c>
      <c r="CW28" s="51">
        <f>IFERROR(__xludf.DUMMYFUNCTION("IF(REGEXMATCH(UPPER(CU28), ""DALLAS""),0,1)"),0.0)</f>
        <v>0</v>
      </c>
      <c r="CX28" s="51">
        <f t="shared" si="17"/>
        <v>0</v>
      </c>
      <c r="CY28" s="51">
        <f t="shared" si="18"/>
        <v>0</v>
      </c>
      <c r="CZ28" s="52" t="str">
        <f t="shared" si="19"/>
        <v/>
      </c>
      <c r="DA28" s="53" t="str">
        <f>IFERROR(__xludf.DUMMYFUNCTION("""COMPUTED_VALUE"""),"1219 Coronado Lane
Duncanville, TX 75137          ")</f>
        <v>1219 Coronado Lane
Duncanville, TX 75137          </v>
      </c>
      <c r="DB28" s="52">
        <f t="shared" ref="DB28:DU28" si="118">SUMIFS($AJ:$AJ,$X:$X,$DA28,$AK:$AK,DB$2)</f>
        <v>0</v>
      </c>
      <c r="DC28" s="52">
        <f t="shared" si="118"/>
        <v>0</v>
      </c>
      <c r="DD28" s="52">
        <f t="shared" si="118"/>
        <v>0</v>
      </c>
      <c r="DE28" s="52">
        <f t="shared" si="118"/>
        <v>0</v>
      </c>
      <c r="DF28" s="52">
        <f t="shared" si="118"/>
        <v>500</v>
      </c>
      <c r="DG28" s="52">
        <f t="shared" si="118"/>
        <v>0</v>
      </c>
      <c r="DH28" s="52">
        <f t="shared" si="118"/>
        <v>0</v>
      </c>
      <c r="DI28" s="52">
        <f t="shared" si="118"/>
        <v>0</v>
      </c>
      <c r="DJ28" s="52">
        <f t="shared" si="118"/>
        <v>0</v>
      </c>
      <c r="DK28" s="52">
        <f t="shared" si="118"/>
        <v>0</v>
      </c>
      <c r="DL28" s="52">
        <f t="shared" si="118"/>
        <v>0</v>
      </c>
      <c r="DM28" s="52">
        <f t="shared" si="118"/>
        <v>0</v>
      </c>
      <c r="DN28" s="52">
        <f t="shared" si="118"/>
        <v>0</v>
      </c>
      <c r="DO28" s="52">
        <f t="shared" si="118"/>
        <v>0</v>
      </c>
      <c r="DP28" s="52">
        <f t="shared" si="118"/>
        <v>0</v>
      </c>
      <c r="DQ28" s="52">
        <f t="shared" si="118"/>
        <v>0</v>
      </c>
      <c r="DR28" s="52">
        <f t="shared" si="118"/>
        <v>0</v>
      </c>
      <c r="DS28" s="52">
        <f t="shared" si="118"/>
        <v>0</v>
      </c>
      <c r="DT28" s="52">
        <f t="shared" si="118"/>
        <v>0</v>
      </c>
      <c r="DU28" s="52">
        <f t="shared" si="118"/>
        <v>0</v>
      </c>
      <c r="DV28" s="52">
        <f t="shared" si="21"/>
        <v>500</v>
      </c>
      <c r="DW28" s="52">
        <f t="shared" si="22"/>
        <v>1</v>
      </c>
    </row>
    <row r="29">
      <c r="A29" s="40" t="s">
        <v>55</v>
      </c>
      <c r="B29" s="41" t="s">
        <v>56</v>
      </c>
      <c r="C29" s="31" t="s">
        <v>120</v>
      </c>
      <c r="D29" s="25" t="str">
        <f>IFERROR(__xludf.DUMMYFUNCTION("SPLIT(C29,"" "")"),"Agarwal,")</f>
        <v>Agarwal,</v>
      </c>
      <c r="E29" s="40" t="str">
        <f>IFERROR(__xludf.DUMMYFUNCTION("""COMPUTED_VALUE"""),"Arun
123")</f>
        <v>Arun
123</v>
      </c>
      <c r="F29" s="40" t="str">
        <f>IFERROR(__xludf.DUMMYFUNCTION("""COMPUTED_VALUE"""),"Oak")</f>
        <v>Oak</v>
      </c>
      <c r="G29" s="40" t="str">
        <f>IFERROR(__xludf.DUMMYFUNCTION("""COMPUTED_VALUE"""),"Lawn
Dallas,")</f>
        <v>Lawn
Dallas,</v>
      </c>
      <c r="H29" s="40" t="str">
        <f>IFERROR(__xludf.DUMMYFUNCTION("""COMPUTED_VALUE"""),"TX")</f>
        <v>TX</v>
      </c>
      <c r="I29" s="40">
        <f>IFERROR(__xludf.DUMMYFUNCTION("""COMPUTED_VALUE"""),75207.0)</f>
        <v>75207</v>
      </c>
      <c r="J29" s="40"/>
      <c r="K29" s="40"/>
      <c r="L29" s="40"/>
      <c r="M29" s="40"/>
      <c r="N29" s="40"/>
      <c r="O29" s="40"/>
      <c r="P29" s="40"/>
      <c r="Q29" s="40"/>
      <c r="R29" s="40"/>
      <c r="S29" s="40"/>
      <c r="T29" s="40"/>
      <c r="U29" s="24" t="str">
        <f>IFERROR(__xludf.DUMMYFUNCTION("SPLIT(E29,""01234567890"")"),"Arun
")</f>
        <v>Arun
</v>
      </c>
      <c r="V29" s="24" t="str">
        <f>IFERROR(__xludf.DUMMYFUNCTION("SPLIT(D29,"","")"),"Agarwal")</f>
        <v>Agarwal</v>
      </c>
      <c r="W29" s="25" t="str">
        <f t="shared" si="1"/>
        <v>ARUN
 AGARWAL</v>
      </c>
      <c r="X29" s="25" t="s">
        <v>121</v>
      </c>
      <c r="Y29" s="25">
        <v>75207.0</v>
      </c>
      <c r="Z29" s="25" t="str">
        <f>IFERROR(__xludf.DUMMYFUNCTION("SPLIT(C29,""
"")"),"Agarwal, Arun")</f>
        <v>Agarwal, Arun</v>
      </c>
      <c r="AA29" s="25" t="str">
        <f>IFERROR(__xludf.DUMMYFUNCTION("""COMPUTED_VALUE"""),"123 Oak Lawn")</f>
        <v>123 Oak Lawn</v>
      </c>
      <c r="AB29" s="25" t="str">
        <f>IFERROR(__xludf.DUMMYFUNCTION("""COMPUTED_VALUE"""),"Dallas, TX 75207")</f>
        <v>Dallas, TX 75207</v>
      </c>
      <c r="AC29" s="24" t="s">
        <v>117</v>
      </c>
      <c r="AD29" s="25"/>
      <c r="AE29" s="25"/>
      <c r="AF29" s="25"/>
      <c r="AG29" s="40" t="s">
        <v>60</v>
      </c>
      <c r="AH29" s="42">
        <v>2459.0</v>
      </c>
      <c r="AI29" s="40" t="s">
        <v>61</v>
      </c>
      <c r="AJ29" s="27">
        <v>500.0</v>
      </c>
      <c r="AK29" s="31" t="s">
        <v>29</v>
      </c>
      <c r="AL29" s="43">
        <v>44716.0</v>
      </c>
      <c r="AM29" s="44">
        <v>44757.51128472222</v>
      </c>
      <c r="AN29" s="30">
        <v>2.0</v>
      </c>
      <c r="AO29" s="40"/>
      <c r="AP29" s="40"/>
      <c r="AQ29" s="40"/>
      <c r="AR29" s="40"/>
      <c r="AS29" s="31">
        <f>IFERROR(__xludf.DUMMYFUNCTION("""COMPUTED_VALUE"""),75243.0)</f>
        <v>75243</v>
      </c>
      <c r="AT29" s="45">
        <f t="shared" si="6"/>
        <v>14200</v>
      </c>
      <c r="AU29" s="40"/>
      <c r="AV29" s="46" t="str">
        <f>IFERROR(__xludf.DUMMYFUNCTION("""COMPUTED_VALUE"""),"Aranza")</f>
        <v>Aranza</v>
      </c>
      <c r="AW29" s="46">
        <f t="shared" si="7"/>
        <v>18000</v>
      </c>
      <c r="AX29" s="47">
        <f t="shared" ref="AX29:BQ29" si="119">SUMIFS($AJ:$AJ,$V:$V,$AV29,$AK:$AK,AX$2)</f>
        <v>0</v>
      </c>
      <c r="AY29" s="48">
        <f t="shared" si="119"/>
        <v>2000</v>
      </c>
      <c r="AZ29" s="48">
        <f t="shared" si="119"/>
        <v>0</v>
      </c>
      <c r="BA29" s="48">
        <f t="shared" si="119"/>
        <v>0</v>
      </c>
      <c r="BB29" s="48">
        <f t="shared" si="119"/>
        <v>0</v>
      </c>
      <c r="BC29" s="48">
        <f t="shared" si="119"/>
        <v>0</v>
      </c>
      <c r="BD29" s="48">
        <f t="shared" si="119"/>
        <v>3000</v>
      </c>
      <c r="BE29" s="48">
        <f t="shared" si="119"/>
        <v>0</v>
      </c>
      <c r="BF29" s="48">
        <f t="shared" si="119"/>
        <v>3000</v>
      </c>
      <c r="BG29" s="48">
        <f t="shared" si="119"/>
        <v>0</v>
      </c>
      <c r="BH29" s="48">
        <f t="shared" si="119"/>
        <v>0</v>
      </c>
      <c r="BI29" s="48">
        <f t="shared" si="119"/>
        <v>0</v>
      </c>
      <c r="BJ29" s="48">
        <f t="shared" si="119"/>
        <v>4000</v>
      </c>
      <c r="BK29" s="48">
        <f t="shared" si="119"/>
        <v>6000</v>
      </c>
      <c r="BL29" s="48">
        <f t="shared" si="119"/>
        <v>0</v>
      </c>
      <c r="BM29" s="48">
        <f t="shared" si="119"/>
        <v>0</v>
      </c>
      <c r="BN29" s="48">
        <f t="shared" si="119"/>
        <v>0</v>
      </c>
      <c r="BO29" s="48">
        <f t="shared" si="119"/>
        <v>0</v>
      </c>
      <c r="BP29" s="48">
        <f t="shared" si="119"/>
        <v>0</v>
      </c>
      <c r="BQ29" s="48">
        <f t="shared" si="119"/>
        <v>0</v>
      </c>
      <c r="BR29" s="36">
        <f t="shared" si="9"/>
        <v>1</v>
      </c>
      <c r="BS29" s="38">
        <f t="shared" si="10"/>
        <v>5</v>
      </c>
      <c r="BT29" s="49">
        <f t="shared" si="11"/>
        <v>0</v>
      </c>
      <c r="BU29" s="38">
        <f t="shared" si="12"/>
        <v>5000</v>
      </c>
      <c r="BV29" s="46" t="str">
        <f>IFERROR(__xludf.DUMMYFUNCTION("""COMPUTED_VALUE"""),"Aranza")</f>
        <v>Aranza</v>
      </c>
      <c r="BW29" s="46">
        <f t="shared" si="13"/>
        <v>18000</v>
      </c>
      <c r="BX29" s="47">
        <f t="shared" ref="BX29:CA29" si="120">AX29-$BU29</f>
        <v>-5000</v>
      </c>
      <c r="BY29" s="47">
        <f t="shared" si="120"/>
        <v>-3000</v>
      </c>
      <c r="BZ29" s="47">
        <f t="shared" si="120"/>
        <v>-5000</v>
      </c>
      <c r="CA29" s="47">
        <f t="shared" si="120"/>
        <v>-5000</v>
      </c>
      <c r="CB29" s="47">
        <f t="shared" si="15"/>
        <v>-50000</v>
      </c>
      <c r="CC29" s="47">
        <f t="shared" ref="CC29:CQ29" si="121">BC29-$BU29</f>
        <v>-5000</v>
      </c>
      <c r="CD29" s="47">
        <f t="shared" si="121"/>
        <v>-2000</v>
      </c>
      <c r="CE29" s="47">
        <f t="shared" si="121"/>
        <v>-5000</v>
      </c>
      <c r="CF29" s="47">
        <f t="shared" si="121"/>
        <v>-2000</v>
      </c>
      <c r="CG29" s="47">
        <f t="shared" si="121"/>
        <v>-5000</v>
      </c>
      <c r="CH29" s="47">
        <f t="shared" si="121"/>
        <v>-5000</v>
      </c>
      <c r="CI29" s="47">
        <f t="shared" si="121"/>
        <v>-5000</v>
      </c>
      <c r="CJ29" s="47">
        <f t="shared" si="121"/>
        <v>-1000</v>
      </c>
      <c r="CK29" s="47">
        <f t="shared" si="121"/>
        <v>1000</v>
      </c>
      <c r="CL29" s="47">
        <f t="shared" si="121"/>
        <v>-5000</v>
      </c>
      <c r="CM29" s="47">
        <f t="shared" si="121"/>
        <v>-5000</v>
      </c>
      <c r="CN29" s="47">
        <f t="shared" si="121"/>
        <v>-5000</v>
      </c>
      <c r="CO29" s="47">
        <f t="shared" si="121"/>
        <v>-5000</v>
      </c>
      <c r="CP29" s="47">
        <f t="shared" si="121"/>
        <v>-5000</v>
      </c>
      <c r="CQ29" s="47">
        <f t="shared" si="121"/>
        <v>-5000</v>
      </c>
      <c r="CR29" s="47"/>
      <c r="CS29" s="47"/>
      <c r="CT29" s="47"/>
      <c r="CU29" s="50" t="str">
        <f>IFERROR(__xludf.DUMMYFUNCTION("""COMPUTED_VALUE"""),"7304 Lane Park Ct.
Dallas, TX 75225         ")</f>
        <v>7304 Lane Park Ct.
Dallas, TX 75225         </v>
      </c>
      <c r="CV29" s="51">
        <f>IFERROR(__xludf.DUMMYFUNCTION("IF(REGEXMATCH(UPPER(CU29), ""TX""),0,1)"),0.0)</f>
        <v>0</v>
      </c>
      <c r="CW29" s="51">
        <f>IFERROR(__xludf.DUMMYFUNCTION("IF(REGEXMATCH(UPPER(CU29), ""DALLAS""),0,1)"),0.0)</f>
        <v>0</v>
      </c>
      <c r="CX29" s="51">
        <f t="shared" si="17"/>
        <v>0</v>
      </c>
      <c r="CY29" s="51">
        <f t="shared" si="18"/>
        <v>0</v>
      </c>
      <c r="CZ29" s="52" t="str">
        <f t="shared" si="19"/>
        <v/>
      </c>
      <c r="DA29" s="53" t="str">
        <f>IFERROR(__xludf.DUMMYFUNCTION("""COMPUTED_VALUE"""),"1219 Coronado Ln
Duncanville, TX 75137          ")</f>
        <v>1219 Coronado Ln
Duncanville, TX 75137          </v>
      </c>
      <c r="DB29" s="52">
        <f t="shared" ref="DB29:DU29" si="122">SUMIFS($AJ:$AJ,$X:$X,$DA29,$AK:$AK,DB$2)</f>
        <v>0</v>
      </c>
      <c r="DC29" s="52">
        <f t="shared" si="122"/>
        <v>0</v>
      </c>
      <c r="DD29" s="52">
        <f t="shared" si="122"/>
        <v>0</v>
      </c>
      <c r="DE29" s="52">
        <f t="shared" si="122"/>
        <v>0</v>
      </c>
      <c r="DF29" s="52">
        <f t="shared" si="122"/>
        <v>50</v>
      </c>
      <c r="DG29" s="52">
        <f t="shared" si="122"/>
        <v>0</v>
      </c>
      <c r="DH29" s="52">
        <f t="shared" si="122"/>
        <v>0</v>
      </c>
      <c r="DI29" s="52">
        <f t="shared" si="122"/>
        <v>0</v>
      </c>
      <c r="DJ29" s="52">
        <f t="shared" si="122"/>
        <v>0</v>
      </c>
      <c r="DK29" s="52">
        <f t="shared" si="122"/>
        <v>0</v>
      </c>
      <c r="DL29" s="52">
        <f t="shared" si="122"/>
        <v>0</v>
      </c>
      <c r="DM29" s="52">
        <f t="shared" si="122"/>
        <v>0</v>
      </c>
      <c r="DN29" s="52">
        <f t="shared" si="122"/>
        <v>0</v>
      </c>
      <c r="DO29" s="52">
        <f t="shared" si="122"/>
        <v>0</v>
      </c>
      <c r="DP29" s="52">
        <f t="shared" si="122"/>
        <v>0</v>
      </c>
      <c r="DQ29" s="52">
        <f t="shared" si="122"/>
        <v>0</v>
      </c>
      <c r="DR29" s="52">
        <f t="shared" si="122"/>
        <v>0</v>
      </c>
      <c r="DS29" s="52">
        <f t="shared" si="122"/>
        <v>0</v>
      </c>
      <c r="DT29" s="52">
        <f t="shared" si="122"/>
        <v>0</v>
      </c>
      <c r="DU29" s="52">
        <f t="shared" si="122"/>
        <v>0</v>
      </c>
      <c r="DV29" s="52">
        <f t="shared" si="21"/>
        <v>50</v>
      </c>
      <c r="DW29" s="52">
        <f t="shared" si="22"/>
        <v>1</v>
      </c>
    </row>
    <row r="30">
      <c r="A30" s="23" t="s">
        <v>64</v>
      </c>
      <c r="B30" s="23" t="s">
        <v>56</v>
      </c>
      <c r="C30" s="31" t="s">
        <v>122</v>
      </c>
      <c r="D30" s="25" t="str">
        <f>IFERROR(__xludf.DUMMYFUNCTION("SPLIT(C30,"" "")"),"Agarwal,")</f>
        <v>Agarwal,</v>
      </c>
      <c r="E30" s="22" t="str">
        <f>IFERROR(__xludf.DUMMYFUNCTION("""COMPUTED_VALUE"""),"Durga
2921")</f>
        <v>Durga
2921</v>
      </c>
      <c r="F30" s="22" t="str">
        <f>IFERROR(__xludf.DUMMYFUNCTION("""COMPUTED_VALUE"""),"University")</f>
        <v>University</v>
      </c>
      <c r="G30" s="22" t="str">
        <f>IFERROR(__xludf.DUMMYFUNCTION("""COMPUTED_VALUE"""),"Blvd
Houston,")</f>
        <v>Blvd
Houston,</v>
      </c>
      <c r="H30" s="22" t="str">
        <f>IFERROR(__xludf.DUMMYFUNCTION("""COMPUTED_VALUE"""),"TX")</f>
        <v>TX</v>
      </c>
      <c r="I30" s="22">
        <f>IFERROR(__xludf.DUMMYFUNCTION("""COMPUTED_VALUE"""),77005.0)</f>
        <v>77005</v>
      </c>
      <c r="J30" s="22"/>
      <c r="K30" s="22"/>
      <c r="L30" s="22"/>
      <c r="M30" s="22"/>
      <c r="N30" s="22"/>
      <c r="O30" s="22"/>
      <c r="P30" s="22"/>
      <c r="Q30" s="22"/>
      <c r="R30" s="22"/>
      <c r="S30" s="22"/>
      <c r="T30" s="22"/>
      <c r="U30" s="24" t="str">
        <f>IFERROR(__xludf.DUMMYFUNCTION("SPLIT(E30,""01234567890"")"),"Durga
")</f>
        <v>Durga
</v>
      </c>
      <c r="V30" s="24" t="str">
        <f>IFERROR(__xludf.DUMMYFUNCTION("SPLIT(D30,"","")"),"Agarwal")</f>
        <v>Agarwal</v>
      </c>
      <c r="W30" s="25" t="str">
        <f t="shared" si="1"/>
        <v>DURGA
 AGARWAL</v>
      </c>
      <c r="X30" s="25" t="s">
        <v>123</v>
      </c>
      <c r="Y30" s="25">
        <v>77005.0</v>
      </c>
      <c r="Z30" s="25" t="str">
        <f>IFERROR(__xludf.DUMMYFUNCTION("SPLIT(C30,""
"")"),"Agarwal, Durga")</f>
        <v>Agarwal, Durga</v>
      </c>
      <c r="AA30" s="25" t="str">
        <f>IFERROR(__xludf.DUMMYFUNCTION("""COMPUTED_VALUE"""),"2921 University Blvd")</f>
        <v>2921 University Blvd</v>
      </c>
      <c r="AB30" s="25" t="str">
        <f>IFERROR(__xludf.DUMMYFUNCTION("""COMPUTED_VALUE"""),"Houston, TX 77005")</f>
        <v>Houston, TX 77005</v>
      </c>
      <c r="AC30" s="24" t="s">
        <v>124</v>
      </c>
      <c r="AD30" s="25"/>
      <c r="AE30" s="25"/>
      <c r="AF30" s="25"/>
      <c r="AG30" s="22" t="s">
        <v>60</v>
      </c>
      <c r="AH30" s="54">
        <v>2481.0</v>
      </c>
      <c r="AI30" s="22" t="s">
        <v>68</v>
      </c>
      <c r="AJ30" s="27">
        <v>1000.0</v>
      </c>
      <c r="AK30" s="31" t="s">
        <v>25</v>
      </c>
      <c r="AL30" s="28">
        <v>44861.0</v>
      </c>
      <c r="AM30" s="29">
        <v>44937.81995370371</v>
      </c>
      <c r="AN30" s="30">
        <v>2.0</v>
      </c>
      <c r="AO30" s="22"/>
      <c r="AP30" s="22"/>
      <c r="AQ30" s="22"/>
      <c r="AR30" s="22"/>
      <c r="AS30" s="31">
        <f>IFERROR(__xludf.DUMMYFUNCTION("""COMPUTED_VALUE"""),77073.0)</f>
        <v>77073</v>
      </c>
      <c r="AT30" s="45">
        <f t="shared" si="6"/>
        <v>2000</v>
      </c>
      <c r="AU30" s="22"/>
      <c r="AV30" s="57" t="str">
        <f>IFERROR(__xludf.DUMMYFUNCTION("""COMPUTED_VALUE"""),"Ardendorff")</f>
        <v>Ardendorff</v>
      </c>
      <c r="AW30" s="46">
        <f t="shared" si="7"/>
        <v>200</v>
      </c>
      <c r="AX30" s="47">
        <f t="shared" ref="AX30:BQ30" si="123">SUMIFS($AJ:$AJ,$V:$V,$AV30,$AK:$AK,AX$2)</f>
        <v>200</v>
      </c>
      <c r="AY30" s="48">
        <f t="shared" si="123"/>
        <v>0</v>
      </c>
      <c r="AZ30" s="48">
        <f t="shared" si="123"/>
        <v>0</v>
      </c>
      <c r="BA30" s="48">
        <f t="shared" si="123"/>
        <v>0</v>
      </c>
      <c r="BB30" s="48">
        <f t="shared" si="123"/>
        <v>0</v>
      </c>
      <c r="BC30" s="48">
        <f t="shared" si="123"/>
        <v>0</v>
      </c>
      <c r="BD30" s="48">
        <f t="shared" si="123"/>
        <v>0</v>
      </c>
      <c r="BE30" s="48">
        <f t="shared" si="123"/>
        <v>0</v>
      </c>
      <c r="BF30" s="48">
        <f t="shared" si="123"/>
        <v>0</v>
      </c>
      <c r="BG30" s="48">
        <f t="shared" si="123"/>
        <v>0</v>
      </c>
      <c r="BH30" s="48">
        <f t="shared" si="123"/>
        <v>0</v>
      </c>
      <c r="BI30" s="48">
        <f t="shared" si="123"/>
        <v>0</v>
      </c>
      <c r="BJ30" s="48">
        <f t="shared" si="123"/>
        <v>0</v>
      </c>
      <c r="BK30" s="48">
        <f t="shared" si="123"/>
        <v>0</v>
      </c>
      <c r="BL30" s="48">
        <f t="shared" si="123"/>
        <v>0</v>
      </c>
      <c r="BM30" s="48">
        <f t="shared" si="123"/>
        <v>0</v>
      </c>
      <c r="BN30" s="48">
        <f t="shared" si="123"/>
        <v>0</v>
      </c>
      <c r="BO30" s="48">
        <f t="shared" si="123"/>
        <v>0</v>
      </c>
      <c r="BP30" s="48">
        <f t="shared" si="123"/>
        <v>0</v>
      </c>
      <c r="BQ30" s="48">
        <f t="shared" si="123"/>
        <v>0</v>
      </c>
      <c r="BR30" s="36">
        <f t="shared" si="9"/>
        <v>0</v>
      </c>
      <c r="BS30" s="38">
        <f t="shared" si="10"/>
        <v>1</v>
      </c>
      <c r="BT30" s="49">
        <f t="shared" si="11"/>
        <v>0</v>
      </c>
      <c r="BU30" s="38">
        <f t="shared" si="12"/>
        <v>1000</v>
      </c>
      <c r="BV30" s="57" t="str">
        <f>IFERROR(__xludf.DUMMYFUNCTION("""COMPUTED_VALUE"""),"Ardendorff")</f>
        <v>Ardendorff</v>
      </c>
      <c r="BW30" s="46">
        <f t="shared" si="13"/>
        <v>200</v>
      </c>
      <c r="BX30" s="47">
        <f t="shared" ref="BX30:CA30" si="124">AX30-$BU30</f>
        <v>-800</v>
      </c>
      <c r="BY30" s="47">
        <f t="shared" si="124"/>
        <v>-1000</v>
      </c>
      <c r="BZ30" s="47">
        <f t="shared" si="124"/>
        <v>-1000</v>
      </c>
      <c r="CA30" s="47">
        <f t="shared" si="124"/>
        <v>-1000</v>
      </c>
      <c r="CB30" s="47">
        <f t="shared" si="15"/>
        <v>-10000</v>
      </c>
      <c r="CC30" s="47">
        <f t="shared" ref="CC30:CQ30" si="125">BC30-$BU30</f>
        <v>-1000</v>
      </c>
      <c r="CD30" s="47">
        <f t="shared" si="125"/>
        <v>-1000</v>
      </c>
      <c r="CE30" s="47">
        <f t="shared" si="125"/>
        <v>-1000</v>
      </c>
      <c r="CF30" s="47">
        <f t="shared" si="125"/>
        <v>-1000</v>
      </c>
      <c r="CG30" s="47">
        <f t="shared" si="125"/>
        <v>-1000</v>
      </c>
      <c r="CH30" s="47">
        <f t="shared" si="125"/>
        <v>-1000</v>
      </c>
      <c r="CI30" s="47">
        <f t="shared" si="125"/>
        <v>-1000</v>
      </c>
      <c r="CJ30" s="47">
        <f t="shared" si="125"/>
        <v>-1000</v>
      </c>
      <c r="CK30" s="47">
        <f t="shared" si="125"/>
        <v>-1000</v>
      </c>
      <c r="CL30" s="47">
        <f t="shared" si="125"/>
        <v>-1000</v>
      </c>
      <c r="CM30" s="47">
        <f t="shared" si="125"/>
        <v>-1000</v>
      </c>
      <c r="CN30" s="47">
        <f t="shared" si="125"/>
        <v>-1000</v>
      </c>
      <c r="CO30" s="47">
        <f t="shared" si="125"/>
        <v>-1000</v>
      </c>
      <c r="CP30" s="47">
        <f t="shared" si="125"/>
        <v>-1000</v>
      </c>
      <c r="CQ30" s="47">
        <f t="shared" si="125"/>
        <v>-1000</v>
      </c>
      <c r="CR30" s="47"/>
      <c r="CS30" s="47"/>
      <c r="CT30" s="47"/>
      <c r="CU30" s="50" t="str">
        <f>IFERROR(__xludf.DUMMYFUNCTION("""COMPUTED_VALUE"""),"7304 Lane Park Ct
Dallas, TX 75225         ")</f>
        <v>7304 Lane Park Ct
Dallas, TX 75225         </v>
      </c>
      <c r="CV30" s="51">
        <f>IFERROR(__xludf.DUMMYFUNCTION("IF(REGEXMATCH(UPPER(CU30), ""TX""),0,1)"),0.0)</f>
        <v>0</v>
      </c>
      <c r="CW30" s="51">
        <f>IFERROR(__xludf.DUMMYFUNCTION("IF(REGEXMATCH(UPPER(CU30), ""DALLAS""),0,1)"),0.0)</f>
        <v>0</v>
      </c>
      <c r="CX30" s="51">
        <f t="shared" si="17"/>
        <v>0</v>
      </c>
      <c r="CY30" s="51">
        <f t="shared" si="18"/>
        <v>0</v>
      </c>
      <c r="CZ30" s="52" t="str">
        <f t="shared" si="19"/>
        <v/>
      </c>
      <c r="DA30" s="53" t="str">
        <f>IFERROR(__xludf.DUMMYFUNCTION("""COMPUTED_VALUE"""),"freundlich Trustee
4283 NW 64th St
Boca Raton, FL 33496       ")</f>
        <v>freundlich Trustee
4283 NW 64th St
Boca Raton, FL 33496       </v>
      </c>
      <c r="DB30" s="52">
        <f t="shared" ref="DB30:DU30" si="126">SUMIFS($AJ:$AJ,$X:$X,$DA30,$AK:$AK,DB$2)</f>
        <v>0</v>
      </c>
      <c r="DC30" s="52">
        <f t="shared" si="126"/>
        <v>2000</v>
      </c>
      <c r="DD30" s="52">
        <f t="shared" si="126"/>
        <v>0</v>
      </c>
      <c r="DE30" s="52">
        <f t="shared" si="126"/>
        <v>0</v>
      </c>
      <c r="DF30" s="52">
        <f t="shared" si="126"/>
        <v>0</v>
      </c>
      <c r="DG30" s="52">
        <f t="shared" si="126"/>
        <v>0</v>
      </c>
      <c r="DH30" s="52">
        <f t="shared" si="126"/>
        <v>0</v>
      </c>
      <c r="DI30" s="52">
        <f t="shared" si="126"/>
        <v>0</v>
      </c>
      <c r="DJ30" s="52">
        <f t="shared" si="126"/>
        <v>0</v>
      </c>
      <c r="DK30" s="52">
        <f t="shared" si="126"/>
        <v>0</v>
      </c>
      <c r="DL30" s="52">
        <f t="shared" si="126"/>
        <v>0</v>
      </c>
      <c r="DM30" s="52">
        <f t="shared" si="126"/>
        <v>0</v>
      </c>
      <c r="DN30" s="52">
        <f t="shared" si="126"/>
        <v>0</v>
      </c>
      <c r="DO30" s="52">
        <f t="shared" si="126"/>
        <v>0</v>
      </c>
      <c r="DP30" s="52">
        <f t="shared" si="126"/>
        <v>0</v>
      </c>
      <c r="DQ30" s="52">
        <f t="shared" si="126"/>
        <v>0</v>
      </c>
      <c r="DR30" s="52">
        <f t="shared" si="126"/>
        <v>0</v>
      </c>
      <c r="DS30" s="52">
        <f t="shared" si="126"/>
        <v>0</v>
      </c>
      <c r="DT30" s="52">
        <f t="shared" si="126"/>
        <v>0</v>
      </c>
      <c r="DU30" s="52">
        <f t="shared" si="126"/>
        <v>0</v>
      </c>
      <c r="DV30" s="52">
        <f t="shared" si="21"/>
        <v>2000</v>
      </c>
      <c r="DW30" s="52">
        <f t="shared" si="22"/>
        <v>1</v>
      </c>
    </row>
    <row r="31">
      <c r="A31" s="41" t="s">
        <v>64</v>
      </c>
      <c r="B31" s="41" t="s">
        <v>56</v>
      </c>
      <c r="C31" s="31" t="s">
        <v>125</v>
      </c>
      <c r="D31" s="25" t="str">
        <f>IFERROR(__xludf.DUMMYFUNCTION("SPLIT(C31,"" "")"),"Agarwal,")</f>
        <v>Agarwal,</v>
      </c>
      <c r="E31" s="40" t="str">
        <f>IFERROR(__xludf.DUMMYFUNCTION("""COMPUTED_VALUE"""),"Jiten
13710")</f>
        <v>Jiten
13710</v>
      </c>
      <c r="F31" s="40" t="str">
        <f>IFERROR(__xludf.DUMMYFUNCTION("""COMPUTED_VALUE"""),"Slate")</f>
        <v>Slate</v>
      </c>
      <c r="G31" s="40" t="str">
        <f>IFERROR(__xludf.DUMMYFUNCTION("""COMPUTED_VALUE"""),"Creek")</f>
        <v>Creek</v>
      </c>
      <c r="H31" s="40" t="str">
        <f>IFERROR(__xludf.DUMMYFUNCTION("""COMPUTED_VALUE"""),"Lane
Houston,")</f>
        <v>Lane
Houston,</v>
      </c>
      <c r="I31" s="40" t="str">
        <f>IFERROR(__xludf.DUMMYFUNCTION("""COMPUTED_VALUE"""),"TX")</f>
        <v>TX</v>
      </c>
      <c r="J31" s="40">
        <f>IFERROR(__xludf.DUMMYFUNCTION("""COMPUTED_VALUE"""),77077.0)</f>
        <v>77077</v>
      </c>
      <c r="K31" s="40"/>
      <c r="L31" s="40"/>
      <c r="M31" s="40"/>
      <c r="N31" s="40"/>
      <c r="O31" s="40"/>
      <c r="P31" s="40"/>
      <c r="Q31" s="40"/>
      <c r="R31" s="40"/>
      <c r="S31" s="40"/>
      <c r="T31" s="40"/>
      <c r="U31" s="24" t="str">
        <f>IFERROR(__xludf.DUMMYFUNCTION("SPLIT(E31,""01234567890"")"),"Jiten
")</f>
        <v>Jiten
</v>
      </c>
      <c r="V31" s="24" t="str">
        <f>IFERROR(__xludf.DUMMYFUNCTION("SPLIT(D31,"","")"),"Agarwal")</f>
        <v>Agarwal</v>
      </c>
      <c r="W31" s="25" t="str">
        <f t="shared" si="1"/>
        <v>JITEN
 AGARWAL</v>
      </c>
      <c r="X31" s="25" t="s">
        <v>126</v>
      </c>
      <c r="Y31" s="25">
        <v>77077.0</v>
      </c>
      <c r="Z31" s="25" t="str">
        <f>IFERROR(__xludf.DUMMYFUNCTION("SPLIT(C31,""
"")"),"Agarwal, Jiten")</f>
        <v>Agarwal, Jiten</v>
      </c>
      <c r="AA31" s="25" t="str">
        <f>IFERROR(__xludf.DUMMYFUNCTION("""COMPUTED_VALUE"""),"13710 Slate Creek Lane")</f>
        <v>13710 Slate Creek Lane</v>
      </c>
      <c r="AB31" s="25" t="str">
        <f>IFERROR(__xludf.DUMMYFUNCTION("""COMPUTED_VALUE"""),"Houston, TX 77077")</f>
        <v>Houston, TX 77077</v>
      </c>
      <c r="AC31" s="24" t="s">
        <v>127</v>
      </c>
      <c r="AD31" s="25"/>
      <c r="AE31" s="25"/>
      <c r="AF31" s="25"/>
      <c r="AG31" s="40" t="s">
        <v>60</v>
      </c>
      <c r="AH31" s="42">
        <v>2437.0</v>
      </c>
      <c r="AI31" s="40" t="s">
        <v>61</v>
      </c>
      <c r="AJ31" s="27">
        <v>1000.0</v>
      </c>
      <c r="AK31" s="31" t="s">
        <v>25</v>
      </c>
      <c r="AL31" s="43">
        <v>44722.0</v>
      </c>
      <c r="AM31" s="44">
        <v>44754.83237268519</v>
      </c>
      <c r="AN31" s="30">
        <v>2.0</v>
      </c>
      <c r="AO31" s="40"/>
      <c r="AP31" s="40"/>
      <c r="AQ31" s="40"/>
      <c r="AR31" s="40"/>
      <c r="AS31" s="31">
        <f>IFERROR(__xludf.DUMMYFUNCTION("""COMPUTED_VALUE"""),601527.0)</f>
        <v>601527</v>
      </c>
      <c r="AT31" s="45">
        <f t="shared" si="6"/>
        <v>1000</v>
      </c>
      <c r="AU31" s="40"/>
      <c r="AV31" s="46" t="str">
        <f>IFERROR(__xludf.DUMMYFUNCTION("""COMPUTED_VALUE"""),"Argarwal")</f>
        <v>Argarwal</v>
      </c>
      <c r="AW31" s="46">
        <f t="shared" si="7"/>
        <v>2000</v>
      </c>
      <c r="AX31" s="47">
        <f t="shared" ref="AX31:BQ31" si="127">SUMIFS($AJ:$AJ,$V:$V,$AV31,$AK:$AK,AX$2)</f>
        <v>0</v>
      </c>
      <c r="AY31" s="48">
        <f t="shared" si="127"/>
        <v>0</v>
      </c>
      <c r="AZ31" s="48">
        <f t="shared" si="127"/>
        <v>0</v>
      </c>
      <c r="BA31" s="48">
        <f t="shared" si="127"/>
        <v>2000</v>
      </c>
      <c r="BB31" s="48">
        <f t="shared" si="127"/>
        <v>0</v>
      </c>
      <c r="BC31" s="48">
        <f t="shared" si="127"/>
        <v>0</v>
      </c>
      <c r="BD31" s="48">
        <f t="shared" si="127"/>
        <v>0</v>
      </c>
      <c r="BE31" s="48">
        <f t="shared" si="127"/>
        <v>0</v>
      </c>
      <c r="BF31" s="48">
        <f t="shared" si="127"/>
        <v>0</v>
      </c>
      <c r="BG31" s="48">
        <f t="shared" si="127"/>
        <v>0</v>
      </c>
      <c r="BH31" s="48">
        <f t="shared" si="127"/>
        <v>0</v>
      </c>
      <c r="BI31" s="48">
        <f t="shared" si="127"/>
        <v>0</v>
      </c>
      <c r="BJ31" s="48">
        <f t="shared" si="127"/>
        <v>0</v>
      </c>
      <c r="BK31" s="48">
        <f t="shared" si="127"/>
        <v>0</v>
      </c>
      <c r="BL31" s="48">
        <f t="shared" si="127"/>
        <v>0</v>
      </c>
      <c r="BM31" s="48">
        <f t="shared" si="127"/>
        <v>0</v>
      </c>
      <c r="BN31" s="48">
        <f t="shared" si="127"/>
        <v>0</v>
      </c>
      <c r="BO31" s="48">
        <f t="shared" si="127"/>
        <v>0</v>
      </c>
      <c r="BP31" s="48">
        <f t="shared" si="127"/>
        <v>0</v>
      </c>
      <c r="BQ31" s="48">
        <f t="shared" si="127"/>
        <v>0</v>
      </c>
      <c r="BR31" s="36">
        <f t="shared" si="9"/>
        <v>0</v>
      </c>
      <c r="BS31" s="38">
        <f t="shared" si="10"/>
        <v>1</v>
      </c>
      <c r="BT31" s="49">
        <f t="shared" si="11"/>
        <v>0</v>
      </c>
      <c r="BU31" s="38">
        <f t="shared" si="12"/>
        <v>1000</v>
      </c>
      <c r="BV31" s="46" t="str">
        <f>IFERROR(__xludf.DUMMYFUNCTION("""COMPUTED_VALUE"""),"Argarwal")</f>
        <v>Argarwal</v>
      </c>
      <c r="BW31" s="46">
        <f t="shared" si="13"/>
        <v>2000</v>
      </c>
      <c r="BX31" s="47">
        <f t="shared" ref="BX31:CA31" si="128">AX31-$BU31</f>
        <v>-1000</v>
      </c>
      <c r="BY31" s="47">
        <f t="shared" si="128"/>
        <v>-1000</v>
      </c>
      <c r="BZ31" s="47">
        <f t="shared" si="128"/>
        <v>-1000</v>
      </c>
      <c r="CA31" s="47">
        <f t="shared" si="128"/>
        <v>1000</v>
      </c>
      <c r="CB31" s="47">
        <f t="shared" si="15"/>
        <v>-10000</v>
      </c>
      <c r="CC31" s="47">
        <f t="shared" ref="CC31:CQ31" si="129">BC31-$BU31</f>
        <v>-1000</v>
      </c>
      <c r="CD31" s="47">
        <f t="shared" si="129"/>
        <v>-1000</v>
      </c>
      <c r="CE31" s="47">
        <f t="shared" si="129"/>
        <v>-1000</v>
      </c>
      <c r="CF31" s="47">
        <f t="shared" si="129"/>
        <v>-1000</v>
      </c>
      <c r="CG31" s="47">
        <f t="shared" si="129"/>
        <v>-1000</v>
      </c>
      <c r="CH31" s="47">
        <f t="shared" si="129"/>
        <v>-1000</v>
      </c>
      <c r="CI31" s="47">
        <f t="shared" si="129"/>
        <v>-1000</v>
      </c>
      <c r="CJ31" s="47">
        <f t="shared" si="129"/>
        <v>-1000</v>
      </c>
      <c r="CK31" s="47">
        <f t="shared" si="129"/>
        <v>-1000</v>
      </c>
      <c r="CL31" s="47">
        <f t="shared" si="129"/>
        <v>-1000</v>
      </c>
      <c r="CM31" s="47">
        <f t="shared" si="129"/>
        <v>-1000</v>
      </c>
      <c r="CN31" s="47">
        <f t="shared" si="129"/>
        <v>-1000</v>
      </c>
      <c r="CO31" s="47">
        <f t="shared" si="129"/>
        <v>-1000</v>
      </c>
      <c r="CP31" s="47">
        <f t="shared" si="129"/>
        <v>-1000</v>
      </c>
      <c r="CQ31" s="47">
        <f t="shared" si="129"/>
        <v>-1000</v>
      </c>
      <c r="CR31" s="47"/>
      <c r="CS31" s="47"/>
      <c r="CT31" s="47"/>
      <c r="CU31" s="50" t="str">
        <f>IFERROR(__xludf.DUMMYFUNCTION("""COMPUTED_VALUE"""),"7014 Preston Grove
Dallas, TX 75230          ")</f>
        <v>7014 Preston Grove
Dallas, TX 75230          </v>
      </c>
      <c r="CV31" s="51">
        <f>IFERROR(__xludf.DUMMYFUNCTION("IF(REGEXMATCH(UPPER(CU31), ""TX""),0,1)"),0.0)</f>
        <v>0</v>
      </c>
      <c r="CW31" s="51">
        <f>IFERROR(__xludf.DUMMYFUNCTION("IF(REGEXMATCH(UPPER(CU31), ""DALLAS""),0,1)"),0.0)</f>
        <v>0</v>
      </c>
      <c r="CX31" s="51">
        <f t="shared" si="17"/>
        <v>0</v>
      </c>
      <c r="CY31" s="51">
        <f t="shared" si="18"/>
        <v>0</v>
      </c>
      <c r="CZ31" s="52" t="str">
        <f t="shared" si="19"/>
        <v/>
      </c>
      <c r="DA31" s="53" t="str">
        <f>IFERROR(__xludf.DUMMYFUNCTION("""COMPUTED_VALUE"""),"9710 Blanco dr
Lantana, TX 76226          ")</f>
        <v>9710 Blanco dr
Lantana, TX 76226          </v>
      </c>
      <c r="DB31" s="52">
        <f t="shared" ref="DB31:DU31" si="130">SUMIFS($AJ:$AJ,$X:$X,$DA31,$AK:$AK,DB$2)</f>
        <v>0</v>
      </c>
      <c r="DC31" s="52">
        <f t="shared" si="130"/>
        <v>0</v>
      </c>
      <c r="DD31" s="52">
        <f t="shared" si="130"/>
        <v>0</v>
      </c>
      <c r="DE31" s="52">
        <f t="shared" si="130"/>
        <v>2000</v>
      </c>
      <c r="DF31" s="52">
        <f t="shared" si="130"/>
        <v>0</v>
      </c>
      <c r="DG31" s="52">
        <f t="shared" si="130"/>
        <v>0</v>
      </c>
      <c r="DH31" s="52">
        <f t="shared" si="130"/>
        <v>0</v>
      </c>
      <c r="DI31" s="52">
        <f t="shared" si="130"/>
        <v>0</v>
      </c>
      <c r="DJ31" s="52">
        <f t="shared" si="130"/>
        <v>0</v>
      </c>
      <c r="DK31" s="52">
        <f t="shared" si="130"/>
        <v>0</v>
      </c>
      <c r="DL31" s="52">
        <f t="shared" si="130"/>
        <v>0</v>
      </c>
      <c r="DM31" s="52">
        <f t="shared" si="130"/>
        <v>0</v>
      </c>
      <c r="DN31" s="52">
        <f t="shared" si="130"/>
        <v>0</v>
      </c>
      <c r="DO31" s="52">
        <f t="shared" si="130"/>
        <v>0</v>
      </c>
      <c r="DP31" s="52">
        <f t="shared" si="130"/>
        <v>0</v>
      </c>
      <c r="DQ31" s="52">
        <f t="shared" si="130"/>
        <v>0</v>
      </c>
      <c r="DR31" s="52">
        <f t="shared" si="130"/>
        <v>0</v>
      </c>
      <c r="DS31" s="52">
        <f t="shared" si="130"/>
        <v>0</v>
      </c>
      <c r="DT31" s="52">
        <f t="shared" si="130"/>
        <v>0</v>
      </c>
      <c r="DU31" s="52">
        <f t="shared" si="130"/>
        <v>0</v>
      </c>
      <c r="DV31" s="52">
        <f t="shared" si="21"/>
        <v>2000</v>
      </c>
      <c r="DW31" s="52">
        <f t="shared" si="22"/>
        <v>1</v>
      </c>
    </row>
    <row r="32">
      <c r="A32" s="23" t="s">
        <v>64</v>
      </c>
      <c r="B32" s="23" t="s">
        <v>56</v>
      </c>
      <c r="C32" s="31" t="s">
        <v>128</v>
      </c>
      <c r="D32" s="25" t="str">
        <f>IFERROR(__xludf.DUMMYFUNCTION("SPLIT(C32,"" "")"),"Agnich,")</f>
        <v>Agnich,</v>
      </c>
      <c r="E32" s="22" t="str">
        <f>IFERROR(__xludf.DUMMYFUNCTION("""COMPUTED_VALUE"""),"Robert
11")</f>
        <v>Robert
11</v>
      </c>
      <c r="F32" s="22" t="str">
        <f>IFERROR(__xludf.DUMMYFUNCTION("""COMPUTED_VALUE"""),"Cheltenham")</f>
        <v>Cheltenham</v>
      </c>
      <c r="G32" s="22" t="str">
        <f>IFERROR(__xludf.DUMMYFUNCTION("""COMPUTED_VALUE"""),"Way
Dallas,")</f>
        <v>Way
Dallas,</v>
      </c>
      <c r="H32" s="22" t="str">
        <f>IFERROR(__xludf.DUMMYFUNCTION("""COMPUTED_VALUE"""),"TX")</f>
        <v>TX</v>
      </c>
      <c r="I32" s="22">
        <f>IFERROR(__xludf.DUMMYFUNCTION("""COMPUTED_VALUE"""),75230.0)</f>
        <v>75230</v>
      </c>
      <c r="J32" s="22"/>
      <c r="K32" s="22"/>
      <c r="L32" s="22"/>
      <c r="M32" s="22"/>
      <c r="N32" s="22"/>
      <c r="O32" s="22"/>
      <c r="P32" s="22"/>
      <c r="Q32" s="22"/>
      <c r="R32" s="22"/>
      <c r="S32" s="22"/>
      <c r="T32" s="22"/>
      <c r="U32" s="24" t="str">
        <f>IFERROR(__xludf.DUMMYFUNCTION("SPLIT(E32,""01234567890"")"),"Robert
")</f>
        <v>Robert
</v>
      </c>
      <c r="V32" s="24" t="str">
        <f>IFERROR(__xludf.DUMMYFUNCTION("SPLIT(D32,"","")"),"Agnich")</f>
        <v>Agnich</v>
      </c>
      <c r="W32" s="25" t="str">
        <f t="shared" si="1"/>
        <v>ROBERT
 AGNICH</v>
      </c>
      <c r="X32" s="25" t="s">
        <v>129</v>
      </c>
      <c r="Y32" s="25">
        <v>75230.0</v>
      </c>
      <c r="Z32" s="25" t="str">
        <f>IFERROR(__xludf.DUMMYFUNCTION("SPLIT(C32,""
"")"),"Agnich, Robert")</f>
        <v>Agnich, Robert</v>
      </c>
      <c r="AA32" s="25" t="str">
        <f>IFERROR(__xludf.DUMMYFUNCTION("""COMPUTED_VALUE"""),"11 Cheltenham Way")</f>
        <v>11 Cheltenham Way</v>
      </c>
      <c r="AB32" s="25" t="str">
        <f>IFERROR(__xludf.DUMMYFUNCTION("""COMPUTED_VALUE"""),"Dallas, TX 75230")</f>
        <v>Dallas, TX 75230</v>
      </c>
      <c r="AC32" s="24" t="s">
        <v>130</v>
      </c>
      <c r="AD32" s="25"/>
      <c r="AE32" s="25"/>
      <c r="AF32" s="25"/>
      <c r="AG32" s="22" t="s">
        <v>60</v>
      </c>
      <c r="AH32" s="54">
        <v>2445.0</v>
      </c>
      <c r="AI32" s="22" t="s">
        <v>61</v>
      </c>
      <c r="AJ32" s="27">
        <v>1000.0</v>
      </c>
      <c r="AK32" s="31" t="s">
        <v>30</v>
      </c>
      <c r="AL32" s="28">
        <v>44736.0</v>
      </c>
      <c r="AM32" s="29">
        <v>44755.778402777774</v>
      </c>
      <c r="AN32" s="30">
        <v>2.0</v>
      </c>
      <c r="AO32" s="22"/>
      <c r="AP32" s="22"/>
      <c r="AQ32" s="22"/>
      <c r="AR32" s="22"/>
      <c r="AS32" s="31">
        <f>IFERROR(__xludf.DUMMYFUNCTION("""COMPUTED_VALUE"""),75360.0)</f>
        <v>75360</v>
      </c>
      <c r="AT32" s="45">
        <f t="shared" si="6"/>
        <v>2000</v>
      </c>
      <c r="AU32" s="22"/>
      <c r="AV32" s="57" t="str">
        <f>IFERROR(__xludf.DUMMYFUNCTION("""COMPUTED_VALUE"""),"Arnold")</f>
        <v>Arnold</v>
      </c>
      <c r="AW32" s="46">
        <f t="shared" si="7"/>
        <v>20000</v>
      </c>
      <c r="AX32" s="47">
        <f t="shared" ref="AX32:BQ32" si="131">SUMIFS($AJ:$AJ,$V:$V,$AV32,$AK:$AK,AX$2)</f>
        <v>0</v>
      </c>
      <c r="AY32" s="48">
        <f t="shared" si="131"/>
        <v>0</v>
      </c>
      <c r="AZ32" s="48">
        <f t="shared" si="131"/>
        <v>0</v>
      </c>
      <c r="BA32" s="48">
        <f t="shared" si="131"/>
        <v>0</v>
      </c>
      <c r="BB32" s="48">
        <f t="shared" si="131"/>
        <v>20000</v>
      </c>
      <c r="BC32" s="48">
        <f t="shared" si="131"/>
        <v>0</v>
      </c>
      <c r="BD32" s="48">
        <f t="shared" si="131"/>
        <v>0</v>
      </c>
      <c r="BE32" s="48">
        <f t="shared" si="131"/>
        <v>0</v>
      </c>
      <c r="BF32" s="48">
        <f t="shared" si="131"/>
        <v>0</v>
      </c>
      <c r="BG32" s="48">
        <f t="shared" si="131"/>
        <v>0</v>
      </c>
      <c r="BH32" s="48">
        <f t="shared" si="131"/>
        <v>0</v>
      </c>
      <c r="BI32" s="48">
        <f t="shared" si="131"/>
        <v>0</v>
      </c>
      <c r="BJ32" s="48">
        <f t="shared" si="131"/>
        <v>0</v>
      </c>
      <c r="BK32" s="48">
        <f t="shared" si="131"/>
        <v>0</v>
      </c>
      <c r="BL32" s="48">
        <f t="shared" si="131"/>
        <v>0</v>
      </c>
      <c r="BM32" s="48">
        <f t="shared" si="131"/>
        <v>0</v>
      </c>
      <c r="BN32" s="48">
        <f t="shared" si="131"/>
        <v>0</v>
      </c>
      <c r="BO32" s="48">
        <f t="shared" si="131"/>
        <v>0</v>
      </c>
      <c r="BP32" s="48">
        <f t="shared" si="131"/>
        <v>0</v>
      </c>
      <c r="BQ32" s="48">
        <f t="shared" si="131"/>
        <v>0</v>
      </c>
      <c r="BR32" s="36">
        <f t="shared" si="9"/>
        <v>0</v>
      </c>
      <c r="BS32" s="38">
        <f t="shared" si="10"/>
        <v>1</v>
      </c>
      <c r="BT32" s="49">
        <f t="shared" si="11"/>
        <v>0</v>
      </c>
      <c r="BU32" s="38">
        <f t="shared" si="12"/>
        <v>1000</v>
      </c>
      <c r="BV32" s="57" t="str">
        <f>IFERROR(__xludf.DUMMYFUNCTION("""COMPUTED_VALUE"""),"Arnold")</f>
        <v>Arnold</v>
      </c>
      <c r="BW32" s="46">
        <f t="shared" si="13"/>
        <v>20000</v>
      </c>
      <c r="BX32" s="47">
        <f t="shared" ref="BX32:CA32" si="132">AX32-$BU32</f>
        <v>-1000</v>
      </c>
      <c r="BY32" s="47">
        <f t="shared" si="132"/>
        <v>-1000</v>
      </c>
      <c r="BZ32" s="47">
        <f t="shared" si="132"/>
        <v>-1000</v>
      </c>
      <c r="CA32" s="47">
        <f t="shared" si="132"/>
        <v>-1000</v>
      </c>
      <c r="CB32" s="47">
        <f t="shared" si="15"/>
        <v>10000</v>
      </c>
      <c r="CC32" s="47">
        <f t="shared" ref="CC32:CQ32" si="133">BC32-$BU32</f>
        <v>-1000</v>
      </c>
      <c r="CD32" s="47">
        <f t="shared" si="133"/>
        <v>-1000</v>
      </c>
      <c r="CE32" s="47">
        <f t="shared" si="133"/>
        <v>-1000</v>
      </c>
      <c r="CF32" s="47">
        <f t="shared" si="133"/>
        <v>-1000</v>
      </c>
      <c r="CG32" s="47">
        <f t="shared" si="133"/>
        <v>-1000</v>
      </c>
      <c r="CH32" s="47">
        <f t="shared" si="133"/>
        <v>-1000</v>
      </c>
      <c r="CI32" s="47">
        <f t="shared" si="133"/>
        <v>-1000</v>
      </c>
      <c r="CJ32" s="47">
        <f t="shared" si="133"/>
        <v>-1000</v>
      </c>
      <c r="CK32" s="47">
        <f t="shared" si="133"/>
        <v>-1000</v>
      </c>
      <c r="CL32" s="47">
        <f t="shared" si="133"/>
        <v>-1000</v>
      </c>
      <c r="CM32" s="47">
        <f t="shared" si="133"/>
        <v>-1000</v>
      </c>
      <c r="CN32" s="47">
        <f t="shared" si="133"/>
        <v>-1000</v>
      </c>
      <c r="CO32" s="47">
        <f t="shared" si="133"/>
        <v>-1000</v>
      </c>
      <c r="CP32" s="47">
        <f t="shared" si="133"/>
        <v>-1000</v>
      </c>
      <c r="CQ32" s="47">
        <f t="shared" si="133"/>
        <v>-1000</v>
      </c>
      <c r="CR32" s="47"/>
      <c r="CS32" s="47"/>
      <c r="CT32" s="47"/>
      <c r="CU32" s="50" t="str">
        <f>IFERROR(__xludf.DUMMYFUNCTION("""COMPUTED_VALUE"""),"6756 Inverness Lane
Dallas, TX 75214          ")</f>
        <v>6756 Inverness Lane
Dallas, TX 75214          </v>
      </c>
      <c r="CV32" s="51">
        <f>IFERROR(__xludf.DUMMYFUNCTION("IF(REGEXMATCH(UPPER(CU32), ""TX""),0,1)"),0.0)</f>
        <v>0</v>
      </c>
      <c r="CW32" s="51">
        <f>IFERROR(__xludf.DUMMYFUNCTION("IF(REGEXMATCH(UPPER(CU32), ""DALLAS""),0,1)"),0.0)</f>
        <v>0</v>
      </c>
      <c r="CX32" s="51">
        <f t="shared" si="17"/>
        <v>0</v>
      </c>
      <c r="CY32" s="51">
        <f t="shared" si="18"/>
        <v>0</v>
      </c>
      <c r="CZ32" s="52" t="str">
        <f t="shared" si="19"/>
        <v/>
      </c>
      <c r="DA32" s="53" t="str">
        <f>IFERROR(__xludf.DUMMYFUNCTION("""COMPUTED_VALUE"""),", Janice
813 Rainbow Ln
Cedar Hill, TX 75104        ")</f>
        <v>, Janice
813 Rainbow Ln
Cedar Hill, TX 75104        </v>
      </c>
      <c r="DB32" s="52">
        <f t="shared" ref="DB32:DU32" si="134">SUMIFS($AJ:$AJ,$X:$X,$DA32,$AK:$AK,DB$2)</f>
        <v>0</v>
      </c>
      <c r="DC32" s="52">
        <f t="shared" si="134"/>
        <v>0</v>
      </c>
      <c r="DD32" s="52">
        <f t="shared" si="134"/>
        <v>0</v>
      </c>
      <c r="DE32" s="52">
        <f t="shared" si="134"/>
        <v>0</v>
      </c>
      <c r="DF32" s="52">
        <f t="shared" si="134"/>
        <v>50</v>
      </c>
      <c r="DG32" s="52">
        <f t="shared" si="134"/>
        <v>0</v>
      </c>
      <c r="DH32" s="52">
        <f t="shared" si="134"/>
        <v>0</v>
      </c>
      <c r="DI32" s="52">
        <f t="shared" si="134"/>
        <v>0</v>
      </c>
      <c r="DJ32" s="52">
        <f t="shared" si="134"/>
        <v>0</v>
      </c>
      <c r="DK32" s="52">
        <f t="shared" si="134"/>
        <v>0</v>
      </c>
      <c r="DL32" s="52">
        <f t="shared" si="134"/>
        <v>0</v>
      </c>
      <c r="DM32" s="52">
        <f t="shared" si="134"/>
        <v>0</v>
      </c>
      <c r="DN32" s="52">
        <f t="shared" si="134"/>
        <v>0</v>
      </c>
      <c r="DO32" s="52">
        <f t="shared" si="134"/>
        <v>0</v>
      </c>
      <c r="DP32" s="52">
        <f t="shared" si="134"/>
        <v>0</v>
      </c>
      <c r="DQ32" s="52">
        <f t="shared" si="134"/>
        <v>0</v>
      </c>
      <c r="DR32" s="52">
        <f t="shared" si="134"/>
        <v>0</v>
      </c>
      <c r="DS32" s="52">
        <f t="shared" si="134"/>
        <v>0</v>
      </c>
      <c r="DT32" s="52">
        <f t="shared" si="134"/>
        <v>0</v>
      </c>
      <c r="DU32" s="52">
        <f t="shared" si="134"/>
        <v>0</v>
      </c>
      <c r="DV32" s="52">
        <f t="shared" si="21"/>
        <v>50</v>
      </c>
      <c r="DW32" s="52">
        <f t="shared" si="22"/>
        <v>1</v>
      </c>
    </row>
    <row r="33">
      <c r="A33" s="40" t="s">
        <v>55</v>
      </c>
      <c r="B33" s="41" t="s">
        <v>56</v>
      </c>
      <c r="C33" s="31" t="s">
        <v>131</v>
      </c>
      <c r="D33" s="25" t="str">
        <f>IFERROR(__xludf.DUMMYFUNCTION("SPLIT(C33,"" "")"),"Agnich,")</f>
        <v>Agnich,</v>
      </c>
      <c r="E33" s="40" t="str">
        <f>IFERROR(__xludf.DUMMYFUNCTION("""COMPUTED_VALUE"""),"Victoria
11")</f>
        <v>Victoria
11</v>
      </c>
      <c r="F33" s="40" t="str">
        <f>IFERROR(__xludf.DUMMYFUNCTION("""COMPUTED_VALUE"""),"Cheltenham")</f>
        <v>Cheltenham</v>
      </c>
      <c r="G33" s="40" t="str">
        <f>IFERROR(__xludf.DUMMYFUNCTION("""COMPUTED_VALUE"""),"Way
Dallas,")</f>
        <v>Way
Dallas,</v>
      </c>
      <c r="H33" s="40" t="str">
        <f>IFERROR(__xludf.DUMMYFUNCTION("""COMPUTED_VALUE"""),"TX")</f>
        <v>TX</v>
      </c>
      <c r="I33" s="40">
        <f>IFERROR(__xludf.DUMMYFUNCTION("""COMPUTED_VALUE"""),75230.0)</f>
        <v>75230</v>
      </c>
      <c r="J33" s="40"/>
      <c r="K33" s="40"/>
      <c r="L33" s="40"/>
      <c r="M33" s="40"/>
      <c r="N33" s="40"/>
      <c r="O33" s="40"/>
      <c r="P33" s="40"/>
      <c r="Q33" s="40"/>
      <c r="R33" s="40"/>
      <c r="S33" s="40"/>
      <c r="T33" s="40"/>
      <c r="U33" s="24" t="str">
        <f>IFERROR(__xludf.DUMMYFUNCTION("SPLIT(E33,""01234567890"")"),"Victoria
")</f>
        <v>Victoria
</v>
      </c>
      <c r="V33" s="24" t="str">
        <f>IFERROR(__xludf.DUMMYFUNCTION("SPLIT(D33,"","")"),"Agnich")</f>
        <v>Agnich</v>
      </c>
      <c r="W33" s="25" t="str">
        <f t="shared" si="1"/>
        <v>VICTORIA
 AGNICH</v>
      </c>
      <c r="X33" s="25" t="s">
        <v>129</v>
      </c>
      <c r="Y33" s="25">
        <v>75230.0</v>
      </c>
      <c r="Z33" s="25" t="str">
        <f>IFERROR(__xludf.DUMMYFUNCTION("SPLIT(C33,""
"")"),"Agnich, Victoria")</f>
        <v>Agnich, Victoria</v>
      </c>
      <c r="AA33" s="25" t="str">
        <f>IFERROR(__xludf.DUMMYFUNCTION("""COMPUTED_VALUE"""),"11 Cheltenham Way")</f>
        <v>11 Cheltenham Way</v>
      </c>
      <c r="AB33" s="25" t="str">
        <f>IFERROR(__xludf.DUMMYFUNCTION("""COMPUTED_VALUE"""),"Dallas, TX 75230")</f>
        <v>Dallas, TX 75230</v>
      </c>
      <c r="AC33" s="24" t="s">
        <v>132</v>
      </c>
      <c r="AD33" s="25"/>
      <c r="AE33" s="25"/>
      <c r="AF33" s="25"/>
      <c r="AG33" s="40" t="s">
        <v>60</v>
      </c>
      <c r="AH33" s="42">
        <v>2482.0</v>
      </c>
      <c r="AI33" s="40" t="s">
        <v>68</v>
      </c>
      <c r="AJ33" s="27">
        <v>500.0</v>
      </c>
      <c r="AK33" s="31" t="s">
        <v>31</v>
      </c>
      <c r="AL33" s="43">
        <v>44926.0</v>
      </c>
      <c r="AM33" s="44">
        <v>44938.558541666665</v>
      </c>
      <c r="AN33" s="30">
        <v>2.0</v>
      </c>
      <c r="AO33" s="40"/>
      <c r="AP33" s="40"/>
      <c r="AQ33" s="40"/>
      <c r="AR33" s="40"/>
      <c r="AS33" s="31">
        <f>IFERROR(__xludf.DUMMYFUNCTION("""COMPUTED_VALUE"""),1481.0)</f>
        <v>1481</v>
      </c>
      <c r="AT33" s="45">
        <f t="shared" si="6"/>
        <v>20000</v>
      </c>
      <c r="AU33" s="40"/>
      <c r="AV33" s="46" t="str">
        <f>IFERROR(__xludf.DUMMYFUNCTION("""COMPUTED_VALUE"""),"Ash")</f>
        <v>Ash</v>
      </c>
      <c r="AW33" s="46">
        <f t="shared" si="7"/>
        <v>100</v>
      </c>
      <c r="AX33" s="47">
        <f t="shared" ref="AX33:BQ33" si="135">SUMIFS($AJ:$AJ,$V:$V,$AV33,$AK:$AK,AX$2)</f>
        <v>0</v>
      </c>
      <c r="AY33" s="48">
        <f t="shared" si="135"/>
        <v>0</v>
      </c>
      <c r="AZ33" s="48">
        <f t="shared" si="135"/>
        <v>0</v>
      </c>
      <c r="BA33" s="48">
        <f t="shared" si="135"/>
        <v>100</v>
      </c>
      <c r="BB33" s="48">
        <f t="shared" si="135"/>
        <v>0</v>
      </c>
      <c r="BC33" s="48">
        <f t="shared" si="135"/>
        <v>0</v>
      </c>
      <c r="BD33" s="48">
        <f t="shared" si="135"/>
        <v>0</v>
      </c>
      <c r="BE33" s="48">
        <f t="shared" si="135"/>
        <v>0</v>
      </c>
      <c r="BF33" s="48">
        <f t="shared" si="135"/>
        <v>0</v>
      </c>
      <c r="BG33" s="48">
        <f t="shared" si="135"/>
        <v>0</v>
      </c>
      <c r="BH33" s="48">
        <f t="shared" si="135"/>
        <v>0</v>
      </c>
      <c r="BI33" s="48">
        <f t="shared" si="135"/>
        <v>0</v>
      </c>
      <c r="BJ33" s="48">
        <f t="shared" si="135"/>
        <v>0</v>
      </c>
      <c r="BK33" s="48">
        <f t="shared" si="135"/>
        <v>0</v>
      </c>
      <c r="BL33" s="48">
        <f t="shared" si="135"/>
        <v>0</v>
      </c>
      <c r="BM33" s="48">
        <f t="shared" si="135"/>
        <v>0</v>
      </c>
      <c r="BN33" s="48">
        <f t="shared" si="135"/>
        <v>0</v>
      </c>
      <c r="BO33" s="48">
        <f t="shared" si="135"/>
        <v>0</v>
      </c>
      <c r="BP33" s="48">
        <f t="shared" si="135"/>
        <v>0</v>
      </c>
      <c r="BQ33" s="48">
        <f t="shared" si="135"/>
        <v>0</v>
      </c>
      <c r="BR33" s="36">
        <f t="shared" si="9"/>
        <v>0</v>
      </c>
      <c r="BS33" s="38">
        <f t="shared" si="10"/>
        <v>1</v>
      </c>
      <c r="BT33" s="49">
        <f t="shared" si="11"/>
        <v>0</v>
      </c>
      <c r="BU33" s="38">
        <f t="shared" si="12"/>
        <v>1000</v>
      </c>
      <c r="BV33" s="46" t="str">
        <f>IFERROR(__xludf.DUMMYFUNCTION("""COMPUTED_VALUE"""),"Ash")</f>
        <v>Ash</v>
      </c>
      <c r="BW33" s="46">
        <f t="shared" si="13"/>
        <v>100</v>
      </c>
      <c r="BX33" s="47">
        <f t="shared" ref="BX33:CA33" si="136">AX33-$BU33</f>
        <v>-1000</v>
      </c>
      <c r="BY33" s="47">
        <f t="shared" si="136"/>
        <v>-1000</v>
      </c>
      <c r="BZ33" s="47">
        <f t="shared" si="136"/>
        <v>-1000</v>
      </c>
      <c r="CA33" s="47">
        <f t="shared" si="136"/>
        <v>-900</v>
      </c>
      <c r="CB33" s="47">
        <f t="shared" si="15"/>
        <v>-10000</v>
      </c>
      <c r="CC33" s="47">
        <f t="shared" ref="CC33:CQ33" si="137">BC33-$BU33</f>
        <v>-1000</v>
      </c>
      <c r="CD33" s="47">
        <f t="shared" si="137"/>
        <v>-1000</v>
      </c>
      <c r="CE33" s="47">
        <f t="shared" si="137"/>
        <v>-1000</v>
      </c>
      <c r="CF33" s="47">
        <f t="shared" si="137"/>
        <v>-1000</v>
      </c>
      <c r="CG33" s="47">
        <f t="shared" si="137"/>
        <v>-1000</v>
      </c>
      <c r="CH33" s="47">
        <f t="shared" si="137"/>
        <v>-1000</v>
      </c>
      <c r="CI33" s="47">
        <f t="shared" si="137"/>
        <v>-1000</v>
      </c>
      <c r="CJ33" s="47">
        <f t="shared" si="137"/>
        <v>-1000</v>
      </c>
      <c r="CK33" s="47">
        <f t="shared" si="137"/>
        <v>-1000</v>
      </c>
      <c r="CL33" s="47">
        <f t="shared" si="137"/>
        <v>-1000</v>
      </c>
      <c r="CM33" s="47">
        <f t="shared" si="137"/>
        <v>-1000</v>
      </c>
      <c r="CN33" s="47">
        <f t="shared" si="137"/>
        <v>-1000</v>
      </c>
      <c r="CO33" s="47">
        <f t="shared" si="137"/>
        <v>-1000</v>
      </c>
      <c r="CP33" s="47">
        <f t="shared" si="137"/>
        <v>-1000</v>
      </c>
      <c r="CQ33" s="47">
        <f t="shared" si="137"/>
        <v>-1000</v>
      </c>
      <c r="CR33" s="47"/>
      <c r="CS33" s="47"/>
      <c r="CT33" s="47"/>
      <c r="CU33" s="50" t="str">
        <f>IFERROR(__xludf.DUMMYFUNCTION("""COMPUTED_VALUE"""),"18720 Amador Ave
Dallas, TX 75252          ")</f>
        <v>18720 Amador Ave
Dallas, TX 75252          </v>
      </c>
      <c r="CV33" s="51">
        <f>IFERROR(__xludf.DUMMYFUNCTION("IF(REGEXMATCH(UPPER(CU33), ""TX""),0,1)"),0.0)</f>
        <v>0</v>
      </c>
      <c r="CW33" s="51">
        <f>IFERROR(__xludf.DUMMYFUNCTION("IF(REGEXMATCH(UPPER(CU33), ""DALLAS""),0,1)"),0.0)</f>
        <v>0</v>
      </c>
      <c r="CX33" s="51">
        <f t="shared" si="17"/>
        <v>0</v>
      </c>
      <c r="CY33" s="51">
        <f t="shared" si="18"/>
        <v>0</v>
      </c>
      <c r="CZ33" s="52" t="str">
        <f t="shared" si="19"/>
        <v/>
      </c>
      <c r="DA33" s="53" t="str">
        <f>IFERROR(__xludf.DUMMYFUNCTION("""COMPUTED_VALUE"""),"3804 Immel Dr.
Flower Mound, TX 75022         ")</f>
        <v>3804 Immel Dr.
Flower Mound, TX 75022         </v>
      </c>
      <c r="DB33" s="52">
        <f t="shared" ref="DB33:DU33" si="138">SUMIFS($AJ:$AJ,$X:$X,$DA33,$AK:$AK,DB$2)</f>
        <v>500</v>
      </c>
      <c r="DC33" s="52">
        <f t="shared" si="138"/>
        <v>0</v>
      </c>
      <c r="DD33" s="52">
        <f t="shared" si="138"/>
        <v>0</v>
      </c>
      <c r="DE33" s="52">
        <f t="shared" si="138"/>
        <v>0</v>
      </c>
      <c r="DF33" s="52">
        <f t="shared" si="138"/>
        <v>0</v>
      </c>
      <c r="DG33" s="52">
        <f t="shared" si="138"/>
        <v>0</v>
      </c>
      <c r="DH33" s="52">
        <f t="shared" si="138"/>
        <v>0</v>
      </c>
      <c r="DI33" s="52">
        <f t="shared" si="138"/>
        <v>0</v>
      </c>
      <c r="DJ33" s="52">
        <f t="shared" si="138"/>
        <v>0</v>
      </c>
      <c r="DK33" s="52">
        <f t="shared" si="138"/>
        <v>0</v>
      </c>
      <c r="DL33" s="52">
        <f t="shared" si="138"/>
        <v>0</v>
      </c>
      <c r="DM33" s="52">
        <f t="shared" si="138"/>
        <v>0</v>
      </c>
      <c r="DN33" s="52">
        <f t="shared" si="138"/>
        <v>0</v>
      </c>
      <c r="DO33" s="52">
        <f t="shared" si="138"/>
        <v>0</v>
      </c>
      <c r="DP33" s="52">
        <f t="shared" si="138"/>
        <v>0</v>
      </c>
      <c r="DQ33" s="52">
        <f t="shared" si="138"/>
        <v>0</v>
      </c>
      <c r="DR33" s="52">
        <f t="shared" si="138"/>
        <v>0</v>
      </c>
      <c r="DS33" s="52">
        <f t="shared" si="138"/>
        <v>0</v>
      </c>
      <c r="DT33" s="52">
        <f t="shared" si="138"/>
        <v>0</v>
      </c>
      <c r="DU33" s="52">
        <f t="shared" si="138"/>
        <v>0</v>
      </c>
      <c r="DV33" s="52">
        <f t="shared" si="21"/>
        <v>500</v>
      </c>
      <c r="DW33" s="52">
        <f t="shared" si="22"/>
        <v>1</v>
      </c>
    </row>
    <row r="34">
      <c r="A34" s="23" t="s">
        <v>64</v>
      </c>
      <c r="B34" s="23" t="s">
        <v>56</v>
      </c>
      <c r="C34" s="31" t="s">
        <v>133</v>
      </c>
      <c r="D34" s="25" t="str">
        <f>IFERROR(__xludf.DUMMYFUNCTION("SPLIT(C34,"" "")"),"Aisner,")</f>
        <v>Aisner,</v>
      </c>
      <c r="E34" s="22" t="str">
        <f>IFERROR(__xludf.DUMMYFUNCTION("""COMPUTED_VALUE"""),"Robert
27")</f>
        <v>Robert
27</v>
      </c>
      <c r="F34" s="22" t="str">
        <f>IFERROR(__xludf.DUMMYFUNCTION("""COMPUTED_VALUE"""),"Edge")</f>
        <v>Edge</v>
      </c>
      <c r="G34" s="22" t="str">
        <f>IFERROR(__xludf.DUMMYFUNCTION("""COMPUTED_VALUE"""),"Hill")</f>
        <v>Hill</v>
      </c>
      <c r="H34" s="22" t="str">
        <f>IFERROR(__xludf.DUMMYFUNCTION("""COMPUTED_VALUE"""),"Drive
Dallas,")</f>
        <v>Drive
Dallas,</v>
      </c>
      <c r="I34" s="22" t="str">
        <f>IFERROR(__xludf.DUMMYFUNCTION("""COMPUTED_VALUE"""),"TX")</f>
        <v>TX</v>
      </c>
      <c r="J34" s="22">
        <f>IFERROR(__xludf.DUMMYFUNCTION("""COMPUTED_VALUE"""),75248.0)</f>
        <v>75248</v>
      </c>
      <c r="K34" s="22"/>
      <c r="L34" s="22"/>
      <c r="M34" s="22"/>
      <c r="N34" s="22"/>
      <c r="O34" s="22"/>
      <c r="P34" s="22"/>
      <c r="Q34" s="22"/>
      <c r="R34" s="22"/>
      <c r="S34" s="22"/>
      <c r="T34" s="22"/>
      <c r="U34" s="24" t="str">
        <f>IFERROR(__xludf.DUMMYFUNCTION("SPLIT(E34,""01234567890"")"),"Robert
")</f>
        <v>Robert
</v>
      </c>
      <c r="V34" s="24" t="str">
        <f>IFERROR(__xludf.DUMMYFUNCTION("SPLIT(D34,"","")"),"Aisner")</f>
        <v>Aisner</v>
      </c>
      <c r="W34" s="25" t="str">
        <f t="shared" si="1"/>
        <v>ROBERT
 AISNER</v>
      </c>
      <c r="X34" s="25" t="s">
        <v>134</v>
      </c>
      <c r="Y34" s="25">
        <v>75248.0</v>
      </c>
      <c r="Z34" s="25" t="str">
        <f>IFERROR(__xludf.DUMMYFUNCTION("SPLIT(C34,""
"")"),"Aisner, Robert")</f>
        <v>Aisner, Robert</v>
      </c>
      <c r="AA34" s="25" t="str">
        <f>IFERROR(__xludf.DUMMYFUNCTION("""COMPUTED_VALUE"""),"27 Edge Hill Drive")</f>
        <v>27 Edge Hill Drive</v>
      </c>
      <c r="AB34" s="25" t="str">
        <f>IFERROR(__xludf.DUMMYFUNCTION("""COMPUTED_VALUE"""),"Dallas, TX 75248")</f>
        <v>Dallas, TX 75248</v>
      </c>
      <c r="AC34" s="24" t="s">
        <v>135</v>
      </c>
      <c r="AD34" s="25"/>
      <c r="AE34" s="25"/>
      <c r="AF34" s="25"/>
      <c r="AG34" s="22" t="s">
        <v>60</v>
      </c>
      <c r="AH34" s="54">
        <v>2482.0</v>
      </c>
      <c r="AI34" s="22" t="s">
        <v>68</v>
      </c>
      <c r="AJ34" s="27">
        <v>100.0</v>
      </c>
      <c r="AK34" s="31" t="s">
        <v>31</v>
      </c>
      <c r="AL34" s="28">
        <v>44921.0</v>
      </c>
      <c r="AM34" s="29">
        <v>44938.558541666665</v>
      </c>
      <c r="AN34" s="30">
        <v>2.0</v>
      </c>
      <c r="AO34" s="22"/>
      <c r="AP34" s="22"/>
      <c r="AQ34" s="22"/>
      <c r="AR34" s="22"/>
      <c r="AS34" s="31">
        <f>IFERROR(__xludf.DUMMYFUNCTION("""COMPUTED_VALUE"""),75039.0)</f>
        <v>75039</v>
      </c>
      <c r="AT34" s="45">
        <f t="shared" si="6"/>
        <v>150</v>
      </c>
      <c r="AU34" s="22"/>
      <c r="AV34" s="57" t="str">
        <f>IFERROR(__xludf.DUMMYFUNCTION("""COMPUTED_VALUE"""),"Aslam")</f>
        <v>Aslam</v>
      </c>
      <c r="AW34" s="46">
        <f t="shared" si="7"/>
        <v>1000</v>
      </c>
      <c r="AX34" s="47">
        <f t="shared" ref="AX34:BQ34" si="139">SUMIFS($AJ:$AJ,$V:$V,$AV34,$AK:$AK,AX$2)</f>
        <v>1000</v>
      </c>
      <c r="AY34" s="48">
        <f t="shared" si="139"/>
        <v>0</v>
      </c>
      <c r="AZ34" s="48">
        <f t="shared" si="139"/>
        <v>0</v>
      </c>
      <c r="BA34" s="48">
        <f t="shared" si="139"/>
        <v>0</v>
      </c>
      <c r="BB34" s="48">
        <f t="shared" si="139"/>
        <v>0</v>
      </c>
      <c r="BC34" s="48">
        <f t="shared" si="139"/>
        <v>0</v>
      </c>
      <c r="BD34" s="48">
        <f t="shared" si="139"/>
        <v>0</v>
      </c>
      <c r="BE34" s="48">
        <f t="shared" si="139"/>
        <v>0</v>
      </c>
      <c r="BF34" s="48">
        <f t="shared" si="139"/>
        <v>0</v>
      </c>
      <c r="BG34" s="48">
        <f t="shared" si="139"/>
        <v>0</v>
      </c>
      <c r="BH34" s="48">
        <f t="shared" si="139"/>
        <v>0</v>
      </c>
      <c r="BI34" s="48">
        <f t="shared" si="139"/>
        <v>0</v>
      </c>
      <c r="BJ34" s="48">
        <f t="shared" si="139"/>
        <v>0</v>
      </c>
      <c r="BK34" s="48">
        <f t="shared" si="139"/>
        <v>0</v>
      </c>
      <c r="BL34" s="48">
        <f t="shared" si="139"/>
        <v>0</v>
      </c>
      <c r="BM34" s="48">
        <f t="shared" si="139"/>
        <v>0</v>
      </c>
      <c r="BN34" s="48">
        <f t="shared" si="139"/>
        <v>0</v>
      </c>
      <c r="BO34" s="48">
        <f t="shared" si="139"/>
        <v>0</v>
      </c>
      <c r="BP34" s="48">
        <f t="shared" si="139"/>
        <v>0</v>
      </c>
      <c r="BQ34" s="48">
        <f t="shared" si="139"/>
        <v>0</v>
      </c>
      <c r="BR34" s="36">
        <f t="shared" si="9"/>
        <v>0</v>
      </c>
      <c r="BS34" s="38">
        <f t="shared" si="10"/>
        <v>1</v>
      </c>
      <c r="BT34" s="49">
        <f t="shared" si="11"/>
        <v>0</v>
      </c>
      <c r="BU34" s="38">
        <f t="shared" si="12"/>
        <v>1000</v>
      </c>
      <c r="BV34" s="57" t="str">
        <f>IFERROR(__xludf.DUMMYFUNCTION("""COMPUTED_VALUE"""),"Aslam")</f>
        <v>Aslam</v>
      </c>
      <c r="BW34" s="46">
        <f t="shared" si="13"/>
        <v>1000</v>
      </c>
      <c r="BX34" s="47">
        <f t="shared" ref="BX34:CA34" si="140">AX34-$BU34</f>
        <v>0</v>
      </c>
      <c r="BY34" s="47">
        <f t="shared" si="140"/>
        <v>-1000</v>
      </c>
      <c r="BZ34" s="47">
        <f t="shared" si="140"/>
        <v>-1000</v>
      </c>
      <c r="CA34" s="47">
        <f t="shared" si="140"/>
        <v>-1000</v>
      </c>
      <c r="CB34" s="47">
        <f t="shared" si="15"/>
        <v>-10000</v>
      </c>
      <c r="CC34" s="47">
        <f t="shared" ref="CC34:CQ34" si="141">BC34-$BU34</f>
        <v>-1000</v>
      </c>
      <c r="CD34" s="47">
        <f t="shared" si="141"/>
        <v>-1000</v>
      </c>
      <c r="CE34" s="47">
        <f t="shared" si="141"/>
        <v>-1000</v>
      </c>
      <c r="CF34" s="47">
        <f t="shared" si="141"/>
        <v>-1000</v>
      </c>
      <c r="CG34" s="47">
        <f t="shared" si="141"/>
        <v>-1000</v>
      </c>
      <c r="CH34" s="47">
        <f t="shared" si="141"/>
        <v>-1000</v>
      </c>
      <c r="CI34" s="47">
        <f t="shared" si="141"/>
        <v>-1000</v>
      </c>
      <c r="CJ34" s="47">
        <f t="shared" si="141"/>
        <v>-1000</v>
      </c>
      <c r="CK34" s="47">
        <f t="shared" si="141"/>
        <v>-1000</v>
      </c>
      <c r="CL34" s="47">
        <f t="shared" si="141"/>
        <v>-1000</v>
      </c>
      <c r="CM34" s="47">
        <f t="shared" si="141"/>
        <v>-1000</v>
      </c>
      <c r="CN34" s="47">
        <f t="shared" si="141"/>
        <v>-1000</v>
      </c>
      <c r="CO34" s="47">
        <f t="shared" si="141"/>
        <v>-1000</v>
      </c>
      <c r="CP34" s="47">
        <f t="shared" si="141"/>
        <v>-1000</v>
      </c>
      <c r="CQ34" s="47">
        <f t="shared" si="141"/>
        <v>-1000</v>
      </c>
      <c r="CR34" s="47"/>
      <c r="CS34" s="47"/>
      <c r="CT34" s="47"/>
      <c r="CU34" s="50" t="str">
        <f>IFERROR(__xludf.DUMMYFUNCTION("""COMPUTED_VALUE"""),"7614 Currin Dr
Dallas, TX 75230          ")</f>
        <v>7614 Currin Dr
Dallas, TX 75230          </v>
      </c>
      <c r="CV34" s="51">
        <f>IFERROR(__xludf.DUMMYFUNCTION("IF(REGEXMATCH(UPPER(CU34), ""TX""),0,1)"),0.0)</f>
        <v>0</v>
      </c>
      <c r="CW34" s="51">
        <f>IFERROR(__xludf.DUMMYFUNCTION("IF(REGEXMATCH(UPPER(CU34), ""DALLAS""),0,1)"),0.0)</f>
        <v>0</v>
      </c>
      <c r="CX34" s="51">
        <f t="shared" si="17"/>
        <v>0</v>
      </c>
      <c r="CY34" s="51">
        <f t="shared" si="18"/>
        <v>0</v>
      </c>
      <c r="CZ34" s="52" t="str">
        <f t="shared" si="19"/>
        <v/>
      </c>
      <c r="DA34" s="53" t="str">
        <f>IFERROR(__xludf.DUMMYFUNCTION("""COMPUTED_VALUE"""),"2803 Mayfair Ln.
McKinney, TX 75071          ")</f>
        <v>2803 Mayfair Ln.
McKinney, TX 75071          </v>
      </c>
      <c r="DB34" s="52">
        <f t="shared" ref="DB34:DU34" si="142">SUMIFS($AJ:$AJ,$X:$X,$DA34,$AK:$AK,DB$2)</f>
        <v>950</v>
      </c>
      <c r="DC34" s="52">
        <f t="shared" si="142"/>
        <v>0</v>
      </c>
      <c r="DD34" s="52">
        <f t="shared" si="142"/>
        <v>0</v>
      </c>
      <c r="DE34" s="52">
        <f t="shared" si="142"/>
        <v>0</v>
      </c>
      <c r="DF34" s="52">
        <f t="shared" si="142"/>
        <v>0</v>
      </c>
      <c r="DG34" s="52">
        <f t="shared" si="142"/>
        <v>0</v>
      </c>
      <c r="DH34" s="52">
        <f t="shared" si="142"/>
        <v>0</v>
      </c>
      <c r="DI34" s="52">
        <f t="shared" si="142"/>
        <v>0</v>
      </c>
      <c r="DJ34" s="52">
        <f t="shared" si="142"/>
        <v>0</v>
      </c>
      <c r="DK34" s="52">
        <f t="shared" si="142"/>
        <v>0</v>
      </c>
      <c r="DL34" s="52">
        <f t="shared" si="142"/>
        <v>0</v>
      </c>
      <c r="DM34" s="52">
        <f t="shared" si="142"/>
        <v>0</v>
      </c>
      <c r="DN34" s="52">
        <f t="shared" si="142"/>
        <v>0</v>
      </c>
      <c r="DO34" s="52">
        <f t="shared" si="142"/>
        <v>0</v>
      </c>
      <c r="DP34" s="52">
        <f t="shared" si="142"/>
        <v>0</v>
      </c>
      <c r="DQ34" s="52">
        <f t="shared" si="142"/>
        <v>0</v>
      </c>
      <c r="DR34" s="52">
        <f t="shared" si="142"/>
        <v>0</v>
      </c>
      <c r="DS34" s="52">
        <f t="shared" si="142"/>
        <v>0</v>
      </c>
      <c r="DT34" s="52">
        <f t="shared" si="142"/>
        <v>0</v>
      </c>
      <c r="DU34" s="52">
        <f t="shared" si="142"/>
        <v>0</v>
      </c>
      <c r="DV34" s="52">
        <f t="shared" si="21"/>
        <v>950</v>
      </c>
      <c r="DW34" s="52">
        <f t="shared" si="22"/>
        <v>1</v>
      </c>
    </row>
    <row r="35">
      <c r="A35" s="41" t="s">
        <v>64</v>
      </c>
      <c r="B35" s="41" t="s">
        <v>56</v>
      </c>
      <c r="C35" s="31" t="s">
        <v>136</v>
      </c>
      <c r="D35" s="25" t="str">
        <f>IFERROR(__xludf.DUMMYFUNCTION("SPLIT(C35,"" "")"),"Alcantar,")</f>
        <v>Alcantar,</v>
      </c>
      <c r="E35" s="40" t="str">
        <f>IFERROR(__xludf.DUMMYFUNCTION("""COMPUTED_VALUE"""),"Joe
7304")</f>
        <v>Joe
7304</v>
      </c>
      <c r="F35" s="40" t="str">
        <f>IFERROR(__xludf.DUMMYFUNCTION("""COMPUTED_VALUE"""),"Lane")</f>
        <v>Lane</v>
      </c>
      <c r="G35" s="40" t="str">
        <f>IFERROR(__xludf.DUMMYFUNCTION("""COMPUTED_VALUE"""),"Park")</f>
        <v>Park</v>
      </c>
      <c r="H35" s="40" t="str">
        <f>IFERROR(__xludf.DUMMYFUNCTION("""COMPUTED_VALUE"""),"Court
Dallas,")</f>
        <v>Court
Dallas,</v>
      </c>
      <c r="I35" s="40" t="str">
        <f>IFERROR(__xludf.DUMMYFUNCTION("""COMPUTED_VALUE"""),"TX")</f>
        <v>TX</v>
      </c>
      <c r="J35" s="40">
        <f>IFERROR(__xludf.DUMMYFUNCTION("""COMPUTED_VALUE"""),75225.0)</f>
        <v>75225</v>
      </c>
      <c r="K35" s="40"/>
      <c r="L35" s="40"/>
      <c r="M35" s="40"/>
      <c r="N35" s="40"/>
      <c r="O35" s="40"/>
      <c r="P35" s="40"/>
      <c r="Q35" s="40"/>
      <c r="R35" s="40"/>
      <c r="S35" s="40"/>
      <c r="T35" s="40"/>
      <c r="U35" s="24" t="str">
        <f>IFERROR(__xludf.DUMMYFUNCTION("SPLIT(E35,""01234567890"")"),"Joe
")</f>
        <v>Joe
</v>
      </c>
      <c r="V35" s="24" t="str">
        <f>IFERROR(__xludf.DUMMYFUNCTION("SPLIT(D35,"","")"),"Alcantar")</f>
        <v>Alcantar</v>
      </c>
      <c r="W35" s="25" t="str">
        <f t="shared" si="1"/>
        <v>JOE
 ALCANTAR</v>
      </c>
      <c r="X35" s="25" t="s">
        <v>137</v>
      </c>
      <c r="Y35" s="25">
        <v>75225.0</v>
      </c>
      <c r="Z35" s="25" t="str">
        <f>IFERROR(__xludf.DUMMYFUNCTION("SPLIT(C35,""
"")"),"Alcantar, Joe")</f>
        <v>Alcantar, Joe</v>
      </c>
      <c r="AA35" s="25" t="str">
        <f>IFERROR(__xludf.DUMMYFUNCTION("""COMPUTED_VALUE"""),"7304 Lane Park Court")</f>
        <v>7304 Lane Park Court</v>
      </c>
      <c r="AB35" s="25" t="str">
        <f>IFERROR(__xludf.DUMMYFUNCTION("""COMPUTED_VALUE"""),"Dallas, TX 75225")</f>
        <v>Dallas, TX 75225</v>
      </c>
      <c r="AC35" s="24" t="s">
        <v>138</v>
      </c>
      <c r="AD35" s="25"/>
      <c r="AE35" s="25"/>
      <c r="AF35" s="25"/>
      <c r="AG35" s="40" t="s">
        <v>60</v>
      </c>
      <c r="AH35" s="42">
        <v>2486.0</v>
      </c>
      <c r="AI35" s="40" t="s">
        <v>68</v>
      </c>
      <c r="AJ35" s="27">
        <v>500.0</v>
      </c>
      <c r="AK35" s="31" t="s">
        <v>24</v>
      </c>
      <c r="AL35" s="43">
        <v>44844.0</v>
      </c>
      <c r="AM35" s="44">
        <v>44942.42989583333</v>
      </c>
      <c r="AN35" s="30">
        <v>2.0</v>
      </c>
      <c r="AO35" s="40"/>
      <c r="AP35" s="40"/>
      <c r="AQ35" s="40"/>
      <c r="AR35" s="40"/>
      <c r="AS35" s="31">
        <f>IFERROR(__xludf.DUMMYFUNCTION("""COMPUTED_VALUE"""),75049.0)</f>
        <v>75049</v>
      </c>
      <c r="AT35" s="45">
        <f t="shared" si="6"/>
        <v>1000</v>
      </c>
      <c r="AU35" s="40"/>
      <c r="AV35" s="46" t="str">
        <f>IFERROR(__xludf.DUMMYFUNCTION("""COMPUTED_VALUE"""),"Assaff")</f>
        <v>Assaff</v>
      </c>
      <c r="AW35" s="46">
        <f t="shared" si="7"/>
        <v>250</v>
      </c>
      <c r="AX35" s="47">
        <f t="shared" ref="AX35:BQ35" si="143">SUMIFS($AJ:$AJ,$V:$V,$AV35,$AK:$AK,AX$2)</f>
        <v>0</v>
      </c>
      <c r="AY35" s="48">
        <f t="shared" si="143"/>
        <v>0</v>
      </c>
      <c r="AZ35" s="48">
        <f t="shared" si="143"/>
        <v>0</v>
      </c>
      <c r="BA35" s="48">
        <f t="shared" si="143"/>
        <v>0</v>
      </c>
      <c r="BB35" s="48">
        <f t="shared" si="143"/>
        <v>250</v>
      </c>
      <c r="BC35" s="48">
        <f t="shared" si="143"/>
        <v>0</v>
      </c>
      <c r="BD35" s="48">
        <f t="shared" si="143"/>
        <v>0</v>
      </c>
      <c r="BE35" s="48">
        <f t="shared" si="143"/>
        <v>0</v>
      </c>
      <c r="BF35" s="48">
        <f t="shared" si="143"/>
        <v>0</v>
      </c>
      <c r="BG35" s="48">
        <f t="shared" si="143"/>
        <v>0</v>
      </c>
      <c r="BH35" s="48">
        <f t="shared" si="143"/>
        <v>0</v>
      </c>
      <c r="BI35" s="48">
        <f t="shared" si="143"/>
        <v>0</v>
      </c>
      <c r="BJ35" s="48">
        <f t="shared" si="143"/>
        <v>0</v>
      </c>
      <c r="BK35" s="48">
        <f t="shared" si="143"/>
        <v>0</v>
      </c>
      <c r="BL35" s="48">
        <f t="shared" si="143"/>
        <v>0</v>
      </c>
      <c r="BM35" s="48">
        <f t="shared" si="143"/>
        <v>0</v>
      </c>
      <c r="BN35" s="48">
        <f t="shared" si="143"/>
        <v>0</v>
      </c>
      <c r="BO35" s="48">
        <f t="shared" si="143"/>
        <v>0</v>
      </c>
      <c r="BP35" s="48">
        <f t="shared" si="143"/>
        <v>0</v>
      </c>
      <c r="BQ35" s="48">
        <f t="shared" si="143"/>
        <v>0</v>
      </c>
      <c r="BR35" s="36">
        <f t="shared" si="9"/>
        <v>0</v>
      </c>
      <c r="BS35" s="38">
        <f t="shared" si="10"/>
        <v>1</v>
      </c>
      <c r="BT35" s="49">
        <f t="shared" si="11"/>
        <v>0</v>
      </c>
      <c r="BU35" s="38">
        <f t="shared" si="12"/>
        <v>1000</v>
      </c>
      <c r="BV35" s="46" t="str">
        <f>IFERROR(__xludf.DUMMYFUNCTION("""COMPUTED_VALUE"""),"Assaff")</f>
        <v>Assaff</v>
      </c>
      <c r="BW35" s="46">
        <f t="shared" si="13"/>
        <v>250</v>
      </c>
      <c r="BX35" s="47">
        <f t="shared" ref="BX35:CA35" si="144">AX35-$BU35</f>
        <v>-1000</v>
      </c>
      <c r="BY35" s="47">
        <f t="shared" si="144"/>
        <v>-1000</v>
      </c>
      <c r="BZ35" s="47">
        <f t="shared" si="144"/>
        <v>-1000</v>
      </c>
      <c r="CA35" s="47">
        <f t="shared" si="144"/>
        <v>-1000</v>
      </c>
      <c r="CB35" s="47">
        <f t="shared" si="15"/>
        <v>-9750</v>
      </c>
      <c r="CC35" s="47">
        <f t="shared" ref="CC35:CQ35" si="145">BC35-$BU35</f>
        <v>-1000</v>
      </c>
      <c r="CD35" s="47">
        <f t="shared" si="145"/>
        <v>-1000</v>
      </c>
      <c r="CE35" s="47">
        <f t="shared" si="145"/>
        <v>-1000</v>
      </c>
      <c r="CF35" s="47">
        <f t="shared" si="145"/>
        <v>-1000</v>
      </c>
      <c r="CG35" s="47">
        <f t="shared" si="145"/>
        <v>-1000</v>
      </c>
      <c r="CH35" s="47">
        <f t="shared" si="145"/>
        <v>-1000</v>
      </c>
      <c r="CI35" s="47">
        <f t="shared" si="145"/>
        <v>-1000</v>
      </c>
      <c r="CJ35" s="47">
        <f t="shared" si="145"/>
        <v>-1000</v>
      </c>
      <c r="CK35" s="47">
        <f t="shared" si="145"/>
        <v>-1000</v>
      </c>
      <c r="CL35" s="47">
        <f t="shared" si="145"/>
        <v>-1000</v>
      </c>
      <c r="CM35" s="47">
        <f t="shared" si="145"/>
        <v>-1000</v>
      </c>
      <c r="CN35" s="47">
        <f t="shared" si="145"/>
        <v>-1000</v>
      </c>
      <c r="CO35" s="47">
        <f t="shared" si="145"/>
        <v>-1000</v>
      </c>
      <c r="CP35" s="47">
        <f t="shared" si="145"/>
        <v>-1000</v>
      </c>
      <c r="CQ35" s="47">
        <f t="shared" si="145"/>
        <v>-1000</v>
      </c>
      <c r="CR35" s="47"/>
      <c r="CS35" s="47"/>
      <c r="CT35" s="47"/>
      <c r="CU35" s="50" t="str">
        <f>IFERROR(__xludf.DUMMYFUNCTION("""COMPUTED_VALUE"""),"8115 San Benito Way
Dallas, TX 75218         ")</f>
        <v>8115 San Benito Way
Dallas, TX 75218         </v>
      </c>
      <c r="CV35" s="51">
        <f>IFERROR(__xludf.DUMMYFUNCTION("IF(REGEXMATCH(UPPER(CU35), ""TX""),0,1)"),0.0)</f>
        <v>0</v>
      </c>
      <c r="CW35" s="51">
        <f>IFERROR(__xludf.DUMMYFUNCTION("IF(REGEXMATCH(UPPER(CU35), ""DALLAS""),0,1)"),0.0)</f>
        <v>0</v>
      </c>
      <c r="CX35" s="51">
        <f t="shared" si="17"/>
        <v>0</v>
      </c>
      <c r="CY35" s="51">
        <f t="shared" si="18"/>
        <v>0</v>
      </c>
      <c r="CZ35" s="52" t="str">
        <f t="shared" si="19"/>
        <v/>
      </c>
      <c r="DA35" s="53" t="str">
        <f>IFERROR(__xludf.DUMMYFUNCTION("""COMPUTED_VALUE"""),"2102 Sharon Ln.
Austin, TX 78703          ")</f>
        <v>2102 Sharon Ln.
Austin, TX 78703          </v>
      </c>
      <c r="DB35" s="52">
        <f t="shared" ref="DB35:DU35" si="146">SUMIFS($AJ:$AJ,$X:$X,$DA35,$AK:$AK,DB$2)</f>
        <v>250</v>
      </c>
      <c r="DC35" s="52">
        <f t="shared" si="146"/>
        <v>0</v>
      </c>
      <c r="DD35" s="52">
        <f t="shared" si="146"/>
        <v>0</v>
      </c>
      <c r="DE35" s="52">
        <f t="shared" si="146"/>
        <v>0</v>
      </c>
      <c r="DF35" s="52">
        <f t="shared" si="146"/>
        <v>0</v>
      </c>
      <c r="DG35" s="52">
        <f t="shared" si="146"/>
        <v>0</v>
      </c>
      <c r="DH35" s="52">
        <f t="shared" si="146"/>
        <v>0</v>
      </c>
      <c r="DI35" s="52">
        <f t="shared" si="146"/>
        <v>0</v>
      </c>
      <c r="DJ35" s="52">
        <f t="shared" si="146"/>
        <v>0</v>
      </c>
      <c r="DK35" s="52">
        <f t="shared" si="146"/>
        <v>0</v>
      </c>
      <c r="DL35" s="52">
        <f t="shared" si="146"/>
        <v>0</v>
      </c>
      <c r="DM35" s="52">
        <f t="shared" si="146"/>
        <v>0</v>
      </c>
      <c r="DN35" s="52">
        <f t="shared" si="146"/>
        <v>0</v>
      </c>
      <c r="DO35" s="52">
        <f t="shared" si="146"/>
        <v>0</v>
      </c>
      <c r="DP35" s="52">
        <f t="shared" si="146"/>
        <v>0</v>
      </c>
      <c r="DQ35" s="52">
        <f t="shared" si="146"/>
        <v>0</v>
      </c>
      <c r="DR35" s="52">
        <f t="shared" si="146"/>
        <v>0</v>
      </c>
      <c r="DS35" s="52">
        <f t="shared" si="146"/>
        <v>0</v>
      </c>
      <c r="DT35" s="52">
        <f t="shared" si="146"/>
        <v>0</v>
      </c>
      <c r="DU35" s="52">
        <f t="shared" si="146"/>
        <v>0</v>
      </c>
      <c r="DV35" s="52">
        <f t="shared" si="21"/>
        <v>250</v>
      </c>
      <c r="DW35" s="52">
        <f t="shared" si="22"/>
        <v>1</v>
      </c>
    </row>
    <row r="36">
      <c r="A36" s="23" t="s">
        <v>64</v>
      </c>
      <c r="B36" s="23" t="s">
        <v>56</v>
      </c>
      <c r="C36" s="31" t="s">
        <v>139</v>
      </c>
      <c r="D36" s="25" t="str">
        <f>IFERROR(__xludf.DUMMYFUNCTION("SPLIT(C36,"" "")"),"Alcantar,")</f>
        <v>Alcantar,</v>
      </c>
      <c r="E36" s="22" t="str">
        <f>IFERROR(__xludf.DUMMYFUNCTION("""COMPUTED_VALUE"""),"Joe
7304")</f>
        <v>Joe
7304</v>
      </c>
      <c r="F36" s="22" t="str">
        <f>IFERROR(__xludf.DUMMYFUNCTION("""COMPUTED_VALUE"""),"Lane")</f>
        <v>Lane</v>
      </c>
      <c r="G36" s="22" t="str">
        <f>IFERROR(__xludf.DUMMYFUNCTION("""COMPUTED_VALUE"""),"Park")</f>
        <v>Park</v>
      </c>
      <c r="H36" s="22" t="str">
        <f>IFERROR(__xludf.DUMMYFUNCTION("""COMPUTED_VALUE"""),"Ct.
Dallas,")</f>
        <v>Ct.
Dallas,</v>
      </c>
      <c r="I36" s="22" t="str">
        <f>IFERROR(__xludf.DUMMYFUNCTION("""COMPUTED_VALUE"""),"TX")</f>
        <v>TX</v>
      </c>
      <c r="J36" s="22">
        <f>IFERROR(__xludf.DUMMYFUNCTION("""COMPUTED_VALUE"""),75225.0)</f>
        <v>75225</v>
      </c>
      <c r="K36" s="22"/>
      <c r="L36" s="22"/>
      <c r="M36" s="22"/>
      <c r="N36" s="22"/>
      <c r="O36" s="22"/>
      <c r="P36" s="22"/>
      <c r="Q36" s="22"/>
      <c r="R36" s="22"/>
      <c r="S36" s="22"/>
      <c r="T36" s="22"/>
      <c r="U36" s="24" t="str">
        <f>IFERROR(__xludf.DUMMYFUNCTION("SPLIT(E36,""01234567890"")"),"Joe
")</f>
        <v>Joe
</v>
      </c>
      <c r="V36" s="24" t="str">
        <f>IFERROR(__xludf.DUMMYFUNCTION("SPLIT(D36,"","")"),"Alcantar")</f>
        <v>Alcantar</v>
      </c>
      <c r="W36" s="25" t="str">
        <f t="shared" si="1"/>
        <v>JOE
 ALCANTAR</v>
      </c>
      <c r="X36" s="25" t="s">
        <v>140</v>
      </c>
      <c r="Y36" s="25">
        <v>75225.0</v>
      </c>
      <c r="Z36" s="25" t="str">
        <f>IFERROR(__xludf.DUMMYFUNCTION("SPLIT(C36,""
"")"),"Alcantar, Joe")</f>
        <v>Alcantar, Joe</v>
      </c>
      <c r="AA36" s="25" t="str">
        <f>IFERROR(__xludf.DUMMYFUNCTION("""COMPUTED_VALUE"""),"7304 Lane Park Ct.")</f>
        <v>7304 Lane Park Ct.</v>
      </c>
      <c r="AB36" s="25" t="str">
        <f>IFERROR(__xludf.DUMMYFUNCTION("""COMPUTED_VALUE"""),"Dallas, TX 75225")</f>
        <v>Dallas, TX 75225</v>
      </c>
      <c r="AC36" s="24" t="s">
        <v>138</v>
      </c>
      <c r="AD36" s="25"/>
      <c r="AE36" s="25"/>
      <c r="AF36" s="25"/>
      <c r="AG36" s="22" t="s">
        <v>60</v>
      </c>
      <c r="AH36" s="54">
        <v>2448.0</v>
      </c>
      <c r="AI36" s="22" t="s">
        <v>61</v>
      </c>
      <c r="AJ36" s="27">
        <v>500.0</v>
      </c>
      <c r="AK36" s="31" t="s">
        <v>24</v>
      </c>
      <c r="AL36" s="28">
        <v>44726.0</v>
      </c>
      <c r="AM36" s="29">
        <v>44757.44018518519</v>
      </c>
      <c r="AN36" s="30">
        <v>2.0</v>
      </c>
      <c r="AO36" s="22"/>
      <c r="AP36" s="22"/>
      <c r="AQ36" s="22"/>
      <c r="AR36" s="22"/>
      <c r="AS36" s="31">
        <f>IFERROR(__xludf.DUMMYFUNCTION("""COMPUTED_VALUE"""),78701.0)</f>
        <v>78701</v>
      </c>
      <c r="AT36" s="45">
        <f t="shared" si="6"/>
        <v>12500</v>
      </c>
      <c r="AU36" s="22"/>
      <c r="AV36" s="57" t="str">
        <f>IFERROR(__xludf.DUMMYFUNCTION("""COMPUTED_VALUE"""),"AT&amp;T")</f>
        <v>AT&amp;T</v>
      </c>
      <c r="AW36" s="46">
        <f t="shared" si="7"/>
        <v>20000</v>
      </c>
      <c r="AX36" s="47">
        <f t="shared" ref="AX36:BQ36" si="147">SUMIFS($AJ:$AJ,$V:$V,$AV36,$AK:$AK,AX$2)</f>
        <v>0</v>
      </c>
      <c r="AY36" s="48">
        <f t="shared" si="147"/>
        <v>0</v>
      </c>
      <c r="AZ36" s="48">
        <f t="shared" si="147"/>
        <v>0</v>
      </c>
      <c r="BA36" s="48">
        <f t="shared" si="147"/>
        <v>0</v>
      </c>
      <c r="BB36" s="48">
        <f t="shared" si="147"/>
        <v>20000</v>
      </c>
      <c r="BC36" s="48">
        <f t="shared" si="147"/>
        <v>0</v>
      </c>
      <c r="BD36" s="48">
        <f t="shared" si="147"/>
        <v>0</v>
      </c>
      <c r="BE36" s="48">
        <f t="shared" si="147"/>
        <v>0</v>
      </c>
      <c r="BF36" s="48">
        <f t="shared" si="147"/>
        <v>0</v>
      </c>
      <c r="BG36" s="48">
        <f t="shared" si="147"/>
        <v>0</v>
      </c>
      <c r="BH36" s="48">
        <f t="shared" si="147"/>
        <v>0</v>
      </c>
      <c r="BI36" s="48">
        <f t="shared" si="147"/>
        <v>0</v>
      </c>
      <c r="BJ36" s="48">
        <f t="shared" si="147"/>
        <v>0</v>
      </c>
      <c r="BK36" s="48">
        <f t="shared" si="147"/>
        <v>0</v>
      </c>
      <c r="BL36" s="48">
        <f t="shared" si="147"/>
        <v>0</v>
      </c>
      <c r="BM36" s="48">
        <f t="shared" si="147"/>
        <v>0</v>
      </c>
      <c r="BN36" s="48">
        <f t="shared" si="147"/>
        <v>0</v>
      </c>
      <c r="BO36" s="48">
        <f t="shared" si="147"/>
        <v>0</v>
      </c>
      <c r="BP36" s="48">
        <f t="shared" si="147"/>
        <v>0</v>
      </c>
      <c r="BQ36" s="48">
        <f t="shared" si="147"/>
        <v>0</v>
      </c>
      <c r="BR36" s="36">
        <f t="shared" si="9"/>
        <v>0</v>
      </c>
      <c r="BS36" s="38">
        <f t="shared" si="10"/>
        <v>1</v>
      </c>
      <c r="BT36" s="49">
        <f t="shared" si="11"/>
        <v>0</v>
      </c>
      <c r="BU36" s="38">
        <f t="shared" si="12"/>
        <v>1000</v>
      </c>
      <c r="BV36" s="57" t="str">
        <f>IFERROR(__xludf.DUMMYFUNCTION("""COMPUTED_VALUE"""),"AT&amp;T")</f>
        <v>AT&amp;T</v>
      </c>
      <c r="BW36" s="46">
        <f t="shared" si="13"/>
        <v>20000</v>
      </c>
      <c r="BX36" s="47">
        <f t="shared" ref="BX36:CA36" si="148">AX36-$BU36</f>
        <v>-1000</v>
      </c>
      <c r="BY36" s="47">
        <f t="shared" si="148"/>
        <v>-1000</v>
      </c>
      <c r="BZ36" s="47">
        <f t="shared" si="148"/>
        <v>-1000</v>
      </c>
      <c r="CA36" s="47">
        <f t="shared" si="148"/>
        <v>-1000</v>
      </c>
      <c r="CB36" s="47">
        <f t="shared" si="15"/>
        <v>10000</v>
      </c>
      <c r="CC36" s="47">
        <f t="shared" ref="CC36:CQ36" si="149">BC36-$BU36</f>
        <v>-1000</v>
      </c>
      <c r="CD36" s="47">
        <f t="shared" si="149"/>
        <v>-1000</v>
      </c>
      <c r="CE36" s="47">
        <f t="shared" si="149"/>
        <v>-1000</v>
      </c>
      <c r="CF36" s="47">
        <f t="shared" si="149"/>
        <v>-1000</v>
      </c>
      <c r="CG36" s="47">
        <f t="shared" si="149"/>
        <v>-1000</v>
      </c>
      <c r="CH36" s="47">
        <f t="shared" si="149"/>
        <v>-1000</v>
      </c>
      <c r="CI36" s="47">
        <f t="shared" si="149"/>
        <v>-1000</v>
      </c>
      <c r="CJ36" s="47">
        <f t="shared" si="149"/>
        <v>-1000</v>
      </c>
      <c r="CK36" s="47">
        <f t="shared" si="149"/>
        <v>-1000</v>
      </c>
      <c r="CL36" s="47">
        <f t="shared" si="149"/>
        <v>-1000</v>
      </c>
      <c r="CM36" s="47">
        <f t="shared" si="149"/>
        <v>-1000</v>
      </c>
      <c r="CN36" s="47">
        <f t="shared" si="149"/>
        <v>-1000</v>
      </c>
      <c r="CO36" s="47">
        <f t="shared" si="149"/>
        <v>-1000</v>
      </c>
      <c r="CP36" s="47">
        <f t="shared" si="149"/>
        <v>-1000</v>
      </c>
      <c r="CQ36" s="47">
        <f t="shared" si="149"/>
        <v>-1000</v>
      </c>
      <c r="CR36" s="47"/>
      <c r="CS36" s="47"/>
      <c r="CT36" s="47"/>
      <c r="CU36" s="50" t="str">
        <f>IFERROR(__xludf.DUMMYFUNCTION("""COMPUTED_VALUE"""),"4514 Cole Ave
Dallas, TX 75205          ")</f>
        <v>4514 Cole Ave
Dallas, TX 75205          </v>
      </c>
      <c r="CV36" s="51">
        <f>IFERROR(__xludf.DUMMYFUNCTION("IF(REGEXMATCH(UPPER(CU36), ""TX""),0,1)"),0.0)</f>
        <v>0</v>
      </c>
      <c r="CW36" s="51">
        <f>IFERROR(__xludf.DUMMYFUNCTION("IF(REGEXMATCH(UPPER(CU36), ""DALLAS""),0,1)"),0.0)</f>
        <v>0</v>
      </c>
      <c r="CX36" s="51">
        <f t="shared" si="17"/>
        <v>0</v>
      </c>
      <c r="CY36" s="51">
        <f t="shared" si="18"/>
        <v>0</v>
      </c>
      <c r="CZ36" s="52" t="str">
        <f t="shared" si="19"/>
        <v/>
      </c>
      <c r="DA36" s="53" t="str">
        <f>IFERROR(__xludf.DUMMYFUNCTION("""COMPUTED_VALUE"""),"4713 Clydesdale Dr.
Flower Mound, TX 75028         ")</f>
        <v>4713 Clydesdale Dr.
Flower Mound, TX 75028         </v>
      </c>
      <c r="DB36" s="52">
        <f t="shared" ref="DB36:DU36" si="150">SUMIFS($AJ:$AJ,$X:$X,$DA36,$AK:$AK,DB$2)</f>
        <v>500</v>
      </c>
      <c r="DC36" s="52">
        <f t="shared" si="150"/>
        <v>0</v>
      </c>
      <c r="DD36" s="52">
        <f t="shared" si="150"/>
        <v>0</v>
      </c>
      <c r="DE36" s="52">
        <f t="shared" si="150"/>
        <v>0</v>
      </c>
      <c r="DF36" s="52">
        <f t="shared" si="150"/>
        <v>0</v>
      </c>
      <c r="DG36" s="52">
        <f t="shared" si="150"/>
        <v>0</v>
      </c>
      <c r="DH36" s="52">
        <f t="shared" si="150"/>
        <v>0</v>
      </c>
      <c r="DI36" s="52">
        <f t="shared" si="150"/>
        <v>0</v>
      </c>
      <c r="DJ36" s="52">
        <f t="shared" si="150"/>
        <v>0</v>
      </c>
      <c r="DK36" s="52">
        <f t="shared" si="150"/>
        <v>0</v>
      </c>
      <c r="DL36" s="52">
        <f t="shared" si="150"/>
        <v>0</v>
      </c>
      <c r="DM36" s="52">
        <f t="shared" si="150"/>
        <v>0</v>
      </c>
      <c r="DN36" s="52">
        <f t="shared" si="150"/>
        <v>0</v>
      </c>
      <c r="DO36" s="52">
        <f t="shared" si="150"/>
        <v>0</v>
      </c>
      <c r="DP36" s="52">
        <f t="shared" si="150"/>
        <v>0</v>
      </c>
      <c r="DQ36" s="52">
        <f t="shared" si="150"/>
        <v>0</v>
      </c>
      <c r="DR36" s="52">
        <f t="shared" si="150"/>
        <v>0</v>
      </c>
      <c r="DS36" s="52">
        <f t="shared" si="150"/>
        <v>0</v>
      </c>
      <c r="DT36" s="52">
        <f t="shared" si="150"/>
        <v>0</v>
      </c>
      <c r="DU36" s="52">
        <f t="shared" si="150"/>
        <v>0</v>
      </c>
      <c r="DV36" s="52">
        <f t="shared" si="21"/>
        <v>500</v>
      </c>
      <c r="DW36" s="52">
        <f t="shared" si="22"/>
        <v>1</v>
      </c>
    </row>
    <row r="37">
      <c r="A37" s="40" t="s">
        <v>55</v>
      </c>
      <c r="B37" s="41" t="s">
        <v>56</v>
      </c>
      <c r="C37" s="31" t="s">
        <v>141</v>
      </c>
      <c r="D37" s="25" t="str">
        <f>IFERROR(__xludf.DUMMYFUNCTION("SPLIT(C37,"" "")"),"Alcantar,")</f>
        <v>Alcantar,</v>
      </c>
      <c r="E37" s="40" t="str">
        <f>IFERROR(__xludf.DUMMYFUNCTION("""COMPUTED_VALUE"""),"Joe
7304")</f>
        <v>Joe
7304</v>
      </c>
      <c r="F37" s="40" t="str">
        <f>IFERROR(__xludf.DUMMYFUNCTION("""COMPUTED_VALUE"""),"Lane")</f>
        <v>Lane</v>
      </c>
      <c r="G37" s="40" t="str">
        <f>IFERROR(__xludf.DUMMYFUNCTION("""COMPUTED_VALUE"""),"Park")</f>
        <v>Park</v>
      </c>
      <c r="H37" s="40" t="str">
        <f>IFERROR(__xludf.DUMMYFUNCTION("""COMPUTED_VALUE"""),"Ct
Dallas,")</f>
        <v>Ct
Dallas,</v>
      </c>
      <c r="I37" s="40" t="str">
        <f>IFERROR(__xludf.DUMMYFUNCTION("""COMPUTED_VALUE"""),"TX")</f>
        <v>TX</v>
      </c>
      <c r="J37" s="40">
        <f>IFERROR(__xludf.DUMMYFUNCTION("""COMPUTED_VALUE"""),75225.0)</f>
        <v>75225</v>
      </c>
      <c r="K37" s="40"/>
      <c r="L37" s="40"/>
      <c r="M37" s="40"/>
      <c r="N37" s="40"/>
      <c r="O37" s="40"/>
      <c r="P37" s="40"/>
      <c r="Q37" s="40"/>
      <c r="R37" s="40"/>
      <c r="S37" s="40"/>
      <c r="T37" s="40"/>
      <c r="U37" s="24" t="str">
        <f>IFERROR(__xludf.DUMMYFUNCTION("SPLIT(E37,""01234567890"")"),"Joe
")</f>
        <v>Joe
</v>
      </c>
      <c r="V37" s="24" t="str">
        <f>IFERROR(__xludf.DUMMYFUNCTION("SPLIT(D37,"","")"),"Alcantar")</f>
        <v>Alcantar</v>
      </c>
      <c r="W37" s="25" t="str">
        <f t="shared" si="1"/>
        <v>JOE
 ALCANTAR</v>
      </c>
      <c r="X37" s="25" t="s">
        <v>142</v>
      </c>
      <c r="Y37" s="25">
        <v>75225.0</v>
      </c>
      <c r="Z37" s="25" t="str">
        <f>IFERROR(__xludf.DUMMYFUNCTION("SPLIT(C37,""
"")"),"Alcantar, Joe")</f>
        <v>Alcantar, Joe</v>
      </c>
      <c r="AA37" s="25" t="str">
        <f>IFERROR(__xludf.DUMMYFUNCTION("""COMPUTED_VALUE"""),"7304 Lane Park Ct")</f>
        <v>7304 Lane Park Ct</v>
      </c>
      <c r="AB37" s="25" t="str">
        <f>IFERROR(__xludf.DUMMYFUNCTION("""COMPUTED_VALUE"""),"Dallas, TX 75225")</f>
        <v>Dallas, TX 75225</v>
      </c>
      <c r="AC37" s="24" t="s">
        <v>138</v>
      </c>
      <c r="AD37" s="25"/>
      <c r="AE37" s="25"/>
      <c r="AF37" s="25"/>
      <c r="AG37" s="40" t="s">
        <v>60</v>
      </c>
      <c r="AH37" s="42">
        <v>2448.0</v>
      </c>
      <c r="AI37" s="40" t="s">
        <v>61</v>
      </c>
      <c r="AJ37" s="27">
        <v>500.0</v>
      </c>
      <c r="AK37" s="31" t="s">
        <v>24</v>
      </c>
      <c r="AL37" s="43">
        <v>44673.0</v>
      </c>
      <c r="AM37" s="44">
        <v>44757.44018518519</v>
      </c>
      <c r="AN37" s="30">
        <v>2.0</v>
      </c>
      <c r="AO37" s="40"/>
      <c r="AP37" s="40"/>
      <c r="AQ37" s="40"/>
      <c r="AR37" s="40"/>
      <c r="AS37" s="31">
        <f>IFERROR(__xludf.DUMMYFUNCTION("""COMPUTED_VALUE"""),75070.0)</f>
        <v>75070</v>
      </c>
      <c r="AT37" s="45">
        <f t="shared" si="6"/>
        <v>4000</v>
      </c>
      <c r="AU37" s="40"/>
      <c r="AV37" s="46" t="str">
        <f>IFERROR(__xludf.DUMMYFUNCTION("""COMPUTED_VALUE"""),"Attlee")</f>
        <v>Attlee</v>
      </c>
      <c r="AW37" s="46">
        <f t="shared" si="7"/>
        <v>4000</v>
      </c>
      <c r="AX37" s="47">
        <f t="shared" ref="AX37:BQ37" si="151">SUMIFS($AJ:$AJ,$V:$V,$AV37,$AK:$AK,AX$2)</f>
        <v>4000</v>
      </c>
      <c r="AY37" s="48">
        <f t="shared" si="151"/>
        <v>0</v>
      </c>
      <c r="AZ37" s="48">
        <f t="shared" si="151"/>
        <v>0</v>
      </c>
      <c r="BA37" s="48">
        <f t="shared" si="151"/>
        <v>0</v>
      </c>
      <c r="BB37" s="48">
        <f t="shared" si="151"/>
        <v>0</v>
      </c>
      <c r="BC37" s="48">
        <f t="shared" si="151"/>
        <v>0</v>
      </c>
      <c r="BD37" s="48">
        <f t="shared" si="151"/>
        <v>0</v>
      </c>
      <c r="BE37" s="48">
        <f t="shared" si="151"/>
        <v>0</v>
      </c>
      <c r="BF37" s="48">
        <f t="shared" si="151"/>
        <v>0</v>
      </c>
      <c r="BG37" s="48">
        <f t="shared" si="151"/>
        <v>0</v>
      </c>
      <c r="BH37" s="48">
        <f t="shared" si="151"/>
        <v>0</v>
      </c>
      <c r="BI37" s="48">
        <f t="shared" si="151"/>
        <v>0</v>
      </c>
      <c r="BJ37" s="48">
        <f t="shared" si="151"/>
        <v>0</v>
      </c>
      <c r="BK37" s="48">
        <f t="shared" si="151"/>
        <v>0</v>
      </c>
      <c r="BL37" s="48">
        <f t="shared" si="151"/>
        <v>0</v>
      </c>
      <c r="BM37" s="48">
        <f t="shared" si="151"/>
        <v>0</v>
      </c>
      <c r="BN37" s="48">
        <f t="shared" si="151"/>
        <v>0</v>
      </c>
      <c r="BO37" s="48">
        <f t="shared" si="151"/>
        <v>0</v>
      </c>
      <c r="BP37" s="48">
        <f t="shared" si="151"/>
        <v>0</v>
      </c>
      <c r="BQ37" s="48">
        <f t="shared" si="151"/>
        <v>0</v>
      </c>
      <c r="BR37" s="36">
        <f t="shared" si="9"/>
        <v>1</v>
      </c>
      <c r="BS37" s="38">
        <f t="shared" si="10"/>
        <v>2</v>
      </c>
      <c r="BT37" s="49">
        <f t="shared" si="11"/>
        <v>0</v>
      </c>
      <c r="BU37" s="38">
        <f t="shared" si="12"/>
        <v>2000</v>
      </c>
      <c r="BV37" s="46" t="str">
        <f>IFERROR(__xludf.DUMMYFUNCTION("""COMPUTED_VALUE"""),"Attlee")</f>
        <v>Attlee</v>
      </c>
      <c r="BW37" s="46">
        <f t="shared" si="13"/>
        <v>4000</v>
      </c>
      <c r="BX37" s="47">
        <f t="shared" ref="BX37:CA37" si="152">AX37-$BU37</f>
        <v>2000</v>
      </c>
      <c r="BY37" s="47">
        <f t="shared" si="152"/>
        <v>-2000</v>
      </c>
      <c r="BZ37" s="47">
        <f t="shared" si="152"/>
        <v>-2000</v>
      </c>
      <c r="CA37" s="47">
        <f t="shared" si="152"/>
        <v>-2000</v>
      </c>
      <c r="CB37" s="47">
        <f t="shared" si="15"/>
        <v>-20000</v>
      </c>
      <c r="CC37" s="47">
        <f t="shared" ref="CC37:CQ37" si="153">BC37-$BU37</f>
        <v>-2000</v>
      </c>
      <c r="CD37" s="47">
        <f t="shared" si="153"/>
        <v>-2000</v>
      </c>
      <c r="CE37" s="47">
        <f t="shared" si="153"/>
        <v>-2000</v>
      </c>
      <c r="CF37" s="47">
        <f t="shared" si="153"/>
        <v>-2000</v>
      </c>
      <c r="CG37" s="47">
        <f t="shared" si="153"/>
        <v>-2000</v>
      </c>
      <c r="CH37" s="47">
        <f t="shared" si="153"/>
        <v>-2000</v>
      </c>
      <c r="CI37" s="47">
        <f t="shared" si="153"/>
        <v>-2000</v>
      </c>
      <c r="CJ37" s="47">
        <f t="shared" si="153"/>
        <v>-2000</v>
      </c>
      <c r="CK37" s="47">
        <f t="shared" si="153"/>
        <v>-2000</v>
      </c>
      <c r="CL37" s="47">
        <f t="shared" si="153"/>
        <v>-2000</v>
      </c>
      <c r="CM37" s="47">
        <f t="shared" si="153"/>
        <v>-2000</v>
      </c>
      <c r="CN37" s="47">
        <f t="shared" si="153"/>
        <v>-2000</v>
      </c>
      <c r="CO37" s="47">
        <f t="shared" si="153"/>
        <v>-2000</v>
      </c>
      <c r="CP37" s="47">
        <f t="shared" si="153"/>
        <v>-2000</v>
      </c>
      <c r="CQ37" s="47">
        <f t="shared" si="153"/>
        <v>-2000</v>
      </c>
      <c r="CR37" s="47"/>
      <c r="CS37" s="47"/>
      <c r="CT37" s="47"/>
      <c r="CU37" s="50" t="str">
        <f>IFERROR(__xludf.DUMMYFUNCTION("""COMPUTED_VALUE"""),"318 S. Waverly Dr.
Dallas, TX 75208         ")</f>
        <v>318 S. Waverly Dr.
Dallas, TX 75208         </v>
      </c>
      <c r="CV37" s="51">
        <f>IFERROR(__xludf.DUMMYFUNCTION("IF(REGEXMATCH(UPPER(CU37), ""TX""),0,1)"),0.0)</f>
        <v>0</v>
      </c>
      <c r="CW37" s="51">
        <f>IFERROR(__xludf.DUMMYFUNCTION("IF(REGEXMATCH(UPPER(CU37), ""DALLAS""),0,1)"),0.0)</f>
        <v>0</v>
      </c>
      <c r="CX37" s="51">
        <f t="shared" si="17"/>
        <v>0</v>
      </c>
      <c r="CY37" s="51">
        <f t="shared" si="18"/>
        <v>0</v>
      </c>
      <c r="CZ37" s="52" t="str">
        <f t="shared" si="19"/>
        <v/>
      </c>
      <c r="DA37" s="53" t="str">
        <f>IFERROR(__xludf.DUMMYFUNCTION("""COMPUTED_VALUE"""),"1860 Masters Dr.
Desoto, TX 75115          ")</f>
        <v>1860 Masters Dr.
Desoto, TX 75115          </v>
      </c>
      <c r="DB37" s="52">
        <f t="shared" ref="DB37:DU37" si="154">SUMIFS($AJ:$AJ,$X:$X,$DA37,$AK:$AK,DB$2)</f>
        <v>1000</v>
      </c>
      <c r="DC37" s="52">
        <f t="shared" si="154"/>
        <v>0</v>
      </c>
      <c r="DD37" s="52">
        <f t="shared" si="154"/>
        <v>0</v>
      </c>
      <c r="DE37" s="52">
        <f t="shared" si="154"/>
        <v>0</v>
      </c>
      <c r="DF37" s="52">
        <f t="shared" si="154"/>
        <v>0</v>
      </c>
      <c r="DG37" s="52">
        <f t="shared" si="154"/>
        <v>0</v>
      </c>
      <c r="DH37" s="52">
        <f t="shared" si="154"/>
        <v>0</v>
      </c>
      <c r="DI37" s="52">
        <f t="shared" si="154"/>
        <v>0</v>
      </c>
      <c r="DJ37" s="52">
        <f t="shared" si="154"/>
        <v>0</v>
      </c>
      <c r="DK37" s="52">
        <f t="shared" si="154"/>
        <v>0</v>
      </c>
      <c r="DL37" s="52">
        <f t="shared" si="154"/>
        <v>0</v>
      </c>
      <c r="DM37" s="52">
        <f t="shared" si="154"/>
        <v>0</v>
      </c>
      <c r="DN37" s="52">
        <f t="shared" si="154"/>
        <v>0</v>
      </c>
      <c r="DO37" s="52">
        <f t="shared" si="154"/>
        <v>0</v>
      </c>
      <c r="DP37" s="52">
        <f t="shared" si="154"/>
        <v>0</v>
      </c>
      <c r="DQ37" s="52">
        <f t="shared" si="154"/>
        <v>0</v>
      </c>
      <c r="DR37" s="52">
        <f t="shared" si="154"/>
        <v>0</v>
      </c>
      <c r="DS37" s="52">
        <f t="shared" si="154"/>
        <v>0</v>
      </c>
      <c r="DT37" s="52">
        <f t="shared" si="154"/>
        <v>0</v>
      </c>
      <c r="DU37" s="52">
        <f t="shared" si="154"/>
        <v>0</v>
      </c>
      <c r="DV37" s="52">
        <f t="shared" si="21"/>
        <v>1000</v>
      </c>
      <c r="DW37" s="52">
        <f t="shared" si="22"/>
        <v>1</v>
      </c>
    </row>
    <row r="38">
      <c r="A38" s="23" t="s">
        <v>64</v>
      </c>
      <c r="B38" s="23" t="s">
        <v>56</v>
      </c>
      <c r="C38" s="31" t="s">
        <v>143</v>
      </c>
      <c r="D38" s="25" t="str">
        <f>IFERROR(__xludf.DUMMYFUNCTION("SPLIT(C38,"" "")"),"Aldredge,")</f>
        <v>Aldredge,</v>
      </c>
      <c r="E38" s="22" t="str">
        <f>IFERROR(__xludf.DUMMYFUNCTION("""COMPUTED_VALUE"""),"Chris
7014")</f>
        <v>Chris
7014</v>
      </c>
      <c r="F38" s="22" t="str">
        <f>IFERROR(__xludf.DUMMYFUNCTION("""COMPUTED_VALUE"""),"Preston")</f>
        <v>Preston</v>
      </c>
      <c r="G38" s="22" t="str">
        <f>IFERROR(__xludf.DUMMYFUNCTION("""COMPUTED_VALUE"""),"Grove
Dallas,")</f>
        <v>Grove
Dallas,</v>
      </c>
      <c r="H38" s="22" t="str">
        <f>IFERROR(__xludf.DUMMYFUNCTION("""COMPUTED_VALUE"""),"TX")</f>
        <v>TX</v>
      </c>
      <c r="I38" s="22">
        <f>IFERROR(__xludf.DUMMYFUNCTION("""COMPUTED_VALUE"""),75230.0)</f>
        <v>75230</v>
      </c>
      <c r="J38" s="22"/>
      <c r="K38" s="22"/>
      <c r="L38" s="22"/>
      <c r="M38" s="22"/>
      <c r="N38" s="22"/>
      <c r="O38" s="22"/>
      <c r="P38" s="22"/>
      <c r="Q38" s="22"/>
      <c r="R38" s="22"/>
      <c r="S38" s="22"/>
      <c r="T38" s="22"/>
      <c r="U38" s="24" t="str">
        <f>IFERROR(__xludf.DUMMYFUNCTION("SPLIT(E38,""01234567890"")"),"Chris
")</f>
        <v>Chris
</v>
      </c>
      <c r="V38" s="24" t="str">
        <f>IFERROR(__xludf.DUMMYFUNCTION("SPLIT(D38,"","")"),"Aldredge")</f>
        <v>Aldredge</v>
      </c>
      <c r="W38" s="25" t="str">
        <f t="shared" si="1"/>
        <v>CHRIS
 ALDREDGE</v>
      </c>
      <c r="X38" s="25" t="s">
        <v>144</v>
      </c>
      <c r="Y38" s="25">
        <v>75230.0</v>
      </c>
      <c r="Z38" s="25" t="str">
        <f>IFERROR(__xludf.DUMMYFUNCTION("SPLIT(C38,""
"")"),"Aldredge, Chris")</f>
        <v>Aldredge, Chris</v>
      </c>
      <c r="AA38" s="25" t="str">
        <f>IFERROR(__xludf.DUMMYFUNCTION("""COMPUTED_VALUE"""),"7014 Preston Grove")</f>
        <v>7014 Preston Grove</v>
      </c>
      <c r="AB38" s="25" t="str">
        <f>IFERROR(__xludf.DUMMYFUNCTION("""COMPUTED_VALUE"""),"Dallas, TX 75230")</f>
        <v>Dallas, TX 75230</v>
      </c>
      <c r="AC38" s="24" t="s">
        <v>145</v>
      </c>
      <c r="AD38" s="25"/>
      <c r="AE38" s="25"/>
      <c r="AF38" s="25"/>
      <c r="AG38" s="22" t="s">
        <v>60</v>
      </c>
      <c r="AH38" s="54">
        <v>2477.0</v>
      </c>
      <c r="AI38" s="22" t="s">
        <v>68</v>
      </c>
      <c r="AJ38" s="27">
        <v>50.0</v>
      </c>
      <c r="AK38" s="31" t="s">
        <v>26</v>
      </c>
      <c r="AL38" s="28">
        <v>44884.0</v>
      </c>
      <c r="AM38" s="29">
        <v>44940.42346064815</v>
      </c>
      <c r="AN38" s="30">
        <v>2.0</v>
      </c>
      <c r="AO38" s="22"/>
      <c r="AP38" s="22"/>
      <c r="AQ38" s="22"/>
      <c r="AR38" s="22"/>
      <c r="AS38" s="31">
        <f>IFERROR(__xludf.DUMMYFUNCTION("""COMPUTED_VALUE"""),75228.0)</f>
        <v>75228</v>
      </c>
      <c r="AT38" s="45">
        <f t="shared" si="6"/>
        <v>1800</v>
      </c>
      <c r="AU38" s="22"/>
      <c r="AV38" s="57" t="str">
        <f>IFERROR(__xludf.DUMMYFUNCTION("""COMPUTED_VALUE"""),"Aukeman")</f>
        <v>Aukeman</v>
      </c>
      <c r="AW38" s="46">
        <f t="shared" si="7"/>
        <v>200</v>
      </c>
      <c r="AX38" s="47">
        <f t="shared" ref="AX38:BQ38" si="155">SUMIFS($AJ:$AJ,$V:$V,$AV38,$AK:$AK,AX$2)</f>
        <v>200</v>
      </c>
      <c r="AY38" s="48">
        <f t="shared" si="155"/>
        <v>0</v>
      </c>
      <c r="AZ38" s="48">
        <f t="shared" si="155"/>
        <v>0</v>
      </c>
      <c r="BA38" s="48">
        <f t="shared" si="155"/>
        <v>0</v>
      </c>
      <c r="BB38" s="48">
        <f t="shared" si="155"/>
        <v>0</v>
      </c>
      <c r="BC38" s="48">
        <f t="shared" si="155"/>
        <v>0</v>
      </c>
      <c r="BD38" s="48">
        <f t="shared" si="155"/>
        <v>0</v>
      </c>
      <c r="BE38" s="48">
        <f t="shared" si="155"/>
        <v>0</v>
      </c>
      <c r="BF38" s="48">
        <f t="shared" si="155"/>
        <v>0</v>
      </c>
      <c r="BG38" s="48">
        <f t="shared" si="155"/>
        <v>0</v>
      </c>
      <c r="BH38" s="48">
        <f t="shared" si="155"/>
        <v>0</v>
      </c>
      <c r="BI38" s="48">
        <f t="shared" si="155"/>
        <v>0</v>
      </c>
      <c r="BJ38" s="48">
        <f t="shared" si="155"/>
        <v>0</v>
      </c>
      <c r="BK38" s="48">
        <f t="shared" si="155"/>
        <v>0</v>
      </c>
      <c r="BL38" s="48">
        <f t="shared" si="155"/>
        <v>0</v>
      </c>
      <c r="BM38" s="48">
        <f t="shared" si="155"/>
        <v>0</v>
      </c>
      <c r="BN38" s="48">
        <f t="shared" si="155"/>
        <v>0</v>
      </c>
      <c r="BO38" s="48">
        <f t="shared" si="155"/>
        <v>0</v>
      </c>
      <c r="BP38" s="48">
        <f t="shared" si="155"/>
        <v>0</v>
      </c>
      <c r="BQ38" s="48">
        <f t="shared" si="155"/>
        <v>0</v>
      </c>
      <c r="BR38" s="36">
        <f t="shared" si="9"/>
        <v>0</v>
      </c>
      <c r="BS38" s="38">
        <f t="shared" si="10"/>
        <v>1</v>
      </c>
      <c r="BT38" s="49">
        <f t="shared" si="11"/>
        <v>0</v>
      </c>
      <c r="BU38" s="38">
        <f t="shared" si="12"/>
        <v>1000</v>
      </c>
      <c r="BV38" s="57" t="str">
        <f>IFERROR(__xludf.DUMMYFUNCTION("""COMPUTED_VALUE"""),"Aukeman")</f>
        <v>Aukeman</v>
      </c>
      <c r="BW38" s="46">
        <f t="shared" si="13"/>
        <v>200</v>
      </c>
      <c r="BX38" s="47">
        <f t="shared" ref="BX38:CA38" si="156">AX38-$BU38</f>
        <v>-800</v>
      </c>
      <c r="BY38" s="47">
        <f t="shared" si="156"/>
        <v>-1000</v>
      </c>
      <c r="BZ38" s="47">
        <f t="shared" si="156"/>
        <v>-1000</v>
      </c>
      <c r="CA38" s="47">
        <f t="shared" si="156"/>
        <v>-1000</v>
      </c>
      <c r="CB38" s="47">
        <f t="shared" si="15"/>
        <v>-10000</v>
      </c>
      <c r="CC38" s="47">
        <f t="shared" ref="CC38:CQ38" si="157">BC38-$BU38</f>
        <v>-1000</v>
      </c>
      <c r="CD38" s="47">
        <f t="shared" si="157"/>
        <v>-1000</v>
      </c>
      <c r="CE38" s="47">
        <f t="shared" si="157"/>
        <v>-1000</v>
      </c>
      <c r="CF38" s="47">
        <f t="shared" si="157"/>
        <v>-1000</v>
      </c>
      <c r="CG38" s="47">
        <f t="shared" si="157"/>
        <v>-1000</v>
      </c>
      <c r="CH38" s="47">
        <f t="shared" si="157"/>
        <v>-1000</v>
      </c>
      <c r="CI38" s="47">
        <f t="shared" si="157"/>
        <v>-1000</v>
      </c>
      <c r="CJ38" s="47">
        <f t="shared" si="157"/>
        <v>-1000</v>
      </c>
      <c r="CK38" s="47">
        <f t="shared" si="157"/>
        <v>-1000</v>
      </c>
      <c r="CL38" s="47">
        <f t="shared" si="157"/>
        <v>-1000</v>
      </c>
      <c r="CM38" s="47">
        <f t="shared" si="157"/>
        <v>-1000</v>
      </c>
      <c r="CN38" s="47">
        <f t="shared" si="157"/>
        <v>-1000</v>
      </c>
      <c r="CO38" s="47">
        <f t="shared" si="157"/>
        <v>-1000</v>
      </c>
      <c r="CP38" s="47">
        <f t="shared" si="157"/>
        <v>-1000</v>
      </c>
      <c r="CQ38" s="47">
        <f t="shared" si="157"/>
        <v>-1000</v>
      </c>
      <c r="CR38" s="47"/>
      <c r="CS38" s="47"/>
      <c r="CT38" s="47"/>
      <c r="CU38" s="50" t="str">
        <f>IFERROR(__xludf.DUMMYFUNCTION("""COMPUTED_VALUE"""),"airlines PAC
1200 17th St NW
Washington, DC 20036        ")</f>
        <v>airlines PAC
1200 17th St NW
Washington, DC 20036        </v>
      </c>
      <c r="CV38" s="51">
        <f>IFERROR(__xludf.DUMMYFUNCTION("IF(REGEXMATCH(UPPER(CU38), ""TX""),0,1)"),1.0)</f>
        <v>1</v>
      </c>
      <c r="CW38" s="51">
        <f>IFERROR(__xludf.DUMMYFUNCTION("IF(REGEXMATCH(UPPER(CU38), ""DALLAS""),0,1)"),1.0)</f>
        <v>1</v>
      </c>
      <c r="CX38" s="51">
        <f t="shared" si="17"/>
        <v>2500</v>
      </c>
      <c r="CY38" s="51">
        <f t="shared" si="18"/>
        <v>2500</v>
      </c>
      <c r="CZ38" s="52" t="str">
        <f t="shared" si="19"/>
        <v>airlines PAC
1200 17th St NW
Washington, DC 20036        </v>
      </c>
      <c r="DA38" s="53" t="str">
        <f>IFERROR(__xludf.DUMMYFUNCTION("""COMPUTED_VALUE"""),"300 E. Round Grove Rd.
Lewisville, TX 75067        ")</f>
        <v>300 E. Round Grove Rd.
Lewisville, TX 75067        </v>
      </c>
      <c r="DB38" s="52">
        <f t="shared" ref="DB38:DU38" si="158">SUMIFS($AJ:$AJ,$X:$X,$DA38,$AK:$AK,DB$2)</f>
        <v>950</v>
      </c>
      <c r="DC38" s="52">
        <f t="shared" si="158"/>
        <v>0</v>
      </c>
      <c r="DD38" s="52">
        <f t="shared" si="158"/>
        <v>0</v>
      </c>
      <c r="DE38" s="52">
        <f t="shared" si="158"/>
        <v>0</v>
      </c>
      <c r="DF38" s="52">
        <f t="shared" si="158"/>
        <v>0</v>
      </c>
      <c r="DG38" s="52">
        <f t="shared" si="158"/>
        <v>0</v>
      </c>
      <c r="DH38" s="52">
        <f t="shared" si="158"/>
        <v>0</v>
      </c>
      <c r="DI38" s="52">
        <f t="shared" si="158"/>
        <v>0</v>
      </c>
      <c r="DJ38" s="52">
        <f t="shared" si="158"/>
        <v>0</v>
      </c>
      <c r="DK38" s="52">
        <f t="shared" si="158"/>
        <v>0</v>
      </c>
      <c r="DL38" s="52">
        <f t="shared" si="158"/>
        <v>0</v>
      </c>
      <c r="DM38" s="52">
        <f t="shared" si="158"/>
        <v>0</v>
      </c>
      <c r="DN38" s="52">
        <f t="shared" si="158"/>
        <v>0</v>
      </c>
      <c r="DO38" s="52">
        <f t="shared" si="158"/>
        <v>0</v>
      </c>
      <c r="DP38" s="52">
        <f t="shared" si="158"/>
        <v>0</v>
      </c>
      <c r="DQ38" s="52">
        <f t="shared" si="158"/>
        <v>0</v>
      </c>
      <c r="DR38" s="52">
        <f t="shared" si="158"/>
        <v>0</v>
      </c>
      <c r="DS38" s="52">
        <f t="shared" si="158"/>
        <v>0</v>
      </c>
      <c r="DT38" s="52">
        <f t="shared" si="158"/>
        <v>0</v>
      </c>
      <c r="DU38" s="52">
        <f t="shared" si="158"/>
        <v>0</v>
      </c>
      <c r="DV38" s="52">
        <f t="shared" si="21"/>
        <v>950</v>
      </c>
      <c r="DW38" s="52">
        <f t="shared" si="22"/>
        <v>1</v>
      </c>
    </row>
    <row r="39">
      <c r="A39" s="41" t="s">
        <v>64</v>
      </c>
      <c r="B39" s="41" t="s">
        <v>56</v>
      </c>
      <c r="C39" s="31" t="s">
        <v>146</v>
      </c>
      <c r="D39" s="25" t="str">
        <f>IFERROR(__xludf.DUMMYFUNCTION("SPLIT(C39,"" "")"),"Aldredge,")</f>
        <v>Aldredge,</v>
      </c>
      <c r="E39" s="40" t="str">
        <f>IFERROR(__xludf.DUMMYFUNCTION("""COMPUTED_VALUE"""),"Cindy
7014")</f>
        <v>Cindy
7014</v>
      </c>
      <c r="F39" s="40" t="str">
        <f>IFERROR(__xludf.DUMMYFUNCTION("""COMPUTED_VALUE"""),"Preston")</f>
        <v>Preston</v>
      </c>
      <c r="G39" s="40" t="str">
        <f>IFERROR(__xludf.DUMMYFUNCTION("""COMPUTED_VALUE"""),"Grove
Dallas,")</f>
        <v>Grove
Dallas,</v>
      </c>
      <c r="H39" s="40" t="str">
        <f>IFERROR(__xludf.DUMMYFUNCTION("""COMPUTED_VALUE"""),"TX")</f>
        <v>TX</v>
      </c>
      <c r="I39" s="40">
        <f>IFERROR(__xludf.DUMMYFUNCTION("""COMPUTED_VALUE"""),75230.0)</f>
        <v>75230</v>
      </c>
      <c r="J39" s="40"/>
      <c r="K39" s="40"/>
      <c r="L39" s="40"/>
      <c r="M39" s="40"/>
      <c r="N39" s="40"/>
      <c r="O39" s="40"/>
      <c r="P39" s="40"/>
      <c r="Q39" s="40"/>
      <c r="R39" s="40"/>
      <c r="S39" s="40"/>
      <c r="T39" s="40"/>
      <c r="U39" s="24" t="str">
        <f>IFERROR(__xludf.DUMMYFUNCTION("SPLIT(E39,""01234567890"")"),"Cindy
")</f>
        <v>Cindy
</v>
      </c>
      <c r="V39" s="24" t="str">
        <f>IFERROR(__xludf.DUMMYFUNCTION("SPLIT(D39,"","")"),"Aldredge")</f>
        <v>Aldredge</v>
      </c>
      <c r="W39" s="25" t="str">
        <f t="shared" si="1"/>
        <v>CINDY
 ALDREDGE</v>
      </c>
      <c r="X39" s="25" t="s">
        <v>144</v>
      </c>
      <c r="Y39" s="25">
        <v>75230.0</v>
      </c>
      <c r="Z39" s="25" t="str">
        <f>IFERROR(__xludf.DUMMYFUNCTION("SPLIT(C39,""
"")"),"Aldredge, Cindy")</f>
        <v>Aldredge, Cindy</v>
      </c>
      <c r="AA39" s="25" t="str">
        <f>IFERROR(__xludf.DUMMYFUNCTION("""COMPUTED_VALUE"""),"7014 Preston Grove")</f>
        <v>7014 Preston Grove</v>
      </c>
      <c r="AB39" s="25" t="str">
        <f>IFERROR(__xludf.DUMMYFUNCTION("""COMPUTED_VALUE"""),"Dallas, TX 75230")</f>
        <v>Dallas, TX 75230</v>
      </c>
      <c r="AC39" s="24" t="s">
        <v>147</v>
      </c>
      <c r="AD39" s="25"/>
      <c r="AE39" s="25"/>
      <c r="AF39" s="25"/>
      <c r="AG39" s="40" t="s">
        <v>60</v>
      </c>
      <c r="AH39" s="42">
        <v>2477.0</v>
      </c>
      <c r="AI39" s="40" t="s">
        <v>68</v>
      </c>
      <c r="AJ39" s="27">
        <v>50.0</v>
      </c>
      <c r="AK39" s="31" t="s">
        <v>26</v>
      </c>
      <c r="AL39" s="43">
        <v>44884.0</v>
      </c>
      <c r="AM39" s="44">
        <v>44940.42346064815</v>
      </c>
      <c r="AN39" s="30">
        <v>2.0</v>
      </c>
      <c r="AO39" s="40"/>
      <c r="AP39" s="40"/>
      <c r="AQ39" s="40"/>
      <c r="AR39" s="40"/>
      <c r="AS39" s="31">
        <f>IFERROR(__xludf.DUMMYFUNCTION("""COMPUTED_VALUE"""),75220.0)</f>
        <v>75220</v>
      </c>
      <c r="AT39" s="45">
        <f t="shared" si="6"/>
        <v>25885</v>
      </c>
      <c r="AU39" s="40"/>
      <c r="AV39" s="46" t="str">
        <f>IFERROR(__xludf.DUMMYFUNCTION("""COMPUTED_VALUE"""),"Ayala")</f>
        <v>Ayala</v>
      </c>
      <c r="AW39" s="46">
        <f t="shared" si="7"/>
        <v>600</v>
      </c>
      <c r="AX39" s="47">
        <f t="shared" ref="AX39:BQ39" si="159">SUMIFS($AJ:$AJ,$V:$V,$AV39,$AK:$AK,AX$2)</f>
        <v>0</v>
      </c>
      <c r="AY39" s="48">
        <f t="shared" si="159"/>
        <v>0</v>
      </c>
      <c r="AZ39" s="48">
        <f t="shared" si="159"/>
        <v>0</v>
      </c>
      <c r="BA39" s="48">
        <f t="shared" si="159"/>
        <v>0</v>
      </c>
      <c r="BB39" s="48">
        <f t="shared" si="159"/>
        <v>600</v>
      </c>
      <c r="BC39" s="48">
        <f t="shared" si="159"/>
        <v>0</v>
      </c>
      <c r="BD39" s="48">
        <f t="shared" si="159"/>
        <v>0</v>
      </c>
      <c r="BE39" s="48">
        <f t="shared" si="159"/>
        <v>0</v>
      </c>
      <c r="BF39" s="48">
        <f t="shared" si="159"/>
        <v>0</v>
      </c>
      <c r="BG39" s="48">
        <f t="shared" si="159"/>
        <v>0</v>
      </c>
      <c r="BH39" s="48">
        <f t="shared" si="159"/>
        <v>0</v>
      </c>
      <c r="BI39" s="48">
        <f t="shared" si="159"/>
        <v>0</v>
      </c>
      <c r="BJ39" s="48">
        <f t="shared" si="159"/>
        <v>0</v>
      </c>
      <c r="BK39" s="48">
        <f t="shared" si="159"/>
        <v>0</v>
      </c>
      <c r="BL39" s="48">
        <f t="shared" si="159"/>
        <v>0</v>
      </c>
      <c r="BM39" s="48">
        <f t="shared" si="159"/>
        <v>0</v>
      </c>
      <c r="BN39" s="48">
        <f t="shared" si="159"/>
        <v>0</v>
      </c>
      <c r="BO39" s="48">
        <f t="shared" si="159"/>
        <v>0</v>
      </c>
      <c r="BP39" s="48">
        <f t="shared" si="159"/>
        <v>0</v>
      </c>
      <c r="BQ39" s="48">
        <f t="shared" si="159"/>
        <v>0</v>
      </c>
      <c r="BR39" s="36">
        <f t="shared" si="9"/>
        <v>0</v>
      </c>
      <c r="BS39" s="38">
        <f t="shared" si="10"/>
        <v>1</v>
      </c>
      <c r="BT39" s="49">
        <f t="shared" si="11"/>
        <v>0</v>
      </c>
      <c r="BU39" s="38">
        <f t="shared" si="12"/>
        <v>1000</v>
      </c>
      <c r="BV39" s="46" t="str">
        <f>IFERROR(__xludf.DUMMYFUNCTION("""COMPUTED_VALUE"""),"Ayala")</f>
        <v>Ayala</v>
      </c>
      <c r="BW39" s="46">
        <f t="shared" si="13"/>
        <v>600</v>
      </c>
      <c r="BX39" s="47">
        <f t="shared" ref="BX39:CA39" si="160">AX39-$BU39</f>
        <v>-1000</v>
      </c>
      <c r="BY39" s="47">
        <f t="shared" si="160"/>
        <v>-1000</v>
      </c>
      <c r="BZ39" s="47">
        <f t="shared" si="160"/>
        <v>-1000</v>
      </c>
      <c r="CA39" s="47">
        <f t="shared" si="160"/>
        <v>-1000</v>
      </c>
      <c r="CB39" s="47">
        <f t="shared" si="15"/>
        <v>-9400</v>
      </c>
      <c r="CC39" s="47">
        <f t="shared" ref="CC39:CQ39" si="161">BC39-$BU39</f>
        <v>-1000</v>
      </c>
      <c r="CD39" s="47">
        <f t="shared" si="161"/>
        <v>-1000</v>
      </c>
      <c r="CE39" s="47">
        <f t="shared" si="161"/>
        <v>-1000</v>
      </c>
      <c r="CF39" s="47">
        <f t="shared" si="161"/>
        <v>-1000</v>
      </c>
      <c r="CG39" s="47">
        <f t="shared" si="161"/>
        <v>-1000</v>
      </c>
      <c r="CH39" s="47">
        <f t="shared" si="161"/>
        <v>-1000</v>
      </c>
      <c r="CI39" s="47">
        <f t="shared" si="161"/>
        <v>-1000</v>
      </c>
      <c r="CJ39" s="47">
        <f t="shared" si="161"/>
        <v>-1000</v>
      </c>
      <c r="CK39" s="47">
        <f t="shared" si="161"/>
        <v>-1000</v>
      </c>
      <c r="CL39" s="47">
        <f t="shared" si="161"/>
        <v>-1000</v>
      </c>
      <c r="CM39" s="47">
        <f t="shared" si="161"/>
        <v>-1000</v>
      </c>
      <c r="CN39" s="47">
        <f t="shared" si="161"/>
        <v>-1000</v>
      </c>
      <c r="CO39" s="47">
        <f t="shared" si="161"/>
        <v>-1000</v>
      </c>
      <c r="CP39" s="47">
        <f t="shared" si="161"/>
        <v>-1000</v>
      </c>
      <c r="CQ39" s="47">
        <f t="shared" si="161"/>
        <v>-1000</v>
      </c>
      <c r="CR39" s="47"/>
      <c r="CS39" s="47"/>
      <c r="CT39" s="47"/>
      <c r="CU39" s="50" t="str">
        <f>IFERROR(__xludf.DUMMYFUNCTION("""COMPUTED_VALUE"""),"airlines PAC
1200 17th Street NW
Washington, DC 20036        ")</f>
        <v>airlines PAC
1200 17th Street NW
Washington, DC 20036        </v>
      </c>
      <c r="CV39" s="51">
        <f>IFERROR(__xludf.DUMMYFUNCTION("IF(REGEXMATCH(UPPER(CU39), ""TX""),0,1)"),1.0)</f>
        <v>1</v>
      </c>
      <c r="CW39" s="51">
        <f>IFERROR(__xludf.DUMMYFUNCTION("IF(REGEXMATCH(UPPER(CU39), ""DALLAS""),0,1)"),1.0)</f>
        <v>1</v>
      </c>
      <c r="CX39" s="51">
        <f t="shared" si="17"/>
        <v>2500</v>
      </c>
      <c r="CY39" s="51">
        <f t="shared" si="18"/>
        <v>2500</v>
      </c>
      <c r="CZ39" s="52" t="str">
        <f t="shared" si="19"/>
        <v>airlines PAC
1200 17th Street NW
Washington, DC 20036        </v>
      </c>
      <c r="DA39" s="53" t="str">
        <f>IFERROR(__xludf.DUMMYFUNCTION("""COMPUTED_VALUE"""),"2310 Broken Point
McKinney, TX 75702          ")</f>
        <v>2310 Broken Point
McKinney, TX 75702          </v>
      </c>
      <c r="DB39" s="52">
        <f t="shared" ref="DB39:DU39" si="162">SUMIFS($AJ:$AJ,$X:$X,$DA39,$AK:$AK,DB$2)</f>
        <v>95</v>
      </c>
      <c r="DC39" s="52">
        <f t="shared" si="162"/>
        <v>0</v>
      </c>
      <c r="DD39" s="52">
        <f t="shared" si="162"/>
        <v>0</v>
      </c>
      <c r="DE39" s="52">
        <f t="shared" si="162"/>
        <v>0</v>
      </c>
      <c r="DF39" s="52">
        <f t="shared" si="162"/>
        <v>0</v>
      </c>
      <c r="DG39" s="52">
        <f t="shared" si="162"/>
        <v>0</v>
      </c>
      <c r="DH39" s="52">
        <f t="shared" si="162"/>
        <v>0</v>
      </c>
      <c r="DI39" s="52">
        <f t="shared" si="162"/>
        <v>0</v>
      </c>
      <c r="DJ39" s="52">
        <f t="shared" si="162"/>
        <v>0</v>
      </c>
      <c r="DK39" s="52">
        <f t="shared" si="162"/>
        <v>0</v>
      </c>
      <c r="DL39" s="52">
        <f t="shared" si="162"/>
        <v>0</v>
      </c>
      <c r="DM39" s="52">
        <f t="shared" si="162"/>
        <v>0</v>
      </c>
      <c r="DN39" s="52">
        <f t="shared" si="162"/>
        <v>0</v>
      </c>
      <c r="DO39" s="52">
        <f t="shared" si="162"/>
        <v>0</v>
      </c>
      <c r="DP39" s="52">
        <f t="shared" si="162"/>
        <v>0</v>
      </c>
      <c r="DQ39" s="52">
        <f t="shared" si="162"/>
        <v>0</v>
      </c>
      <c r="DR39" s="52">
        <f t="shared" si="162"/>
        <v>0</v>
      </c>
      <c r="DS39" s="52">
        <f t="shared" si="162"/>
        <v>0</v>
      </c>
      <c r="DT39" s="52">
        <f t="shared" si="162"/>
        <v>0</v>
      </c>
      <c r="DU39" s="52">
        <f t="shared" si="162"/>
        <v>0</v>
      </c>
      <c r="DV39" s="52">
        <f t="shared" si="21"/>
        <v>95</v>
      </c>
      <c r="DW39" s="52">
        <f t="shared" si="22"/>
        <v>1</v>
      </c>
    </row>
    <row r="40">
      <c r="A40" s="22" t="s">
        <v>55</v>
      </c>
      <c r="B40" s="23" t="s">
        <v>56</v>
      </c>
      <c r="C40" s="31" t="s">
        <v>148</v>
      </c>
      <c r="D40" s="25" t="str">
        <f>IFERROR(__xludf.DUMMYFUNCTION("SPLIT(C40,"" "")"),"Alef,")</f>
        <v>Alef,</v>
      </c>
      <c r="E40" s="22" t="str">
        <f>IFERROR(__xludf.DUMMYFUNCTION("""COMPUTED_VALUE"""),"Brian
6756")</f>
        <v>Brian
6756</v>
      </c>
      <c r="F40" s="22" t="str">
        <f>IFERROR(__xludf.DUMMYFUNCTION("""COMPUTED_VALUE"""),"Inverness")</f>
        <v>Inverness</v>
      </c>
      <c r="G40" s="22" t="str">
        <f>IFERROR(__xludf.DUMMYFUNCTION("""COMPUTED_VALUE"""),"Lane
Dallas,")</f>
        <v>Lane
Dallas,</v>
      </c>
      <c r="H40" s="22" t="str">
        <f>IFERROR(__xludf.DUMMYFUNCTION("""COMPUTED_VALUE"""),"TX")</f>
        <v>TX</v>
      </c>
      <c r="I40" s="22">
        <f>IFERROR(__xludf.DUMMYFUNCTION("""COMPUTED_VALUE"""),75214.0)</f>
        <v>75214</v>
      </c>
      <c r="J40" s="22"/>
      <c r="K40" s="22"/>
      <c r="L40" s="22"/>
      <c r="M40" s="22"/>
      <c r="N40" s="22"/>
      <c r="O40" s="22"/>
      <c r="P40" s="22"/>
      <c r="Q40" s="22"/>
      <c r="R40" s="22"/>
      <c r="S40" s="22"/>
      <c r="T40" s="22"/>
      <c r="U40" s="24" t="str">
        <f>IFERROR(__xludf.DUMMYFUNCTION("SPLIT(E40,""01234567890"")"),"Brian
")</f>
        <v>Brian
</v>
      </c>
      <c r="V40" s="24" t="str">
        <f>IFERROR(__xludf.DUMMYFUNCTION("SPLIT(D40,"","")"),"Alef")</f>
        <v>Alef</v>
      </c>
      <c r="W40" s="25" t="str">
        <f t="shared" si="1"/>
        <v>BRIAN
 ALEF</v>
      </c>
      <c r="X40" s="25" t="s">
        <v>149</v>
      </c>
      <c r="Y40" s="25">
        <v>75214.0</v>
      </c>
      <c r="Z40" s="25" t="str">
        <f>IFERROR(__xludf.DUMMYFUNCTION("SPLIT(C40,""
"")"),"Alef, Brian")</f>
        <v>Alef, Brian</v>
      </c>
      <c r="AA40" s="25" t="str">
        <f>IFERROR(__xludf.DUMMYFUNCTION("""COMPUTED_VALUE"""),"6756 Inverness Lane")</f>
        <v>6756 Inverness Lane</v>
      </c>
      <c r="AB40" s="25" t="str">
        <f>IFERROR(__xludf.DUMMYFUNCTION("""COMPUTED_VALUE"""),"Dallas, TX 75214")</f>
        <v>Dallas, TX 75214</v>
      </c>
      <c r="AC40" s="24" t="s">
        <v>150</v>
      </c>
      <c r="AD40" s="25"/>
      <c r="AE40" s="25"/>
      <c r="AF40" s="25"/>
      <c r="AG40" s="22" t="s">
        <v>60</v>
      </c>
      <c r="AH40" s="54">
        <v>2441.0</v>
      </c>
      <c r="AI40" s="22" t="s">
        <v>61</v>
      </c>
      <c r="AJ40" s="27">
        <v>200.0</v>
      </c>
      <c r="AK40" s="31" t="s">
        <v>21</v>
      </c>
      <c r="AL40" s="28">
        <v>44690.0</v>
      </c>
      <c r="AM40" s="29">
        <v>44756.4640625</v>
      </c>
      <c r="AN40" s="30">
        <v>2.0</v>
      </c>
      <c r="AO40" s="22"/>
      <c r="AP40" s="22"/>
      <c r="AQ40" s="22"/>
      <c r="AR40" s="22"/>
      <c r="AS40" s="31">
        <f>IFERROR(__xludf.DUMMYFUNCTION("""COMPUTED_VALUE"""),75226.0)</f>
        <v>75226</v>
      </c>
      <c r="AT40" s="45">
        <f t="shared" si="6"/>
        <v>4450</v>
      </c>
      <c r="AU40" s="22"/>
      <c r="AV40" s="57" t="str">
        <f>IFERROR(__xludf.DUMMYFUNCTION("""COMPUTED_VALUE"""),"Bach")</f>
        <v>Bach</v>
      </c>
      <c r="AW40" s="46">
        <f t="shared" si="7"/>
        <v>100</v>
      </c>
      <c r="AX40" s="47">
        <f t="shared" ref="AX40:BQ40" si="163">SUMIFS($AJ:$AJ,$V:$V,$AV40,$AK:$AK,AX$2)</f>
        <v>0</v>
      </c>
      <c r="AY40" s="48">
        <f t="shared" si="163"/>
        <v>0</v>
      </c>
      <c r="AZ40" s="48">
        <f t="shared" si="163"/>
        <v>0</v>
      </c>
      <c r="BA40" s="48">
        <f t="shared" si="163"/>
        <v>0</v>
      </c>
      <c r="BB40" s="48">
        <f t="shared" si="163"/>
        <v>0</v>
      </c>
      <c r="BC40" s="48">
        <f t="shared" si="163"/>
        <v>0</v>
      </c>
      <c r="BD40" s="48">
        <f t="shared" si="163"/>
        <v>0</v>
      </c>
      <c r="BE40" s="48">
        <f t="shared" si="163"/>
        <v>0</v>
      </c>
      <c r="BF40" s="48">
        <f t="shared" si="163"/>
        <v>0</v>
      </c>
      <c r="BG40" s="48">
        <f t="shared" si="163"/>
        <v>0</v>
      </c>
      <c r="BH40" s="48">
        <f t="shared" si="163"/>
        <v>100</v>
      </c>
      <c r="BI40" s="48">
        <f t="shared" si="163"/>
        <v>0</v>
      </c>
      <c r="BJ40" s="48">
        <f t="shared" si="163"/>
        <v>0</v>
      </c>
      <c r="BK40" s="48">
        <f t="shared" si="163"/>
        <v>0</v>
      </c>
      <c r="BL40" s="48">
        <f t="shared" si="163"/>
        <v>0</v>
      </c>
      <c r="BM40" s="48">
        <f t="shared" si="163"/>
        <v>0</v>
      </c>
      <c r="BN40" s="48">
        <f t="shared" si="163"/>
        <v>0</v>
      </c>
      <c r="BO40" s="48">
        <f t="shared" si="163"/>
        <v>0</v>
      </c>
      <c r="BP40" s="48">
        <f t="shared" si="163"/>
        <v>0</v>
      </c>
      <c r="BQ40" s="48">
        <f t="shared" si="163"/>
        <v>0</v>
      </c>
      <c r="BR40" s="36">
        <f t="shared" si="9"/>
        <v>0</v>
      </c>
      <c r="BS40" s="38">
        <f t="shared" si="10"/>
        <v>1</v>
      </c>
      <c r="BT40" s="49">
        <f t="shared" si="11"/>
        <v>0</v>
      </c>
      <c r="BU40" s="38">
        <f t="shared" si="12"/>
        <v>1000</v>
      </c>
      <c r="BV40" s="57" t="str">
        <f>IFERROR(__xludf.DUMMYFUNCTION("""COMPUTED_VALUE"""),"Bach")</f>
        <v>Bach</v>
      </c>
      <c r="BW40" s="46">
        <f t="shared" si="13"/>
        <v>100</v>
      </c>
      <c r="BX40" s="47">
        <f t="shared" ref="BX40:CA40" si="164">AX40-$BU40</f>
        <v>-1000</v>
      </c>
      <c r="BY40" s="47">
        <f t="shared" si="164"/>
        <v>-1000</v>
      </c>
      <c r="BZ40" s="47">
        <f t="shared" si="164"/>
        <v>-1000</v>
      </c>
      <c r="CA40" s="47">
        <f t="shared" si="164"/>
        <v>-1000</v>
      </c>
      <c r="CB40" s="47">
        <f t="shared" si="15"/>
        <v>-10000</v>
      </c>
      <c r="CC40" s="47">
        <f t="shared" ref="CC40:CQ40" si="165">BC40-$BU40</f>
        <v>-1000</v>
      </c>
      <c r="CD40" s="47">
        <f t="shared" si="165"/>
        <v>-1000</v>
      </c>
      <c r="CE40" s="47">
        <f t="shared" si="165"/>
        <v>-1000</v>
      </c>
      <c r="CF40" s="47">
        <f t="shared" si="165"/>
        <v>-1000</v>
      </c>
      <c r="CG40" s="47">
        <f t="shared" si="165"/>
        <v>-1000</v>
      </c>
      <c r="CH40" s="47">
        <f t="shared" si="165"/>
        <v>-900</v>
      </c>
      <c r="CI40" s="47">
        <f t="shared" si="165"/>
        <v>-1000</v>
      </c>
      <c r="CJ40" s="47">
        <f t="shared" si="165"/>
        <v>-1000</v>
      </c>
      <c r="CK40" s="47">
        <f t="shared" si="165"/>
        <v>-1000</v>
      </c>
      <c r="CL40" s="47">
        <f t="shared" si="165"/>
        <v>-1000</v>
      </c>
      <c r="CM40" s="47">
        <f t="shared" si="165"/>
        <v>-1000</v>
      </c>
      <c r="CN40" s="47">
        <f t="shared" si="165"/>
        <v>-1000</v>
      </c>
      <c r="CO40" s="47">
        <f t="shared" si="165"/>
        <v>-1000</v>
      </c>
      <c r="CP40" s="47">
        <f t="shared" si="165"/>
        <v>-1000</v>
      </c>
      <c r="CQ40" s="47">
        <f t="shared" si="165"/>
        <v>-1000</v>
      </c>
      <c r="CR40" s="47"/>
      <c r="CS40" s="47"/>
      <c r="CT40" s="47"/>
      <c r="CU40" s="50" t="str">
        <f>IFERROR(__xludf.DUMMYFUNCTION("""COMPUTED_VALUE"""),"903 Stevens Woods Ct.
Dallas, TX 75208         ")</f>
        <v>903 Stevens Woods Ct.
Dallas, TX 75208         </v>
      </c>
      <c r="CV40" s="51">
        <f>IFERROR(__xludf.DUMMYFUNCTION("IF(REGEXMATCH(UPPER(CU40), ""TX""),0,1)"),0.0)</f>
        <v>0</v>
      </c>
      <c r="CW40" s="51">
        <f>IFERROR(__xludf.DUMMYFUNCTION("IF(REGEXMATCH(UPPER(CU40), ""DALLAS""),0,1)"),0.0)</f>
        <v>0</v>
      </c>
      <c r="CX40" s="51">
        <f t="shared" si="17"/>
        <v>0</v>
      </c>
      <c r="CY40" s="51">
        <f t="shared" si="18"/>
        <v>0</v>
      </c>
      <c r="CZ40" s="52" t="str">
        <f t="shared" si="19"/>
        <v/>
      </c>
      <c r="DA40" s="53" t="str">
        <f>IFERROR(__xludf.DUMMYFUNCTION("""COMPUTED_VALUE"""),"3 Richmond Ct.
Mansfield, TX 76063          ")</f>
        <v>3 Richmond Ct.
Mansfield, TX 76063          </v>
      </c>
      <c r="DB40" s="52">
        <f t="shared" ref="DB40:DU40" si="166">SUMIFS($AJ:$AJ,$X:$X,$DA40,$AK:$AK,DB$2)</f>
        <v>500</v>
      </c>
      <c r="DC40" s="52">
        <f t="shared" si="166"/>
        <v>0</v>
      </c>
      <c r="DD40" s="52">
        <f t="shared" si="166"/>
        <v>0</v>
      </c>
      <c r="DE40" s="52">
        <f t="shared" si="166"/>
        <v>0</v>
      </c>
      <c r="DF40" s="52">
        <f t="shared" si="166"/>
        <v>0</v>
      </c>
      <c r="DG40" s="52">
        <f t="shared" si="166"/>
        <v>0</v>
      </c>
      <c r="DH40" s="52">
        <f t="shared" si="166"/>
        <v>0</v>
      </c>
      <c r="DI40" s="52">
        <f t="shared" si="166"/>
        <v>0</v>
      </c>
      <c r="DJ40" s="52">
        <f t="shared" si="166"/>
        <v>0</v>
      </c>
      <c r="DK40" s="52">
        <f t="shared" si="166"/>
        <v>0</v>
      </c>
      <c r="DL40" s="52">
        <f t="shared" si="166"/>
        <v>0</v>
      </c>
      <c r="DM40" s="52">
        <f t="shared" si="166"/>
        <v>0</v>
      </c>
      <c r="DN40" s="52">
        <f t="shared" si="166"/>
        <v>0</v>
      </c>
      <c r="DO40" s="52">
        <f t="shared" si="166"/>
        <v>0</v>
      </c>
      <c r="DP40" s="52">
        <f t="shared" si="166"/>
        <v>0</v>
      </c>
      <c r="DQ40" s="52">
        <f t="shared" si="166"/>
        <v>0</v>
      </c>
      <c r="DR40" s="52">
        <f t="shared" si="166"/>
        <v>0</v>
      </c>
      <c r="DS40" s="52">
        <f t="shared" si="166"/>
        <v>0</v>
      </c>
      <c r="DT40" s="52">
        <f t="shared" si="166"/>
        <v>0</v>
      </c>
      <c r="DU40" s="52">
        <f t="shared" si="166"/>
        <v>0</v>
      </c>
      <c r="DV40" s="52">
        <f t="shared" si="21"/>
        <v>500</v>
      </c>
      <c r="DW40" s="52">
        <f t="shared" si="22"/>
        <v>1</v>
      </c>
    </row>
    <row r="41">
      <c r="A41" s="40" t="s">
        <v>55</v>
      </c>
      <c r="B41" s="41" t="s">
        <v>56</v>
      </c>
      <c r="C41" s="31" t="s">
        <v>151</v>
      </c>
      <c r="D41" s="25" t="str">
        <f>IFERROR(__xludf.DUMMYFUNCTION("SPLIT(C41,"" "")"),"Allen,")</f>
        <v>Allen,</v>
      </c>
      <c r="E41" s="40" t="str">
        <f>IFERROR(__xludf.DUMMYFUNCTION("""COMPUTED_VALUE"""),"Artie
18720")</f>
        <v>Artie
18720</v>
      </c>
      <c r="F41" s="40" t="str">
        <f>IFERROR(__xludf.DUMMYFUNCTION("""COMPUTED_VALUE"""),"Amador")</f>
        <v>Amador</v>
      </c>
      <c r="G41" s="40" t="str">
        <f>IFERROR(__xludf.DUMMYFUNCTION("""COMPUTED_VALUE"""),"Ave
Dallas,")</f>
        <v>Ave
Dallas,</v>
      </c>
      <c r="H41" s="40" t="str">
        <f>IFERROR(__xludf.DUMMYFUNCTION("""COMPUTED_VALUE"""),"TX")</f>
        <v>TX</v>
      </c>
      <c r="I41" s="40">
        <f>IFERROR(__xludf.DUMMYFUNCTION("""COMPUTED_VALUE"""),75252.0)</f>
        <v>75252</v>
      </c>
      <c r="J41" s="40"/>
      <c r="K41" s="40"/>
      <c r="L41" s="40"/>
      <c r="M41" s="40"/>
      <c r="N41" s="40"/>
      <c r="O41" s="40"/>
      <c r="P41" s="40"/>
      <c r="Q41" s="40"/>
      <c r="R41" s="40"/>
      <c r="S41" s="40"/>
      <c r="T41" s="40"/>
      <c r="U41" s="24" t="str">
        <f>IFERROR(__xludf.DUMMYFUNCTION("SPLIT(E41,""01234567890"")"),"Artie
")</f>
        <v>Artie
</v>
      </c>
      <c r="V41" s="24" t="str">
        <f>IFERROR(__xludf.DUMMYFUNCTION("SPLIT(D41,"","")"),"Allen")</f>
        <v>Allen</v>
      </c>
      <c r="W41" s="25" t="str">
        <f t="shared" si="1"/>
        <v>ARTIE
 ALLEN</v>
      </c>
      <c r="X41" s="25" t="s">
        <v>152</v>
      </c>
      <c r="Y41" s="25">
        <v>75252.0</v>
      </c>
      <c r="Z41" s="25" t="str">
        <f>IFERROR(__xludf.DUMMYFUNCTION("SPLIT(C41,""
"")"),"Allen, Artie")</f>
        <v>Allen, Artie</v>
      </c>
      <c r="AA41" s="25" t="str">
        <f>IFERROR(__xludf.DUMMYFUNCTION("""COMPUTED_VALUE"""),"18720 Amador Ave")</f>
        <v>18720 Amador Ave</v>
      </c>
      <c r="AB41" s="25" t="str">
        <f>IFERROR(__xludf.DUMMYFUNCTION("""COMPUTED_VALUE"""),"Dallas, TX 75252")</f>
        <v>Dallas, TX 75252</v>
      </c>
      <c r="AC41" s="24" t="s">
        <v>153</v>
      </c>
      <c r="AD41" s="25"/>
      <c r="AE41" s="25"/>
      <c r="AF41" s="25"/>
      <c r="AG41" s="40" t="s">
        <v>60</v>
      </c>
      <c r="AH41" s="42">
        <v>2482.0</v>
      </c>
      <c r="AI41" s="40" t="s">
        <v>68</v>
      </c>
      <c r="AJ41" s="27">
        <v>250.0</v>
      </c>
      <c r="AK41" s="31" t="s">
        <v>31</v>
      </c>
      <c r="AL41" s="43">
        <v>44925.0</v>
      </c>
      <c r="AM41" s="44">
        <v>44938.558541666665</v>
      </c>
      <c r="AN41" s="30">
        <v>2.0</v>
      </c>
      <c r="AO41" s="40"/>
      <c r="AP41" s="40"/>
      <c r="AQ41" s="40"/>
      <c r="AR41" s="40"/>
      <c r="AS41" s="31">
        <f>IFERROR(__xludf.DUMMYFUNCTION("""COMPUTED_VALUE"""),75035.0)</f>
        <v>75035</v>
      </c>
      <c r="AT41" s="45">
        <f t="shared" si="6"/>
        <v>50</v>
      </c>
      <c r="AU41" s="40"/>
      <c r="AV41" s="46" t="str">
        <f>IFERROR(__xludf.DUMMYFUNCTION("""COMPUTED_VALUE"""),"Bacon")</f>
        <v>Bacon</v>
      </c>
      <c r="AW41" s="46">
        <f t="shared" si="7"/>
        <v>100</v>
      </c>
      <c r="AX41" s="47">
        <f t="shared" ref="AX41:BQ41" si="167">SUMIFS($AJ:$AJ,$V:$V,$AV41,$AK:$AK,AX$2)</f>
        <v>0</v>
      </c>
      <c r="AY41" s="48">
        <f t="shared" si="167"/>
        <v>0</v>
      </c>
      <c r="AZ41" s="48">
        <f t="shared" si="167"/>
        <v>0</v>
      </c>
      <c r="BA41" s="48">
        <f t="shared" si="167"/>
        <v>0</v>
      </c>
      <c r="BB41" s="48">
        <f t="shared" si="167"/>
        <v>0</v>
      </c>
      <c r="BC41" s="48">
        <f t="shared" si="167"/>
        <v>0</v>
      </c>
      <c r="BD41" s="48">
        <f t="shared" si="167"/>
        <v>0</v>
      </c>
      <c r="BE41" s="48">
        <f t="shared" si="167"/>
        <v>0</v>
      </c>
      <c r="BF41" s="48">
        <f t="shared" si="167"/>
        <v>0</v>
      </c>
      <c r="BG41" s="48">
        <f t="shared" si="167"/>
        <v>0</v>
      </c>
      <c r="BH41" s="48">
        <f t="shared" si="167"/>
        <v>0</v>
      </c>
      <c r="BI41" s="48">
        <f t="shared" si="167"/>
        <v>100</v>
      </c>
      <c r="BJ41" s="48">
        <f t="shared" si="167"/>
        <v>0</v>
      </c>
      <c r="BK41" s="48">
        <f t="shared" si="167"/>
        <v>0</v>
      </c>
      <c r="BL41" s="48">
        <f t="shared" si="167"/>
        <v>0</v>
      </c>
      <c r="BM41" s="48">
        <f t="shared" si="167"/>
        <v>0</v>
      </c>
      <c r="BN41" s="48">
        <f t="shared" si="167"/>
        <v>0</v>
      </c>
      <c r="BO41" s="48">
        <f t="shared" si="167"/>
        <v>0</v>
      </c>
      <c r="BP41" s="48">
        <f t="shared" si="167"/>
        <v>0</v>
      </c>
      <c r="BQ41" s="48">
        <f t="shared" si="167"/>
        <v>0</v>
      </c>
      <c r="BR41" s="36">
        <f t="shared" si="9"/>
        <v>0</v>
      </c>
      <c r="BS41" s="38">
        <f t="shared" si="10"/>
        <v>1</v>
      </c>
      <c r="BT41" s="49">
        <f t="shared" si="11"/>
        <v>0</v>
      </c>
      <c r="BU41" s="38">
        <f t="shared" si="12"/>
        <v>1000</v>
      </c>
      <c r="BV41" s="46" t="str">
        <f>IFERROR(__xludf.DUMMYFUNCTION("""COMPUTED_VALUE"""),"Bacon")</f>
        <v>Bacon</v>
      </c>
      <c r="BW41" s="46">
        <f t="shared" si="13"/>
        <v>100</v>
      </c>
      <c r="BX41" s="47">
        <f t="shared" ref="BX41:CA41" si="168">AX41-$BU41</f>
        <v>-1000</v>
      </c>
      <c r="BY41" s="47">
        <f t="shared" si="168"/>
        <v>-1000</v>
      </c>
      <c r="BZ41" s="47">
        <f t="shared" si="168"/>
        <v>-1000</v>
      </c>
      <c r="CA41" s="47">
        <f t="shared" si="168"/>
        <v>-1000</v>
      </c>
      <c r="CB41" s="47">
        <f t="shared" si="15"/>
        <v>-10000</v>
      </c>
      <c r="CC41" s="47">
        <f t="shared" ref="CC41:CQ41" si="169">BC41-$BU41</f>
        <v>-1000</v>
      </c>
      <c r="CD41" s="47">
        <f t="shared" si="169"/>
        <v>-1000</v>
      </c>
      <c r="CE41" s="47">
        <f t="shared" si="169"/>
        <v>-1000</v>
      </c>
      <c r="CF41" s="47">
        <f t="shared" si="169"/>
        <v>-1000</v>
      </c>
      <c r="CG41" s="47">
        <f t="shared" si="169"/>
        <v>-1000</v>
      </c>
      <c r="CH41" s="47">
        <f t="shared" si="169"/>
        <v>-1000</v>
      </c>
      <c r="CI41" s="47">
        <f t="shared" si="169"/>
        <v>-900</v>
      </c>
      <c r="CJ41" s="47">
        <f t="shared" si="169"/>
        <v>-1000</v>
      </c>
      <c r="CK41" s="47">
        <f t="shared" si="169"/>
        <v>-1000</v>
      </c>
      <c r="CL41" s="47">
        <f t="shared" si="169"/>
        <v>-1000</v>
      </c>
      <c r="CM41" s="47">
        <f t="shared" si="169"/>
        <v>-1000</v>
      </c>
      <c r="CN41" s="47">
        <f t="shared" si="169"/>
        <v>-1000</v>
      </c>
      <c r="CO41" s="47">
        <f t="shared" si="169"/>
        <v>-1000</v>
      </c>
      <c r="CP41" s="47">
        <f t="shared" si="169"/>
        <v>-1000</v>
      </c>
      <c r="CQ41" s="47">
        <f t="shared" si="169"/>
        <v>-1000</v>
      </c>
      <c r="CR41" s="47"/>
      <c r="CS41" s="47"/>
      <c r="CT41" s="47"/>
      <c r="CU41" s="50" t="str">
        <f>IFERROR(__xludf.DUMMYFUNCTION("""COMPUTED_VALUE"""),"3706 Pallos Verdas Dr
Dallas, TX 75229         ")</f>
        <v>3706 Pallos Verdas Dr
Dallas, TX 75229         </v>
      </c>
      <c r="CV41" s="51">
        <f>IFERROR(__xludf.DUMMYFUNCTION("IF(REGEXMATCH(UPPER(CU41), ""TX""),0,1)"),0.0)</f>
        <v>0</v>
      </c>
      <c r="CW41" s="51">
        <f>IFERROR(__xludf.DUMMYFUNCTION("IF(REGEXMATCH(UPPER(CU41), ""DALLAS""),0,1)"),0.0)</f>
        <v>0</v>
      </c>
      <c r="CX41" s="51">
        <f t="shared" si="17"/>
        <v>0</v>
      </c>
      <c r="CY41" s="51">
        <f t="shared" si="18"/>
        <v>0</v>
      </c>
      <c r="CZ41" s="52" t="str">
        <f t="shared" si="19"/>
        <v/>
      </c>
      <c r="DA41" s="53" t="str">
        <f>IFERROR(__xludf.DUMMYFUNCTION("""COMPUTED_VALUE"""),"2295 Sussex Ln.
Allen, TX 75013          ")</f>
        <v>2295 Sussex Ln.
Allen, TX 75013          </v>
      </c>
      <c r="DB41" s="52">
        <f t="shared" ref="DB41:DU41" si="170">SUMIFS($AJ:$AJ,$X:$X,$DA41,$AK:$AK,DB$2)</f>
        <v>1000</v>
      </c>
      <c r="DC41" s="52">
        <f t="shared" si="170"/>
        <v>0</v>
      </c>
      <c r="DD41" s="52">
        <f t="shared" si="170"/>
        <v>0</v>
      </c>
      <c r="DE41" s="52">
        <f t="shared" si="170"/>
        <v>0</v>
      </c>
      <c r="DF41" s="52">
        <f t="shared" si="170"/>
        <v>0</v>
      </c>
      <c r="DG41" s="52">
        <f t="shared" si="170"/>
        <v>0</v>
      </c>
      <c r="DH41" s="52">
        <f t="shared" si="170"/>
        <v>0</v>
      </c>
      <c r="DI41" s="52">
        <f t="shared" si="170"/>
        <v>0</v>
      </c>
      <c r="DJ41" s="52">
        <f t="shared" si="170"/>
        <v>0</v>
      </c>
      <c r="DK41" s="52">
        <f t="shared" si="170"/>
        <v>0</v>
      </c>
      <c r="DL41" s="52">
        <f t="shared" si="170"/>
        <v>0</v>
      </c>
      <c r="DM41" s="52">
        <f t="shared" si="170"/>
        <v>0</v>
      </c>
      <c r="DN41" s="52">
        <f t="shared" si="170"/>
        <v>0</v>
      </c>
      <c r="DO41" s="52">
        <f t="shared" si="170"/>
        <v>0</v>
      </c>
      <c r="DP41" s="52">
        <f t="shared" si="170"/>
        <v>0</v>
      </c>
      <c r="DQ41" s="52">
        <f t="shared" si="170"/>
        <v>0</v>
      </c>
      <c r="DR41" s="52">
        <f t="shared" si="170"/>
        <v>0</v>
      </c>
      <c r="DS41" s="52">
        <f t="shared" si="170"/>
        <v>0</v>
      </c>
      <c r="DT41" s="52">
        <f t="shared" si="170"/>
        <v>0</v>
      </c>
      <c r="DU41" s="52">
        <f t="shared" si="170"/>
        <v>0</v>
      </c>
      <c r="DV41" s="52">
        <f t="shared" si="21"/>
        <v>1000</v>
      </c>
      <c r="DW41" s="52">
        <f t="shared" si="22"/>
        <v>1</v>
      </c>
    </row>
    <row r="42">
      <c r="A42" s="23" t="s">
        <v>64</v>
      </c>
      <c r="B42" s="23" t="s">
        <v>56</v>
      </c>
      <c r="C42" s="31" t="s">
        <v>154</v>
      </c>
      <c r="D42" s="25" t="str">
        <f>IFERROR(__xludf.DUMMYFUNCTION("SPLIT(C42,"" "")"),"Allen,")</f>
        <v>Allen,</v>
      </c>
      <c r="E42" s="22" t="str">
        <f>IFERROR(__xludf.DUMMYFUNCTION("""COMPUTED_VALUE"""),"Julie
7614")</f>
        <v>Julie
7614</v>
      </c>
      <c r="F42" s="22" t="str">
        <f>IFERROR(__xludf.DUMMYFUNCTION("""COMPUTED_VALUE"""),"Currin")</f>
        <v>Currin</v>
      </c>
      <c r="G42" s="22" t="str">
        <f>IFERROR(__xludf.DUMMYFUNCTION("""COMPUTED_VALUE"""),"Dr
Dallas,")</f>
        <v>Dr
Dallas,</v>
      </c>
      <c r="H42" s="22" t="str">
        <f>IFERROR(__xludf.DUMMYFUNCTION("""COMPUTED_VALUE"""),"TX")</f>
        <v>TX</v>
      </c>
      <c r="I42" s="22">
        <f>IFERROR(__xludf.DUMMYFUNCTION("""COMPUTED_VALUE"""),75230.0)</f>
        <v>75230</v>
      </c>
      <c r="J42" s="22"/>
      <c r="K42" s="22"/>
      <c r="L42" s="22"/>
      <c r="M42" s="22"/>
      <c r="N42" s="22"/>
      <c r="O42" s="22"/>
      <c r="P42" s="22"/>
      <c r="Q42" s="22"/>
      <c r="R42" s="22"/>
      <c r="S42" s="22"/>
      <c r="T42" s="22"/>
      <c r="U42" s="24" t="str">
        <f>IFERROR(__xludf.DUMMYFUNCTION("SPLIT(E42,""01234567890"")"),"Julie
")</f>
        <v>Julie
</v>
      </c>
      <c r="V42" s="24" t="str">
        <f>IFERROR(__xludf.DUMMYFUNCTION("SPLIT(D42,"","")"),"Allen")</f>
        <v>Allen</v>
      </c>
      <c r="W42" s="25" t="str">
        <f t="shared" si="1"/>
        <v>JULIE
 ALLEN</v>
      </c>
      <c r="X42" s="25" t="s">
        <v>155</v>
      </c>
      <c r="Y42" s="25">
        <v>75230.0</v>
      </c>
      <c r="Z42" s="25" t="str">
        <f>IFERROR(__xludf.DUMMYFUNCTION("SPLIT(C42,""
"")"),"Allen, Julie")</f>
        <v>Allen, Julie</v>
      </c>
      <c r="AA42" s="25" t="str">
        <f>IFERROR(__xludf.DUMMYFUNCTION("""COMPUTED_VALUE"""),"7614 Currin Dr")</f>
        <v>7614 Currin Dr</v>
      </c>
      <c r="AB42" s="25" t="str">
        <f>IFERROR(__xludf.DUMMYFUNCTION("""COMPUTED_VALUE"""),"Dallas, TX 75230")</f>
        <v>Dallas, TX 75230</v>
      </c>
      <c r="AC42" s="24" t="s">
        <v>156</v>
      </c>
      <c r="AD42" s="25"/>
      <c r="AE42" s="25"/>
      <c r="AF42" s="25"/>
      <c r="AG42" s="22" t="s">
        <v>60</v>
      </c>
      <c r="AH42" s="54">
        <v>2488.0</v>
      </c>
      <c r="AI42" s="22" t="s">
        <v>68</v>
      </c>
      <c r="AJ42" s="27">
        <v>102.0</v>
      </c>
      <c r="AK42" s="31" t="s">
        <v>32</v>
      </c>
      <c r="AL42" s="28">
        <v>44778.0</v>
      </c>
      <c r="AM42" s="29">
        <v>44937.96288194445</v>
      </c>
      <c r="AN42" s="30">
        <v>2.0</v>
      </c>
      <c r="AO42" s="22"/>
      <c r="AP42" s="22"/>
      <c r="AQ42" s="22"/>
      <c r="AR42" s="22"/>
      <c r="AS42" s="31">
        <f>IFERROR(__xludf.DUMMYFUNCTION("""COMPUTED_VALUE"""),75202.0)</f>
        <v>75202</v>
      </c>
      <c r="AT42" s="45">
        <f t="shared" si="6"/>
        <v>151</v>
      </c>
      <c r="AU42" s="22"/>
      <c r="AV42" s="57" t="str">
        <f>IFERROR(__xludf.DUMMYFUNCTION("""COMPUTED_VALUE"""),"Badgett")</f>
        <v>Badgett</v>
      </c>
      <c r="AW42" s="46">
        <f t="shared" si="7"/>
        <v>2000</v>
      </c>
      <c r="AX42" s="47">
        <f t="shared" ref="AX42:BQ42" si="171">SUMIFS($AJ:$AJ,$V:$V,$AV42,$AK:$AK,AX$2)</f>
        <v>0</v>
      </c>
      <c r="AY42" s="48">
        <f t="shared" si="171"/>
        <v>0</v>
      </c>
      <c r="AZ42" s="48">
        <f t="shared" si="171"/>
        <v>0</v>
      </c>
      <c r="BA42" s="48">
        <f t="shared" si="171"/>
        <v>0</v>
      </c>
      <c r="BB42" s="48">
        <f t="shared" si="171"/>
        <v>0</v>
      </c>
      <c r="BC42" s="48">
        <f t="shared" si="171"/>
        <v>2000</v>
      </c>
      <c r="BD42" s="48">
        <f t="shared" si="171"/>
        <v>0</v>
      </c>
      <c r="BE42" s="48">
        <f t="shared" si="171"/>
        <v>0</v>
      </c>
      <c r="BF42" s="48">
        <f t="shared" si="171"/>
        <v>0</v>
      </c>
      <c r="BG42" s="48">
        <f t="shared" si="171"/>
        <v>0</v>
      </c>
      <c r="BH42" s="48">
        <f t="shared" si="171"/>
        <v>0</v>
      </c>
      <c r="BI42" s="48">
        <f t="shared" si="171"/>
        <v>0</v>
      </c>
      <c r="BJ42" s="48">
        <f t="shared" si="171"/>
        <v>0</v>
      </c>
      <c r="BK42" s="48">
        <f t="shared" si="171"/>
        <v>0</v>
      </c>
      <c r="BL42" s="48">
        <f t="shared" si="171"/>
        <v>0</v>
      </c>
      <c r="BM42" s="48">
        <f t="shared" si="171"/>
        <v>0</v>
      </c>
      <c r="BN42" s="48">
        <f t="shared" si="171"/>
        <v>0</v>
      </c>
      <c r="BO42" s="48">
        <f t="shared" si="171"/>
        <v>0</v>
      </c>
      <c r="BP42" s="48">
        <f t="shared" si="171"/>
        <v>0</v>
      </c>
      <c r="BQ42" s="48">
        <f t="shared" si="171"/>
        <v>0</v>
      </c>
      <c r="BR42" s="36">
        <f t="shared" si="9"/>
        <v>0</v>
      </c>
      <c r="BS42" s="38">
        <f t="shared" si="10"/>
        <v>1</v>
      </c>
      <c r="BT42" s="49">
        <f t="shared" si="11"/>
        <v>0</v>
      </c>
      <c r="BU42" s="38">
        <f t="shared" si="12"/>
        <v>1000</v>
      </c>
      <c r="BV42" s="57" t="str">
        <f>IFERROR(__xludf.DUMMYFUNCTION("""COMPUTED_VALUE"""),"Badgett")</f>
        <v>Badgett</v>
      </c>
      <c r="BW42" s="46">
        <f t="shared" si="13"/>
        <v>2000</v>
      </c>
      <c r="BX42" s="47">
        <f t="shared" ref="BX42:CA42" si="172">AX42-$BU42</f>
        <v>-1000</v>
      </c>
      <c r="BY42" s="47">
        <f t="shared" si="172"/>
        <v>-1000</v>
      </c>
      <c r="BZ42" s="47">
        <f t="shared" si="172"/>
        <v>-1000</v>
      </c>
      <c r="CA42" s="47">
        <f t="shared" si="172"/>
        <v>-1000</v>
      </c>
      <c r="CB42" s="47">
        <f t="shared" si="15"/>
        <v>-10000</v>
      </c>
      <c r="CC42" s="47">
        <f t="shared" ref="CC42:CQ42" si="173">BC42-$BU42</f>
        <v>1000</v>
      </c>
      <c r="CD42" s="47">
        <f t="shared" si="173"/>
        <v>-1000</v>
      </c>
      <c r="CE42" s="47">
        <f t="shared" si="173"/>
        <v>-1000</v>
      </c>
      <c r="CF42" s="47">
        <f t="shared" si="173"/>
        <v>-1000</v>
      </c>
      <c r="CG42" s="47">
        <f t="shared" si="173"/>
        <v>-1000</v>
      </c>
      <c r="CH42" s="47">
        <f t="shared" si="173"/>
        <v>-1000</v>
      </c>
      <c r="CI42" s="47">
        <f t="shared" si="173"/>
        <v>-1000</v>
      </c>
      <c r="CJ42" s="47">
        <f t="shared" si="173"/>
        <v>-1000</v>
      </c>
      <c r="CK42" s="47">
        <f t="shared" si="173"/>
        <v>-1000</v>
      </c>
      <c r="CL42" s="47">
        <f t="shared" si="173"/>
        <v>-1000</v>
      </c>
      <c r="CM42" s="47">
        <f t="shared" si="173"/>
        <v>-1000</v>
      </c>
      <c r="CN42" s="47">
        <f t="shared" si="173"/>
        <v>-1000</v>
      </c>
      <c r="CO42" s="47">
        <f t="shared" si="173"/>
        <v>-1000</v>
      </c>
      <c r="CP42" s="47">
        <f t="shared" si="173"/>
        <v>-1000</v>
      </c>
      <c r="CQ42" s="47">
        <f t="shared" si="173"/>
        <v>-1000</v>
      </c>
      <c r="CR42" s="47"/>
      <c r="CS42" s="47"/>
      <c r="CT42" s="47"/>
      <c r="CU42" s="50" t="str">
        <f>IFERROR(__xludf.DUMMYFUNCTION("""COMPUTED_VALUE"""),"2929 Carlisle St.
Dallas, TX 75204          ")</f>
        <v>2929 Carlisle St.
Dallas, TX 75204          </v>
      </c>
      <c r="CV42" s="51">
        <f>IFERROR(__xludf.DUMMYFUNCTION("IF(REGEXMATCH(UPPER(CU42), ""TX""),0,1)"),0.0)</f>
        <v>0</v>
      </c>
      <c r="CW42" s="51">
        <f>IFERROR(__xludf.DUMMYFUNCTION("IF(REGEXMATCH(UPPER(CU42), ""DALLAS""),0,1)"),0.0)</f>
        <v>0</v>
      </c>
      <c r="CX42" s="51">
        <f t="shared" si="17"/>
        <v>0</v>
      </c>
      <c r="CY42" s="51">
        <f t="shared" si="18"/>
        <v>0</v>
      </c>
      <c r="CZ42" s="52" t="str">
        <f t="shared" si="19"/>
        <v/>
      </c>
      <c r="DA42" s="53" t="str">
        <f>IFERROR(__xludf.DUMMYFUNCTION("""COMPUTED_VALUE"""),"12101 Trinity Blvd.
Euless, TX 76040          ")</f>
        <v>12101 Trinity Blvd.
Euless, TX 76040          </v>
      </c>
      <c r="DB42" s="52">
        <f t="shared" ref="DB42:DU42" si="174">SUMIFS($AJ:$AJ,$X:$X,$DA42,$AK:$AK,DB$2)</f>
        <v>500</v>
      </c>
      <c r="DC42" s="52">
        <f t="shared" si="174"/>
        <v>0</v>
      </c>
      <c r="DD42" s="52">
        <f t="shared" si="174"/>
        <v>0</v>
      </c>
      <c r="DE42" s="52">
        <f t="shared" si="174"/>
        <v>0</v>
      </c>
      <c r="DF42" s="52">
        <f t="shared" si="174"/>
        <v>0</v>
      </c>
      <c r="DG42" s="52">
        <f t="shared" si="174"/>
        <v>0</v>
      </c>
      <c r="DH42" s="52">
        <f t="shared" si="174"/>
        <v>0</v>
      </c>
      <c r="DI42" s="52">
        <f t="shared" si="174"/>
        <v>0</v>
      </c>
      <c r="DJ42" s="52">
        <f t="shared" si="174"/>
        <v>0</v>
      </c>
      <c r="DK42" s="52">
        <f t="shared" si="174"/>
        <v>0</v>
      </c>
      <c r="DL42" s="52">
        <f t="shared" si="174"/>
        <v>0</v>
      </c>
      <c r="DM42" s="52">
        <f t="shared" si="174"/>
        <v>0</v>
      </c>
      <c r="DN42" s="52">
        <f t="shared" si="174"/>
        <v>0</v>
      </c>
      <c r="DO42" s="52">
        <f t="shared" si="174"/>
        <v>0</v>
      </c>
      <c r="DP42" s="52">
        <f t="shared" si="174"/>
        <v>0</v>
      </c>
      <c r="DQ42" s="52">
        <f t="shared" si="174"/>
        <v>0</v>
      </c>
      <c r="DR42" s="52">
        <f t="shared" si="174"/>
        <v>0</v>
      </c>
      <c r="DS42" s="52">
        <f t="shared" si="174"/>
        <v>0</v>
      </c>
      <c r="DT42" s="52">
        <f t="shared" si="174"/>
        <v>0</v>
      </c>
      <c r="DU42" s="52">
        <f t="shared" si="174"/>
        <v>0</v>
      </c>
      <c r="DV42" s="52">
        <f t="shared" si="21"/>
        <v>500</v>
      </c>
      <c r="DW42" s="52">
        <f t="shared" si="22"/>
        <v>1</v>
      </c>
    </row>
    <row r="43">
      <c r="A43" s="40" t="s">
        <v>55</v>
      </c>
      <c r="B43" s="41" t="s">
        <v>56</v>
      </c>
      <c r="C43" s="31" t="s">
        <v>157</v>
      </c>
      <c r="D43" s="25" t="str">
        <f>IFERROR(__xludf.DUMMYFUNCTION("SPLIT(C43,"" "")"),"Almond,")</f>
        <v>Almond,</v>
      </c>
      <c r="E43" s="40" t="str">
        <f>IFERROR(__xludf.DUMMYFUNCTION("""COMPUTED_VALUE"""),"Bradley
8115")</f>
        <v>Bradley
8115</v>
      </c>
      <c r="F43" s="40" t="str">
        <f>IFERROR(__xludf.DUMMYFUNCTION("""COMPUTED_VALUE"""),"San")</f>
        <v>San</v>
      </c>
      <c r="G43" s="40" t="str">
        <f>IFERROR(__xludf.DUMMYFUNCTION("""COMPUTED_VALUE"""),"Benito")</f>
        <v>Benito</v>
      </c>
      <c r="H43" s="40" t="str">
        <f>IFERROR(__xludf.DUMMYFUNCTION("""COMPUTED_VALUE"""),"Way
Dallas,")</f>
        <v>Way
Dallas,</v>
      </c>
      <c r="I43" s="40" t="str">
        <f>IFERROR(__xludf.DUMMYFUNCTION("""COMPUTED_VALUE"""),"TX")</f>
        <v>TX</v>
      </c>
      <c r="J43" s="40">
        <f>IFERROR(__xludf.DUMMYFUNCTION("""COMPUTED_VALUE"""),75218.0)</f>
        <v>75218</v>
      </c>
      <c r="K43" s="40"/>
      <c r="L43" s="40"/>
      <c r="M43" s="40"/>
      <c r="N43" s="40"/>
      <c r="O43" s="40"/>
      <c r="P43" s="40"/>
      <c r="Q43" s="40"/>
      <c r="R43" s="40"/>
      <c r="S43" s="40"/>
      <c r="T43" s="40"/>
      <c r="U43" s="24" t="str">
        <f>IFERROR(__xludf.DUMMYFUNCTION("SPLIT(E43,""01234567890"")"),"Bradley
")</f>
        <v>Bradley
</v>
      </c>
      <c r="V43" s="24" t="str">
        <f>IFERROR(__xludf.DUMMYFUNCTION("SPLIT(D43,"","")"),"Almond")</f>
        <v>Almond</v>
      </c>
      <c r="W43" s="25" t="str">
        <f t="shared" si="1"/>
        <v>BRADLEY
 ALMOND</v>
      </c>
      <c r="X43" s="25" t="s">
        <v>158</v>
      </c>
      <c r="Y43" s="25">
        <v>75218.0</v>
      </c>
      <c r="Z43" s="25" t="str">
        <f>IFERROR(__xludf.DUMMYFUNCTION("SPLIT(C43,""
"")"),"Almond, Bradley")</f>
        <v>Almond, Bradley</v>
      </c>
      <c r="AA43" s="25" t="str">
        <f>IFERROR(__xludf.DUMMYFUNCTION("""COMPUTED_VALUE"""),"8115 San Benito Way")</f>
        <v>8115 San Benito Way</v>
      </c>
      <c r="AB43" s="25" t="str">
        <f>IFERROR(__xludf.DUMMYFUNCTION("""COMPUTED_VALUE"""),"Dallas, TX 75218")</f>
        <v>Dallas, TX 75218</v>
      </c>
      <c r="AC43" s="24" t="s">
        <v>159</v>
      </c>
      <c r="AD43" s="25"/>
      <c r="AE43" s="25"/>
      <c r="AF43" s="25"/>
      <c r="AG43" s="40" t="s">
        <v>60</v>
      </c>
      <c r="AH43" s="42">
        <v>2448.0</v>
      </c>
      <c r="AI43" s="40" t="s">
        <v>61</v>
      </c>
      <c r="AJ43" s="27">
        <v>100.0</v>
      </c>
      <c r="AK43" s="31" t="s">
        <v>24</v>
      </c>
      <c r="AL43" s="43">
        <v>44678.0</v>
      </c>
      <c r="AM43" s="44">
        <v>44757.44018518519</v>
      </c>
      <c r="AN43" s="30">
        <v>2.0</v>
      </c>
      <c r="AO43" s="40"/>
      <c r="AP43" s="40"/>
      <c r="AQ43" s="40"/>
      <c r="AR43" s="40"/>
      <c r="AS43" s="31">
        <f>IFERROR(__xludf.DUMMYFUNCTION("""COMPUTED_VALUE"""),14020.0)</f>
        <v>14020</v>
      </c>
      <c r="AT43" s="45">
        <f t="shared" si="6"/>
        <v>1000</v>
      </c>
      <c r="AU43" s="40"/>
      <c r="AV43" s="46" t="str">
        <f>IFERROR(__xludf.DUMMYFUNCTION("""COMPUTED_VALUE"""),"Bailey")</f>
        <v>Bailey</v>
      </c>
      <c r="AW43" s="46">
        <f t="shared" si="7"/>
        <v>8100</v>
      </c>
      <c r="AX43" s="47">
        <f t="shared" ref="AX43:BQ43" si="175">SUMIFS($AJ:$AJ,$V:$V,$AV43,$AK:$AK,AX$2)</f>
        <v>0</v>
      </c>
      <c r="AY43" s="48">
        <f t="shared" si="175"/>
        <v>0</v>
      </c>
      <c r="AZ43" s="48">
        <f t="shared" si="175"/>
        <v>0</v>
      </c>
      <c r="BA43" s="48">
        <f t="shared" si="175"/>
        <v>0</v>
      </c>
      <c r="BB43" s="48">
        <f t="shared" si="175"/>
        <v>8000</v>
      </c>
      <c r="BC43" s="48">
        <f t="shared" si="175"/>
        <v>0</v>
      </c>
      <c r="BD43" s="48">
        <f t="shared" si="175"/>
        <v>0</v>
      </c>
      <c r="BE43" s="48">
        <f t="shared" si="175"/>
        <v>0</v>
      </c>
      <c r="BF43" s="48">
        <f t="shared" si="175"/>
        <v>0</v>
      </c>
      <c r="BG43" s="48">
        <f t="shared" si="175"/>
        <v>0</v>
      </c>
      <c r="BH43" s="48">
        <f t="shared" si="175"/>
        <v>0</v>
      </c>
      <c r="BI43" s="48">
        <f t="shared" si="175"/>
        <v>100</v>
      </c>
      <c r="BJ43" s="48">
        <f t="shared" si="175"/>
        <v>0</v>
      </c>
      <c r="BK43" s="48">
        <f t="shared" si="175"/>
        <v>0</v>
      </c>
      <c r="BL43" s="48">
        <f t="shared" si="175"/>
        <v>0</v>
      </c>
      <c r="BM43" s="48">
        <f t="shared" si="175"/>
        <v>0</v>
      </c>
      <c r="BN43" s="48">
        <f t="shared" si="175"/>
        <v>0</v>
      </c>
      <c r="BO43" s="48">
        <f t="shared" si="175"/>
        <v>0</v>
      </c>
      <c r="BP43" s="48">
        <f t="shared" si="175"/>
        <v>0</v>
      </c>
      <c r="BQ43" s="48">
        <f t="shared" si="175"/>
        <v>0</v>
      </c>
      <c r="BR43" s="36">
        <f t="shared" si="9"/>
        <v>1</v>
      </c>
      <c r="BS43" s="38">
        <f t="shared" si="10"/>
        <v>3</v>
      </c>
      <c r="BT43" s="49">
        <f t="shared" si="11"/>
        <v>0</v>
      </c>
      <c r="BU43" s="38">
        <f t="shared" si="12"/>
        <v>3000</v>
      </c>
      <c r="BV43" s="46" t="str">
        <f>IFERROR(__xludf.DUMMYFUNCTION("""COMPUTED_VALUE"""),"Bailey")</f>
        <v>Bailey</v>
      </c>
      <c r="BW43" s="46">
        <f t="shared" si="13"/>
        <v>8100</v>
      </c>
      <c r="BX43" s="47">
        <f t="shared" ref="BX43:CA43" si="176">AX43-$BU43</f>
        <v>-3000</v>
      </c>
      <c r="BY43" s="47">
        <f t="shared" si="176"/>
        <v>-3000</v>
      </c>
      <c r="BZ43" s="47">
        <f t="shared" si="176"/>
        <v>-3000</v>
      </c>
      <c r="CA43" s="47">
        <f t="shared" si="176"/>
        <v>-3000</v>
      </c>
      <c r="CB43" s="47">
        <f t="shared" si="15"/>
        <v>-22000</v>
      </c>
      <c r="CC43" s="47">
        <f t="shared" ref="CC43:CQ43" si="177">BC43-$BU43</f>
        <v>-3000</v>
      </c>
      <c r="CD43" s="47">
        <f t="shared" si="177"/>
        <v>-3000</v>
      </c>
      <c r="CE43" s="47">
        <f t="shared" si="177"/>
        <v>-3000</v>
      </c>
      <c r="CF43" s="47">
        <f t="shared" si="177"/>
        <v>-3000</v>
      </c>
      <c r="CG43" s="47">
        <f t="shared" si="177"/>
        <v>-3000</v>
      </c>
      <c r="CH43" s="47">
        <f t="shared" si="177"/>
        <v>-3000</v>
      </c>
      <c r="CI43" s="47">
        <f t="shared" si="177"/>
        <v>-2900</v>
      </c>
      <c r="CJ43" s="47">
        <f t="shared" si="177"/>
        <v>-3000</v>
      </c>
      <c r="CK43" s="47">
        <f t="shared" si="177"/>
        <v>-3000</v>
      </c>
      <c r="CL43" s="47">
        <f t="shared" si="177"/>
        <v>-3000</v>
      </c>
      <c r="CM43" s="47">
        <f t="shared" si="177"/>
        <v>-3000</v>
      </c>
      <c r="CN43" s="47">
        <f t="shared" si="177"/>
        <v>-3000</v>
      </c>
      <c r="CO43" s="47">
        <f t="shared" si="177"/>
        <v>-3000</v>
      </c>
      <c r="CP43" s="47">
        <f t="shared" si="177"/>
        <v>-3000</v>
      </c>
      <c r="CQ43" s="47">
        <f t="shared" si="177"/>
        <v>-3000</v>
      </c>
      <c r="CR43" s="47"/>
      <c r="CS43" s="47"/>
      <c r="CT43" s="47"/>
      <c r="CU43" s="50" t="str">
        <f>IFERROR(__xludf.DUMMYFUNCTION("""COMPUTED_VALUE"""),"2738 Whitewood Dr.
Dallas, TX 75233          ")</f>
        <v>2738 Whitewood Dr.
Dallas, TX 75233          </v>
      </c>
      <c r="CV43" s="51">
        <f>IFERROR(__xludf.DUMMYFUNCTION("IF(REGEXMATCH(UPPER(CU43), ""TX""),0,1)"),0.0)</f>
        <v>0</v>
      </c>
      <c r="CW43" s="51">
        <f>IFERROR(__xludf.DUMMYFUNCTION("IF(REGEXMATCH(UPPER(CU43), ""DALLAS""),0,1)"),0.0)</f>
        <v>0</v>
      </c>
      <c r="CX43" s="51">
        <f t="shared" si="17"/>
        <v>0</v>
      </c>
      <c r="CY43" s="51">
        <f t="shared" si="18"/>
        <v>0</v>
      </c>
      <c r="CZ43" s="52" t="str">
        <f t="shared" si="19"/>
        <v/>
      </c>
      <c r="DA43" s="53" t="str">
        <f>IFERROR(__xludf.DUMMYFUNCTION("""COMPUTED_VALUE"""),"box 2246
Austin, TX 78768           ")</f>
        <v>box 2246
Austin, TX 78768           </v>
      </c>
      <c r="DB43" s="52">
        <f t="shared" ref="DB43:DU43" si="178">SUMIFS($AJ:$AJ,$X:$X,$DA43,$AK:$AK,DB$2)</f>
        <v>2500</v>
      </c>
      <c r="DC43" s="52">
        <f t="shared" si="178"/>
        <v>0</v>
      </c>
      <c r="DD43" s="52">
        <f t="shared" si="178"/>
        <v>0</v>
      </c>
      <c r="DE43" s="52">
        <f t="shared" si="178"/>
        <v>0</v>
      </c>
      <c r="DF43" s="52">
        <f t="shared" si="178"/>
        <v>0</v>
      </c>
      <c r="DG43" s="52">
        <f t="shared" si="178"/>
        <v>0</v>
      </c>
      <c r="DH43" s="52">
        <f t="shared" si="178"/>
        <v>0</v>
      </c>
      <c r="DI43" s="52">
        <f t="shared" si="178"/>
        <v>0</v>
      </c>
      <c r="DJ43" s="52">
        <f t="shared" si="178"/>
        <v>0</v>
      </c>
      <c r="DK43" s="52">
        <f t="shared" si="178"/>
        <v>0</v>
      </c>
      <c r="DL43" s="52">
        <f t="shared" si="178"/>
        <v>0</v>
      </c>
      <c r="DM43" s="52">
        <f t="shared" si="178"/>
        <v>0</v>
      </c>
      <c r="DN43" s="52">
        <f t="shared" si="178"/>
        <v>0</v>
      </c>
      <c r="DO43" s="52">
        <f t="shared" si="178"/>
        <v>0</v>
      </c>
      <c r="DP43" s="52">
        <f t="shared" si="178"/>
        <v>0</v>
      </c>
      <c r="DQ43" s="52">
        <f t="shared" si="178"/>
        <v>0</v>
      </c>
      <c r="DR43" s="52">
        <f t="shared" si="178"/>
        <v>0</v>
      </c>
      <c r="DS43" s="52">
        <f t="shared" si="178"/>
        <v>0</v>
      </c>
      <c r="DT43" s="52">
        <f t="shared" si="178"/>
        <v>0</v>
      </c>
      <c r="DU43" s="52">
        <f t="shared" si="178"/>
        <v>0</v>
      </c>
      <c r="DV43" s="52">
        <f t="shared" si="21"/>
        <v>2500</v>
      </c>
      <c r="DW43" s="52">
        <f t="shared" si="22"/>
        <v>1</v>
      </c>
    </row>
    <row r="44">
      <c r="A44" s="22" t="s">
        <v>55</v>
      </c>
      <c r="B44" s="23" t="s">
        <v>56</v>
      </c>
      <c r="C44" s="31" t="s">
        <v>160</v>
      </c>
      <c r="D44" s="25" t="str">
        <f>IFERROR(__xludf.DUMMYFUNCTION("SPLIT(C44,"" "")"),"Alpert,")</f>
        <v>Alpert,</v>
      </c>
      <c r="E44" s="22" t="str">
        <f>IFERROR(__xludf.DUMMYFUNCTION("""COMPUTED_VALUE"""),"Robert
4514")</f>
        <v>Robert
4514</v>
      </c>
      <c r="F44" s="22" t="str">
        <f>IFERROR(__xludf.DUMMYFUNCTION("""COMPUTED_VALUE"""),"Cole")</f>
        <v>Cole</v>
      </c>
      <c r="G44" s="22" t="str">
        <f>IFERROR(__xludf.DUMMYFUNCTION("""COMPUTED_VALUE"""),"Ave
Dallas,")</f>
        <v>Ave
Dallas,</v>
      </c>
      <c r="H44" s="22" t="str">
        <f>IFERROR(__xludf.DUMMYFUNCTION("""COMPUTED_VALUE"""),"TX")</f>
        <v>TX</v>
      </c>
      <c r="I44" s="22">
        <f>IFERROR(__xludf.DUMMYFUNCTION("""COMPUTED_VALUE"""),75205.0)</f>
        <v>75205</v>
      </c>
      <c r="J44" s="22"/>
      <c r="K44" s="22"/>
      <c r="L44" s="22"/>
      <c r="M44" s="22"/>
      <c r="N44" s="22"/>
      <c r="O44" s="22"/>
      <c r="P44" s="22"/>
      <c r="Q44" s="22"/>
      <c r="R44" s="22"/>
      <c r="S44" s="22"/>
      <c r="T44" s="22"/>
      <c r="U44" s="24" t="str">
        <f>IFERROR(__xludf.DUMMYFUNCTION("SPLIT(E44,""01234567890"")"),"Robert
")</f>
        <v>Robert
</v>
      </c>
      <c r="V44" s="24" t="str">
        <f>IFERROR(__xludf.DUMMYFUNCTION("SPLIT(D44,"","")"),"Alpert")</f>
        <v>Alpert</v>
      </c>
      <c r="W44" s="25" t="str">
        <f t="shared" si="1"/>
        <v>ROBERT
 ALPERT</v>
      </c>
      <c r="X44" s="25" t="s">
        <v>161</v>
      </c>
      <c r="Y44" s="25">
        <v>75205.0</v>
      </c>
      <c r="Z44" s="25" t="str">
        <f>IFERROR(__xludf.DUMMYFUNCTION("SPLIT(C44,""
"")"),"Alpert, Robert")</f>
        <v>Alpert, Robert</v>
      </c>
      <c r="AA44" s="25" t="str">
        <f>IFERROR(__xludf.DUMMYFUNCTION("""COMPUTED_VALUE"""),"4514 Cole Ave")</f>
        <v>4514 Cole Ave</v>
      </c>
      <c r="AB44" s="25" t="str">
        <f>IFERROR(__xludf.DUMMYFUNCTION("""COMPUTED_VALUE"""),"Dallas, TX 75205")</f>
        <v>Dallas, TX 75205</v>
      </c>
      <c r="AC44" s="24" t="s">
        <v>162</v>
      </c>
      <c r="AD44" s="25"/>
      <c r="AE44" s="25"/>
      <c r="AF44" s="25"/>
      <c r="AG44" s="22" t="s">
        <v>60</v>
      </c>
      <c r="AH44" s="54">
        <v>2437.0</v>
      </c>
      <c r="AI44" s="22" t="s">
        <v>61</v>
      </c>
      <c r="AJ44" s="27">
        <v>1000.0</v>
      </c>
      <c r="AK44" s="31" t="s">
        <v>25</v>
      </c>
      <c r="AL44" s="28">
        <v>44734.0</v>
      </c>
      <c r="AM44" s="29">
        <v>44754.83237268519</v>
      </c>
      <c r="AN44" s="30">
        <v>2.0</v>
      </c>
      <c r="AO44" s="22"/>
      <c r="AP44" s="22"/>
      <c r="AQ44" s="22"/>
      <c r="AR44" s="22"/>
      <c r="AS44" s="31">
        <f>IFERROR(__xludf.DUMMYFUNCTION("""COMPUTED_VALUE"""),76040.0)</f>
        <v>76040</v>
      </c>
      <c r="AT44" s="45">
        <f t="shared" si="6"/>
        <v>6250</v>
      </c>
      <c r="AU44" s="22"/>
      <c r="AV44" s="57" t="str">
        <f>IFERROR(__xludf.DUMMYFUNCTION("""COMPUTED_VALUE"""),"Baker")</f>
        <v>Baker</v>
      </c>
      <c r="AW44" s="46">
        <f t="shared" si="7"/>
        <v>2700</v>
      </c>
      <c r="AX44" s="47">
        <f t="shared" ref="AX44:BQ44" si="179">SUMIFS($AJ:$AJ,$V:$V,$AV44,$AK:$AK,AX$2)</f>
        <v>1000</v>
      </c>
      <c r="AY44" s="48">
        <f t="shared" si="179"/>
        <v>0</v>
      </c>
      <c r="AZ44" s="48">
        <f t="shared" si="179"/>
        <v>0</v>
      </c>
      <c r="BA44" s="48">
        <f t="shared" si="179"/>
        <v>1000</v>
      </c>
      <c r="BB44" s="48">
        <f t="shared" si="179"/>
        <v>0</v>
      </c>
      <c r="BC44" s="48">
        <f t="shared" si="179"/>
        <v>500</v>
      </c>
      <c r="BD44" s="48">
        <f t="shared" si="179"/>
        <v>0</v>
      </c>
      <c r="BE44" s="48">
        <f t="shared" si="179"/>
        <v>0</v>
      </c>
      <c r="BF44" s="48">
        <f t="shared" si="179"/>
        <v>0</v>
      </c>
      <c r="BG44" s="48">
        <f t="shared" si="179"/>
        <v>0</v>
      </c>
      <c r="BH44" s="48">
        <f t="shared" si="179"/>
        <v>0</v>
      </c>
      <c r="BI44" s="48">
        <f t="shared" si="179"/>
        <v>200</v>
      </c>
      <c r="BJ44" s="48">
        <f t="shared" si="179"/>
        <v>0</v>
      </c>
      <c r="BK44" s="48">
        <f t="shared" si="179"/>
        <v>0</v>
      </c>
      <c r="BL44" s="48">
        <f t="shared" si="179"/>
        <v>0</v>
      </c>
      <c r="BM44" s="48">
        <f t="shared" si="179"/>
        <v>0</v>
      </c>
      <c r="BN44" s="48">
        <f t="shared" si="179"/>
        <v>0</v>
      </c>
      <c r="BO44" s="48">
        <f t="shared" si="179"/>
        <v>0</v>
      </c>
      <c r="BP44" s="48">
        <f t="shared" si="179"/>
        <v>0</v>
      </c>
      <c r="BQ44" s="48">
        <f t="shared" si="179"/>
        <v>0</v>
      </c>
      <c r="BR44" s="36">
        <f t="shared" si="9"/>
        <v>1</v>
      </c>
      <c r="BS44" s="38">
        <f t="shared" si="10"/>
        <v>4</v>
      </c>
      <c r="BT44" s="49">
        <f t="shared" si="11"/>
        <v>0</v>
      </c>
      <c r="BU44" s="38">
        <f t="shared" si="12"/>
        <v>4000</v>
      </c>
      <c r="BV44" s="57" t="str">
        <f>IFERROR(__xludf.DUMMYFUNCTION("""COMPUTED_VALUE"""),"Baker")</f>
        <v>Baker</v>
      </c>
      <c r="BW44" s="46">
        <f t="shared" si="13"/>
        <v>2700</v>
      </c>
      <c r="BX44" s="47">
        <f t="shared" ref="BX44:CA44" si="180">AX44-$BU44</f>
        <v>-3000</v>
      </c>
      <c r="BY44" s="47">
        <f t="shared" si="180"/>
        <v>-4000</v>
      </c>
      <c r="BZ44" s="47">
        <f t="shared" si="180"/>
        <v>-4000</v>
      </c>
      <c r="CA44" s="47">
        <f t="shared" si="180"/>
        <v>-3000</v>
      </c>
      <c r="CB44" s="47">
        <f t="shared" si="15"/>
        <v>-40000</v>
      </c>
      <c r="CC44" s="47">
        <f t="shared" ref="CC44:CQ44" si="181">BC44-$BU44</f>
        <v>-3500</v>
      </c>
      <c r="CD44" s="47">
        <f t="shared" si="181"/>
        <v>-4000</v>
      </c>
      <c r="CE44" s="47">
        <f t="shared" si="181"/>
        <v>-4000</v>
      </c>
      <c r="CF44" s="47">
        <f t="shared" si="181"/>
        <v>-4000</v>
      </c>
      <c r="CG44" s="47">
        <f t="shared" si="181"/>
        <v>-4000</v>
      </c>
      <c r="CH44" s="47">
        <f t="shared" si="181"/>
        <v>-4000</v>
      </c>
      <c r="CI44" s="47">
        <f t="shared" si="181"/>
        <v>-3800</v>
      </c>
      <c r="CJ44" s="47">
        <f t="shared" si="181"/>
        <v>-4000</v>
      </c>
      <c r="CK44" s="47">
        <f t="shared" si="181"/>
        <v>-4000</v>
      </c>
      <c r="CL44" s="47">
        <f t="shared" si="181"/>
        <v>-4000</v>
      </c>
      <c r="CM44" s="47">
        <f t="shared" si="181"/>
        <v>-4000</v>
      </c>
      <c r="CN44" s="47">
        <f t="shared" si="181"/>
        <v>-4000</v>
      </c>
      <c r="CO44" s="47">
        <f t="shared" si="181"/>
        <v>-4000</v>
      </c>
      <c r="CP44" s="47">
        <f t="shared" si="181"/>
        <v>-4000</v>
      </c>
      <c r="CQ44" s="47">
        <f t="shared" si="181"/>
        <v>-4000</v>
      </c>
      <c r="CR44" s="47"/>
      <c r="CS44" s="47"/>
      <c r="CT44" s="47"/>
      <c r="CU44" s="50" t="str">
        <f>IFERROR(__xludf.DUMMYFUNCTION("""COMPUTED_VALUE"""),"3700 N Capital of TX Hwy
Austin, TX 78746       ")</f>
        <v>3700 N Capital of TX Hwy
Austin, TX 78746       </v>
      </c>
      <c r="CV44" s="51">
        <f>IFERROR(__xludf.DUMMYFUNCTION("IF(REGEXMATCH(UPPER(CU44), ""TX""),0,1)"),0.0)</f>
        <v>0</v>
      </c>
      <c r="CW44" s="51">
        <f>IFERROR(__xludf.DUMMYFUNCTION("IF(REGEXMATCH(UPPER(CU44), ""DALLAS""),0,1)"),1.0)</f>
        <v>1</v>
      </c>
      <c r="CX44" s="51">
        <f t="shared" si="17"/>
        <v>0</v>
      </c>
      <c r="CY44" s="51">
        <f t="shared" si="18"/>
        <v>1000</v>
      </c>
      <c r="CZ44" s="52" t="str">
        <f t="shared" si="19"/>
        <v>3700 N Capital of TX Hwy
Austin, TX 78746       </v>
      </c>
      <c r="DA44" s="53" t="str">
        <f>IFERROR(__xludf.DUMMYFUNCTION("""COMPUTED_VALUE"""),"1441 Van Winkle Drive
Carrollton, TX 75007         ")</f>
        <v>1441 Van Winkle Drive
Carrollton, TX 75007         </v>
      </c>
      <c r="DB44" s="52">
        <f t="shared" ref="DB44:DU44" si="182">SUMIFS($AJ:$AJ,$X:$X,$DA44,$AK:$AK,DB$2)</f>
        <v>0</v>
      </c>
      <c r="DC44" s="52">
        <f t="shared" si="182"/>
        <v>0</v>
      </c>
      <c r="DD44" s="52">
        <f t="shared" si="182"/>
        <v>0</v>
      </c>
      <c r="DE44" s="52">
        <f t="shared" si="182"/>
        <v>0</v>
      </c>
      <c r="DF44" s="52">
        <f t="shared" si="182"/>
        <v>250</v>
      </c>
      <c r="DG44" s="52">
        <f t="shared" si="182"/>
        <v>0</v>
      </c>
      <c r="DH44" s="52">
        <f t="shared" si="182"/>
        <v>0</v>
      </c>
      <c r="DI44" s="52">
        <f t="shared" si="182"/>
        <v>0</v>
      </c>
      <c r="DJ44" s="52">
        <f t="shared" si="182"/>
        <v>0</v>
      </c>
      <c r="DK44" s="52">
        <f t="shared" si="182"/>
        <v>0</v>
      </c>
      <c r="DL44" s="52">
        <f t="shared" si="182"/>
        <v>0</v>
      </c>
      <c r="DM44" s="52">
        <f t="shared" si="182"/>
        <v>0</v>
      </c>
      <c r="DN44" s="52">
        <f t="shared" si="182"/>
        <v>0</v>
      </c>
      <c r="DO44" s="52">
        <f t="shared" si="182"/>
        <v>0</v>
      </c>
      <c r="DP44" s="52">
        <f t="shared" si="182"/>
        <v>0</v>
      </c>
      <c r="DQ44" s="52">
        <f t="shared" si="182"/>
        <v>0</v>
      </c>
      <c r="DR44" s="52">
        <f t="shared" si="182"/>
        <v>0</v>
      </c>
      <c r="DS44" s="52">
        <f t="shared" si="182"/>
        <v>0</v>
      </c>
      <c r="DT44" s="52">
        <f t="shared" si="182"/>
        <v>0</v>
      </c>
      <c r="DU44" s="52">
        <f t="shared" si="182"/>
        <v>0</v>
      </c>
      <c r="DV44" s="52">
        <f t="shared" si="21"/>
        <v>250</v>
      </c>
      <c r="DW44" s="52">
        <f t="shared" si="22"/>
        <v>1</v>
      </c>
    </row>
    <row r="45">
      <c r="A45" s="41" t="s">
        <v>64</v>
      </c>
      <c r="B45" s="41" t="s">
        <v>56</v>
      </c>
      <c r="C45" s="31" t="s">
        <v>163</v>
      </c>
      <c r="D45" s="25" t="str">
        <f>IFERROR(__xludf.DUMMYFUNCTION("SPLIT(C45,"" "")"),"Alvarado,")</f>
        <v>Alvarado,</v>
      </c>
      <c r="E45" s="40" t="str">
        <f>IFERROR(__xludf.DUMMYFUNCTION("""COMPUTED_VALUE"""),"Barbara
318")</f>
        <v>Barbara
318</v>
      </c>
      <c r="F45" s="40" t="str">
        <f>IFERROR(__xludf.DUMMYFUNCTION("""COMPUTED_VALUE"""),"S.")</f>
        <v>S.</v>
      </c>
      <c r="G45" s="40" t="str">
        <f>IFERROR(__xludf.DUMMYFUNCTION("""COMPUTED_VALUE"""),"Waverly")</f>
        <v>Waverly</v>
      </c>
      <c r="H45" s="40" t="str">
        <f>IFERROR(__xludf.DUMMYFUNCTION("""COMPUTED_VALUE"""),"Dr.
Dallas,")</f>
        <v>Dr.
Dallas,</v>
      </c>
      <c r="I45" s="40" t="str">
        <f>IFERROR(__xludf.DUMMYFUNCTION("""COMPUTED_VALUE"""),"TX")</f>
        <v>TX</v>
      </c>
      <c r="J45" s="40">
        <f>IFERROR(__xludf.DUMMYFUNCTION("""COMPUTED_VALUE"""),75208.0)</f>
        <v>75208</v>
      </c>
      <c r="K45" s="40"/>
      <c r="L45" s="40"/>
      <c r="M45" s="40"/>
      <c r="N45" s="40"/>
      <c r="O45" s="40"/>
      <c r="P45" s="40"/>
      <c r="Q45" s="40"/>
      <c r="R45" s="40"/>
      <c r="S45" s="40"/>
      <c r="T45" s="40"/>
      <c r="U45" s="24" t="str">
        <f>IFERROR(__xludf.DUMMYFUNCTION("SPLIT(E45,""01234567890"")"),"Barbara
")</f>
        <v>Barbara
</v>
      </c>
      <c r="V45" s="24" t="str">
        <f>IFERROR(__xludf.DUMMYFUNCTION("SPLIT(D45,"","")"),"Alvarado")</f>
        <v>Alvarado</v>
      </c>
      <c r="W45" s="25" t="str">
        <f t="shared" si="1"/>
        <v>BARBARA
 ALVARADO</v>
      </c>
      <c r="X45" s="25" t="s">
        <v>164</v>
      </c>
      <c r="Y45" s="25">
        <v>75208.0</v>
      </c>
      <c r="Z45" s="25" t="str">
        <f>IFERROR(__xludf.DUMMYFUNCTION("SPLIT(C45,""
"")"),"Alvarado, Barbara")</f>
        <v>Alvarado, Barbara</v>
      </c>
      <c r="AA45" s="25" t="str">
        <f>IFERROR(__xludf.DUMMYFUNCTION("""COMPUTED_VALUE"""),"318 S. Waverly Dr.")</f>
        <v>318 S. Waverly Dr.</v>
      </c>
      <c r="AB45" s="25" t="str">
        <f>IFERROR(__xludf.DUMMYFUNCTION("""COMPUTED_VALUE"""),"Dallas, TX 75208")</f>
        <v>Dallas, TX 75208</v>
      </c>
      <c r="AC45" s="24" t="s">
        <v>165</v>
      </c>
      <c r="AD45" s="25"/>
      <c r="AE45" s="25"/>
      <c r="AF45" s="25"/>
      <c r="AG45" s="40" t="s">
        <v>60</v>
      </c>
      <c r="AH45" s="42">
        <v>2501.0</v>
      </c>
      <c r="AI45" s="40" t="s">
        <v>68</v>
      </c>
      <c r="AJ45" s="27">
        <v>100.0</v>
      </c>
      <c r="AK45" s="31" t="s">
        <v>21</v>
      </c>
      <c r="AL45" s="43">
        <v>44905.0</v>
      </c>
      <c r="AM45" s="44">
        <v>44943.63122685185</v>
      </c>
      <c r="AN45" s="30">
        <v>2.0</v>
      </c>
      <c r="AO45" s="40"/>
      <c r="AP45" s="40"/>
      <c r="AQ45" s="40"/>
      <c r="AR45" s="40"/>
      <c r="AS45" s="31">
        <f>IFERROR(__xludf.DUMMYFUNCTION("""COMPUTED_VALUE"""),75254.0)</f>
        <v>75254</v>
      </c>
      <c r="AT45" s="45">
        <f t="shared" si="6"/>
        <v>4180</v>
      </c>
      <c r="AU45" s="40"/>
      <c r="AV45" s="46" t="str">
        <f>IFERROR(__xludf.DUMMYFUNCTION("""COMPUTED_VALUE"""),"Bame")</f>
        <v>Bame</v>
      </c>
      <c r="AW45" s="46">
        <f t="shared" si="7"/>
        <v>1900</v>
      </c>
      <c r="AX45" s="47">
        <f t="shared" ref="AX45:BQ45" si="183">SUMIFS($AJ:$AJ,$V:$V,$AV45,$AK:$AK,AX$2)</f>
        <v>1900</v>
      </c>
      <c r="AY45" s="48">
        <f t="shared" si="183"/>
        <v>0</v>
      </c>
      <c r="AZ45" s="48">
        <f t="shared" si="183"/>
        <v>0</v>
      </c>
      <c r="BA45" s="48">
        <f t="shared" si="183"/>
        <v>0</v>
      </c>
      <c r="BB45" s="48">
        <f t="shared" si="183"/>
        <v>0</v>
      </c>
      <c r="BC45" s="48">
        <f t="shared" si="183"/>
        <v>0</v>
      </c>
      <c r="BD45" s="48">
        <f t="shared" si="183"/>
        <v>0</v>
      </c>
      <c r="BE45" s="48">
        <f t="shared" si="183"/>
        <v>0</v>
      </c>
      <c r="BF45" s="48">
        <f t="shared" si="183"/>
        <v>0</v>
      </c>
      <c r="BG45" s="48">
        <f t="shared" si="183"/>
        <v>0</v>
      </c>
      <c r="BH45" s="48">
        <f t="shared" si="183"/>
        <v>0</v>
      </c>
      <c r="BI45" s="48">
        <f t="shared" si="183"/>
        <v>0</v>
      </c>
      <c r="BJ45" s="48">
        <f t="shared" si="183"/>
        <v>0</v>
      </c>
      <c r="BK45" s="48">
        <f t="shared" si="183"/>
        <v>0</v>
      </c>
      <c r="BL45" s="48">
        <f t="shared" si="183"/>
        <v>0</v>
      </c>
      <c r="BM45" s="48">
        <f t="shared" si="183"/>
        <v>0</v>
      </c>
      <c r="BN45" s="48">
        <f t="shared" si="183"/>
        <v>0</v>
      </c>
      <c r="BO45" s="48">
        <f t="shared" si="183"/>
        <v>0</v>
      </c>
      <c r="BP45" s="48">
        <f t="shared" si="183"/>
        <v>0</v>
      </c>
      <c r="BQ45" s="48">
        <f t="shared" si="183"/>
        <v>0</v>
      </c>
      <c r="BR45" s="36">
        <f t="shared" si="9"/>
        <v>0</v>
      </c>
      <c r="BS45" s="38">
        <f t="shared" si="10"/>
        <v>1</v>
      </c>
      <c r="BT45" s="49">
        <f t="shared" si="11"/>
        <v>0</v>
      </c>
      <c r="BU45" s="38">
        <f t="shared" si="12"/>
        <v>1000</v>
      </c>
      <c r="BV45" s="46" t="str">
        <f>IFERROR(__xludf.DUMMYFUNCTION("""COMPUTED_VALUE"""),"Bame")</f>
        <v>Bame</v>
      </c>
      <c r="BW45" s="46">
        <f t="shared" si="13"/>
        <v>1900</v>
      </c>
      <c r="BX45" s="47">
        <f t="shared" ref="BX45:CA45" si="184">AX45-$BU45</f>
        <v>900</v>
      </c>
      <c r="BY45" s="47">
        <f t="shared" si="184"/>
        <v>-1000</v>
      </c>
      <c r="BZ45" s="47">
        <f t="shared" si="184"/>
        <v>-1000</v>
      </c>
      <c r="CA45" s="47">
        <f t="shared" si="184"/>
        <v>-1000</v>
      </c>
      <c r="CB45" s="47">
        <f t="shared" si="15"/>
        <v>-10000</v>
      </c>
      <c r="CC45" s="47">
        <f t="shared" ref="CC45:CQ45" si="185">BC45-$BU45</f>
        <v>-1000</v>
      </c>
      <c r="CD45" s="47">
        <f t="shared" si="185"/>
        <v>-1000</v>
      </c>
      <c r="CE45" s="47">
        <f t="shared" si="185"/>
        <v>-1000</v>
      </c>
      <c r="CF45" s="47">
        <f t="shared" si="185"/>
        <v>-1000</v>
      </c>
      <c r="CG45" s="47">
        <f t="shared" si="185"/>
        <v>-1000</v>
      </c>
      <c r="CH45" s="47">
        <f t="shared" si="185"/>
        <v>-1000</v>
      </c>
      <c r="CI45" s="47">
        <f t="shared" si="185"/>
        <v>-1000</v>
      </c>
      <c r="CJ45" s="47">
        <f t="shared" si="185"/>
        <v>-1000</v>
      </c>
      <c r="CK45" s="47">
        <f t="shared" si="185"/>
        <v>-1000</v>
      </c>
      <c r="CL45" s="47">
        <f t="shared" si="185"/>
        <v>-1000</v>
      </c>
      <c r="CM45" s="47">
        <f t="shared" si="185"/>
        <v>-1000</v>
      </c>
      <c r="CN45" s="47">
        <f t="shared" si="185"/>
        <v>-1000</v>
      </c>
      <c r="CO45" s="47">
        <f t="shared" si="185"/>
        <v>-1000</v>
      </c>
      <c r="CP45" s="47">
        <f t="shared" si="185"/>
        <v>-1000</v>
      </c>
      <c r="CQ45" s="47">
        <f t="shared" si="185"/>
        <v>-1000</v>
      </c>
      <c r="CR45" s="47"/>
      <c r="CS45" s="47"/>
      <c r="CT45" s="47"/>
      <c r="CU45" s="50" t="str">
        <f>IFERROR(__xludf.DUMMYFUNCTION("""COMPUTED_VALUE"""),"3808 Southwestern Blvd.
Dallas, TX 75225          ")</f>
        <v>3808 Southwestern Blvd.
Dallas, TX 75225          </v>
      </c>
      <c r="CV45" s="51">
        <f>IFERROR(__xludf.DUMMYFUNCTION("IF(REGEXMATCH(UPPER(CU45), ""TX""),0,1)"),0.0)</f>
        <v>0</v>
      </c>
      <c r="CW45" s="51">
        <f>IFERROR(__xludf.DUMMYFUNCTION("IF(REGEXMATCH(UPPER(CU45), ""DALLAS""),0,1)"),0.0)</f>
        <v>0</v>
      </c>
      <c r="CX45" s="51">
        <f t="shared" si="17"/>
        <v>0</v>
      </c>
      <c r="CY45" s="51">
        <f t="shared" si="18"/>
        <v>0</v>
      </c>
      <c r="CZ45" s="52" t="str">
        <f t="shared" si="19"/>
        <v/>
      </c>
      <c r="DA45" s="53" t="str">
        <f>IFERROR(__xludf.DUMMYFUNCTION("""COMPUTED_VALUE"""),"6504 Bailey Road
Sachse, TX 75048          ")</f>
        <v>6504 Bailey Road
Sachse, TX 75048          </v>
      </c>
      <c r="DB45" s="52">
        <f t="shared" ref="DB45:DU45" si="186">SUMIFS($AJ:$AJ,$X:$X,$DA45,$AK:$AK,DB$2)</f>
        <v>0</v>
      </c>
      <c r="DC45" s="52">
        <f t="shared" si="186"/>
        <v>0</v>
      </c>
      <c r="DD45" s="52">
        <f t="shared" si="186"/>
        <v>0</v>
      </c>
      <c r="DE45" s="52">
        <f t="shared" si="186"/>
        <v>0</v>
      </c>
      <c r="DF45" s="52">
        <f t="shared" si="186"/>
        <v>1000</v>
      </c>
      <c r="DG45" s="52">
        <f t="shared" si="186"/>
        <v>0</v>
      </c>
      <c r="DH45" s="52">
        <f t="shared" si="186"/>
        <v>0</v>
      </c>
      <c r="DI45" s="52">
        <f t="shared" si="186"/>
        <v>0</v>
      </c>
      <c r="DJ45" s="52">
        <f t="shared" si="186"/>
        <v>0</v>
      </c>
      <c r="DK45" s="52">
        <f t="shared" si="186"/>
        <v>0</v>
      </c>
      <c r="DL45" s="52">
        <f t="shared" si="186"/>
        <v>0</v>
      </c>
      <c r="DM45" s="52">
        <f t="shared" si="186"/>
        <v>0</v>
      </c>
      <c r="DN45" s="52">
        <f t="shared" si="186"/>
        <v>0</v>
      </c>
      <c r="DO45" s="52">
        <f t="shared" si="186"/>
        <v>0</v>
      </c>
      <c r="DP45" s="52">
        <f t="shared" si="186"/>
        <v>0</v>
      </c>
      <c r="DQ45" s="52">
        <f t="shared" si="186"/>
        <v>0</v>
      </c>
      <c r="DR45" s="52">
        <f t="shared" si="186"/>
        <v>0</v>
      </c>
      <c r="DS45" s="52">
        <f t="shared" si="186"/>
        <v>0</v>
      </c>
      <c r="DT45" s="52">
        <f t="shared" si="186"/>
        <v>0</v>
      </c>
      <c r="DU45" s="52">
        <f t="shared" si="186"/>
        <v>0</v>
      </c>
      <c r="DV45" s="52">
        <f t="shared" si="21"/>
        <v>1000</v>
      </c>
      <c r="DW45" s="52">
        <f t="shared" si="22"/>
        <v>1</v>
      </c>
    </row>
    <row r="46">
      <c r="A46" s="23" t="s">
        <v>64</v>
      </c>
      <c r="B46" s="23" t="s">
        <v>56</v>
      </c>
      <c r="C46" s="31" t="s">
        <v>166</v>
      </c>
      <c r="D46" s="25" t="str">
        <f>IFERROR(__xludf.DUMMYFUNCTION("SPLIT(C46,"" "")"),"American")</f>
        <v>American</v>
      </c>
      <c r="E46" s="22" t="str">
        <f>IFERROR(__xludf.DUMMYFUNCTION("""COMPUTED_VALUE"""),"Airlines")</f>
        <v>Airlines</v>
      </c>
      <c r="F46" s="22" t="str">
        <f>IFERROR(__xludf.DUMMYFUNCTION("""COMPUTED_VALUE"""),"PAC
1200")</f>
        <v>PAC
1200</v>
      </c>
      <c r="G46" s="22" t="str">
        <f>IFERROR(__xludf.DUMMYFUNCTION("""COMPUTED_VALUE"""),"17th")</f>
        <v>17th</v>
      </c>
      <c r="H46" s="22" t="str">
        <f>IFERROR(__xludf.DUMMYFUNCTION("""COMPUTED_VALUE"""),"St")</f>
        <v>St</v>
      </c>
      <c r="I46" s="22" t="str">
        <f>IFERROR(__xludf.DUMMYFUNCTION("""COMPUTED_VALUE"""),"NW
Washington,")</f>
        <v>NW
Washington,</v>
      </c>
      <c r="J46" s="22" t="str">
        <f>IFERROR(__xludf.DUMMYFUNCTION("""COMPUTED_VALUE"""),"DC")</f>
        <v>DC</v>
      </c>
      <c r="K46" s="22">
        <f>IFERROR(__xludf.DUMMYFUNCTION("""COMPUTED_VALUE"""),20036.0)</f>
        <v>20036</v>
      </c>
      <c r="L46" s="22"/>
      <c r="M46" s="22"/>
      <c r="N46" s="22"/>
      <c r="O46" s="22"/>
      <c r="P46" s="22"/>
      <c r="Q46" s="22"/>
      <c r="R46" s="22"/>
      <c r="S46" s="22"/>
      <c r="T46" s="22"/>
      <c r="U46" s="24" t="str">
        <f>IFERROR(__xludf.DUMMYFUNCTION("SPLIT(E46,""01234567890"")"),"Airlines")</f>
        <v>Airlines</v>
      </c>
      <c r="V46" s="24" t="str">
        <f>IFERROR(__xludf.DUMMYFUNCTION("SPLIT(D46,"","")"),"American")</f>
        <v>American</v>
      </c>
      <c r="W46" s="25" t="str">
        <f t="shared" si="1"/>
        <v>AIRLINES AMERICAN</v>
      </c>
      <c r="X46" s="25" t="s">
        <v>167</v>
      </c>
      <c r="Y46" s="25">
        <v>17.0</v>
      </c>
      <c r="Z46" s="25" t="str">
        <f>IFERROR(__xludf.DUMMYFUNCTION("SPLIT(C46,""
"")"),"American Airlines PAC")</f>
        <v>American Airlines PAC</v>
      </c>
      <c r="AA46" s="25" t="str">
        <f>IFERROR(__xludf.DUMMYFUNCTION("""COMPUTED_VALUE"""),"1200 17th St NW")</f>
        <v>1200 17th St NW</v>
      </c>
      <c r="AB46" s="25" t="str">
        <f>IFERROR(__xludf.DUMMYFUNCTION("""COMPUTED_VALUE"""),"Washington, DC 20036")</f>
        <v>Washington, DC 20036</v>
      </c>
      <c r="AC46" s="24" t="s">
        <v>168</v>
      </c>
      <c r="AD46" s="25"/>
      <c r="AE46" s="25"/>
      <c r="AF46" s="25"/>
      <c r="AG46" s="22" t="s">
        <v>60</v>
      </c>
      <c r="AH46" s="54">
        <v>2481.0</v>
      </c>
      <c r="AI46" s="22" t="s">
        <v>68</v>
      </c>
      <c r="AJ46" s="27">
        <v>2500.0</v>
      </c>
      <c r="AK46" s="31" t="s">
        <v>25</v>
      </c>
      <c r="AL46" s="28">
        <v>44826.0</v>
      </c>
      <c r="AM46" s="29">
        <v>44937.81995370371</v>
      </c>
      <c r="AN46" s="30">
        <v>2.0</v>
      </c>
      <c r="AO46" s="22"/>
      <c r="AP46" s="22"/>
      <c r="AQ46" s="22"/>
      <c r="AR46" s="22"/>
      <c r="AS46" s="31">
        <f>IFERROR(__xludf.DUMMYFUNCTION("""COMPUTED_VALUE"""),11733.0)</f>
        <v>11733</v>
      </c>
      <c r="AT46" s="45">
        <f t="shared" si="6"/>
        <v>25</v>
      </c>
      <c r="AU46" s="22"/>
      <c r="AV46" s="57" t="str">
        <f>IFERROR(__xludf.DUMMYFUNCTION("""COMPUTED_VALUE"""),"Banerjee")</f>
        <v>Banerjee</v>
      </c>
      <c r="AW46" s="46">
        <f t="shared" si="7"/>
        <v>50</v>
      </c>
      <c r="AX46" s="47">
        <f t="shared" ref="AX46:BQ46" si="187">SUMIFS($AJ:$AJ,$V:$V,$AV46,$AK:$AK,AX$2)</f>
        <v>0</v>
      </c>
      <c r="AY46" s="48">
        <f t="shared" si="187"/>
        <v>0</v>
      </c>
      <c r="AZ46" s="48">
        <f t="shared" si="187"/>
        <v>50</v>
      </c>
      <c r="BA46" s="48">
        <f t="shared" si="187"/>
        <v>0</v>
      </c>
      <c r="BB46" s="48">
        <f t="shared" si="187"/>
        <v>0</v>
      </c>
      <c r="BC46" s="48">
        <f t="shared" si="187"/>
        <v>0</v>
      </c>
      <c r="BD46" s="48">
        <f t="shared" si="187"/>
        <v>0</v>
      </c>
      <c r="BE46" s="48">
        <f t="shared" si="187"/>
        <v>0</v>
      </c>
      <c r="BF46" s="48">
        <f t="shared" si="187"/>
        <v>0</v>
      </c>
      <c r="BG46" s="48">
        <f t="shared" si="187"/>
        <v>0</v>
      </c>
      <c r="BH46" s="48">
        <f t="shared" si="187"/>
        <v>0</v>
      </c>
      <c r="BI46" s="48">
        <f t="shared" si="187"/>
        <v>0</v>
      </c>
      <c r="BJ46" s="48">
        <f t="shared" si="187"/>
        <v>0</v>
      </c>
      <c r="BK46" s="48">
        <f t="shared" si="187"/>
        <v>0</v>
      </c>
      <c r="BL46" s="48">
        <f t="shared" si="187"/>
        <v>0</v>
      </c>
      <c r="BM46" s="48">
        <f t="shared" si="187"/>
        <v>0</v>
      </c>
      <c r="BN46" s="48">
        <f t="shared" si="187"/>
        <v>0</v>
      </c>
      <c r="BO46" s="48">
        <f t="shared" si="187"/>
        <v>0</v>
      </c>
      <c r="BP46" s="48">
        <f t="shared" si="187"/>
        <v>0</v>
      </c>
      <c r="BQ46" s="48">
        <f t="shared" si="187"/>
        <v>0</v>
      </c>
      <c r="BR46" s="36">
        <f t="shared" si="9"/>
        <v>0</v>
      </c>
      <c r="BS46" s="38">
        <f t="shared" si="10"/>
        <v>1</v>
      </c>
      <c r="BT46" s="49">
        <f t="shared" si="11"/>
        <v>0</v>
      </c>
      <c r="BU46" s="38">
        <f t="shared" si="12"/>
        <v>1000</v>
      </c>
      <c r="BV46" s="57" t="str">
        <f>IFERROR(__xludf.DUMMYFUNCTION("""COMPUTED_VALUE"""),"Banerjee")</f>
        <v>Banerjee</v>
      </c>
      <c r="BW46" s="46">
        <f t="shared" si="13"/>
        <v>50</v>
      </c>
      <c r="BX46" s="47">
        <f t="shared" ref="BX46:CA46" si="188">AX46-$BU46</f>
        <v>-1000</v>
      </c>
      <c r="BY46" s="47">
        <f t="shared" si="188"/>
        <v>-1000</v>
      </c>
      <c r="BZ46" s="47">
        <f t="shared" si="188"/>
        <v>-950</v>
      </c>
      <c r="CA46" s="47">
        <f t="shared" si="188"/>
        <v>-1000</v>
      </c>
      <c r="CB46" s="47">
        <f t="shared" si="15"/>
        <v>-10000</v>
      </c>
      <c r="CC46" s="47">
        <f t="shared" ref="CC46:CQ46" si="189">BC46-$BU46</f>
        <v>-1000</v>
      </c>
      <c r="CD46" s="47">
        <f t="shared" si="189"/>
        <v>-1000</v>
      </c>
      <c r="CE46" s="47">
        <f t="shared" si="189"/>
        <v>-1000</v>
      </c>
      <c r="CF46" s="47">
        <f t="shared" si="189"/>
        <v>-1000</v>
      </c>
      <c r="CG46" s="47">
        <f t="shared" si="189"/>
        <v>-1000</v>
      </c>
      <c r="CH46" s="47">
        <f t="shared" si="189"/>
        <v>-1000</v>
      </c>
      <c r="CI46" s="47">
        <f t="shared" si="189"/>
        <v>-1000</v>
      </c>
      <c r="CJ46" s="47">
        <f t="shared" si="189"/>
        <v>-1000</v>
      </c>
      <c r="CK46" s="47">
        <f t="shared" si="189"/>
        <v>-1000</v>
      </c>
      <c r="CL46" s="47">
        <f t="shared" si="189"/>
        <v>-1000</v>
      </c>
      <c r="CM46" s="47">
        <f t="shared" si="189"/>
        <v>-1000</v>
      </c>
      <c r="CN46" s="47">
        <f t="shared" si="189"/>
        <v>-1000</v>
      </c>
      <c r="CO46" s="47">
        <f t="shared" si="189"/>
        <v>-1000</v>
      </c>
      <c r="CP46" s="47">
        <f t="shared" si="189"/>
        <v>-1000</v>
      </c>
      <c r="CQ46" s="47">
        <f t="shared" si="189"/>
        <v>-1000</v>
      </c>
      <c r="CR46" s="47"/>
      <c r="CS46" s="47"/>
      <c r="CT46" s="47"/>
      <c r="CU46" s="50" t="str">
        <f>IFERROR(__xludf.DUMMYFUNCTION("""COMPUTED_VALUE"""),"657 Knights Way
Coppell, TX 75019          ")</f>
        <v>657 Knights Way
Coppell, TX 75019          </v>
      </c>
      <c r="CV46" s="51">
        <f>IFERROR(__xludf.DUMMYFUNCTION("IF(REGEXMATCH(UPPER(CU46), ""TX""),0,1)"),0.0)</f>
        <v>0</v>
      </c>
      <c r="CW46" s="51">
        <f>IFERROR(__xludf.DUMMYFUNCTION("IF(REGEXMATCH(UPPER(CU46), ""DALLAS""),0,1)"),1.0)</f>
        <v>1</v>
      </c>
      <c r="CX46" s="51">
        <f t="shared" si="17"/>
        <v>0</v>
      </c>
      <c r="CY46" s="51">
        <f t="shared" si="18"/>
        <v>500</v>
      </c>
      <c r="CZ46" s="52" t="str">
        <f t="shared" si="19"/>
        <v>657 Knights Way
Coppell, TX 75019          </v>
      </c>
      <c r="DA46" s="53" t="str">
        <f>IFERROR(__xludf.DUMMYFUNCTION("""COMPUTED_VALUE"""),"2335 Hyde Street
San Francisco, CA 94109         ")</f>
        <v>2335 Hyde Street
San Francisco, CA 94109         </v>
      </c>
      <c r="DB46" s="52">
        <f t="shared" ref="DB46:DU46" si="190">SUMIFS($AJ:$AJ,$X:$X,$DA46,$AK:$AK,DB$2)</f>
        <v>0</v>
      </c>
      <c r="DC46" s="52">
        <f t="shared" si="190"/>
        <v>0</v>
      </c>
      <c r="DD46" s="52">
        <f t="shared" si="190"/>
        <v>0</v>
      </c>
      <c r="DE46" s="52">
        <f t="shared" si="190"/>
        <v>0</v>
      </c>
      <c r="DF46" s="52">
        <f t="shared" si="190"/>
        <v>100</v>
      </c>
      <c r="DG46" s="52">
        <f t="shared" si="190"/>
        <v>0</v>
      </c>
      <c r="DH46" s="52">
        <f t="shared" si="190"/>
        <v>0</v>
      </c>
      <c r="DI46" s="52">
        <f t="shared" si="190"/>
        <v>0</v>
      </c>
      <c r="DJ46" s="52">
        <f t="shared" si="190"/>
        <v>0</v>
      </c>
      <c r="DK46" s="52">
        <f t="shared" si="190"/>
        <v>0</v>
      </c>
      <c r="DL46" s="52">
        <f t="shared" si="190"/>
        <v>0</v>
      </c>
      <c r="DM46" s="52">
        <f t="shared" si="190"/>
        <v>0</v>
      </c>
      <c r="DN46" s="52">
        <f t="shared" si="190"/>
        <v>0</v>
      </c>
      <c r="DO46" s="52">
        <f t="shared" si="190"/>
        <v>0</v>
      </c>
      <c r="DP46" s="52">
        <f t="shared" si="190"/>
        <v>0</v>
      </c>
      <c r="DQ46" s="52">
        <f t="shared" si="190"/>
        <v>0</v>
      </c>
      <c r="DR46" s="52">
        <f t="shared" si="190"/>
        <v>0</v>
      </c>
      <c r="DS46" s="52">
        <f t="shared" si="190"/>
        <v>0</v>
      </c>
      <c r="DT46" s="52">
        <f t="shared" si="190"/>
        <v>0</v>
      </c>
      <c r="DU46" s="52">
        <f t="shared" si="190"/>
        <v>0</v>
      </c>
      <c r="DV46" s="52">
        <f t="shared" si="21"/>
        <v>100</v>
      </c>
      <c r="DW46" s="52">
        <f t="shared" si="22"/>
        <v>1</v>
      </c>
    </row>
    <row r="47">
      <c r="A47" s="41" t="s">
        <v>64</v>
      </c>
      <c r="B47" s="41" t="s">
        <v>56</v>
      </c>
      <c r="C47" s="31" t="s">
        <v>169</v>
      </c>
      <c r="D47" s="25" t="str">
        <f>IFERROR(__xludf.DUMMYFUNCTION("SPLIT(C47,"" "")"),"American")</f>
        <v>American</v>
      </c>
      <c r="E47" s="40" t="str">
        <f>IFERROR(__xludf.DUMMYFUNCTION("""COMPUTED_VALUE"""),"Airlines")</f>
        <v>Airlines</v>
      </c>
      <c r="F47" s="40" t="str">
        <f>IFERROR(__xludf.DUMMYFUNCTION("""COMPUTED_VALUE"""),"PAC
1200")</f>
        <v>PAC
1200</v>
      </c>
      <c r="G47" s="40" t="str">
        <f>IFERROR(__xludf.DUMMYFUNCTION("""COMPUTED_VALUE"""),"17th")</f>
        <v>17th</v>
      </c>
      <c r="H47" s="40" t="str">
        <f>IFERROR(__xludf.DUMMYFUNCTION("""COMPUTED_VALUE"""),"Street")</f>
        <v>Street</v>
      </c>
      <c r="I47" s="40" t="str">
        <f>IFERROR(__xludf.DUMMYFUNCTION("""COMPUTED_VALUE"""),"NW
Washington,")</f>
        <v>NW
Washington,</v>
      </c>
      <c r="J47" s="40" t="str">
        <f>IFERROR(__xludf.DUMMYFUNCTION("""COMPUTED_VALUE"""),"DC")</f>
        <v>DC</v>
      </c>
      <c r="K47" s="40">
        <f>IFERROR(__xludf.DUMMYFUNCTION("""COMPUTED_VALUE"""),20036.0)</f>
        <v>20036</v>
      </c>
      <c r="L47" s="40"/>
      <c r="M47" s="40"/>
      <c r="N47" s="40"/>
      <c r="O47" s="40"/>
      <c r="P47" s="40"/>
      <c r="Q47" s="40"/>
      <c r="R47" s="40"/>
      <c r="S47" s="40"/>
      <c r="T47" s="40"/>
      <c r="U47" s="24" t="str">
        <f>IFERROR(__xludf.DUMMYFUNCTION("SPLIT(E47,""01234567890"")"),"Airlines")</f>
        <v>Airlines</v>
      </c>
      <c r="V47" s="24" t="str">
        <f>IFERROR(__xludf.DUMMYFUNCTION("SPLIT(D47,"","")"),"American")</f>
        <v>American</v>
      </c>
      <c r="W47" s="25" t="str">
        <f t="shared" si="1"/>
        <v>AIRLINES AMERICAN</v>
      </c>
      <c r="X47" s="25" t="s">
        <v>170</v>
      </c>
      <c r="Y47" s="25">
        <v>17.0</v>
      </c>
      <c r="Z47" s="25" t="str">
        <f>IFERROR(__xludf.DUMMYFUNCTION("SPLIT(C47,""
"")"),"American Airlines PAC")</f>
        <v>American Airlines PAC</v>
      </c>
      <c r="AA47" s="25" t="str">
        <f>IFERROR(__xludf.DUMMYFUNCTION("""COMPUTED_VALUE"""),"1200 17th Street NW")</f>
        <v>1200 17th Street NW</v>
      </c>
      <c r="AB47" s="25" t="str">
        <f>IFERROR(__xludf.DUMMYFUNCTION("""COMPUTED_VALUE"""),"Washington, DC 20036")</f>
        <v>Washington, DC 20036</v>
      </c>
      <c r="AC47" s="24" t="s">
        <v>168</v>
      </c>
      <c r="AD47" s="25"/>
      <c r="AE47" s="25"/>
      <c r="AF47" s="25"/>
      <c r="AG47" s="40" t="s">
        <v>60</v>
      </c>
      <c r="AH47" s="42">
        <v>2481.0</v>
      </c>
      <c r="AI47" s="40" t="s">
        <v>68</v>
      </c>
      <c r="AJ47" s="27">
        <v>2500.0</v>
      </c>
      <c r="AK47" s="31" t="s">
        <v>25</v>
      </c>
      <c r="AL47" s="43">
        <v>44841.0</v>
      </c>
      <c r="AM47" s="44">
        <v>44937.81995370371</v>
      </c>
      <c r="AN47" s="30">
        <v>2.0</v>
      </c>
      <c r="AO47" s="40"/>
      <c r="AP47" s="40"/>
      <c r="AQ47" s="40"/>
      <c r="AR47" s="40"/>
      <c r="AS47" s="31">
        <f>IFERROR(__xludf.DUMMYFUNCTION("""COMPUTED_VALUE"""),75227.0)</f>
        <v>75227</v>
      </c>
      <c r="AT47" s="45">
        <f t="shared" si="6"/>
        <v>350</v>
      </c>
      <c r="AU47" s="40"/>
      <c r="AV47" s="46" t="str">
        <f>IFERROR(__xludf.DUMMYFUNCTION("""COMPUTED_VALUE"""),"Barab")</f>
        <v>Barab</v>
      </c>
      <c r="AW47" s="46">
        <f t="shared" si="7"/>
        <v>500</v>
      </c>
      <c r="AX47" s="47">
        <f t="shared" ref="AX47:BQ47" si="191">SUMIFS($AJ:$AJ,$V:$V,$AV47,$AK:$AK,AX$2)</f>
        <v>0</v>
      </c>
      <c r="AY47" s="48">
        <f t="shared" si="191"/>
        <v>0</v>
      </c>
      <c r="AZ47" s="48">
        <f t="shared" si="191"/>
        <v>0</v>
      </c>
      <c r="BA47" s="48">
        <f t="shared" si="191"/>
        <v>0</v>
      </c>
      <c r="BB47" s="48">
        <f t="shared" si="191"/>
        <v>0</v>
      </c>
      <c r="BC47" s="48">
        <f t="shared" si="191"/>
        <v>500</v>
      </c>
      <c r="BD47" s="48">
        <f t="shared" si="191"/>
        <v>0</v>
      </c>
      <c r="BE47" s="48">
        <f t="shared" si="191"/>
        <v>0</v>
      </c>
      <c r="BF47" s="48">
        <f t="shared" si="191"/>
        <v>0</v>
      </c>
      <c r="BG47" s="48">
        <f t="shared" si="191"/>
        <v>0</v>
      </c>
      <c r="BH47" s="48">
        <f t="shared" si="191"/>
        <v>0</v>
      </c>
      <c r="BI47" s="48">
        <f t="shared" si="191"/>
        <v>0</v>
      </c>
      <c r="BJ47" s="48">
        <f t="shared" si="191"/>
        <v>0</v>
      </c>
      <c r="BK47" s="48">
        <f t="shared" si="191"/>
        <v>0</v>
      </c>
      <c r="BL47" s="48">
        <f t="shared" si="191"/>
        <v>0</v>
      </c>
      <c r="BM47" s="48">
        <f t="shared" si="191"/>
        <v>0</v>
      </c>
      <c r="BN47" s="48">
        <f t="shared" si="191"/>
        <v>0</v>
      </c>
      <c r="BO47" s="48">
        <f t="shared" si="191"/>
        <v>0</v>
      </c>
      <c r="BP47" s="48">
        <f t="shared" si="191"/>
        <v>0</v>
      </c>
      <c r="BQ47" s="48">
        <f t="shared" si="191"/>
        <v>0</v>
      </c>
      <c r="BR47" s="36">
        <f t="shared" si="9"/>
        <v>0</v>
      </c>
      <c r="BS47" s="38">
        <f t="shared" si="10"/>
        <v>1</v>
      </c>
      <c r="BT47" s="49">
        <f t="shared" si="11"/>
        <v>0</v>
      </c>
      <c r="BU47" s="38">
        <f t="shared" si="12"/>
        <v>1000</v>
      </c>
      <c r="BV47" s="46" t="str">
        <f>IFERROR(__xludf.DUMMYFUNCTION("""COMPUTED_VALUE"""),"Barab")</f>
        <v>Barab</v>
      </c>
      <c r="BW47" s="46">
        <f t="shared" si="13"/>
        <v>500</v>
      </c>
      <c r="BX47" s="47">
        <f t="shared" ref="BX47:CA47" si="192">AX47-$BU47</f>
        <v>-1000</v>
      </c>
      <c r="BY47" s="47">
        <f t="shared" si="192"/>
        <v>-1000</v>
      </c>
      <c r="BZ47" s="47">
        <f t="shared" si="192"/>
        <v>-1000</v>
      </c>
      <c r="CA47" s="47">
        <f t="shared" si="192"/>
        <v>-1000</v>
      </c>
      <c r="CB47" s="47">
        <f t="shared" si="15"/>
        <v>-10000</v>
      </c>
      <c r="CC47" s="47">
        <f t="shared" ref="CC47:CQ47" si="193">BC47-$BU47</f>
        <v>-500</v>
      </c>
      <c r="CD47" s="47">
        <f t="shared" si="193"/>
        <v>-1000</v>
      </c>
      <c r="CE47" s="47">
        <f t="shared" si="193"/>
        <v>-1000</v>
      </c>
      <c r="CF47" s="47">
        <f t="shared" si="193"/>
        <v>-1000</v>
      </c>
      <c r="CG47" s="47">
        <f t="shared" si="193"/>
        <v>-1000</v>
      </c>
      <c r="CH47" s="47">
        <f t="shared" si="193"/>
        <v>-1000</v>
      </c>
      <c r="CI47" s="47">
        <f t="shared" si="193"/>
        <v>-1000</v>
      </c>
      <c r="CJ47" s="47">
        <f t="shared" si="193"/>
        <v>-1000</v>
      </c>
      <c r="CK47" s="47">
        <f t="shared" si="193"/>
        <v>-1000</v>
      </c>
      <c r="CL47" s="47">
        <f t="shared" si="193"/>
        <v>-1000</v>
      </c>
      <c r="CM47" s="47">
        <f t="shared" si="193"/>
        <v>-1000</v>
      </c>
      <c r="CN47" s="47">
        <f t="shared" si="193"/>
        <v>-1000</v>
      </c>
      <c r="CO47" s="47">
        <f t="shared" si="193"/>
        <v>-1000</v>
      </c>
      <c r="CP47" s="47">
        <f t="shared" si="193"/>
        <v>-1000</v>
      </c>
      <c r="CQ47" s="47">
        <f t="shared" si="193"/>
        <v>-1000</v>
      </c>
      <c r="CR47" s="47"/>
      <c r="CS47" s="47"/>
      <c r="CT47" s="47"/>
      <c r="CU47" s="50" t="str">
        <f>IFERROR(__xludf.DUMMYFUNCTION("""COMPUTED_VALUE"""),"3211 Basil Ct
Dallas, TX 75204          ")</f>
        <v>3211 Basil Ct
Dallas, TX 75204          </v>
      </c>
      <c r="CV47" s="51">
        <f>IFERROR(__xludf.DUMMYFUNCTION("IF(REGEXMATCH(UPPER(CU47), ""TX""),0,1)"),0.0)</f>
        <v>0</v>
      </c>
      <c r="CW47" s="51">
        <f>IFERROR(__xludf.DUMMYFUNCTION("IF(REGEXMATCH(UPPER(CU47), ""DALLAS""),0,1)"),0.0)</f>
        <v>0</v>
      </c>
      <c r="CX47" s="51">
        <f t="shared" si="17"/>
        <v>0</v>
      </c>
      <c r="CY47" s="51">
        <f t="shared" si="18"/>
        <v>0</v>
      </c>
      <c r="CZ47" s="52" t="str">
        <f t="shared" si="19"/>
        <v/>
      </c>
      <c r="DA47" s="53" t="str">
        <f>IFERROR(__xludf.DUMMYFUNCTION("""COMPUTED_VALUE"""),"100 Greenwich St
New York, NY 10006         ")</f>
        <v>100 Greenwich St
New York, NY 10006         </v>
      </c>
      <c r="DB47" s="52">
        <f t="shared" ref="DB47:DU47" si="194">SUMIFS($AJ:$AJ,$X:$X,$DA47,$AK:$AK,DB$2)</f>
        <v>0</v>
      </c>
      <c r="DC47" s="52">
        <f t="shared" si="194"/>
        <v>0</v>
      </c>
      <c r="DD47" s="52">
        <f t="shared" si="194"/>
        <v>0</v>
      </c>
      <c r="DE47" s="52">
        <f t="shared" si="194"/>
        <v>0</v>
      </c>
      <c r="DF47" s="52">
        <f t="shared" si="194"/>
        <v>100</v>
      </c>
      <c r="DG47" s="52">
        <f t="shared" si="194"/>
        <v>0</v>
      </c>
      <c r="DH47" s="52">
        <f t="shared" si="194"/>
        <v>0</v>
      </c>
      <c r="DI47" s="52">
        <f t="shared" si="194"/>
        <v>0</v>
      </c>
      <c r="DJ47" s="52">
        <f t="shared" si="194"/>
        <v>0</v>
      </c>
      <c r="DK47" s="52">
        <f t="shared" si="194"/>
        <v>0</v>
      </c>
      <c r="DL47" s="52">
        <f t="shared" si="194"/>
        <v>0</v>
      </c>
      <c r="DM47" s="52">
        <f t="shared" si="194"/>
        <v>0</v>
      </c>
      <c r="DN47" s="52">
        <f t="shared" si="194"/>
        <v>0</v>
      </c>
      <c r="DO47" s="52">
        <f t="shared" si="194"/>
        <v>0</v>
      </c>
      <c r="DP47" s="52">
        <f t="shared" si="194"/>
        <v>0</v>
      </c>
      <c r="DQ47" s="52">
        <f t="shared" si="194"/>
        <v>0</v>
      </c>
      <c r="DR47" s="52">
        <f t="shared" si="194"/>
        <v>0</v>
      </c>
      <c r="DS47" s="52">
        <f t="shared" si="194"/>
        <v>0</v>
      </c>
      <c r="DT47" s="52">
        <f t="shared" si="194"/>
        <v>0</v>
      </c>
      <c r="DU47" s="52">
        <f t="shared" si="194"/>
        <v>0</v>
      </c>
      <c r="DV47" s="52">
        <f t="shared" si="21"/>
        <v>100</v>
      </c>
      <c r="DW47" s="52">
        <f t="shared" si="22"/>
        <v>1</v>
      </c>
    </row>
    <row r="48">
      <c r="A48" s="23" t="s">
        <v>64</v>
      </c>
      <c r="B48" s="23" t="s">
        <v>56</v>
      </c>
      <c r="C48" s="31" t="s">
        <v>171</v>
      </c>
      <c r="D48" s="25" t="str">
        <f>IFERROR(__xludf.DUMMYFUNCTION("SPLIT(C48,"" "")"),"Andersen,")</f>
        <v>Andersen,</v>
      </c>
      <c r="E48" s="22" t="str">
        <f>IFERROR(__xludf.DUMMYFUNCTION("""COMPUTED_VALUE"""),"Jakob
903")</f>
        <v>Jakob
903</v>
      </c>
      <c r="F48" s="22" t="str">
        <f>IFERROR(__xludf.DUMMYFUNCTION("""COMPUTED_VALUE"""),"Stevens")</f>
        <v>Stevens</v>
      </c>
      <c r="G48" s="22" t="str">
        <f>IFERROR(__xludf.DUMMYFUNCTION("""COMPUTED_VALUE"""),"Woods")</f>
        <v>Woods</v>
      </c>
      <c r="H48" s="22" t="str">
        <f>IFERROR(__xludf.DUMMYFUNCTION("""COMPUTED_VALUE"""),"Ct.
Dallas,")</f>
        <v>Ct.
Dallas,</v>
      </c>
      <c r="I48" s="22" t="str">
        <f>IFERROR(__xludf.DUMMYFUNCTION("""COMPUTED_VALUE"""),"TX")</f>
        <v>TX</v>
      </c>
      <c r="J48" s="22">
        <f>IFERROR(__xludf.DUMMYFUNCTION("""COMPUTED_VALUE"""),75208.0)</f>
        <v>75208</v>
      </c>
      <c r="K48" s="22"/>
      <c r="L48" s="22"/>
      <c r="M48" s="22"/>
      <c r="N48" s="22"/>
      <c r="O48" s="22"/>
      <c r="P48" s="22"/>
      <c r="Q48" s="22"/>
      <c r="R48" s="22"/>
      <c r="S48" s="22"/>
      <c r="T48" s="22"/>
      <c r="U48" s="24" t="str">
        <f>IFERROR(__xludf.DUMMYFUNCTION("SPLIT(E48,""01234567890"")"),"Jakob
")</f>
        <v>Jakob
</v>
      </c>
      <c r="V48" s="24" t="str">
        <f>IFERROR(__xludf.DUMMYFUNCTION("SPLIT(D48,"","")"),"Andersen")</f>
        <v>Andersen</v>
      </c>
      <c r="W48" s="25" t="str">
        <f t="shared" si="1"/>
        <v>JAKOB
 ANDERSEN</v>
      </c>
      <c r="X48" s="25" t="s">
        <v>172</v>
      </c>
      <c r="Y48" s="25">
        <v>75208.0</v>
      </c>
      <c r="Z48" s="25" t="str">
        <f>IFERROR(__xludf.DUMMYFUNCTION("SPLIT(C48,""
"")"),"Andersen, Jakob")</f>
        <v>Andersen, Jakob</v>
      </c>
      <c r="AA48" s="25" t="str">
        <f>IFERROR(__xludf.DUMMYFUNCTION("""COMPUTED_VALUE"""),"903 Stevens Woods Ct.")</f>
        <v>903 Stevens Woods Ct.</v>
      </c>
      <c r="AB48" s="25" t="str">
        <f>IFERROR(__xludf.DUMMYFUNCTION("""COMPUTED_VALUE"""),"Dallas, TX 75208")</f>
        <v>Dallas, TX 75208</v>
      </c>
      <c r="AC48" s="24" t="s">
        <v>173</v>
      </c>
      <c r="AD48" s="25"/>
      <c r="AE48" s="25"/>
      <c r="AF48" s="25"/>
      <c r="AG48" s="22" t="s">
        <v>60</v>
      </c>
      <c r="AH48" s="54">
        <v>2441.0</v>
      </c>
      <c r="AI48" s="22" t="s">
        <v>61</v>
      </c>
      <c r="AJ48" s="27">
        <v>833.0</v>
      </c>
      <c r="AK48" s="31" t="s">
        <v>21</v>
      </c>
      <c r="AL48" s="28">
        <v>44728.0</v>
      </c>
      <c r="AM48" s="29">
        <v>44756.4640625</v>
      </c>
      <c r="AN48" s="30">
        <v>2.0</v>
      </c>
      <c r="AO48" s="22"/>
      <c r="AP48" s="22"/>
      <c r="AQ48" s="22"/>
      <c r="AR48" s="22"/>
      <c r="AS48" s="31">
        <f>IFERROR(__xludf.DUMMYFUNCTION("""COMPUTED_VALUE"""),76065.0)</f>
        <v>76065</v>
      </c>
      <c r="AT48" s="45">
        <f t="shared" si="6"/>
        <v>75</v>
      </c>
      <c r="AU48" s="22"/>
      <c r="AV48" s="57" t="str">
        <f>IFERROR(__xludf.DUMMYFUNCTION("""COMPUTED_VALUE"""),"Barling")</f>
        <v>Barling</v>
      </c>
      <c r="AW48" s="46">
        <f t="shared" si="7"/>
        <v>102</v>
      </c>
      <c r="AX48" s="47">
        <f t="shared" ref="AX48:BQ48" si="195">SUMIFS($AJ:$AJ,$V:$V,$AV48,$AK:$AK,AX$2)</f>
        <v>0</v>
      </c>
      <c r="AY48" s="48">
        <f t="shared" si="195"/>
        <v>0</v>
      </c>
      <c r="AZ48" s="48">
        <f t="shared" si="195"/>
        <v>0</v>
      </c>
      <c r="BA48" s="48">
        <f t="shared" si="195"/>
        <v>0</v>
      </c>
      <c r="BB48" s="48">
        <f t="shared" si="195"/>
        <v>0</v>
      </c>
      <c r="BC48" s="48">
        <f t="shared" si="195"/>
        <v>0</v>
      </c>
      <c r="BD48" s="48">
        <f t="shared" si="195"/>
        <v>0</v>
      </c>
      <c r="BE48" s="48">
        <f t="shared" si="195"/>
        <v>0</v>
      </c>
      <c r="BF48" s="48">
        <f t="shared" si="195"/>
        <v>0</v>
      </c>
      <c r="BG48" s="48">
        <f t="shared" si="195"/>
        <v>0</v>
      </c>
      <c r="BH48" s="48">
        <f t="shared" si="195"/>
        <v>0</v>
      </c>
      <c r="BI48" s="48">
        <f t="shared" si="195"/>
        <v>102</v>
      </c>
      <c r="BJ48" s="48">
        <f t="shared" si="195"/>
        <v>0</v>
      </c>
      <c r="BK48" s="48">
        <f t="shared" si="195"/>
        <v>0</v>
      </c>
      <c r="BL48" s="48">
        <f t="shared" si="195"/>
        <v>0</v>
      </c>
      <c r="BM48" s="48">
        <f t="shared" si="195"/>
        <v>0</v>
      </c>
      <c r="BN48" s="48">
        <f t="shared" si="195"/>
        <v>0</v>
      </c>
      <c r="BO48" s="48">
        <f t="shared" si="195"/>
        <v>0</v>
      </c>
      <c r="BP48" s="48">
        <f t="shared" si="195"/>
        <v>0</v>
      </c>
      <c r="BQ48" s="48">
        <f t="shared" si="195"/>
        <v>0</v>
      </c>
      <c r="BR48" s="36">
        <f t="shared" si="9"/>
        <v>0</v>
      </c>
      <c r="BS48" s="38">
        <f t="shared" si="10"/>
        <v>1</v>
      </c>
      <c r="BT48" s="49">
        <f t="shared" si="11"/>
        <v>0</v>
      </c>
      <c r="BU48" s="38">
        <f t="shared" si="12"/>
        <v>1000</v>
      </c>
      <c r="BV48" s="57" t="str">
        <f>IFERROR(__xludf.DUMMYFUNCTION("""COMPUTED_VALUE"""),"Barling")</f>
        <v>Barling</v>
      </c>
      <c r="BW48" s="46">
        <f t="shared" si="13"/>
        <v>102</v>
      </c>
      <c r="BX48" s="47">
        <f t="shared" ref="BX48:CA48" si="196">AX48-$BU48</f>
        <v>-1000</v>
      </c>
      <c r="BY48" s="47">
        <f t="shared" si="196"/>
        <v>-1000</v>
      </c>
      <c r="BZ48" s="47">
        <f t="shared" si="196"/>
        <v>-1000</v>
      </c>
      <c r="CA48" s="47">
        <f t="shared" si="196"/>
        <v>-1000</v>
      </c>
      <c r="CB48" s="47">
        <f t="shared" si="15"/>
        <v>-10000</v>
      </c>
      <c r="CC48" s="47">
        <f t="shared" ref="CC48:CQ48" si="197">BC48-$BU48</f>
        <v>-1000</v>
      </c>
      <c r="CD48" s="47">
        <f t="shared" si="197"/>
        <v>-1000</v>
      </c>
      <c r="CE48" s="47">
        <f t="shared" si="197"/>
        <v>-1000</v>
      </c>
      <c r="CF48" s="47">
        <f t="shared" si="197"/>
        <v>-1000</v>
      </c>
      <c r="CG48" s="47">
        <f t="shared" si="197"/>
        <v>-1000</v>
      </c>
      <c r="CH48" s="47">
        <f t="shared" si="197"/>
        <v>-1000</v>
      </c>
      <c r="CI48" s="47">
        <f t="shared" si="197"/>
        <v>-898</v>
      </c>
      <c r="CJ48" s="47">
        <f t="shared" si="197"/>
        <v>-1000</v>
      </c>
      <c r="CK48" s="47">
        <f t="shared" si="197"/>
        <v>-1000</v>
      </c>
      <c r="CL48" s="47">
        <f t="shared" si="197"/>
        <v>-1000</v>
      </c>
      <c r="CM48" s="47">
        <f t="shared" si="197"/>
        <v>-1000</v>
      </c>
      <c r="CN48" s="47">
        <f t="shared" si="197"/>
        <v>-1000</v>
      </c>
      <c r="CO48" s="47">
        <f t="shared" si="197"/>
        <v>-1000</v>
      </c>
      <c r="CP48" s="47">
        <f t="shared" si="197"/>
        <v>-1000</v>
      </c>
      <c r="CQ48" s="47">
        <f t="shared" si="197"/>
        <v>-1000</v>
      </c>
      <c r="CR48" s="47"/>
      <c r="CS48" s="47"/>
      <c r="CT48" s="47"/>
      <c r="CU48" s="50" t="str">
        <f>IFERROR(__xludf.DUMMYFUNCTION("""COMPUTED_VALUE"""),"2800 N Henderson Ave
Dallas, TX 75206         ")</f>
        <v>2800 N Henderson Ave
Dallas, TX 75206         </v>
      </c>
      <c r="CV48" s="51">
        <f>IFERROR(__xludf.DUMMYFUNCTION("IF(REGEXMATCH(UPPER(CU48), ""TX""),0,1)"),0.0)</f>
        <v>0</v>
      </c>
      <c r="CW48" s="51">
        <f>IFERROR(__xludf.DUMMYFUNCTION("IF(REGEXMATCH(UPPER(CU48), ""DALLAS""),0,1)"),0.0)</f>
        <v>0</v>
      </c>
      <c r="CX48" s="51">
        <f t="shared" si="17"/>
        <v>0</v>
      </c>
      <c r="CY48" s="51">
        <f t="shared" si="18"/>
        <v>0</v>
      </c>
      <c r="CZ48" s="52" t="str">
        <f t="shared" si="19"/>
        <v/>
      </c>
      <c r="DA48" s="53" t="str">
        <f>IFERROR(__xludf.DUMMYFUNCTION("""COMPUTED_VALUE"""),"1001 Clinton St
Carrollton, TX 75007          ")</f>
        <v>1001 Clinton St
Carrollton, TX 75007          </v>
      </c>
      <c r="DB48" s="52">
        <f t="shared" ref="DB48:DU48" si="198">SUMIFS($AJ:$AJ,$X:$X,$DA48,$AK:$AK,DB$2)</f>
        <v>0</v>
      </c>
      <c r="DC48" s="52">
        <f t="shared" si="198"/>
        <v>0</v>
      </c>
      <c r="DD48" s="52">
        <f t="shared" si="198"/>
        <v>0</v>
      </c>
      <c r="DE48" s="52">
        <f t="shared" si="198"/>
        <v>0</v>
      </c>
      <c r="DF48" s="52">
        <f t="shared" si="198"/>
        <v>1000</v>
      </c>
      <c r="DG48" s="52">
        <f t="shared" si="198"/>
        <v>0</v>
      </c>
      <c r="DH48" s="52">
        <f t="shared" si="198"/>
        <v>0</v>
      </c>
      <c r="DI48" s="52">
        <f t="shared" si="198"/>
        <v>0</v>
      </c>
      <c r="DJ48" s="52">
        <f t="shared" si="198"/>
        <v>0</v>
      </c>
      <c r="DK48" s="52">
        <f t="shared" si="198"/>
        <v>0</v>
      </c>
      <c r="DL48" s="52">
        <f t="shared" si="198"/>
        <v>0</v>
      </c>
      <c r="DM48" s="52">
        <f t="shared" si="198"/>
        <v>0</v>
      </c>
      <c r="DN48" s="52">
        <f t="shared" si="198"/>
        <v>0</v>
      </c>
      <c r="DO48" s="52">
        <f t="shared" si="198"/>
        <v>0</v>
      </c>
      <c r="DP48" s="52">
        <f t="shared" si="198"/>
        <v>0</v>
      </c>
      <c r="DQ48" s="52">
        <f t="shared" si="198"/>
        <v>0</v>
      </c>
      <c r="DR48" s="52">
        <f t="shared" si="198"/>
        <v>0</v>
      </c>
      <c r="DS48" s="52">
        <f t="shared" si="198"/>
        <v>0</v>
      </c>
      <c r="DT48" s="52">
        <f t="shared" si="198"/>
        <v>0</v>
      </c>
      <c r="DU48" s="52">
        <f t="shared" si="198"/>
        <v>0</v>
      </c>
      <c r="DV48" s="52">
        <f t="shared" si="21"/>
        <v>1000</v>
      </c>
      <c r="DW48" s="52">
        <f t="shared" si="22"/>
        <v>1</v>
      </c>
    </row>
    <row r="49">
      <c r="A49" s="41" t="s">
        <v>64</v>
      </c>
      <c r="B49" s="41" t="s">
        <v>56</v>
      </c>
      <c r="C49" s="31" t="s">
        <v>174</v>
      </c>
      <c r="D49" s="25" t="str">
        <f>IFERROR(__xludf.DUMMYFUNCTION("SPLIT(C49,"" "")"),"Anderson,")</f>
        <v>Anderson,</v>
      </c>
      <c r="E49" s="40" t="str">
        <f>IFERROR(__xludf.DUMMYFUNCTION("""COMPUTED_VALUE"""),"Annette
3706")</f>
        <v>Annette
3706</v>
      </c>
      <c r="F49" s="40" t="str">
        <f>IFERROR(__xludf.DUMMYFUNCTION("""COMPUTED_VALUE"""),"Pallos")</f>
        <v>Pallos</v>
      </c>
      <c r="G49" s="40" t="str">
        <f>IFERROR(__xludf.DUMMYFUNCTION("""COMPUTED_VALUE"""),"Verdas")</f>
        <v>Verdas</v>
      </c>
      <c r="H49" s="40" t="str">
        <f>IFERROR(__xludf.DUMMYFUNCTION("""COMPUTED_VALUE"""),"Dr
Dallas,")</f>
        <v>Dr
Dallas,</v>
      </c>
      <c r="I49" s="40" t="str">
        <f>IFERROR(__xludf.DUMMYFUNCTION("""COMPUTED_VALUE"""),"TX")</f>
        <v>TX</v>
      </c>
      <c r="J49" s="40">
        <f>IFERROR(__xludf.DUMMYFUNCTION("""COMPUTED_VALUE"""),75229.0)</f>
        <v>75229</v>
      </c>
      <c r="K49" s="40"/>
      <c r="L49" s="40"/>
      <c r="M49" s="40"/>
      <c r="N49" s="40"/>
      <c r="O49" s="40"/>
      <c r="P49" s="40"/>
      <c r="Q49" s="40"/>
      <c r="R49" s="40"/>
      <c r="S49" s="40"/>
      <c r="T49" s="40"/>
      <c r="U49" s="24" t="str">
        <f>IFERROR(__xludf.DUMMYFUNCTION("SPLIT(E49,""01234567890"")"),"Annette
")</f>
        <v>Annette
</v>
      </c>
      <c r="V49" s="24" t="str">
        <f>IFERROR(__xludf.DUMMYFUNCTION("SPLIT(D49,"","")"),"Anderson")</f>
        <v>Anderson</v>
      </c>
      <c r="W49" s="25" t="str">
        <f t="shared" si="1"/>
        <v>ANNETTE
 ANDERSON</v>
      </c>
      <c r="X49" s="25" t="s">
        <v>175</v>
      </c>
      <c r="Y49" s="25">
        <v>75229.0</v>
      </c>
      <c r="Z49" s="25" t="str">
        <f>IFERROR(__xludf.DUMMYFUNCTION("SPLIT(C49,""
"")"),"Anderson, Annette")</f>
        <v>Anderson, Annette</v>
      </c>
      <c r="AA49" s="25" t="str">
        <f>IFERROR(__xludf.DUMMYFUNCTION("""COMPUTED_VALUE"""),"3706 Pallos Verdas Dr")</f>
        <v>3706 Pallos Verdas Dr</v>
      </c>
      <c r="AB49" s="25" t="str">
        <f>IFERROR(__xludf.DUMMYFUNCTION("""COMPUTED_VALUE"""),"Dallas, TX 75229")</f>
        <v>Dallas, TX 75229</v>
      </c>
      <c r="AC49" s="24" t="s">
        <v>176</v>
      </c>
      <c r="AD49" s="25"/>
      <c r="AE49" s="25"/>
      <c r="AF49" s="25"/>
      <c r="AG49" s="40" t="s">
        <v>60</v>
      </c>
      <c r="AH49" s="42">
        <v>2437.0</v>
      </c>
      <c r="AI49" s="40" t="s">
        <v>61</v>
      </c>
      <c r="AJ49" s="27">
        <v>500.0</v>
      </c>
      <c r="AK49" s="31" t="s">
        <v>25</v>
      </c>
      <c r="AL49" s="43">
        <v>44720.0</v>
      </c>
      <c r="AM49" s="44">
        <v>44754.83237268519</v>
      </c>
      <c r="AN49" s="30">
        <v>2.0</v>
      </c>
      <c r="AO49" s="40"/>
      <c r="AP49" s="40"/>
      <c r="AQ49" s="40"/>
      <c r="AR49" s="40"/>
      <c r="AS49" s="31">
        <f>IFERROR(__xludf.DUMMYFUNCTION("""COMPUTED_VALUE"""),75120.0)</f>
        <v>75120</v>
      </c>
      <c r="AT49" s="45">
        <f t="shared" si="6"/>
        <v>1000</v>
      </c>
      <c r="AU49" s="40"/>
      <c r="AV49" s="46" t="str">
        <f>IFERROR(__xludf.DUMMYFUNCTION("""COMPUTED_VALUE"""),"Barnes")</f>
        <v>Barnes</v>
      </c>
      <c r="AW49" s="46">
        <f t="shared" si="7"/>
        <v>200</v>
      </c>
      <c r="AX49" s="47">
        <f t="shared" ref="AX49:BQ49" si="199">SUMIFS($AJ:$AJ,$V:$V,$AV49,$AK:$AK,AX$2)</f>
        <v>0</v>
      </c>
      <c r="AY49" s="48">
        <f t="shared" si="199"/>
        <v>0</v>
      </c>
      <c r="AZ49" s="48">
        <f t="shared" si="199"/>
        <v>0</v>
      </c>
      <c r="BA49" s="48">
        <f t="shared" si="199"/>
        <v>0</v>
      </c>
      <c r="BB49" s="48">
        <f t="shared" si="199"/>
        <v>200</v>
      </c>
      <c r="BC49" s="48">
        <f t="shared" si="199"/>
        <v>0</v>
      </c>
      <c r="BD49" s="48">
        <f t="shared" si="199"/>
        <v>0</v>
      </c>
      <c r="BE49" s="48">
        <f t="shared" si="199"/>
        <v>0</v>
      </c>
      <c r="BF49" s="48">
        <f t="shared" si="199"/>
        <v>0</v>
      </c>
      <c r="BG49" s="48">
        <f t="shared" si="199"/>
        <v>0</v>
      </c>
      <c r="BH49" s="48">
        <f t="shared" si="199"/>
        <v>0</v>
      </c>
      <c r="BI49" s="48">
        <f t="shared" si="199"/>
        <v>0</v>
      </c>
      <c r="BJ49" s="48">
        <f t="shared" si="199"/>
        <v>0</v>
      </c>
      <c r="BK49" s="48">
        <f t="shared" si="199"/>
        <v>0</v>
      </c>
      <c r="BL49" s="48">
        <f t="shared" si="199"/>
        <v>0</v>
      </c>
      <c r="BM49" s="48">
        <f t="shared" si="199"/>
        <v>0</v>
      </c>
      <c r="BN49" s="48">
        <f t="shared" si="199"/>
        <v>0</v>
      </c>
      <c r="BO49" s="48">
        <f t="shared" si="199"/>
        <v>0</v>
      </c>
      <c r="BP49" s="48">
        <f t="shared" si="199"/>
        <v>0</v>
      </c>
      <c r="BQ49" s="48">
        <f t="shared" si="199"/>
        <v>0</v>
      </c>
      <c r="BR49" s="36">
        <f t="shared" si="9"/>
        <v>0</v>
      </c>
      <c r="BS49" s="38">
        <f t="shared" si="10"/>
        <v>1</v>
      </c>
      <c r="BT49" s="49">
        <f t="shared" si="11"/>
        <v>0</v>
      </c>
      <c r="BU49" s="38">
        <f t="shared" si="12"/>
        <v>1000</v>
      </c>
      <c r="BV49" s="46" t="str">
        <f>IFERROR(__xludf.DUMMYFUNCTION("""COMPUTED_VALUE"""),"Barnes")</f>
        <v>Barnes</v>
      </c>
      <c r="BW49" s="46">
        <f t="shared" si="13"/>
        <v>200</v>
      </c>
      <c r="BX49" s="47">
        <f t="shared" ref="BX49:CA49" si="200">AX49-$BU49</f>
        <v>-1000</v>
      </c>
      <c r="BY49" s="47">
        <f t="shared" si="200"/>
        <v>-1000</v>
      </c>
      <c r="BZ49" s="47">
        <f t="shared" si="200"/>
        <v>-1000</v>
      </c>
      <c r="CA49" s="47">
        <f t="shared" si="200"/>
        <v>-1000</v>
      </c>
      <c r="CB49" s="47">
        <f t="shared" si="15"/>
        <v>-9800</v>
      </c>
      <c r="CC49" s="47">
        <f t="shared" ref="CC49:CQ49" si="201">BC49-$BU49</f>
        <v>-1000</v>
      </c>
      <c r="CD49" s="47">
        <f t="shared" si="201"/>
        <v>-1000</v>
      </c>
      <c r="CE49" s="47">
        <f t="shared" si="201"/>
        <v>-1000</v>
      </c>
      <c r="CF49" s="47">
        <f t="shared" si="201"/>
        <v>-1000</v>
      </c>
      <c r="CG49" s="47">
        <f t="shared" si="201"/>
        <v>-1000</v>
      </c>
      <c r="CH49" s="47">
        <f t="shared" si="201"/>
        <v>-1000</v>
      </c>
      <c r="CI49" s="47">
        <f t="shared" si="201"/>
        <v>-1000</v>
      </c>
      <c r="CJ49" s="47">
        <f t="shared" si="201"/>
        <v>-1000</v>
      </c>
      <c r="CK49" s="47">
        <f t="shared" si="201"/>
        <v>-1000</v>
      </c>
      <c r="CL49" s="47">
        <f t="shared" si="201"/>
        <v>-1000</v>
      </c>
      <c r="CM49" s="47">
        <f t="shared" si="201"/>
        <v>-1000</v>
      </c>
      <c r="CN49" s="47">
        <f t="shared" si="201"/>
        <v>-1000</v>
      </c>
      <c r="CO49" s="47">
        <f t="shared" si="201"/>
        <v>-1000</v>
      </c>
      <c r="CP49" s="47">
        <f t="shared" si="201"/>
        <v>-1000</v>
      </c>
      <c r="CQ49" s="47">
        <f t="shared" si="201"/>
        <v>-1000</v>
      </c>
      <c r="CR49" s="47"/>
      <c r="CS49" s="47"/>
      <c r="CT49" s="47"/>
      <c r="CU49" s="50" t="str">
        <f>IFERROR(__xludf.DUMMYFUNCTION("""COMPUTED_VALUE"""),"2800 N. Henderson Ave.
Dallas, TX 75206         ")</f>
        <v>2800 N. Henderson Ave.
Dallas, TX 75206         </v>
      </c>
      <c r="CV49" s="51">
        <f>IFERROR(__xludf.DUMMYFUNCTION("IF(REGEXMATCH(UPPER(CU49), ""TX""),0,1)"),0.0)</f>
        <v>0</v>
      </c>
      <c r="CW49" s="51">
        <f>IFERROR(__xludf.DUMMYFUNCTION("IF(REGEXMATCH(UPPER(CU49), ""DALLAS""),0,1)"),0.0)</f>
        <v>0</v>
      </c>
      <c r="CX49" s="51">
        <f t="shared" si="17"/>
        <v>0</v>
      </c>
      <c r="CY49" s="51">
        <f t="shared" si="18"/>
        <v>0</v>
      </c>
      <c r="CZ49" s="52" t="str">
        <f t="shared" si="19"/>
        <v/>
      </c>
      <c r="DA49" s="53" t="str">
        <f>IFERROR(__xludf.DUMMYFUNCTION("""COMPUTED_VALUE"""),"613 Birch Lane
Richardson, TX 75081          ")</f>
        <v>613 Birch Lane
Richardson, TX 75081          </v>
      </c>
      <c r="DB49" s="52">
        <f t="shared" ref="DB49:DU49" si="202">SUMIFS($AJ:$AJ,$X:$X,$DA49,$AK:$AK,DB$2)</f>
        <v>0</v>
      </c>
      <c r="DC49" s="52">
        <f t="shared" si="202"/>
        <v>0</v>
      </c>
      <c r="DD49" s="52">
        <f t="shared" si="202"/>
        <v>0</v>
      </c>
      <c r="DE49" s="52">
        <f t="shared" si="202"/>
        <v>0</v>
      </c>
      <c r="DF49" s="52">
        <f t="shared" si="202"/>
        <v>250</v>
      </c>
      <c r="DG49" s="52">
        <f t="shared" si="202"/>
        <v>0</v>
      </c>
      <c r="DH49" s="52">
        <f t="shared" si="202"/>
        <v>0</v>
      </c>
      <c r="DI49" s="52">
        <f t="shared" si="202"/>
        <v>0</v>
      </c>
      <c r="DJ49" s="52">
        <f t="shared" si="202"/>
        <v>0</v>
      </c>
      <c r="DK49" s="52">
        <f t="shared" si="202"/>
        <v>0</v>
      </c>
      <c r="DL49" s="52">
        <f t="shared" si="202"/>
        <v>0</v>
      </c>
      <c r="DM49" s="52">
        <f t="shared" si="202"/>
        <v>0</v>
      </c>
      <c r="DN49" s="52">
        <f t="shared" si="202"/>
        <v>0</v>
      </c>
      <c r="DO49" s="52">
        <f t="shared" si="202"/>
        <v>0</v>
      </c>
      <c r="DP49" s="52">
        <f t="shared" si="202"/>
        <v>0</v>
      </c>
      <c r="DQ49" s="52">
        <f t="shared" si="202"/>
        <v>0</v>
      </c>
      <c r="DR49" s="52">
        <f t="shared" si="202"/>
        <v>0</v>
      </c>
      <c r="DS49" s="52">
        <f t="shared" si="202"/>
        <v>0</v>
      </c>
      <c r="DT49" s="52">
        <f t="shared" si="202"/>
        <v>0</v>
      </c>
      <c r="DU49" s="52">
        <f t="shared" si="202"/>
        <v>0</v>
      </c>
      <c r="DV49" s="52">
        <f t="shared" si="21"/>
        <v>250</v>
      </c>
      <c r="DW49" s="52">
        <f t="shared" si="22"/>
        <v>1</v>
      </c>
    </row>
    <row r="50">
      <c r="A50" s="23" t="s">
        <v>64</v>
      </c>
      <c r="B50" s="23" t="s">
        <v>56</v>
      </c>
      <c r="C50" s="31" t="s">
        <v>174</v>
      </c>
      <c r="D50" s="25" t="str">
        <f>IFERROR(__xludf.DUMMYFUNCTION("SPLIT(C50,"" "")"),"Anderson,")</f>
        <v>Anderson,</v>
      </c>
      <c r="E50" s="22" t="str">
        <f>IFERROR(__xludf.DUMMYFUNCTION("""COMPUTED_VALUE"""),"Annette
3706")</f>
        <v>Annette
3706</v>
      </c>
      <c r="F50" s="22" t="str">
        <f>IFERROR(__xludf.DUMMYFUNCTION("""COMPUTED_VALUE"""),"Pallos")</f>
        <v>Pallos</v>
      </c>
      <c r="G50" s="22" t="str">
        <f>IFERROR(__xludf.DUMMYFUNCTION("""COMPUTED_VALUE"""),"Verdas")</f>
        <v>Verdas</v>
      </c>
      <c r="H50" s="22" t="str">
        <f>IFERROR(__xludf.DUMMYFUNCTION("""COMPUTED_VALUE"""),"Dr
Dallas,")</f>
        <v>Dr
Dallas,</v>
      </c>
      <c r="I50" s="22" t="str">
        <f>IFERROR(__xludf.DUMMYFUNCTION("""COMPUTED_VALUE"""),"TX")</f>
        <v>TX</v>
      </c>
      <c r="J50" s="22">
        <f>IFERROR(__xludf.DUMMYFUNCTION("""COMPUTED_VALUE"""),75229.0)</f>
        <v>75229</v>
      </c>
      <c r="K50" s="22"/>
      <c r="L50" s="22"/>
      <c r="M50" s="22"/>
      <c r="N50" s="22"/>
      <c r="O50" s="22"/>
      <c r="P50" s="22"/>
      <c r="Q50" s="22"/>
      <c r="R50" s="22"/>
      <c r="S50" s="22"/>
      <c r="T50" s="22"/>
      <c r="U50" s="24" t="str">
        <f>IFERROR(__xludf.DUMMYFUNCTION("SPLIT(E50,""01234567890"")"),"Annette
")</f>
        <v>Annette
</v>
      </c>
      <c r="V50" s="24" t="str">
        <f>IFERROR(__xludf.DUMMYFUNCTION("SPLIT(D50,"","")"),"Anderson")</f>
        <v>Anderson</v>
      </c>
      <c r="W50" s="25" t="str">
        <f t="shared" si="1"/>
        <v>ANNETTE
 ANDERSON</v>
      </c>
      <c r="X50" s="25" t="s">
        <v>175</v>
      </c>
      <c r="Y50" s="25">
        <v>75229.0</v>
      </c>
      <c r="Z50" s="25" t="str">
        <f>IFERROR(__xludf.DUMMYFUNCTION("SPLIT(C50,""
"")"),"Anderson, Annette")</f>
        <v>Anderson, Annette</v>
      </c>
      <c r="AA50" s="25" t="str">
        <f>IFERROR(__xludf.DUMMYFUNCTION("""COMPUTED_VALUE"""),"3706 Pallos Verdas Dr")</f>
        <v>3706 Pallos Verdas Dr</v>
      </c>
      <c r="AB50" s="25" t="str">
        <f>IFERROR(__xludf.DUMMYFUNCTION("""COMPUTED_VALUE"""),"Dallas, TX 75229")</f>
        <v>Dallas, TX 75229</v>
      </c>
      <c r="AC50" s="24" t="s">
        <v>176</v>
      </c>
      <c r="AD50" s="25"/>
      <c r="AE50" s="25"/>
      <c r="AF50" s="25"/>
      <c r="AG50" s="22" t="s">
        <v>60</v>
      </c>
      <c r="AH50" s="54">
        <v>2481.0</v>
      </c>
      <c r="AI50" s="22" t="s">
        <v>68</v>
      </c>
      <c r="AJ50" s="27">
        <v>100.0</v>
      </c>
      <c r="AK50" s="31" t="s">
        <v>25</v>
      </c>
      <c r="AL50" s="28">
        <v>44840.0</v>
      </c>
      <c r="AM50" s="29">
        <v>44937.81995370371</v>
      </c>
      <c r="AN50" s="30">
        <v>2.0</v>
      </c>
      <c r="AO50" s="22"/>
      <c r="AP50" s="22"/>
      <c r="AQ50" s="22"/>
      <c r="AR50" s="22"/>
      <c r="AS50" s="31">
        <f>IFERROR(__xludf.DUMMYFUNCTION("""COMPUTED_VALUE"""),75182.0)</f>
        <v>75182</v>
      </c>
      <c r="AT50" s="45">
        <f t="shared" si="6"/>
        <v>2100</v>
      </c>
      <c r="AU50" s="22"/>
      <c r="AV50" s="57" t="str">
        <f>IFERROR(__xludf.DUMMYFUNCTION("""COMPUTED_VALUE"""),"Barnett")</f>
        <v>Barnett</v>
      </c>
      <c r="AW50" s="46">
        <f t="shared" si="7"/>
        <v>6680</v>
      </c>
      <c r="AX50" s="47">
        <f t="shared" ref="AX50:BQ50" si="203">SUMIFS($AJ:$AJ,$V:$V,$AV50,$AK:$AK,AX$2)</f>
        <v>0</v>
      </c>
      <c r="AY50" s="48">
        <f t="shared" si="203"/>
        <v>0</v>
      </c>
      <c r="AZ50" s="48">
        <f t="shared" si="203"/>
        <v>0</v>
      </c>
      <c r="BA50" s="48">
        <f t="shared" si="203"/>
        <v>0</v>
      </c>
      <c r="BB50" s="48">
        <f t="shared" si="203"/>
        <v>5000</v>
      </c>
      <c r="BC50" s="48">
        <f t="shared" si="203"/>
        <v>0</v>
      </c>
      <c r="BD50" s="48">
        <f t="shared" si="203"/>
        <v>0</v>
      </c>
      <c r="BE50" s="48">
        <f t="shared" si="203"/>
        <v>0</v>
      </c>
      <c r="BF50" s="48">
        <f t="shared" si="203"/>
        <v>0</v>
      </c>
      <c r="BG50" s="48">
        <f t="shared" si="203"/>
        <v>0</v>
      </c>
      <c r="BH50" s="48">
        <f t="shared" si="203"/>
        <v>1680</v>
      </c>
      <c r="BI50" s="48">
        <f t="shared" si="203"/>
        <v>0</v>
      </c>
      <c r="BJ50" s="48">
        <f t="shared" si="203"/>
        <v>0</v>
      </c>
      <c r="BK50" s="48">
        <f t="shared" si="203"/>
        <v>0</v>
      </c>
      <c r="BL50" s="48">
        <f t="shared" si="203"/>
        <v>0</v>
      </c>
      <c r="BM50" s="48">
        <f t="shared" si="203"/>
        <v>0</v>
      </c>
      <c r="BN50" s="48">
        <f t="shared" si="203"/>
        <v>0</v>
      </c>
      <c r="BO50" s="48">
        <f t="shared" si="203"/>
        <v>0</v>
      </c>
      <c r="BP50" s="48">
        <f t="shared" si="203"/>
        <v>0</v>
      </c>
      <c r="BQ50" s="48">
        <f t="shared" si="203"/>
        <v>0</v>
      </c>
      <c r="BR50" s="36">
        <f t="shared" si="9"/>
        <v>1</v>
      </c>
      <c r="BS50" s="38">
        <f t="shared" si="10"/>
        <v>4</v>
      </c>
      <c r="BT50" s="49">
        <f t="shared" si="11"/>
        <v>0</v>
      </c>
      <c r="BU50" s="38">
        <f t="shared" si="12"/>
        <v>4000</v>
      </c>
      <c r="BV50" s="57" t="str">
        <f>IFERROR(__xludf.DUMMYFUNCTION("""COMPUTED_VALUE"""),"Barnett")</f>
        <v>Barnett</v>
      </c>
      <c r="BW50" s="46">
        <f t="shared" si="13"/>
        <v>6680</v>
      </c>
      <c r="BX50" s="47">
        <f t="shared" ref="BX50:CA50" si="204">AX50-$BU50</f>
        <v>-4000</v>
      </c>
      <c r="BY50" s="47">
        <f t="shared" si="204"/>
        <v>-4000</v>
      </c>
      <c r="BZ50" s="47">
        <f t="shared" si="204"/>
        <v>-4000</v>
      </c>
      <c r="CA50" s="47">
        <f t="shared" si="204"/>
        <v>-4000</v>
      </c>
      <c r="CB50" s="47">
        <f t="shared" si="15"/>
        <v>-35000</v>
      </c>
      <c r="CC50" s="47">
        <f t="shared" ref="CC50:CQ50" si="205">BC50-$BU50</f>
        <v>-4000</v>
      </c>
      <c r="CD50" s="47">
        <f t="shared" si="205"/>
        <v>-4000</v>
      </c>
      <c r="CE50" s="47">
        <f t="shared" si="205"/>
        <v>-4000</v>
      </c>
      <c r="CF50" s="47">
        <f t="shared" si="205"/>
        <v>-4000</v>
      </c>
      <c r="CG50" s="47">
        <f t="shared" si="205"/>
        <v>-4000</v>
      </c>
      <c r="CH50" s="47">
        <f t="shared" si="205"/>
        <v>-2320</v>
      </c>
      <c r="CI50" s="47">
        <f t="shared" si="205"/>
        <v>-4000</v>
      </c>
      <c r="CJ50" s="47">
        <f t="shared" si="205"/>
        <v>-4000</v>
      </c>
      <c r="CK50" s="47">
        <f t="shared" si="205"/>
        <v>-4000</v>
      </c>
      <c r="CL50" s="47">
        <f t="shared" si="205"/>
        <v>-4000</v>
      </c>
      <c r="CM50" s="47">
        <f t="shared" si="205"/>
        <v>-4000</v>
      </c>
      <c r="CN50" s="47">
        <f t="shared" si="205"/>
        <v>-4000</v>
      </c>
      <c r="CO50" s="47">
        <f t="shared" si="205"/>
        <v>-4000</v>
      </c>
      <c r="CP50" s="47">
        <f t="shared" si="205"/>
        <v>-4000</v>
      </c>
      <c r="CQ50" s="47">
        <f t="shared" si="205"/>
        <v>-4000</v>
      </c>
      <c r="CR50" s="47"/>
      <c r="CS50" s="47"/>
      <c r="CT50" s="47"/>
      <c r="CU50" s="50" t="str">
        <f>IFERROR(__xludf.DUMMYFUNCTION("""COMPUTED_VALUE"""),"2800 North Henderson Ave
Dallas, TX 75206         ")</f>
        <v>2800 North Henderson Ave
Dallas, TX 75206         </v>
      </c>
      <c r="CV50" s="51">
        <f>IFERROR(__xludf.DUMMYFUNCTION("IF(REGEXMATCH(UPPER(CU50), ""TX""),0,1)"),0.0)</f>
        <v>0</v>
      </c>
      <c r="CW50" s="51">
        <f>IFERROR(__xludf.DUMMYFUNCTION("IF(REGEXMATCH(UPPER(CU50), ""DALLAS""),0,1)"),0.0)</f>
        <v>0</v>
      </c>
      <c r="CX50" s="51">
        <f t="shared" si="17"/>
        <v>0</v>
      </c>
      <c r="CY50" s="51">
        <f t="shared" si="18"/>
        <v>0</v>
      </c>
      <c r="CZ50" s="52" t="str">
        <f t="shared" si="19"/>
        <v/>
      </c>
      <c r="DA50" s="53" t="str">
        <f>IFERROR(__xludf.DUMMYFUNCTION("""COMPUTED_VALUE"""),"515 W Main St
Allen, TX 75013         ")</f>
        <v>515 W Main St
Allen, TX 75013         </v>
      </c>
      <c r="DB50" s="52">
        <f t="shared" ref="DB50:DU50" si="206">SUMIFS($AJ:$AJ,$X:$X,$DA50,$AK:$AK,DB$2)</f>
        <v>0</v>
      </c>
      <c r="DC50" s="52">
        <f t="shared" si="206"/>
        <v>0</v>
      </c>
      <c r="DD50" s="52">
        <f t="shared" si="206"/>
        <v>0</v>
      </c>
      <c r="DE50" s="52">
        <f t="shared" si="206"/>
        <v>0</v>
      </c>
      <c r="DF50" s="52">
        <f t="shared" si="206"/>
        <v>250</v>
      </c>
      <c r="DG50" s="52">
        <f t="shared" si="206"/>
        <v>0</v>
      </c>
      <c r="DH50" s="52">
        <f t="shared" si="206"/>
        <v>0</v>
      </c>
      <c r="DI50" s="52">
        <f t="shared" si="206"/>
        <v>0</v>
      </c>
      <c r="DJ50" s="52">
        <f t="shared" si="206"/>
        <v>0</v>
      </c>
      <c r="DK50" s="52">
        <f t="shared" si="206"/>
        <v>0</v>
      </c>
      <c r="DL50" s="52">
        <f t="shared" si="206"/>
        <v>0</v>
      </c>
      <c r="DM50" s="52">
        <f t="shared" si="206"/>
        <v>0</v>
      </c>
      <c r="DN50" s="52">
        <f t="shared" si="206"/>
        <v>0</v>
      </c>
      <c r="DO50" s="52">
        <f t="shared" si="206"/>
        <v>0</v>
      </c>
      <c r="DP50" s="52">
        <f t="shared" si="206"/>
        <v>0</v>
      </c>
      <c r="DQ50" s="52">
        <f t="shared" si="206"/>
        <v>0</v>
      </c>
      <c r="DR50" s="52">
        <f t="shared" si="206"/>
        <v>0</v>
      </c>
      <c r="DS50" s="52">
        <f t="shared" si="206"/>
        <v>0</v>
      </c>
      <c r="DT50" s="52">
        <f t="shared" si="206"/>
        <v>0</v>
      </c>
      <c r="DU50" s="52">
        <f t="shared" si="206"/>
        <v>0</v>
      </c>
      <c r="DV50" s="52">
        <f t="shared" si="21"/>
        <v>250</v>
      </c>
      <c r="DW50" s="52">
        <f t="shared" si="22"/>
        <v>1</v>
      </c>
    </row>
    <row r="51">
      <c r="A51" s="41" t="s">
        <v>64</v>
      </c>
      <c r="B51" s="41" t="s">
        <v>56</v>
      </c>
      <c r="C51" s="31" t="s">
        <v>177</v>
      </c>
      <c r="D51" s="25" t="str">
        <f>IFERROR(__xludf.DUMMYFUNCTION("SPLIT(C51,"" "")"),"Anderson,")</f>
        <v>Anderson,</v>
      </c>
      <c r="E51" s="40" t="str">
        <f>IFERROR(__xludf.DUMMYFUNCTION("""COMPUTED_VALUE"""),"Carl
2929")</f>
        <v>Carl
2929</v>
      </c>
      <c r="F51" s="40" t="str">
        <f>IFERROR(__xludf.DUMMYFUNCTION("""COMPUTED_VALUE"""),"Carlisle")</f>
        <v>Carlisle</v>
      </c>
      <c r="G51" s="40" t="str">
        <f>IFERROR(__xludf.DUMMYFUNCTION("""COMPUTED_VALUE"""),"St.
Dallas,")</f>
        <v>St.
Dallas,</v>
      </c>
      <c r="H51" s="40" t="str">
        <f>IFERROR(__xludf.DUMMYFUNCTION("""COMPUTED_VALUE"""),"TX")</f>
        <v>TX</v>
      </c>
      <c r="I51" s="40">
        <f>IFERROR(__xludf.DUMMYFUNCTION("""COMPUTED_VALUE"""),75204.0)</f>
        <v>75204</v>
      </c>
      <c r="J51" s="40"/>
      <c r="K51" s="40"/>
      <c r="L51" s="40"/>
      <c r="M51" s="40"/>
      <c r="N51" s="40"/>
      <c r="O51" s="40"/>
      <c r="P51" s="40"/>
      <c r="Q51" s="40"/>
      <c r="R51" s="40"/>
      <c r="S51" s="40"/>
      <c r="T51" s="40"/>
      <c r="U51" s="24" t="str">
        <f>IFERROR(__xludf.DUMMYFUNCTION("SPLIT(E51,""01234567890"")"),"Carl
")</f>
        <v>Carl
</v>
      </c>
      <c r="V51" s="24" t="str">
        <f>IFERROR(__xludf.DUMMYFUNCTION("SPLIT(D51,"","")"),"Anderson")</f>
        <v>Anderson</v>
      </c>
      <c r="W51" s="25" t="str">
        <f t="shared" si="1"/>
        <v>CARL
 ANDERSON</v>
      </c>
      <c r="X51" s="25" t="s">
        <v>178</v>
      </c>
      <c r="Y51" s="25">
        <v>75204.0</v>
      </c>
      <c r="Z51" s="25" t="str">
        <f>IFERROR(__xludf.DUMMYFUNCTION("SPLIT(C51,""
"")"),"Anderson, Carl")</f>
        <v>Anderson, Carl</v>
      </c>
      <c r="AA51" s="25" t="str">
        <f>IFERROR(__xludf.DUMMYFUNCTION("""COMPUTED_VALUE"""),"2929 Carlisle St.")</f>
        <v>2929 Carlisle St.</v>
      </c>
      <c r="AB51" s="25" t="str">
        <f>IFERROR(__xludf.DUMMYFUNCTION("""COMPUTED_VALUE"""),"Dallas, TX 75204")</f>
        <v>Dallas, TX 75204</v>
      </c>
      <c r="AC51" s="24" t="s">
        <v>179</v>
      </c>
      <c r="AD51" s="25"/>
      <c r="AE51" s="25"/>
      <c r="AF51" s="25"/>
      <c r="AG51" s="40" t="s">
        <v>60</v>
      </c>
      <c r="AH51" s="42">
        <v>2441.0</v>
      </c>
      <c r="AI51" s="40" t="s">
        <v>61</v>
      </c>
      <c r="AJ51" s="27">
        <v>950.0</v>
      </c>
      <c r="AK51" s="31" t="s">
        <v>21</v>
      </c>
      <c r="AL51" s="43">
        <v>44698.0</v>
      </c>
      <c r="AM51" s="44">
        <v>44756.4640625</v>
      </c>
      <c r="AN51" s="30">
        <v>2.0</v>
      </c>
      <c r="AO51" s="40"/>
      <c r="AP51" s="40"/>
      <c r="AQ51" s="40"/>
      <c r="AR51" s="40"/>
      <c r="AS51" s="31">
        <f>IFERROR(__xludf.DUMMYFUNCTION("""COMPUTED_VALUE"""),75201.0)</f>
        <v>75201</v>
      </c>
      <c r="AT51" s="45">
        <f t="shared" si="6"/>
        <v>49200</v>
      </c>
      <c r="AU51" s="40"/>
      <c r="AV51" s="46" t="str">
        <f>IFERROR(__xludf.DUMMYFUNCTION("""COMPUTED_VALUE"""),"Bates")</f>
        <v>Bates</v>
      </c>
      <c r="AW51" s="46">
        <f t="shared" si="7"/>
        <v>2500</v>
      </c>
      <c r="AX51" s="47">
        <f t="shared" ref="AX51:BQ51" si="207">SUMIFS($AJ:$AJ,$V:$V,$AV51,$AK:$AK,AX$2)</f>
        <v>0</v>
      </c>
      <c r="AY51" s="48">
        <f t="shared" si="207"/>
        <v>0</v>
      </c>
      <c r="AZ51" s="48">
        <f t="shared" si="207"/>
        <v>0</v>
      </c>
      <c r="BA51" s="48">
        <f t="shared" si="207"/>
        <v>0</v>
      </c>
      <c r="BB51" s="48">
        <f t="shared" si="207"/>
        <v>2500</v>
      </c>
      <c r="BC51" s="48">
        <f t="shared" si="207"/>
        <v>0</v>
      </c>
      <c r="BD51" s="48">
        <f t="shared" si="207"/>
        <v>0</v>
      </c>
      <c r="BE51" s="48">
        <f t="shared" si="207"/>
        <v>0</v>
      </c>
      <c r="BF51" s="48">
        <f t="shared" si="207"/>
        <v>0</v>
      </c>
      <c r="BG51" s="48">
        <f t="shared" si="207"/>
        <v>0</v>
      </c>
      <c r="BH51" s="48">
        <f t="shared" si="207"/>
        <v>0</v>
      </c>
      <c r="BI51" s="48">
        <f t="shared" si="207"/>
        <v>0</v>
      </c>
      <c r="BJ51" s="48">
        <f t="shared" si="207"/>
        <v>0</v>
      </c>
      <c r="BK51" s="48">
        <f t="shared" si="207"/>
        <v>0</v>
      </c>
      <c r="BL51" s="48">
        <f t="shared" si="207"/>
        <v>0</v>
      </c>
      <c r="BM51" s="48">
        <f t="shared" si="207"/>
        <v>0</v>
      </c>
      <c r="BN51" s="48">
        <f t="shared" si="207"/>
        <v>0</v>
      </c>
      <c r="BO51" s="48">
        <f t="shared" si="207"/>
        <v>0</v>
      </c>
      <c r="BP51" s="48">
        <f t="shared" si="207"/>
        <v>0</v>
      </c>
      <c r="BQ51" s="48">
        <f t="shared" si="207"/>
        <v>0</v>
      </c>
      <c r="BR51" s="36">
        <f t="shared" si="9"/>
        <v>0</v>
      </c>
      <c r="BS51" s="38">
        <f t="shared" si="10"/>
        <v>1</v>
      </c>
      <c r="BT51" s="49">
        <f t="shared" si="11"/>
        <v>0</v>
      </c>
      <c r="BU51" s="38">
        <f t="shared" si="12"/>
        <v>1000</v>
      </c>
      <c r="BV51" s="46" t="str">
        <f>IFERROR(__xludf.DUMMYFUNCTION("""COMPUTED_VALUE"""),"Bates")</f>
        <v>Bates</v>
      </c>
      <c r="BW51" s="46">
        <f t="shared" si="13"/>
        <v>2500</v>
      </c>
      <c r="BX51" s="47">
        <f t="shared" ref="BX51:CA51" si="208">AX51-$BU51</f>
        <v>-1000</v>
      </c>
      <c r="BY51" s="47">
        <f t="shared" si="208"/>
        <v>-1000</v>
      </c>
      <c r="BZ51" s="47">
        <f t="shared" si="208"/>
        <v>-1000</v>
      </c>
      <c r="CA51" s="47">
        <f t="shared" si="208"/>
        <v>-1000</v>
      </c>
      <c r="CB51" s="47">
        <f t="shared" si="15"/>
        <v>-7500</v>
      </c>
      <c r="CC51" s="47">
        <f t="shared" ref="CC51:CQ51" si="209">BC51-$BU51</f>
        <v>-1000</v>
      </c>
      <c r="CD51" s="47">
        <f t="shared" si="209"/>
        <v>-1000</v>
      </c>
      <c r="CE51" s="47">
        <f t="shared" si="209"/>
        <v>-1000</v>
      </c>
      <c r="CF51" s="47">
        <f t="shared" si="209"/>
        <v>-1000</v>
      </c>
      <c r="CG51" s="47">
        <f t="shared" si="209"/>
        <v>-1000</v>
      </c>
      <c r="CH51" s="47">
        <f t="shared" si="209"/>
        <v>-1000</v>
      </c>
      <c r="CI51" s="47">
        <f t="shared" si="209"/>
        <v>-1000</v>
      </c>
      <c r="CJ51" s="47">
        <f t="shared" si="209"/>
        <v>-1000</v>
      </c>
      <c r="CK51" s="47">
        <f t="shared" si="209"/>
        <v>-1000</v>
      </c>
      <c r="CL51" s="47">
        <f t="shared" si="209"/>
        <v>-1000</v>
      </c>
      <c r="CM51" s="47">
        <f t="shared" si="209"/>
        <v>-1000</v>
      </c>
      <c r="CN51" s="47">
        <f t="shared" si="209"/>
        <v>-1000</v>
      </c>
      <c r="CO51" s="47">
        <f t="shared" si="209"/>
        <v>-1000</v>
      </c>
      <c r="CP51" s="47">
        <f t="shared" si="209"/>
        <v>-1000</v>
      </c>
      <c r="CQ51" s="47">
        <f t="shared" si="209"/>
        <v>-1000</v>
      </c>
      <c r="CR51" s="47"/>
      <c r="CS51" s="47"/>
      <c r="CT51" s="47"/>
      <c r="CU51" s="50" t="str">
        <f>IFERROR(__xludf.DUMMYFUNCTION("""COMPUTED_VALUE"""),"3710 Rawlins St.
Dallas, TX 75219          ")</f>
        <v>3710 Rawlins St.
Dallas, TX 75219          </v>
      </c>
      <c r="CV51" s="51">
        <f>IFERROR(__xludf.DUMMYFUNCTION("IF(REGEXMATCH(UPPER(CU51), ""TX""),0,1)"),0.0)</f>
        <v>0</v>
      </c>
      <c r="CW51" s="51">
        <f>IFERROR(__xludf.DUMMYFUNCTION("IF(REGEXMATCH(UPPER(CU51), ""DALLAS""),0,1)"),0.0)</f>
        <v>0</v>
      </c>
      <c r="CX51" s="51">
        <f t="shared" si="17"/>
        <v>0</v>
      </c>
      <c r="CY51" s="51">
        <f t="shared" si="18"/>
        <v>0</v>
      </c>
      <c r="CZ51" s="52" t="str">
        <f t="shared" si="19"/>
        <v/>
      </c>
      <c r="DA51" s="53" t="str">
        <f>IFERROR(__xludf.DUMMYFUNCTION("""COMPUTED_VALUE"""),"733 Mulberry Lane
Desoto, TX 75115          ")</f>
        <v>733 Mulberry Lane
Desoto, TX 75115          </v>
      </c>
      <c r="DB51" s="52">
        <f t="shared" ref="DB51:DU51" si="210">SUMIFS($AJ:$AJ,$X:$X,$DA51,$AK:$AK,DB$2)</f>
        <v>0</v>
      </c>
      <c r="DC51" s="52">
        <f t="shared" si="210"/>
        <v>0</v>
      </c>
      <c r="DD51" s="52">
        <f t="shared" si="210"/>
        <v>0</v>
      </c>
      <c r="DE51" s="52">
        <f t="shared" si="210"/>
        <v>0</v>
      </c>
      <c r="DF51" s="52">
        <f t="shared" si="210"/>
        <v>3000</v>
      </c>
      <c r="DG51" s="52">
        <f t="shared" si="210"/>
        <v>0</v>
      </c>
      <c r="DH51" s="52">
        <f t="shared" si="210"/>
        <v>0</v>
      </c>
      <c r="DI51" s="52">
        <f t="shared" si="210"/>
        <v>0</v>
      </c>
      <c r="DJ51" s="52">
        <f t="shared" si="210"/>
        <v>0</v>
      </c>
      <c r="DK51" s="52">
        <f t="shared" si="210"/>
        <v>0</v>
      </c>
      <c r="DL51" s="52">
        <f t="shared" si="210"/>
        <v>0</v>
      </c>
      <c r="DM51" s="52">
        <f t="shared" si="210"/>
        <v>0</v>
      </c>
      <c r="DN51" s="52">
        <f t="shared" si="210"/>
        <v>0</v>
      </c>
      <c r="DO51" s="52">
        <f t="shared" si="210"/>
        <v>0</v>
      </c>
      <c r="DP51" s="52">
        <f t="shared" si="210"/>
        <v>0</v>
      </c>
      <c r="DQ51" s="52">
        <f t="shared" si="210"/>
        <v>0</v>
      </c>
      <c r="DR51" s="52">
        <f t="shared" si="210"/>
        <v>0</v>
      </c>
      <c r="DS51" s="52">
        <f t="shared" si="210"/>
        <v>0</v>
      </c>
      <c r="DT51" s="52">
        <f t="shared" si="210"/>
        <v>0</v>
      </c>
      <c r="DU51" s="52">
        <f t="shared" si="210"/>
        <v>0</v>
      </c>
      <c r="DV51" s="52">
        <f t="shared" si="21"/>
        <v>3000</v>
      </c>
      <c r="DW51" s="52">
        <f t="shared" si="22"/>
        <v>1</v>
      </c>
    </row>
    <row r="52">
      <c r="A52" s="22" t="s">
        <v>55</v>
      </c>
      <c r="B52" s="23" t="s">
        <v>56</v>
      </c>
      <c r="C52" s="31" t="s">
        <v>180</v>
      </c>
      <c r="D52" s="25" t="str">
        <f>IFERROR(__xludf.DUMMYFUNCTION("SPLIT(C52,"" "")"),"Anderson,")</f>
        <v>Anderson,</v>
      </c>
      <c r="E52" s="22" t="str">
        <f>IFERROR(__xludf.DUMMYFUNCTION("""COMPUTED_VALUE"""),"Decarla
2738")</f>
        <v>Decarla
2738</v>
      </c>
      <c r="F52" s="22" t="str">
        <f>IFERROR(__xludf.DUMMYFUNCTION("""COMPUTED_VALUE"""),"Whitewood")</f>
        <v>Whitewood</v>
      </c>
      <c r="G52" s="22" t="str">
        <f>IFERROR(__xludf.DUMMYFUNCTION("""COMPUTED_VALUE"""),"Dr.
Dallas,")</f>
        <v>Dr.
Dallas,</v>
      </c>
      <c r="H52" s="22" t="str">
        <f>IFERROR(__xludf.DUMMYFUNCTION("""COMPUTED_VALUE"""),"TX")</f>
        <v>TX</v>
      </c>
      <c r="I52" s="22">
        <f>IFERROR(__xludf.DUMMYFUNCTION("""COMPUTED_VALUE"""),75233.0)</f>
        <v>75233</v>
      </c>
      <c r="J52" s="22"/>
      <c r="K52" s="22"/>
      <c r="L52" s="22"/>
      <c r="M52" s="22"/>
      <c r="N52" s="22"/>
      <c r="O52" s="22"/>
      <c r="P52" s="22"/>
      <c r="Q52" s="22"/>
      <c r="R52" s="22"/>
      <c r="S52" s="22"/>
      <c r="T52" s="22"/>
      <c r="U52" s="24" t="str">
        <f>IFERROR(__xludf.DUMMYFUNCTION("SPLIT(E52,""01234567890"")"),"Decarla
")</f>
        <v>Decarla
</v>
      </c>
      <c r="V52" s="24" t="str">
        <f>IFERROR(__xludf.DUMMYFUNCTION("SPLIT(D52,"","")"),"Anderson")</f>
        <v>Anderson</v>
      </c>
      <c r="W52" s="25" t="str">
        <f t="shared" si="1"/>
        <v>DECARLA
 ANDERSON</v>
      </c>
      <c r="X52" s="25" t="s">
        <v>181</v>
      </c>
      <c r="Y52" s="25">
        <v>75233.0</v>
      </c>
      <c r="Z52" s="25" t="str">
        <f>IFERROR(__xludf.DUMMYFUNCTION("SPLIT(C52,""
"")"),"Anderson, Decarla")</f>
        <v>Anderson, Decarla</v>
      </c>
      <c r="AA52" s="25" t="str">
        <f>IFERROR(__xludf.DUMMYFUNCTION("""COMPUTED_VALUE"""),"2738 Whitewood Dr.")</f>
        <v>2738 Whitewood Dr.</v>
      </c>
      <c r="AB52" s="25" t="str">
        <f>IFERROR(__xludf.DUMMYFUNCTION("""COMPUTED_VALUE"""),"Dallas, TX 75233")</f>
        <v>Dallas, TX 75233</v>
      </c>
      <c r="AC52" s="24" t="s">
        <v>182</v>
      </c>
      <c r="AD52" s="25"/>
      <c r="AE52" s="25"/>
      <c r="AF52" s="25"/>
      <c r="AG52" s="22" t="s">
        <v>60</v>
      </c>
      <c r="AH52" s="54">
        <v>2441.0</v>
      </c>
      <c r="AI52" s="22" t="s">
        <v>61</v>
      </c>
      <c r="AJ52" s="27">
        <v>500.0</v>
      </c>
      <c r="AK52" s="31" t="s">
        <v>21</v>
      </c>
      <c r="AL52" s="28">
        <v>44740.0</v>
      </c>
      <c r="AM52" s="29">
        <v>44756.4640625</v>
      </c>
      <c r="AN52" s="30">
        <v>2.0</v>
      </c>
      <c r="AO52" s="22"/>
      <c r="AP52" s="22"/>
      <c r="AQ52" s="22"/>
      <c r="AR52" s="22"/>
      <c r="AS52" s="31">
        <f>IFERROR(__xludf.DUMMYFUNCTION("""COMPUTED_VALUE"""),78759.0)</f>
        <v>78759</v>
      </c>
      <c r="AT52" s="45">
        <f t="shared" si="6"/>
        <v>200</v>
      </c>
      <c r="AU52" s="22"/>
      <c r="AV52" s="57" t="str">
        <f>IFERROR(__xludf.DUMMYFUNCTION("""COMPUTED_VALUE"""),"Baum")</f>
        <v>Baum</v>
      </c>
      <c r="AW52" s="46">
        <f t="shared" si="7"/>
        <v>50</v>
      </c>
      <c r="AX52" s="47">
        <f t="shared" ref="AX52:BQ52" si="211">SUMIFS($AJ:$AJ,$V:$V,$AV52,$AK:$AK,AX$2)</f>
        <v>50</v>
      </c>
      <c r="AY52" s="48">
        <f t="shared" si="211"/>
        <v>0</v>
      </c>
      <c r="AZ52" s="48">
        <f t="shared" si="211"/>
        <v>0</v>
      </c>
      <c r="BA52" s="48">
        <f t="shared" si="211"/>
        <v>0</v>
      </c>
      <c r="BB52" s="48">
        <f t="shared" si="211"/>
        <v>0</v>
      </c>
      <c r="BC52" s="48">
        <f t="shared" si="211"/>
        <v>0</v>
      </c>
      <c r="BD52" s="48">
        <f t="shared" si="211"/>
        <v>0</v>
      </c>
      <c r="BE52" s="48">
        <f t="shared" si="211"/>
        <v>0</v>
      </c>
      <c r="BF52" s="48">
        <f t="shared" si="211"/>
        <v>0</v>
      </c>
      <c r="BG52" s="48">
        <f t="shared" si="211"/>
        <v>0</v>
      </c>
      <c r="BH52" s="48">
        <f t="shared" si="211"/>
        <v>0</v>
      </c>
      <c r="BI52" s="48">
        <f t="shared" si="211"/>
        <v>0</v>
      </c>
      <c r="BJ52" s="48">
        <f t="shared" si="211"/>
        <v>0</v>
      </c>
      <c r="BK52" s="48">
        <f t="shared" si="211"/>
        <v>0</v>
      </c>
      <c r="BL52" s="48">
        <f t="shared" si="211"/>
        <v>0</v>
      </c>
      <c r="BM52" s="48">
        <f t="shared" si="211"/>
        <v>0</v>
      </c>
      <c r="BN52" s="48">
        <f t="shared" si="211"/>
        <v>0</v>
      </c>
      <c r="BO52" s="48">
        <f t="shared" si="211"/>
        <v>0</v>
      </c>
      <c r="BP52" s="48">
        <f t="shared" si="211"/>
        <v>0</v>
      </c>
      <c r="BQ52" s="48">
        <f t="shared" si="211"/>
        <v>0</v>
      </c>
      <c r="BR52" s="36">
        <f t="shared" si="9"/>
        <v>0</v>
      </c>
      <c r="BS52" s="38">
        <f t="shared" si="10"/>
        <v>1</v>
      </c>
      <c r="BT52" s="49">
        <f t="shared" si="11"/>
        <v>0</v>
      </c>
      <c r="BU52" s="38">
        <f t="shared" si="12"/>
        <v>1000</v>
      </c>
      <c r="BV52" s="57" t="str">
        <f>IFERROR(__xludf.DUMMYFUNCTION("""COMPUTED_VALUE"""),"Baum")</f>
        <v>Baum</v>
      </c>
      <c r="BW52" s="46">
        <f t="shared" si="13"/>
        <v>50</v>
      </c>
      <c r="BX52" s="47">
        <f t="shared" ref="BX52:CA52" si="212">AX52-$BU52</f>
        <v>-950</v>
      </c>
      <c r="BY52" s="47">
        <f t="shared" si="212"/>
        <v>-1000</v>
      </c>
      <c r="BZ52" s="47">
        <f t="shared" si="212"/>
        <v>-1000</v>
      </c>
      <c r="CA52" s="47">
        <f t="shared" si="212"/>
        <v>-1000</v>
      </c>
      <c r="CB52" s="47">
        <f t="shared" si="15"/>
        <v>-10000</v>
      </c>
      <c r="CC52" s="47">
        <f t="shared" ref="CC52:CQ52" si="213">BC52-$BU52</f>
        <v>-1000</v>
      </c>
      <c r="CD52" s="47">
        <f t="shared" si="213"/>
        <v>-1000</v>
      </c>
      <c r="CE52" s="47">
        <f t="shared" si="213"/>
        <v>-1000</v>
      </c>
      <c r="CF52" s="47">
        <f t="shared" si="213"/>
        <v>-1000</v>
      </c>
      <c r="CG52" s="47">
        <f t="shared" si="213"/>
        <v>-1000</v>
      </c>
      <c r="CH52" s="47">
        <f t="shared" si="213"/>
        <v>-1000</v>
      </c>
      <c r="CI52" s="47">
        <f t="shared" si="213"/>
        <v>-1000</v>
      </c>
      <c r="CJ52" s="47">
        <f t="shared" si="213"/>
        <v>-1000</v>
      </c>
      <c r="CK52" s="47">
        <f t="shared" si="213"/>
        <v>-1000</v>
      </c>
      <c r="CL52" s="47">
        <f t="shared" si="213"/>
        <v>-1000</v>
      </c>
      <c r="CM52" s="47">
        <f t="shared" si="213"/>
        <v>-1000</v>
      </c>
      <c r="CN52" s="47">
        <f t="shared" si="213"/>
        <v>-1000</v>
      </c>
      <c r="CO52" s="47">
        <f t="shared" si="213"/>
        <v>-1000</v>
      </c>
      <c r="CP52" s="47">
        <f t="shared" si="213"/>
        <v>-1000</v>
      </c>
      <c r="CQ52" s="47">
        <f t="shared" si="213"/>
        <v>-1000</v>
      </c>
      <c r="CR52" s="47"/>
      <c r="CS52" s="47"/>
      <c r="CT52" s="47"/>
      <c r="CU52" s="50" t="str">
        <f>IFERROR(__xludf.DUMMYFUNCTION("""COMPUTED_VALUE"""),"1414 W. Colorado Blvd.
Dallas, TX 75208         ")</f>
        <v>1414 W. Colorado Blvd.
Dallas, TX 75208         </v>
      </c>
      <c r="CV52" s="51">
        <f>IFERROR(__xludf.DUMMYFUNCTION("IF(REGEXMATCH(UPPER(CU52), ""TX""),0,1)"),0.0)</f>
        <v>0</v>
      </c>
      <c r="CW52" s="51">
        <f>IFERROR(__xludf.DUMMYFUNCTION("IF(REGEXMATCH(UPPER(CU52), ""DALLAS""),0,1)"),0.0)</f>
        <v>0</v>
      </c>
      <c r="CX52" s="51">
        <f t="shared" si="17"/>
        <v>0</v>
      </c>
      <c r="CY52" s="51">
        <f t="shared" si="18"/>
        <v>0</v>
      </c>
      <c r="CZ52" s="52" t="str">
        <f t="shared" si="19"/>
        <v/>
      </c>
      <c r="DA52" s="53" t="str">
        <f>IFERROR(__xludf.DUMMYFUNCTION("""COMPUTED_VALUE"""),"usa PAC
1 Penn Plaza
New York, NY 10119        ")</f>
        <v>usa PAC
1 Penn Plaza
New York, NY 10119        </v>
      </c>
      <c r="DB52" s="52">
        <f t="shared" ref="DB52:DU52" si="214">SUMIFS($AJ:$AJ,$X:$X,$DA52,$AK:$AK,DB$2)</f>
        <v>0</v>
      </c>
      <c r="DC52" s="52">
        <f t="shared" si="214"/>
        <v>0</v>
      </c>
      <c r="DD52" s="52">
        <f t="shared" si="214"/>
        <v>0</v>
      </c>
      <c r="DE52" s="52">
        <f t="shared" si="214"/>
        <v>0</v>
      </c>
      <c r="DF52" s="52">
        <f t="shared" si="214"/>
        <v>1000</v>
      </c>
      <c r="DG52" s="52">
        <f t="shared" si="214"/>
        <v>0</v>
      </c>
      <c r="DH52" s="52">
        <f t="shared" si="214"/>
        <v>0</v>
      </c>
      <c r="DI52" s="52">
        <f t="shared" si="214"/>
        <v>0</v>
      </c>
      <c r="DJ52" s="52">
        <f t="shared" si="214"/>
        <v>0</v>
      </c>
      <c r="DK52" s="52">
        <f t="shared" si="214"/>
        <v>0</v>
      </c>
      <c r="DL52" s="52">
        <f t="shared" si="214"/>
        <v>0</v>
      </c>
      <c r="DM52" s="52">
        <f t="shared" si="214"/>
        <v>0</v>
      </c>
      <c r="DN52" s="52">
        <f t="shared" si="214"/>
        <v>0</v>
      </c>
      <c r="DO52" s="52">
        <f t="shared" si="214"/>
        <v>0</v>
      </c>
      <c r="DP52" s="52">
        <f t="shared" si="214"/>
        <v>0</v>
      </c>
      <c r="DQ52" s="52">
        <f t="shared" si="214"/>
        <v>0</v>
      </c>
      <c r="DR52" s="52">
        <f t="shared" si="214"/>
        <v>0</v>
      </c>
      <c r="DS52" s="52">
        <f t="shared" si="214"/>
        <v>0</v>
      </c>
      <c r="DT52" s="52">
        <f t="shared" si="214"/>
        <v>0</v>
      </c>
      <c r="DU52" s="52">
        <f t="shared" si="214"/>
        <v>0</v>
      </c>
      <c r="DV52" s="52">
        <f t="shared" si="21"/>
        <v>1000</v>
      </c>
      <c r="DW52" s="52">
        <f t="shared" si="22"/>
        <v>1</v>
      </c>
    </row>
    <row r="53">
      <c r="A53" s="40" t="s">
        <v>55</v>
      </c>
      <c r="B53" s="41" t="s">
        <v>56</v>
      </c>
      <c r="C53" s="31" t="s">
        <v>183</v>
      </c>
      <c r="D53" s="25" t="str">
        <f>IFERROR(__xludf.DUMMYFUNCTION("SPLIT(C53,"" "")"),"Anderson,")</f>
        <v>Anderson,</v>
      </c>
      <c r="E53" s="40" t="str">
        <f>IFERROR(__xludf.DUMMYFUNCTION("""COMPUTED_VALUE"""),"Dick
3700")</f>
        <v>Dick
3700</v>
      </c>
      <c r="F53" s="40" t="str">
        <f>IFERROR(__xludf.DUMMYFUNCTION("""COMPUTED_VALUE"""),"N")</f>
        <v>N</v>
      </c>
      <c r="G53" s="40" t="str">
        <f>IFERROR(__xludf.DUMMYFUNCTION("""COMPUTED_VALUE"""),"Capital")</f>
        <v>Capital</v>
      </c>
      <c r="H53" s="40" t="str">
        <f>IFERROR(__xludf.DUMMYFUNCTION("""COMPUTED_VALUE"""),"of")</f>
        <v>of</v>
      </c>
      <c r="I53" s="40" t="str">
        <f>IFERROR(__xludf.DUMMYFUNCTION("""COMPUTED_VALUE"""),"TX")</f>
        <v>TX</v>
      </c>
      <c r="J53" s="40" t="str">
        <f>IFERROR(__xludf.DUMMYFUNCTION("""COMPUTED_VALUE"""),"Hwy
Austin,")</f>
        <v>Hwy
Austin,</v>
      </c>
      <c r="K53" s="40" t="str">
        <f>IFERROR(__xludf.DUMMYFUNCTION("""COMPUTED_VALUE"""),"TX")</f>
        <v>TX</v>
      </c>
      <c r="L53" s="40">
        <f>IFERROR(__xludf.DUMMYFUNCTION("""COMPUTED_VALUE"""),78746.0)</f>
        <v>78746</v>
      </c>
      <c r="M53" s="40"/>
      <c r="N53" s="40"/>
      <c r="O53" s="40"/>
      <c r="P53" s="40"/>
      <c r="Q53" s="40"/>
      <c r="R53" s="40"/>
      <c r="S53" s="40"/>
      <c r="T53" s="40"/>
      <c r="U53" s="24" t="str">
        <f>IFERROR(__xludf.DUMMYFUNCTION("SPLIT(E53,""01234567890"")"),"Dick
")</f>
        <v>Dick
</v>
      </c>
      <c r="V53" s="24" t="str">
        <f>IFERROR(__xludf.DUMMYFUNCTION("SPLIT(D53,"","")"),"Anderson")</f>
        <v>Anderson</v>
      </c>
      <c r="W53" s="25" t="str">
        <f t="shared" si="1"/>
        <v>DICK
 ANDERSON</v>
      </c>
      <c r="X53" s="25" t="s">
        <v>184</v>
      </c>
      <c r="Y53" s="25">
        <v>78746.0</v>
      </c>
      <c r="Z53" s="25" t="str">
        <f>IFERROR(__xludf.DUMMYFUNCTION("SPLIT(C53,""
"")"),"Anderson, Dick")</f>
        <v>Anderson, Dick</v>
      </c>
      <c r="AA53" s="25" t="str">
        <f>IFERROR(__xludf.DUMMYFUNCTION("""COMPUTED_VALUE"""),"3700 N Capital of TX Hwy")</f>
        <v>3700 N Capital of TX Hwy</v>
      </c>
      <c r="AB53" s="25" t="str">
        <f>IFERROR(__xludf.DUMMYFUNCTION("""COMPUTED_VALUE"""),"Austin, TX 78746")</f>
        <v>Austin, TX 78746</v>
      </c>
      <c r="AC53" s="24" t="s">
        <v>185</v>
      </c>
      <c r="AD53" s="25"/>
      <c r="AE53" s="25"/>
      <c r="AF53" s="25"/>
      <c r="AG53" s="40" t="s">
        <v>60</v>
      </c>
      <c r="AH53" s="42">
        <v>2481.0</v>
      </c>
      <c r="AI53" s="40" t="s">
        <v>68</v>
      </c>
      <c r="AJ53" s="27">
        <v>1000.0</v>
      </c>
      <c r="AK53" s="31" t="s">
        <v>25</v>
      </c>
      <c r="AL53" s="43">
        <v>44826.0</v>
      </c>
      <c r="AM53" s="44">
        <v>44937.81995370371</v>
      </c>
      <c r="AN53" s="30">
        <v>2.0</v>
      </c>
      <c r="AO53" s="40"/>
      <c r="AP53" s="40"/>
      <c r="AQ53" s="40"/>
      <c r="AR53" s="40"/>
      <c r="AS53" s="31">
        <f>IFERROR(__xludf.DUMMYFUNCTION("""COMPUTED_VALUE"""),75231.0)</f>
        <v>75231</v>
      </c>
      <c r="AT53" s="45">
        <f t="shared" si="6"/>
        <v>3490</v>
      </c>
      <c r="AU53" s="40"/>
      <c r="AV53" s="46" t="str">
        <f>IFERROR(__xludf.DUMMYFUNCTION("""COMPUTED_VALUE"""),"Bazaldua")</f>
        <v>Bazaldua</v>
      </c>
      <c r="AW53" s="46">
        <f t="shared" si="7"/>
        <v>650</v>
      </c>
      <c r="AX53" s="47">
        <f t="shared" ref="AX53:BQ53" si="215">SUMIFS($AJ:$AJ,$V:$V,$AV53,$AK:$AK,AX$2)</f>
        <v>0</v>
      </c>
      <c r="AY53" s="48">
        <f t="shared" si="215"/>
        <v>0</v>
      </c>
      <c r="AZ53" s="48">
        <f t="shared" si="215"/>
        <v>350</v>
      </c>
      <c r="BA53" s="48">
        <f t="shared" si="215"/>
        <v>200</v>
      </c>
      <c r="BB53" s="48">
        <f t="shared" si="215"/>
        <v>0</v>
      </c>
      <c r="BC53" s="48">
        <f t="shared" si="215"/>
        <v>0</v>
      </c>
      <c r="BD53" s="48">
        <f t="shared" si="215"/>
        <v>0</v>
      </c>
      <c r="BE53" s="48">
        <f t="shared" si="215"/>
        <v>0</v>
      </c>
      <c r="BF53" s="48">
        <f t="shared" si="215"/>
        <v>0</v>
      </c>
      <c r="BG53" s="48">
        <f t="shared" si="215"/>
        <v>0</v>
      </c>
      <c r="BH53" s="48">
        <f t="shared" si="215"/>
        <v>100</v>
      </c>
      <c r="BI53" s="48">
        <f t="shared" si="215"/>
        <v>0</v>
      </c>
      <c r="BJ53" s="48">
        <f t="shared" si="215"/>
        <v>0</v>
      </c>
      <c r="BK53" s="48">
        <f t="shared" si="215"/>
        <v>0</v>
      </c>
      <c r="BL53" s="48">
        <f t="shared" si="215"/>
        <v>0</v>
      </c>
      <c r="BM53" s="48">
        <f t="shared" si="215"/>
        <v>0</v>
      </c>
      <c r="BN53" s="48">
        <f t="shared" si="215"/>
        <v>0</v>
      </c>
      <c r="BO53" s="48">
        <f t="shared" si="215"/>
        <v>0</v>
      </c>
      <c r="BP53" s="48">
        <f t="shared" si="215"/>
        <v>0</v>
      </c>
      <c r="BQ53" s="48">
        <f t="shared" si="215"/>
        <v>0</v>
      </c>
      <c r="BR53" s="36">
        <f t="shared" si="9"/>
        <v>1</v>
      </c>
      <c r="BS53" s="38">
        <f t="shared" si="10"/>
        <v>3</v>
      </c>
      <c r="BT53" s="49">
        <f t="shared" si="11"/>
        <v>0</v>
      </c>
      <c r="BU53" s="38">
        <f t="shared" si="12"/>
        <v>3000</v>
      </c>
      <c r="BV53" s="46" t="str">
        <f>IFERROR(__xludf.DUMMYFUNCTION("""COMPUTED_VALUE"""),"Bazaldua")</f>
        <v>Bazaldua</v>
      </c>
      <c r="BW53" s="46">
        <f t="shared" si="13"/>
        <v>650</v>
      </c>
      <c r="BX53" s="47">
        <f t="shared" ref="BX53:CA53" si="216">AX53-$BU53</f>
        <v>-3000</v>
      </c>
      <c r="BY53" s="47">
        <f t="shared" si="216"/>
        <v>-3000</v>
      </c>
      <c r="BZ53" s="47">
        <f t="shared" si="216"/>
        <v>-2650</v>
      </c>
      <c r="CA53" s="47">
        <f t="shared" si="216"/>
        <v>-2800</v>
      </c>
      <c r="CB53" s="47">
        <f t="shared" si="15"/>
        <v>-30000</v>
      </c>
      <c r="CC53" s="47">
        <f t="shared" ref="CC53:CQ53" si="217">BC53-$BU53</f>
        <v>-3000</v>
      </c>
      <c r="CD53" s="47">
        <f t="shared" si="217"/>
        <v>-3000</v>
      </c>
      <c r="CE53" s="47">
        <f t="shared" si="217"/>
        <v>-3000</v>
      </c>
      <c r="CF53" s="47">
        <f t="shared" si="217"/>
        <v>-3000</v>
      </c>
      <c r="CG53" s="47">
        <f t="shared" si="217"/>
        <v>-3000</v>
      </c>
      <c r="CH53" s="47">
        <f t="shared" si="217"/>
        <v>-2900</v>
      </c>
      <c r="CI53" s="47">
        <f t="shared" si="217"/>
        <v>-3000</v>
      </c>
      <c r="CJ53" s="47">
        <f t="shared" si="217"/>
        <v>-3000</v>
      </c>
      <c r="CK53" s="47">
        <f t="shared" si="217"/>
        <v>-3000</v>
      </c>
      <c r="CL53" s="47">
        <f t="shared" si="217"/>
        <v>-3000</v>
      </c>
      <c r="CM53" s="47">
        <f t="shared" si="217"/>
        <v>-3000</v>
      </c>
      <c r="CN53" s="47">
        <f t="shared" si="217"/>
        <v>-3000</v>
      </c>
      <c r="CO53" s="47">
        <f t="shared" si="217"/>
        <v>-3000</v>
      </c>
      <c r="CP53" s="47">
        <f t="shared" si="217"/>
        <v>-3000</v>
      </c>
      <c r="CQ53" s="47">
        <f t="shared" si="217"/>
        <v>-3000</v>
      </c>
      <c r="CR53" s="47"/>
      <c r="CS53" s="47"/>
      <c r="CT53" s="47"/>
      <c r="CU53" s="50" t="str">
        <f>IFERROR(__xludf.DUMMYFUNCTION("""COMPUTED_VALUE"""),"association of Greater Dallas
5728 LBJ Fwy.
Dallas, TX 75240       ")</f>
        <v>association of Greater Dallas
5728 LBJ Fwy.
Dallas, TX 75240       </v>
      </c>
      <c r="CV53" s="51">
        <f>IFERROR(__xludf.DUMMYFUNCTION("IF(REGEXMATCH(UPPER(CU53), ""TX""),0,1)"),0.0)</f>
        <v>0</v>
      </c>
      <c r="CW53" s="51">
        <f>IFERROR(__xludf.DUMMYFUNCTION("IF(REGEXMATCH(UPPER(CU53), ""DALLAS""),0,1)"),0.0)</f>
        <v>0</v>
      </c>
      <c r="CX53" s="51">
        <f t="shared" si="17"/>
        <v>0</v>
      </c>
      <c r="CY53" s="51">
        <f t="shared" si="18"/>
        <v>0</v>
      </c>
      <c r="CZ53" s="52" t="str">
        <f t="shared" si="19"/>
        <v/>
      </c>
      <c r="DA53" s="53" t="str">
        <f>IFERROR(__xludf.DUMMYFUNCTION("""COMPUTED_VALUE"""),"susie &amp; Derrick
1456 Chapman Dr
Lancaster, TX 75134        ")</f>
        <v>susie &amp; Derrick
1456 Chapman Dr
Lancaster, TX 75134        </v>
      </c>
      <c r="DB53" s="52">
        <f t="shared" ref="DB53:DU53" si="218">SUMIFS($AJ:$AJ,$X:$X,$DA53,$AK:$AK,DB$2)</f>
        <v>0</v>
      </c>
      <c r="DC53" s="52">
        <f t="shared" si="218"/>
        <v>0</v>
      </c>
      <c r="DD53" s="52">
        <f t="shared" si="218"/>
        <v>0</v>
      </c>
      <c r="DE53" s="52">
        <f t="shared" si="218"/>
        <v>0</v>
      </c>
      <c r="DF53" s="52">
        <f t="shared" si="218"/>
        <v>300</v>
      </c>
      <c r="DG53" s="52">
        <f t="shared" si="218"/>
        <v>0</v>
      </c>
      <c r="DH53" s="52">
        <f t="shared" si="218"/>
        <v>0</v>
      </c>
      <c r="DI53" s="52">
        <f t="shared" si="218"/>
        <v>0</v>
      </c>
      <c r="DJ53" s="52">
        <f t="shared" si="218"/>
        <v>0</v>
      </c>
      <c r="DK53" s="52">
        <f t="shared" si="218"/>
        <v>0</v>
      </c>
      <c r="DL53" s="52">
        <f t="shared" si="218"/>
        <v>0</v>
      </c>
      <c r="DM53" s="52">
        <f t="shared" si="218"/>
        <v>0</v>
      </c>
      <c r="DN53" s="52">
        <f t="shared" si="218"/>
        <v>0</v>
      </c>
      <c r="DO53" s="52">
        <f t="shared" si="218"/>
        <v>0</v>
      </c>
      <c r="DP53" s="52">
        <f t="shared" si="218"/>
        <v>0</v>
      </c>
      <c r="DQ53" s="52">
        <f t="shared" si="218"/>
        <v>0</v>
      </c>
      <c r="DR53" s="52">
        <f t="shared" si="218"/>
        <v>0</v>
      </c>
      <c r="DS53" s="52">
        <f t="shared" si="218"/>
        <v>0</v>
      </c>
      <c r="DT53" s="52">
        <f t="shared" si="218"/>
        <v>0</v>
      </c>
      <c r="DU53" s="52">
        <f t="shared" si="218"/>
        <v>0</v>
      </c>
      <c r="DV53" s="52">
        <f t="shared" si="21"/>
        <v>300</v>
      </c>
      <c r="DW53" s="52">
        <f t="shared" si="22"/>
        <v>1</v>
      </c>
    </row>
    <row r="54">
      <c r="A54" s="22" t="s">
        <v>55</v>
      </c>
      <c r="B54" s="23" t="s">
        <v>56</v>
      </c>
      <c r="C54" s="31" t="s">
        <v>186</v>
      </c>
      <c r="D54" s="25" t="str">
        <f>IFERROR(__xludf.DUMMYFUNCTION("SPLIT(C54,"" "")"),"Anderson,")</f>
        <v>Anderson,</v>
      </c>
      <c r="E54" s="22" t="str">
        <f>IFERROR(__xludf.DUMMYFUNCTION("""COMPUTED_VALUE"""),"Simone
3808")</f>
        <v>Simone
3808</v>
      </c>
      <c r="F54" s="22" t="str">
        <f>IFERROR(__xludf.DUMMYFUNCTION("""COMPUTED_VALUE"""),"Southwestern")</f>
        <v>Southwestern</v>
      </c>
      <c r="G54" s="22" t="str">
        <f>IFERROR(__xludf.DUMMYFUNCTION("""COMPUTED_VALUE"""),"Blvd.
Dallas,")</f>
        <v>Blvd.
Dallas,</v>
      </c>
      <c r="H54" s="22" t="str">
        <f>IFERROR(__xludf.DUMMYFUNCTION("""COMPUTED_VALUE"""),"TX")</f>
        <v>TX</v>
      </c>
      <c r="I54" s="22">
        <f>IFERROR(__xludf.DUMMYFUNCTION("""COMPUTED_VALUE"""),75225.0)</f>
        <v>75225</v>
      </c>
      <c r="J54" s="22"/>
      <c r="K54" s="22"/>
      <c r="L54" s="22"/>
      <c r="M54" s="22"/>
      <c r="N54" s="22"/>
      <c r="O54" s="22"/>
      <c r="P54" s="22"/>
      <c r="Q54" s="22"/>
      <c r="R54" s="22"/>
      <c r="S54" s="22"/>
      <c r="T54" s="22"/>
      <c r="U54" s="24" t="str">
        <f>IFERROR(__xludf.DUMMYFUNCTION("SPLIT(E54,""01234567890"")"),"Simone
")</f>
        <v>Simone
</v>
      </c>
      <c r="V54" s="24" t="str">
        <f>IFERROR(__xludf.DUMMYFUNCTION("SPLIT(D54,"","")"),"Anderson")</f>
        <v>Anderson</v>
      </c>
      <c r="W54" s="25" t="str">
        <f t="shared" si="1"/>
        <v>SIMONE
 ANDERSON</v>
      </c>
      <c r="X54" s="25" t="s">
        <v>187</v>
      </c>
      <c r="Y54" s="25">
        <v>75225.0</v>
      </c>
      <c r="Z54" s="25" t="str">
        <f>IFERROR(__xludf.DUMMYFUNCTION("SPLIT(C54,""
"")"),"Anderson, Simone")</f>
        <v>Anderson, Simone</v>
      </c>
      <c r="AA54" s="25" t="str">
        <f>IFERROR(__xludf.DUMMYFUNCTION("""COMPUTED_VALUE"""),"3808 Southwestern Blvd.")</f>
        <v>3808 Southwestern Blvd.</v>
      </c>
      <c r="AB54" s="25" t="str">
        <f>IFERROR(__xludf.DUMMYFUNCTION("""COMPUTED_VALUE"""),"Dallas, TX 75225")</f>
        <v>Dallas, TX 75225</v>
      </c>
      <c r="AC54" s="24" t="s">
        <v>188</v>
      </c>
      <c r="AD54" s="25"/>
      <c r="AE54" s="25"/>
      <c r="AF54" s="25"/>
      <c r="AG54" s="22" t="s">
        <v>60</v>
      </c>
      <c r="AH54" s="54">
        <v>2441.0</v>
      </c>
      <c r="AI54" s="22" t="s">
        <v>61</v>
      </c>
      <c r="AJ54" s="27">
        <v>950.0</v>
      </c>
      <c r="AK54" s="31" t="s">
        <v>21</v>
      </c>
      <c r="AL54" s="28">
        <v>44698.0</v>
      </c>
      <c r="AM54" s="29">
        <v>44756.4640625</v>
      </c>
      <c r="AN54" s="30">
        <v>2.0</v>
      </c>
      <c r="AO54" s="22"/>
      <c r="AP54" s="22"/>
      <c r="AQ54" s="22"/>
      <c r="AR54" s="22"/>
      <c r="AS54" s="31">
        <f>IFERROR(__xludf.DUMMYFUNCTION("""COMPUTED_VALUE"""),87508.0)</f>
        <v>87508</v>
      </c>
      <c r="AT54" s="45">
        <f t="shared" si="6"/>
        <v>25</v>
      </c>
      <c r="AU54" s="22"/>
      <c r="AV54" s="57" t="str">
        <f>IFERROR(__xludf.DUMMYFUNCTION("""COMPUTED_VALUE"""),"Bazan")</f>
        <v>Bazan</v>
      </c>
      <c r="AW54" s="46">
        <f t="shared" si="7"/>
        <v>700</v>
      </c>
      <c r="AX54" s="47">
        <f t="shared" ref="AX54:BQ54" si="219">SUMIFS($AJ:$AJ,$V:$V,$AV54,$AK:$AK,AX$2)</f>
        <v>0</v>
      </c>
      <c r="AY54" s="48">
        <f t="shared" si="219"/>
        <v>0</v>
      </c>
      <c r="AZ54" s="48">
        <f t="shared" si="219"/>
        <v>0</v>
      </c>
      <c r="BA54" s="48">
        <f t="shared" si="219"/>
        <v>700</v>
      </c>
      <c r="BB54" s="48">
        <f t="shared" si="219"/>
        <v>0</v>
      </c>
      <c r="BC54" s="48">
        <f t="shared" si="219"/>
        <v>0</v>
      </c>
      <c r="BD54" s="48">
        <f t="shared" si="219"/>
        <v>0</v>
      </c>
      <c r="BE54" s="48">
        <f t="shared" si="219"/>
        <v>0</v>
      </c>
      <c r="BF54" s="48">
        <f t="shared" si="219"/>
        <v>0</v>
      </c>
      <c r="BG54" s="48">
        <f t="shared" si="219"/>
        <v>0</v>
      </c>
      <c r="BH54" s="48">
        <f t="shared" si="219"/>
        <v>0</v>
      </c>
      <c r="BI54" s="48">
        <f t="shared" si="219"/>
        <v>0</v>
      </c>
      <c r="BJ54" s="48">
        <f t="shared" si="219"/>
        <v>0</v>
      </c>
      <c r="BK54" s="48">
        <f t="shared" si="219"/>
        <v>0</v>
      </c>
      <c r="BL54" s="48">
        <f t="shared" si="219"/>
        <v>0</v>
      </c>
      <c r="BM54" s="48">
        <f t="shared" si="219"/>
        <v>0</v>
      </c>
      <c r="BN54" s="48">
        <f t="shared" si="219"/>
        <v>0</v>
      </c>
      <c r="BO54" s="48">
        <f t="shared" si="219"/>
        <v>0</v>
      </c>
      <c r="BP54" s="48">
        <f t="shared" si="219"/>
        <v>0</v>
      </c>
      <c r="BQ54" s="48">
        <f t="shared" si="219"/>
        <v>0</v>
      </c>
      <c r="BR54" s="36">
        <f t="shared" si="9"/>
        <v>0</v>
      </c>
      <c r="BS54" s="38">
        <f t="shared" si="10"/>
        <v>1</v>
      </c>
      <c r="BT54" s="49">
        <f t="shared" si="11"/>
        <v>0</v>
      </c>
      <c r="BU54" s="38">
        <f t="shared" si="12"/>
        <v>1000</v>
      </c>
      <c r="BV54" s="57" t="str">
        <f>IFERROR(__xludf.DUMMYFUNCTION("""COMPUTED_VALUE"""),"Bazan")</f>
        <v>Bazan</v>
      </c>
      <c r="BW54" s="46">
        <f t="shared" si="13"/>
        <v>700</v>
      </c>
      <c r="BX54" s="47">
        <f t="shared" ref="BX54:CA54" si="220">AX54-$BU54</f>
        <v>-1000</v>
      </c>
      <c r="BY54" s="47">
        <f t="shared" si="220"/>
        <v>-1000</v>
      </c>
      <c r="BZ54" s="47">
        <f t="shared" si="220"/>
        <v>-1000</v>
      </c>
      <c r="CA54" s="47">
        <f t="shared" si="220"/>
        <v>-300</v>
      </c>
      <c r="CB54" s="47">
        <f t="shared" si="15"/>
        <v>-10000</v>
      </c>
      <c r="CC54" s="47">
        <f t="shared" ref="CC54:CQ54" si="221">BC54-$BU54</f>
        <v>-1000</v>
      </c>
      <c r="CD54" s="47">
        <f t="shared" si="221"/>
        <v>-1000</v>
      </c>
      <c r="CE54" s="47">
        <f t="shared" si="221"/>
        <v>-1000</v>
      </c>
      <c r="CF54" s="47">
        <f t="shared" si="221"/>
        <v>-1000</v>
      </c>
      <c r="CG54" s="47">
        <f t="shared" si="221"/>
        <v>-1000</v>
      </c>
      <c r="CH54" s="47">
        <f t="shared" si="221"/>
        <v>-1000</v>
      </c>
      <c r="CI54" s="47">
        <f t="shared" si="221"/>
        <v>-1000</v>
      </c>
      <c r="CJ54" s="47">
        <f t="shared" si="221"/>
        <v>-1000</v>
      </c>
      <c r="CK54" s="47">
        <f t="shared" si="221"/>
        <v>-1000</v>
      </c>
      <c r="CL54" s="47">
        <f t="shared" si="221"/>
        <v>-1000</v>
      </c>
      <c r="CM54" s="47">
        <f t="shared" si="221"/>
        <v>-1000</v>
      </c>
      <c r="CN54" s="47">
        <f t="shared" si="221"/>
        <v>-1000</v>
      </c>
      <c r="CO54" s="47">
        <f t="shared" si="221"/>
        <v>-1000</v>
      </c>
      <c r="CP54" s="47">
        <f t="shared" si="221"/>
        <v>-1000</v>
      </c>
      <c r="CQ54" s="47">
        <f t="shared" si="221"/>
        <v>-1000</v>
      </c>
      <c r="CR54" s="47"/>
      <c r="CS54" s="47"/>
      <c r="CT54" s="47"/>
      <c r="CU54" s="50" t="str">
        <f>IFERROR(__xludf.DUMMYFUNCTION("""COMPUTED_VALUE"""),"association of Greater Dallas
5728 LBJ Fwy
Dallas, TX 75240       ")</f>
        <v>association of Greater Dallas
5728 LBJ Fwy
Dallas, TX 75240       </v>
      </c>
      <c r="CV54" s="51">
        <f>IFERROR(__xludf.DUMMYFUNCTION("IF(REGEXMATCH(UPPER(CU54), ""TX""),0,1)"),0.0)</f>
        <v>0</v>
      </c>
      <c r="CW54" s="51">
        <f>IFERROR(__xludf.DUMMYFUNCTION("IF(REGEXMATCH(UPPER(CU54), ""DALLAS""),0,1)"),0.0)</f>
        <v>0</v>
      </c>
      <c r="CX54" s="51">
        <f t="shared" si="17"/>
        <v>0</v>
      </c>
      <c r="CY54" s="51">
        <f t="shared" si="18"/>
        <v>0</v>
      </c>
      <c r="CZ54" s="52" t="str">
        <f t="shared" si="19"/>
        <v/>
      </c>
      <c r="DA54" s="53" t="str">
        <f>IFERROR(__xludf.DUMMYFUNCTION("""COMPUTED_VALUE"""),"5400 Bosque Blvd
Waco, TX 76710          ")</f>
        <v>5400 Bosque Blvd
Waco, TX 76710          </v>
      </c>
      <c r="DB54" s="52">
        <f t="shared" ref="DB54:DU54" si="222">SUMIFS($AJ:$AJ,$X:$X,$DA54,$AK:$AK,DB$2)</f>
        <v>0</v>
      </c>
      <c r="DC54" s="52">
        <f t="shared" si="222"/>
        <v>0</v>
      </c>
      <c r="DD54" s="52">
        <f t="shared" si="222"/>
        <v>0</v>
      </c>
      <c r="DE54" s="52">
        <f t="shared" si="222"/>
        <v>0</v>
      </c>
      <c r="DF54" s="52">
        <f t="shared" si="222"/>
        <v>5000</v>
      </c>
      <c r="DG54" s="52">
        <f t="shared" si="222"/>
        <v>0</v>
      </c>
      <c r="DH54" s="52">
        <f t="shared" si="222"/>
        <v>0</v>
      </c>
      <c r="DI54" s="52">
        <f t="shared" si="222"/>
        <v>0</v>
      </c>
      <c r="DJ54" s="52">
        <f t="shared" si="222"/>
        <v>0</v>
      </c>
      <c r="DK54" s="52">
        <f t="shared" si="222"/>
        <v>0</v>
      </c>
      <c r="DL54" s="52">
        <f t="shared" si="222"/>
        <v>0</v>
      </c>
      <c r="DM54" s="52">
        <f t="shared" si="222"/>
        <v>0</v>
      </c>
      <c r="DN54" s="52">
        <f t="shared" si="222"/>
        <v>0</v>
      </c>
      <c r="DO54" s="52">
        <f t="shared" si="222"/>
        <v>0</v>
      </c>
      <c r="DP54" s="52">
        <f t="shared" si="222"/>
        <v>0</v>
      </c>
      <c r="DQ54" s="52">
        <f t="shared" si="222"/>
        <v>0</v>
      </c>
      <c r="DR54" s="52">
        <f t="shared" si="222"/>
        <v>0</v>
      </c>
      <c r="DS54" s="52">
        <f t="shared" si="222"/>
        <v>0</v>
      </c>
      <c r="DT54" s="52">
        <f t="shared" si="222"/>
        <v>0</v>
      </c>
      <c r="DU54" s="52">
        <f t="shared" si="222"/>
        <v>0</v>
      </c>
      <c r="DV54" s="52">
        <f t="shared" si="21"/>
        <v>5000</v>
      </c>
      <c r="DW54" s="52">
        <f t="shared" si="22"/>
        <v>1</v>
      </c>
    </row>
    <row r="55">
      <c r="A55" s="40" t="s">
        <v>55</v>
      </c>
      <c r="B55" s="41" t="s">
        <v>56</v>
      </c>
      <c r="C55" s="31" t="s">
        <v>189</v>
      </c>
      <c r="D55" s="25" t="str">
        <f>IFERROR(__xludf.DUMMYFUNCTION("SPLIT(C55,"" "")"),"Anderson,")</f>
        <v>Anderson,</v>
      </c>
      <c r="E55" s="40" t="str">
        <f>IFERROR(__xludf.DUMMYFUNCTION("""COMPUTED_VALUE"""),"Terri
657")</f>
        <v>Terri
657</v>
      </c>
      <c r="F55" s="40" t="str">
        <f>IFERROR(__xludf.DUMMYFUNCTION("""COMPUTED_VALUE"""),"Knights")</f>
        <v>Knights</v>
      </c>
      <c r="G55" s="40" t="str">
        <f>IFERROR(__xludf.DUMMYFUNCTION("""COMPUTED_VALUE"""),"Way
Coppell,")</f>
        <v>Way
Coppell,</v>
      </c>
      <c r="H55" s="40" t="str">
        <f>IFERROR(__xludf.DUMMYFUNCTION("""COMPUTED_VALUE"""),"TX")</f>
        <v>TX</v>
      </c>
      <c r="I55" s="40">
        <f>IFERROR(__xludf.DUMMYFUNCTION("""COMPUTED_VALUE"""),75019.0)</f>
        <v>75019</v>
      </c>
      <c r="J55" s="40"/>
      <c r="K55" s="40"/>
      <c r="L55" s="40"/>
      <c r="M55" s="40"/>
      <c r="N55" s="40"/>
      <c r="O55" s="40"/>
      <c r="P55" s="40"/>
      <c r="Q55" s="40"/>
      <c r="R55" s="40"/>
      <c r="S55" s="40"/>
      <c r="T55" s="40"/>
      <c r="U55" s="24" t="str">
        <f>IFERROR(__xludf.DUMMYFUNCTION("SPLIT(E55,""01234567890"")"),"Terri
")</f>
        <v>Terri
</v>
      </c>
      <c r="V55" s="24" t="str">
        <f>IFERROR(__xludf.DUMMYFUNCTION("SPLIT(D55,"","")"),"Anderson")</f>
        <v>Anderson</v>
      </c>
      <c r="W55" s="25" t="str">
        <f t="shared" si="1"/>
        <v>TERRI
 ANDERSON</v>
      </c>
      <c r="X55" s="25" t="s">
        <v>190</v>
      </c>
      <c r="Y55" s="25">
        <v>75019.0</v>
      </c>
      <c r="Z55" s="25" t="str">
        <f>IFERROR(__xludf.DUMMYFUNCTION("SPLIT(C55,""
"")"),"Anderson, Terri")</f>
        <v>Anderson, Terri</v>
      </c>
      <c r="AA55" s="25" t="str">
        <f>IFERROR(__xludf.DUMMYFUNCTION("""COMPUTED_VALUE"""),"657 Knights Way")</f>
        <v>657 Knights Way</v>
      </c>
      <c r="AB55" s="25" t="str">
        <f>IFERROR(__xludf.DUMMYFUNCTION("""COMPUTED_VALUE"""),"Coppell, TX 75019")</f>
        <v>Coppell, TX 75019</v>
      </c>
      <c r="AC55" s="24" t="s">
        <v>191</v>
      </c>
      <c r="AD55" s="25"/>
      <c r="AE55" s="25"/>
      <c r="AF55" s="25"/>
      <c r="AG55" s="40" t="s">
        <v>60</v>
      </c>
      <c r="AH55" s="42">
        <v>2481.0</v>
      </c>
      <c r="AI55" s="40" t="s">
        <v>68</v>
      </c>
      <c r="AJ55" s="27">
        <v>500.0</v>
      </c>
      <c r="AK55" s="31" t="s">
        <v>25</v>
      </c>
      <c r="AL55" s="43">
        <v>44833.0</v>
      </c>
      <c r="AM55" s="44">
        <v>44937.81995370371</v>
      </c>
      <c r="AN55" s="30">
        <v>2.0</v>
      </c>
      <c r="AO55" s="40"/>
      <c r="AP55" s="40"/>
      <c r="AQ55" s="40"/>
      <c r="AR55" s="40"/>
      <c r="AS55" s="31">
        <f>IFERROR(__xludf.DUMMYFUNCTION("""COMPUTED_VALUE"""),22044.0)</f>
        <v>22044</v>
      </c>
      <c r="AT55" s="45">
        <f t="shared" si="6"/>
        <v>100</v>
      </c>
      <c r="AU55" s="40"/>
      <c r="AV55" s="46" t="str">
        <f>IFERROR(__xludf.DUMMYFUNCTION("""COMPUTED_VALUE"""),"Beane")</f>
        <v>Beane</v>
      </c>
      <c r="AW55" s="46">
        <f t="shared" si="7"/>
        <v>200</v>
      </c>
      <c r="AX55" s="47">
        <f t="shared" ref="AX55:BQ55" si="223">SUMIFS($AJ:$AJ,$V:$V,$AV55,$AK:$AK,AX$2)</f>
        <v>0</v>
      </c>
      <c r="AY55" s="48">
        <f t="shared" si="223"/>
        <v>0</v>
      </c>
      <c r="AZ55" s="48">
        <f t="shared" si="223"/>
        <v>0</v>
      </c>
      <c r="BA55" s="48">
        <f t="shared" si="223"/>
        <v>200</v>
      </c>
      <c r="BB55" s="48">
        <f t="shared" si="223"/>
        <v>0</v>
      </c>
      <c r="BC55" s="48">
        <f t="shared" si="223"/>
        <v>0</v>
      </c>
      <c r="BD55" s="48">
        <f t="shared" si="223"/>
        <v>0</v>
      </c>
      <c r="BE55" s="48">
        <f t="shared" si="223"/>
        <v>0</v>
      </c>
      <c r="BF55" s="48">
        <f t="shared" si="223"/>
        <v>0</v>
      </c>
      <c r="BG55" s="48">
        <f t="shared" si="223"/>
        <v>0</v>
      </c>
      <c r="BH55" s="48">
        <f t="shared" si="223"/>
        <v>0</v>
      </c>
      <c r="BI55" s="48">
        <f t="shared" si="223"/>
        <v>0</v>
      </c>
      <c r="BJ55" s="48">
        <f t="shared" si="223"/>
        <v>0</v>
      </c>
      <c r="BK55" s="48">
        <f t="shared" si="223"/>
        <v>0</v>
      </c>
      <c r="BL55" s="48">
        <f t="shared" si="223"/>
        <v>0</v>
      </c>
      <c r="BM55" s="48">
        <f t="shared" si="223"/>
        <v>0</v>
      </c>
      <c r="BN55" s="48">
        <f t="shared" si="223"/>
        <v>0</v>
      </c>
      <c r="BO55" s="48">
        <f t="shared" si="223"/>
        <v>0</v>
      </c>
      <c r="BP55" s="48">
        <f t="shared" si="223"/>
        <v>0</v>
      </c>
      <c r="BQ55" s="48">
        <f t="shared" si="223"/>
        <v>0</v>
      </c>
      <c r="BR55" s="36">
        <f t="shared" si="9"/>
        <v>0</v>
      </c>
      <c r="BS55" s="38">
        <f t="shared" si="10"/>
        <v>1</v>
      </c>
      <c r="BT55" s="49">
        <f t="shared" si="11"/>
        <v>0</v>
      </c>
      <c r="BU55" s="38">
        <f t="shared" si="12"/>
        <v>1000</v>
      </c>
      <c r="BV55" s="46" t="str">
        <f>IFERROR(__xludf.DUMMYFUNCTION("""COMPUTED_VALUE"""),"Beane")</f>
        <v>Beane</v>
      </c>
      <c r="BW55" s="46">
        <f t="shared" si="13"/>
        <v>200</v>
      </c>
      <c r="BX55" s="47">
        <f t="shared" ref="BX55:CA55" si="224">AX55-$BU55</f>
        <v>-1000</v>
      </c>
      <c r="BY55" s="47">
        <f t="shared" si="224"/>
        <v>-1000</v>
      </c>
      <c r="BZ55" s="47">
        <f t="shared" si="224"/>
        <v>-1000</v>
      </c>
      <c r="CA55" s="47">
        <f t="shared" si="224"/>
        <v>-800</v>
      </c>
      <c r="CB55" s="47">
        <f t="shared" si="15"/>
        <v>-10000</v>
      </c>
      <c r="CC55" s="47">
        <f t="shared" ref="CC55:CQ55" si="225">BC55-$BU55</f>
        <v>-1000</v>
      </c>
      <c r="CD55" s="47">
        <f t="shared" si="225"/>
        <v>-1000</v>
      </c>
      <c r="CE55" s="47">
        <f t="shared" si="225"/>
        <v>-1000</v>
      </c>
      <c r="CF55" s="47">
        <f t="shared" si="225"/>
        <v>-1000</v>
      </c>
      <c r="CG55" s="47">
        <f t="shared" si="225"/>
        <v>-1000</v>
      </c>
      <c r="CH55" s="47">
        <f t="shared" si="225"/>
        <v>-1000</v>
      </c>
      <c r="CI55" s="47">
        <f t="shared" si="225"/>
        <v>-1000</v>
      </c>
      <c r="CJ55" s="47">
        <f t="shared" si="225"/>
        <v>-1000</v>
      </c>
      <c r="CK55" s="47">
        <f t="shared" si="225"/>
        <v>-1000</v>
      </c>
      <c r="CL55" s="47">
        <f t="shared" si="225"/>
        <v>-1000</v>
      </c>
      <c r="CM55" s="47">
        <f t="shared" si="225"/>
        <v>-1000</v>
      </c>
      <c r="CN55" s="47">
        <f t="shared" si="225"/>
        <v>-1000</v>
      </c>
      <c r="CO55" s="47">
        <f t="shared" si="225"/>
        <v>-1000</v>
      </c>
      <c r="CP55" s="47">
        <f t="shared" si="225"/>
        <v>-1000</v>
      </c>
      <c r="CQ55" s="47">
        <f t="shared" si="225"/>
        <v>-1000</v>
      </c>
      <c r="CR55" s="47"/>
      <c r="CS55" s="47"/>
      <c r="CT55" s="47"/>
      <c r="CU55" s="50" t="str">
        <f>IFERROR(__xludf.DUMMYFUNCTION("""COMPUTED_VALUE"""),"17440 Dallas Pkwy
Dallas, TX 75287          ")</f>
        <v>17440 Dallas Pkwy
Dallas, TX 75287          </v>
      </c>
      <c r="CV55" s="51">
        <f>IFERROR(__xludf.DUMMYFUNCTION("IF(REGEXMATCH(UPPER(CU55), ""TX""),0,1)"),0.0)</f>
        <v>0</v>
      </c>
      <c r="CW55" s="51">
        <f>IFERROR(__xludf.DUMMYFUNCTION("IF(REGEXMATCH(UPPER(CU55), ""DALLAS""),0,1)"),0.0)</f>
        <v>0</v>
      </c>
      <c r="CX55" s="51">
        <f t="shared" si="17"/>
        <v>0</v>
      </c>
      <c r="CY55" s="51">
        <f t="shared" si="18"/>
        <v>0</v>
      </c>
      <c r="CZ55" s="52" t="str">
        <f t="shared" si="19"/>
        <v/>
      </c>
      <c r="DA55" s="53" t="str">
        <f>IFERROR(__xludf.DUMMYFUNCTION("""COMPUTED_VALUE"""),"6823 S Florence Ave
Tulsa, OK 74136         ")</f>
        <v>6823 S Florence Ave
Tulsa, OK 74136         </v>
      </c>
      <c r="DB55" s="52">
        <f t="shared" ref="DB55:DU55" si="226">SUMIFS($AJ:$AJ,$X:$X,$DA55,$AK:$AK,DB$2)</f>
        <v>0</v>
      </c>
      <c r="DC55" s="52">
        <f t="shared" si="226"/>
        <v>0</v>
      </c>
      <c r="DD55" s="52">
        <f t="shared" si="226"/>
        <v>0</v>
      </c>
      <c r="DE55" s="52">
        <f t="shared" si="226"/>
        <v>0</v>
      </c>
      <c r="DF55" s="52">
        <f t="shared" si="226"/>
        <v>250</v>
      </c>
      <c r="DG55" s="52">
        <f t="shared" si="226"/>
        <v>0</v>
      </c>
      <c r="DH55" s="52">
        <f t="shared" si="226"/>
        <v>0</v>
      </c>
      <c r="DI55" s="52">
        <f t="shared" si="226"/>
        <v>0</v>
      </c>
      <c r="DJ55" s="52">
        <f t="shared" si="226"/>
        <v>0</v>
      </c>
      <c r="DK55" s="52">
        <f t="shared" si="226"/>
        <v>0</v>
      </c>
      <c r="DL55" s="52">
        <f t="shared" si="226"/>
        <v>0</v>
      </c>
      <c r="DM55" s="52">
        <f t="shared" si="226"/>
        <v>0</v>
      </c>
      <c r="DN55" s="52">
        <f t="shared" si="226"/>
        <v>0</v>
      </c>
      <c r="DO55" s="52">
        <f t="shared" si="226"/>
        <v>0</v>
      </c>
      <c r="DP55" s="52">
        <f t="shared" si="226"/>
        <v>0</v>
      </c>
      <c r="DQ55" s="52">
        <f t="shared" si="226"/>
        <v>0</v>
      </c>
      <c r="DR55" s="52">
        <f t="shared" si="226"/>
        <v>0</v>
      </c>
      <c r="DS55" s="52">
        <f t="shared" si="226"/>
        <v>0</v>
      </c>
      <c r="DT55" s="52">
        <f t="shared" si="226"/>
        <v>0</v>
      </c>
      <c r="DU55" s="52">
        <f t="shared" si="226"/>
        <v>0</v>
      </c>
      <c r="DV55" s="52">
        <f t="shared" si="21"/>
        <v>250</v>
      </c>
      <c r="DW55" s="52">
        <f t="shared" si="22"/>
        <v>1</v>
      </c>
    </row>
    <row r="56">
      <c r="A56" s="22" t="s">
        <v>55</v>
      </c>
      <c r="B56" s="23" t="s">
        <v>56</v>
      </c>
      <c r="C56" s="31" t="s">
        <v>192</v>
      </c>
      <c r="D56" s="25" t="str">
        <f>IFERROR(__xludf.DUMMYFUNCTION("SPLIT(C56,"" "")"),"Anderson-Guthrie,")</f>
        <v>Anderson-Guthrie,</v>
      </c>
      <c r="E56" s="22" t="str">
        <f>IFERROR(__xludf.DUMMYFUNCTION("""COMPUTED_VALUE"""),"Carol
3211")</f>
        <v>Carol
3211</v>
      </c>
      <c r="F56" s="22" t="str">
        <f>IFERROR(__xludf.DUMMYFUNCTION("""COMPUTED_VALUE"""),"Basil")</f>
        <v>Basil</v>
      </c>
      <c r="G56" s="22" t="str">
        <f>IFERROR(__xludf.DUMMYFUNCTION("""COMPUTED_VALUE"""),"Ct
Dallas,")</f>
        <v>Ct
Dallas,</v>
      </c>
      <c r="H56" s="22" t="str">
        <f>IFERROR(__xludf.DUMMYFUNCTION("""COMPUTED_VALUE"""),"TX")</f>
        <v>TX</v>
      </c>
      <c r="I56" s="22">
        <f>IFERROR(__xludf.DUMMYFUNCTION("""COMPUTED_VALUE"""),75204.0)</f>
        <v>75204</v>
      </c>
      <c r="J56" s="22"/>
      <c r="K56" s="22"/>
      <c r="L56" s="22"/>
      <c r="M56" s="22"/>
      <c r="N56" s="22"/>
      <c r="O56" s="22"/>
      <c r="P56" s="22"/>
      <c r="Q56" s="22"/>
      <c r="R56" s="22"/>
      <c r="S56" s="22"/>
      <c r="T56" s="22"/>
      <c r="U56" s="24" t="str">
        <f>IFERROR(__xludf.DUMMYFUNCTION("SPLIT(E56,""01234567890"")"),"Carol
")</f>
        <v>Carol
</v>
      </c>
      <c r="V56" s="24" t="str">
        <f>IFERROR(__xludf.DUMMYFUNCTION("SPLIT(D56,"","")"),"Anderson-Guthrie")</f>
        <v>Anderson-Guthrie</v>
      </c>
      <c r="W56" s="25" t="str">
        <f t="shared" si="1"/>
        <v>CAROL
 ANDERSON-GUTHRIE</v>
      </c>
      <c r="X56" s="25" t="s">
        <v>193</v>
      </c>
      <c r="Y56" s="25">
        <v>75204.0</v>
      </c>
      <c r="Z56" s="25" t="str">
        <f>IFERROR(__xludf.DUMMYFUNCTION("SPLIT(C56,""
"")"),"Anderson-Guthrie, Carol")</f>
        <v>Anderson-Guthrie, Carol</v>
      </c>
      <c r="AA56" s="25" t="str">
        <f>IFERROR(__xludf.DUMMYFUNCTION("""COMPUTED_VALUE"""),"3211 Basil Ct")</f>
        <v>3211 Basil Ct</v>
      </c>
      <c r="AB56" s="25" t="str">
        <f>IFERROR(__xludf.DUMMYFUNCTION("""COMPUTED_VALUE"""),"Dallas, TX 75204")</f>
        <v>Dallas, TX 75204</v>
      </c>
      <c r="AC56" s="24" t="s">
        <v>194</v>
      </c>
      <c r="AD56" s="25"/>
      <c r="AE56" s="25"/>
      <c r="AF56" s="25"/>
      <c r="AG56" s="22" t="s">
        <v>60</v>
      </c>
      <c r="AH56" s="54">
        <v>2445.0</v>
      </c>
      <c r="AI56" s="22" t="s">
        <v>61</v>
      </c>
      <c r="AJ56" s="27">
        <v>100.0</v>
      </c>
      <c r="AK56" s="31" t="s">
        <v>30</v>
      </c>
      <c r="AL56" s="28">
        <v>44727.0</v>
      </c>
      <c r="AM56" s="29">
        <v>44755.778402777774</v>
      </c>
      <c r="AN56" s="30">
        <v>2.0</v>
      </c>
      <c r="AO56" s="22"/>
      <c r="AP56" s="22"/>
      <c r="AQ56" s="22"/>
      <c r="AR56" s="22"/>
      <c r="AS56" s="31">
        <f>IFERROR(__xludf.DUMMYFUNCTION("""COMPUTED_VALUE"""),77002.0)</f>
        <v>77002</v>
      </c>
      <c r="AT56" s="45">
        <f t="shared" si="6"/>
        <v>1000</v>
      </c>
      <c r="AU56" s="22"/>
      <c r="AV56" s="57" t="str">
        <f>IFERROR(__xludf.DUMMYFUNCTION("""COMPUTED_VALUE"""),"Beard")</f>
        <v>Beard</v>
      </c>
      <c r="AW56" s="46">
        <f t="shared" si="7"/>
        <v>1000</v>
      </c>
      <c r="AX56" s="47">
        <f t="shared" ref="AX56:BQ56" si="227">SUMIFS($AJ:$AJ,$V:$V,$AV56,$AK:$AK,AX$2)</f>
        <v>0</v>
      </c>
      <c r="AY56" s="48">
        <f t="shared" si="227"/>
        <v>0</v>
      </c>
      <c r="AZ56" s="48">
        <f t="shared" si="227"/>
        <v>0</v>
      </c>
      <c r="BA56" s="48">
        <f t="shared" si="227"/>
        <v>0</v>
      </c>
      <c r="BB56" s="48">
        <f t="shared" si="227"/>
        <v>1000</v>
      </c>
      <c r="BC56" s="48">
        <f t="shared" si="227"/>
        <v>0</v>
      </c>
      <c r="BD56" s="48">
        <f t="shared" si="227"/>
        <v>0</v>
      </c>
      <c r="BE56" s="48">
        <f t="shared" si="227"/>
        <v>0</v>
      </c>
      <c r="BF56" s="48">
        <f t="shared" si="227"/>
        <v>0</v>
      </c>
      <c r="BG56" s="48">
        <f t="shared" si="227"/>
        <v>0</v>
      </c>
      <c r="BH56" s="48">
        <f t="shared" si="227"/>
        <v>0</v>
      </c>
      <c r="BI56" s="48">
        <f t="shared" si="227"/>
        <v>0</v>
      </c>
      <c r="BJ56" s="48">
        <f t="shared" si="227"/>
        <v>0</v>
      </c>
      <c r="BK56" s="48">
        <f t="shared" si="227"/>
        <v>0</v>
      </c>
      <c r="BL56" s="48">
        <f t="shared" si="227"/>
        <v>0</v>
      </c>
      <c r="BM56" s="48">
        <f t="shared" si="227"/>
        <v>0</v>
      </c>
      <c r="BN56" s="48">
        <f t="shared" si="227"/>
        <v>0</v>
      </c>
      <c r="BO56" s="48">
        <f t="shared" si="227"/>
        <v>0</v>
      </c>
      <c r="BP56" s="48">
        <f t="shared" si="227"/>
        <v>0</v>
      </c>
      <c r="BQ56" s="48">
        <f t="shared" si="227"/>
        <v>0</v>
      </c>
      <c r="BR56" s="36">
        <f t="shared" si="9"/>
        <v>0</v>
      </c>
      <c r="BS56" s="38">
        <f t="shared" si="10"/>
        <v>1</v>
      </c>
      <c r="BT56" s="49">
        <f t="shared" si="11"/>
        <v>0</v>
      </c>
      <c r="BU56" s="38">
        <f t="shared" si="12"/>
        <v>1000</v>
      </c>
      <c r="BV56" s="57" t="str">
        <f>IFERROR(__xludf.DUMMYFUNCTION("""COMPUTED_VALUE"""),"Beard")</f>
        <v>Beard</v>
      </c>
      <c r="BW56" s="46">
        <f t="shared" si="13"/>
        <v>1000</v>
      </c>
      <c r="BX56" s="47">
        <f t="shared" ref="BX56:CA56" si="228">AX56-$BU56</f>
        <v>-1000</v>
      </c>
      <c r="BY56" s="47">
        <f t="shared" si="228"/>
        <v>-1000</v>
      </c>
      <c r="BZ56" s="47">
        <f t="shared" si="228"/>
        <v>-1000</v>
      </c>
      <c r="CA56" s="47">
        <f t="shared" si="228"/>
        <v>-1000</v>
      </c>
      <c r="CB56" s="47">
        <f t="shared" si="15"/>
        <v>-9000</v>
      </c>
      <c r="CC56" s="47">
        <f t="shared" ref="CC56:CQ56" si="229">BC56-$BU56</f>
        <v>-1000</v>
      </c>
      <c r="CD56" s="47">
        <f t="shared" si="229"/>
        <v>-1000</v>
      </c>
      <c r="CE56" s="47">
        <f t="shared" si="229"/>
        <v>-1000</v>
      </c>
      <c r="CF56" s="47">
        <f t="shared" si="229"/>
        <v>-1000</v>
      </c>
      <c r="CG56" s="47">
        <f t="shared" si="229"/>
        <v>-1000</v>
      </c>
      <c r="CH56" s="47">
        <f t="shared" si="229"/>
        <v>-1000</v>
      </c>
      <c r="CI56" s="47">
        <f t="shared" si="229"/>
        <v>-1000</v>
      </c>
      <c r="CJ56" s="47">
        <f t="shared" si="229"/>
        <v>-1000</v>
      </c>
      <c r="CK56" s="47">
        <f t="shared" si="229"/>
        <v>-1000</v>
      </c>
      <c r="CL56" s="47">
        <f t="shared" si="229"/>
        <v>-1000</v>
      </c>
      <c r="CM56" s="47">
        <f t="shared" si="229"/>
        <v>-1000</v>
      </c>
      <c r="CN56" s="47">
        <f t="shared" si="229"/>
        <v>-1000</v>
      </c>
      <c r="CO56" s="47">
        <f t="shared" si="229"/>
        <v>-1000</v>
      </c>
      <c r="CP56" s="47">
        <f t="shared" si="229"/>
        <v>-1000</v>
      </c>
      <c r="CQ56" s="47">
        <f t="shared" si="229"/>
        <v>-1000</v>
      </c>
      <c r="CR56" s="47"/>
      <c r="CS56" s="47"/>
      <c r="CT56" s="47"/>
      <c r="CU56" s="50" t="str">
        <f>IFERROR(__xludf.DUMMYFUNCTION("""COMPUTED_VALUE"""),"9034 Meadowknoll Dr.
Dallas, TX 75243          ")</f>
        <v>9034 Meadowknoll Dr.
Dallas, TX 75243          </v>
      </c>
      <c r="CV56" s="51">
        <f>IFERROR(__xludf.DUMMYFUNCTION("IF(REGEXMATCH(UPPER(CU56), ""TX""),0,1)"),0.0)</f>
        <v>0</v>
      </c>
      <c r="CW56" s="51">
        <f>IFERROR(__xludf.DUMMYFUNCTION("IF(REGEXMATCH(UPPER(CU56), ""DALLAS""),0,1)"),0.0)</f>
        <v>0</v>
      </c>
      <c r="CX56" s="51">
        <f t="shared" si="17"/>
        <v>0</v>
      </c>
      <c r="CY56" s="51">
        <f t="shared" si="18"/>
        <v>0</v>
      </c>
      <c r="CZ56" s="52" t="str">
        <f t="shared" si="19"/>
        <v/>
      </c>
      <c r="DA56" s="53" t="str">
        <f>IFERROR(__xludf.DUMMYFUNCTION("""COMPUTED_VALUE"""),"4047 Glenhurst Ln
Frisco, TX 75033          ")</f>
        <v>4047 Glenhurst Ln
Frisco, TX 75033          </v>
      </c>
      <c r="DB56" s="52">
        <f t="shared" ref="DB56:DU56" si="230">SUMIFS($AJ:$AJ,$X:$X,$DA56,$AK:$AK,DB$2)</f>
        <v>0</v>
      </c>
      <c r="DC56" s="52">
        <f t="shared" si="230"/>
        <v>0</v>
      </c>
      <c r="DD56" s="52">
        <f t="shared" si="230"/>
        <v>0</v>
      </c>
      <c r="DE56" s="52">
        <f t="shared" si="230"/>
        <v>0</v>
      </c>
      <c r="DF56" s="52">
        <f t="shared" si="230"/>
        <v>250</v>
      </c>
      <c r="DG56" s="52">
        <f t="shared" si="230"/>
        <v>0</v>
      </c>
      <c r="DH56" s="52">
        <f t="shared" si="230"/>
        <v>0</v>
      </c>
      <c r="DI56" s="52">
        <f t="shared" si="230"/>
        <v>0</v>
      </c>
      <c r="DJ56" s="52">
        <f t="shared" si="230"/>
        <v>0</v>
      </c>
      <c r="DK56" s="52">
        <f t="shared" si="230"/>
        <v>0</v>
      </c>
      <c r="DL56" s="52">
        <f t="shared" si="230"/>
        <v>0</v>
      </c>
      <c r="DM56" s="52">
        <f t="shared" si="230"/>
        <v>0</v>
      </c>
      <c r="DN56" s="52">
        <f t="shared" si="230"/>
        <v>0</v>
      </c>
      <c r="DO56" s="52">
        <f t="shared" si="230"/>
        <v>0</v>
      </c>
      <c r="DP56" s="52">
        <f t="shared" si="230"/>
        <v>0</v>
      </c>
      <c r="DQ56" s="52">
        <f t="shared" si="230"/>
        <v>0</v>
      </c>
      <c r="DR56" s="52">
        <f t="shared" si="230"/>
        <v>0</v>
      </c>
      <c r="DS56" s="52">
        <f t="shared" si="230"/>
        <v>0</v>
      </c>
      <c r="DT56" s="52">
        <f t="shared" si="230"/>
        <v>0</v>
      </c>
      <c r="DU56" s="52">
        <f t="shared" si="230"/>
        <v>0</v>
      </c>
      <c r="DV56" s="52">
        <f t="shared" si="21"/>
        <v>250</v>
      </c>
      <c r="DW56" s="52">
        <f t="shared" si="22"/>
        <v>1</v>
      </c>
    </row>
    <row r="57">
      <c r="A57" s="40" t="s">
        <v>55</v>
      </c>
      <c r="B57" s="41" t="s">
        <v>56</v>
      </c>
      <c r="C57" s="31" t="s">
        <v>195</v>
      </c>
      <c r="D57" s="25" t="str">
        <f>IFERROR(__xludf.DUMMYFUNCTION("SPLIT(C57,"" "")"),"Andres,")</f>
        <v>Andres,</v>
      </c>
      <c r="E57" s="40" t="str">
        <f>IFERROR(__xludf.DUMMYFUNCTION("""COMPUTED_VALUE"""),"Marc
2800")</f>
        <v>Marc
2800</v>
      </c>
      <c r="F57" s="40" t="str">
        <f>IFERROR(__xludf.DUMMYFUNCTION("""COMPUTED_VALUE"""),"N")</f>
        <v>N</v>
      </c>
      <c r="G57" s="40" t="str">
        <f>IFERROR(__xludf.DUMMYFUNCTION("""COMPUTED_VALUE"""),"Henderson")</f>
        <v>Henderson</v>
      </c>
      <c r="H57" s="40" t="str">
        <f>IFERROR(__xludf.DUMMYFUNCTION("""COMPUTED_VALUE"""),"Ave
Dallas,")</f>
        <v>Ave
Dallas,</v>
      </c>
      <c r="I57" s="40" t="str">
        <f>IFERROR(__xludf.DUMMYFUNCTION("""COMPUTED_VALUE"""),"TX")</f>
        <v>TX</v>
      </c>
      <c r="J57" s="40">
        <f>IFERROR(__xludf.DUMMYFUNCTION("""COMPUTED_VALUE"""),75206.0)</f>
        <v>75206</v>
      </c>
      <c r="K57" s="40"/>
      <c r="L57" s="40"/>
      <c r="M57" s="40"/>
      <c r="N57" s="40"/>
      <c r="O57" s="40"/>
      <c r="P57" s="40"/>
      <c r="Q57" s="40"/>
      <c r="R57" s="40"/>
      <c r="S57" s="40"/>
      <c r="T57" s="40"/>
      <c r="U57" s="24" t="str">
        <f>IFERROR(__xludf.DUMMYFUNCTION("SPLIT(E57,""01234567890"")"),"Marc
")</f>
        <v>Marc
</v>
      </c>
      <c r="V57" s="24" t="str">
        <f>IFERROR(__xludf.DUMMYFUNCTION("SPLIT(D57,"","")"),"Andres")</f>
        <v>Andres</v>
      </c>
      <c r="W57" s="25" t="str">
        <f t="shared" si="1"/>
        <v>MARC
 ANDRES</v>
      </c>
      <c r="X57" s="25" t="s">
        <v>196</v>
      </c>
      <c r="Y57" s="25">
        <v>75206.0</v>
      </c>
      <c r="Z57" s="25" t="str">
        <f>IFERROR(__xludf.DUMMYFUNCTION("SPLIT(C57,""
"")"),"Andres, Marc")</f>
        <v>Andres, Marc</v>
      </c>
      <c r="AA57" s="25" t="str">
        <f>IFERROR(__xludf.DUMMYFUNCTION("""COMPUTED_VALUE"""),"2800 N Henderson Ave")</f>
        <v>2800 N Henderson Ave</v>
      </c>
      <c r="AB57" s="25" t="str">
        <f>IFERROR(__xludf.DUMMYFUNCTION("""COMPUTED_VALUE"""),"Dallas, TX 75206")</f>
        <v>Dallas, TX 75206</v>
      </c>
      <c r="AC57" s="24" t="s">
        <v>197</v>
      </c>
      <c r="AD57" s="25"/>
      <c r="AE57" s="25"/>
      <c r="AF57" s="25"/>
      <c r="AG57" s="40" t="s">
        <v>60</v>
      </c>
      <c r="AH57" s="42">
        <v>2481.0</v>
      </c>
      <c r="AI57" s="40" t="s">
        <v>68</v>
      </c>
      <c r="AJ57" s="27">
        <v>100.0</v>
      </c>
      <c r="AK57" s="31" t="s">
        <v>25</v>
      </c>
      <c r="AL57" s="43">
        <v>44824.0</v>
      </c>
      <c r="AM57" s="44">
        <v>44937.81995370371</v>
      </c>
      <c r="AN57" s="30">
        <v>2.0</v>
      </c>
      <c r="AO57" s="40"/>
      <c r="AP57" s="40"/>
      <c r="AQ57" s="40"/>
      <c r="AR57" s="40"/>
      <c r="AS57" s="31">
        <f>IFERROR(__xludf.DUMMYFUNCTION("""COMPUTED_VALUE"""),75137.0)</f>
        <v>75137</v>
      </c>
      <c r="AT57" s="45">
        <f t="shared" si="6"/>
        <v>550</v>
      </c>
      <c r="AU57" s="40"/>
      <c r="AV57" s="46" t="str">
        <f>IFERROR(__xludf.DUMMYFUNCTION("""COMPUTED_VALUE"""),"Beaver")</f>
        <v>Beaver</v>
      </c>
      <c r="AW57" s="46">
        <f t="shared" si="7"/>
        <v>950</v>
      </c>
      <c r="AX57" s="47">
        <f t="shared" ref="AX57:BQ57" si="231">SUMIFS($AJ:$AJ,$V:$V,$AV57,$AK:$AK,AX$2)</f>
        <v>950</v>
      </c>
      <c r="AY57" s="48">
        <f t="shared" si="231"/>
        <v>0</v>
      </c>
      <c r="AZ57" s="48">
        <f t="shared" si="231"/>
        <v>0</v>
      </c>
      <c r="BA57" s="48">
        <f t="shared" si="231"/>
        <v>0</v>
      </c>
      <c r="BB57" s="48">
        <f t="shared" si="231"/>
        <v>0</v>
      </c>
      <c r="BC57" s="48">
        <f t="shared" si="231"/>
        <v>0</v>
      </c>
      <c r="BD57" s="48">
        <f t="shared" si="231"/>
        <v>0</v>
      </c>
      <c r="BE57" s="48">
        <f t="shared" si="231"/>
        <v>0</v>
      </c>
      <c r="BF57" s="48">
        <f t="shared" si="231"/>
        <v>0</v>
      </c>
      <c r="BG57" s="48">
        <f t="shared" si="231"/>
        <v>0</v>
      </c>
      <c r="BH57" s="48">
        <f t="shared" si="231"/>
        <v>0</v>
      </c>
      <c r="BI57" s="48">
        <f t="shared" si="231"/>
        <v>0</v>
      </c>
      <c r="BJ57" s="48">
        <f t="shared" si="231"/>
        <v>0</v>
      </c>
      <c r="BK57" s="48">
        <f t="shared" si="231"/>
        <v>0</v>
      </c>
      <c r="BL57" s="48">
        <f t="shared" si="231"/>
        <v>0</v>
      </c>
      <c r="BM57" s="48">
        <f t="shared" si="231"/>
        <v>0</v>
      </c>
      <c r="BN57" s="48">
        <f t="shared" si="231"/>
        <v>0</v>
      </c>
      <c r="BO57" s="48">
        <f t="shared" si="231"/>
        <v>0</v>
      </c>
      <c r="BP57" s="48">
        <f t="shared" si="231"/>
        <v>0</v>
      </c>
      <c r="BQ57" s="48">
        <f t="shared" si="231"/>
        <v>0</v>
      </c>
      <c r="BR57" s="36">
        <f t="shared" si="9"/>
        <v>0</v>
      </c>
      <c r="BS57" s="38">
        <f t="shared" si="10"/>
        <v>1</v>
      </c>
      <c r="BT57" s="49">
        <f t="shared" si="11"/>
        <v>0</v>
      </c>
      <c r="BU57" s="38">
        <f t="shared" si="12"/>
        <v>1000</v>
      </c>
      <c r="BV57" s="46" t="str">
        <f>IFERROR(__xludf.DUMMYFUNCTION("""COMPUTED_VALUE"""),"Beaver")</f>
        <v>Beaver</v>
      </c>
      <c r="BW57" s="46">
        <f t="shared" si="13"/>
        <v>950</v>
      </c>
      <c r="BX57" s="47">
        <f t="shared" ref="BX57:CA57" si="232">AX57-$BU57</f>
        <v>-50</v>
      </c>
      <c r="BY57" s="47">
        <f t="shared" si="232"/>
        <v>-1000</v>
      </c>
      <c r="BZ57" s="47">
        <f t="shared" si="232"/>
        <v>-1000</v>
      </c>
      <c r="CA57" s="47">
        <f t="shared" si="232"/>
        <v>-1000</v>
      </c>
      <c r="CB57" s="47">
        <f t="shared" si="15"/>
        <v>-10000</v>
      </c>
      <c r="CC57" s="47">
        <f t="shared" ref="CC57:CQ57" si="233">BC57-$BU57</f>
        <v>-1000</v>
      </c>
      <c r="CD57" s="47">
        <f t="shared" si="233"/>
        <v>-1000</v>
      </c>
      <c r="CE57" s="47">
        <f t="shared" si="233"/>
        <v>-1000</v>
      </c>
      <c r="CF57" s="47">
        <f t="shared" si="233"/>
        <v>-1000</v>
      </c>
      <c r="CG57" s="47">
        <f t="shared" si="233"/>
        <v>-1000</v>
      </c>
      <c r="CH57" s="47">
        <f t="shared" si="233"/>
        <v>-1000</v>
      </c>
      <c r="CI57" s="47">
        <f t="shared" si="233"/>
        <v>-1000</v>
      </c>
      <c r="CJ57" s="47">
        <f t="shared" si="233"/>
        <v>-1000</v>
      </c>
      <c r="CK57" s="47">
        <f t="shared" si="233"/>
        <v>-1000</v>
      </c>
      <c r="CL57" s="47">
        <f t="shared" si="233"/>
        <v>-1000</v>
      </c>
      <c r="CM57" s="47">
        <f t="shared" si="233"/>
        <v>-1000</v>
      </c>
      <c r="CN57" s="47">
        <f t="shared" si="233"/>
        <v>-1000</v>
      </c>
      <c r="CO57" s="47">
        <f t="shared" si="233"/>
        <v>-1000</v>
      </c>
      <c r="CP57" s="47">
        <f t="shared" si="233"/>
        <v>-1000</v>
      </c>
      <c r="CQ57" s="47">
        <f t="shared" si="233"/>
        <v>-1000</v>
      </c>
      <c r="CR57" s="47"/>
      <c r="CS57" s="47"/>
      <c r="CT57" s="47"/>
      <c r="CU57" s="50" t="str">
        <f>IFERROR(__xludf.DUMMYFUNCTION("""COMPUTED_VALUE"""),"1507 Stonehedge Bend Dr.
Houston, TX 77073         ")</f>
        <v>1507 Stonehedge Bend Dr.
Houston, TX 77073         </v>
      </c>
      <c r="CV57" s="51">
        <f>IFERROR(__xludf.DUMMYFUNCTION("IF(REGEXMATCH(UPPER(CU57), ""TX""),0,1)"),0.0)</f>
        <v>0</v>
      </c>
      <c r="CW57" s="51">
        <f>IFERROR(__xludf.DUMMYFUNCTION("IF(REGEXMATCH(UPPER(CU57), ""DALLAS""),0,1)"),1.0)</f>
        <v>1</v>
      </c>
      <c r="CX57" s="51">
        <f t="shared" si="17"/>
        <v>0</v>
      </c>
      <c r="CY57" s="51">
        <f t="shared" si="18"/>
        <v>1000</v>
      </c>
      <c r="CZ57" s="52" t="str">
        <f t="shared" si="19"/>
        <v>1507 Stonehedge Bend Dr.
Houston, TX 77073         </v>
      </c>
      <c r="DA57" s="53" t="str">
        <f>IFERROR(__xludf.DUMMYFUNCTION("""COMPUTED_VALUE"""),"608 Belhaven Dr
Allen, TX 75013          ")</f>
        <v>608 Belhaven Dr
Allen, TX 75013          </v>
      </c>
      <c r="DB57" s="52">
        <f t="shared" ref="DB57:DU57" si="234">SUMIFS($AJ:$AJ,$X:$X,$DA57,$AK:$AK,DB$2)</f>
        <v>0</v>
      </c>
      <c r="DC57" s="52">
        <f t="shared" si="234"/>
        <v>0</v>
      </c>
      <c r="DD57" s="52">
        <f t="shared" si="234"/>
        <v>0</v>
      </c>
      <c r="DE57" s="52">
        <f t="shared" si="234"/>
        <v>0</v>
      </c>
      <c r="DF57" s="52">
        <f t="shared" si="234"/>
        <v>2500</v>
      </c>
      <c r="DG57" s="52">
        <f t="shared" si="234"/>
        <v>0</v>
      </c>
      <c r="DH57" s="52">
        <f t="shared" si="234"/>
        <v>0</v>
      </c>
      <c r="DI57" s="52">
        <f t="shared" si="234"/>
        <v>0</v>
      </c>
      <c r="DJ57" s="52">
        <f t="shared" si="234"/>
        <v>0</v>
      </c>
      <c r="DK57" s="52">
        <f t="shared" si="234"/>
        <v>0</v>
      </c>
      <c r="DL57" s="52">
        <f t="shared" si="234"/>
        <v>0</v>
      </c>
      <c r="DM57" s="52">
        <f t="shared" si="234"/>
        <v>0</v>
      </c>
      <c r="DN57" s="52">
        <f t="shared" si="234"/>
        <v>0</v>
      </c>
      <c r="DO57" s="52">
        <f t="shared" si="234"/>
        <v>0</v>
      </c>
      <c r="DP57" s="52">
        <f t="shared" si="234"/>
        <v>0</v>
      </c>
      <c r="DQ57" s="52">
        <f t="shared" si="234"/>
        <v>0</v>
      </c>
      <c r="DR57" s="52">
        <f t="shared" si="234"/>
        <v>0</v>
      </c>
      <c r="DS57" s="52">
        <f t="shared" si="234"/>
        <v>0</v>
      </c>
      <c r="DT57" s="52">
        <f t="shared" si="234"/>
        <v>0</v>
      </c>
      <c r="DU57" s="52">
        <f t="shared" si="234"/>
        <v>0</v>
      </c>
      <c r="DV57" s="52">
        <f t="shared" si="21"/>
        <v>2500</v>
      </c>
      <c r="DW57" s="52">
        <f t="shared" si="22"/>
        <v>1</v>
      </c>
    </row>
    <row r="58">
      <c r="A58" s="22" t="s">
        <v>55</v>
      </c>
      <c r="B58" s="23" t="s">
        <v>56</v>
      </c>
      <c r="C58" s="31" t="s">
        <v>198</v>
      </c>
      <c r="D58" s="25" t="str">
        <f>IFERROR(__xludf.DUMMYFUNCTION("SPLIT(C58,"" "")"),"Andres,")</f>
        <v>Andres,</v>
      </c>
      <c r="E58" s="22" t="str">
        <f>IFERROR(__xludf.DUMMYFUNCTION("""COMPUTED_VALUE"""),"Marc
2800")</f>
        <v>Marc
2800</v>
      </c>
      <c r="F58" s="22" t="str">
        <f>IFERROR(__xludf.DUMMYFUNCTION("""COMPUTED_VALUE"""),"N.")</f>
        <v>N.</v>
      </c>
      <c r="G58" s="22" t="str">
        <f>IFERROR(__xludf.DUMMYFUNCTION("""COMPUTED_VALUE"""),"Henderson")</f>
        <v>Henderson</v>
      </c>
      <c r="H58" s="22" t="str">
        <f>IFERROR(__xludf.DUMMYFUNCTION("""COMPUTED_VALUE"""),"Ave.
Dallas,")</f>
        <v>Ave.
Dallas,</v>
      </c>
      <c r="I58" s="22" t="str">
        <f>IFERROR(__xludf.DUMMYFUNCTION("""COMPUTED_VALUE"""),"TX")</f>
        <v>TX</v>
      </c>
      <c r="J58" s="22">
        <f>IFERROR(__xludf.DUMMYFUNCTION("""COMPUTED_VALUE"""),75206.0)</f>
        <v>75206</v>
      </c>
      <c r="K58" s="22"/>
      <c r="L58" s="22"/>
      <c r="M58" s="22"/>
      <c r="N58" s="22"/>
      <c r="O58" s="22"/>
      <c r="P58" s="22"/>
      <c r="Q58" s="22"/>
      <c r="R58" s="22"/>
      <c r="S58" s="22"/>
      <c r="T58" s="22"/>
      <c r="U58" s="24" t="str">
        <f>IFERROR(__xludf.DUMMYFUNCTION("SPLIT(E58,""01234567890"")"),"Marc
")</f>
        <v>Marc
</v>
      </c>
      <c r="V58" s="24" t="str">
        <f>IFERROR(__xludf.DUMMYFUNCTION("SPLIT(D58,"","")"),"Andres")</f>
        <v>Andres</v>
      </c>
      <c r="W58" s="25" t="str">
        <f t="shared" si="1"/>
        <v>MARC
 ANDRES</v>
      </c>
      <c r="X58" s="25" t="s">
        <v>199</v>
      </c>
      <c r="Y58" s="25">
        <v>75206.0</v>
      </c>
      <c r="Z58" s="25" t="str">
        <f>IFERROR(__xludf.DUMMYFUNCTION("SPLIT(C58,""
"")"),"Andres, Marc")</f>
        <v>Andres, Marc</v>
      </c>
      <c r="AA58" s="25" t="str">
        <f>IFERROR(__xludf.DUMMYFUNCTION("""COMPUTED_VALUE"""),"2800 N. Henderson Ave.")</f>
        <v>2800 N. Henderson Ave.</v>
      </c>
      <c r="AB58" s="25" t="str">
        <f>IFERROR(__xludf.DUMMYFUNCTION("""COMPUTED_VALUE"""),"Dallas, TX 75206")</f>
        <v>Dallas, TX 75206</v>
      </c>
      <c r="AC58" s="24" t="s">
        <v>197</v>
      </c>
      <c r="AD58" s="25"/>
      <c r="AE58" s="25"/>
      <c r="AF58" s="25"/>
      <c r="AG58" s="22" t="s">
        <v>60</v>
      </c>
      <c r="AH58" s="54">
        <v>2501.0</v>
      </c>
      <c r="AI58" s="22" t="s">
        <v>68</v>
      </c>
      <c r="AJ58" s="27">
        <v>250.0</v>
      </c>
      <c r="AK58" s="31" t="s">
        <v>21</v>
      </c>
      <c r="AL58" s="28">
        <v>44900.0</v>
      </c>
      <c r="AM58" s="29">
        <v>44943.63122685185</v>
      </c>
      <c r="AN58" s="30">
        <v>2.0</v>
      </c>
      <c r="AO58" s="22"/>
      <c r="AP58" s="22"/>
      <c r="AQ58" s="22"/>
      <c r="AR58" s="22"/>
      <c r="AS58" s="31">
        <f>IFERROR(__xludf.DUMMYFUNCTION("""COMPUTED_VALUE"""),64.0)</f>
        <v>64</v>
      </c>
      <c r="AT58" s="45">
        <f t="shared" si="6"/>
        <v>2000</v>
      </c>
      <c r="AU58" s="22"/>
      <c r="AV58" s="57" t="str">
        <f>IFERROR(__xludf.DUMMYFUNCTION("""COMPUTED_VALUE"""),"Becker")</f>
        <v>Becker</v>
      </c>
      <c r="AW58" s="46">
        <f t="shared" si="7"/>
        <v>4000</v>
      </c>
      <c r="AX58" s="47">
        <f t="shared" ref="AX58:BQ58" si="235">SUMIFS($AJ:$AJ,$V:$V,$AV58,$AK:$AK,AX$2)</f>
        <v>0</v>
      </c>
      <c r="AY58" s="48">
        <f t="shared" si="235"/>
        <v>0</v>
      </c>
      <c r="AZ58" s="48">
        <f t="shared" si="235"/>
        <v>0</v>
      </c>
      <c r="BA58" s="48">
        <f t="shared" si="235"/>
        <v>0</v>
      </c>
      <c r="BB58" s="48">
        <f t="shared" si="235"/>
        <v>4000</v>
      </c>
      <c r="BC58" s="48">
        <f t="shared" si="235"/>
        <v>0</v>
      </c>
      <c r="BD58" s="48">
        <f t="shared" si="235"/>
        <v>0</v>
      </c>
      <c r="BE58" s="48">
        <f t="shared" si="235"/>
        <v>0</v>
      </c>
      <c r="BF58" s="48">
        <f t="shared" si="235"/>
        <v>0</v>
      </c>
      <c r="BG58" s="48">
        <f t="shared" si="235"/>
        <v>0</v>
      </c>
      <c r="BH58" s="48">
        <f t="shared" si="235"/>
        <v>0</v>
      </c>
      <c r="BI58" s="48">
        <f t="shared" si="235"/>
        <v>0</v>
      </c>
      <c r="BJ58" s="48">
        <f t="shared" si="235"/>
        <v>0</v>
      </c>
      <c r="BK58" s="48">
        <f t="shared" si="235"/>
        <v>0</v>
      </c>
      <c r="BL58" s="48">
        <f t="shared" si="235"/>
        <v>0</v>
      </c>
      <c r="BM58" s="48">
        <f t="shared" si="235"/>
        <v>0</v>
      </c>
      <c r="BN58" s="48">
        <f t="shared" si="235"/>
        <v>0</v>
      </c>
      <c r="BO58" s="48">
        <f t="shared" si="235"/>
        <v>0</v>
      </c>
      <c r="BP58" s="48">
        <f t="shared" si="235"/>
        <v>0</v>
      </c>
      <c r="BQ58" s="48">
        <f t="shared" si="235"/>
        <v>0</v>
      </c>
      <c r="BR58" s="36">
        <f t="shared" si="9"/>
        <v>0</v>
      </c>
      <c r="BS58" s="38">
        <f t="shared" si="10"/>
        <v>1</v>
      </c>
      <c r="BT58" s="49">
        <f t="shared" si="11"/>
        <v>0</v>
      </c>
      <c r="BU58" s="38">
        <f t="shared" si="12"/>
        <v>1000</v>
      </c>
      <c r="BV58" s="57" t="str">
        <f>IFERROR(__xludf.DUMMYFUNCTION("""COMPUTED_VALUE"""),"Becker")</f>
        <v>Becker</v>
      </c>
      <c r="BW58" s="46">
        <f t="shared" si="13"/>
        <v>4000</v>
      </c>
      <c r="BX58" s="47">
        <f t="shared" ref="BX58:CA58" si="236">AX58-$BU58</f>
        <v>-1000</v>
      </c>
      <c r="BY58" s="47">
        <f t="shared" si="236"/>
        <v>-1000</v>
      </c>
      <c r="BZ58" s="47">
        <f t="shared" si="236"/>
        <v>-1000</v>
      </c>
      <c r="CA58" s="47">
        <f t="shared" si="236"/>
        <v>-1000</v>
      </c>
      <c r="CB58" s="47">
        <f t="shared" si="15"/>
        <v>-6000</v>
      </c>
      <c r="CC58" s="47">
        <f t="shared" ref="CC58:CQ58" si="237">BC58-$BU58</f>
        <v>-1000</v>
      </c>
      <c r="CD58" s="47">
        <f t="shared" si="237"/>
        <v>-1000</v>
      </c>
      <c r="CE58" s="47">
        <f t="shared" si="237"/>
        <v>-1000</v>
      </c>
      <c r="CF58" s="47">
        <f t="shared" si="237"/>
        <v>-1000</v>
      </c>
      <c r="CG58" s="47">
        <f t="shared" si="237"/>
        <v>-1000</v>
      </c>
      <c r="CH58" s="47">
        <f t="shared" si="237"/>
        <v>-1000</v>
      </c>
      <c r="CI58" s="47">
        <f t="shared" si="237"/>
        <v>-1000</v>
      </c>
      <c r="CJ58" s="47">
        <f t="shared" si="237"/>
        <v>-1000</v>
      </c>
      <c r="CK58" s="47">
        <f t="shared" si="237"/>
        <v>-1000</v>
      </c>
      <c r="CL58" s="47">
        <f t="shared" si="237"/>
        <v>-1000</v>
      </c>
      <c r="CM58" s="47">
        <f t="shared" si="237"/>
        <v>-1000</v>
      </c>
      <c r="CN58" s="47">
        <f t="shared" si="237"/>
        <v>-1000</v>
      </c>
      <c r="CO58" s="47">
        <f t="shared" si="237"/>
        <v>-1000</v>
      </c>
      <c r="CP58" s="47">
        <f t="shared" si="237"/>
        <v>-1000</v>
      </c>
      <c r="CQ58" s="47">
        <f t="shared" si="237"/>
        <v>-1000</v>
      </c>
      <c r="CR58" s="47"/>
      <c r="CS58" s="47"/>
      <c r="CT58" s="47"/>
      <c r="CU58" s="50" t="str">
        <f>IFERROR(__xludf.DUMMYFUNCTION("""COMPUTED_VALUE"""),"1507 Stonehedge Bend Dr
Houston, TX 77073         ")</f>
        <v>1507 Stonehedge Bend Dr
Houston, TX 77073         </v>
      </c>
      <c r="CV58" s="51">
        <f>IFERROR(__xludf.DUMMYFUNCTION("IF(REGEXMATCH(UPPER(CU58), ""TX""),0,1)"),0.0)</f>
        <v>0</v>
      </c>
      <c r="CW58" s="51">
        <f>IFERROR(__xludf.DUMMYFUNCTION("IF(REGEXMATCH(UPPER(CU58), ""DALLAS""),0,1)"),1.0)</f>
        <v>1</v>
      </c>
      <c r="CX58" s="51">
        <f t="shared" si="17"/>
        <v>0</v>
      </c>
      <c r="CY58" s="51">
        <f t="shared" si="18"/>
        <v>1000</v>
      </c>
      <c r="CZ58" s="52" t="str">
        <f t="shared" si="19"/>
        <v>1507 Stonehedge Bend Dr
Houston, TX 77073         </v>
      </c>
      <c r="DA58" s="53" t="str">
        <f>IFERROR(__xludf.DUMMYFUNCTION("""COMPUTED_VALUE"""),"113 Cree Dr
Forest Heights, MD 20745         ")</f>
        <v>113 Cree Dr
Forest Heights, MD 20745         </v>
      </c>
      <c r="DB58" s="52">
        <f t="shared" ref="DB58:DU58" si="238">SUMIFS($AJ:$AJ,$X:$X,$DA58,$AK:$AK,DB$2)</f>
        <v>0</v>
      </c>
      <c r="DC58" s="52">
        <f t="shared" si="238"/>
        <v>0</v>
      </c>
      <c r="DD58" s="52">
        <f t="shared" si="238"/>
        <v>0</v>
      </c>
      <c r="DE58" s="52">
        <f t="shared" si="238"/>
        <v>0</v>
      </c>
      <c r="DF58" s="52">
        <f t="shared" si="238"/>
        <v>1000</v>
      </c>
      <c r="DG58" s="52">
        <f t="shared" si="238"/>
        <v>0</v>
      </c>
      <c r="DH58" s="52">
        <f t="shared" si="238"/>
        <v>0</v>
      </c>
      <c r="DI58" s="52">
        <f t="shared" si="238"/>
        <v>0</v>
      </c>
      <c r="DJ58" s="52">
        <f t="shared" si="238"/>
        <v>0</v>
      </c>
      <c r="DK58" s="52">
        <f t="shared" si="238"/>
        <v>0</v>
      </c>
      <c r="DL58" s="52">
        <f t="shared" si="238"/>
        <v>0</v>
      </c>
      <c r="DM58" s="52">
        <f t="shared" si="238"/>
        <v>0</v>
      </c>
      <c r="DN58" s="52">
        <f t="shared" si="238"/>
        <v>0</v>
      </c>
      <c r="DO58" s="52">
        <f t="shared" si="238"/>
        <v>0</v>
      </c>
      <c r="DP58" s="52">
        <f t="shared" si="238"/>
        <v>0</v>
      </c>
      <c r="DQ58" s="52">
        <f t="shared" si="238"/>
        <v>0</v>
      </c>
      <c r="DR58" s="52">
        <f t="shared" si="238"/>
        <v>0</v>
      </c>
      <c r="DS58" s="52">
        <f t="shared" si="238"/>
        <v>0</v>
      </c>
      <c r="DT58" s="52">
        <f t="shared" si="238"/>
        <v>0</v>
      </c>
      <c r="DU58" s="52">
        <f t="shared" si="238"/>
        <v>0</v>
      </c>
      <c r="DV58" s="52">
        <f t="shared" si="21"/>
        <v>1000</v>
      </c>
      <c r="DW58" s="52">
        <f t="shared" si="22"/>
        <v>1</v>
      </c>
    </row>
    <row r="59">
      <c r="A59" s="41" t="s">
        <v>64</v>
      </c>
      <c r="B59" s="41" t="s">
        <v>56</v>
      </c>
      <c r="C59" s="31" t="s">
        <v>200</v>
      </c>
      <c r="D59" s="25" t="str">
        <f>IFERROR(__xludf.DUMMYFUNCTION("SPLIT(C59,"" "")"),"Andres,")</f>
        <v>Andres,</v>
      </c>
      <c r="E59" s="40" t="str">
        <f>IFERROR(__xludf.DUMMYFUNCTION("""COMPUTED_VALUE"""),"Marc
2800")</f>
        <v>Marc
2800</v>
      </c>
      <c r="F59" s="40" t="str">
        <f>IFERROR(__xludf.DUMMYFUNCTION("""COMPUTED_VALUE"""),"North")</f>
        <v>North</v>
      </c>
      <c r="G59" s="40" t="str">
        <f>IFERROR(__xludf.DUMMYFUNCTION("""COMPUTED_VALUE"""),"Henderson")</f>
        <v>Henderson</v>
      </c>
      <c r="H59" s="40" t="str">
        <f>IFERROR(__xludf.DUMMYFUNCTION("""COMPUTED_VALUE"""),"Ave
Dallas,")</f>
        <v>Ave
Dallas,</v>
      </c>
      <c r="I59" s="40" t="str">
        <f>IFERROR(__xludf.DUMMYFUNCTION("""COMPUTED_VALUE"""),"TX")</f>
        <v>TX</v>
      </c>
      <c r="J59" s="40">
        <f>IFERROR(__xludf.DUMMYFUNCTION("""COMPUTED_VALUE"""),75206.0)</f>
        <v>75206</v>
      </c>
      <c r="K59" s="40"/>
      <c r="L59" s="40"/>
      <c r="M59" s="40"/>
      <c r="N59" s="40"/>
      <c r="O59" s="40"/>
      <c r="P59" s="40"/>
      <c r="Q59" s="40"/>
      <c r="R59" s="40"/>
      <c r="S59" s="40"/>
      <c r="T59" s="40"/>
      <c r="U59" s="24" t="str">
        <f>IFERROR(__xludf.DUMMYFUNCTION("SPLIT(E59,""01234567890"")"),"Marc
")</f>
        <v>Marc
</v>
      </c>
      <c r="V59" s="24" t="str">
        <f>IFERROR(__xludf.DUMMYFUNCTION("SPLIT(D59,"","")"),"Andres")</f>
        <v>Andres</v>
      </c>
      <c r="W59" s="25" t="str">
        <f t="shared" si="1"/>
        <v>MARC
 ANDRES</v>
      </c>
      <c r="X59" s="25" t="s">
        <v>201</v>
      </c>
      <c r="Y59" s="25">
        <v>75206.0</v>
      </c>
      <c r="Z59" s="25" t="str">
        <f>IFERROR(__xludf.DUMMYFUNCTION("SPLIT(C59,""
"")"),"Andres, Marc")</f>
        <v>Andres, Marc</v>
      </c>
      <c r="AA59" s="25" t="str">
        <f>IFERROR(__xludf.DUMMYFUNCTION("""COMPUTED_VALUE"""),"2800 North Henderson Ave")</f>
        <v>2800 North Henderson Ave</v>
      </c>
      <c r="AB59" s="25" t="str">
        <f>IFERROR(__xludf.DUMMYFUNCTION("""COMPUTED_VALUE"""),"Dallas, TX 75206")</f>
        <v>Dallas, TX 75206</v>
      </c>
      <c r="AC59" s="24" t="s">
        <v>197</v>
      </c>
      <c r="AD59" s="25"/>
      <c r="AE59" s="25"/>
      <c r="AF59" s="25"/>
      <c r="AG59" s="40" t="s">
        <v>60</v>
      </c>
      <c r="AH59" s="42">
        <v>2437.0</v>
      </c>
      <c r="AI59" s="40" t="s">
        <v>61</v>
      </c>
      <c r="AJ59" s="27">
        <v>250.0</v>
      </c>
      <c r="AK59" s="31" t="s">
        <v>25</v>
      </c>
      <c r="AL59" s="43">
        <v>44712.0</v>
      </c>
      <c r="AM59" s="44">
        <v>44754.83237268519</v>
      </c>
      <c r="AN59" s="30">
        <v>2.0</v>
      </c>
      <c r="AO59" s="40"/>
      <c r="AP59" s="40"/>
      <c r="AQ59" s="40"/>
      <c r="AR59" s="40"/>
      <c r="AS59" s="31">
        <f>IFERROR(__xludf.DUMMYFUNCTION("""COMPUTED_VALUE"""),125.0)</f>
        <v>125</v>
      </c>
      <c r="AT59" s="45">
        <f t="shared" si="6"/>
        <v>1000</v>
      </c>
      <c r="AU59" s="40"/>
      <c r="AV59" s="46" t="str">
        <f>IFERROR(__xludf.DUMMYFUNCTION("""COMPUTED_VALUE"""),"Bedford")</f>
        <v>Bedford</v>
      </c>
      <c r="AW59" s="46">
        <f t="shared" si="7"/>
        <v>100</v>
      </c>
      <c r="AX59" s="47">
        <f t="shared" ref="AX59:BQ59" si="239">SUMIFS($AJ:$AJ,$V:$V,$AV59,$AK:$AK,AX$2)</f>
        <v>0</v>
      </c>
      <c r="AY59" s="48">
        <f t="shared" si="239"/>
        <v>0</v>
      </c>
      <c r="AZ59" s="48">
        <f t="shared" si="239"/>
        <v>0</v>
      </c>
      <c r="BA59" s="48">
        <f t="shared" si="239"/>
        <v>100</v>
      </c>
      <c r="BB59" s="48">
        <f t="shared" si="239"/>
        <v>0</v>
      </c>
      <c r="BC59" s="48">
        <f t="shared" si="239"/>
        <v>0</v>
      </c>
      <c r="BD59" s="48">
        <f t="shared" si="239"/>
        <v>0</v>
      </c>
      <c r="BE59" s="48">
        <f t="shared" si="239"/>
        <v>0</v>
      </c>
      <c r="BF59" s="48">
        <f t="shared" si="239"/>
        <v>0</v>
      </c>
      <c r="BG59" s="48">
        <f t="shared" si="239"/>
        <v>0</v>
      </c>
      <c r="BH59" s="48">
        <f t="shared" si="239"/>
        <v>0</v>
      </c>
      <c r="BI59" s="48">
        <f t="shared" si="239"/>
        <v>0</v>
      </c>
      <c r="BJ59" s="48">
        <f t="shared" si="239"/>
        <v>0</v>
      </c>
      <c r="BK59" s="48">
        <f t="shared" si="239"/>
        <v>0</v>
      </c>
      <c r="BL59" s="48">
        <f t="shared" si="239"/>
        <v>0</v>
      </c>
      <c r="BM59" s="48">
        <f t="shared" si="239"/>
        <v>0</v>
      </c>
      <c r="BN59" s="48">
        <f t="shared" si="239"/>
        <v>0</v>
      </c>
      <c r="BO59" s="48">
        <f t="shared" si="239"/>
        <v>0</v>
      </c>
      <c r="BP59" s="48">
        <f t="shared" si="239"/>
        <v>0</v>
      </c>
      <c r="BQ59" s="48">
        <f t="shared" si="239"/>
        <v>0</v>
      </c>
      <c r="BR59" s="36">
        <f t="shared" si="9"/>
        <v>0</v>
      </c>
      <c r="BS59" s="38">
        <f t="shared" si="10"/>
        <v>1</v>
      </c>
      <c r="BT59" s="49">
        <f t="shared" si="11"/>
        <v>0</v>
      </c>
      <c r="BU59" s="38">
        <f t="shared" si="12"/>
        <v>1000</v>
      </c>
      <c r="BV59" s="46" t="str">
        <f>IFERROR(__xludf.DUMMYFUNCTION("""COMPUTED_VALUE"""),"Bedford")</f>
        <v>Bedford</v>
      </c>
      <c r="BW59" s="46">
        <f t="shared" si="13"/>
        <v>100</v>
      </c>
      <c r="BX59" s="47">
        <f t="shared" ref="BX59:CA59" si="240">AX59-$BU59</f>
        <v>-1000</v>
      </c>
      <c r="BY59" s="47">
        <f t="shared" si="240"/>
        <v>-1000</v>
      </c>
      <c r="BZ59" s="47">
        <f t="shared" si="240"/>
        <v>-1000</v>
      </c>
      <c r="CA59" s="47">
        <f t="shared" si="240"/>
        <v>-900</v>
      </c>
      <c r="CB59" s="47">
        <f t="shared" si="15"/>
        <v>-10000</v>
      </c>
      <c r="CC59" s="47">
        <f t="shared" ref="CC59:CQ59" si="241">BC59-$BU59</f>
        <v>-1000</v>
      </c>
      <c r="CD59" s="47">
        <f t="shared" si="241"/>
        <v>-1000</v>
      </c>
      <c r="CE59" s="47">
        <f t="shared" si="241"/>
        <v>-1000</v>
      </c>
      <c r="CF59" s="47">
        <f t="shared" si="241"/>
        <v>-1000</v>
      </c>
      <c r="CG59" s="47">
        <f t="shared" si="241"/>
        <v>-1000</v>
      </c>
      <c r="CH59" s="47">
        <f t="shared" si="241"/>
        <v>-1000</v>
      </c>
      <c r="CI59" s="47">
        <f t="shared" si="241"/>
        <v>-1000</v>
      </c>
      <c r="CJ59" s="47">
        <f t="shared" si="241"/>
        <v>-1000</v>
      </c>
      <c r="CK59" s="47">
        <f t="shared" si="241"/>
        <v>-1000</v>
      </c>
      <c r="CL59" s="47">
        <f t="shared" si="241"/>
        <v>-1000</v>
      </c>
      <c r="CM59" s="47">
        <f t="shared" si="241"/>
        <v>-1000</v>
      </c>
      <c r="CN59" s="47">
        <f t="shared" si="241"/>
        <v>-1000</v>
      </c>
      <c r="CO59" s="47">
        <f t="shared" si="241"/>
        <v>-1000</v>
      </c>
      <c r="CP59" s="47">
        <f t="shared" si="241"/>
        <v>-1000</v>
      </c>
      <c r="CQ59" s="47">
        <f t="shared" si="241"/>
        <v>-1000</v>
      </c>
      <c r="CR59" s="47"/>
      <c r="CS59" s="47"/>
      <c r="CT59" s="47"/>
      <c r="CU59" s="50" t="str">
        <f>IFERROR(__xludf.DUMMYFUNCTION("""COMPUTED_VALUE"""),"0 P.O Box 601527
Dallas, TX 75360         ")</f>
        <v>0 P.O Box 601527
Dallas, TX 75360         </v>
      </c>
      <c r="CV59" s="51">
        <f>IFERROR(__xludf.DUMMYFUNCTION("IF(REGEXMATCH(UPPER(CU59), ""TX""),0,1)"),0.0)</f>
        <v>0</v>
      </c>
      <c r="CW59" s="51">
        <f>IFERROR(__xludf.DUMMYFUNCTION("IF(REGEXMATCH(UPPER(CU59), ""DALLAS""),0,1)"),0.0)</f>
        <v>0</v>
      </c>
      <c r="CX59" s="51">
        <f t="shared" si="17"/>
        <v>0</v>
      </c>
      <c r="CY59" s="51">
        <f t="shared" si="18"/>
        <v>0</v>
      </c>
      <c r="CZ59" s="52" t="str">
        <f t="shared" si="19"/>
        <v/>
      </c>
      <c r="DA59" s="53" t="str">
        <f>IFERROR(__xludf.DUMMYFUNCTION("""COMPUTED_VALUE"""),"1243 W Pleasant Run Rd
DeSoto, TX 75043        ")</f>
        <v>1243 W Pleasant Run Rd
DeSoto, TX 75043        </v>
      </c>
      <c r="DB59" s="52">
        <f t="shared" ref="DB59:DU59" si="242">SUMIFS($AJ:$AJ,$X:$X,$DA59,$AK:$AK,DB$2)</f>
        <v>0</v>
      </c>
      <c r="DC59" s="52">
        <f t="shared" si="242"/>
        <v>0</v>
      </c>
      <c r="DD59" s="52">
        <f t="shared" si="242"/>
        <v>0</v>
      </c>
      <c r="DE59" s="52">
        <f t="shared" si="242"/>
        <v>0</v>
      </c>
      <c r="DF59" s="52">
        <f t="shared" si="242"/>
        <v>5000</v>
      </c>
      <c r="DG59" s="52">
        <f t="shared" si="242"/>
        <v>0</v>
      </c>
      <c r="DH59" s="52">
        <f t="shared" si="242"/>
        <v>0</v>
      </c>
      <c r="DI59" s="52">
        <f t="shared" si="242"/>
        <v>0</v>
      </c>
      <c r="DJ59" s="52">
        <f t="shared" si="242"/>
        <v>0</v>
      </c>
      <c r="DK59" s="52">
        <f t="shared" si="242"/>
        <v>0</v>
      </c>
      <c r="DL59" s="52">
        <f t="shared" si="242"/>
        <v>0</v>
      </c>
      <c r="DM59" s="52">
        <f t="shared" si="242"/>
        <v>0</v>
      </c>
      <c r="DN59" s="52">
        <f t="shared" si="242"/>
        <v>0</v>
      </c>
      <c r="DO59" s="52">
        <f t="shared" si="242"/>
        <v>0</v>
      </c>
      <c r="DP59" s="52">
        <f t="shared" si="242"/>
        <v>0</v>
      </c>
      <c r="DQ59" s="52">
        <f t="shared" si="242"/>
        <v>0</v>
      </c>
      <c r="DR59" s="52">
        <f t="shared" si="242"/>
        <v>0</v>
      </c>
      <c r="DS59" s="52">
        <f t="shared" si="242"/>
        <v>0</v>
      </c>
      <c r="DT59" s="52">
        <f t="shared" si="242"/>
        <v>0</v>
      </c>
      <c r="DU59" s="52">
        <f t="shared" si="242"/>
        <v>0</v>
      </c>
      <c r="DV59" s="52">
        <f t="shared" si="21"/>
        <v>5000</v>
      </c>
      <c r="DW59" s="52">
        <f t="shared" si="22"/>
        <v>1</v>
      </c>
    </row>
    <row r="60">
      <c r="A60" s="22" t="s">
        <v>55</v>
      </c>
      <c r="B60" s="23" t="s">
        <v>56</v>
      </c>
      <c r="C60" s="31" t="s">
        <v>202</v>
      </c>
      <c r="D60" s="25" t="str">
        <f>IFERROR(__xludf.DUMMYFUNCTION("SPLIT(C60,"" "")"),"Andres,")</f>
        <v>Andres,</v>
      </c>
      <c r="E60" s="22" t="str">
        <f>IFERROR(__xludf.DUMMYFUNCTION("""COMPUTED_VALUE"""),"Warren
3710")</f>
        <v>Warren
3710</v>
      </c>
      <c r="F60" s="22" t="str">
        <f>IFERROR(__xludf.DUMMYFUNCTION("""COMPUTED_VALUE"""),"Rawlins")</f>
        <v>Rawlins</v>
      </c>
      <c r="G60" s="22" t="str">
        <f>IFERROR(__xludf.DUMMYFUNCTION("""COMPUTED_VALUE"""),"St.
Dallas,")</f>
        <v>St.
Dallas,</v>
      </c>
      <c r="H60" s="22" t="str">
        <f>IFERROR(__xludf.DUMMYFUNCTION("""COMPUTED_VALUE"""),"TX")</f>
        <v>TX</v>
      </c>
      <c r="I60" s="22">
        <f>IFERROR(__xludf.DUMMYFUNCTION("""COMPUTED_VALUE"""),75219.0)</f>
        <v>75219</v>
      </c>
      <c r="J60" s="22"/>
      <c r="K60" s="22"/>
      <c r="L60" s="22"/>
      <c r="M60" s="22"/>
      <c r="N60" s="22"/>
      <c r="O60" s="22"/>
      <c r="P60" s="22"/>
      <c r="Q60" s="22"/>
      <c r="R60" s="22"/>
      <c r="S60" s="22"/>
      <c r="T60" s="22"/>
      <c r="U60" s="24" t="str">
        <f>IFERROR(__xludf.DUMMYFUNCTION("SPLIT(E60,""01234567890"")"),"Warren
")</f>
        <v>Warren
</v>
      </c>
      <c r="V60" s="24" t="str">
        <f>IFERROR(__xludf.DUMMYFUNCTION("SPLIT(D60,"","")"),"Andres")</f>
        <v>Andres</v>
      </c>
      <c r="W60" s="25" t="str">
        <f t="shared" si="1"/>
        <v>WARREN
 ANDRES</v>
      </c>
      <c r="X60" s="25" t="s">
        <v>203</v>
      </c>
      <c r="Y60" s="25">
        <v>75219.0</v>
      </c>
      <c r="Z60" s="25" t="str">
        <f>IFERROR(__xludf.DUMMYFUNCTION("SPLIT(C60,""
"")"),"Andres, Warren")</f>
        <v>Andres, Warren</v>
      </c>
      <c r="AA60" s="25" t="str">
        <f>IFERROR(__xludf.DUMMYFUNCTION("""COMPUTED_VALUE"""),"3710 Rawlins St.")</f>
        <v>3710 Rawlins St.</v>
      </c>
      <c r="AB60" s="25" t="str">
        <f>IFERROR(__xludf.DUMMYFUNCTION("""COMPUTED_VALUE"""),"Dallas, TX 75219")</f>
        <v>Dallas, TX 75219</v>
      </c>
      <c r="AC60" s="24" t="s">
        <v>204</v>
      </c>
      <c r="AD60" s="25"/>
      <c r="AE60" s="25"/>
      <c r="AF60" s="25"/>
      <c r="AG60" s="22" t="s">
        <v>60</v>
      </c>
      <c r="AH60" s="54">
        <v>2441.0</v>
      </c>
      <c r="AI60" s="22" t="s">
        <v>61</v>
      </c>
      <c r="AJ60" s="27">
        <v>250.0</v>
      </c>
      <c r="AK60" s="31" t="s">
        <v>21</v>
      </c>
      <c r="AL60" s="28">
        <v>44692.0</v>
      </c>
      <c r="AM60" s="29">
        <v>44756.4640625</v>
      </c>
      <c r="AN60" s="30">
        <v>2.0</v>
      </c>
      <c r="AO60" s="22"/>
      <c r="AP60" s="22"/>
      <c r="AQ60" s="22"/>
      <c r="AR60" s="22"/>
      <c r="AS60" s="31">
        <f>IFERROR(__xludf.DUMMYFUNCTION("""COMPUTED_VALUE"""),75209.0)</f>
        <v>75209</v>
      </c>
      <c r="AT60" s="45">
        <f t="shared" si="6"/>
        <v>27500</v>
      </c>
      <c r="AU60" s="22"/>
      <c r="AV60" s="57" t="str">
        <f>IFERROR(__xludf.DUMMYFUNCTION("""COMPUTED_VALUE"""),"Bell")</f>
        <v>Bell</v>
      </c>
      <c r="AW60" s="46">
        <f t="shared" si="7"/>
        <v>2585</v>
      </c>
      <c r="AX60" s="47">
        <f t="shared" ref="AX60:BQ60" si="243">SUMIFS($AJ:$AJ,$V:$V,$AV60,$AK:$AK,AX$2)</f>
        <v>0</v>
      </c>
      <c r="AY60" s="48">
        <f t="shared" si="243"/>
        <v>0</v>
      </c>
      <c r="AZ60" s="48">
        <f t="shared" si="243"/>
        <v>0</v>
      </c>
      <c r="BA60" s="48">
        <f t="shared" si="243"/>
        <v>0</v>
      </c>
      <c r="BB60" s="48">
        <f t="shared" si="243"/>
        <v>0</v>
      </c>
      <c r="BC60" s="48">
        <f t="shared" si="243"/>
        <v>2200</v>
      </c>
      <c r="BD60" s="48">
        <f t="shared" si="243"/>
        <v>0</v>
      </c>
      <c r="BE60" s="48">
        <f t="shared" si="243"/>
        <v>0</v>
      </c>
      <c r="BF60" s="48">
        <f t="shared" si="243"/>
        <v>0</v>
      </c>
      <c r="BG60" s="48">
        <f t="shared" si="243"/>
        <v>0</v>
      </c>
      <c r="BH60" s="48">
        <f t="shared" si="243"/>
        <v>360</v>
      </c>
      <c r="BI60" s="48">
        <f t="shared" si="243"/>
        <v>25</v>
      </c>
      <c r="BJ60" s="48">
        <f t="shared" si="243"/>
        <v>0</v>
      </c>
      <c r="BK60" s="48">
        <f t="shared" si="243"/>
        <v>0</v>
      </c>
      <c r="BL60" s="48">
        <f t="shared" si="243"/>
        <v>0</v>
      </c>
      <c r="BM60" s="48">
        <f t="shared" si="243"/>
        <v>0</v>
      </c>
      <c r="BN60" s="48">
        <f t="shared" si="243"/>
        <v>0</v>
      </c>
      <c r="BO60" s="48">
        <f t="shared" si="243"/>
        <v>0</v>
      </c>
      <c r="BP60" s="48">
        <f t="shared" si="243"/>
        <v>0</v>
      </c>
      <c r="BQ60" s="48">
        <f t="shared" si="243"/>
        <v>0</v>
      </c>
      <c r="BR60" s="36">
        <f t="shared" si="9"/>
        <v>1</v>
      </c>
      <c r="BS60" s="38">
        <f t="shared" si="10"/>
        <v>4</v>
      </c>
      <c r="BT60" s="49">
        <f t="shared" si="11"/>
        <v>0</v>
      </c>
      <c r="BU60" s="38">
        <f t="shared" si="12"/>
        <v>4000</v>
      </c>
      <c r="BV60" s="57" t="str">
        <f>IFERROR(__xludf.DUMMYFUNCTION("""COMPUTED_VALUE"""),"Bell")</f>
        <v>Bell</v>
      </c>
      <c r="BW60" s="46">
        <f t="shared" si="13"/>
        <v>2585</v>
      </c>
      <c r="BX60" s="47">
        <f t="shared" ref="BX60:CA60" si="244">AX60-$BU60</f>
        <v>-4000</v>
      </c>
      <c r="BY60" s="47">
        <f t="shared" si="244"/>
        <v>-4000</v>
      </c>
      <c r="BZ60" s="47">
        <f t="shared" si="244"/>
        <v>-4000</v>
      </c>
      <c r="CA60" s="47">
        <f t="shared" si="244"/>
        <v>-4000</v>
      </c>
      <c r="CB60" s="47">
        <f t="shared" si="15"/>
        <v>-40000</v>
      </c>
      <c r="CC60" s="47">
        <f t="shared" ref="CC60:CQ60" si="245">BC60-$BU60</f>
        <v>-1800</v>
      </c>
      <c r="CD60" s="47">
        <f t="shared" si="245"/>
        <v>-4000</v>
      </c>
      <c r="CE60" s="47">
        <f t="shared" si="245"/>
        <v>-4000</v>
      </c>
      <c r="CF60" s="47">
        <f t="shared" si="245"/>
        <v>-4000</v>
      </c>
      <c r="CG60" s="47">
        <f t="shared" si="245"/>
        <v>-4000</v>
      </c>
      <c r="CH60" s="47">
        <f t="shared" si="245"/>
        <v>-3640</v>
      </c>
      <c r="CI60" s="47">
        <f t="shared" si="245"/>
        <v>-3975</v>
      </c>
      <c r="CJ60" s="47">
        <f t="shared" si="245"/>
        <v>-4000</v>
      </c>
      <c r="CK60" s="47">
        <f t="shared" si="245"/>
        <v>-4000</v>
      </c>
      <c r="CL60" s="47">
        <f t="shared" si="245"/>
        <v>-4000</v>
      </c>
      <c r="CM60" s="47">
        <f t="shared" si="245"/>
        <v>-4000</v>
      </c>
      <c r="CN60" s="47">
        <f t="shared" si="245"/>
        <v>-4000</v>
      </c>
      <c r="CO60" s="47">
        <f t="shared" si="245"/>
        <v>-4000</v>
      </c>
      <c r="CP60" s="47">
        <f t="shared" si="245"/>
        <v>-4000</v>
      </c>
      <c r="CQ60" s="47">
        <f t="shared" si="245"/>
        <v>-4000</v>
      </c>
      <c r="CR60" s="47"/>
      <c r="CS60" s="47"/>
      <c r="CT60" s="47"/>
      <c r="CU60" s="50" t="str">
        <f>IFERROR(__xludf.DUMMYFUNCTION("""COMPUTED_VALUE"""),"
 Box 601527
Dallas, TX 75360          ")</f>
        <v>
 Box 601527
Dallas, TX 75360          </v>
      </c>
      <c r="CV60" s="51">
        <f>IFERROR(__xludf.DUMMYFUNCTION("IF(REGEXMATCH(UPPER(CU60), ""TX""),0,1)"),0.0)</f>
        <v>0</v>
      </c>
      <c r="CW60" s="51">
        <f>IFERROR(__xludf.DUMMYFUNCTION("IF(REGEXMATCH(UPPER(CU60), ""DALLAS""),0,1)"),0.0)</f>
        <v>0</v>
      </c>
      <c r="CX60" s="51">
        <f t="shared" si="17"/>
        <v>0</v>
      </c>
      <c r="CY60" s="51">
        <f t="shared" si="18"/>
        <v>0</v>
      </c>
      <c r="CZ60" s="52" t="str">
        <f t="shared" si="19"/>
        <v/>
      </c>
      <c r="DA60" s="53" t="str">
        <f>IFERROR(__xludf.DUMMYFUNCTION("""COMPUTED_VALUE"""),"1159 Cottonwood Ln
Irving, TX 75038          ")</f>
        <v>1159 Cottonwood Ln
Irving, TX 75038          </v>
      </c>
      <c r="DB60" s="52">
        <f t="shared" ref="DB60:DU60" si="246">SUMIFS($AJ:$AJ,$X:$X,$DA60,$AK:$AK,DB$2)</f>
        <v>0</v>
      </c>
      <c r="DC60" s="52">
        <f t="shared" si="246"/>
        <v>0</v>
      </c>
      <c r="DD60" s="52">
        <f t="shared" si="246"/>
        <v>0</v>
      </c>
      <c r="DE60" s="52">
        <f t="shared" si="246"/>
        <v>0</v>
      </c>
      <c r="DF60" s="52">
        <f t="shared" si="246"/>
        <v>2500</v>
      </c>
      <c r="DG60" s="52">
        <f t="shared" si="246"/>
        <v>0</v>
      </c>
      <c r="DH60" s="52">
        <f t="shared" si="246"/>
        <v>0</v>
      </c>
      <c r="DI60" s="52">
        <f t="shared" si="246"/>
        <v>0</v>
      </c>
      <c r="DJ60" s="52">
        <f t="shared" si="246"/>
        <v>0</v>
      </c>
      <c r="DK60" s="52">
        <f t="shared" si="246"/>
        <v>0</v>
      </c>
      <c r="DL60" s="52">
        <f t="shared" si="246"/>
        <v>0</v>
      </c>
      <c r="DM60" s="52">
        <f t="shared" si="246"/>
        <v>0</v>
      </c>
      <c r="DN60" s="52">
        <f t="shared" si="246"/>
        <v>0</v>
      </c>
      <c r="DO60" s="52">
        <f t="shared" si="246"/>
        <v>0</v>
      </c>
      <c r="DP60" s="52">
        <f t="shared" si="246"/>
        <v>0</v>
      </c>
      <c r="DQ60" s="52">
        <f t="shared" si="246"/>
        <v>0</v>
      </c>
      <c r="DR60" s="52">
        <f t="shared" si="246"/>
        <v>0</v>
      </c>
      <c r="DS60" s="52">
        <f t="shared" si="246"/>
        <v>0</v>
      </c>
      <c r="DT60" s="52">
        <f t="shared" si="246"/>
        <v>0</v>
      </c>
      <c r="DU60" s="52">
        <f t="shared" si="246"/>
        <v>0</v>
      </c>
      <c r="DV60" s="52">
        <f t="shared" si="21"/>
        <v>2500</v>
      </c>
      <c r="DW60" s="52">
        <f t="shared" si="22"/>
        <v>1</v>
      </c>
    </row>
    <row r="61">
      <c r="A61" s="40" t="s">
        <v>55</v>
      </c>
      <c r="B61" s="41" t="s">
        <v>56</v>
      </c>
      <c r="C61" s="31" t="s">
        <v>205</v>
      </c>
      <c r="D61" s="25" t="str">
        <f>IFERROR(__xludf.DUMMYFUNCTION("SPLIT(C61,"" "")"),"Anglin,")</f>
        <v>Anglin,</v>
      </c>
      <c r="E61" s="40" t="str">
        <f>IFERROR(__xludf.DUMMYFUNCTION("""COMPUTED_VALUE"""),"Mike
1414")</f>
        <v>Mike
1414</v>
      </c>
      <c r="F61" s="40" t="str">
        <f>IFERROR(__xludf.DUMMYFUNCTION("""COMPUTED_VALUE"""),"W.")</f>
        <v>W.</v>
      </c>
      <c r="G61" s="40" t="str">
        <f>IFERROR(__xludf.DUMMYFUNCTION("""COMPUTED_VALUE"""),"Colorado")</f>
        <v>Colorado</v>
      </c>
      <c r="H61" s="40" t="str">
        <f>IFERROR(__xludf.DUMMYFUNCTION("""COMPUTED_VALUE"""),"Blvd.
Dallas,")</f>
        <v>Blvd.
Dallas,</v>
      </c>
      <c r="I61" s="40" t="str">
        <f>IFERROR(__xludf.DUMMYFUNCTION("""COMPUTED_VALUE"""),"TX")</f>
        <v>TX</v>
      </c>
      <c r="J61" s="40">
        <f>IFERROR(__xludf.DUMMYFUNCTION("""COMPUTED_VALUE"""),75208.0)</f>
        <v>75208</v>
      </c>
      <c r="K61" s="40"/>
      <c r="L61" s="40"/>
      <c r="M61" s="40"/>
      <c r="N61" s="40"/>
      <c r="O61" s="40"/>
      <c r="P61" s="40"/>
      <c r="Q61" s="40"/>
      <c r="R61" s="40"/>
      <c r="S61" s="40"/>
      <c r="T61" s="40"/>
      <c r="U61" s="24" t="str">
        <f>IFERROR(__xludf.DUMMYFUNCTION("SPLIT(E61,""01234567890"")"),"Mike
")</f>
        <v>Mike
</v>
      </c>
      <c r="V61" s="24" t="str">
        <f>IFERROR(__xludf.DUMMYFUNCTION("SPLIT(D61,"","")"),"Anglin")</f>
        <v>Anglin</v>
      </c>
      <c r="W61" s="25" t="str">
        <f t="shared" si="1"/>
        <v>MIKE
 ANGLIN</v>
      </c>
      <c r="X61" s="25" t="s">
        <v>206</v>
      </c>
      <c r="Y61" s="25">
        <v>75208.0</v>
      </c>
      <c r="Z61" s="25" t="str">
        <f>IFERROR(__xludf.DUMMYFUNCTION("SPLIT(C61,""
"")"),"Anglin, Mike")</f>
        <v>Anglin, Mike</v>
      </c>
      <c r="AA61" s="25" t="str">
        <f>IFERROR(__xludf.DUMMYFUNCTION("""COMPUTED_VALUE"""),"1414 W. Colorado Blvd.")</f>
        <v>1414 W. Colorado Blvd.</v>
      </c>
      <c r="AB61" s="25" t="str">
        <f>IFERROR(__xludf.DUMMYFUNCTION("""COMPUTED_VALUE"""),"Dallas, TX 75208")</f>
        <v>Dallas, TX 75208</v>
      </c>
      <c r="AC61" s="24" t="s">
        <v>207</v>
      </c>
      <c r="AD61" s="25"/>
      <c r="AE61" s="25"/>
      <c r="AF61" s="25"/>
      <c r="AG61" s="40" t="s">
        <v>60</v>
      </c>
      <c r="AH61" s="42">
        <v>2441.0</v>
      </c>
      <c r="AI61" s="40" t="s">
        <v>61</v>
      </c>
      <c r="AJ61" s="27">
        <v>950.0</v>
      </c>
      <c r="AK61" s="31" t="s">
        <v>21</v>
      </c>
      <c r="AL61" s="43">
        <v>44718.0</v>
      </c>
      <c r="AM61" s="44">
        <v>44756.4640625</v>
      </c>
      <c r="AN61" s="30">
        <v>2.0</v>
      </c>
      <c r="AO61" s="40"/>
      <c r="AP61" s="40"/>
      <c r="AQ61" s="40"/>
      <c r="AR61" s="40"/>
      <c r="AS61" s="31">
        <f>IFERROR(__xludf.DUMMYFUNCTION("""COMPUTED_VALUE"""),76226.0)</f>
        <v>76226</v>
      </c>
      <c r="AT61" s="45">
        <f t="shared" si="6"/>
        <v>2100</v>
      </c>
      <c r="AU61" s="40"/>
      <c r="AV61" s="46" t="str">
        <f>IFERROR(__xludf.DUMMYFUNCTION("""COMPUTED_VALUE"""),"Bellew")</f>
        <v>Bellew</v>
      </c>
      <c r="AW61" s="46">
        <f t="shared" si="7"/>
        <v>4000</v>
      </c>
      <c r="AX61" s="47">
        <f t="shared" ref="AX61:BQ61" si="247">SUMIFS($AJ:$AJ,$V:$V,$AV61,$AK:$AK,AX$2)</f>
        <v>0</v>
      </c>
      <c r="AY61" s="48">
        <f t="shared" si="247"/>
        <v>0</v>
      </c>
      <c r="AZ61" s="48">
        <f t="shared" si="247"/>
        <v>0</v>
      </c>
      <c r="BA61" s="48">
        <f t="shared" si="247"/>
        <v>0</v>
      </c>
      <c r="BB61" s="48">
        <f t="shared" si="247"/>
        <v>0</v>
      </c>
      <c r="BC61" s="48">
        <f t="shared" si="247"/>
        <v>4000</v>
      </c>
      <c r="BD61" s="48">
        <f t="shared" si="247"/>
        <v>0</v>
      </c>
      <c r="BE61" s="48">
        <f t="shared" si="247"/>
        <v>0</v>
      </c>
      <c r="BF61" s="48">
        <f t="shared" si="247"/>
        <v>0</v>
      </c>
      <c r="BG61" s="48">
        <f t="shared" si="247"/>
        <v>0</v>
      </c>
      <c r="BH61" s="48">
        <f t="shared" si="247"/>
        <v>0</v>
      </c>
      <c r="BI61" s="48">
        <f t="shared" si="247"/>
        <v>0</v>
      </c>
      <c r="BJ61" s="48">
        <f t="shared" si="247"/>
        <v>0</v>
      </c>
      <c r="BK61" s="48">
        <f t="shared" si="247"/>
        <v>0</v>
      </c>
      <c r="BL61" s="48">
        <f t="shared" si="247"/>
        <v>0</v>
      </c>
      <c r="BM61" s="48">
        <f t="shared" si="247"/>
        <v>0</v>
      </c>
      <c r="BN61" s="48">
        <f t="shared" si="247"/>
        <v>0</v>
      </c>
      <c r="BO61" s="48">
        <f t="shared" si="247"/>
        <v>0</v>
      </c>
      <c r="BP61" s="48">
        <f t="shared" si="247"/>
        <v>0</v>
      </c>
      <c r="BQ61" s="48">
        <f t="shared" si="247"/>
        <v>0</v>
      </c>
      <c r="BR61" s="36">
        <f t="shared" si="9"/>
        <v>1</v>
      </c>
      <c r="BS61" s="38">
        <f t="shared" si="10"/>
        <v>2</v>
      </c>
      <c r="BT61" s="49">
        <f t="shared" si="11"/>
        <v>0</v>
      </c>
      <c r="BU61" s="38">
        <f t="shared" si="12"/>
        <v>2000</v>
      </c>
      <c r="BV61" s="46" t="str">
        <f>IFERROR(__xludf.DUMMYFUNCTION("""COMPUTED_VALUE"""),"Bellew")</f>
        <v>Bellew</v>
      </c>
      <c r="BW61" s="46">
        <f t="shared" si="13"/>
        <v>4000</v>
      </c>
      <c r="BX61" s="47">
        <f t="shared" ref="BX61:CA61" si="248">AX61-$BU61</f>
        <v>-2000</v>
      </c>
      <c r="BY61" s="47">
        <f t="shared" si="248"/>
        <v>-2000</v>
      </c>
      <c r="BZ61" s="47">
        <f t="shared" si="248"/>
        <v>-2000</v>
      </c>
      <c r="CA61" s="47">
        <f t="shared" si="248"/>
        <v>-2000</v>
      </c>
      <c r="CB61" s="47">
        <f t="shared" si="15"/>
        <v>-20000</v>
      </c>
      <c r="CC61" s="47">
        <f t="shared" ref="CC61:CQ61" si="249">BC61-$BU61</f>
        <v>2000</v>
      </c>
      <c r="CD61" s="47">
        <f t="shared" si="249"/>
        <v>-2000</v>
      </c>
      <c r="CE61" s="47">
        <f t="shared" si="249"/>
        <v>-2000</v>
      </c>
      <c r="CF61" s="47">
        <f t="shared" si="249"/>
        <v>-2000</v>
      </c>
      <c r="CG61" s="47">
        <f t="shared" si="249"/>
        <v>-2000</v>
      </c>
      <c r="CH61" s="47">
        <f t="shared" si="249"/>
        <v>-2000</v>
      </c>
      <c r="CI61" s="47">
        <f t="shared" si="249"/>
        <v>-2000</v>
      </c>
      <c r="CJ61" s="47">
        <f t="shared" si="249"/>
        <v>-2000</v>
      </c>
      <c r="CK61" s="47">
        <f t="shared" si="249"/>
        <v>-2000</v>
      </c>
      <c r="CL61" s="47">
        <f t="shared" si="249"/>
        <v>-2000</v>
      </c>
      <c r="CM61" s="47">
        <f t="shared" si="249"/>
        <v>-2000</v>
      </c>
      <c r="CN61" s="47">
        <f t="shared" si="249"/>
        <v>-2000</v>
      </c>
      <c r="CO61" s="47">
        <f t="shared" si="249"/>
        <v>-2000</v>
      </c>
      <c r="CP61" s="47">
        <f t="shared" si="249"/>
        <v>-2000</v>
      </c>
      <c r="CQ61" s="47">
        <f t="shared" si="249"/>
        <v>-2000</v>
      </c>
      <c r="CR61" s="47"/>
      <c r="CS61" s="47"/>
      <c r="CT61" s="47"/>
      <c r="CU61" s="50" t="str">
        <f>IFERROR(__xludf.DUMMYFUNCTION("""COMPUTED_VALUE"""),"3105 San Jacinto
Dallas, TX 75204          ")</f>
        <v>3105 San Jacinto
Dallas, TX 75204          </v>
      </c>
      <c r="CV61" s="51">
        <f>IFERROR(__xludf.DUMMYFUNCTION("IF(REGEXMATCH(UPPER(CU61), ""TX""),0,1)"),0.0)</f>
        <v>0</v>
      </c>
      <c r="CW61" s="51">
        <f>IFERROR(__xludf.DUMMYFUNCTION("IF(REGEXMATCH(UPPER(CU61), ""DALLAS""),0,1)"),0.0)</f>
        <v>0</v>
      </c>
      <c r="CX61" s="51">
        <f t="shared" si="17"/>
        <v>0</v>
      </c>
      <c r="CY61" s="51">
        <f t="shared" si="18"/>
        <v>0</v>
      </c>
      <c r="CZ61" s="52" t="str">
        <f t="shared" si="19"/>
        <v/>
      </c>
      <c r="DA61" s="53" t="str">
        <f>IFERROR(__xludf.DUMMYFUNCTION("""COMPUTED_VALUE"""),"400 Oak Ridge Dr
Fairview, TX 75069         ")</f>
        <v>400 Oak Ridge Dr
Fairview, TX 75069         </v>
      </c>
      <c r="DB61" s="52">
        <f t="shared" ref="DB61:DU61" si="250">SUMIFS($AJ:$AJ,$X:$X,$DA61,$AK:$AK,DB$2)</f>
        <v>0</v>
      </c>
      <c r="DC61" s="52">
        <f t="shared" si="250"/>
        <v>0</v>
      </c>
      <c r="DD61" s="52">
        <f t="shared" si="250"/>
        <v>0</v>
      </c>
      <c r="DE61" s="52">
        <f t="shared" si="250"/>
        <v>0</v>
      </c>
      <c r="DF61" s="52">
        <f t="shared" si="250"/>
        <v>250</v>
      </c>
      <c r="DG61" s="52">
        <f t="shared" si="250"/>
        <v>0</v>
      </c>
      <c r="DH61" s="52">
        <f t="shared" si="250"/>
        <v>0</v>
      </c>
      <c r="DI61" s="52">
        <f t="shared" si="250"/>
        <v>0</v>
      </c>
      <c r="DJ61" s="52">
        <f t="shared" si="250"/>
        <v>0</v>
      </c>
      <c r="DK61" s="52">
        <f t="shared" si="250"/>
        <v>0</v>
      </c>
      <c r="DL61" s="52">
        <f t="shared" si="250"/>
        <v>0</v>
      </c>
      <c r="DM61" s="52">
        <f t="shared" si="250"/>
        <v>0</v>
      </c>
      <c r="DN61" s="52">
        <f t="shared" si="250"/>
        <v>0</v>
      </c>
      <c r="DO61" s="52">
        <f t="shared" si="250"/>
        <v>0</v>
      </c>
      <c r="DP61" s="52">
        <f t="shared" si="250"/>
        <v>0</v>
      </c>
      <c r="DQ61" s="52">
        <f t="shared" si="250"/>
        <v>0</v>
      </c>
      <c r="DR61" s="52">
        <f t="shared" si="250"/>
        <v>0</v>
      </c>
      <c r="DS61" s="52">
        <f t="shared" si="250"/>
        <v>0</v>
      </c>
      <c r="DT61" s="52">
        <f t="shared" si="250"/>
        <v>0</v>
      </c>
      <c r="DU61" s="52">
        <f t="shared" si="250"/>
        <v>0</v>
      </c>
      <c r="DV61" s="52">
        <f t="shared" si="21"/>
        <v>250</v>
      </c>
      <c r="DW61" s="52">
        <f t="shared" si="22"/>
        <v>1</v>
      </c>
    </row>
    <row r="62">
      <c r="A62" s="22" t="s">
        <v>55</v>
      </c>
      <c r="B62" s="23" t="s">
        <v>56</v>
      </c>
      <c r="C62" s="31" t="s">
        <v>208</v>
      </c>
      <c r="D62" s="25" t="str">
        <f>IFERROR(__xludf.DUMMYFUNCTION("SPLIT(C62,"" "")"),"Apartment")</f>
        <v>Apartment</v>
      </c>
      <c r="E62" s="22" t="str">
        <f>IFERROR(__xludf.DUMMYFUNCTION("""COMPUTED_VALUE"""),"Association")</f>
        <v>Association</v>
      </c>
      <c r="F62" s="22" t="str">
        <f>IFERROR(__xludf.DUMMYFUNCTION("""COMPUTED_VALUE"""),"of")</f>
        <v>of</v>
      </c>
      <c r="G62" s="22" t="str">
        <f>IFERROR(__xludf.DUMMYFUNCTION("""COMPUTED_VALUE"""),"Greater")</f>
        <v>Greater</v>
      </c>
      <c r="H62" s="22" t="str">
        <f>IFERROR(__xludf.DUMMYFUNCTION("""COMPUTED_VALUE"""),"Dallas
5728")</f>
        <v>Dallas
5728</v>
      </c>
      <c r="I62" s="22" t="str">
        <f>IFERROR(__xludf.DUMMYFUNCTION("""COMPUTED_VALUE"""),"LBJ")</f>
        <v>LBJ</v>
      </c>
      <c r="J62" s="22" t="str">
        <f>IFERROR(__xludf.DUMMYFUNCTION("""COMPUTED_VALUE"""),"Fwy.
Dallas,")</f>
        <v>Fwy.
Dallas,</v>
      </c>
      <c r="K62" s="22" t="str">
        <f>IFERROR(__xludf.DUMMYFUNCTION("""COMPUTED_VALUE"""),"TX")</f>
        <v>TX</v>
      </c>
      <c r="L62" s="22">
        <f>IFERROR(__xludf.DUMMYFUNCTION("""COMPUTED_VALUE"""),75240.0)</f>
        <v>75240</v>
      </c>
      <c r="M62" s="22"/>
      <c r="N62" s="22"/>
      <c r="O62" s="22"/>
      <c r="P62" s="22"/>
      <c r="Q62" s="22"/>
      <c r="R62" s="22"/>
      <c r="S62" s="22"/>
      <c r="T62" s="22"/>
      <c r="U62" s="24" t="str">
        <f>IFERROR(__xludf.DUMMYFUNCTION("SPLIT(E62,""01234567890"")"),"Association")</f>
        <v>Association</v>
      </c>
      <c r="V62" s="24" t="str">
        <f>IFERROR(__xludf.DUMMYFUNCTION("SPLIT(D62,"","")"),"Apartment")</f>
        <v>Apartment</v>
      </c>
      <c r="W62" s="25" t="str">
        <f t="shared" si="1"/>
        <v>ASSOCIATION APARTMENT</v>
      </c>
      <c r="X62" s="25" t="s">
        <v>209</v>
      </c>
      <c r="Y62" s="25">
        <v>75240.0</v>
      </c>
      <c r="Z62" s="25" t="str">
        <f>IFERROR(__xludf.DUMMYFUNCTION("SPLIT(C62,""
"")"),"Apartment Association of Greater Dallas")</f>
        <v>Apartment Association of Greater Dallas</v>
      </c>
      <c r="AA62" s="25" t="str">
        <f>IFERROR(__xludf.DUMMYFUNCTION("""COMPUTED_VALUE"""),"5728 LBJ Fwy.")</f>
        <v>5728 LBJ Fwy.</v>
      </c>
      <c r="AB62" s="25" t="str">
        <f>IFERROR(__xludf.DUMMYFUNCTION("""COMPUTED_VALUE"""),"Dallas, TX 75240")</f>
        <v>Dallas, TX 75240</v>
      </c>
      <c r="AC62" s="24" t="s">
        <v>210</v>
      </c>
      <c r="AD62" s="25"/>
      <c r="AE62" s="25"/>
      <c r="AF62" s="25"/>
      <c r="AG62" s="22" t="s">
        <v>60</v>
      </c>
      <c r="AH62" s="54">
        <v>2481.0</v>
      </c>
      <c r="AI62" s="22" t="s">
        <v>68</v>
      </c>
      <c r="AJ62" s="27">
        <v>2500.0</v>
      </c>
      <c r="AK62" s="31" t="s">
        <v>25</v>
      </c>
      <c r="AL62" s="28">
        <v>44841.0</v>
      </c>
      <c r="AM62" s="29">
        <v>44937.81995370371</v>
      </c>
      <c r="AN62" s="30">
        <v>2.0</v>
      </c>
      <c r="AO62" s="22"/>
      <c r="AP62" s="22"/>
      <c r="AQ62" s="22"/>
      <c r="AR62" s="22"/>
      <c r="AS62" s="31">
        <f>IFERROR(__xludf.DUMMYFUNCTION("""COMPUTED_VALUE"""),75104.0)</f>
        <v>75104</v>
      </c>
      <c r="AT62" s="45">
        <f t="shared" si="6"/>
        <v>300</v>
      </c>
      <c r="AU62" s="22"/>
      <c r="AV62" s="57" t="str">
        <f>IFERROR(__xludf.DUMMYFUNCTION("""COMPUTED_VALUE"""),"Bennett")</f>
        <v>Bennett</v>
      </c>
      <c r="AW62" s="46">
        <f t="shared" si="7"/>
        <v>1100</v>
      </c>
      <c r="AX62" s="47">
        <f t="shared" ref="AX62:BQ62" si="251">SUMIFS($AJ:$AJ,$V:$V,$AV62,$AK:$AK,AX$2)</f>
        <v>0</v>
      </c>
      <c r="AY62" s="48">
        <f t="shared" si="251"/>
        <v>0</v>
      </c>
      <c r="AZ62" s="48">
        <f t="shared" si="251"/>
        <v>0</v>
      </c>
      <c r="BA62" s="48">
        <f t="shared" si="251"/>
        <v>0</v>
      </c>
      <c r="BB62" s="48">
        <f t="shared" si="251"/>
        <v>1000</v>
      </c>
      <c r="BC62" s="48">
        <f t="shared" si="251"/>
        <v>0</v>
      </c>
      <c r="BD62" s="48">
        <f t="shared" si="251"/>
        <v>0</v>
      </c>
      <c r="BE62" s="48">
        <f t="shared" si="251"/>
        <v>0</v>
      </c>
      <c r="BF62" s="48">
        <f t="shared" si="251"/>
        <v>0</v>
      </c>
      <c r="BG62" s="48">
        <f t="shared" si="251"/>
        <v>0</v>
      </c>
      <c r="BH62" s="48">
        <f t="shared" si="251"/>
        <v>100</v>
      </c>
      <c r="BI62" s="48">
        <f t="shared" si="251"/>
        <v>0</v>
      </c>
      <c r="BJ62" s="48">
        <f t="shared" si="251"/>
        <v>0</v>
      </c>
      <c r="BK62" s="48">
        <f t="shared" si="251"/>
        <v>0</v>
      </c>
      <c r="BL62" s="48">
        <f t="shared" si="251"/>
        <v>0</v>
      </c>
      <c r="BM62" s="48">
        <f t="shared" si="251"/>
        <v>0</v>
      </c>
      <c r="BN62" s="48">
        <f t="shared" si="251"/>
        <v>0</v>
      </c>
      <c r="BO62" s="48">
        <f t="shared" si="251"/>
        <v>0</v>
      </c>
      <c r="BP62" s="48">
        <f t="shared" si="251"/>
        <v>0</v>
      </c>
      <c r="BQ62" s="48">
        <f t="shared" si="251"/>
        <v>0</v>
      </c>
      <c r="BR62" s="36">
        <f t="shared" si="9"/>
        <v>1</v>
      </c>
      <c r="BS62" s="38">
        <f t="shared" si="10"/>
        <v>2</v>
      </c>
      <c r="BT62" s="49">
        <f t="shared" si="11"/>
        <v>0</v>
      </c>
      <c r="BU62" s="38">
        <f t="shared" si="12"/>
        <v>2000</v>
      </c>
      <c r="BV62" s="57" t="str">
        <f>IFERROR(__xludf.DUMMYFUNCTION("""COMPUTED_VALUE"""),"Bennett")</f>
        <v>Bennett</v>
      </c>
      <c r="BW62" s="46">
        <f t="shared" si="13"/>
        <v>1100</v>
      </c>
      <c r="BX62" s="47">
        <f t="shared" ref="BX62:CA62" si="252">AX62-$BU62</f>
        <v>-2000</v>
      </c>
      <c r="BY62" s="47">
        <f t="shared" si="252"/>
        <v>-2000</v>
      </c>
      <c r="BZ62" s="47">
        <f t="shared" si="252"/>
        <v>-2000</v>
      </c>
      <c r="CA62" s="47">
        <f t="shared" si="252"/>
        <v>-2000</v>
      </c>
      <c r="CB62" s="47">
        <f t="shared" si="15"/>
        <v>-19000</v>
      </c>
      <c r="CC62" s="47">
        <f t="shared" ref="CC62:CQ62" si="253">BC62-$BU62</f>
        <v>-2000</v>
      </c>
      <c r="CD62" s="47">
        <f t="shared" si="253"/>
        <v>-2000</v>
      </c>
      <c r="CE62" s="47">
        <f t="shared" si="253"/>
        <v>-2000</v>
      </c>
      <c r="CF62" s="47">
        <f t="shared" si="253"/>
        <v>-2000</v>
      </c>
      <c r="CG62" s="47">
        <f t="shared" si="253"/>
        <v>-2000</v>
      </c>
      <c r="CH62" s="47">
        <f t="shared" si="253"/>
        <v>-1900</v>
      </c>
      <c r="CI62" s="47">
        <f t="shared" si="253"/>
        <v>-2000</v>
      </c>
      <c r="CJ62" s="47">
        <f t="shared" si="253"/>
        <v>-2000</v>
      </c>
      <c r="CK62" s="47">
        <f t="shared" si="253"/>
        <v>-2000</v>
      </c>
      <c r="CL62" s="47">
        <f t="shared" si="253"/>
        <v>-2000</v>
      </c>
      <c r="CM62" s="47">
        <f t="shared" si="253"/>
        <v>-2000</v>
      </c>
      <c r="CN62" s="47">
        <f t="shared" si="253"/>
        <v>-2000</v>
      </c>
      <c r="CO62" s="47">
        <f t="shared" si="253"/>
        <v>-2000</v>
      </c>
      <c r="CP62" s="47">
        <f t="shared" si="253"/>
        <v>-2000</v>
      </c>
      <c r="CQ62" s="47">
        <f t="shared" si="253"/>
        <v>-2000</v>
      </c>
      <c r="CR62" s="47"/>
      <c r="CS62" s="47"/>
      <c r="CT62" s="47"/>
      <c r="CU62" s="50" t="str">
        <f>IFERROR(__xludf.DUMMYFUNCTION("""COMPUTED_VALUE"""),"3105 SanJacinto St
Dallas, TX 75204          ")</f>
        <v>3105 SanJacinto St
Dallas, TX 75204          </v>
      </c>
      <c r="CV62" s="51">
        <f>IFERROR(__xludf.DUMMYFUNCTION("IF(REGEXMATCH(UPPER(CU62), ""TX""),0,1)"),0.0)</f>
        <v>0</v>
      </c>
      <c r="CW62" s="51">
        <f>IFERROR(__xludf.DUMMYFUNCTION("IF(REGEXMATCH(UPPER(CU62), ""DALLAS""),0,1)"),0.0)</f>
        <v>0</v>
      </c>
      <c r="CX62" s="51">
        <f t="shared" si="17"/>
        <v>0</v>
      </c>
      <c r="CY62" s="51">
        <f t="shared" si="18"/>
        <v>0</v>
      </c>
      <c r="CZ62" s="52" t="str">
        <f t="shared" si="19"/>
        <v/>
      </c>
      <c r="DA62" s="53" t="str">
        <f>IFERROR(__xludf.DUMMYFUNCTION("""COMPUTED_VALUE"""),"1633 Prince William Ln
Frisco, TX 75034         ")</f>
        <v>1633 Prince William Ln
Frisco, TX 75034         </v>
      </c>
      <c r="DB62" s="52">
        <f t="shared" ref="DB62:DU62" si="254">SUMIFS($AJ:$AJ,$X:$X,$DA62,$AK:$AK,DB$2)</f>
        <v>0</v>
      </c>
      <c r="DC62" s="52">
        <f t="shared" si="254"/>
        <v>0</v>
      </c>
      <c r="DD62" s="52">
        <f t="shared" si="254"/>
        <v>0</v>
      </c>
      <c r="DE62" s="52">
        <f t="shared" si="254"/>
        <v>0</v>
      </c>
      <c r="DF62" s="52">
        <f t="shared" si="254"/>
        <v>2500</v>
      </c>
      <c r="DG62" s="52">
        <f t="shared" si="254"/>
        <v>0</v>
      </c>
      <c r="DH62" s="52">
        <f t="shared" si="254"/>
        <v>0</v>
      </c>
      <c r="DI62" s="52">
        <f t="shared" si="254"/>
        <v>0</v>
      </c>
      <c r="DJ62" s="52">
        <f t="shared" si="254"/>
        <v>0</v>
      </c>
      <c r="DK62" s="52">
        <f t="shared" si="254"/>
        <v>0</v>
      </c>
      <c r="DL62" s="52">
        <f t="shared" si="254"/>
        <v>0</v>
      </c>
      <c r="DM62" s="52">
        <f t="shared" si="254"/>
        <v>0</v>
      </c>
      <c r="DN62" s="52">
        <f t="shared" si="254"/>
        <v>0</v>
      </c>
      <c r="DO62" s="52">
        <f t="shared" si="254"/>
        <v>0</v>
      </c>
      <c r="DP62" s="52">
        <f t="shared" si="254"/>
        <v>0</v>
      </c>
      <c r="DQ62" s="52">
        <f t="shared" si="254"/>
        <v>0</v>
      </c>
      <c r="DR62" s="52">
        <f t="shared" si="254"/>
        <v>0</v>
      </c>
      <c r="DS62" s="52">
        <f t="shared" si="254"/>
        <v>0</v>
      </c>
      <c r="DT62" s="52">
        <f t="shared" si="254"/>
        <v>0</v>
      </c>
      <c r="DU62" s="52">
        <f t="shared" si="254"/>
        <v>0</v>
      </c>
      <c r="DV62" s="52">
        <f t="shared" si="21"/>
        <v>2500</v>
      </c>
      <c r="DW62" s="52">
        <f t="shared" si="22"/>
        <v>1</v>
      </c>
    </row>
    <row r="63">
      <c r="A63" s="40" t="s">
        <v>55</v>
      </c>
      <c r="B63" s="41" t="s">
        <v>56</v>
      </c>
      <c r="C63" s="31" t="s">
        <v>211</v>
      </c>
      <c r="D63" s="25" t="str">
        <f>IFERROR(__xludf.DUMMYFUNCTION("SPLIT(C63,"" "")"),"Apartment")</f>
        <v>Apartment</v>
      </c>
      <c r="E63" s="40" t="str">
        <f>IFERROR(__xludf.DUMMYFUNCTION("""COMPUTED_VALUE"""),"Association")</f>
        <v>Association</v>
      </c>
      <c r="F63" s="40" t="str">
        <f>IFERROR(__xludf.DUMMYFUNCTION("""COMPUTED_VALUE"""),"of")</f>
        <v>of</v>
      </c>
      <c r="G63" s="40" t="str">
        <f>IFERROR(__xludf.DUMMYFUNCTION("""COMPUTED_VALUE"""),"Greater")</f>
        <v>Greater</v>
      </c>
      <c r="H63" s="40" t="str">
        <f>IFERROR(__xludf.DUMMYFUNCTION("""COMPUTED_VALUE"""),"Dallas
5728")</f>
        <v>Dallas
5728</v>
      </c>
      <c r="I63" s="40" t="str">
        <f>IFERROR(__xludf.DUMMYFUNCTION("""COMPUTED_VALUE"""),"LBJ")</f>
        <v>LBJ</v>
      </c>
      <c r="J63" s="40" t="str">
        <f>IFERROR(__xludf.DUMMYFUNCTION("""COMPUTED_VALUE"""),"Fwy
Dallas,")</f>
        <v>Fwy
Dallas,</v>
      </c>
      <c r="K63" s="40" t="str">
        <f>IFERROR(__xludf.DUMMYFUNCTION("""COMPUTED_VALUE"""),"TX")</f>
        <v>TX</v>
      </c>
      <c r="L63" s="40">
        <f>IFERROR(__xludf.DUMMYFUNCTION("""COMPUTED_VALUE"""),75240.0)</f>
        <v>75240</v>
      </c>
      <c r="M63" s="40"/>
      <c r="N63" s="40"/>
      <c r="O63" s="40"/>
      <c r="P63" s="40"/>
      <c r="Q63" s="40"/>
      <c r="R63" s="40"/>
      <c r="S63" s="40"/>
      <c r="T63" s="40"/>
      <c r="U63" s="24" t="str">
        <f>IFERROR(__xludf.DUMMYFUNCTION("SPLIT(E63,""01234567890"")"),"Association")</f>
        <v>Association</v>
      </c>
      <c r="V63" s="24" t="str">
        <f>IFERROR(__xludf.DUMMYFUNCTION("SPLIT(D63,"","")"),"Apartment")</f>
        <v>Apartment</v>
      </c>
      <c r="W63" s="25" t="str">
        <f t="shared" si="1"/>
        <v>ASSOCIATION APARTMENT</v>
      </c>
      <c r="X63" s="25" t="s">
        <v>212</v>
      </c>
      <c r="Y63" s="25">
        <v>75240.0</v>
      </c>
      <c r="Z63" s="25" t="str">
        <f>IFERROR(__xludf.DUMMYFUNCTION("SPLIT(C63,""
"")"),"Apartment Association of Greater Dallas")</f>
        <v>Apartment Association of Greater Dallas</v>
      </c>
      <c r="AA63" s="25" t="str">
        <f>IFERROR(__xludf.DUMMYFUNCTION("""COMPUTED_VALUE"""),"5728 LBJ Fwy")</f>
        <v>5728 LBJ Fwy</v>
      </c>
      <c r="AB63" s="25" t="str">
        <f>IFERROR(__xludf.DUMMYFUNCTION("""COMPUTED_VALUE"""),"Dallas, TX 75240")</f>
        <v>Dallas, TX 75240</v>
      </c>
      <c r="AC63" s="24" t="s">
        <v>210</v>
      </c>
      <c r="AD63" s="25"/>
      <c r="AE63" s="25"/>
      <c r="AF63" s="25"/>
      <c r="AG63" s="40" t="s">
        <v>60</v>
      </c>
      <c r="AH63" s="42">
        <v>2481.0</v>
      </c>
      <c r="AI63" s="40" t="s">
        <v>68</v>
      </c>
      <c r="AJ63" s="27">
        <v>7500.0</v>
      </c>
      <c r="AK63" s="31" t="s">
        <v>25</v>
      </c>
      <c r="AL63" s="43">
        <v>44907.0</v>
      </c>
      <c r="AM63" s="44">
        <v>44937.81995370371</v>
      </c>
      <c r="AN63" s="30">
        <v>2.0</v>
      </c>
      <c r="AO63" s="40"/>
      <c r="AP63" s="40"/>
      <c r="AQ63" s="40"/>
      <c r="AR63" s="40"/>
      <c r="AS63" s="31" t="str">
        <f>IFERROR(__xludf.DUMMYFUNCTION("""COMPUTED_VALUE"""),"75232-3704")</f>
        <v>75232-3704</v>
      </c>
      <c r="AT63" s="45">
        <f t="shared" si="6"/>
        <v>150</v>
      </c>
      <c r="AU63" s="40"/>
      <c r="AV63" s="46" t="str">
        <f>IFERROR(__xludf.DUMMYFUNCTION("""COMPUTED_VALUE"""),"Benson")</f>
        <v>Benson</v>
      </c>
      <c r="AW63" s="46">
        <f t="shared" si="7"/>
        <v>1000</v>
      </c>
      <c r="AX63" s="47">
        <f t="shared" ref="AX63:BQ63" si="255">SUMIFS($AJ:$AJ,$V:$V,$AV63,$AK:$AK,AX$2)</f>
        <v>0</v>
      </c>
      <c r="AY63" s="48">
        <f t="shared" si="255"/>
        <v>0</v>
      </c>
      <c r="AZ63" s="48">
        <f t="shared" si="255"/>
        <v>0</v>
      </c>
      <c r="BA63" s="48">
        <f t="shared" si="255"/>
        <v>1000</v>
      </c>
      <c r="BB63" s="48">
        <f t="shared" si="255"/>
        <v>0</v>
      </c>
      <c r="BC63" s="48">
        <f t="shared" si="255"/>
        <v>0</v>
      </c>
      <c r="BD63" s="48">
        <f t="shared" si="255"/>
        <v>0</v>
      </c>
      <c r="BE63" s="48">
        <f t="shared" si="255"/>
        <v>0</v>
      </c>
      <c r="BF63" s="48">
        <f t="shared" si="255"/>
        <v>0</v>
      </c>
      <c r="BG63" s="48">
        <f t="shared" si="255"/>
        <v>0</v>
      </c>
      <c r="BH63" s="48">
        <f t="shared" si="255"/>
        <v>0</v>
      </c>
      <c r="BI63" s="48">
        <f t="shared" si="255"/>
        <v>0</v>
      </c>
      <c r="BJ63" s="48">
        <f t="shared" si="255"/>
        <v>0</v>
      </c>
      <c r="BK63" s="48">
        <f t="shared" si="255"/>
        <v>0</v>
      </c>
      <c r="BL63" s="48">
        <f t="shared" si="255"/>
        <v>0</v>
      </c>
      <c r="BM63" s="48">
        <f t="shared" si="255"/>
        <v>0</v>
      </c>
      <c r="BN63" s="48">
        <f t="shared" si="255"/>
        <v>0</v>
      </c>
      <c r="BO63" s="48">
        <f t="shared" si="255"/>
        <v>0</v>
      </c>
      <c r="BP63" s="48">
        <f t="shared" si="255"/>
        <v>0</v>
      </c>
      <c r="BQ63" s="48">
        <f t="shared" si="255"/>
        <v>0</v>
      </c>
      <c r="BR63" s="36">
        <f t="shared" si="9"/>
        <v>0</v>
      </c>
      <c r="BS63" s="38">
        <f t="shared" si="10"/>
        <v>1</v>
      </c>
      <c r="BT63" s="49">
        <f t="shared" si="11"/>
        <v>0</v>
      </c>
      <c r="BU63" s="38">
        <f t="shared" si="12"/>
        <v>1000</v>
      </c>
      <c r="BV63" s="46" t="str">
        <f>IFERROR(__xludf.DUMMYFUNCTION("""COMPUTED_VALUE"""),"Benson")</f>
        <v>Benson</v>
      </c>
      <c r="BW63" s="46">
        <f t="shared" si="13"/>
        <v>1000</v>
      </c>
      <c r="BX63" s="47">
        <f t="shared" ref="BX63:CA63" si="256">AX63-$BU63</f>
        <v>-1000</v>
      </c>
      <c r="BY63" s="47">
        <f t="shared" si="256"/>
        <v>-1000</v>
      </c>
      <c r="BZ63" s="47">
        <f t="shared" si="256"/>
        <v>-1000</v>
      </c>
      <c r="CA63" s="47">
        <f t="shared" si="256"/>
        <v>0</v>
      </c>
      <c r="CB63" s="47">
        <f t="shared" si="15"/>
        <v>-10000</v>
      </c>
      <c r="CC63" s="47">
        <f t="shared" ref="CC63:CQ63" si="257">BC63-$BU63</f>
        <v>-1000</v>
      </c>
      <c r="CD63" s="47">
        <f t="shared" si="257"/>
        <v>-1000</v>
      </c>
      <c r="CE63" s="47">
        <f t="shared" si="257"/>
        <v>-1000</v>
      </c>
      <c r="CF63" s="47">
        <f t="shared" si="257"/>
        <v>-1000</v>
      </c>
      <c r="CG63" s="47">
        <f t="shared" si="257"/>
        <v>-1000</v>
      </c>
      <c r="CH63" s="47">
        <f t="shared" si="257"/>
        <v>-1000</v>
      </c>
      <c r="CI63" s="47">
        <f t="shared" si="257"/>
        <v>-1000</v>
      </c>
      <c r="CJ63" s="47">
        <f t="shared" si="257"/>
        <v>-1000</v>
      </c>
      <c r="CK63" s="47">
        <f t="shared" si="257"/>
        <v>-1000</v>
      </c>
      <c r="CL63" s="47">
        <f t="shared" si="257"/>
        <v>-1000</v>
      </c>
      <c r="CM63" s="47">
        <f t="shared" si="257"/>
        <v>-1000</v>
      </c>
      <c r="CN63" s="47">
        <f t="shared" si="257"/>
        <v>-1000</v>
      </c>
      <c r="CO63" s="47">
        <f t="shared" si="257"/>
        <v>-1000</v>
      </c>
      <c r="CP63" s="47">
        <f t="shared" si="257"/>
        <v>-1000</v>
      </c>
      <c r="CQ63" s="47">
        <f t="shared" si="257"/>
        <v>-1000</v>
      </c>
      <c r="CR63" s="47"/>
      <c r="CS63" s="47"/>
      <c r="CT63" s="47"/>
      <c r="CU63" s="50" t="str">
        <f>IFERROR(__xludf.DUMMYFUNCTION("""COMPUTED_VALUE"""),"3445 University
Dallas, TX 75205           ")</f>
        <v>3445 University
Dallas, TX 75205           </v>
      </c>
      <c r="CV63" s="51">
        <f>IFERROR(__xludf.DUMMYFUNCTION("IF(REGEXMATCH(UPPER(CU63), ""TX""),0,1)"),0.0)</f>
        <v>0</v>
      </c>
      <c r="CW63" s="51">
        <f>IFERROR(__xludf.DUMMYFUNCTION("IF(REGEXMATCH(UPPER(CU63), ""DALLAS""),0,1)"),0.0)</f>
        <v>0</v>
      </c>
      <c r="CX63" s="51">
        <f t="shared" si="17"/>
        <v>0</v>
      </c>
      <c r="CY63" s="51">
        <f t="shared" si="18"/>
        <v>0</v>
      </c>
      <c r="CZ63" s="52" t="str">
        <f t="shared" si="19"/>
        <v/>
      </c>
      <c r="DA63" s="53" t="str">
        <f>IFERROR(__xludf.DUMMYFUNCTION("""COMPUTED_VALUE"""),"58 Country Oaks Dr
Buda, TX 78610         ")</f>
        <v>58 Country Oaks Dr
Buda, TX 78610         </v>
      </c>
      <c r="DB63" s="52">
        <f t="shared" ref="DB63:DU63" si="258">SUMIFS($AJ:$AJ,$X:$X,$DA63,$AK:$AK,DB$2)</f>
        <v>0</v>
      </c>
      <c r="DC63" s="52">
        <f t="shared" si="258"/>
        <v>0</v>
      </c>
      <c r="DD63" s="52">
        <f t="shared" si="258"/>
        <v>0</v>
      </c>
      <c r="DE63" s="52">
        <f t="shared" si="258"/>
        <v>0</v>
      </c>
      <c r="DF63" s="52">
        <f t="shared" si="258"/>
        <v>800</v>
      </c>
      <c r="DG63" s="52">
        <f t="shared" si="258"/>
        <v>0</v>
      </c>
      <c r="DH63" s="52">
        <f t="shared" si="258"/>
        <v>0</v>
      </c>
      <c r="DI63" s="52">
        <f t="shared" si="258"/>
        <v>0</v>
      </c>
      <c r="DJ63" s="52">
        <f t="shared" si="258"/>
        <v>0</v>
      </c>
      <c r="DK63" s="52">
        <f t="shared" si="258"/>
        <v>0</v>
      </c>
      <c r="DL63" s="52">
        <f t="shared" si="258"/>
        <v>0</v>
      </c>
      <c r="DM63" s="52">
        <f t="shared" si="258"/>
        <v>0</v>
      </c>
      <c r="DN63" s="52">
        <f t="shared" si="258"/>
        <v>0</v>
      </c>
      <c r="DO63" s="52">
        <f t="shared" si="258"/>
        <v>0</v>
      </c>
      <c r="DP63" s="52">
        <f t="shared" si="258"/>
        <v>0</v>
      </c>
      <c r="DQ63" s="52">
        <f t="shared" si="258"/>
        <v>0</v>
      </c>
      <c r="DR63" s="52">
        <f t="shared" si="258"/>
        <v>0</v>
      </c>
      <c r="DS63" s="52">
        <f t="shared" si="258"/>
        <v>0</v>
      </c>
      <c r="DT63" s="52">
        <f t="shared" si="258"/>
        <v>0</v>
      </c>
      <c r="DU63" s="52">
        <f t="shared" si="258"/>
        <v>0</v>
      </c>
      <c r="DV63" s="52">
        <f t="shared" si="21"/>
        <v>800</v>
      </c>
      <c r="DW63" s="52">
        <f t="shared" si="22"/>
        <v>1</v>
      </c>
    </row>
    <row r="64">
      <c r="A64" s="22" t="s">
        <v>55</v>
      </c>
      <c r="B64" s="23" t="s">
        <v>56</v>
      </c>
      <c r="C64" s="31" t="s">
        <v>213</v>
      </c>
      <c r="D64" s="25" t="str">
        <f>IFERROR(__xludf.DUMMYFUNCTION("SPLIT(C64,"" "")"),"Applequist,")</f>
        <v>Applequist,</v>
      </c>
      <c r="E64" s="22" t="str">
        <f>IFERROR(__xludf.DUMMYFUNCTION("""COMPUTED_VALUE"""),"Chris
17440")</f>
        <v>Chris
17440</v>
      </c>
      <c r="F64" s="22" t="str">
        <f>IFERROR(__xludf.DUMMYFUNCTION("""COMPUTED_VALUE"""),"Dallas")</f>
        <v>Dallas</v>
      </c>
      <c r="G64" s="22" t="str">
        <f>IFERROR(__xludf.DUMMYFUNCTION("""COMPUTED_VALUE"""),"Pkwy
Dallas,")</f>
        <v>Pkwy
Dallas,</v>
      </c>
      <c r="H64" s="22" t="str">
        <f>IFERROR(__xludf.DUMMYFUNCTION("""COMPUTED_VALUE"""),"TX")</f>
        <v>TX</v>
      </c>
      <c r="I64" s="22">
        <f>IFERROR(__xludf.DUMMYFUNCTION("""COMPUTED_VALUE"""),75287.0)</f>
        <v>75287</v>
      </c>
      <c r="J64" s="22"/>
      <c r="K64" s="22"/>
      <c r="L64" s="22"/>
      <c r="M64" s="22"/>
      <c r="N64" s="22"/>
      <c r="O64" s="22"/>
      <c r="P64" s="22"/>
      <c r="Q64" s="22"/>
      <c r="R64" s="22"/>
      <c r="S64" s="22"/>
      <c r="T64" s="22"/>
      <c r="U64" s="24" t="str">
        <f>IFERROR(__xludf.DUMMYFUNCTION("SPLIT(E64,""01234567890"")"),"Chris
")</f>
        <v>Chris
</v>
      </c>
      <c r="V64" s="24" t="str">
        <f>IFERROR(__xludf.DUMMYFUNCTION("SPLIT(D64,"","")"),"Applequist")</f>
        <v>Applequist</v>
      </c>
      <c r="W64" s="25" t="str">
        <f t="shared" si="1"/>
        <v>CHRIS
 APPLEQUIST</v>
      </c>
      <c r="X64" s="25" t="s">
        <v>214</v>
      </c>
      <c r="Y64" s="25">
        <v>75287.0</v>
      </c>
      <c r="Z64" s="25" t="str">
        <f>IFERROR(__xludf.DUMMYFUNCTION("SPLIT(C64,""
"")"),"Applequist, Chris")</f>
        <v>Applequist, Chris</v>
      </c>
      <c r="AA64" s="25" t="str">
        <f>IFERROR(__xludf.DUMMYFUNCTION("""COMPUTED_VALUE"""),"17440 Dallas Pkwy")</f>
        <v>17440 Dallas Pkwy</v>
      </c>
      <c r="AB64" s="25" t="str">
        <f>IFERROR(__xludf.DUMMYFUNCTION("""COMPUTED_VALUE"""),"Dallas, TX 75287")</f>
        <v>Dallas, TX 75287</v>
      </c>
      <c r="AC64" s="24" t="s">
        <v>215</v>
      </c>
      <c r="AD64" s="25"/>
      <c r="AE64" s="25"/>
      <c r="AF64" s="25"/>
      <c r="AG64" s="22" t="s">
        <v>60</v>
      </c>
      <c r="AH64" s="54">
        <v>2448.0</v>
      </c>
      <c r="AI64" s="22" t="s">
        <v>61</v>
      </c>
      <c r="AJ64" s="27">
        <v>1000.0</v>
      </c>
      <c r="AK64" s="31" t="s">
        <v>24</v>
      </c>
      <c r="AL64" s="28">
        <v>44721.0</v>
      </c>
      <c r="AM64" s="29">
        <v>44757.44018518519</v>
      </c>
      <c r="AN64" s="30">
        <v>2.0</v>
      </c>
      <c r="AO64" s="22"/>
      <c r="AP64" s="22"/>
      <c r="AQ64" s="22"/>
      <c r="AR64" s="22"/>
      <c r="AS64" s="31">
        <f>IFERROR(__xludf.DUMMYFUNCTION("""COMPUTED_VALUE"""),75223.0)</f>
        <v>75223</v>
      </c>
      <c r="AT64" s="45">
        <f t="shared" si="6"/>
        <v>1600</v>
      </c>
      <c r="AU64" s="22"/>
      <c r="AV64" s="57" t="str">
        <f>IFERROR(__xludf.DUMMYFUNCTION("""COMPUTED_VALUE"""),"Benton")</f>
        <v>Benton</v>
      </c>
      <c r="AW64" s="46">
        <f t="shared" si="7"/>
        <v>1000</v>
      </c>
      <c r="AX64" s="47">
        <f t="shared" ref="AX64:BQ64" si="259">SUMIFS($AJ:$AJ,$V:$V,$AV64,$AK:$AK,AX$2)</f>
        <v>0</v>
      </c>
      <c r="AY64" s="48">
        <f t="shared" si="259"/>
        <v>0</v>
      </c>
      <c r="AZ64" s="48">
        <f t="shared" si="259"/>
        <v>0</v>
      </c>
      <c r="BA64" s="48">
        <f t="shared" si="259"/>
        <v>0</v>
      </c>
      <c r="BB64" s="48">
        <f t="shared" si="259"/>
        <v>1000</v>
      </c>
      <c r="BC64" s="48">
        <f t="shared" si="259"/>
        <v>0</v>
      </c>
      <c r="BD64" s="48">
        <f t="shared" si="259"/>
        <v>0</v>
      </c>
      <c r="BE64" s="48">
        <f t="shared" si="259"/>
        <v>0</v>
      </c>
      <c r="BF64" s="48">
        <f t="shared" si="259"/>
        <v>0</v>
      </c>
      <c r="BG64" s="48">
        <f t="shared" si="259"/>
        <v>0</v>
      </c>
      <c r="BH64" s="48">
        <f t="shared" si="259"/>
        <v>0</v>
      </c>
      <c r="BI64" s="48">
        <f t="shared" si="259"/>
        <v>0</v>
      </c>
      <c r="BJ64" s="48">
        <f t="shared" si="259"/>
        <v>0</v>
      </c>
      <c r="BK64" s="48">
        <f t="shared" si="259"/>
        <v>0</v>
      </c>
      <c r="BL64" s="48">
        <f t="shared" si="259"/>
        <v>0</v>
      </c>
      <c r="BM64" s="48">
        <f t="shared" si="259"/>
        <v>0</v>
      </c>
      <c r="BN64" s="48">
        <f t="shared" si="259"/>
        <v>0</v>
      </c>
      <c r="BO64" s="48">
        <f t="shared" si="259"/>
        <v>0</v>
      </c>
      <c r="BP64" s="48">
        <f t="shared" si="259"/>
        <v>0</v>
      </c>
      <c r="BQ64" s="48">
        <f t="shared" si="259"/>
        <v>0</v>
      </c>
      <c r="BR64" s="36">
        <f t="shared" si="9"/>
        <v>0</v>
      </c>
      <c r="BS64" s="38">
        <f t="shared" si="10"/>
        <v>1</v>
      </c>
      <c r="BT64" s="49">
        <f t="shared" si="11"/>
        <v>0</v>
      </c>
      <c r="BU64" s="38">
        <f t="shared" si="12"/>
        <v>1000</v>
      </c>
      <c r="BV64" s="57" t="str">
        <f>IFERROR(__xludf.DUMMYFUNCTION("""COMPUTED_VALUE"""),"Benton")</f>
        <v>Benton</v>
      </c>
      <c r="BW64" s="46">
        <f t="shared" si="13"/>
        <v>1000</v>
      </c>
      <c r="BX64" s="47">
        <f t="shared" ref="BX64:CA64" si="260">AX64-$BU64</f>
        <v>-1000</v>
      </c>
      <c r="BY64" s="47">
        <f t="shared" si="260"/>
        <v>-1000</v>
      </c>
      <c r="BZ64" s="47">
        <f t="shared" si="260"/>
        <v>-1000</v>
      </c>
      <c r="CA64" s="47">
        <f t="shared" si="260"/>
        <v>-1000</v>
      </c>
      <c r="CB64" s="47">
        <f t="shared" si="15"/>
        <v>-9000</v>
      </c>
      <c r="CC64" s="47">
        <f t="shared" ref="CC64:CQ64" si="261">BC64-$BU64</f>
        <v>-1000</v>
      </c>
      <c r="CD64" s="47">
        <f t="shared" si="261"/>
        <v>-1000</v>
      </c>
      <c r="CE64" s="47">
        <f t="shared" si="261"/>
        <v>-1000</v>
      </c>
      <c r="CF64" s="47">
        <f t="shared" si="261"/>
        <v>-1000</v>
      </c>
      <c r="CG64" s="47">
        <f t="shared" si="261"/>
        <v>-1000</v>
      </c>
      <c r="CH64" s="47">
        <f t="shared" si="261"/>
        <v>-1000</v>
      </c>
      <c r="CI64" s="47">
        <f t="shared" si="261"/>
        <v>-1000</v>
      </c>
      <c r="CJ64" s="47">
        <f t="shared" si="261"/>
        <v>-1000</v>
      </c>
      <c r="CK64" s="47">
        <f t="shared" si="261"/>
        <v>-1000</v>
      </c>
      <c r="CL64" s="47">
        <f t="shared" si="261"/>
        <v>-1000</v>
      </c>
      <c r="CM64" s="47">
        <f t="shared" si="261"/>
        <v>-1000</v>
      </c>
      <c r="CN64" s="47">
        <f t="shared" si="261"/>
        <v>-1000</v>
      </c>
      <c r="CO64" s="47">
        <f t="shared" si="261"/>
        <v>-1000</v>
      </c>
      <c r="CP64" s="47">
        <f t="shared" si="261"/>
        <v>-1000</v>
      </c>
      <c r="CQ64" s="47">
        <f t="shared" si="261"/>
        <v>-1000</v>
      </c>
      <c r="CR64" s="47"/>
      <c r="CS64" s="47"/>
      <c r="CT64" s="47"/>
      <c r="CU64" s="50" t="str">
        <f>IFERROR(__xludf.DUMMYFUNCTION("""COMPUTED_VALUE"""),"3508 Bryn Mawr Dr.
Dallas, TX 75225         ")</f>
        <v>3508 Bryn Mawr Dr.
Dallas, TX 75225         </v>
      </c>
      <c r="CV64" s="51">
        <f>IFERROR(__xludf.DUMMYFUNCTION("IF(REGEXMATCH(UPPER(CU64), ""TX""),0,1)"),0.0)</f>
        <v>0</v>
      </c>
      <c r="CW64" s="51">
        <f>IFERROR(__xludf.DUMMYFUNCTION("IF(REGEXMATCH(UPPER(CU64), ""DALLAS""),0,1)"),0.0)</f>
        <v>0</v>
      </c>
      <c r="CX64" s="51">
        <f t="shared" si="17"/>
        <v>0</v>
      </c>
      <c r="CY64" s="51">
        <f t="shared" si="18"/>
        <v>0</v>
      </c>
      <c r="CZ64" s="52" t="str">
        <f t="shared" si="19"/>
        <v/>
      </c>
      <c r="DA64" s="53" t="str">
        <f>IFERROR(__xludf.DUMMYFUNCTION("""COMPUTED_VALUE"""),"682 W Alamosa Dr
Chandler, AZ 85248         ")</f>
        <v>682 W Alamosa Dr
Chandler, AZ 85248         </v>
      </c>
      <c r="DB64" s="52">
        <f t="shared" ref="DB64:DU64" si="262">SUMIFS($AJ:$AJ,$X:$X,$DA64,$AK:$AK,DB$2)</f>
        <v>0</v>
      </c>
      <c r="DC64" s="52">
        <f t="shared" si="262"/>
        <v>0</v>
      </c>
      <c r="DD64" s="52">
        <f t="shared" si="262"/>
        <v>0</v>
      </c>
      <c r="DE64" s="52">
        <f t="shared" si="262"/>
        <v>0</v>
      </c>
      <c r="DF64" s="52">
        <f t="shared" si="262"/>
        <v>500</v>
      </c>
      <c r="DG64" s="52">
        <f t="shared" si="262"/>
        <v>0</v>
      </c>
      <c r="DH64" s="52">
        <f t="shared" si="262"/>
        <v>0</v>
      </c>
      <c r="DI64" s="52">
        <f t="shared" si="262"/>
        <v>0</v>
      </c>
      <c r="DJ64" s="52">
        <f t="shared" si="262"/>
        <v>0</v>
      </c>
      <c r="DK64" s="52">
        <f t="shared" si="262"/>
        <v>0</v>
      </c>
      <c r="DL64" s="52">
        <f t="shared" si="262"/>
        <v>0</v>
      </c>
      <c r="DM64" s="52">
        <f t="shared" si="262"/>
        <v>0</v>
      </c>
      <c r="DN64" s="52">
        <f t="shared" si="262"/>
        <v>0</v>
      </c>
      <c r="DO64" s="52">
        <f t="shared" si="262"/>
        <v>0</v>
      </c>
      <c r="DP64" s="52">
        <f t="shared" si="262"/>
        <v>0</v>
      </c>
      <c r="DQ64" s="52">
        <f t="shared" si="262"/>
        <v>0</v>
      </c>
      <c r="DR64" s="52">
        <f t="shared" si="262"/>
        <v>0</v>
      </c>
      <c r="DS64" s="52">
        <f t="shared" si="262"/>
        <v>0</v>
      </c>
      <c r="DT64" s="52">
        <f t="shared" si="262"/>
        <v>0</v>
      </c>
      <c r="DU64" s="52">
        <f t="shared" si="262"/>
        <v>0</v>
      </c>
      <c r="DV64" s="52">
        <f t="shared" si="21"/>
        <v>500</v>
      </c>
      <c r="DW64" s="52">
        <f t="shared" si="22"/>
        <v>1</v>
      </c>
    </row>
    <row r="65">
      <c r="A65" s="40" t="s">
        <v>55</v>
      </c>
      <c r="B65" s="41" t="s">
        <v>56</v>
      </c>
      <c r="C65" s="31" t="s">
        <v>216</v>
      </c>
      <c r="D65" s="25" t="str">
        <f>IFERROR(__xludf.DUMMYFUNCTION("SPLIT(C65,"" "")"),"Applequist,")</f>
        <v>Applequist,</v>
      </c>
      <c r="E65" s="40" t="str">
        <f>IFERROR(__xludf.DUMMYFUNCTION("""COMPUTED_VALUE"""),"Chris
9034")</f>
        <v>Chris
9034</v>
      </c>
      <c r="F65" s="40" t="str">
        <f>IFERROR(__xludf.DUMMYFUNCTION("""COMPUTED_VALUE"""),"Meadowknoll")</f>
        <v>Meadowknoll</v>
      </c>
      <c r="G65" s="40" t="str">
        <f>IFERROR(__xludf.DUMMYFUNCTION("""COMPUTED_VALUE"""),"Dr.
Dallas,")</f>
        <v>Dr.
Dallas,</v>
      </c>
      <c r="H65" s="40" t="str">
        <f>IFERROR(__xludf.DUMMYFUNCTION("""COMPUTED_VALUE"""),"TX")</f>
        <v>TX</v>
      </c>
      <c r="I65" s="40">
        <f>IFERROR(__xludf.DUMMYFUNCTION("""COMPUTED_VALUE"""),75243.0)</f>
        <v>75243</v>
      </c>
      <c r="J65" s="40"/>
      <c r="K65" s="40"/>
      <c r="L65" s="40"/>
      <c r="M65" s="40"/>
      <c r="N65" s="40"/>
      <c r="O65" s="40"/>
      <c r="P65" s="40"/>
      <c r="Q65" s="40"/>
      <c r="R65" s="40"/>
      <c r="S65" s="40"/>
      <c r="T65" s="40"/>
      <c r="U65" s="24" t="str">
        <f>IFERROR(__xludf.DUMMYFUNCTION("SPLIT(E65,""01234567890"")"),"Chris
")</f>
        <v>Chris
</v>
      </c>
      <c r="V65" s="24" t="str">
        <f>IFERROR(__xludf.DUMMYFUNCTION("SPLIT(D65,"","")"),"Applequist")</f>
        <v>Applequist</v>
      </c>
      <c r="W65" s="25" t="str">
        <f t="shared" si="1"/>
        <v>CHRIS
 APPLEQUIST</v>
      </c>
      <c r="X65" s="25" t="s">
        <v>217</v>
      </c>
      <c r="Y65" s="25">
        <v>75243.0</v>
      </c>
      <c r="Z65" s="25" t="str">
        <f>IFERROR(__xludf.DUMMYFUNCTION("SPLIT(C65,""
"")"),"Applequist, Chris")</f>
        <v>Applequist, Chris</v>
      </c>
      <c r="AA65" s="25" t="str">
        <f>IFERROR(__xludf.DUMMYFUNCTION("""COMPUTED_VALUE"""),"9034 Meadowknoll Dr.")</f>
        <v>9034 Meadowknoll Dr.</v>
      </c>
      <c r="AB65" s="25" t="str">
        <f>IFERROR(__xludf.DUMMYFUNCTION("""COMPUTED_VALUE"""),"Dallas, TX 75243")</f>
        <v>Dallas, TX 75243</v>
      </c>
      <c r="AC65" s="24" t="s">
        <v>215</v>
      </c>
      <c r="AD65" s="25"/>
      <c r="AE65" s="25"/>
      <c r="AF65" s="25"/>
      <c r="AG65" s="40" t="s">
        <v>60</v>
      </c>
      <c r="AH65" s="42">
        <v>2441.0</v>
      </c>
      <c r="AI65" s="40" t="s">
        <v>61</v>
      </c>
      <c r="AJ65" s="27">
        <v>950.0</v>
      </c>
      <c r="AK65" s="31" t="s">
        <v>21</v>
      </c>
      <c r="AL65" s="43">
        <v>44741.0</v>
      </c>
      <c r="AM65" s="44">
        <v>44756.4640625</v>
      </c>
      <c r="AN65" s="30">
        <v>2.0</v>
      </c>
      <c r="AO65" s="40"/>
      <c r="AP65" s="40"/>
      <c r="AQ65" s="40"/>
      <c r="AR65" s="40"/>
      <c r="AS65" s="31">
        <f>IFERROR(__xludf.DUMMYFUNCTION("""COMPUTED_VALUE"""),1629.0)</f>
        <v>1629</v>
      </c>
      <c r="AT65" s="45">
        <f t="shared" si="6"/>
        <v>500</v>
      </c>
      <c r="AU65" s="40"/>
      <c r="AV65" s="46" t="str">
        <f>IFERROR(__xludf.DUMMYFUNCTION("""COMPUTED_VALUE"""),"Bernbaum")</f>
        <v>Bernbaum</v>
      </c>
      <c r="AW65" s="46">
        <f t="shared" si="7"/>
        <v>250</v>
      </c>
      <c r="AX65" s="47">
        <f t="shared" ref="AX65:BQ65" si="263">SUMIFS($AJ:$AJ,$V:$V,$AV65,$AK:$AK,AX$2)</f>
        <v>0</v>
      </c>
      <c r="AY65" s="48">
        <f t="shared" si="263"/>
        <v>0</v>
      </c>
      <c r="AZ65" s="48">
        <f t="shared" si="263"/>
        <v>0</v>
      </c>
      <c r="BA65" s="48">
        <f t="shared" si="263"/>
        <v>0</v>
      </c>
      <c r="BB65" s="48">
        <f t="shared" si="263"/>
        <v>0</v>
      </c>
      <c r="BC65" s="48">
        <f t="shared" si="263"/>
        <v>0</v>
      </c>
      <c r="BD65" s="48">
        <f t="shared" si="263"/>
        <v>0</v>
      </c>
      <c r="BE65" s="48">
        <f t="shared" si="263"/>
        <v>0</v>
      </c>
      <c r="BF65" s="48">
        <f t="shared" si="263"/>
        <v>0</v>
      </c>
      <c r="BG65" s="48">
        <f t="shared" si="263"/>
        <v>0</v>
      </c>
      <c r="BH65" s="48">
        <f t="shared" si="263"/>
        <v>250</v>
      </c>
      <c r="BI65" s="48">
        <f t="shared" si="263"/>
        <v>0</v>
      </c>
      <c r="BJ65" s="48">
        <f t="shared" si="263"/>
        <v>0</v>
      </c>
      <c r="BK65" s="48">
        <f t="shared" si="263"/>
        <v>0</v>
      </c>
      <c r="BL65" s="48">
        <f t="shared" si="263"/>
        <v>0</v>
      </c>
      <c r="BM65" s="48">
        <f t="shared" si="263"/>
        <v>0</v>
      </c>
      <c r="BN65" s="48">
        <f t="shared" si="263"/>
        <v>0</v>
      </c>
      <c r="BO65" s="48">
        <f t="shared" si="263"/>
        <v>0</v>
      </c>
      <c r="BP65" s="48">
        <f t="shared" si="263"/>
        <v>0</v>
      </c>
      <c r="BQ65" s="48">
        <f t="shared" si="263"/>
        <v>0</v>
      </c>
      <c r="BR65" s="36">
        <f t="shared" si="9"/>
        <v>0</v>
      </c>
      <c r="BS65" s="38">
        <f t="shared" si="10"/>
        <v>1</v>
      </c>
      <c r="BT65" s="49">
        <f t="shared" si="11"/>
        <v>0</v>
      </c>
      <c r="BU65" s="38">
        <f t="shared" si="12"/>
        <v>1000</v>
      </c>
      <c r="BV65" s="46" t="str">
        <f>IFERROR(__xludf.DUMMYFUNCTION("""COMPUTED_VALUE"""),"Bernbaum")</f>
        <v>Bernbaum</v>
      </c>
      <c r="BW65" s="46">
        <f t="shared" si="13"/>
        <v>250</v>
      </c>
      <c r="BX65" s="47">
        <f t="shared" ref="BX65:CA65" si="264">AX65-$BU65</f>
        <v>-1000</v>
      </c>
      <c r="BY65" s="47">
        <f t="shared" si="264"/>
        <v>-1000</v>
      </c>
      <c r="BZ65" s="47">
        <f t="shared" si="264"/>
        <v>-1000</v>
      </c>
      <c r="CA65" s="47">
        <f t="shared" si="264"/>
        <v>-1000</v>
      </c>
      <c r="CB65" s="47">
        <f t="shared" si="15"/>
        <v>-10000</v>
      </c>
      <c r="CC65" s="47">
        <f t="shared" ref="CC65:CQ65" si="265">BC65-$BU65</f>
        <v>-1000</v>
      </c>
      <c r="CD65" s="47">
        <f t="shared" si="265"/>
        <v>-1000</v>
      </c>
      <c r="CE65" s="47">
        <f t="shared" si="265"/>
        <v>-1000</v>
      </c>
      <c r="CF65" s="47">
        <f t="shared" si="265"/>
        <v>-1000</v>
      </c>
      <c r="CG65" s="47">
        <f t="shared" si="265"/>
        <v>-1000</v>
      </c>
      <c r="CH65" s="47">
        <f t="shared" si="265"/>
        <v>-750</v>
      </c>
      <c r="CI65" s="47">
        <f t="shared" si="265"/>
        <v>-1000</v>
      </c>
      <c r="CJ65" s="47">
        <f t="shared" si="265"/>
        <v>-1000</v>
      </c>
      <c r="CK65" s="47">
        <f t="shared" si="265"/>
        <v>-1000</v>
      </c>
      <c r="CL65" s="47">
        <f t="shared" si="265"/>
        <v>-1000</v>
      </c>
      <c r="CM65" s="47">
        <f t="shared" si="265"/>
        <v>-1000</v>
      </c>
      <c r="CN65" s="47">
        <f t="shared" si="265"/>
        <v>-1000</v>
      </c>
      <c r="CO65" s="47">
        <f t="shared" si="265"/>
        <v>-1000</v>
      </c>
      <c r="CP65" s="47">
        <f t="shared" si="265"/>
        <v>-1000</v>
      </c>
      <c r="CQ65" s="47">
        <f t="shared" si="265"/>
        <v>-1000</v>
      </c>
      <c r="CR65" s="47"/>
      <c r="CS65" s="47"/>
      <c r="CT65" s="47"/>
      <c r="CU65" s="50" t="str">
        <f>IFERROR(__xludf.DUMMYFUNCTION("""COMPUTED_VALUE"""),"greg &amp; Ashley
PO Box 1481
Texarkana, TX 75504        ")</f>
        <v>greg &amp; Ashley
PO Box 1481
Texarkana, TX 75504        </v>
      </c>
      <c r="CV65" s="51">
        <f>IFERROR(__xludf.DUMMYFUNCTION("IF(REGEXMATCH(UPPER(CU65), ""TX""),0,1)"),0.0)</f>
        <v>0</v>
      </c>
      <c r="CW65" s="51">
        <f>IFERROR(__xludf.DUMMYFUNCTION("IF(REGEXMATCH(UPPER(CU65), ""DALLAS""),0,1)"),1.0)</f>
        <v>1</v>
      </c>
      <c r="CX65" s="51">
        <f t="shared" si="17"/>
        <v>0</v>
      </c>
      <c r="CY65" s="51">
        <f t="shared" si="18"/>
        <v>20000</v>
      </c>
      <c r="CZ65" s="52" t="str">
        <f t="shared" si="19"/>
        <v>greg &amp; Ashley
PO Box 1481
Texarkana, TX 75504        </v>
      </c>
      <c r="DA65" s="53" t="str">
        <f>IFERROR(__xludf.DUMMYFUNCTION("""COMPUTED_VALUE"""),"512 Cool Meadow Ct
DeSoto, TX 75115         ")</f>
        <v>512 Cool Meadow Ct
DeSoto, TX 75115         </v>
      </c>
      <c r="DB65" s="52">
        <f t="shared" ref="DB65:DU65" si="266">SUMIFS($AJ:$AJ,$X:$X,$DA65,$AK:$AK,DB$2)</f>
        <v>0</v>
      </c>
      <c r="DC65" s="52">
        <f t="shared" si="266"/>
        <v>0</v>
      </c>
      <c r="DD65" s="52">
        <f t="shared" si="266"/>
        <v>0</v>
      </c>
      <c r="DE65" s="52">
        <f t="shared" si="266"/>
        <v>0</v>
      </c>
      <c r="DF65" s="52">
        <f t="shared" si="266"/>
        <v>250</v>
      </c>
      <c r="DG65" s="52">
        <f t="shared" si="266"/>
        <v>0</v>
      </c>
      <c r="DH65" s="52">
        <f t="shared" si="266"/>
        <v>0</v>
      </c>
      <c r="DI65" s="52">
        <f t="shared" si="266"/>
        <v>0</v>
      </c>
      <c r="DJ65" s="52">
        <f t="shared" si="266"/>
        <v>0</v>
      </c>
      <c r="DK65" s="52">
        <f t="shared" si="266"/>
        <v>0</v>
      </c>
      <c r="DL65" s="52">
        <f t="shared" si="266"/>
        <v>0</v>
      </c>
      <c r="DM65" s="52">
        <f t="shared" si="266"/>
        <v>0</v>
      </c>
      <c r="DN65" s="52">
        <f t="shared" si="266"/>
        <v>0</v>
      </c>
      <c r="DO65" s="52">
        <f t="shared" si="266"/>
        <v>0</v>
      </c>
      <c r="DP65" s="52">
        <f t="shared" si="266"/>
        <v>0</v>
      </c>
      <c r="DQ65" s="52">
        <f t="shared" si="266"/>
        <v>0</v>
      </c>
      <c r="DR65" s="52">
        <f t="shared" si="266"/>
        <v>0</v>
      </c>
      <c r="DS65" s="52">
        <f t="shared" si="266"/>
        <v>0</v>
      </c>
      <c r="DT65" s="52">
        <f t="shared" si="266"/>
        <v>0</v>
      </c>
      <c r="DU65" s="52">
        <f t="shared" si="266"/>
        <v>0</v>
      </c>
      <c r="DV65" s="52">
        <f t="shared" si="21"/>
        <v>250</v>
      </c>
      <c r="DW65" s="52">
        <f t="shared" si="22"/>
        <v>1</v>
      </c>
    </row>
    <row r="66">
      <c r="A66" s="22" t="s">
        <v>55</v>
      </c>
      <c r="B66" s="23" t="s">
        <v>56</v>
      </c>
      <c r="C66" s="31" t="s">
        <v>218</v>
      </c>
      <c r="D66" s="25" t="str">
        <f>IFERROR(__xludf.DUMMYFUNCTION("SPLIT(C66,"" "")"),"Aranza,")</f>
        <v>Aranza,</v>
      </c>
      <c r="E66" s="22" t="str">
        <f>IFERROR(__xludf.DUMMYFUNCTION("""COMPUTED_VALUE"""),"Anthony
1507")</f>
        <v>Anthony
1507</v>
      </c>
      <c r="F66" s="22" t="str">
        <f>IFERROR(__xludf.DUMMYFUNCTION("""COMPUTED_VALUE"""),"Stonehedge")</f>
        <v>Stonehedge</v>
      </c>
      <c r="G66" s="22" t="str">
        <f>IFERROR(__xludf.DUMMYFUNCTION("""COMPUTED_VALUE"""),"Bend")</f>
        <v>Bend</v>
      </c>
      <c r="H66" s="22" t="str">
        <f>IFERROR(__xludf.DUMMYFUNCTION("""COMPUTED_VALUE"""),"Dr.
Houston,")</f>
        <v>Dr.
Houston,</v>
      </c>
      <c r="I66" s="22" t="str">
        <f>IFERROR(__xludf.DUMMYFUNCTION("""COMPUTED_VALUE"""),"TX")</f>
        <v>TX</v>
      </c>
      <c r="J66" s="22">
        <f>IFERROR(__xludf.DUMMYFUNCTION("""COMPUTED_VALUE"""),77073.0)</f>
        <v>77073</v>
      </c>
      <c r="K66" s="22"/>
      <c r="L66" s="22"/>
      <c r="M66" s="22"/>
      <c r="N66" s="22"/>
      <c r="O66" s="22"/>
      <c r="P66" s="22"/>
      <c r="Q66" s="22"/>
      <c r="R66" s="22"/>
      <c r="S66" s="22"/>
      <c r="T66" s="22"/>
      <c r="U66" s="24" t="str">
        <f>IFERROR(__xludf.DUMMYFUNCTION("SPLIT(E66,""01234567890"")"),"Anthony
")</f>
        <v>Anthony
</v>
      </c>
      <c r="V66" s="24" t="str">
        <f>IFERROR(__xludf.DUMMYFUNCTION("SPLIT(D66,"","")"),"Aranza")</f>
        <v>Aranza</v>
      </c>
      <c r="W66" s="25" t="str">
        <f t="shared" si="1"/>
        <v>ANTHONY
 ARANZA</v>
      </c>
      <c r="X66" s="25" t="s">
        <v>219</v>
      </c>
      <c r="Y66" s="25">
        <v>77073.0</v>
      </c>
      <c r="Z66" s="25" t="str">
        <f>IFERROR(__xludf.DUMMYFUNCTION("SPLIT(C66,""
"")"),"Aranza, Anthony")</f>
        <v>Aranza, Anthony</v>
      </c>
      <c r="AA66" s="25" t="str">
        <f>IFERROR(__xludf.DUMMYFUNCTION("""COMPUTED_VALUE"""),"1507 Stonehedge Bend Dr.")</f>
        <v>1507 Stonehedge Bend Dr.</v>
      </c>
      <c r="AB66" s="25" t="str">
        <f>IFERROR(__xludf.DUMMYFUNCTION("""COMPUTED_VALUE"""),"Houston, TX 77073")</f>
        <v>Houston, TX 77073</v>
      </c>
      <c r="AC66" s="24" t="s">
        <v>220</v>
      </c>
      <c r="AD66" s="25"/>
      <c r="AE66" s="25"/>
      <c r="AF66" s="25"/>
      <c r="AG66" s="22" t="s">
        <v>60</v>
      </c>
      <c r="AH66" s="54">
        <v>2512.0</v>
      </c>
      <c r="AI66" s="22" t="s">
        <v>68</v>
      </c>
      <c r="AJ66" s="27">
        <v>1000.0</v>
      </c>
      <c r="AK66" s="31" t="s">
        <v>33</v>
      </c>
      <c r="AL66" s="28">
        <v>44907.0</v>
      </c>
      <c r="AM66" s="29">
        <v>44943.55297453704</v>
      </c>
      <c r="AN66" s="30">
        <v>2.0</v>
      </c>
      <c r="AO66" s="22"/>
      <c r="AP66" s="22"/>
      <c r="AQ66" s="22"/>
      <c r="AR66" s="22"/>
      <c r="AS66" s="31">
        <f>IFERROR(__xludf.DUMMYFUNCTION("""COMPUTED_VALUE"""),75224.0)</f>
        <v>75224</v>
      </c>
      <c r="AT66" s="45">
        <f t="shared" si="6"/>
        <v>2750</v>
      </c>
      <c r="AU66" s="22"/>
      <c r="AV66" s="57" t="str">
        <f>IFERROR(__xludf.DUMMYFUNCTION("""COMPUTED_VALUE"""),"Berry")</f>
        <v>Berry</v>
      </c>
      <c r="AW66" s="46">
        <f t="shared" si="7"/>
        <v>600</v>
      </c>
      <c r="AX66" s="47">
        <f t="shared" ref="AX66:BQ66" si="267">SUMIFS($AJ:$AJ,$V:$V,$AV66,$AK:$AK,AX$2)</f>
        <v>0</v>
      </c>
      <c r="AY66" s="48">
        <f t="shared" si="267"/>
        <v>0</v>
      </c>
      <c r="AZ66" s="48">
        <f t="shared" si="267"/>
        <v>0</v>
      </c>
      <c r="BA66" s="48">
        <f t="shared" si="267"/>
        <v>0</v>
      </c>
      <c r="BB66" s="48">
        <f t="shared" si="267"/>
        <v>600</v>
      </c>
      <c r="BC66" s="48">
        <f t="shared" si="267"/>
        <v>0</v>
      </c>
      <c r="BD66" s="48">
        <f t="shared" si="267"/>
        <v>0</v>
      </c>
      <c r="BE66" s="48">
        <f t="shared" si="267"/>
        <v>0</v>
      </c>
      <c r="BF66" s="48">
        <f t="shared" si="267"/>
        <v>0</v>
      </c>
      <c r="BG66" s="48">
        <f t="shared" si="267"/>
        <v>0</v>
      </c>
      <c r="BH66" s="48">
        <f t="shared" si="267"/>
        <v>0</v>
      </c>
      <c r="BI66" s="48">
        <f t="shared" si="267"/>
        <v>0</v>
      </c>
      <c r="BJ66" s="48">
        <f t="shared" si="267"/>
        <v>0</v>
      </c>
      <c r="BK66" s="48">
        <f t="shared" si="267"/>
        <v>0</v>
      </c>
      <c r="BL66" s="48">
        <f t="shared" si="267"/>
        <v>0</v>
      </c>
      <c r="BM66" s="48">
        <f t="shared" si="267"/>
        <v>0</v>
      </c>
      <c r="BN66" s="48">
        <f t="shared" si="267"/>
        <v>0</v>
      </c>
      <c r="BO66" s="48">
        <f t="shared" si="267"/>
        <v>0</v>
      </c>
      <c r="BP66" s="48">
        <f t="shared" si="267"/>
        <v>0</v>
      </c>
      <c r="BQ66" s="48">
        <f t="shared" si="267"/>
        <v>0</v>
      </c>
      <c r="BR66" s="36">
        <f t="shared" si="9"/>
        <v>0</v>
      </c>
      <c r="BS66" s="38">
        <f t="shared" si="10"/>
        <v>1</v>
      </c>
      <c r="BT66" s="49">
        <f t="shared" si="11"/>
        <v>0</v>
      </c>
      <c r="BU66" s="38">
        <f t="shared" si="12"/>
        <v>1000</v>
      </c>
      <c r="BV66" s="57" t="str">
        <f>IFERROR(__xludf.DUMMYFUNCTION("""COMPUTED_VALUE"""),"Berry")</f>
        <v>Berry</v>
      </c>
      <c r="BW66" s="46">
        <f t="shared" si="13"/>
        <v>600</v>
      </c>
      <c r="BX66" s="47">
        <f t="shared" ref="BX66:CA66" si="268">AX66-$BU66</f>
        <v>-1000</v>
      </c>
      <c r="BY66" s="47">
        <f t="shared" si="268"/>
        <v>-1000</v>
      </c>
      <c r="BZ66" s="47">
        <f t="shared" si="268"/>
        <v>-1000</v>
      </c>
      <c r="CA66" s="47">
        <f t="shared" si="268"/>
        <v>-1000</v>
      </c>
      <c r="CB66" s="47">
        <f t="shared" si="15"/>
        <v>-9400</v>
      </c>
      <c r="CC66" s="47">
        <f t="shared" ref="CC66:CQ66" si="269">BC66-$BU66</f>
        <v>-1000</v>
      </c>
      <c r="CD66" s="47">
        <f t="shared" si="269"/>
        <v>-1000</v>
      </c>
      <c r="CE66" s="47">
        <f t="shared" si="269"/>
        <v>-1000</v>
      </c>
      <c r="CF66" s="47">
        <f t="shared" si="269"/>
        <v>-1000</v>
      </c>
      <c r="CG66" s="47">
        <f t="shared" si="269"/>
        <v>-1000</v>
      </c>
      <c r="CH66" s="47">
        <f t="shared" si="269"/>
        <v>-1000</v>
      </c>
      <c r="CI66" s="47">
        <f t="shared" si="269"/>
        <v>-1000</v>
      </c>
      <c r="CJ66" s="47">
        <f t="shared" si="269"/>
        <v>-1000</v>
      </c>
      <c r="CK66" s="47">
        <f t="shared" si="269"/>
        <v>-1000</v>
      </c>
      <c r="CL66" s="47">
        <f t="shared" si="269"/>
        <v>-1000</v>
      </c>
      <c r="CM66" s="47">
        <f t="shared" si="269"/>
        <v>-1000</v>
      </c>
      <c r="CN66" s="47">
        <f t="shared" si="269"/>
        <v>-1000</v>
      </c>
      <c r="CO66" s="47">
        <f t="shared" si="269"/>
        <v>-1000</v>
      </c>
      <c r="CP66" s="47">
        <f t="shared" si="269"/>
        <v>-1000</v>
      </c>
      <c r="CQ66" s="47">
        <f t="shared" si="269"/>
        <v>-1000</v>
      </c>
      <c r="CR66" s="47"/>
      <c r="CS66" s="47"/>
      <c r="CT66" s="47"/>
      <c r="CU66" s="50" t="str">
        <f>IFERROR(__xludf.DUMMYFUNCTION("""COMPUTED_VALUE"""),"1535 Camino Lago
Irving, TX 75039          ")</f>
        <v>1535 Camino Lago
Irving, TX 75039          </v>
      </c>
      <c r="CV66" s="51">
        <f>IFERROR(__xludf.DUMMYFUNCTION("IF(REGEXMATCH(UPPER(CU66), ""TX""),0,1)"),0.0)</f>
        <v>0</v>
      </c>
      <c r="CW66" s="51">
        <f>IFERROR(__xludf.DUMMYFUNCTION("IF(REGEXMATCH(UPPER(CU66), ""DALLAS""),0,1)"),1.0)</f>
        <v>1</v>
      </c>
      <c r="CX66" s="51">
        <f t="shared" si="17"/>
        <v>0</v>
      </c>
      <c r="CY66" s="51">
        <f t="shared" si="18"/>
        <v>50</v>
      </c>
      <c r="CZ66" s="52" t="str">
        <f t="shared" si="19"/>
        <v>1535 Camino Lago
Irving, TX 75039          </v>
      </c>
      <c r="DA66" s="53" t="str">
        <f>IFERROR(__xludf.DUMMYFUNCTION("""COMPUTED_VALUE"""),"12601 Natalie Dr
Balch Springs, TX 75180         ")</f>
        <v>12601 Natalie Dr
Balch Springs, TX 75180         </v>
      </c>
      <c r="DB66" s="52">
        <f t="shared" ref="DB66:DU66" si="270">SUMIFS($AJ:$AJ,$X:$X,$DA66,$AK:$AK,DB$2)</f>
        <v>0</v>
      </c>
      <c r="DC66" s="52">
        <f t="shared" si="270"/>
        <v>0</v>
      </c>
      <c r="DD66" s="52">
        <f t="shared" si="270"/>
        <v>0</v>
      </c>
      <c r="DE66" s="52">
        <f t="shared" si="270"/>
        <v>0</v>
      </c>
      <c r="DF66" s="52">
        <f t="shared" si="270"/>
        <v>50</v>
      </c>
      <c r="DG66" s="52">
        <f t="shared" si="270"/>
        <v>0</v>
      </c>
      <c r="DH66" s="52">
        <f t="shared" si="270"/>
        <v>0</v>
      </c>
      <c r="DI66" s="52">
        <f t="shared" si="270"/>
        <v>0</v>
      </c>
      <c r="DJ66" s="52">
        <f t="shared" si="270"/>
        <v>0</v>
      </c>
      <c r="DK66" s="52">
        <f t="shared" si="270"/>
        <v>0</v>
      </c>
      <c r="DL66" s="52">
        <f t="shared" si="270"/>
        <v>0</v>
      </c>
      <c r="DM66" s="52">
        <f t="shared" si="270"/>
        <v>0</v>
      </c>
      <c r="DN66" s="52">
        <f t="shared" si="270"/>
        <v>0</v>
      </c>
      <c r="DO66" s="52">
        <f t="shared" si="270"/>
        <v>0</v>
      </c>
      <c r="DP66" s="52">
        <f t="shared" si="270"/>
        <v>0</v>
      </c>
      <c r="DQ66" s="52">
        <f t="shared" si="270"/>
        <v>0</v>
      </c>
      <c r="DR66" s="52">
        <f t="shared" si="270"/>
        <v>0</v>
      </c>
      <c r="DS66" s="52">
        <f t="shared" si="270"/>
        <v>0</v>
      </c>
      <c r="DT66" s="52">
        <f t="shared" si="270"/>
        <v>0</v>
      </c>
      <c r="DU66" s="52">
        <f t="shared" si="270"/>
        <v>0</v>
      </c>
      <c r="DV66" s="52">
        <f t="shared" si="21"/>
        <v>50</v>
      </c>
      <c r="DW66" s="52">
        <f t="shared" si="22"/>
        <v>1</v>
      </c>
    </row>
    <row r="67">
      <c r="A67" s="41" t="s">
        <v>64</v>
      </c>
      <c r="B67" s="41" t="s">
        <v>56</v>
      </c>
      <c r="C67" s="31" t="s">
        <v>221</v>
      </c>
      <c r="D67" s="25" t="str">
        <f>IFERROR(__xludf.DUMMYFUNCTION("SPLIT(C67,"" "")"),"Aranza,")</f>
        <v>Aranza,</v>
      </c>
      <c r="E67" s="40" t="str">
        <f>IFERROR(__xludf.DUMMYFUNCTION("""COMPUTED_VALUE"""),"Anthony
1507")</f>
        <v>Anthony
1507</v>
      </c>
      <c r="F67" s="40" t="str">
        <f>IFERROR(__xludf.DUMMYFUNCTION("""COMPUTED_VALUE"""),"Stonehedge")</f>
        <v>Stonehedge</v>
      </c>
      <c r="G67" s="40" t="str">
        <f>IFERROR(__xludf.DUMMYFUNCTION("""COMPUTED_VALUE"""),"Bend")</f>
        <v>Bend</v>
      </c>
      <c r="H67" s="40" t="str">
        <f>IFERROR(__xludf.DUMMYFUNCTION("""COMPUTED_VALUE"""),"Dr
Houston,")</f>
        <v>Dr
Houston,</v>
      </c>
      <c r="I67" s="40" t="str">
        <f>IFERROR(__xludf.DUMMYFUNCTION("""COMPUTED_VALUE"""),"TX")</f>
        <v>TX</v>
      </c>
      <c r="J67" s="40">
        <f>IFERROR(__xludf.DUMMYFUNCTION("""COMPUTED_VALUE"""),77073.0)</f>
        <v>77073</v>
      </c>
      <c r="K67" s="40"/>
      <c r="L67" s="40"/>
      <c r="M67" s="40"/>
      <c r="N67" s="40"/>
      <c r="O67" s="40"/>
      <c r="P67" s="40"/>
      <c r="Q67" s="40"/>
      <c r="R67" s="40"/>
      <c r="S67" s="40"/>
      <c r="T67" s="40"/>
      <c r="U67" s="24" t="str">
        <f>IFERROR(__xludf.DUMMYFUNCTION("SPLIT(E67,""01234567890"")"),"Anthony
")</f>
        <v>Anthony
</v>
      </c>
      <c r="V67" s="24" t="str">
        <f>IFERROR(__xludf.DUMMYFUNCTION("SPLIT(D67,"","")"),"Aranza")</f>
        <v>Aranza</v>
      </c>
      <c r="W67" s="25" t="str">
        <f t="shared" si="1"/>
        <v>ANTHONY
 ARANZA</v>
      </c>
      <c r="X67" s="25" t="s">
        <v>222</v>
      </c>
      <c r="Y67" s="25">
        <v>77073.0</v>
      </c>
      <c r="Z67" s="25" t="str">
        <f>IFERROR(__xludf.DUMMYFUNCTION("SPLIT(C67,""
"")"),"Aranza, Anthony")</f>
        <v>Aranza, Anthony</v>
      </c>
      <c r="AA67" s="25" t="str">
        <f>IFERROR(__xludf.DUMMYFUNCTION("""COMPUTED_VALUE"""),"1507 Stonehedge Bend Dr")</f>
        <v>1507 Stonehedge Bend Dr</v>
      </c>
      <c r="AB67" s="25" t="str">
        <f>IFERROR(__xludf.DUMMYFUNCTION("""COMPUTED_VALUE"""),"Houston, TX 77073")</f>
        <v>Houston, TX 77073</v>
      </c>
      <c r="AC67" s="24" t="s">
        <v>220</v>
      </c>
      <c r="AD67" s="25"/>
      <c r="AE67" s="25"/>
      <c r="AF67" s="25"/>
      <c r="AG67" s="40" t="s">
        <v>60</v>
      </c>
      <c r="AH67" s="42">
        <v>2480.0</v>
      </c>
      <c r="AI67" s="40" t="s">
        <v>68</v>
      </c>
      <c r="AJ67" s="27">
        <v>1000.0</v>
      </c>
      <c r="AK67" s="31" t="s">
        <v>22</v>
      </c>
      <c r="AL67" s="43">
        <v>44907.0</v>
      </c>
      <c r="AM67" s="44">
        <v>44942.7278125</v>
      </c>
      <c r="AN67" s="30">
        <v>2.0</v>
      </c>
      <c r="AO67" s="40"/>
      <c r="AP67" s="40"/>
      <c r="AQ67" s="40"/>
      <c r="AR67" s="40"/>
      <c r="AS67" s="31">
        <f>IFERROR(__xludf.DUMMYFUNCTION("""COMPUTED_VALUE"""),75022.0)</f>
        <v>75022</v>
      </c>
      <c r="AT67" s="45">
        <f t="shared" si="6"/>
        <v>500</v>
      </c>
      <c r="AU67" s="40"/>
      <c r="AV67" s="46" t="str">
        <f>IFERROR(__xludf.DUMMYFUNCTION("""COMPUTED_VALUE"""),"Best")</f>
        <v>Best</v>
      </c>
      <c r="AW67" s="46">
        <f t="shared" si="7"/>
        <v>6000</v>
      </c>
      <c r="AX67" s="47">
        <f t="shared" ref="AX67:BQ67" si="271">SUMIFS($AJ:$AJ,$V:$V,$AV67,$AK:$AK,AX$2)</f>
        <v>0</v>
      </c>
      <c r="AY67" s="48">
        <f t="shared" si="271"/>
        <v>0</v>
      </c>
      <c r="AZ67" s="48">
        <f t="shared" si="271"/>
        <v>2000</v>
      </c>
      <c r="BA67" s="48">
        <f t="shared" si="271"/>
        <v>0</v>
      </c>
      <c r="BB67" s="48">
        <f t="shared" si="271"/>
        <v>4000</v>
      </c>
      <c r="BC67" s="48">
        <f t="shared" si="271"/>
        <v>0</v>
      </c>
      <c r="BD67" s="48">
        <f t="shared" si="271"/>
        <v>0</v>
      </c>
      <c r="BE67" s="48">
        <f t="shared" si="271"/>
        <v>0</v>
      </c>
      <c r="BF67" s="48">
        <f t="shared" si="271"/>
        <v>0</v>
      </c>
      <c r="BG67" s="48">
        <f t="shared" si="271"/>
        <v>0</v>
      </c>
      <c r="BH67" s="48">
        <f t="shared" si="271"/>
        <v>0</v>
      </c>
      <c r="BI67" s="48">
        <f t="shared" si="271"/>
        <v>0</v>
      </c>
      <c r="BJ67" s="48">
        <f t="shared" si="271"/>
        <v>0</v>
      </c>
      <c r="BK67" s="48">
        <f t="shared" si="271"/>
        <v>0</v>
      </c>
      <c r="BL67" s="48">
        <f t="shared" si="271"/>
        <v>0</v>
      </c>
      <c r="BM67" s="48">
        <f t="shared" si="271"/>
        <v>0</v>
      </c>
      <c r="BN67" s="48">
        <f t="shared" si="271"/>
        <v>0</v>
      </c>
      <c r="BO67" s="48">
        <f t="shared" si="271"/>
        <v>0</v>
      </c>
      <c r="BP67" s="48">
        <f t="shared" si="271"/>
        <v>0</v>
      </c>
      <c r="BQ67" s="48">
        <f t="shared" si="271"/>
        <v>0</v>
      </c>
      <c r="BR67" s="36">
        <f t="shared" si="9"/>
        <v>0</v>
      </c>
      <c r="BS67" s="38">
        <f t="shared" si="10"/>
        <v>1</v>
      </c>
      <c r="BT67" s="49">
        <f t="shared" si="11"/>
        <v>0</v>
      </c>
      <c r="BU67" s="38">
        <f t="shared" si="12"/>
        <v>1000</v>
      </c>
      <c r="BV67" s="46" t="str">
        <f>IFERROR(__xludf.DUMMYFUNCTION("""COMPUTED_VALUE"""),"Best")</f>
        <v>Best</v>
      </c>
      <c r="BW67" s="46">
        <f t="shared" si="13"/>
        <v>6000</v>
      </c>
      <c r="BX67" s="47">
        <f t="shared" ref="BX67:CA67" si="272">AX67-$BU67</f>
        <v>-1000</v>
      </c>
      <c r="BY67" s="47">
        <f t="shared" si="272"/>
        <v>-1000</v>
      </c>
      <c r="BZ67" s="47">
        <f t="shared" si="272"/>
        <v>1000</v>
      </c>
      <c r="CA67" s="47">
        <f t="shared" si="272"/>
        <v>-1000</v>
      </c>
      <c r="CB67" s="47">
        <f t="shared" si="15"/>
        <v>-6000</v>
      </c>
      <c r="CC67" s="47">
        <f t="shared" ref="CC67:CQ67" si="273">BC67-$BU67</f>
        <v>-1000</v>
      </c>
      <c r="CD67" s="47">
        <f t="shared" si="273"/>
        <v>-1000</v>
      </c>
      <c r="CE67" s="47">
        <f t="shared" si="273"/>
        <v>-1000</v>
      </c>
      <c r="CF67" s="47">
        <f t="shared" si="273"/>
        <v>-1000</v>
      </c>
      <c r="CG67" s="47">
        <f t="shared" si="273"/>
        <v>-1000</v>
      </c>
      <c r="CH67" s="47">
        <f t="shared" si="273"/>
        <v>-1000</v>
      </c>
      <c r="CI67" s="47">
        <f t="shared" si="273"/>
        <v>-1000</v>
      </c>
      <c r="CJ67" s="47">
        <f t="shared" si="273"/>
        <v>-1000</v>
      </c>
      <c r="CK67" s="47">
        <f t="shared" si="273"/>
        <v>-1000</v>
      </c>
      <c r="CL67" s="47">
        <f t="shared" si="273"/>
        <v>-1000</v>
      </c>
      <c r="CM67" s="47">
        <f t="shared" si="273"/>
        <v>-1000</v>
      </c>
      <c r="CN67" s="47">
        <f t="shared" si="273"/>
        <v>-1000</v>
      </c>
      <c r="CO67" s="47">
        <f t="shared" si="273"/>
        <v>-1000</v>
      </c>
      <c r="CP67" s="47">
        <f t="shared" si="273"/>
        <v>-1000</v>
      </c>
      <c r="CQ67" s="47">
        <f t="shared" si="273"/>
        <v>-1000</v>
      </c>
      <c r="CR67" s="47"/>
      <c r="CS67" s="47"/>
      <c r="CT67" s="47"/>
      <c r="CU67" s="50" t="str">
        <f>IFERROR(__xludf.DUMMYFUNCTION("""COMPUTED_VALUE"""),"
 Box 496539
Garland, TX 75049          ")</f>
        <v>
 Box 496539
Garland, TX 75049          </v>
      </c>
      <c r="CV67" s="51">
        <f>IFERROR(__xludf.DUMMYFUNCTION("IF(REGEXMATCH(UPPER(CU67), ""TX""),0,1)"),0.0)</f>
        <v>0</v>
      </c>
      <c r="CW67" s="51">
        <f>IFERROR(__xludf.DUMMYFUNCTION("IF(REGEXMATCH(UPPER(CU67), ""DALLAS""),0,1)"),1.0)</f>
        <v>1</v>
      </c>
      <c r="CX67" s="51">
        <f t="shared" si="17"/>
        <v>0</v>
      </c>
      <c r="CY67" s="51">
        <f t="shared" si="18"/>
        <v>1000</v>
      </c>
      <c r="CZ67" s="52" t="str">
        <f t="shared" si="19"/>
        <v>
 Box 496539
Garland, TX 75049          </v>
      </c>
      <c r="DA67" s="53" t="str">
        <f>IFERROR(__xludf.DUMMYFUNCTION("""COMPUTED_VALUE"""),"2739 Vela
Grand Prairie, TX 75054          ")</f>
        <v>2739 Vela
Grand Prairie, TX 75054          </v>
      </c>
      <c r="DB67" s="52">
        <f t="shared" ref="DB67:DU67" si="274">SUMIFS($AJ:$AJ,$X:$X,$DA67,$AK:$AK,DB$2)</f>
        <v>0</v>
      </c>
      <c r="DC67" s="52">
        <f t="shared" si="274"/>
        <v>0</v>
      </c>
      <c r="DD67" s="52">
        <f t="shared" si="274"/>
        <v>0</v>
      </c>
      <c r="DE67" s="52">
        <f t="shared" si="274"/>
        <v>0</v>
      </c>
      <c r="DF67" s="52">
        <f t="shared" si="274"/>
        <v>250</v>
      </c>
      <c r="DG67" s="52">
        <f t="shared" si="274"/>
        <v>0</v>
      </c>
      <c r="DH67" s="52">
        <f t="shared" si="274"/>
        <v>0</v>
      </c>
      <c r="DI67" s="52">
        <f t="shared" si="274"/>
        <v>0</v>
      </c>
      <c r="DJ67" s="52">
        <f t="shared" si="274"/>
        <v>0</v>
      </c>
      <c r="DK67" s="52">
        <f t="shared" si="274"/>
        <v>0</v>
      </c>
      <c r="DL67" s="52">
        <f t="shared" si="274"/>
        <v>0</v>
      </c>
      <c r="DM67" s="52">
        <f t="shared" si="274"/>
        <v>0</v>
      </c>
      <c r="DN67" s="52">
        <f t="shared" si="274"/>
        <v>0</v>
      </c>
      <c r="DO67" s="52">
        <f t="shared" si="274"/>
        <v>0</v>
      </c>
      <c r="DP67" s="52">
        <f t="shared" si="274"/>
        <v>0</v>
      </c>
      <c r="DQ67" s="52">
        <f t="shared" si="274"/>
        <v>0</v>
      </c>
      <c r="DR67" s="52">
        <f t="shared" si="274"/>
        <v>0</v>
      </c>
      <c r="DS67" s="52">
        <f t="shared" si="274"/>
        <v>0</v>
      </c>
      <c r="DT67" s="52">
        <f t="shared" si="274"/>
        <v>0</v>
      </c>
      <c r="DU67" s="52">
        <f t="shared" si="274"/>
        <v>0</v>
      </c>
      <c r="DV67" s="52">
        <f t="shared" si="21"/>
        <v>250</v>
      </c>
      <c r="DW67" s="52">
        <f t="shared" si="22"/>
        <v>1</v>
      </c>
    </row>
    <row r="68">
      <c r="A68" s="22" t="s">
        <v>55</v>
      </c>
      <c r="B68" s="23" t="s">
        <v>56</v>
      </c>
      <c r="C68" s="31" t="s">
        <v>223</v>
      </c>
      <c r="D68" s="25" t="str">
        <f>IFERROR(__xludf.DUMMYFUNCTION("SPLIT(C68,"" "")"),"Aranza,")</f>
        <v>Aranza,</v>
      </c>
      <c r="E68" s="22" t="str">
        <f>IFERROR(__xludf.DUMMYFUNCTION("""COMPUTED_VALUE"""),"Gilbert
000")</f>
        <v>Gilbert
000</v>
      </c>
      <c r="F68" s="22" t="str">
        <f>IFERROR(__xludf.DUMMYFUNCTION("""COMPUTED_VALUE"""),"P.O")</f>
        <v>P.O</v>
      </c>
      <c r="G68" s="22" t="str">
        <f>IFERROR(__xludf.DUMMYFUNCTION("""COMPUTED_VALUE"""),"Box")</f>
        <v>Box</v>
      </c>
      <c r="H68" s="22" t="str">
        <f>IFERROR(__xludf.DUMMYFUNCTION("""COMPUTED_VALUE"""),"601527
Dallas,")</f>
        <v>601527
Dallas,</v>
      </c>
      <c r="I68" s="22" t="str">
        <f>IFERROR(__xludf.DUMMYFUNCTION("""COMPUTED_VALUE"""),"TX")</f>
        <v>TX</v>
      </c>
      <c r="J68" s="22">
        <f>IFERROR(__xludf.DUMMYFUNCTION("""COMPUTED_VALUE"""),75360.0)</f>
        <v>75360</v>
      </c>
      <c r="K68" s="22"/>
      <c r="L68" s="22"/>
      <c r="M68" s="22"/>
      <c r="N68" s="22"/>
      <c r="O68" s="22"/>
      <c r="P68" s="22"/>
      <c r="Q68" s="22"/>
      <c r="R68" s="22"/>
      <c r="S68" s="22"/>
      <c r="T68" s="22"/>
      <c r="U68" s="24" t="str">
        <f>IFERROR(__xludf.DUMMYFUNCTION("SPLIT(E68,""01234567890"")"),"Gilbert
")</f>
        <v>Gilbert
</v>
      </c>
      <c r="V68" s="24" t="str">
        <f>IFERROR(__xludf.DUMMYFUNCTION("SPLIT(D68,"","")"),"Aranza")</f>
        <v>Aranza</v>
      </c>
      <c r="W68" s="25" t="str">
        <f t="shared" si="1"/>
        <v>GILBERT
 ARANZA</v>
      </c>
      <c r="X68" s="25" t="s">
        <v>224</v>
      </c>
      <c r="Y68" s="25">
        <v>601527.0</v>
      </c>
      <c r="Z68" s="25" t="str">
        <f>IFERROR(__xludf.DUMMYFUNCTION("SPLIT(C68,""
"")"),"Aranza, Gilbert")</f>
        <v>Aranza, Gilbert</v>
      </c>
      <c r="AA68" s="25" t="str">
        <f>IFERROR(__xludf.DUMMYFUNCTION("""COMPUTED_VALUE"""),"000 P.O Box 601527")</f>
        <v>000 P.O Box 601527</v>
      </c>
      <c r="AB68" s="25" t="str">
        <f>IFERROR(__xludf.DUMMYFUNCTION("""COMPUTED_VALUE"""),"Dallas, TX 75360")</f>
        <v>Dallas, TX 75360</v>
      </c>
      <c r="AC68" s="24" t="s">
        <v>225</v>
      </c>
      <c r="AD68" s="25"/>
      <c r="AE68" s="25"/>
      <c r="AF68" s="25"/>
      <c r="AG68" s="22" t="s">
        <v>60</v>
      </c>
      <c r="AH68" s="54">
        <v>2493.0</v>
      </c>
      <c r="AI68" s="22" t="s">
        <v>68</v>
      </c>
      <c r="AJ68" s="27">
        <v>1000.0</v>
      </c>
      <c r="AK68" s="31" t="s">
        <v>34</v>
      </c>
      <c r="AL68" s="28">
        <v>44925.0</v>
      </c>
      <c r="AM68" s="29">
        <v>44943.30391203704</v>
      </c>
      <c r="AN68" s="30">
        <v>2.0</v>
      </c>
      <c r="AO68" s="22"/>
      <c r="AP68" s="22"/>
      <c r="AQ68" s="22"/>
      <c r="AR68" s="22"/>
      <c r="AS68" s="31">
        <f>IFERROR(__xludf.DUMMYFUNCTION("""COMPUTED_VALUE"""),10.0)</f>
        <v>10</v>
      </c>
      <c r="AT68" s="45">
        <f t="shared" si="6"/>
        <v>200</v>
      </c>
      <c r="AU68" s="22"/>
      <c r="AV68" s="57" t="str">
        <f>IFERROR(__xludf.DUMMYFUNCTION("""COMPUTED_VALUE"""),"Beth")</f>
        <v>Beth</v>
      </c>
      <c r="AW68" s="46">
        <f t="shared" si="7"/>
        <v>2000</v>
      </c>
      <c r="AX68" s="47">
        <f t="shared" ref="AX68:BQ68" si="275">SUMIFS($AJ:$AJ,$V:$V,$AV68,$AK:$AK,AX$2)</f>
        <v>0</v>
      </c>
      <c r="AY68" s="48">
        <f t="shared" si="275"/>
        <v>2000</v>
      </c>
      <c r="AZ68" s="48">
        <f t="shared" si="275"/>
        <v>0</v>
      </c>
      <c r="BA68" s="48">
        <f t="shared" si="275"/>
        <v>0</v>
      </c>
      <c r="BB68" s="48">
        <f t="shared" si="275"/>
        <v>0</v>
      </c>
      <c r="BC68" s="48">
        <f t="shared" si="275"/>
        <v>0</v>
      </c>
      <c r="BD68" s="48">
        <f t="shared" si="275"/>
        <v>0</v>
      </c>
      <c r="BE68" s="48">
        <f t="shared" si="275"/>
        <v>0</v>
      </c>
      <c r="BF68" s="48">
        <f t="shared" si="275"/>
        <v>0</v>
      </c>
      <c r="BG68" s="48">
        <f t="shared" si="275"/>
        <v>0</v>
      </c>
      <c r="BH68" s="48">
        <f t="shared" si="275"/>
        <v>0</v>
      </c>
      <c r="BI68" s="48">
        <f t="shared" si="275"/>
        <v>0</v>
      </c>
      <c r="BJ68" s="48">
        <f t="shared" si="275"/>
        <v>0</v>
      </c>
      <c r="BK68" s="48">
        <f t="shared" si="275"/>
        <v>0</v>
      </c>
      <c r="BL68" s="48">
        <f t="shared" si="275"/>
        <v>0</v>
      </c>
      <c r="BM68" s="48">
        <f t="shared" si="275"/>
        <v>0</v>
      </c>
      <c r="BN68" s="48">
        <f t="shared" si="275"/>
        <v>0</v>
      </c>
      <c r="BO68" s="48">
        <f t="shared" si="275"/>
        <v>0</v>
      </c>
      <c r="BP68" s="48">
        <f t="shared" si="275"/>
        <v>0</v>
      </c>
      <c r="BQ68" s="48">
        <f t="shared" si="275"/>
        <v>0</v>
      </c>
      <c r="BR68" s="36">
        <f t="shared" si="9"/>
        <v>0</v>
      </c>
      <c r="BS68" s="38">
        <f t="shared" si="10"/>
        <v>1</v>
      </c>
      <c r="BT68" s="49">
        <f t="shared" si="11"/>
        <v>0</v>
      </c>
      <c r="BU68" s="38">
        <f t="shared" si="12"/>
        <v>1000</v>
      </c>
      <c r="BV68" s="57" t="str">
        <f>IFERROR(__xludf.DUMMYFUNCTION("""COMPUTED_VALUE"""),"Beth")</f>
        <v>Beth</v>
      </c>
      <c r="BW68" s="46">
        <f t="shared" si="13"/>
        <v>2000</v>
      </c>
      <c r="BX68" s="47">
        <f t="shared" ref="BX68:CA68" si="276">AX68-$BU68</f>
        <v>-1000</v>
      </c>
      <c r="BY68" s="47">
        <f t="shared" si="276"/>
        <v>1000</v>
      </c>
      <c r="BZ68" s="47">
        <f t="shared" si="276"/>
        <v>-1000</v>
      </c>
      <c r="CA68" s="47">
        <f t="shared" si="276"/>
        <v>-1000</v>
      </c>
      <c r="CB68" s="47">
        <f t="shared" si="15"/>
        <v>-10000</v>
      </c>
      <c r="CC68" s="47">
        <f t="shared" ref="CC68:CQ68" si="277">BC68-$BU68</f>
        <v>-1000</v>
      </c>
      <c r="CD68" s="47">
        <f t="shared" si="277"/>
        <v>-1000</v>
      </c>
      <c r="CE68" s="47">
        <f t="shared" si="277"/>
        <v>-1000</v>
      </c>
      <c r="CF68" s="47">
        <f t="shared" si="277"/>
        <v>-1000</v>
      </c>
      <c r="CG68" s="47">
        <f t="shared" si="277"/>
        <v>-1000</v>
      </c>
      <c r="CH68" s="47">
        <f t="shared" si="277"/>
        <v>-1000</v>
      </c>
      <c r="CI68" s="47">
        <f t="shared" si="277"/>
        <v>-1000</v>
      </c>
      <c r="CJ68" s="47">
        <f t="shared" si="277"/>
        <v>-1000</v>
      </c>
      <c r="CK68" s="47">
        <f t="shared" si="277"/>
        <v>-1000</v>
      </c>
      <c r="CL68" s="47">
        <f t="shared" si="277"/>
        <v>-1000</v>
      </c>
      <c r="CM68" s="47">
        <f t="shared" si="277"/>
        <v>-1000</v>
      </c>
      <c r="CN68" s="47">
        <f t="shared" si="277"/>
        <v>-1000</v>
      </c>
      <c r="CO68" s="47">
        <f t="shared" si="277"/>
        <v>-1000</v>
      </c>
      <c r="CP68" s="47">
        <f t="shared" si="277"/>
        <v>-1000</v>
      </c>
      <c r="CQ68" s="47">
        <f t="shared" si="277"/>
        <v>-1000</v>
      </c>
      <c r="CR68" s="47"/>
      <c r="CS68" s="47"/>
      <c r="CT68" s="47"/>
      <c r="CU68" s="50" t="str">
        <f>IFERROR(__xludf.DUMMYFUNCTION("""COMPUTED_VALUE"""),"
 Box 190464
Dallas, TX 75219          ")</f>
        <v>
 Box 190464
Dallas, TX 75219          </v>
      </c>
      <c r="CV68" s="51">
        <f>IFERROR(__xludf.DUMMYFUNCTION("IF(REGEXMATCH(UPPER(CU68), ""TX""),0,1)"),0.0)</f>
        <v>0</v>
      </c>
      <c r="CW68" s="51">
        <f>IFERROR(__xludf.DUMMYFUNCTION("IF(REGEXMATCH(UPPER(CU68), ""DALLAS""),0,1)"),0.0)</f>
        <v>0</v>
      </c>
      <c r="CX68" s="51">
        <f t="shared" si="17"/>
        <v>0</v>
      </c>
      <c r="CY68" s="51">
        <f t="shared" si="18"/>
        <v>0</v>
      </c>
      <c r="CZ68" s="52" t="str">
        <f t="shared" si="19"/>
        <v/>
      </c>
      <c r="DA68" s="53" t="str">
        <f>IFERROR(__xludf.DUMMYFUNCTION("""COMPUTED_VALUE"""),"811 Main Street
Houston, TX 77002          ")</f>
        <v>811 Main Street
Houston, TX 77002          </v>
      </c>
      <c r="DB68" s="52">
        <f t="shared" ref="DB68:DU68" si="278">SUMIFS($AJ:$AJ,$X:$X,$DA68,$AK:$AK,DB$2)</f>
        <v>0</v>
      </c>
      <c r="DC68" s="52">
        <f t="shared" si="278"/>
        <v>0</v>
      </c>
      <c r="DD68" s="52">
        <f t="shared" si="278"/>
        <v>0</v>
      </c>
      <c r="DE68" s="52">
        <f t="shared" si="278"/>
        <v>0</v>
      </c>
      <c r="DF68" s="52">
        <f t="shared" si="278"/>
        <v>500</v>
      </c>
      <c r="DG68" s="52">
        <f t="shared" si="278"/>
        <v>0</v>
      </c>
      <c r="DH68" s="52">
        <f t="shared" si="278"/>
        <v>0</v>
      </c>
      <c r="DI68" s="52">
        <f t="shared" si="278"/>
        <v>0</v>
      </c>
      <c r="DJ68" s="52">
        <f t="shared" si="278"/>
        <v>0</v>
      </c>
      <c r="DK68" s="52">
        <f t="shared" si="278"/>
        <v>0</v>
      </c>
      <c r="DL68" s="52">
        <f t="shared" si="278"/>
        <v>0</v>
      </c>
      <c r="DM68" s="52">
        <f t="shared" si="278"/>
        <v>0</v>
      </c>
      <c r="DN68" s="52">
        <f t="shared" si="278"/>
        <v>0</v>
      </c>
      <c r="DO68" s="52">
        <f t="shared" si="278"/>
        <v>0</v>
      </c>
      <c r="DP68" s="52">
        <f t="shared" si="278"/>
        <v>0</v>
      </c>
      <c r="DQ68" s="52">
        <f t="shared" si="278"/>
        <v>0</v>
      </c>
      <c r="DR68" s="52">
        <f t="shared" si="278"/>
        <v>0</v>
      </c>
      <c r="DS68" s="52">
        <f t="shared" si="278"/>
        <v>0</v>
      </c>
      <c r="DT68" s="52">
        <f t="shared" si="278"/>
        <v>0</v>
      </c>
      <c r="DU68" s="52">
        <f t="shared" si="278"/>
        <v>0</v>
      </c>
      <c r="DV68" s="52">
        <f t="shared" si="21"/>
        <v>500</v>
      </c>
      <c r="DW68" s="52">
        <f t="shared" si="22"/>
        <v>1</v>
      </c>
    </row>
    <row r="69">
      <c r="A69" s="40" t="s">
        <v>55</v>
      </c>
      <c r="B69" s="41" t="s">
        <v>56</v>
      </c>
      <c r="C69" s="31" t="s">
        <v>226</v>
      </c>
      <c r="D69" s="25" t="str">
        <f>IFERROR(__xludf.DUMMYFUNCTION("SPLIT(C69,"" "")"),"Aranza,")</f>
        <v>Aranza,</v>
      </c>
      <c r="E69" s="40" t="str">
        <f>IFERROR(__xludf.DUMMYFUNCTION("""COMPUTED_VALUE"""),"Gilbert
PO")</f>
        <v>Gilbert
PO</v>
      </c>
      <c r="F69" s="40" t="str">
        <f>IFERROR(__xludf.DUMMYFUNCTION("""COMPUTED_VALUE"""),"Box")</f>
        <v>Box</v>
      </c>
      <c r="G69" s="40" t="str">
        <f>IFERROR(__xludf.DUMMYFUNCTION("""COMPUTED_VALUE"""),"601527
Dallas,")</f>
        <v>601527
Dallas,</v>
      </c>
      <c r="H69" s="40" t="str">
        <f>IFERROR(__xludf.DUMMYFUNCTION("""COMPUTED_VALUE"""),"TX")</f>
        <v>TX</v>
      </c>
      <c r="I69" s="40">
        <f>IFERROR(__xludf.DUMMYFUNCTION("""COMPUTED_VALUE"""),75360.0)</f>
        <v>75360</v>
      </c>
      <c r="J69" s="40"/>
      <c r="K69" s="40"/>
      <c r="L69" s="40"/>
      <c r="M69" s="40"/>
      <c r="N69" s="40"/>
      <c r="O69" s="40"/>
      <c r="P69" s="40"/>
      <c r="Q69" s="40"/>
      <c r="R69" s="40"/>
      <c r="S69" s="40"/>
      <c r="T69" s="40"/>
      <c r="U69" s="24" t="str">
        <f>IFERROR(__xludf.DUMMYFUNCTION("SPLIT(E69,""01234567890"")"),"Gilbert
PO")</f>
        <v>Gilbert
PO</v>
      </c>
      <c r="V69" s="24" t="str">
        <f>IFERROR(__xludf.DUMMYFUNCTION("SPLIT(D69,"","")"),"Aranza")</f>
        <v>Aranza</v>
      </c>
      <c r="W69" s="25" t="str">
        <f t="shared" si="1"/>
        <v>GILBERT
PO ARANZA</v>
      </c>
      <c r="X69" s="25" t="s">
        <v>227</v>
      </c>
      <c r="Y69" s="25">
        <v>75360.0</v>
      </c>
      <c r="Z69" s="25" t="str">
        <f>IFERROR(__xludf.DUMMYFUNCTION("SPLIT(C69,""
"")"),"Aranza, Gilbert")</f>
        <v>Aranza, Gilbert</v>
      </c>
      <c r="AA69" s="25" t="str">
        <f>IFERROR(__xludf.DUMMYFUNCTION("""COMPUTED_VALUE"""),"PO Box 601527")</f>
        <v>PO Box 601527</v>
      </c>
      <c r="AB69" s="25" t="str">
        <f>IFERROR(__xludf.DUMMYFUNCTION("""COMPUTED_VALUE"""),"Dallas, TX 75360")</f>
        <v>Dallas, TX 75360</v>
      </c>
      <c r="AC69" s="24" t="s">
        <v>225</v>
      </c>
      <c r="AD69" s="25"/>
      <c r="AE69" s="25"/>
      <c r="AF69" s="25"/>
      <c r="AG69" s="40" t="s">
        <v>60</v>
      </c>
      <c r="AH69" s="42">
        <v>2503.0</v>
      </c>
      <c r="AI69" s="40" t="s">
        <v>68</v>
      </c>
      <c r="AJ69" s="27">
        <v>1000.0</v>
      </c>
      <c r="AK69" s="31" t="s">
        <v>29</v>
      </c>
      <c r="AL69" s="43">
        <v>44907.0</v>
      </c>
      <c r="AM69" s="44">
        <v>44943.523877314816</v>
      </c>
      <c r="AN69" s="30">
        <v>2.0</v>
      </c>
      <c r="AO69" s="40"/>
      <c r="AP69" s="40"/>
      <c r="AQ69" s="40"/>
      <c r="AR69" s="40"/>
      <c r="AS69" s="31" t="str">
        <f>IFERROR(__xludf.DUMMYFUNCTION("""COMPUTED_VALUE"""),")")</f>
        <v>)</v>
      </c>
      <c r="AT69" s="45">
        <f t="shared" si="6"/>
        <v>750</v>
      </c>
      <c r="AU69" s="40"/>
      <c r="AV69" s="46" t="str">
        <f>IFERROR(__xludf.DUMMYFUNCTION("""COMPUTED_VALUE"""),"Beucler")</f>
        <v>Beucler</v>
      </c>
      <c r="AW69" s="46">
        <f t="shared" si="7"/>
        <v>2950</v>
      </c>
      <c r="AX69" s="47">
        <f t="shared" ref="AX69:BQ69" si="279">SUMIFS($AJ:$AJ,$V:$V,$AV69,$AK:$AK,AX$2)</f>
        <v>950</v>
      </c>
      <c r="AY69" s="48">
        <f t="shared" si="279"/>
        <v>0</v>
      </c>
      <c r="AZ69" s="48">
        <f t="shared" si="279"/>
        <v>0</v>
      </c>
      <c r="BA69" s="48">
        <f t="shared" si="279"/>
        <v>2000</v>
      </c>
      <c r="BB69" s="48">
        <f t="shared" si="279"/>
        <v>0</v>
      </c>
      <c r="BC69" s="48">
        <f t="shared" si="279"/>
        <v>0</v>
      </c>
      <c r="BD69" s="48">
        <f t="shared" si="279"/>
        <v>0</v>
      </c>
      <c r="BE69" s="48">
        <f t="shared" si="279"/>
        <v>0</v>
      </c>
      <c r="BF69" s="48">
        <f t="shared" si="279"/>
        <v>0</v>
      </c>
      <c r="BG69" s="48">
        <f t="shared" si="279"/>
        <v>0</v>
      </c>
      <c r="BH69" s="48">
        <f t="shared" si="279"/>
        <v>0</v>
      </c>
      <c r="BI69" s="48">
        <f t="shared" si="279"/>
        <v>0</v>
      </c>
      <c r="BJ69" s="48">
        <f t="shared" si="279"/>
        <v>0</v>
      </c>
      <c r="BK69" s="48">
        <f t="shared" si="279"/>
        <v>0</v>
      </c>
      <c r="BL69" s="48">
        <f t="shared" si="279"/>
        <v>0</v>
      </c>
      <c r="BM69" s="48">
        <f t="shared" si="279"/>
        <v>0</v>
      </c>
      <c r="BN69" s="48">
        <f t="shared" si="279"/>
        <v>0</v>
      </c>
      <c r="BO69" s="48">
        <f t="shared" si="279"/>
        <v>0</v>
      </c>
      <c r="BP69" s="48">
        <f t="shared" si="279"/>
        <v>0</v>
      </c>
      <c r="BQ69" s="48">
        <f t="shared" si="279"/>
        <v>0</v>
      </c>
      <c r="BR69" s="36">
        <f t="shared" si="9"/>
        <v>0</v>
      </c>
      <c r="BS69" s="38">
        <f t="shared" si="10"/>
        <v>1</v>
      </c>
      <c r="BT69" s="49">
        <f t="shared" si="11"/>
        <v>0</v>
      </c>
      <c r="BU69" s="38">
        <f t="shared" si="12"/>
        <v>1000</v>
      </c>
      <c r="BV69" s="46" t="str">
        <f>IFERROR(__xludf.DUMMYFUNCTION("""COMPUTED_VALUE"""),"Beucler")</f>
        <v>Beucler</v>
      </c>
      <c r="BW69" s="46">
        <f t="shared" si="13"/>
        <v>2950</v>
      </c>
      <c r="BX69" s="47">
        <f t="shared" ref="BX69:CA69" si="280">AX69-$BU69</f>
        <v>-50</v>
      </c>
      <c r="BY69" s="47">
        <f t="shared" si="280"/>
        <v>-1000</v>
      </c>
      <c r="BZ69" s="47">
        <f t="shared" si="280"/>
        <v>-1000</v>
      </c>
      <c r="CA69" s="47">
        <f t="shared" si="280"/>
        <v>1000</v>
      </c>
      <c r="CB69" s="47">
        <f t="shared" si="15"/>
        <v>-10000</v>
      </c>
      <c r="CC69" s="47">
        <f t="shared" ref="CC69:CQ69" si="281">BC69-$BU69</f>
        <v>-1000</v>
      </c>
      <c r="CD69" s="47">
        <f t="shared" si="281"/>
        <v>-1000</v>
      </c>
      <c r="CE69" s="47">
        <f t="shared" si="281"/>
        <v>-1000</v>
      </c>
      <c r="CF69" s="47">
        <f t="shared" si="281"/>
        <v>-1000</v>
      </c>
      <c r="CG69" s="47">
        <f t="shared" si="281"/>
        <v>-1000</v>
      </c>
      <c r="CH69" s="47">
        <f t="shared" si="281"/>
        <v>-1000</v>
      </c>
      <c r="CI69" s="47">
        <f t="shared" si="281"/>
        <v>-1000</v>
      </c>
      <c r="CJ69" s="47">
        <f t="shared" si="281"/>
        <v>-1000</v>
      </c>
      <c r="CK69" s="47">
        <f t="shared" si="281"/>
        <v>-1000</v>
      </c>
      <c r="CL69" s="47">
        <f t="shared" si="281"/>
        <v>-1000</v>
      </c>
      <c r="CM69" s="47">
        <f t="shared" si="281"/>
        <v>-1000</v>
      </c>
      <c r="CN69" s="47">
        <f t="shared" si="281"/>
        <v>-1000</v>
      </c>
      <c r="CO69" s="47">
        <f t="shared" si="281"/>
        <v>-1000</v>
      </c>
      <c r="CP69" s="47">
        <f t="shared" si="281"/>
        <v>-1000</v>
      </c>
      <c r="CQ69" s="47">
        <f t="shared" si="281"/>
        <v>-1000</v>
      </c>
      <c r="CR69" s="47"/>
      <c r="CS69" s="47"/>
      <c r="CT69" s="47"/>
      <c r="CU69" s="50" t="str">
        <f>IFERROR(__xludf.DUMMYFUNCTION("""COMPUTED_VALUE"""),"816 Congress Ave.
Austin, TX 78701          ")</f>
        <v>816 Congress Ave.
Austin, TX 78701          </v>
      </c>
      <c r="CV69" s="51">
        <f>IFERROR(__xludf.DUMMYFUNCTION("IF(REGEXMATCH(UPPER(CU69), ""TX""),0,1)"),0.0)</f>
        <v>0</v>
      </c>
      <c r="CW69" s="51">
        <f>IFERROR(__xludf.DUMMYFUNCTION("IF(REGEXMATCH(UPPER(CU69), ""DALLAS""),0,1)"),1.0)</f>
        <v>1</v>
      </c>
      <c r="CX69" s="51">
        <f t="shared" si="17"/>
        <v>0</v>
      </c>
      <c r="CY69" s="51">
        <f t="shared" si="18"/>
        <v>5000</v>
      </c>
      <c r="CZ69" s="52" t="str">
        <f t="shared" si="19"/>
        <v>816 Congress Ave.
Austin, TX 78701          </v>
      </c>
      <c r="DA69" s="53" t="str">
        <f>IFERROR(__xludf.DUMMYFUNCTION("""COMPUTED_VALUE"""),"dee Anna
1721 Woodsong Dr
Brentwood, TN 37027         ")</f>
        <v>dee Anna
1721 Woodsong Dr
Brentwood, TN 37027         </v>
      </c>
      <c r="DB69" s="52">
        <f t="shared" ref="DB69:DU69" si="282">SUMIFS($AJ:$AJ,$X:$X,$DA69,$AK:$AK,DB$2)</f>
        <v>0</v>
      </c>
      <c r="DC69" s="52">
        <f t="shared" si="282"/>
        <v>0</v>
      </c>
      <c r="DD69" s="52">
        <f t="shared" si="282"/>
        <v>0</v>
      </c>
      <c r="DE69" s="52">
        <f t="shared" si="282"/>
        <v>0</v>
      </c>
      <c r="DF69" s="52">
        <f t="shared" si="282"/>
        <v>1000</v>
      </c>
      <c r="DG69" s="52">
        <f t="shared" si="282"/>
        <v>0</v>
      </c>
      <c r="DH69" s="52">
        <f t="shared" si="282"/>
        <v>0</v>
      </c>
      <c r="DI69" s="52">
        <f t="shared" si="282"/>
        <v>0</v>
      </c>
      <c r="DJ69" s="52">
        <f t="shared" si="282"/>
        <v>0</v>
      </c>
      <c r="DK69" s="52">
        <f t="shared" si="282"/>
        <v>0</v>
      </c>
      <c r="DL69" s="52">
        <f t="shared" si="282"/>
        <v>0</v>
      </c>
      <c r="DM69" s="52">
        <f t="shared" si="282"/>
        <v>0</v>
      </c>
      <c r="DN69" s="52">
        <f t="shared" si="282"/>
        <v>0</v>
      </c>
      <c r="DO69" s="52">
        <f t="shared" si="282"/>
        <v>0</v>
      </c>
      <c r="DP69" s="52">
        <f t="shared" si="282"/>
        <v>0</v>
      </c>
      <c r="DQ69" s="52">
        <f t="shared" si="282"/>
        <v>0</v>
      </c>
      <c r="DR69" s="52">
        <f t="shared" si="282"/>
        <v>0</v>
      </c>
      <c r="DS69" s="52">
        <f t="shared" si="282"/>
        <v>0</v>
      </c>
      <c r="DT69" s="52">
        <f t="shared" si="282"/>
        <v>0</v>
      </c>
      <c r="DU69" s="52">
        <f t="shared" si="282"/>
        <v>0</v>
      </c>
      <c r="DV69" s="52">
        <f t="shared" si="21"/>
        <v>1000</v>
      </c>
      <c r="DW69" s="52">
        <f t="shared" si="22"/>
        <v>1</v>
      </c>
    </row>
    <row r="70">
      <c r="A70" s="23" t="s">
        <v>64</v>
      </c>
      <c r="B70" s="23" t="s">
        <v>56</v>
      </c>
      <c r="C70" s="31" t="s">
        <v>226</v>
      </c>
      <c r="D70" s="25" t="str">
        <f>IFERROR(__xludf.DUMMYFUNCTION("SPLIT(C70,"" "")"),"Aranza,")</f>
        <v>Aranza,</v>
      </c>
      <c r="E70" s="22" t="str">
        <f>IFERROR(__xludf.DUMMYFUNCTION("""COMPUTED_VALUE"""),"Gilbert
PO")</f>
        <v>Gilbert
PO</v>
      </c>
      <c r="F70" s="22" t="str">
        <f>IFERROR(__xludf.DUMMYFUNCTION("""COMPUTED_VALUE"""),"Box")</f>
        <v>Box</v>
      </c>
      <c r="G70" s="22" t="str">
        <f>IFERROR(__xludf.DUMMYFUNCTION("""COMPUTED_VALUE"""),"601527
Dallas,")</f>
        <v>601527
Dallas,</v>
      </c>
      <c r="H70" s="22" t="str">
        <f>IFERROR(__xludf.DUMMYFUNCTION("""COMPUTED_VALUE"""),"TX")</f>
        <v>TX</v>
      </c>
      <c r="I70" s="22">
        <f>IFERROR(__xludf.DUMMYFUNCTION("""COMPUTED_VALUE"""),75360.0)</f>
        <v>75360</v>
      </c>
      <c r="J70" s="22"/>
      <c r="K70" s="22"/>
      <c r="L70" s="22"/>
      <c r="M70" s="22"/>
      <c r="N70" s="22"/>
      <c r="O70" s="22"/>
      <c r="P70" s="22"/>
      <c r="Q70" s="22"/>
      <c r="R70" s="22"/>
      <c r="S70" s="22"/>
      <c r="T70" s="22"/>
      <c r="U70" s="24" t="str">
        <f>IFERROR(__xludf.DUMMYFUNCTION("SPLIT(E70,""01234567890"")"),"Gilbert
PO")</f>
        <v>Gilbert
PO</v>
      </c>
      <c r="V70" s="24" t="str">
        <f>IFERROR(__xludf.DUMMYFUNCTION("SPLIT(D70,"","")"),"Aranza")</f>
        <v>Aranza</v>
      </c>
      <c r="W70" s="25" t="str">
        <f t="shared" si="1"/>
        <v>GILBERT
PO ARANZA</v>
      </c>
      <c r="X70" s="25" t="s">
        <v>227</v>
      </c>
      <c r="Y70" s="25">
        <v>75360.0</v>
      </c>
      <c r="Z70" s="25" t="str">
        <f>IFERROR(__xludf.DUMMYFUNCTION("SPLIT(C70,""
"")"),"Aranza, Gilbert")</f>
        <v>Aranza, Gilbert</v>
      </c>
      <c r="AA70" s="25" t="str">
        <f>IFERROR(__xludf.DUMMYFUNCTION("""COMPUTED_VALUE"""),"PO Box 601527")</f>
        <v>PO Box 601527</v>
      </c>
      <c r="AB70" s="25" t="str">
        <f>IFERROR(__xludf.DUMMYFUNCTION("""COMPUTED_VALUE"""),"Dallas, TX 75360")</f>
        <v>Dallas, TX 75360</v>
      </c>
      <c r="AC70" s="24" t="s">
        <v>225</v>
      </c>
      <c r="AD70" s="25"/>
      <c r="AE70" s="25"/>
      <c r="AF70" s="25"/>
      <c r="AG70" s="22" t="s">
        <v>60</v>
      </c>
      <c r="AH70" s="54">
        <v>2512.0</v>
      </c>
      <c r="AI70" s="22" t="s">
        <v>68</v>
      </c>
      <c r="AJ70" s="27">
        <v>1000.0</v>
      </c>
      <c r="AK70" s="31" t="s">
        <v>33</v>
      </c>
      <c r="AL70" s="28">
        <v>44907.0</v>
      </c>
      <c r="AM70" s="29">
        <v>44943.55297453704</v>
      </c>
      <c r="AN70" s="30">
        <v>2.0</v>
      </c>
      <c r="AO70" s="22"/>
      <c r="AP70" s="22"/>
      <c r="AQ70" s="22"/>
      <c r="AR70" s="22"/>
      <c r="AS70" s="31">
        <f>IFERROR(__xludf.DUMMYFUNCTION("""COMPUTED_VALUE"""),75071.0)</f>
        <v>75071</v>
      </c>
      <c r="AT70" s="45">
        <f t="shared" si="6"/>
        <v>950</v>
      </c>
      <c r="AU70" s="22"/>
      <c r="AV70" s="57" t="str">
        <f>IFERROR(__xludf.DUMMYFUNCTION("""COMPUTED_VALUE"""),"Bhatt")</f>
        <v>Bhatt</v>
      </c>
      <c r="AW70" s="46">
        <f t="shared" si="7"/>
        <v>1000</v>
      </c>
      <c r="AX70" s="47">
        <f t="shared" ref="AX70:BQ70" si="283">SUMIFS($AJ:$AJ,$V:$V,$AV70,$AK:$AK,AX$2)</f>
        <v>1000</v>
      </c>
      <c r="AY70" s="48">
        <f t="shared" si="283"/>
        <v>0</v>
      </c>
      <c r="AZ70" s="48">
        <f t="shared" si="283"/>
        <v>0</v>
      </c>
      <c r="BA70" s="48">
        <f t="shared" si="283"/>
        <v>0</v>
      </c>
      <c r="BB70" s="48">
        <f t="shared" si="283"/>
        <v>0</v>
      </c>
      <c r="BC70" s="48">
        <f t="shared" si="283"/>
        <v>0</v>
      </c>
      <c r="BD70" s="48">
        <f t="shared" si="283"/>
        <v>0</v>
      </c>
      <c r="BE70" s="48">
        <f t="shared" si="283"/>
        <v>0</v>
      </c>
      <c r="BF70" s="48">
        <f t="shared" si="283"/>
        <v>0</v>
      </c>
      <c r="BG70" s="48">
        <f t="shared" si="283"/>
        <v>0</v>
      </c>
      <c r="BH70" s="48">
        <f t="shared" si="283"/>
        <v>0</v>
      </c>
      <c r="BI70" s="48">
        <f t="shared" si="283"/>
        <v>0</v>
      </c>
      <c r="BJ70" s="48">
        <f t="shared" si="283"/>
        <v>0</v>
      </c>
      <c r="BK70" s="48">
        <f t="shared" si="283"/>
        <v>0</v>
      </c>
      <c r="BL70" s="48">
        <f t="shared" si="283"/>
        <v>0</v>
      </c>
      <c r="BM70" s="48">
        <f t="shared" si="283"/>
        <v>0</v>
      </c>
      <c r="BN70" s="48">
        <f t="shared" si="283"/>
        <v>0</v>
      </c>
      <c r="BO70" s="48">
        <f t="shared" si="283"/>
        <v>0</v>
      </c>
      <c r="BP70" s="48">
        <f t="shared" si="283"/>
        <v>0</v>
      </c>
      <c r="BQ70" s="48">
        <f t="shared" si="283"/>
        <v>0</v>
      </c>
      <c r="BR70" s="36">
        <f t="shared" si="9"/>
        <v>0</v>
      </c>
      <c r="BS70" s="38">
        <f t="shared" si="10"/>
        <v>1</v>
      </c>
      <c r="BT70" s="49">
        <f t="shared" si="11"/>
        <v>0</v>
      </c>
      <c r="BU70" s="38">
        <f t="shared" si="12"/>
        <v>1000</v>
      </c>
      <c r="BV70" s="57" t="str">
        <f>IFERROR(__xludf.DUMMYFUNCTION("""COMPUTED_VALUE"""),"Bhatt")</f>
        <v>Bhatt</v>
      </c>
      <c r="BW70" s="46">
        <f t="shared" si="13"/>
        <v>1000</v>
      </c>
      <c r="BX70" s="47">
        <f t="shared" ref="BX70:CA70" si="284">AX70-$BU70</f>
        <v>0</v>
      </c>
      <c r="BY70" s="47">
        <f t="shared" si="284"/>
        <v>-1000</v>
      </c>
      <c r="BZ70" s="47">
        <f t="shared" si="284"/>
        <v>-1000</v>
      </c>
      <c r="CA70" s="47">
        <f t="shared" si="284"/>
        <v>-1000</v>
      </c>
      <c r="CB70" s="47">
        <f t="shared" si="15"/>
        <v>-10000</v>
      </c>
      <c r="CC70" s="47">
        <f t="shared" ref="CC70:CQ70" si="285">BC70-$BU70</f>
        <v>-1000</v>
      </c>
      <c r="CD70" s="47">
        <f t="shared" si="285"/>
        <v>-1000</v>
      </c>
      <c r="CE70" s="47">
        <f t="shared" si="285"/>
        <v>-1000</v>
      </c>
      <c r="CF70" s="47">
        <f t="shared" si="285"/>
        <v>-1000</v>
      </c>
      <c r="CG70" s="47">
        <f t="shared" si="285"/>
        <v>-1000</v>
      </c>
      <c r="CH70" s="47">
        <f t="shared" si="285"/>
        <v>-1000</v>
      </c>
      <c r="CI70" s="47">
        <f t="shared" si="285"/>
        <v>-1000</v>
      </c>
      <c r="CJ70" s="47">
        <f t="shared" si="285"/>
        <v>-1000</v>
      </c>
      <c r="CK70" s="47">
        <f t="shared" si="285"/>
        <v>-1000</v>
      </c>
      <c r="CL70" s="47">
        <f t="shared" si="285"/>
        <v>-1000</v>
      </c>
      <c r="CM70" s="47">
        <f t="shared" si="285"/>
        <v>-1000</v>
      </c>
      <c r="CN70" s="47">
        <f t="shared" si="285"/>
        <v>-1000</v>
      </c>
      <c r="CO70" s="47">
        <f t="shared" si="285"/>
        <v>-1000</v>
      </c>
      <c r="CP70" s="47">
        <f t="shared" si="285"/>
        <v>-1000</v>
      </c>
      <c r="CQ70" s="47">
        <f t="shared" si="285"/>
        <v>-1000</v>
      </c>
      <c r="CR70" s="47"/>
      <c r="CS70" s="47"/>
      <c r="CT70" s="47"/>
      <c r="CU70" s="50" t="str">
        <f>IFERROR(__xludf.DUMMYFUNCTION("""COMPUTED_VALUE"""),"816 Congress Ave
Austin, TX 78701          ")</f>
        <v>816 Congress Ave
Austin, TX 78701          </v>
      </c>
      <c r="CV70" s="51">
        <f>IFERROR(__xludf.DUMMYFUNCTION("IF(REGEXMATCH(UPPER(CU70), ""TX""),0,1)"),0.0)</f>
        <v>0</v>
      </c>
      <c r="CW70" s="51">
        <f>IFERROR(__xludf.DUMMYFUNCTION("IF(REGEXMATCH(UPPER(CU70), ""DALLAS""),0,1)"),1.0)</f>
        <v>1</v>
      </c>
      <c r="CX70" s="51">
        <f t="shared" si="17"/>
        <v>0</v>
      </c>
      <c r="CY70" s="51">
        <f t="shared" si="18"/>
        <v>5000</v>
      </c>
      <c r="CZ70" s="52" t="str">
        <f t="shared" si="19"/>
        <v>816 Congress Ave
Austin, TX 78701          </v>
      </c>
      <c r="DA70" s="53" t="str">
        <f>IFERROR(__xludf.DUMMYFUNCTION("""COMPUTED_VALUE"""),"785 Huntingdon Street
Coppell, TX 75019          ")</f>
        <v>785 Huntingdon Street
Coppell, TX 75019          </v>
      </c>
      <c r="DB70" s="52">
        <f t="shared" ref="DB70:DU70" si="286">SUMIFS($AJ:$AJ,$X:$X,$DA70,$AK:$AK,DB$2)</f>
        <v>0</v>
      </c>
      <c r="DC70" s="52">
        <f t="shared" si="286"/>
        <v>0</v>
      </c>
      <c r="DD70" s="52">
        <f t="shared" si="286"/>
        <v>0</v>
      </c>
      <c r="DE70" s="52">
        <f t="shared" si="286"/>
        <v>0</v>
      </c>
      <c r="DF70" s="52">
        <f t="shared" si="286"/>
        <v>1000</v>
      </c>
      <c r="DG70" s="52">
        <f t="shared" si="286"/>
        <v>0</v>
      </c>
      <c r="DH70" s="52">
        <f t="shared" si="286"/>
        <v>0</v>
      </c>
      <c r="DI70" s="52">
        <f t="shared" si="286"/>
        <v>0</v>
      </c>
      <c r="DJ70" s="52">
        <f t="shared" si="286"/>
        <v>0</v>
      </c>
      <c r="DK70" s="52">
        <f t="shared" si="286"/>
        <v>0</v>
      </c>
      <c r="DL70" s="52">
        <f t="shared" si="286"/>
        <v>0</v>
      </c>
      <c r="DM70" s="52">
        <f t="shared" si="286"/>
        <v>0</v>
      </c>
      <c r="DN70" s="52">
        <f t="shared" si="286"/>
        <v>0</v>
      </c>
      <c r="DO70" s="52">
        <f t="shared" si="286"/>
        <v>0</v>
      </c>
      <c r="DP70" s="52">
        <f t="shared" si="286"/>
        <v>0</v>
      </c>
      <c r="DQ70" s="52">
        <f t="shared" si="286"/>
        <v>0</v>
      </c>
      <c r="DR70" s="52">
        <f t="shared" si="286"/>
        <v>0</v>
      </c>
      <c r="DS70" s="52">
        <f t="shared" si="286"/>
        <v>0</v>
      </c>
      <c r="DT70" s="52">
        <f t="shared" si="286"/>
        <v>0</v>
      </c>
      <c r="DU70" s="52">
        <f t="shared" si="286"/>
        <v>0</v>
      </c>
      <c r="DV70" s="52">
        <f t="shared" si="21"/>
        <v>1000</v>
      </c>
      <c r="DW70" s="52">
        <f t="shared" si="22"/>
        <v>1</v>
      </c>
    </row>
    <row r="71">
      <c r="A71" s="40" t="s">
        <v>55</v>
      </c>
      <c r="B71" s="41" t="s">
        <v>56</v>
      </c>
      <c r="C71" s="31" t="s">
        <v>228</v>
      </c>
      <c r="D71" s="25" t="str">
        <f>IFERROR(__xludf.DUMMYFUNCTION("SPLIT(C71,"" "")"),"Aranza,")</f>
        <v>Aranza,</v>
      </c>
      <c r="E71" s="40" t="str">
        <f>IFERROR(__xludf.DUMMYFUNCTION("""COMPUTED_VALUE"""),"Humberto
3105")</f>
        <v>Humberto
3105</v>
      </c>
      <c r="F71" s="40" t="str">
        <f>IFERROR(__xludf.DUMMYFUNCTION("""COMPUTED_VALUE"""),"San")</f>
        <v>San</v>
      </c>
      <c r="G71" s="40" t="str">
        <f>IFERROR(__xludf.DUMMYFUNCTION("""COMPUTED_VALUE"""),"Jacinto
Dallas,")</f>
        <v>Jacinto
Dallas,</v>
      </c>
      <c r="H71" s="40" t="str">
        <f>IFERROR(__xludf.DUMMYFUNCTION("""COMPUTED_VALUE"""),"TX")</f>
        <v>TX</v>
      </c>
      <c r="I71" s="40">
        <f>IFERROR(__xludf.DUMMYFUNCTION("""COMPUTED_VALUE"""),75204.0)</f>
        <v>75204</v>
      </c>
      <c r="J71" s="40"/>
      <c r="K71" s="40"/>
      <c r="L71" s="40"/>
      <c r="M71" s="40"/>
      <c r="N71" s="40"/>
      <c r="O71" s="40"/>
      <c r="P71" s="40"/>
      <c r="Q71" s="40"/>
      <c r="R71" s="40"/>
      <c r="S71" s="40"/>
      <c r="T71" s="40"/>
      <c r="U71" s="24" t="str">
        <f>IFERROR(__xludf.DUMMYFUNCTION("SPLIT(E71,""01234567890"")"),"Humberto
")</f>
        <v>Humberto
</v>
      </c>
      <c r="V71" s="24" t="str">
        <f>IFERROR(__xludf.DUMMYFUNCTION("SPLIT(D71,"","")"),"Aranza")</f>
        <v>Aranza</v>
      </c>
      <c r="W71" s="25" t="str">
        <f t="shared" si="1"/>
        <v>HUMBERTO
 ARANZA</v>
      </c>
      <c r="X71" s="25" t="s">
        <v>229</v>
      </c>
      <c r="Y71" s="25">
        <v>75204.0</v>
      </c>
      <c r="Z71" s="25" t="str">
        <f>IFERROR(__xludf.DUMMYFUNCTION("SPLIT(C71,""
"")"),"Aranza, Humberto")</f>
        <v>Aranza, Humberto</v>
      </c>
      <c r="AA71" s="25" t="str">
        <f>IFERROR(__xludf.DUMMYFUNCTION("""COMPUTED_VALUE"""),"3105 San Jacinto")</f>
        <v>3105 San Jacinto</v>
      </c>
      <c r="AB71" s="25" t="str">
        <f>IFERROR(__xludf.DUMMYFUNCTION("""COMPUTED_VALUE"""),"Dallas, TX 75204")</f>
        <v>Dallas, TX 75204</v>
      </c>
      <c r="AC71" s="24" t="s">
        <v>230</v>
      </c>
      <c r="AD71" s="25"/>
      <c r="AE71" s="25"/>
      <c r="AF71" s="25"/>
      <c r="AG71" s="40" t="s">
        <v>60</v>
      </c>
      <c r="AH71" s="42">
        <v>2493.0</v>
      </c>
      <c r="AI71" s="40" t="s">
        <v>68</v>
      </c>
      <c r="AJ71" s="27">
        <v>1000.0</v>
      </c>
      <c r="AK71" s="31" t="s">
        <v>34</v>
      </c>
      <c r="AL71" s="43">
        <v>44925.0</v>
      </c>
      <c r="AM71" s="44">
        <v>44943.30391203704</v>
      </c>
      <c r="AN71" s="30">
        <v>2.0</v>
      </c>
      <c r="AO71" s="40"/>
      <c r="AP71" s="40"/>
      <c r="AQ71" s="40"/>
      <c r="AR71" s="40"/>
      <c r="AS71" s="31">
        <f>IFERROR(__xludf.DUMMYFUNCTION("""COMPUTED_VALUE"""),78703.0)</f>
        <v>78703</v>
      </c>
      <c r="AT71" s="45">
        <f t="shared" si="6"/>
        <v>250</v>
      </c>
      <c r="AU71" s="40"/>
      <c r="AV71" s="46" t="str">
        <f>IFERROR(__xludf.DUMMYFUNCTION("""COMPUTED_VALUE"""),"Bibcom")</f>
        <v>Bibcom</v>
      </c>
      <c r="AW71" s="46">
        <f t="shared" si="7"/>
        <v>100</v>
      </c>
      <c r="AX71" s="47">
        <f t="shared" ref="AX71:BQ71" si="287">SUMIFS($AJ:$AJ,$V:$V,$AV71,$AK:$AK,AX$2)</f>
        <v>0</v>
      </c>
      <c r="AY71" s="48">
        <f t="shared" si="287"/>
        <v>0</v>
      </c>
      <c r="AZ71" s="48">
        <f t="shared" si="287"/>
        <v>0</v>
      </c>
      <c r="BA71" s="48">
        <f t="shared" si="287"/>
        <v>0</v>
      </c>
      <c r="BB71" s="48">
        <f t="shared" si="287"/>
        <v>0</v>
      </c>
      <c r="BC71" s="48">
        <f t="shared" si="287"/>
        <v>0</v>
      </c>
      <c r="BD71" s="48">
        <f t="shared" si="287"/>
        <v>0</v>
      </c>
      <c r="BE71" s="48">
        <f t="shared" si="287"/>
        <v>0</v>
      </c>
      <c r="BF71" s="48">
        <f t="shared" si="287"/>
        <v>0</v>
      </c>
      <c r="BG71" s="48">
        <f t="shared" si="287"/>
        <v>0</v>
      </c>
      <c r="BH71" s="48">
        <f t="shared" si="287"/>
        <v>0</v>
      </c>
      <c r="BI71" s="48">
        <f t="shared" si="287"/>
        <v>0</v>
      </c>
      <c r="BJ71" s="48">
        <f t="shared" si="287"/>
        <v>0</v>
      </c>
      <c r="BK71" s="48">
        <f t="shared" si="287"/>
        <v>0</v>
      </c>
      <c r="BL71" s="48">
        <f t="shared" si="287"/>
        <v>100</v>
      </c>
      <c r="BM71" s="48">
        <f t="shared" si="287"/>
        <v>0</v>
      </c>
      <c r="BN71" s="48">
        <f t="shared" si="287"/>
        <v>0</v>
      </c>
      <c r="BO71" s="48">
        <f t="shared" si="287"/>
        <v>0</v>
      </c>
      <c r="BP71" s="48">
        <f t="shared" si="287"/>
        <v>0</v>
      </c>
      <c r="BQ71" s="48">
        <f t="shared" si="287"/>
        <v>0</v>
      </c>
      <c r="BR71" s="36">
        <f t="shared" si="9"/>
        <v>0</v>
      </c>
      <c r="BS71" s="38">
        <f t="shared" si="10"/>
        <v>1</v>
      </c>
      <c r="BT71" s="49">
        <f t="shared" si="11"/>
        <v>0</v>
      </c>
      <c r="BU71" s="38">
        <f t="shared" si="12"/>
        <v>1000</v>
      </c>
      <c r="BV71" s="46" t="str">
        <f>IFERROR(__xludf.DUMMYFUNCTION("""COMPUTED_VALUE"""),"Bibcom")</f>
        <v>Bibcom</v>
      </c>
      <c r="BW71" s="46">
        <f t="shared" si="13"/>
        <v>100</v>
      </c>
      <c r="BX71" s="47">
        <f t="shared" ref="BX71:CA71" si="288">AX71-$BU71</f>
        <v>-1000</v>
      </c>
      <c r="BY71" s="47">
        <f t="shared" si="288"/>
        <v>-1000</v>
      </c>
      <c r="BZ71" s="47">
        <f t="shared" si="288"/>
        <v>-1000</v>
      </c>
      <c r="CA71" s="47">
        <f t="shared" si="288"/>
        <v>-1000</v>
      </c>
      <c r="CB71" s="47">
        <f t="shared" si="15"/>
        <v>-10000</v>
      </c>
      <c r="CC71" s="47">
        <f t="shared" ref="CC71:CQ71" si="289">BC71-$BU71</f>
        <v>-1000</v>
      </c>
      <c r="CD71" s="47">
        <f t="shared" si="289"/>
        <v>-1000</v>
      </c>
      <c r="CE71" s="47">
        <f t="shared" si="289"/>
        <v>-1000</v>
      </c>
      <c r="CF71" s="47">
        <f t="shared" si="289"/>
        <v>-1000</v>
      </c>
      <c r="CG71" s="47">
        <f t="shared" si="289"/>
        <v>-1000</v>
      </c>
      <c r="CH71" s="47">
        <f t="shared" si="289"/>
        <v>-1000</v>
      </c>
      <c r="CI71" s="47">
        <f t="shared" si="289"/>
        <v>-1000</v>
      </c>
      <c r="CJ71" s="47">
        <f t="shared" si="289"/>
        <v>-1000</v>
      </c>
      <c r="CK71" s="47">
        <f t="shared" si="289"/>
        <v>-1000</v>
      </c>
      <c r="CL71" s="47">
        <f t="shared" si="289"/>
        <v>-900</v>
      </c>
      <c r="CM71" s="47">
        <f t="shared" si="289"/>
        <v>-1000</v>
      </c>
      <c r="CN71" s="47">
        <f t="shared" si="289"/>
        <v>-1000</v>
      </c>
      <c r="CO71" s="47">
        <f t="shared" si="289"/>
        <v>-1000</v>
      </c>
      <c r="CP71" s="47">
        <f t="shared" si="289"/>
        <v>-1000</v>
      </c>
      <c r="CQ71" s="47">
        <f t="shared" si="289"/>
        <v>-1000</v>
      </c>
      <c r="CR71" s="47"/>
      <c r="CS71" s="47"/>
      <c r="CT71" s="47"/>
      <c r="CU71" s="50" t="str">
        <f>IFERROR(__xludf.DUMMYFUNCTION("""COMPUTED_VALUE"""),"8751 Collin McKinney Pkwy
McKinney, TX 75070         ")</f>
        <v>8751 Collin McKinney Pkwy
McKinney, TX 75070         </v>
      </c>
      <c r="CV71" s="51">
        <f>IFERROR(__xludf.DUMMYFUNCTION("IF(REGEXMATCH(UPPER(CU71), ""TX""),0,1)"),0.0)</f>
        <v>0</v>
      </c>
      <c r="CW71" s="51">
        <f>IFERROR(__xludf.DUMMYFUNCTION("IF(REGEXMATCH(UPPER(CU71), ""DALLAS""),0,1)"),1.0)</f>
        <v>1</v>
      </c>
      <c r="CX71" s="51">
        <f t="shared" si="17"/>
        <v>0</v>
      </c>
      <c r="CY71" s="51">
        <f t="shared" si="18"/>
        <v>4000</v>
      </c>
      <c r="CZ71" s="52" t="str">
        <f t="shared" si="19"/>
        <v>8751 Collin McKinney Pkwy
McKinney, TX 75070         </v>
      </c>
      <c r="DA71" s="53" t="str">
        <f>IFERROR(__xludf.DUMMYFUNCTION("""COMPUTED_VALUE"""),"4555 North Bay Rd
Miami Beach, FL 33140        ")</f>
        <v>4555 North Bay Rd
Miami Beach, FL 33140        </v>
      </c>
      <c r="DB71" s="52">
        <f t="shared" ref="DB71:DU71" si="290">SUMIFS($AJ:$AJ,$X:$X,$DA71,$AK:$AK,DB$2)</f>
        <v>0</v>
      </c>
      <c r="DC71" s="52">
        <f t="shared" si="290"/>
        <v>0</v>
      </c>
      <c r="DD71" s="52">
        <f t="shared" si="290"/>
        <v>0</v>
      </c>
      <c r="DE71" s="52">
        <f t="shared" si="290"/>
        <v>0</v>
      </c>
      <c r="DF71" s="52">
        <f t="shared" si="290"/>
        <v>1000</v>
      </c>
      <c r="DG71" s="52">
        <f t="shared" si="290"/>
        <v>0</v>
      </c>
      <c r="DH71" s="52">
        <f t="shared" si="290"/>
        <v>0</v>
      </c>
      <c r="DI71" s="52">
        <f t="shared" si="290"/>
        <v>0</v>
      </c>
      <c r="DJ71" s="52">
        <f t="shared" si="290"/>
        <v>0</v>
      </c>
      <c r="DK71" s="52">
        <f t="shared" si="290"/>
        <v>0</v>
      </c>
      <c r="DL71" s="52">
        <f t="shared" si="290"/>
        <v>0</v>
      </c>
      <c r="DM71" s="52">
        <f t="shared" si="290"/>
        <v>0</v>
      </c>
      <c r="DN71" s="52">
        <f t="shared" si="290"/>
        <v>0</v>
      </c>
      <c r="DO71" s="52">
        <f t="shared" si="290"/>
        <v>0</v>
      </c>
      <c r="DP71" s="52">
        <f t="shared" si="290"/>
        <v>0</v>
      </c>
      <c r="DQ71" s="52">
        <f t="shared" si="290"/>
        <v>0</v>
      </c>
      <c r="DR71" s="52">
        <f t="shared" si="290"/>
        <v>0</v>
      </c>
      <c r="DS71" s="52">
        <f t="shared" si="290"/>
        <v>0</v>
      </c>
      <c r="DT71" s="52">
        <f t="shared" si="290"/>
        <v>0</v>
      </c>
      <c r="DU71" s="52">
        <f t="shared" si="290"/>
        <v>0</v>
      </c>
      <c r="DV71" s="52">
        <f t="shared" si="21"/>
        <v>1000</v>
      </c>
      <c r="DW71" s="52">
        <f t="shared" si="22"/>
        <v>1</v>
      </c>
    </row>
    <row r="72">
      <c r="A72" s="22" t="s">
        <v>55</v>
      </c>
      <c r="B72" s="23" t="s">
        <v>56</v>
      </c>
      <c r="C72" s="31" t="s">
        <v>228</v>
      </c>
      <c r="D72" s="25" t="str">
        <f>IFERROR(__xludf.DUMMYFUNCTION("SPLIT(C72,"" "")"),"Aranza,")</f>
        <v>Aranza,</v>
      </c>
      <c r="E72" s="22" t="str">
        <f>IFERROR(__xludf.DUMMYFUNCTION("""COMPUTED_VALUE"""),"Humberto
3105")</f>
        <v>Humberto
3105</v>
      </c>
      <c r="F72" s="22" t="str">
        <f>IFERROR(__xludf.DUMMYFUNCTION("""COMPUTED_VALUE"""),"San")</f>
        <v>San</v>
      </c>
      <c r="G72" s="22" t="str">
        <f>IFERROR(__xludf.DUMMYFUNCTION("""COMPUTED_VALUE"""),"Jacinto
Dallas,")</f>
        <v>Jacinto
Dallas,</v>
      </c>
      <c r="H72" s="22" t="str">
        <f>IFERROR(__xludf.DUMMYFUNCTION("""COMPUTED_VALUE"""),"TX")</f>
        <v>TX</v>
      </c>
      <c r="I72" s="22">
        <f>IFERROR(__xludf.DUMMYFUNCTION("""COMPUTED_VALUE"""),75204.0)</f>
        <v>75204</v>
      </c>
      <c r="J72" s="22"/>
      <c r="K72" s="22"/>
      <c r="L72" s="22"/>
      <c r="M72" s="22"/>
      <c r="N72" s="22"/>
      <c r="O72" s="22"/>
      <c r="P72" s="22"/>
      <c r="Q72" s="22"/>
      <c r="R72" s="22"/>
      <c r="S72" s="22"/>
      <c r="T72" s="22"/>
      <c r="U72" s="24" t="str">
        <f>IFERROR(__xludf.DUMMYFUNCTION("SPLIT(E72,""01234567890"")"),"Humberto
")</f>
        <v>Humberto
</v>
      </c>
      <c r="V72" s="24" t="str">
        <f>IFERROR(__xludf.DUMMYFUNCTION("SPLIT(D72,"","")"),"Aranza")</f>
        <v>Aranza</v>
      </c>
      <c r="W72" s="25" t="str">
        <f t="shared" si="1"/>
        <v>HUMBERTO
 ARANZA</v>
      </c>
      <c r="X72" s="25" t="s">
        <v>229</v>
      </c>
      <c r="Y72" s="25">
        <v>75204.0</v>
      </c>
      <c r="Z72" s="25" t="str">
        <f>IFERROR(__xludf.DUMMYFUNCTION("SPLIT(C72,""
"")"),"Aranza, Humberto")</f>
        <v>Aranza, Humberto</v>
      </c>
      <c r="AA72" s="25" t="str">
        <f>IFERROR(__xludf.DUMMYFUNCTION("""COMPUTED_VALUE"""),"3105 San Jacinto")</f>
        <v>3105 San Jacinto</v>
      </c>
      <c r="AB72" s="25" t="str">
        <f>IFERROR(__xludf.DUMMYFUNCTION("""COMPUTED_VALUE"""),"Dallas, TX 75204")</f>
        <v>Dallas, TX 75204</v>
      </c>
      <c r="AC72" s="24" t="s">
        <v>230</v>
      </c>
      <c r="AD72" s="25"/>
      <c r="AE72" s="25"/>
      <c r="AF72" s="25"/>
      <c r="AG72" s="22" t="s">
        <v>60</v>
      </c>
      <c r="AH72" s="54">
        <v>2503.0</v>
      </c>
      <c r="AI72" s="22" t="s">
        <v>68</v>
      </c>
      <c r="AJ72" s="27">
        <v>1000.0</v>
      </c>
      <c r="AK72" s="31" t="s">
        <v>29</v>
      </c>
      <c r="AL72" s="28">
        <v>44907.0</v>
      </c>
      <c r="AM72" s="29">
        <v>44943.523877314816</v>
      </c>
      <c r="AN72" s="30">
        <v>2.0</v>
      </c>
      <c r="AO72" s="22"/>
      <c r="AP72" s="22"/>
      <c r="AQ72" s="22"/>
      <c r="AR72" s="22"/>
      <c r="AS72" s="31">
        <f>IFERROR(__xludf.DUMMYFUNCTION("""COMPUTED_VALUE"""),75211.0)</f>
        <v>75211</v>
      </c>
      <c r="AT72" s="45">
        <f t="shared" si="6"/>
        <v>310</v>
      </c>
      <c r="AU72" s="22"/>
      <c r="AV72" s="57" t="str">
        <f>IFERROR(__xludf.DUMMYFUNCTION("""COMPUTED_VALUE"""),"BILLINGSLEY")</f>
        <v>BILLINGSLEY</v>
      </c>
      <c r="AW72" s="46">
        <f t="shared" si="7"/>
        <v>22950</v>
      </c>
      <c r="AX72" s="47">
        <f t="shared" ref="AX72:BQ72" si="291">SUMIFS($AJ:$AJ,$V:$V,$AV72,$AK:$AK,AX$2)</f>
        <v>950</v>
      </c>
      <c r="AY72" s="48">
        <f t="shared" si="291"/>
        <v>0</v>
      </c>
      <c r="AZ72" s="48">
        <f t="shared" si="291"/>
        <v>0</v>
      </c>
      <c r="BA72" s="48">
        <f t="shared" si="291"/>
        <v>1000</v>
      </c>
      <c r="BB72" s="48">
        <f t="shared" si="291"/>
        <v>17000</v>
      </c>
      <c r="BC72" s="48">
        <f t="shared" si="291"/>
        <v>0</v>
      </c>
      <c r="BD72" s="48">
        <f t="shared" si="291"/>
        <v>0</v>
      </c>
      <c r="BE72" s="48">
        <f t="shared" si="291"/>
        <v>0</v>
      </c>
      <c r="BF72" s="48">
        <f t="shared" si="291"/>
        <v>2000</v>
      </c>
      <c r="BG72" s="48">
        <f t="shared" si="291"/>
        <v>0</v>
      </c>
      <c r="BH72" s="48">
        <f t="shared" si="291"/>
        <v>2000</v>
      </c>
      <c r="BI72" s="48">
        <f t="shared" si="291"/>
        <v>0</v>
      </c>
      <c r="BJ72" s="48">
        <f t="shared" si="291"/>
        <v>0</v>
      </c>
      <c r="BK72" s="48">
        <f t="shared" si="291"/>
        <v>0</v>
      </c>
      <c r="BL72" s="48">
        <f t="shared" si="291"/>
        <v>0</v>
      </c>
      <c r="BM72" s="48">
        <f t="shared" si="291"/>
        <v>0</v>
      </c>
      <c r="BN72" s="48">
        <f t="shared" si="291"/>
        <v>0</v>
      </c>
      <c r="BO72" s="48">
        <f t="shared" si="291"/>
        <v>0</v>
      </c>
      <c r="BP72" s="48">
        <f t="shared" si="291"/>
        <v>0</v>
      </c>
      <c r="BQ72" s="48">
        <f t="shared" si="291"/>
        <v>0</v>
      </c>
      <c r="BR72" s="36">
        <f t="shared" si="9"/>
        <v>1</v>
      </c>
      <c r="BS72" s="38">
        <f t="shared" si="10"/>
        <v>3</v>
      </c>
      <c r="BT72" s="49">
        <f t="shared" si="11"/>
        <v>0</v>
      </c>
      <c r="BU72" s="38">
        <f t="shared" si="12"/>
        <v>3000</v>
      </c>
      <c r="BV72" s="57" t="str">
        <f>IFERROR(__xludf.DUMMYFUNCTION("""COMPUTED_VALUE"""),"BILLINGSLEY")</f>
        <v>BILLINGSLEY</v>
      </c>
      <c r="BW72" s="46">
        <f t="shared" si="13"/>
        <v>22950</v>
      </c>
      <c r="BX72" s="47">
        <f t="shared" ref="BX72:CA72" si="292">AX72-$BU72</f>
        <v>-2050</v>
      </c>
      <c r="BY72" s="47">
        <f t="shared" si="292"/>
        <v>-3000</v>
      </c>
      <c r="BZ72" s="47">
        <f t="shared" si="292"/>
        <v>-3000</v>
      </c>
      <c r="CA72" s="47">
        <f t="shared" si="292"/>
        <v>-2000</v>
      </c>
      <c r="CB72" s="47">
        <f t="shared" si="15"/>
        <v>-13000</v>
      </c>
      <c r="CC72" s="47">
        <f t="shared" ref="CC72:CQ72" si="293">BC72-$BU72</f>
        <v>-3000</v>
      </c>
      <c r="CD72" s="47">
        <f t="shared" si="293"/>
        <v>-3000</v>
      </c>
      <c r="CE72" s="47">
        <f t="shared" si="293"/>
        <v>-3000</v>
      </c>
      <c r="CF72" s="47">
        <f t="shared" si="293"/>
        <v>-1000</v>
      </c>
      <c r="CG72" s="47">
        <f t="shared" si="293"/>
        <v>-3000</v>
      </c>
      <c r="CH72" s="47">
        <f t="shared" si="293"/>
        <v>-1000</v>
      </c>
      <c r="CI72" s="47">
        <f t="shared" si="293"/>
        <v>-3000</v>
      </c>
      <c r="CJ72" s="47">
        <f t="shared" si="293"/>
        <v>-3000</v>
      </c>
      <c r="CK72" s="47">
        <f t="shared" si="293"/>
        <v>-3000</v>
      </c>
      <c r="CL72" s="47">
        <f t="shared" si="293"/>
        <v>-3000</v>
      </c>
      <c r="CM72" s="47">
        <f t="shared" si="293"/>
        <v>-3000</v>
      </c>
      <c r="CN72" s="47">
        <f t="shared" si="293"/>
        <v>-3000</v>
      </c>
      <c r="CO72" s="47">
        <f t="shared" si="293"/>
        <v>-3000</v>
      </c>
      <c r="CP72" s="47">
        <f t="shared" si="293"/>
        <v>-3000</v>
      </c>
      <c r="CQ72" s="47">
        <f t="shared" si="293"/>
        <v>-3000</v>
      </c>
      <c r="CR72" s="47"/>
      <c r="CS72" s="47"/>
      <c r="CT72" s="47"/>
      <c r="CU72" s="50" t="str">
        <f>IFERROR(__xludf.DUMMYFUNCTION("""COMPUTED_VALUE"""),"1915 W. Colorado Blvd
Dallas, TX 75208         ")</f>
        <v>1915 W. Colorado Blvd
Dallas, TX 75208         </v>
      </c>
      <c r="CV72" s="51">
        <f>IFERROR(__xludf.DUMMYFUNCTION("IF(REGEXMATCH(UPPER(CU72), ""TX""),0,1)"),0.0)</f>
        <v>0</v>
      </c>
      <c r="CW72" s="51">
        <f>IFERROR(__xludf.DUMMYFUNCTION("IF(REGEXMATCH(UPPER(CU72), ""DALLAS""),0,1)"),0.0)</f>
        <v>0</v>
      </c>
      <c r="CX72" s="51">
        <f t="shared" si="17"/>
        <v>0</v>
      </c>
      <c r="CY72" s="51">
        <f t="shared" si="18"/>
        <v>0</v>
      </c>
      <c r="CZ72" s="52" t="str">
        <f t="shared" si="19"/>
        <v/>
      </c>
      <c r="DA72" s="53" t="str">
        <f>IFERROR(__xludf.DUMMYFUNCTION("""COMPUTED_VALUE"""),"2419 Amber Leaf Court
Cedar Hill, TX 75104        ")</f>
        <v>2419 Amber Leaf Court
Cedar Hill, TX 75104        </v>
      </c>
      <c r="DB72" s="52">
        <f t="shared" ref="DB72:DU72" si="294">SUMIFS($AJ:$AJ,$X:$X,$DA72,$AK:$AK,DB$2)</f>
        <v>0</v>
      </c>
      <c r="DC72" s="52">
        <f t="shared" si="294"/>
        <v>0</v>
      </c>
      <c r="DD72" s="52">
        <f t="shared" si="294"/>
        <v>0</v>
      </c>
      <c r="DE72" s="52">
        <f t="shared" si="294"/>
        <v>0</v>
      </c>
      <c r="DF72" s="52">
        <f t="shared" si="294"/>
        <v>250</v>
      </c>
      <c r="DG72" s="52">
        <f t="shared" si="294"/>
        <v>0</v>
      </c>
      <c r="DH72" s="52">
        <f t="shared" si="294"/>
        <v>0</v>
      </c>
      <c r="DI72" s="52">
        <f t="shared" si="294"/>
        <v>0</v>
      </c>
      <c r="DJ72" s="52">
        <f t="shared" si="294"/>
        <v>0</v>
      </c>
      <c r="DK72" s="52">
        <f t="shared" si="294"/>
        <v>0</v>
      </c>
      <c r="DL72" s="52">
        <f t="shared" si="294"/>
        <v>0</v>
      </c>
      <c r="DM72" s="52">
        <f t="shared" si="294"/>
        <v>0</v>
      </c>
      <c r="DN72" s="52">
        <f t="shared" si="294"/>
        <v>0</v>
      </c>
      <c r="DO72" s="52">
        <f t="shared" si="294"/>
        <v>0</v>
      </c>
      <c r="DP72" s="52">
        <f t="shared" si="294"/>
        <v>0</v>
      </c>
      <c r="DQ72" s="52">
        <f t="shared" si="294"/>
        <v>0</v>
      </c>
      <c r="DR72" s="52">
        <f t="shared" si="294"/>
        <v>0</v>
      </c>
      <c r="DS72" s="52">
        <f t="shared" si="294"/>
        <v>0</v>
      </c>
      <c r="DT72" s="52">
        <f t="shared" si="294"/>
        <v>0</v>
      </c>
      <c r="DU72" s="52">
        <f t="shared" si="294"/>
        <v>0</v>
      </c>
      <c r="DV72" s="52">
        <f t="shared" si="21"/>
        <v>250</v>
      </c>
      <c r="DW72" s="52">
        <f t="shared" si="22"/>
        <v>1</v>
      </c>
    </row>
    <row r="73">
      <c r="A73" s="41" t="s">
        <v>64</v>
      </c>
      <c r="B73" s="41" t="s">
        <v>56</v>
      </c>
      <c r="C73" s="31" t="s">
        <v>231</v>
      </c>
      <c r="D73" s="25" t="str">
        <f>IFERROR(__xludf.DUMMYFUNCTION("SPLIT(C73,"" "")"),"Aranza,")</f>
        <v>Aranza,</v>
      </c>
      <c r="E73" s="40" t="str">
        <f>IFERROR(__xludf.DUMMYFUNCTION("""COMPUTED_VALUE"""),"Humberto
3105")</f>
        <v>Humberto
3105</v>
      </c>
      <c r="F73" s="40" t="str">
        <f>IFERROR(__xludf.DUMMYFUNCTION("""COMPUTED_VALUE"""),"SanJacinto")</f>
        <v>SanJacinto</v>
      </c>
      <c r="G73" s="40" t="str">
        <f>IFERROR(__xludf.DUMMYFUNCTION("""COMPUTED_VALUE"""),"St
Dallas,")</f>
        <v>St
Dallas,</v>
      </c>
      <c r="H73" s="40" t="str">
        <f>IFERROR(__xludf.DUMMYFUNCTION("""COMPUTED_VALUE"""),"TX")</f>
        <v>TX</v>
      </c>
      <c r="I73" s="40">
        <f>IFERROR(__xludf.DUMMYFUNCTION("""COMPUTED_VALUE"""),75204.0)</f>
        <v>75204</v>
      </c>
      <c r="J73" s="40"/>
      <c r="K73" s="40"/>
      <c r="L73" s="40"/>
      <c r="M73" s="40"/>
      <c r="N73" s="40"/>
      <c r="O73" s="40"/>
      <c r="P73" s="40"/>
      <c r="Q73" s="40"/>
      <c r="R73" s="40"/>
      <c r="S73" s="40"/>
      <c r="T73" s="40"/>
      <c r="U73" s="24" t="str">
        <f>IFERROR(__xludf.DUMMYFUNCTION("SPLIT(E73,""01234567890"")"),"Humberto
")</f>
        <v>Humberto
</v>
      </c>
      <c r="V73" s="24" t="str">
        <f>IFERROR(__xludf.DUMMYFUNCTION("SPLIT(D73,"","")"),"Aranza")</f>
        <v>Aranza</v>
      </c>
      <c r="W73" s="25" t="str">
        <f t="shared" si="1"/>
        <v>HUMBERTO
 ARANZA</v>
      </c>
      <c r="X73" s="25" t="s">
        <v>232</v>
      </c>
      <c r="Y73" s="25">
        <v>75204.0</v>
      </c>
      <c r="Z73" s="25" t="str">
        <f>IFERROR(__xludf.DUMMYFUNCTION("SPLIT(C73,""
"")"),"Aranza, Humberto")</f>
        <v>Aranza, Humberto</v>
      </c>
      <c r="AA73" s="25" t="str">
        <f>IFERROR(__xludf.DUMMYFUNCTION("""COMPUTED_VALUE"""),"3105 SanJacinto St")</f>
        <v>3105 SanJacinto St</v>
      </c>
      <c r="AB73" s="25" t="str">
        <f>IFERROR(__xludf.DUMMYFUNCTION("""COMPUTED_VALUE"""),"Dallas, TX 75204")</f>
        <v>Dallas, TX 75204</v>
      </c>
      <c r="AC73" s="24" t="s">
        <v>230</v>
      </c>
      <c r="AD73" s="25"/>
      <c r="AE73" s="25"/>
      <c r="AF73" s="25"/>
      <c r="AG73" s="40" t="s">
        <v>60</v>
      </c>
      <c r="AH73" s="42">
        <v>2515.0</v>
      </c>
      <c r="AI73" s="40" t="s">
        <v>68</v>
      </c>
      <c r="AJ73" s="27">
        <v>1000.0</v>
      </c>
      <c r="AK73" s="31" t="s">
        <v>27</v>
      </c>
      <c r="AL73" s="43">
        <v>44907.0</v>
      </c>
      <c r="AM73" s="44">
        <v>44943.69443287037</v>
      </c>
      <c r="AN73" s="30">
        <v>2.0</v>
      </c>
      <c r="AO73" s="40"/>
      <c r="AP73" s="40"/>
      <c r="AQ73" s="40"/>
      <c r="AR73" s="40"/>
      <c r="AS73" s="31">
        <f>IFERROR(__xludf.DUMMYFUNCTION("""COMPUTED_VALUE"""),75028.0)</f>
        <v>75028</v>
      </c>
      <c r="AT73" s="45">
        <f t="shared" si="6"/>
        <v>500</v>
      </c>
      <c r="AU73" s="40"/>
      <c r="AV73" s="46" t="str">
        <f>IFERROR(__xludf.DUMMYFUNCTION("""COMPUTED_VALUE"""),"Billingsley")</f>
        <v>Billingsley</v>
      </c>
      <c r="AW73" s="46">
        <f t="shared" si="7"/>
        <v>22950</v>
      </c>
      <c r="AX73" s="47">
        <f t="shared" ref="AX73:BQ73" si="295">SUMIFS($AJ:$AJ,$V:$V,$AV73,$AK:$AK,AX$2)</f>
        <v>950</v>
      </c>
      <c r="AY73" s="48">
        <f t="shared" si="295"/>
        <v>0</v>
      </c>
      <c r="AZ73" s="48">
        <f t="shared" si="295"/>
        <v>0</v>
      </c>
      <c r="BA73" s="48">
        <f t="shared" si="295"/>
        <v>1000</v>
      </c>
      <c r="BB73" s="48">
        <f t="shared" si="295"/>
        <v>17000</v>
      </c>
      <c r="BC73" s="48">
        <f t="shared" si="295"/>
        <v>0</v>
      </c>
      <c r="BD73" s="48">
        <f t="shared" si="295"/>
        <v>0</v>
      </c>
      <c r="BE73" s="48">
        <f t="shared" si="295"/>
        <v>0</v>
      </c>
      <c r="BF73" s="48">
        <f t="shared" si="295"/>
        <v>2000</v>
      </c>
      <c r="BG73" s="48">
        <f t="shared" si="295"/>
        <v>0</v>
      </c>
      <c r="BH73" s="48">
        <f t="shared" si="295"/>
        <v>2000</v>
      </c>
      <c r="BI73" s="48">
        <f t="shared" si="295"/>
        <v>0</v>
      </c>
      <c r="BJ73" s="48">
        <f t="shared" si="295"/>
        <v>0</v>
      </c>
      <c r="BK73" s="48">
        <f t="shared" si="295"/>
        <v>0</v>
      </c>
      <c r="BL73" s="48">
        <f t="shared" si="295"/>
        <v>0</v>
      </c>
      <c r="BM73" s="48">
        <f t="shared" si="295"/>
        <v>0</v>
      </c>
      <c r="BN73" s="48">
        <f t="shared" si="295"/>
        <v>0</v>
      </c>
      <c r="BO73" s="48">
        <f t="shared" si="295"/>
        <v>0</v>
      </c>
      <c r="BP73" s="48">
        <f t="shared" si="295"/>
        <v>0</v>
      </c>
      <c r="BQ73" s="48">
        <f t="shared" si="295"/>
        <v>0</v>
      </c>
      <c r="BR73" s="36">
        <f t="shared" si="9"/>
        <v>1</v>
      </c>
      <c r="BS73" s="38">
        <f t="shared" si="10"/>
        <v>3</v>
      </c>
      <c r="BT73" s="49">
        <f t="shared" si="11"/>
        <v>0</v>
      </c>
      <c r="BU73" s="38">
        <f t="shared" si="12"/>
        <v>3000</v>
      </c>
      <c r="BV73" s="46" t="str">
        <f>IFERROR(__xludf.DUMMYFUNCTION("""COMPUTED_VALUE"""),"Billingsley")</f>
        <v>Billingsley</v>
      </c>
      <c r="BW73" s="46">
        <f t="shared" si="13"/>
        <v>22950</v>
      </c>
      <c r="BX73" s="47">
        <f t="shared" ref="BX73:CA73" si="296">AX73-$BU73</f>
        <v>-2050</v>
      </c>
      <c r="BY73" s="47">
        <f t="shared" si="296"/>
        <v>-3000</v>
      </c>
      <c r="BZ73" s="47">
        <f t="shared" si="296"/>
        <v>-3000</v>
      </c>
      <c r="CA73" s="47">
        <f t="shared" si="296"/>
        <v>-2000</v>
      </c>
      <c r="CB73" s="47">
        <f t="shared" si="15"/>
        <v>-13000</v>
      </c>
      <c r="CC73" s="47">
        <f t="shared" ref="CC73:CQ73" si="297">BC73-$BU73</f>
        <v>-3000</v>
      </c>
      <c r="CD73" s="47">
        <f t="shared" si="297"/>
        <v>-3000</v>
      </c>
      <c r="CE73" s="47">
        <f t="shared" si="297"/>
        <v>-3000</v>
      </c>
      <c r="CF73" s="47">
        <f t="shared" si="297"/>
        <v>-1000</v>
      </c>
      <c r="CG73" s="47">
        <f t="shared" si="297"/>
        <v>-3000</v>
      </c>
      <c r="CH73" s="47">
        <f t="shared" si="297"/>
        <v>-1000</v>
      </c>
      <c r="CI73" s="47">
        <f t="shared" si="297"/>
        <v>-3000</v>
      </c>
      <c r="CJ73" s="47">
        <f t="shared" si="297"/>
        <v>-3000</v>
      </c>
      <c r="CK73" s="47">
        <f t="shared" si="297"/>
        <v>-3000</v>
      </c>
      <c r="CL73" s="47">
        <f t="shared" si="297"/>
        <v>-3000</v>
      </c>
      <c r="CM73" s="47">
        <f t="shared" si="297"/>
        <v>-3000</v>
      </c>
      <c r="CN73" s="47">
        <f t="shared" si="297"/>
        <v>-3000</v>
      </c>
      <c r="CO73" s="47">
        <f t="shared" si="297"/>
        <v>-3000</v>
      </c>
      <c r="CP73" s="47">
        <f t="shared" si="297"/>
        <v>-3000</v>
      </c>
      <c r="CQ73" s="47">
        <f t="shared" si="297"/>
        <v>-3000</v>
      </c>
      <c r="CR73" s="47"/>
      <c r="CS73" s="47"/>
      <c r="CT73" s="47"/>
      <c r="CU73" s="50" t="str">
        <f>IFERROR(__xludf.DUMMYFUNCTION("""COMPUTED_VALUE"""),"9668 Arborhill Dr
Dallas, TX 75243          ")</f>
        <v>9668 Arborhill Dr
Dallas, TX 75243          </v>
      </c>
      <c r="CV73" s="51">
        <f>IFERROR(__xludf.DUMMYFUNCTION("IF(REGEXMATCH(UPPER(CU73), ""TX""),0,1)"),0.0)</f>
        <v>0</v>
      </c>
      <c r="CW73" s="51">
        <f>IFERROR(__xludf.DUMMYFUNCTION("IF(REGEXMATCH(UPPER(CU73), ""DALLAS""),0,1)"),0.0)</f>
        <v>0</v>
      </c>
      <c r="CX73" s="51">
        <f t="shared" si="17"/>
        <v>0</v>
      </c>
      <c r="CY73" s="51">
        <f t="shared" si="18"/>
        <v>0</v>
      </c>
      <c r="CZ73" s="52" t="str">
        <f t="shared" si="19"/>
        <v/>
      </c>
      <c r="DA73" s="53" t="str">
        <f>IFERROR(__xludf.DUMMYFUNCTION("""COMPUTED_VALUE"""),"354 Matlock Road
Mansfield, TX 76063          ")</f>
        <v>354 Matlock Road
Mansfield, TX 76063          </v>
      </c>
      <c r="DB73" s="52">
        <f t="shared" ref="DB73:DU73" si="298">SUMIFS($AJ:$AJ,$X:$X,$DA73,$AK:$AK,DB$2)</f>
        <v>0</v>
      </c>
      <c r="DC73" s="52">
        <f t="shared" si="298"/>
        <v>0</v>
      </c>
      <c r="DD73" s="52">
        <f t="shared" si="298"/>
        <v>0</v>
      </c>
      <c r="DE73" s="52">
        <f t="shared" si="298"/>
        <v>0</v>
      </c>
      <c r="DF73" s="52">
        <f t="shared" si="298"/>
        <v>50</v>
      </c>
      <c r="DG73" s="52">
        <f t="shared" si="298"/>
        <v>0</v>
      </c>
      <c r="DH73" s="52">
        <f t="shared" si="298"/>
        <v>0</v>
      </c>
      <c r="DI73" s="52">
        <f t="shared" si="298"/>
        <v>0</v>
      </c>
      <c r="DJ73" s="52">
        <f t="shared" si="298"/>
        <v>0</v>
      </c>
      <c r="DK73" s="52">
        <f t="shared" si="298"/>
        <v>0</v>
      </c>
      <c r="DL73" s="52">
        <f t="shared" si="298"/>
        <v>0</v>
      </c>
      <c r="DM73" s="52">
        <f t="shared" si="298"/>
        <v>0</v>
      </c>
      <c r="DN73" s="52">
        <f t="shared" si="298"/>
        <v>0</v>
      </c>
      <c r="DO73" s="52">
        <f t="shared" si="298"/>
        <v>0</v>
      </c>
      <c r="DP73" s="52">
        <f t="shared" si="298"/>
        <v>0</v>
      </c>
      <c r="DQ73" s="52">
        <f t="shared" si="298"/>
        <v>0</v>
      </c>
      <c r="DR73" s="52">
        <f t="shared" si="298"/>
        <v>0</v>
      </c>
      <c r="DS73" s="52">
        <f t="shared" si="298"/>
        <v>0</v>
      </c>
      <c r="DT73" s="52">
        <f t="shared" si="298"/>
        <v>0</v>
      </c>
      <c r="DU73" s="52">
        <f t="shared" si="298"/>
        <v>0</v>
      </c>
      <c r="DV73" s="52">
        <f t="shared" si="21"/>
        <v>50</v>
      </c>
      <c r="DW73" s="52">
        <f t="shared" si="22"/>
        <v>1</v>
      </c>
    </row>
    <row r="74">
      <c r="A74" s="23" t="s">
        <v>64</v>
      </c>
      <c r="B74" s="23" t="s">
        <v>56</v>
      </c>
      <c r="C74" s="31" t="s">
        <v>233</v>
      </c>
      <c r="D74" s="25" t="str">
        <f>IFERROR(__xludf.DUMMYFUNCTION("SPLIT(C74,"" "")"),"Aranza,")</f>
        <v>Aranza,</v>
      </c>
      <c r="E74" s="22" t="str">
        <f>IFERROR(__xludf.DUMMYFUNCTION("""COMPUTED_VALUE"""),"Roselind
3445")</f>
        <v>Roselind
3445</v>
      </c>
      <c r="F74" s="22" t="str">
        <f>IFERROR(__xludf.DUMMYFUNCTION("""COMPUTED_VALUE"""),"University
Dallas,")</f>
        <v>University
Dallas,</v>
      </c>
      <c r="G74" s="22" t="str">
        <f>IFERROR(__xludf.DUMMYFUNCTION("""COMPUTED_VALUE"""),"TX")</f>
        <v>TX</v>
      </c>
      <c r="H74" s="22">
        <f>IFERROR(__xludf.DUMMYFUNCTION("""COMPUTED_VALUE"""),75205.0)</f>
        <v>75205</v>
      </c>
      <c r="I74" s="22"/>
      <c r="J74" s="22"/>
      <c r="K74" s="22"/>
      <c r="L74" s="22"/>
      <c r="M74" s="22"/>
      <c r="N74" s="22"/>
      <c r="O74" s="22"/>
      <c r="P74" s="22"/>
      <c r="Q74" s="22"/>
      <c r="R74" s="22"/>
      <c r="S74" s="22"/>
      <c r="T74" s="22"/>
      <c r="U74" s="24" t="str">
        <f>IFERROR(__xludf.DUMMYFUNCTION("SPLIT(E74,""01234567890"")"),"Roselind
")</f>
        <v>Roselind
</v>
      </c>
      <c r="V74" s="24" t="str">
        <f>IFERROR(__xludf.DUMMYFUNCTION("SPLIT(D74,"","")"),"Aranza")</f>
        <v>Aranza</v>
      </c>
      <c r="W74" s="25" t="str">
        <f t="shared" si="1"/>
        <v>ROSELIND
 ARANZA</v>
      </c>
      <c r="X74" s="25" t="s">
        <v>234</v>
      </c>
      <c r="Y74" s="25">
        <v>75205.0</v>
      </c>
      <c r="Z74" s="25" t="str">
        <f>IFERROR(__xludf.DUMMYFUNCTION("SPLIT(C74,""
"")"),"Aranza, Roselind")</f>
        <v>Aranza, Roselind</v>
      </c>
      <c r="AA74" s="25" t="str">
        <f>IFERROR(__xludf.DUMMYFUNCTION("""COMPUTED_VALUE"""),"3445 University")</f>
        <v>3445 University</v>
      </c>
      <c r="AB74" s="25" t="str">
        <f>IFERROR(__xludf.DUMMYFUNCTION("""COMPUTED_VALUE"""),"Dallas, TX 75205")</f>
        <v>Dallas, TX 75205</v>
      </c>
      <c r="AC74" s="24" t="s">
        <v>235</v>
      </c>
      <c r="AD74" s="25"/>
      <c r="AE74" s="25"/>
      <c r="AF74" s="25"/>
      <c r="AG74" s="22" t="s">
        <v>60</v>
      </c>
      <c r="AH74" s="54">
        <v>2493.0</v>
      </c>
      <c r="AI74" s="22" t="s">
        <v>68</v>
      </c>
      <c r="AJ74" s="27">
        <v>1000.0</v>
      </c>
      <c r="AK74" s="31" t="s">
        <v>34</v>
      </c>
      <c r="AL74" s="28">
        <v>44925.0</v>
      </c>
      <c r="AM74" s="29">
        <v>44943.30391203704</v>
      </c>
      <c r="AN74" s="30">
        <v>2.0</v>
      </c>
      <c r="AO74" s="22"/>
      <c r="AP74" s="22"/>
      <c r="AQ74" s="22"/>
      <c r="AR74" s="22"/>
      <c r="AS74" s="31">
        <f>IFERROR(__xludf.DUMMYFUNCTION("""COMPUTED_VALUE"""),75115.0)</f>
        <v>75115</v>
      </c>
      <c r="AT74" s="45">
        <f t="shared" si="6"/>
        <v>4250</v>
      </c>
      <c r="AU74" s="22"/>
      <c r="AV74" s="57" t="str">
        <f>IFERROR(__xludf.DUMMYFUNCTION("""COMPUTED_VALUE"""),"Bird")</f>
        <v>Bird</v>
      </c>
      <c r="AW74" s="46">
        <f t="shared" si="7"/>
        <v>2000</v>
      </c>
      <c r="AX74" s="47">
        <f t="shared" ref="AX74:BQ74" si="299">SUMIFS($AJ:$AJ,$V:$V,$AV74,$AK:$AK,AX$2)</f>
        <v>0</v>
      </c>
      <c r="AY74" s="48">
        <f t="shared" si="299"/>
        <v>0</v>
      </c>
      <c r="AZ74" s="48">
        <f t="shared" si="299"/>
        <v>0</v>
      </c>
      <c r="BA74" s="48">
        <f t="shared" si="299"/>
        <v>2000</v>
      </c>
      <c r="BB74" s="48">
        <f t="shared" si="299"/>
        <v>0</v>
      </c>
      <c r="BC74" s="48">
        <f t="shared" si="299"/>
        <v>0</v>
      </c>
      <c r="BD74" s="48">
        <f t="shared" si="299"/>
        <v>0</v>
      </c>
      <c r="BE74" s="48">
        <f t="shared" si="299"/>
        <v>0</v>
      </c>
      <c r="BF74" s="48">
        <f t="shared" si="299"/>
        <v>0</v>
      </c>
      <c r="BG74" s="48">
        <f t="shared" si="299"/>
        <v>0</v>
      </c>
      <c r="BH74" s="48">
        <f t="shared" si="299"/>
        <v>0</v>
      </c>
      <c r="BI74" s="48">
        <f t="shared" si="299"/>
        <v>0</v>
      </c>
      <c r="BJ74" s="48">
        <f t="shared" si="299"/>
        <v>0</v>
      </c>
      <c r="BK74" s="48">
        <f t="shared" si="299"/>
        <v>0</v>
      </c>
      <c r="BL74" s="48">
        <f t="shared" si="299"/>
        <v>0</v>
      </c>
      <c r="BM74" s="48">
        <f t="shared" si="299"/>
        <v>0</v>
      </c>
      <c r="BN74" s="48">
        <f t="shared" si="299"/>
        <v>0</v>
      </c>
      <c r="BO74" s="48">
        <f t="shared" si="299"/>
        <v>0</v>
      </c>
      <c r="BP74" s="48">
        <f t="shared" si="299"/>
        <v>0</v>
      </c>
      <c r="BQ74" s="48">
        <f t="shared" si="299"/>
        <v>0</v>
      </c>
      <c r="BR74" s="36">
        <f t="shared" si="9"/>
        <v>0</v>
      </c>
      <c r="BS74" s="38">
        <f t="shared" si="10"/>
        <v>1</v>
      </c>
      <c r="BT74" s="49">
        <f t="shared" si="11"/>
        <v>0</v>
      </c>
      <c r="BU74" s="38">
        <f t="shared" si="12"/>
        <v>1000</v>
      </c>
      <c r="BV74" s="57" t="str">
        <f>IFERROR(__xludf.DUMMYFUNCTION("""COMPUTED_VALUE"""),"Bird")</f>
        <v>Bird</v>
      </c>
      <c r="BW74" s="46">
        <f t="shared" si="13"/>
        <v>2000</v>
      </c>
      <c r="BX74" s="47">
        <f t="shared" ref="BX74:CA74" si="300">AX74-$BU74</f>
        <v>-1000</v>
      </c>
      <c r="BY74" s="47">
        <f t="shared" si="300"/>
        <v>-1000</v>
      </c>
      <c r="BZ74" s="47">
        <f t="shared" si="300"/>
        <v>-1000</v>
      </c>
      <c r="CA74" s="47">
        <f t="shared" si="300"/>
        <v>1000</v>
      </c>
      <c r="CB74" s="47">
        <f t="shared" si="15"/>
        <v>-10000</v>
      </c>
      <c r="CC74" s="47">
        <f t="shared" ref="CC74:CQ74" si="301">BC74-$BU74</f>
        <v>-1000</v>
      </c>
      <c r="CD74" s="47">
        <f t="shared" si="301"/>
        <v>-1000</v>
      </c>
      <c r="CE74" s="47">
        <f t="shared" si="301"/>
        <v>-1000</v>
      </c>
      <c r="CF74" s="47">
        <f t="shared" si="301"/>
        <v>-1000</v>
      </c>
      <c r="CG74" s="47">
        <f t="shared" si="301"/>
        <v>-1000</v>
      </c>
      <c r="CH74" s="47">
        <f t="shared" si="301"/>
        <v>-1000</v>
      </c>
      <c r="CI74" s="47">
        <f t="shared" si="301"/>
        <v>-1000</v>
      </c>
      <c r="CJ74" s="47">
        <f t="shared" si="301"/>
        <v>-1000</v>
      </c>
      <c r="CK74" s="47">
        <f t="shared" si="301"/>
        <v>-1000</v>
      </c>
      <c r="CL74" s="47">
        <f t="shared" si="301"/>
        <v>-1000</v>
      </c>
      <c r="CM74" s="47">
        <f t="shared" si="301"/>
        <v>-1000</v>
      </c>
      <c r="CN74" s="47">
        <f t="shared" si="301"/>
        <v>-1000</v>
      </c>
      <c r="CO74" s="47">
        <f t="shared" si="301"/>
        <v>-1000</v>
      </c>
      <c r="CP74" s="47">
        <f t="shared" si="301"/>
        <v>-1000</v>
      </c>
      <c r="CQ74" s="47">
        <f t="shared" si="301"/>
        <v>-1000</v>
      </c>
      <c r="CR74" s="47"/>
      <c r="CS74" s="47"/>
      <c r="CT74" s="47"/>
      <c r="CU74" s="50" t="str">
        <f>IFERROR(__xludf.DUMMYFUNCTION("""COMPUTED_VALUE"""),"9668 Arborhill
Dallas, TX 75243           ")</f>
        <v>9668 Arborhill
Dallas, TX 75243           </v>
      </c>
      <c r="CV74" s="51">
        <f>IFERROR(__xludf.DUMMYFUNCTION("IF(REGEXMATCH(UPPER(CU74), ""TX""),0,1)"),0.0)</f>
        <v>0</v>
      </c>
      <c r="CW74" s="51">
        <f>IFERROR(__xludf.DUMMYFUNCTION("IF(REGEXMATCH(UPPER(CU74), ""DALLAS""),0,1)"),0.0)</f>
        <v>0</v>
      </c>
      <c r="CX74" s="51">
        <f t="shared" si="17"/>
        <v>0</v>
      </c>
      <c r="CY74" s="51">
        <f t="shared" si="18"/>
        <v>0</v>
      </c>
      <c r="CZ74" s="52" t="str">
        <f t="shared" si="19"/>
        <v/>
      </c>
      <c r="DA74" s="53" t="str">
        <f>IFERROR(__xludf.DUMMYFUNCTION("""COMPUTED_VALUE"""),"5601 Bridge Street
Fort Worth, TX 76112         ")</f>
        <v>5601 Bridge Street
Fort Worth, TX 76112         </v>
      </c>
      <c r="DB74" s="52">
        <f t="shared" ref="DB74:DU74" si="302">SUMIFS($AJ:$AJ,$X:$X,$DA74,$AK:$AK,DB$2)</f>
        <v>0</v>
      </c>
      <c r="DC74" s="52">
        <f t="shared" si="302"/>
        <v>0</v>
      </c>
      <c r="DD74" s="52">
        <f t="shared" si="302"/>
        <v>0</v>
      </c>
      <c r="DE74" s="52">
        <f t="shared" si="302"/>
        <v>0</v>
      </c>
      <c r="DF74" s="52">
        <f t="shared" si="302"/>
        <v>500</v>
      </c>
      <c r="DG74" s="52">
        <f t="shared" si="302"/>
        <v>0</v>
      </c>
      <c r="DH74" s="52">
        <f t="shared" si="302"/>
        <v>0</v>
      </c>
      <c r="DI74" s="52">
        <f t="shared" si="302"/>
        <v>0</v>
      </c>
      <c r="DJ74" s="52">
        <f t="shared" si="302"/>
        <v>0</v>
      </c>
      <c r="DK74" s="52">
        <f t="shared" si="302"/>
        <v>0</v>
      </c>
      <c r="DL74" s="52">
        <f t="shared" si="302"/>
        <v>0</v>
      </c>
      <c r="DM74" s="52">
        <f t="shared" si="302"/>
        <v>0</v>
      </c>
      <c r="DN74" s="52">
        <f t="shared" si="302"/>
        <v>0</v>
      </c>
      <c r="DO74" s="52">
        <f t="shared" si="302"/>
        <v>0</v>
      </c>
      <c r="DP74" s="52">
        <f t="shared" si="302"/>
        <v>0</v>
      </c>
      <c r="DQ74" s="52">
        <f t="shared" si="302"/>
        <v>0</v>
      </c>
      <c r="DR74" s="52">
        <f t="shared" si="302"/>
        <v>0</v>
      </c>
      <c r="DS74" s="52">
        <f t="shared" si="302"/>
        <v>0</v>
      </c>
      <c r="DT74" s="52">
        <f t="shared" si="302"/>
        <v>0</v>
      </c>
      <c r="DU74" s="52">
        <f t="shared" si="302"/>
        <v>0</v>
      </c>
      <c r="DV74" s="52">
        <f t="shared" si="21"/>
        <v>500</v>
      </c>
      <c r="DW74" s="52">
        <f t="shared" si="22"/>
        <v>1</v>
      </c>
    </row>
    <row r="75">
      <c r="A75" s="40" t="s">
        <v>55</v>
      </c>
      <c r="B75" s="41" t="s">
        <v>56</v>
      </c>
      <c r="C75" s="31" t="s">
        <v>236</v>
      </c>
      <c r="D75" s="25" t="str">
        <f>IFERROR(__xludf.DUMMYFUNCTION("SPLIT(C75,"" "")"),"Ardendorff,")</f>
        <v>Ardendorff,</v>
      </c>
      <c r="E75" s="40" t="str">
        <f>IFERROR(__xludf.DUMMYFUNCTION("""COMPUTED_VALUE"""),"Justin
3508")</f>
        <v>Justin
3508</v>
      </c>
      <c r="F75" s="40" t="str">
        <f>IFERROR(__xludf.DUMMYFUNCTION("""COMPUTED_VALUE"""),"Bryn")</f>
        <v>Bryn</v>
      </c>
      <c r="G75" s="40" t="str">
        <f>IFERROR(__xludf.DUMMYFUNCTION("""COMPUTED_VALUE"""),"Mawr")</f>
        <v>Mawr</v>
      </c>
      <c r="H75" s="40" t="str">
        <f>IFERROR(__xludf.DUMMYFUNCTION("""COMPUTED_VALUE"""),"Dr.
Dallas,")</f>
        <v>Dr.
Dallas,</v>
      </c>
      <c r="I75" s="40" t="str">
        <f>IFERROR(__xludf.DUMMYFUNCTION("""COMPUTED_VALUE"""),"TX")</f>
        <v>TX</v>
      </c>
      <c r="J75" s="40">
        <f>IFERROR(__xludf.DUMMYFUNCTION("""COMPUTED_VALUE"""),75225.0)</f>
        <v>75225</v>
      </c>
      <c r="K75" s="40"/>
      <c r="L75" s="40"/>
      <c r="M75" s="40"/>
      <c r="N75" s="40"/>
      <c r="O75" s="40"/>
      <c r="P75" s="40"/>
      <c r="Q75" s="40"/>
      <c r="R75" s="40"/>
      <c r="S75" s="40"/>
      <c r="T75" s="40"/>
      <c r="U75" s="24" t="str">
        <f>IFERROR(__xludf.DUMMYFUNCTION("SPLIT(E75,""01234567890"")"),"Justin
")</f>
        <v>Justin
</v>
      </c>
      <c r="V75" s="24" t="str">
        <f>IFERROR(__xludf.DUMMYFUNCTION("SPLIT(D75,"","")"),"Ardendorff")</f>
        <v>Ardendorff</v>
      </c>
      <c r="W75" s="25" t="str">
        <f t="shared" si="1"/>
        <v>JUSTIN
 ARDENDORFF</v>
      </c>
      <c r="X75" s="25" t="s">
        <v>237</v>
      </c>
      <c r="Y75" s="25">
        <v>75225.0</v>
      </c>
      <c r="Z75" s="25" t="str">
        <f>IFERROR(__xludf.DUMMYFUNCTION("SPLIT(C75,""
"")"),"Ardendorff, Justin")</f>
        <v>Ardendorff, Justin</v>
      </c>
      <c r="AA75" s="25" t="str">
        <f>IFERROR(__xludf.DUMMYFUNCTION("""COMPUTED_VALUE"""),"3508 Bryn Mawr Dr.")</f>
        <v>3508 Bryn Mawr Dr.</v>
      </c>
      <c r="AB75" s="25" t="str">
        <f>IFERROR(__xludf.DUMMYFUNCTION("""COMPUTED_VALUE"""),"Dallas, TX 75225")</f>
        <v>Dallas, TX 75225</v>
      </c>
      <c r="AC75" s="24" t="s">
        <v>238</v>
      </c>
      <c r="AD75" s="25"/>
      <c r="AE75" s="25"/>
      <c r="AF75" s="25"/>
      <c r="AG75" s="40" t="s">
        <v>60</v>
      </c>
      <c r="AH75" s="42">
        <v>2501.0</v>
      </c>
      <c r="AI75" s="40" t="s">
        <v>68</v>
      </c>
      <c r="AJ75" s="27">
        <v>100.0</v>
      </c>
      <c r="AK75" s="31" t="s">
        <v>21</v>
      </c>
      <c r="AL75" s="43">
        <v>44926.0</v>
      </c>
      <c r="AM75" s="44">
        <v>44943.63122685185</v>
      </c>
      <c r="AN75" s="30">
        <v>2.0</v>
      </c>
      <c r="AO75" s="40"/>
      <c r="AP75" s="40"/>
      <c r="AQ75" s="40"/>
      <c r="AR75" s="40"/>
      <c r="AS75" s="31">
        <f>IFERROR(__xludf.DUMMYFUNCTION("""COMPUTED_VALUE"""),75067.0)</f>
        <v>75067</v>
      </c>
      <c r="AT75" s="45">
        <f t="shared" si="6"/>
        <v>950</v>
      </c>
      <c r="AU75" s="40"/>
      <c r="AV75" s="46" t="str">
        <f>IFERROR(__xludf.DUMMYFUNCTION("""COMPUTED_VALUE"""),"Bischoff")</f>
        <v>Bischoff</v>
      </c>
      <c r="AW75" s="46">
        <f t="shared" si="7"/>
        <v>1000</v>
      </c>
      <c r="AX75" s="47">
        <f t="shared" ref="AX75:BQ75" si="303">SUMIFS($AJ:$AJ,$V:$V,$AV75,$AK:$AK,AX$2)</f>
        <v>1000</v>
      </c>
      <c r="AY75" s="48">
        <f t="shared" si="303"/>
        <v>0</v>
      </c>
      <c r="AZ75" s="48">
        <f t="shared" si="303"/>
        <v>0</v>
      </c>
      <c r="BA75" s="48">
        <f t="shared" si="303"/>
        <v>0</v>
      </c>
      <c r="BB75" s="48">
        <f t="shared" si="303"/>
        <v>0</v>
      </c>
      <c r="BC75" s="48">
        <f t="shared" si="303"/>
        <v>0</v>
      </c>
      <c r="BD75" s="48">
        <f t="shared" si="303"/>
        <v>0</v>
      </c>
      <c r="BE75" s="48">
        <f t="shared" si="303"/>
        <v>0</v>
      </c>
      <c r="BF75" s="48">
        <f t="shared" si="303"/>
        <v>0</v>
      </c>
      <c r="BG75" s="48">
        <f t="shared" si="303"/>
        <v>0</v>
      </c>
      <c r="BH75" s="48">
        <f t="shared" si="303"/>
        <v>0</v>
      </c>
      <c r="BI75" s="48">
        <f t="shared" si="303"/>
        <v>0</v>
      </c>
      <c r="BJ75" s="48">
        <f t="shared" si="303"/>
        <v>0</v>
      </c>
      <c r="BK75" s="48">
        <f t="shared" si="303"/>
        <v>0</v>
      </c>
      <c r="BL75" s="48">
        <f t="shared" si="303"/>
        <v>0</v>
      </c>
      <c r="BM75" s="48">
        <f t="shared" si="303"/>
        <v>0</v>
      </c>
      <c r="BN75" s="48">
        <f t="shared" si="303"/>
        <v>0</v>
      </c>
      <c r="BO75" s="48">
        <f t="shared" si="303"/>
        <v>0</v>
      </c>
      <c r="BP75" s="48">
        <f t="shared" si="303"/>
        <v>0</v>
      </c>
      <c r="BQ75" s="48">
        <f t="shared" si="303"/>
        <v>0</v>
      </c>
      <c r="BR75" s="36">
        <f t="shared" si="9"/>
        <v>1</v>
      </c>
      <c r="BS75" s="38">
        <f t="shared" si="10"/>
        <v>2</v>
      </c>
      <c r="BT75" s="49">
        <f t="shared" si="11"/>
        <v>0</v>
      </c>
      <c r="BU75" s="38">
        <f t="shared" si="12"/>
        <v>2000</v>
      </c>
      <c r="BV75" s="46" t="str">
        <f>IFERROR(__xludf.DUMMYFUNCTION("""COMPUTED_VALUE"""),"Bischoff")</f>
        <v>Bischoff</v>
      </c>
      <c r="BW75" s="46">
        <f t="shared" si="13"/>
        <v>1000</v>
      </c>
      <c r="BX75" s="47">
        <f t="shared" ref="BX75:CA75" si="304">AX75-$BU75</f>
        <v>-1000</v>
      </c>
      <c r="BY75" s="47">
        <f t="shared" si="304"/>
        <v>-2000</v>
      </c>
      <c r="BZ75" s="47">
        <f t="shared" si="304"/>
        <v>-2000</v>
      </c>
      <c r="CA75" s="47">
        <f t="shared" si="304"/>
        <v>-2000</v>
      </c>
      <c r="CB75" s="47">
        <f t="shared" si="15"/>
        <v>-20000</v>
      </c>
      <c r="CC75" s="47">
        <f t="shared" ref="CC75:CQ75" si="305">BC75-$BU75</f>
        <v>-2000</v>
      </c>
      <c r="CD75" s="47">
        <f t="shared" si="305"/>
        <v>-2000</v>
      </c>
      <c r="CE75" s="47">
        <f t="shared" si="305"/>
        <v>-2000</v>
      </c>
      <c r="CF75" s="47">
        <f t="shared" si="305"/>
        <v>-2000</v>
      </c>
      <c r="CG75" s="47">
        <f t="shared" si="305"/>
        <v>-2000</v>
      </c>
      <c r="CH75" s="47">
        <f t="shared" si="305"/>
        <v>-2000</v>
      </c>
      <c r="CI75" s="47">
        <f t="shared" si="305"/>
        <v>-2000</v>
      </c>
      <c r="CJ75" s="47">
        <f t="shared" si="305"/>
        <v>-2000</v>
      </c>
      <c r="CK75" s="47">
        <f t="shared" si="305"/>
        <v>-2000</v>
      </c>
      <c r="CL75" s="47">
        <f t="shared" si="305"/>
        <v>-2000</v>
      </c>
      <c r="CM75" s="47">
        <f t="shared" si="305"/>
        <v>-2000</v>
      </c>
      <c r="CN75" s="47">
        <f t="shared" si="305"/>
        <v>-2000</v>
      </c>
      <c r="CO75" s="47">
        <f t="shared" si="305"/>
        <v>-2000</v>
      </c>
      <c r="CP75" s="47">
        <f t="shared" si="305"/>
        <v>-2000</v>
      </c>
      <c r="CQ75" s="47">
        <f t="shared" si="305"/>
        <v>-2000</v>
      </c>
      <c r="CR75" s="47"/>
      <c r="CS75" s="47"/>
      <c r="CT75" s="47"/>
      <c r="CU75" s="50" t="str">
        <f>IFERROR(__xludf.DUMMYFUNCTION("""COMPUTED_VALUE"""),"15746 Covewood Cir
Dallas, TX 75248          ")</f>
        <v>15746 Covewood Cir
Dallas, TX 75248          </v>
      </c>
      <c r="CV75" s="51">
        <f>IFERROR(__xludf.DUMMYFUNCTION("IF(REGEXMATCH(UPPER(CU75), ""TX""),0,1)"),0.0)</f>
        <v>0</v>
      </c>
      <c r="CW75" s="51">
        <f>IFERROR(__xludf.DUMMYFUNCTION("IF(REGEXMATCH(UPPER(CU75), ""DALLAS""),0,1)"),0.0)</f>
        <v>0</v>
      </c>
      <c r="CX75" s="51">
        <f t="shared" si="17"/>
        <v>0</v>
      </c>
      <c r="CY75" s="51">
        <f t="shared" si="18"/>
        <v>0</v>
      </c>
      <c r="CZ75" s="52" t="str">
        <f t="shared" si="19"/>
        <v/>
      </c>
      <c r="DA75" s="53" t="str">
        <f>IFERROR(__xludf.DUMMYFUNCTION("""COMPUTED_VALUE"""),"
 Box 631153
Irving, TX 75063          ")</f>
        <v>
 Box 631153
Irving, TX 75063          </v>
      </c>
      <c r="DB75" s="52">
        <f t="shared" ref="DB75:DU75" si="306">SUMIFS($AJ:$AJ,$X:$X,$DA75,$AK:$AK,DB$2)</f>
        <v>0</v>
      </c>
      <c r="DC75" s="52">
        <f t="shared" si="306"/>
        <v>0</v>
      </c>
      <c r="DD75" s="52">
        <f t="shared" si="306"/>
        <v>0</v>
      </c>
      <c r="DE75" s="52">
        <f t="shared" si="306"/>
        <v>0</v>
      </c>
      <c r="DF75" s="52">
        <f t="shared" si="306"/>
        <v>1000</v>
      </c>
      <c r="DG75" s="52">
        <f t="shared" si="306"/>
        <v>0</v>
      </c>
      <c r="DH75" s="52">
        <f t="shared" si="306"/>
        <v>0</v>
      </c>
      <c r="DI75" s="52">
        <f t="shared" si="306"/>
        <v>0</v>
      </c>
      <c r="DJ75" s="52">
        <f t="shared" si="306"/>
        <v>0</v>
      </c>
      <c r="DK75" s="52">
        <f t="shared" si="306"/>
        <v>0</v>
      </c>
      <c r="DL75" s="52">
        <f t="shared" si="306"/>
        <v>0</v>
      </c>
      <c r="DM75" s="52">
        <f t="shared" si="306"/>
        <v>0</v>
      </c>
      <c r="DN75" s="52">
        <f t="shared" si="306"/>
        <v>0</v>
      </c>
      <c r="DO75" s="52">
        <f t="shared" si="306"/>
        <v>0</v>
      </c>
      <c r="DP75" s="52">
        <f t="shared" si="306"/>
        <v>0</v>
      </c>
      <c r="DQ75" s="52">
        <f t="shared" si="306"/>
        <v>0</v>
      </c>
      <c r="DR75" s="52">
        <f t="shared" si="306"/>
        <v>0</v>
      </c>
      <c r="DS75" s="52">
        <f t="shared" si="306"/>
        <v>0</v>
      </c>
      <c r="DT75" s="52">
        <f t="shared" si="306"/>
        <v>0</v>
      </c>
      <c r="DU75" s="52">
        <f t="shared" si="306"/>
        <v>0</v>
      </c>
      <c r="DV75" s="52">
        <f t="shared" si="21"/>
        <v>1000</v>
      </c>
      <c r="DW75" s="52">
        <f t="shared" si="22"/>
        <v>1</v>
      </c>
    </row>
    <row r="76">
      <c r="A76" s="23" t="s">
        <v>64</v>
      </c>
      <c r="B76" s="23" t="s">
        <v>56</v>
      </c>
      <c r="C76" s="31" t="s">
        <v>239</v>
      </c>
      <c r="D76" s="25" t="str">
        <f>IFERROR(__xludf.DUMMYFUNCTION("SPLIT(C76,"" "")"),"Argarwal,")</f>
        <v>Argarwal,</v>
      </c>
      <c r="E76" s="22" t="str">
        <f>IFERROR(__xludf.DUMMYFUNCTION("""COMPUTED_VALUE"""),"Arun
123")</f>
        <v>Arun
123</v>
      </c>
      <c r="F76" s="22" t="str">
        <f>IFERROR(__xludf.DUMMYFUNCTION("""COMPUTED_VALUE"""),"Oak")</f>
        <v>Oak</v>
      </c>
      <c r="G76" s="22" t="str">
        <f>IFERROR(__xludf.DUMMYFUNCTION("""COMPUTED_VALUE"""),"Lawn")</f>
        <v>Lawn</v>
      </c>
      <c r="H76" s="22" t="str">
        <f>IFERROR(__xludf.DUMMYFUNCTION("""COMPUTED_VALUE"""),"Ave
Dallas,")</f>
        <v>Ave
Dallas,</v>
      </c>
      <c r="I76" s="22" t="str">
        <f>IFERROR(__xludf.DUMMYFUNCTION("""COMPUTED_VALUE"""),"TX")</f>
        <v>TX</v>
      </c>
      <c r="J76" s="22">
        <f>IFERROR(__xludf.DUMMYFUNCTION("""COMPUTED_VALUE"""),75207.0)</f>
        <v>75207</v>
      </c>
      <c r="K76" s="22"/>
      <c r="L76" s="22"/>
      <c r="M76" s="22"/>
      <c r="N76" s="22"/>
      <c r="O76" s="22"/>
      <c r="P76" s="22"/>
      <c r="Q76" s="22"/>
      <c r="R76" s="22"/>
      <c r="S76" s="22"/>
      <c r="T76" s="22"/>
      <c r="U76" s="24" t="str">
        <f>IFERROR(__xludf.DUMMYFUNCTION("SPLIT(E76,""01234567890"")"),"Arun
")</f>
        <v>Arun
</v>
      </c>
      <c r="V76" s="24" t="str">
        <f>IFERROR(__xludf.DUMMYFUNCTION("SPLIT(D76,"","")"),"Argarwal")</f>
        <v>Argarwal</v>
      </c>
      <c r="W76" s="25" t="str">
        <f t="shared" si="1"/>
        <v>ARUN
 ARGARWAL</v>
      </c>
      <c r="X76" s="25" t="s">
        <v>119</v>
      </c>
      <c r="Y76" s="25">
        <v>75207.0</v>
      </c>
      <c r="Z76" s="25" t="str">
        <f>IFERROR(__xludf.DUMMYFUNCTION("SPLIT(C76,""
"")"),"Argarwal, Arun")</f>
        <v>Argarwal, Arun</v>
      </c>
      <c r="AA76" s="25" t="str">
        <f>IFERROR(__xludf.DUMMYFUNCTION("""COMPUTED_VALUE"""),"123 Oak Lawn Ave")</f>
        <v>123 Oak Lawn Ave</v>
      </c>
      <c r="AB76" s="25" t="str">
        <f>IFERROR(__xludf.DUMMYFUNCTION("""COMPUTED_VALUE"""),"Dallas, TX 75207")</f>
        <v>Dallas, TX 75207</v>
      </c>
      <c r="AC76" s="24" t="s">
        <v>240</v>
      </c>
      <c r="AD76" s="25"/>
      <c r="AE76" s="25"/>
      <c r="AF76" s="25"/>
      <c r="AG76" s="22" t="s">
        <v>60</v>
      </c>
      <c r="AH76" s="54">
        <v>2448.0</v>
      </c>
      <c r="AI76" s="22" t="s">
        <v>61</v>
      </c>
      <c r="AJ76" s="27">
        <v>1000.0</v>
      </c>
      <c r="AK76" s="31" t="s">
        <v>24</v>
      </c>
      <c r="AL76" s="28">
        <v>44726.0</v>
      </c>
      <c r="AM76" s="29">
        <v>44757.44018518519</v>
      </c>
      <c r="AN76" s="30">
        <v>2.0</v>
      </c>
      <c r="AO76" s="22"/>
      <c r="AP76" s="22"/>
      <c r="AQ76" s="22"/>
      <c r="AR76" s="22"/>
      <c r="AS76" s="31">
        <f>IFERROR(__xludf.DUMMYFUNCTION("""COMPUTED_VALUE"""),75702.0)</f>
        <v>75702</v>
      </c>
      <c r="AT76" s="45">
        <f t="shared" si="6"/>
        <v>95</v>
      </c>
      <c r="AU76" s="22"/>
      <c r="AV76" s="57" t="str">
        <f>IFERROR(__xludf.DUMMYFUNCTION("""COMPUTED_VALUE"""),"Bishop")</f>
        <v>Bishop</v>
      </c>
      <c r="AW76" s="46">
        <f t="shared" si="7"/>
        <v>100</v>
      </c>
      <c r="AX76" s="47">
        <f t="shared" ref="AX76:BQ76" si="307">SUMIFS($AJ:$AJ,$V:$V,$AV76,$AK:$AK,AX$2)</f>
        <v>0</v>
      </c>
      <c r="AY76" s="48">
        <f t="shared" si="307"/>
        <v>0</v>
      </c>
      <c r="AZ76" s="48">
        <f t="shared" si="307"/>
        <v>0</v>
      </c>
      <c r="BA76" s="48">
        <f t="shared" si="307"/>
        <v>0</v>
      </c>
      <c r="BB76" s="48">
        <f t="shared" si="307"/>
        <v>100</v>
      </c>
      <c r="BC76" s="48">
        <f t="shared" si="307"/>
        <v>0</v>
      </c>
      <c r="BD76" s="48">
        <f t="shared" si="307"/>
        <v>0</v>
      </c>
      <c r="BE76" s="48">
        <f t="shared" si="307"/>
        <v>0</v>
      </c>
      <c r="BF76" s="48">
        <f t="shared" si="307"/>
        <v>0</v>
      </c>
      <c r="BG76" s="48">
        <f t="shared" si="307"/>
        <v>0</v>
      </c>
      <c r="BH76" s="48">
        <f t="shared" si="307"/>
        <v>0</v>
      </c>
      <c r="BI76" s="48">
        <f t="shared" si="307"/>
        <v>0</v>
      </c>
      <c r="BJ76" s="48">
        <f t="shared" si="307"/>
        <v>0</v>
      </c>
      <c r="BK76" s="48">
        <f t="shared" si="307"/>
        <v>0</v>
      </c>
      <c r="BL76" s="48">
        <f t="shared" si="307"/>
        <v>0</v>
      </c>
      <c r="BM76" s="48">
        <f t="shared" si="307"/>
        <v>0</v>
      </c>
      <c r="BN76" s="48">
        <f t="shared" si="307"/>
        <v>0</v>
      </c>
      <c r="BO76" s="48">
        <f t="shared" si="307"/>
        <v>0</v>
      </c>
      <c r="BP76" s="48">
        <f t="shared" si="307"/>
        <v>0</v>
      </c>
      <c r="BQ76" s="48">
        <f t="shared" si="307"/>
        <v>0</v>
      </c>
      <c r="BR76" s="36">
        <f t="shared" si="9"/>
        <v>0</v>
      </c>
      <c r="BS76" s="38">
        <f t="shared" si="10"/>
        <v>1</v>
      </c>
      <c r="BT76" s="49">
        <f t="shared" si="11"/>
        <v>0</v>
      </c>
      <c r="BU76" s="38">
        <f t="shared" si="12"/>
        <v>1000</v>
      </c>
      <c r="BV76" s="57" t="str">
        <f>IFERROR(__xludf.DUMMYFUNCTION("""COMPUTED_VALUE"""),"Bishop")</f>
        <v>Bishop</v>
      </c>
      <c r="BW76" s="46">
        <f t="shared" si="13"/>
        <v>100</v>
      </c>
      <c r="BX76" s="47">
        <f t="shared" ref="BX76:CA76" si="308">AX76-$BU76</f>
        <v>-1000</v>
      </c>
      <c r="BY76" s="47">
        <f t="shared" si="308"/>
        <v>-1000</v>
      </c>
      <c r="BZ76" s="47">
        <f t="shared" si="308"/>
        <v>-1000</v>
      </c>
      <c r="CA76" s="47">
        <f t="shared" si="308"/>
        <v>-1000</v>
      </c>
      <c r="CB76" s="47">
        <f t="shared" si="15"/>
        <v>-9900</v>
      </c>
      <c r="CC76" s="47">
        <f t="shared" ref="CC76:CQ76" si="309">BC76-$BU76</f>
        <v>-1000</v>
      </c>
      <c r="CD76" s="47">
        <f t="shared" si="309"/>
        <v>-1000</v>
      </c>
      <c r="CE76" s="47">
        <f t="shared" si="309"/>
        <v>-1000</v>
      </c>
      <c r="CF76" s="47">
        <f t="shared" si="309"/>
        <v>-1000</v>
      </c>
      <c r="CG76" s="47">
        <f t="shared" si="309"/>
        <v>-1000</v>
      </c>
      <c r="CH76" s="47">
        <f t="shared" si="309"/>
        <v>-1000</v>
      </c>
      <c r="CI76" s="47">
        <f t="shared" si="309"/>
        <v>-1000</v>
      </c>
      <c r="CJ76" s="47">
        <f t="shared" si="309"/>
        <v>-1000</v>
      </c>
      <c r="CK76" s="47">
        <f t="shared" si="309"/>
        <v>-1000</v>
      </c>
      <c r="CL76" s="47">
        <f t="shared" si="309"/>
        <v>-1000</v>
      </c>
      <c r="CM76" s="47">
        <f t="shared" si="309"/>
        <v>-1000</v>
      </c>
      <c r="CN76" s="47">
        <f t="shared" si="309"/>
        <v>-1000</v>
      </c>
      <c r="CO76" s="47">
        <f t="shared" si="309"/>
        <v>-1000</v>
      </c>
      <c r="CP76" s="47">
        <f t="shared" si="309"/>
        <v>-1000</v>
      </c>
      <c r="CQ76" s="47">
        <f t="shared" si="309"/>
        <v>-1000</v>
      </c>
      <c r="CR76" s="47"/>
      <c r="CS76" s="47"/>
      <c r="CT76" s="47"/>
      <c r="CU76" s="50" t="str">
        <f>IFERROR(__xludf.DUMMYFUNCTION("""COMPUTED_VALUE"""),"9834 Shoreview Rd
Dallas, TX 75238          ")</f>
        <v>9834 Shoreview Rd
Dallas, TX 75238          </v>
      </c>
      <c r="CV76" s="51">
        <f>IFERROR(__xludf.DUMMYFUNCTION("IF(REGEXMATCH(UPPER(CU76), ""TX""),0,1)"),0.0)</f>
        <v>0</v>
      </c>
      <c r="CW76" s="51">
        <f>IFERROR(__xludf.DUMMYFUNCTION("IF(REGEXMATCH(UPPER(CU76), ""DALLAS""),0,1)"),0.0)</f>
        <v>0</v>
      </c>
      <c r="CX76" s="51">
        <f t="shared" si="17"/>
        <v>0</v>
      </c>
      <c r="CY76" s="51">
        <f t="shared" si="18"/>
        <v>0</v>
      </c>
      <c r="CZ76" s="52" t="str">
        <f t="shared" si="19"/>
        <v/>
      </c>
      <c r="DA76" s="53" t="str">
        <f>IFERROR(__xludf.DUMMYFUNCTION("""COMPUTED_VALUE"""),"10462 North Nicklaus Dr
Fountain Hill, AZ 85268        ")</f>
        <v>10462 North Nicklaus Dr
Fountain Hill, AZ 85268        </v>
      </c>
      <c r="DB76" s="52">
        <f t="shared" ref="DB76:DU76" si="310">SUMIFS($AJ:$AJ,$X:$X,$DA76,$AK:$AK,DB$2)</f>
        <v>0</v>
      </c>
      <c r="DC76" s="52">
        <f t="shared" si="310"/>
        <v>0</v>
      </c>
      <c r="DD76" s="52">
        <f t="shared" si="310"/>
        <v>0</v>
      </c>
      <c r="DE76" s="52">
        <f t="shared" si="310"/>
        <v>0</v>
      </c>
      <c r="DF76" s="52">
        <f t="shared" si="310"/>
        <v>500</v>
      </c>
      <c r="DG76" s="52">
        <f t="shared" si="310"/>
        <v>0</v>
      </c>
      <c r="DH76" s="52">
        <f t="shared" si="310"/>
        <v>0</v>
      </c>
      <c r="DI76" s="52">
        <f t="shared" si="310"/>
        <v>0</v>
      </c>
      <c r="DJ76" s="52">
        <f t="shared" si="310"/>
        <v>0</v>
      </c>
      <c r="DK76" s="52">
        <f t="shared" si="310"/>
        <v>0</v>
      </c>
      <c r="DL76" s="52">
        <f t="shared" si="310"/>
        <v>0</v>
      </c>
      <c r="DM76" s="52">
        <f t="shared" si="310"/>
        <v>0</v>
      </c>
      <c r="DN76" s="52">
        <f t="shared" si="310"/>
        <v>0</v>
      </c>
      <c r="DO76" s="52">
        <f t="shared" si="310"/>
        <v>0</v>
      </c>
      <c r="DP76" s="52">
        <f t="shared" si="310"/>
        <v>0</v>
      </c>
      <c r="DQ76" s="52">
        <f t="shared" si="310"/>
        <v>0</v>
      </c>
      <c r="DR76" s="52">
        <f t="shared" si="310"/>
        <v>0</v>
      </c>
      <c r="DS76" s="52">
        <f t="shared" si="310"/>
        <v>0</v>
      </c>
      <c r="DT76" s="52">
        <f t="shared" si="310"/>
        <v>0</v>
      </c>
      <c r="DU76" s="52">
        <f t="shared" si="310"/>
        <v>0</v>
      </c>
      <c r="DV76" s="52">
        <f t="shared" si="21"/>
        <v>500</v>
      </c>
      <c r="DW76" s="52">
        <f t="shared" si="22"/>
        <v>1</v>
      </c>
    </row>
    <row r="77">
      <c r="A77" s="40" t="s">
        <v>55</v>
      </c>
      <c r="B77" s="41" t="s">
        <v>56</v>
      </c>
      <c r="C77" s="31" t="s">
        <v>241</v>
      </c>
      <c r="D77" s="25" t="str">
        <f>IFERROR(__xludf.DUMMYFUNCTION("SPLIT(C77,"" "")"),"Arnold,")</f>
        <v>Arnold,</v>
      </c>
      <c r="E77" s="40" t="str">
        <f>IFERROR(__xludf.DUMMYFUNCTION("""COMPUTED_VALUE"""),"Greg")</f>
        <v>Greg</v>
      </c>
      <c r="F77" s="40" t="str">
        <f>IFERROR(__xludf.DUMMYFUNCTION("""COMPUTED_VALUE"""),"&amp;")</f>
        <v>&amp;</v>
      </c>
      <c r="G77" s="40" t="str">
        <f>IFERROR(__xludf.DUMMYFUNCTION("""COMPUTED_VALUE"""),"Ashley
PO")</f>
        <v>Ashley
PO</v>
      </c>
      <c r="H77" s="40" t="str">
        <f>IFERROR(__xludf.DUMMYFUNCTION("""COMPUTED_VALUE"""),"Box")</f>
        <v>Box</v>
      </c>
      <c r="I77" s="40" t="str">
        <f>IFERROR(__xludf.DUMMYFUNCTION("""COMPUTED_VALUE"""),"1481
Texarkana,")</f>
        <v>1481
Texarkana,</v>
      </c>
      <c r="J77" s="40" t="str">
        <f>IFERROR(__xludf.DUMMYFUNCTION("""COMPUTED_VALUE"""),"TX")</f>
        <v>TX</v>
      </c>
      <c r="K77" s="40">
        <f>IFERROR(__xludf.DUMMYFUNCTION("""COMPUTED_VALUE"""),75504.0)</f>
        <v>75504</v>
      </c>
      <c r="L77" s="40"/>
      <c r="M77" s="40"/>
      <c r="N77" s="40"/>
      <c r="O77" s="40"/>
      <c r="P77" s="40"/>
      <c r="Q77" s="40"/>
      <c r="R77" s="40"/>
      <c r="S77" s="40"/>
      <c r="T77" s="40"/>
      <c r="U77" s="24" t="str">
        <f>IFERROR(__xludf.DUMMYFUNCTION("SPLIT(E77,""01234567890"")"),"Greg")</f>
        <v>Greg</v>
      </c>
      <c r="V77" s="24" t="str">
        <f>IFERROR(__xludf.DUMMYFUNCTION("SPLIT(D77,"","")"),"Arnold")</f>
        <v>Arnold</v>
      </c>
      <c r="W77" s="25" t="str">
        <f t="shared" si="1"/>
        <v>GREG ARNOLD</v>
      </c>
      <c r="X77" s="25" t="s">
        <v>242</v>
      </c>
      <c r="Y77" s="25">
        <v>1481.0</v>
      </c>
      <c r="Z77" s="25" t="str">
        <f>IFERROR(__xludf.DUMMYFUNCTION("SPLIT(C77,""
"")"),"Arnold, Greg &amp; Ashley")</f>
        <v>Arnold, Greg &amp; Ashley</v>
      </c>
      <c r="AA77" s="25" t="str">
        <f>IFERROR(__xludf.DUMMYFUNCTION("""COMPUTED_VALUE"""),"PO Box 1481")</f>
        <v>PO Box 1481</v>
      </c>
      <c r="AB77" s="25" t="str">
        <f>IFERROR(__xludf.DUMMYFUNCTION("""COMPUTED_VALUE"""),"Texarkana, TX 75504")</f>
        <v>Texarkana, TX 75504</v>
      </c>
      <c r="AC77" s="24" t="s">
        <v>243</v>
      </c>
      <c r="AD77" s="25"/>
      <c r="AE77" s="25"/>
      <c r="AF77" s="25"/>
      <c r="AG77" s="40" t="s">
        <v>60</v>
      </c>
      <c r="AH77" s="42">
        <v>2437.0</v>
      </c>
      <c r="AI77" s="40" t="s">
        <v>61</v>
      </c>
      <c r="AJ77" s="27">
        <v>10000.0</v>
      </c>
      <c r="AK77" s="31" t="s">
        <v>25</v>
      </c>
      <c r="AL77" s="43">
        <v>44712.0</v>
      </c>
      <c r="AM77" s="44">
        <v>44754.83237268519</v>
      </c>
      <c r="AN77" s="30">
        <v>2.0</v>
      </c>
      <c r="AO77" s="40"/>
      <c r="AP77" s="40"/>
      <c r="AQ77" s="40"/>
      <c r="AR77" s="40"/>
      <c r="AS77" s="31">
        <f>IFERROR(__xludf.DUMMYFUNCTION("""COMPUTED_VALUE"""),607.0)</f>
        <v>607</v>
      </c>
      <c r="AT77" s="45">
        <f t="shared" si="6"/>
        <v>250</v>
      </c>
      <c r="AU77" s="40"/>
      <c r="AV77" s="46" t="str">
        <f>IFERROR(__xludf.DUMMYFUNCTION("""COMPUTED_VALUE"""),"Bisor")</f>
        <v>Bisor</v>
      </c>
      <c r="AW77" s="46">
        <f t="shared" si="7"/>
        <v>2500</v>
      </c>
      <c r="AX77" s="47">
        <f t="shared" ref="AX77:BQ77" si="311">SUMIFS($AJ:$AJ,$V:$V,$AV77,$AK:$AK,AX$2)</f>
        <v>0</v>
      </c>
      <c r="AY77" s="48">
        <f t="shared" si="311"/>
        <v>0</v>
      </c>
      <c r="AZ77" s="48">
        <f t="shared" si="311"/>
        <v>0</v>
      </c>
      <c r="BA77" s="48">
        <f t="shared" si="311"/>
        <v>0</v>
      </c>
      <c r="BB77" s="48">
        <f t="shared" si="311"/>
        <v>2500</v>
      </c>
      <c r="BC77" s="48">
        <f t="shared" si="311"/>
        <v>0</v>
      </c>
      <c r="BD77" s="48">
        <f t="shared" si="311"/>
        <v>0</v>
      </c>
      <c r="BE77" s="48">
        <f t="shared" si="311"/>
        <v>0</v>
      </c>
      <c r="BF77" s="48">
        <f t="shared" si="311"/>
        <v>0</v>
      </c>
      <c r="BG77" s="48">
        <f t="shared" si="311"/>
        <v>0</v>
      </c>
      <c r="BH77" s="48">
        <f t="shared" si="311"/>
        <v>0</v>
      </c>
      <c r="BI77" s="48">
        <f t="shared" si="311"/>
        <v>0</v>
      </c>
      <c r="BJ77" s="48">
        <f t="shared" si="311"/>
        <v>0</v>
      </c>
      <c r="BK77" s="48">
        <f t="shared" si="311"/>
        <v>0</v>
      </c>
      <c r="BL77" s="48">
        <f t="shared" si="311"/>
        <v>0</v>
      </c>
      <c r="BM77" s="48">
        <f t="shared" si="311"/>
        <v>0</v>
      </c>
      <c r="BN77" s="48">
        <f t="shared" si="311"/>
        <v>0</v>
      </c>
      <c r="BO77" s="48">
        <f t="shared" si="311"/>
        <v>0</v>
      </c>
      <c r="BP77" s="48">
        <f t="shared" si="311"/>
        <v>0</v>
      </c>
      <c r="BQ77" s="48">
        <f t="shared" si="311"/>
        <v>0</v>
      </c>
      <c r="BR77" s="36">
        <f t="shared" si="9"/>
        <v>0</v>
      </c>
      <c r="BS77" s="38">
        <f t="shared" si="10"/>
        <v>1</v>
      </c>
      <c r="BT77" s="49">
        <f t="shared" si="11"/>
        <v>0</v>
      </c>
      <c r="BU77" s="38">
        <f t="shared" si="12"/>
        <v>1000</v>
      </c>
      <c r="BV77" s="46" t="str">
        <f>IFERROR(__xludf.DUMMYFUNCTION("""COMPUTED_VALUE"""),"Bisor")</f>
        <v>Bisor</v>
      </c>
      <c r="BW77" s="46">
        <f t="shared" si="13"/>
        <v>2500</v>
      </c>
      <c r="BX77" s="47">
        <f t="shared" ref="BX77:CA77" si="312">AX77-$BU77</f>
        <v>-1000</v>
      </c>
      <c r="BY77" s="47">
        <f t="shared" si="312"/>
        <v>-1000</v>
      </c>
      <c r="BZ77" s="47">
        <f t="shared" si="312"/>
        <v>-1000</v>
      </c>
      <c r="CA77" s="47">
        <f t="shared" si="312"/>
        <v>-1000</v>
      </c>
      <c r="CB77" s="47">
        <f t="shared" si="15"/>
        <v>-7500</v>
      </c>
      <c r="CC77" s="47">
        <f t="shared" ref="CC77:CQ77" si="313">BC77-$BU77</f>
        <v>-1000</v>
      </c>
      <c r="CD77" s="47">
        <f t="shared" si="313"/>
        <v>-1000</v>
      </c>
      <c r="CE77" s="47">
        <f t="shared" si="313"/>
        <v>-1000</v>
      </c>
      <c r="CF77" s="47">
        <f t="shared" si="313"/>
        <v>-1000</v>
      </c>
      <c r="CG77" s="47">
        <f t="shared" si="313"/>
        <v>-1000</v>
      </c>
      <c r="CH77" s="47">
        <f t="shared" si="313"/>
        <v>-1000</v>
      </c>
      <c r="CI77" s="47">
        <f t="shared" si="313"/>
        <v>-1000</v>
      </c>
      <c r="CJ77" s="47">
        <f t="shared" si="313"/>
        <v>-1000</v>
      </c>
      <c r="CK77" s="47">
        <f t="shared" si="313"/>
        <v>-1000</v>
      </c>
      <c r="CL77" s="47">
        <f t="shared" si="313"/>
        <v>-1000</v>
      </c>
      <c r="CM77" s="47">
        <f t="shared" si="313"/>
        <v>-1000</v>
      </c>
      <c r="CN77" s="47">
        <f t="shared" si="313"/>
        <v>-1000</v>
      </c>
      <c r="CO77" s="47">
        <f t="shared" si="313"/>
        <v>-1000</v>
      </c>
      <c r="CP77" s="47">
        <f t="shared" si="313"/>
        <v>-1000</v>
      </c>
      <c r="CQ77" s="47">
        <f t="shared" si="313"/>
        <v>-1000</v>
      </c>
      <c r="CR77" s="47"/>
      <c r="CS77" s="47"/>
      <c r="CT77" s="47"/>
      <c r="CU77" s="50" t="str">
        <f>IFERROR(__xludf.DUMMYFUNCTION("""COMPUTED_VALUE"""),"8602 Middle Downs Dr.
Dallas, TX 75243         ")</f>
        <v>8602 Middle Downs Dr.
Dallas, TX 75243         </v>
      </c>
      <c r="CV77" s="51">
        <f>IFERROR(__xludf.DUMMYFUNCTION("IF(REGEXMATCH(UPPER(CU77), ""TX""),0,1)"),0.0)</f>
        <v>0</v>
      </c>
      <c r="CW77" s="51">
        <f>IFERROR(__xludf.DUMMYFUNCTION("IF(REGEXMATCH(UPPER(CU77), ""DALLAS""),0,1)"),0.0)</f>
        <v>0</v>
      </c>
      <c r="CX77" s="51">
        <f t="shared" si="17"/>
        <v>0</v>
      </c>
      <c r="CY77" s="51">
        <f t="shared" si="18"/>
        <v>0</v>
      </c>
      <c r="CZ77" s="52" t="str">
        <f t="shared" si="19"/>
        <v/>
      </c>
      <c r="DA77" s="53" t="str">
        <f>IFERROR(__xludf.DUMMYFUNCTION("""COMPUTED_VALUE"""),"345 Glen Iris Drive NE
Atlanta, GA 30312        ")</f>
        <v>345 Glen Iris Drive NE
Atlanta, GA 30312        </v>
      </c>
      <c r="DB77" s="52">
        <f t="shared" ref="DB77:DU77" si="314">SUMIFS($AJ:$AJ,$X:$X,$DA77,$AK:$AK,DB$2)</f>
        <v>0</v>
      </c>
      <c r="DC77" s="52">
        <f t="shared" si="314"/>
        <v>0</v>
      </c>
      <c r="DD77" s="52">
        <f t="shared" si="314"/>
        <v>0</v>
      </c>
      <c r="DE77" s="52">
        <f t="shared" si="314"/>
        <v>0</v>
      </c>
      <c r="DF77" s="52">
        <f t="shared" si="314"/>
        <v>500</v>
      </c>
      <c r="DG77" s="52">
        <f t="shared" si="314"/>
        <v>0</v>
      </c>
      <c r="DH77" s="52">
        <f t="shared" si="314"/>
        <v>0</v>
      </c>
      <c r="DI77" s="52">
        <f t="shared" si="314"/>
        <v>0</v>
      </c>
      <c r="DJ77" s="52">
        <f t="shared" si="314"/>
        <v>0</v>
      </c>
      <c r="DK77" s="52">
        <f t="shared" si="314"/>
        <v>0</v>
      </c>
      <c r="DL77" s="52">
        <f t="shared" si="314"/>
        <v>0</v>
      </c>
      <c r="DM77" s="52">
        <f t="shared" si="314"/>
        <v>0</v>
      </c>
      <c r="DN77" s="52">
        <f t="shared" si="314"/>
        <v>0</v>
      </c>
      <c r="DO77" s="52">
        <f t="shared" si="314"/>
        <v>0</v>
      </c>
      <c r="DP77" s="52">
        <f t="shared" si="314"/>
        <v>0</v>
      </c>
      <c r="DQ77" s="52">
        <f t="shared" si="314"/>
        <v>0</v>
      </c>
      <c r="DR77" s="52">
        <f t="shared" si="314"/>
        <v>0</v>
      </c>
      <c r="DS77" s="52">
        <f t="shared" si="314"/>
        <v>0</v>
      </c>
      <c r="DT77" s="52">
        <f t="shared" si="314"/>
        <v>0</v>
      </c>
      <c r="DU77" s="52">
        <f t="shared" si="314"/>
        <v>0</v>
      </c>
      <c r="DV77" s="52">
        <f t="shared" si="21"/>
        <v>500</v>
      </c>
      <c r="DW77" s="52">
        <f t="shared" si="22"/>
        <v>1</v>
      </c>
    </row>
    <row r="78">
      <c r="A78" s="23" t="s">
        <v>64</v>
      </c>
      <c r="B78" s="23" t="s">
        <v>56</v>
      </c>
      <c r="C78" s="31" t="s">
        <v>244</v>
      </c>
      <c r="D78" s="25" t="str">
        <f>IFERROR(__xludf.DUMMYFUNCTION("SPLIT(C78,"" "")"),"Ash,")</f>
        <v>Ash,</v>
      </c>
      <c r="E78" s="22" t="str">
        <f>IFERROR(__xludf.DUMMYFUNCTION("""COMPUTED_VALUE"""),"Michael
1535")</f>
        <v>Michael
1535</v>
      </c>
      <c r="F78" s="22" t="str">
        <f>IFERROR(__xludf.DUMMYFUNCTION("""COMPUTED_VALUE"""),"Camino")</f>
        <v>Camino</v>
      </c>
      <c r="G78" s="22" t="str">
        <f>IFERROR(__xludf.DUMMYFUNCTION("""COMPUTED_VALUE"""),"Lago
Irving,")</f>
        <v>Lago
Irving,</v>
      </c>
      <c r="H78" s="22" t="str">
        <f>IFERROR(__xludf.DUMMYFUNCTION("""COMPUTED_VALUE"""),"TX")</f>
        <v>TX</v>
      </c>
      <c r="I78" s="22">
        <f>IFERROR(__xludf.DUMMYFUNCTION("""COMPUTED_VALUE"""),75039.0)</f>
        <v>75039</v>
      </c>
      <c r="J78" s="22"/>
      <c r="K78" s="22"/>
      <c r="L78" s="22"/>
      <c r="M78" s="22"/>
      <c r="N78" s="22"/>
      <c r="O78" s="22"/>
      <c r="P78" s="22"/>
      <c r="Q78" s="22"/>
      <c r="R78" s="22"/>
      <c r="S78" s="22"/>
      <c r="T78" s="22"/>
      <c r="U78" s="24" t="str">
        <f>IFERROR(__xludf.DUMMYFUNCTION("SPLIT(E78,""01234567890"")"),"Michael
")</f>
        <v>Michael
</v>
      </c>
      <c r="V78" s="24" t="str">
        <f>IFERROR(__xludf.DUMMYFUNCTION("SPLIT(D78,"","")"),"Ash")</f>
        <v>Ash</v>
      </c>
      <c r="W78" s="25" t="str">
        <f t="shared" si="1"/>
        <v>MICHAEL
 ASH</v>
      </c>
      <c r="X78" s="25" t="s">
        <v>245</v>
      </c>
      <c r="Y78" s="25">
        <v>75039.0</v>
      </c>
      <c r="Z78" s="25" t="str">
        <f>IFERROR(__xludf.DUMMYFUNCTION("SPLIT(C78,""
"")"),"Ash, Michael")</f>
        <v>Ash, Michael</v>
      </c>
      <c r="AA78" s="25" t="str">
        <f>IFERROR(__xludf.DUMMYFUNCTION("""COMPUTED_VALUE"""),"1535 Camino Lago")</f>
        <v>1535 Camino Lago</v>
      </c>
      <c r="AB78" s="25" t="str">
        <f>IFERROR(__xludf.DUMMYFUNCTION("""COMPUTED_VALUE"""),"Irving, TX 75039")</f>
        <v>Irving, TX 75039</v>
      </c>
      <c r="AC78" s="24" t="s">
        <v>246</v>
      </c>
      <c r="AD78" s="25"/>
      <c r="AE78" s="25"/>
      <c r="AF78" s="25"/>
      <c r="AG78" s="22" t="s">
        <v>60</v>
      </c>
      <c r="AH78" s="54">
        <v>2486.0</v>
      </c>
      <c r="AI78" s="22" t="s">
        <v>68</v>
      </c>
      <c r="AJ78" s="27">
        <v>50.0</v>
      </c>
      <c r="AK78" s="31" t="s">
        <v>24</v>
      </c>
      <c r="AL78" s="28">
        <v>44907.0</v>
      </c>
      <c r="AM78" s="29">
        <v>44942.42989583333</v>
      </c>
      <c r="AN78" s="30">
        <v>2.0</v>
      </c>
      <c r="AO78" s="22"/>
      <c r="AP78" s="22"/>
      <c r="AQ78" s="22"/>
      <c r="AR78" s="22"/>
      <c r="AS78" s="31">
        <f>IFERROR(__xludf.DUMMYFUNCTION("""COMPUTED_VALUE"""),75222.0)</f>
        <v>75222</v>
      </c>
      <c r="AT78" s="45">
        <f t="shared" si="6"/>
        <v>650</v>
      </c>
      <c r="AU78" s="22"/>
      <c r="AV78" s="57" t="str">
        <f>IFERROR(__xludf.DUMMYFUNCTION("""COMPUTED_VALUE"""),"Black")</f>
        <v>Black</v>
      </c>
      <c r="AW78" s="46">
        <f t="shared" si="7"/>
        <v>6100</v>
      </c>
      <c r="AX78" s="47">
        <f t="shared" ref="AX78:BQ78" si="315">SUMIFS($AJ:$AJ,$V:$V,$AV78,$AK:$AK,AX$2)</f>
        <v>1900</v>
      </c>
      <c r="AY78" s="48">
        <f t="shared" si="315"/>
        <v>0</v>
      </c>
      <c r="AZ78" s="48">
        <f t="shared" si="315"/>
        <v>2000</v>
      </c>
      <c r="BA78" s="48">
        <f t="shared" si="315"/>
        <v>200</v>
      </c>
      <c r="BB78" s="48">
        <f t="shared" si="315"/>
        <v>2000</v>
      </c>
      <c r="BC78" s="48">
        <f t="shared" si="315"/>
        <v>0</v>
      </c>
      <c r="BD78" s="48">
        <f t="shared" si="315"/>
        <v>0</v>
      </c>
      <c r="BE78" s="48">
        <f t="shared" si="315"/>
        <v>0</v>
      </c>
      <c r="BF78" s="48">
        <f t="shared" si="315"/>
        <v>0</v>
      </c>
      <c r="BG78" s="48">
        <f t="shared" si="315"/>
        <v>0</v>
      </c>
      <c r="BH78" s="48">
        <f t="shared" si="315"/>
        <v>0</v>
      </c>
      <c r="BI78" s="48">
        <f t="shared" si="315"/>
        <v>0</v>
      </c>
      <c r="BJ78" s="48">
        <f t="shared" si="315"/>
        <v>0</v>
      </c>
      <c r="BK78" s="48">
        <f t="shared" si="315"/>
        <v>0</v>
      </c>
      <c r="BL78" s="48">
        <f t="shared" si="315"/>
        <v>0</v>
      </c>
      <c r="BM78" s="48">
        <f t="shared" si="315"/>
        <v>0</v>
      </c>
      <c r="BN78" s="48">
        <f t="shared" si="315"/>
        <v>0</v>
      </c>
      <c r="BO78" s="48">
        <f t="shared" si="315"/>
        <v>0</v>
      </c>
      <c r="BP78" s="48">
        <f t="shared" si="315"/>
        <v>0</v>
      </c>
      <c r="BQ78" s="48">
        <f t="shared" si="315"/>
        <v>0</v>
      </c>
      <c r="BR78" s="36">
        <f t="shared" si="9"/>
        <v>1</v>
      </c>
      <c r="BS78" s="38">
        <f t="shared" si="10"/>
        <v>2</v>
      </c>
      <c r="BT78" s="49">
        <f t="shared" si="11"/>
        <v>0</v>
      </c>
      <c r="BU78" s="38">
        <f t="shared" si="12"/>
        <v>2000</v>
      </c>
      <c r="BV78" s="57" t="str">
        <f>IFERROR(__xludf.DUMMYFUNCTION("""COMPUTED_VALUE"""),"Black")</f>
        <v>Black</v>
      </c>
      <c r="BW78" s="46">
        <f t="shared" si="13"/>
        <v>6100</v>
      </c>
      <c r="BX78" s="47">
        <f t="shared" ref="BX78:CA78" si="316">AX78-$BU78</f>
        <v>-100</v>
      </c>
      <c r="BY78" s="47">
        <f t="shared" si="316"/>
        <v>-2000</v>
      </c>
      <c r="BZ78" s="47">
        <f t="shared" si="316"/>
        <v>0</v>
      </c>
      <c r="CA78" s="47">
        <f t="shared" si="316"/>
        <v>-1800</v>
      </c>
      <c r="CB78" s="47">
        <f t="shared" si="15"/>
        <v>-18000</v>
      </c>
      <c r="CC78" s="47">
        <f t="shared" ref="CC78:CQ78" si="317">BC78-$BU78</f>
        <v>-2000</v>
      </c>
      <c r="CD78" s="47">
        <f t="shared" si="317"/>
        <v>-2000</v>
      </c>
      <c r="CE78" s="47">
        <f t="shared" si="317"/>
        <v>-2000</v>
      </c>
      <c r="CF78" s="47">
        <f t="shared" si="317"/>
        <v>-2000</v>
      </c>
      <c r="CG78" s="47">
        <f t="shared" si="317"/>
        <v>-2000</v>
      </c>
      <c r="CH78" s="47">
        <f t="shared" si="317"/>
        <v>-2000</v>
      </c>
      <c r="CI78" s="47">
        <f t="shared" si="317"/>
        <v>-2000</v>
      </c>
      <c r="CJ78" s="47">
        <f t="shared" si="317"/>
        <v>-2000</v>
      </c>
      <c r="CK78" s="47">
        <f t="shared" si="317"/>
        <v>-2000</v>
      </c>
      <c r="CL78" s="47">
        <f t="shared" si="317"/>
        <v>-2000</v>
      </c>
      <c r="CM78" s="47">
        <f t="shared" si="317"/>
        <v>-2000</v>
      </c>
      <c r="CN78" s="47">
        <f t="shared" si="317"/>
        <v>-2000</v>
      </c>
      <c r="CO78" s="47">
        <f t="shared" si="317"/>
        <v>-2000</v>
      </c>
      <c r="CP78" s="47">
        <f t="shared" si="317"/>
        <v>-2000</v>
      </c>
      <c r="CQ78" s="47">
        <f t="shared" si="317"/>
        <v>-2000</v>
      </c>
      <c r="CR78" s="47"/>
      <c r="CS78" s="47"/>
      <c r="CT78" s="47"/>
      <c r="CU78" s="50" t="str">
        <f>IFERROR(__xludf.DUMMYFUNCTION("""COMPUTED_VALUE"""),"11057 Mandalay
Dallas, TX 75228           ")</f>
        <v>11057 Mandalay
Dallas, TX 75228           </v>
      </c>
      <c r="CV78" s="51">
        <f>IFERROR(__xludf.DUMMYFUNCTION("IF(REGEXMATCH(UPPER(CU78), ""TX""),0,1)"),0.0)</f>
        <v>0</v>
      </c>
      <c r="CW78" s="51">
        <f>IFERROR(__xludf.DUMMYFUNCTION("IF(REGEXMATCH(UPPER(CU78), ""DALLAS""),0,1)"),0.0)</f>
        <v>0</v>
      </c>
      <c r="CX78" s="51">
        <f t="shared" si="17"/>
        <v>0</v>
      </c>
      <c r="CY78" s="51">
        <f t="shared" si="18"/>
        <v>0</v>
      </c>
      <c r="CZ78" s="52" t="str">
        <f t="shared" si="19"/>
        <v/>
      </c>
      <c r="DA78" s="53" t="str">
        <f>IFERROR(__xludf.DUMMYFUNCTION("""COMPUTED_VALUE"""),"8304 Marble Dale Court
Alexandria, VA 22308         ")</f>
        <v>8304 Marble Dale Court
Alexandria, VA 22308         </v>
      </c>
      <c r="DB78" s="52">
        <f t="shared" ref="DB78:DU78" si="318">SUMIFS($AJ:$AJ,$X:$X,$DA78,$AK:$AK,DB$2)</f>
        <v>0</v>
      </c>
      <c r="DC78" s="52">
        <f t="shared" si="318"/>
        <v>0</v>
      </c>
      <c r="DD78" s="52">
        <f t="shared" si="318"/>
        <v>0</v>
      </c>
      <c r="DE78" s="52">
        <f t="shared" si="318"/>
        <v>0</v>
      </c>
      <c r="DF78" s="52">
        <f t="shared" si="318"/>
        <v>100</v>
      </c>
      <c r="DG78" s="52">
        <f t="shared" si="318"/>
        <v>0</v>
      </c>
      <c r="DH78" s="52">
        <f t="shared" si="318"/>
        <v>0</v>
      </c>
      <c r="DI78" s="52">
        <f t="shared" si="318"/>
        <v>0</v>
      </c>
      <c r="DJ78" s="52">
        <f t="shared" si="318"/>
        <v>0</v>
      </c>
      <c r="DK78" s="52">
        <f t="shared" si="318"/>
        <v>0</v>
      </c>
      <c r="DL78" s="52">
        <f t="shared" si="318"/>
        <v>0</v>
      </c>
      <c r="DM78" s="52">
        <f t="shared" si="318"/>
        <v>0</v>
      </c>
      <c r="DN78" s="52">
        <f t="shared" si="318"/>
        <v>0</v>
      </c>
      <c r="DO78" s="52">
        <f t="shared" si="318"/>
        <v>0</v>
      </c>
      <c r="DP78" s="52">
        <f t="shared" si="318"/>
        <v>0</v>
      </c>
      <c r="DQ78" s="52">
        <f t="shared" si="318"/>
        <v>0</v>
      </c>
      <c r="DR78" s="52">
        <f t="shared" si="318"/>
        <v>0</v>
      </c>
      <c r="DS78" s="52">
        <f t="shared" si="318"/>
        <v>0</v>
      </c>
      <c r="DT78" s="52">
        <f t="shared" si="318"/>
        <v>0</v>
      </c>
      <c r="DU78" s="52">
        <f t="shared" si="318"/>
        <v>0</v>
      </c>
      <c r="DV78" s="52">
        <f t="shared" si="21"/>
        <v>100</v>
      </c>
      <c r="DW78" s="52">
        <f t="shared" si="22"/>
        <v>1</v>
      </c>
    </row>
    <row r="79">
      <c r="A79" s="41" t="s">
        <v>64</v>
      </c>
      <c r="B79" s="41" t="s">
        <v>56</v>
      </c>
      <c r="C79" s="31" t="s">
        <v>247</v>
      </c>
      <c r="D79" s="25" t="str">
        <f>IFERROR(__xludf.DUMMYFUNCTION("SPLIT(C79,"" "")"),"Aslam,")</f>
        <v>Aslam,</v>
      </c>
      <c r="E79" s="40" t="str">
        <f>IFERROR(__xludf.DUMMYFUNCTION("""COMPUTED_VALUE"""),"Chris
PO")</f>
        <v>Chris
PO</v>
      </c>
      <c r="F79" s="40" t="str">
        <f>IFERROR(__xludf.DUMMYFUNCTION("""COMPUTED_VALUE"""),"Box")</f>
        <v>Box</v>
      </c>
      <c r="G79" s="40" t="str">
        <f>IFERROR(__xludf.DUMMYFUNCTION("""COMPUTED_VALUE"""),"496539
Garland,")</f>
        <v>496539
Garland,</v>
      </c>
      <c r="H79" s="40" t="str">
        <f>IFERROR(__xludf.DUMMYFUNCTION("""COMPUTED_VALUE"""),"TX")</f>
        <v>TX</v>
      </c>
      <c r="I79" s="40">
        <f>IFERROR(__xludf.DUMMYFUNCTION("""COMPUTED_VALUE"""),75049.0)</f>
        <v>75049</v>
      </c>
      <c r="J79" s="40"/>
      <c r="K79" s="40"/>
      <c r="L79" s="40"/>
      <c r="M79" s="40"/>
      <c r="N79" s="40"/>
      <c r="O79" s="40"/>
      <c r="P79" s="40"/>
      <c r="Q79" s="40"/>
      <c r="R79" s="40"/>
      <c r="S79" s="40"/>
      <c r="T79" s="40"/>
      <c r="U79" s="24" t="str">
        <f>IFERROR(__xludf.DUMMYFUNCTION("SPLIT(E79,""01234567890"")"),"Chris
PO")</f>
        <v>Chris
PO</v>
      </c>
      <c r="V79" s="24" t="str">
        <f>IFERROR(__xludf.DUMMYFUNCTION("SPLIT(D79,"","")"),"Aslam")</f>
        <v>Aslam</v>
      </c>
      <c r="W79" s="25" t="str">
        <f t="shared" si="1"/>
        <v>CHRIS
PO ASLAM</v>
      </c>
      <c r="X79" s="25" t="s">
        <v>248</v>
      </c>
      <c r="Y79" s="25">
        <v>75049.0</v>
      </c>
      <c r="Z79" s="25" t="str">
        <f>IFERROR(__xludf.DUMMYFUNCTION("SPLIT(C79,""
"")"),"Aslam, Chris")</f>
        <v>Aslam, Chris</v>
      </c>
      <c r="AA79" s="25" t="str">
        <f>IFERROR(__xludf.DUMMYFUNCTION("""COMPUTED_VALUE"""),"PO Box 496539")</f>
        <v>PO Box 496539</v>
      </c>
      <c r="AB79" s="25" t="str">
        <f>IFERROR(__xludf.DUMMYFUNCTION("""COMPUTED_VALUE"""),"Garland, TX 75049")</f>
        <v>Garland, TX 75049</v>
      </c>
      <c r="AC79" s="24" t="s">
        <v>249</v>
      </c>
      <c r="AD79" s="25"/>
      <c r="AE79" s="25"/>
      <c r="AF79" s="25"/>
      <c r="AG79" s="40" t="s">
        <v>60</v>
      </c>
      <c r="AH79" s="42">
        <v>2441.0</v>
      </c>
      <c r="AI79" s="40" t="s">
        <v>61</v>
      </c>
      <c r="AJ79" s="27">
        <v>1000.0</v>
      </c>
      <c r="AK79" s="31" t="s">
        <v>21</v>
      </c>
      <c r="AL79" s="43">
        <v>44700.0</v>
      </c>
      <c r="AM79" s="44">
        <v>44756.4640625</v>
      </c>
      <c r="AN79" s="30">
        <v>2.0</v>
      </c>
      <c r="AO79" s="40"/>
      <c r="AP79" s="40"/>
      <c r="AQ79" s="40"/>
      <c r="AR79" s="40"/>
      <c r="AS79" s="31">
        <f>IFERROR(__xludf.DUMMYFUNCTION("""COMPUTED_VALUE"""),76063.0)</f>
        <v>76063</v>
      </c>
      <c r="AT79" s="45">
        <f t="shared" si="6"/>
        <v>550</v>
      </c>
      <c r="AU79" s="40"/>
      <c r="AV79" s="46" t="str">
        <f>IFERROR(__xludf.DUMMYFUNCTION("""COMPUTED_VALUE"""),"Blair")</f>
        <v>Blair</v>
      </c>
      <c r="AW79" s="46">
        <f t="shared" si="7"/>
        <v>150</v>
      </c>
      <c r="AX79" s="47">
        <f t="shared" ref="AX79:BQ79" si="319">SUMIFS($AJ:$AJ,$V:$V,$AV79,$AK:$AK,AX$2)</f>
        <v>0</v>
      </c>
      <c r="AY79" s="48">
        <f t="shared" si="319"/>
        <v>150</v>
      </c>
      <c r="AZ79" s="48">
        <f t="shared" si="319"/>
        <v>0</v>
      </c>
      <c r="BA79" s="48">
        <f t="shared" si="319"/>
        <v>0</v>
      </c>
      <c r="BB79" s="48">
        <f t="shared" si="319"/>
        <v>0</v>
      </c>
      <c r="BC79" s="48">
        <f t="shared" si="319"/>
        <v>0</v>
      </c>
      <c r="BD79" s="48">
        <f t="shared" si="319"/>
        <v>0</v>
      </c>
      <c r="BE79" s="48">
        <f t="shared" si="319"/>
        <v>0</v>
      </c>
      <c r="BF79" s="48">
        <f t="shared" si="319"/>
        <v>0</v>
      </c>
      <c r="BG79" s="48">
        <f t="shared" si="319"/>
        <v>0</v>
      </c>
      <c r="BH79" s="48">
        <f t="shared" si="319"/>
        <v>0</v>
      </c>
      <c r="BI79" s="48">
        <f t="shared" si="319"/>
        <v>0</v>
      </c>
      <c r="BJ79" s="48">
        <f t="shared" si="319"/>
        <v>0</v>
      </c>
      <c r="BK79" s="48">
        <f t="shared" si="319"/>
        <v>0</v>
      </c>
      <c r="BL79" s="48">
        <f t="shared" si="319"/>
        <v>0</v>
      </c>
      <c r="BM79" s="48">
        <f t="shared" si="319"/>
        <v>0</v>
      </c>
      <c r="BN79" s="48">
        <f t="shared" si="319"/>
        <v>0</v>
      </c>
      <c r="BO79" s="48">
        <f t="shared" si="319"/>
        <v>0</v>
      </c>
      <c r="BP79" s="48">
        <f t="shared" si="319"/>
        <v>0</v>
      </c>
      <c r="BQ79" s="48">
        <f t="shared" si="319"/>
        <v>0</v>
      </c>
      <c r="BR79" s="36">
        <f t="shared" si="9"/>
        <v>0</v>
      </c>
      <c r="BS79" s="38">
        <f t="shared" si="10"/>
        <v>1</v>
      </c>
      <c r="BT79" s="49">
        <f t="shared" si="11"/>
        <v>0</v>
      </c>
      <c r="BU79" s="38">
        <f t="shared" si="12"/>
        <v>1000</v>
      </c>
      <c r="BV79" s="46" t="str">
        <f>IFERROR(__xludf.DUMMYFUNCTION("""COMPUTED_VALUE"""),"Blair")</f>
        <v>Blair</v>
      </c>
      <c r="BW79" s="46">
        <f t="shared" si="13"/>
        <v>150</v>
      </c>
      <c r="BX79" s="47">
        <f t="shared" ref="BX79:CA79" si="320">AX79-$BU79</f>
        <v>-1000</v>
      </c>
      <c r="BY79" s="47">
        <f t="shared" si="320"/>
        <v>-850</v>
      </c>
      <c r="BZ79" s="47">
        <f t="shared" si="320"/>
        <v>-1000</v>
      </c>
      <c r="CA79" s="47">
        <f t="shared" si="320"/>
        <v>-1000</v>
      </c>
      <c r="CB79" s="47">
        <f t="shared" si="15"/>
        <v>-10000</v>
      </c>
      <c r="CC79" s="47">
        <f t="shared" ref="CC79:CQ79" si="321">BC79-$BU79</f>
        <v>-1000</v>
      </c>
      <c r="CD79" s="47">
        <f t="shared" si="321"/>
        <v>-1000</v>
      </c>
      <c r="CE79" s="47">
        <f t="shared" si="321"/>
        <v>-1000</v>
      </c>
      <c r="CF79" s="47">
        <f t="shared" si="321"/>
        <v>-1000</v>
      </c>
      <c r="CG79" s="47">
        <f t="shared" si="321"/>
        <v>-1000</v>
      </c>
      <c r="CH79" s="47">
        <f t="shared" si="321"/>
        <v>-1000</v>
      </c>
      <c r="CI79" s="47">
        <f t="shared" si="321"/>
        <v>-1000</v>
      </c>
      <c r="CJ79" s="47">
        <f t="shared" si="321"/>
        <v>-1000</v>
      </c>
      <c r="CK79" s="47">
        <f t="shared" si="321"/>
        <v>-1000</v>
      </c>
      <c r="CL79" s="47">
        <f t="shared" si="321"/>
        <v>-1000</v>
      </c>
      <c r="CM79" s="47">
        <f t="shared" si="321"/>
        <v>-1000</v>
      </c>
      <c r="CN79" s="47">
        <f t="shared" si="321"/>
        <v>-1000</v>
      </c>
      <c r="CO79" s="47">
        <f t="shared" si="321"/>
        <v>-1000</v>
      </c>
      <c r="CP79" s="47">
        <f t="shared" si="321"/>
        <v>-1000</v>
      </c>
      <c r="CQ79" s="47">
        <f t="shared" si="321"/>
        <v>-1000</v>
      </c>
      <c r="CR79" s="47"/>
      <c r="CS79" s="47"/>
      <c r="CT79" s="47"/>
      <c r="CU79" s="50" t="str">
        <f>IFERROR(__xludf.DUMMYFUNCTION("""COMPUTED_VALUE"""),"3817 Normandy Ave
Dallas, TX 75205          ")</f>
        <v>3817 Normandy Ave
Dallas, TX 75205          </v>
      </c>
      <c r="CV79" s="51">
        <f>IFERROR(__xludf.DUMMYFUNCTION("IF(REGEXMATCH(UPPER(CU79), ""TX""),0,1)"),0.0)</f>
        <v>0</v>
      </c>
      <c r="CW79" s="51">
        <f>IFERROR(__xludf.DUMMYFUNCTION("IF(REGEXMATCH(UPPER(CU79), ""DALLAS""),0,1)"),0.0)</f>
        <v>0</v>
      </c>
      <c r="CX79" s="51">
        <f t="shared" si="17"/>
        <v>0</v>
      </c>
      <c r="CY79" s="51">
        <f t="shared" si="18"/>
        <v>0</v>
      </c>
      <c r="CZ79" s="52" t="str">
        <f t="shared" si="19"/>
        <v/>
      </c>
      <c r="DA79" s="53" t="str">
        <f>IFERROR(__xludf.DUMMYFUNCTION("""COMPUTED_VALUE"""),"4727 Arvilla
Houston, TX 77021           ")</f>
        <v>4727 Arvilla
Houston, TX 77021           </v>
      </c>
      <c r="DB79" s="52">
        <f t="shared" ref="DB79:DU79" si="322">SUMIFS($AJ:$AJ,$X:$X,$DA79,$AK:$AK,DB$2)</f>
        <v>0</v>
      </c>
      <c r="DC79" s="52">
        <f t="shared" si="322"/>
        <v>0</v>
      </c>
      <c r="DD79" s="52">
        <f t="shared" si="322"/>
        <v>0</v>
      </c>
      <c r="DE79" s="52">
        <f t="shared" si="322"/>
        <v>1000</v>
      </c>
      <c r="DF79" s="52">
        <f t="shared" si="322"/>
        <v>0</v>
      </c>
      <c r="DG79" s="52">
        <f t="shared" si="322"/>
        <v>0</v>
      </c>
      <c r="DH79" s="52">
        <f t="shared" si="322"/>
        <v>0</v>
      </c>
      <c r="DI79" s="52">
        <f t="shared" si="322"/>
        <v>0</v>
      </c>
      <c r="DJ79" s="52">
        <f t="shared" si="322"/>
        <v>0</v>
      </c>
      <c r="DK79" s="52">
        <f t="shared" si="322"/>
        <v>0</v>
      </c>
      <c r="DL79" s="52">
        <f t="shared" si="322"/>
        <v>0</v>
      </c>
      <c r="DM79" s="52">
        <f t="shared" si="322"/>
        <v>0</v>
      </c>
      <c r="DN79" s="52">
        <f t="shared" si="322"/>
        <v>0</v>
      </c>
      <c r="DO79" s="52">
        <f t="shared" si="322"/>
        <v>0</v>
      </c>
      <c r="DP79" s="52">
        <f t="shared" si="322"/>
        <v>0</v>
      </c>
      <c r="DQ79" s="52">
        <f t="shared" si="322"/>
        <v>0</v>
      </c>
      <c r="DR79" s="52">
        <f t="shared" si="322"/>
        <v>0</v>
      </c>
      <c r="DS79" s="52">
        <f t="shared" si="322"/>
        <v>0</v>
      </c>
      <c r="DT79" s="52">
        <f t="shared" si="322"/>
        <v>0</v>
      </c>
      <c r="DU79" s="52">
        <f t="shared" si="322"/>
        <v>0</v>
      </c>
      <c r="DV79" s="52">
        <f t="shared" si="21"/>
        <v>1000</v>
      </c>
      <c r="DW79" s="52">
        <f t="shared" si="22"/>
        <v>1</v>
      </c>
    </row>
    <row r="80">
      <c r="A80" s="23" t="s">
        <v>64</v>
      </c>
      <c r="B80" s="23" t="s">
        <v>56</v>
      </c>
      <c r="C80" s="31" t="s">
        <v>250</v>
      </c>
      <c r="D80" s="25" t="str">
        <f>IFERROR(__xludf.DUMMYFUNCTION("SPLIT(C80,"" "")"),"Assaff,")</f>
        <v>Assaff,</v>
      </c>
      <c r="E80" s="22" t="str">
        <f>IFERROR(__xludf.DUMMYFUNCTION("""COMPUTED_VALUE"""),"Jim
PO")</f>
        <v>Jim
PO</v>
      </c>
      <c r="F80" s="22" t="str">
        <f>IFERROR(__xludf.DUMMYFUNCTION("""COMPUTED_VALUE"""),"Box")</f>
        <v>Box</v>
      </c>
      <c r="G80" s="22" t="str">
        <f>IFERROR(__xludf.DUMMYFUNCTION("""COMPUTED_VALUE"""),"190464
Dallas,")</f>
        <v>190464
Dallas,</v>
      </c>
      <c r="H80" s="22" t="str">
        <f>IFERROR(__xludf.DUMMYFUNCTION("""COMPUTED_VALUE"""),"TX")</f>
        <v>TX</v>
      </c>
      <c r="I80" s="22">
        <f>IFERROR(__xludf.DUMMYFUNCTION("""COMPUTED_VALUE"""),75219.0)</f>
        <v>75219</v>
      </c>
      <c r="J80" s="22"/>
      <c r="K80" s="22"/>
      <c r="L80" s="22"/>
      <c r="M80" s="22"/>
      <c r="N80" s="22"/>
      <c r="O80" s="22"/>
      <c r="P80" s="22"/>
      <c r="Q80" s="22"/>
      <c r="R80" s="22"/>
      <c r="S80" s="22"/>
      <c r="T80" s="22"/>
      <c r="U80" s="24" t="str">
        <f>IFERROR(__xludf.DUMMYFUNCTION("SPLIT(E80,""01234567890"")"),"Jim
PO")</f>
        <v>Jim
PO</v>
      </c>
      <c r="V80" s="24" t="str">
        <f>IFERROR(__xludf.DUMMYFUNCTION("SPLIT(D80,"","")"),"Assaff")</f>
        <v>Assaff</v>
      </c>
      <c r="W80" s="25" t="str">
        <f t="shared" si="1"/>
        <v>JIM
PO ASSAFF</v>
      </c>
      <c r="X80" s="25" t="s">
        <v>251</v>
      </c>
      <c r="Y80" s="25">
        <v>75219.0</v>
      </c>
      <c r="Z80" s="25" t="str">
        <f>IFERROR(__xludf.DUMMYFUNCTION("SPLIT(C80,""
"")"),"Assaff, Jim")</f>
        <v>Assaff, Jim</v>
      </c>
      <c r="AA80" s="25" t="str">
        <f>IFERROR(__xludf.DUMMYFUNCTION("""COMPUTED_VALUE"""),"PO Box 190464")</f>
        <v>PO Box 190464</v>
      </c>
      <c r="AB80" s="25" t="str">
        <f>IFERROR(__xludf.DUMMYFUNCTION("""COMPUTED_VALUE"""),"Dallas, TX 75219")</f>
        <v>Dallas, TX 75219</v>
      </c>
      <c r="AC80" s="24" t="s">
        <v>252</v>
      </c>
      <c r="AD80" s="25"/>
      <c r="AE80" s="25"/>
      <c r="AF80" s="25"/>
      <c r="AG80" s="22" t="s">
        <v>60</v>
      </c>
      <c r="AH80" s="54">
        <v>2437.0</v>
      </c>
      <c r="AI80" s="22" t="s">
        <v>61</v>
      </c>
      <c r="AJ80" s="27">
        <v>250.0</v>
      </c>
      <c r="AK80" s="31" t="s">
        <v>25</v>
      </c>
      <c r="AL80" s="28">
        <v>44727.0</v>
      </c>
      <c r="AM80" s="29">
        <v>44754.83237268519</v>
      </c>
      <c r="AN80" s="30">
        <v>2.0</v>
      </c>
      <c r="AO80" s="22"/>
      <c r="AP80" s="22"/>
      <c r="AQ80" s="22"/>
      <c r="AR80" s="22"/>
      <c r="AS80" s="31">
        <f>IFERROR(__xludf.DUMMYFUNCTION("""COMPUTED_VALUE"""),75235.0)</f>
        <v>75235</v>
      </c>
      <c r="AT80" s="45">
        <f t="shared" si="6"/>
        <v>1050</v>
      </c>
      <c r="AU80" s="22"/>
      <c r="AV80" s="57" t="str">
        <f>IFERROR(__xludf.DUMMYFUNCTION("""COMPUTED_VALUE"""),"Blanco")</f>
        <v>Blanco</v>
      </c>
      <c r="AW80" s="46">
        <f t="shared" si="7"/>
        <v>100</v>
      </c>
      <c r="AX80" s="47">
        <f t="shared" ref="AX80:BQ80" si="323">SUMIFS($AJ:$AJ,$V:$V,$AV80,$AK:$AK,AX$2)</f>
        <v>0</v>
      </c>
      <c r="AY80" s="48">
        <f t="shared" si="323"/>
        <v>0</v>
      </c>
      <c r="AZ80" s="48">
        <f t="shared" si="323"/>
        <v>0</v>
      </c>
      <c r="BA80" s="48">
        <f t="shared" si="323"/>
        <v>0</v>
      </c>
      <c r="BB80" s="48">
        <f t="shared" si="323"/>
        <v>0</v>
      </c>
      <c r="BC80" s="48">
        <f t="shared" si="323"/>
        <v>0</v>
      </c>
      <c r="BD80" s="48">
        <f t="shared" si="323"/>
        <v>100</v>
      </c>
      <c r="BE80" s="48">
        <f t="shared" si="323"/>
        <v>0</v>
      </c>
      <c r="BF80" s="48">
        <f t="shared" si="323"/>
        <v>0</v>
      </c>
      <c r="BG80" s="48">
        <f t="shared" si="323"/>
        <v>0</v>
      </c>
      <c r="BH80" s="48">
        <f t="shared" si="323"/>
        <v>0</v>
      </c>
      <c r="BI80" s="48">
        <f t="shared" si="323"/>
        <v>0</v>
      </c>
      <c r="BJ80" s="48">
        <f t="shared" si="323"/>
        <v>0</v>
      </c>
      <c r="BK80" s="48">
        <f t="shared" si="323"/>
        <v>0</v>
      </c>
      <c r="BL80" s="48">
        <f t="shared" si="323"/>
        <v>0</v>
      </c>
      <c r="BM80" s="48">
        <f t="shared" si="323"/>
        <v>0</v>
      </c>
      <c r="BN80" s="48">
        <f t="shared" si="323"/>
        <v>0</v>
      </c>
      <c r="BO80" s="48">
        <f t="shared" si="323"/>
        <v>0</v>
      </c>
      <c r="BP80" s="48">
        <f t="shared" si="323"/>
        <v>0</v>
      </c>
      <c r="BQ80" s="48">
        <f t="shared" si="323"/>
        <v>0</v>
      </c>
      <c r="BR80" s="36">
        <f t="shared" si="9"/>
        <v>0</v>
      </c>
      <c r="BS80" s="38">
        <f t="shared" si="10"/>
        <v>1</v>
      </c>
      <c r="BT80" s="49">
        <f t="shared" si="11"/>
        <v>0</v>
      </c>
      <c r="BU80" s="38">
        <f t="shared" si="12"/>
        <v>1000</v>
      </c>
      <c r="BV80" s="57" t="str">
        <f>IFERROR(__xludf.DUMMYFUNCTION("""COMPUTED_VALUE"""),"Blanco")</f>
        <v>Blanco</v>
      </c>
      <c r="BW80" s="46">
        <f t="shared" si="13"/>
        <v>100</v>
      </c>
      <c r="BX80" s="47">
        <f t="shared" ref="BX80:CA80" si="324">AX80-$BU80</f>
        <v>-1000</v>
      </c>
      <c r="BY80" s="47">
        <f t="shared" si="324"/>
        <v>-1000</v>
      </c>
      <c r="BZ80" s="47">
        <f t="shared" si="324"/>
        <v>-1000</v>
      </c>
      <c r="CA80" s="47">
        <f t="shared" si="324"/>
        <v>-1000</v>
      </c>
      <c r="CB80" s="47">
        <f t="shared" si="15"/>
        <v>-10000</v>
      </c>
      <c r="CC80" s="47">
        <f t="shared" ref="CC80:CQ80" si="325">BC80-$BU80</f>
        <v>-1000</v>
      </c>
      <c r="CD80" s="47">
        <f t="shared" si="325"/>
        <v>-900</v>
      </c>
      <c r="CE80" s="47">
        <f t="shared" si="325"/>
        <v>-1000</v>
      </c>
      <c r="CF80" s="47">
        <f t="shared" si="325"/>
        <v>-1000</v>
      </c>
      <c r="CG80" s="47">
        <f t="shared" si="325"/>
        <v>-1000</v>
      </c>
      <c r="CH80" s="47">
        <f t="shared" si="325"/>
        <v>-1000</v>
      </c>
      <c r="CI80" s="47">
        <f t="shared" si="325"/>
        <v>-1000</v>
      </c>
      <c r="CJ80" s="47">
        <f t="shared" si="325"/>
        <v>-1000</v>
      </c>
      <c r="CK80" s="47">
        <f t="shared" si="325"/>
        <v>-1000</v>
      </c>
      <c r="CL80" s="47">
        <f t="shared" si="325"/>
        <v>-1000</v>
      </c>
      <c r="CM80" s="47">
        <f t="shared" si="325"/>
        <v>-1000</v>
      </c>
      <c r="CN80" s="47">
        <f t="shared" si="325"/>
        <v>-1000</v>
      </c>
      <c r="CO80" s="47">
        <f t="shared" si="325"/>
        <v>-1000</v>
      </c>
      <c r="CP80" s="47">
        <f t="shared" si="325"/>
        <v>-1000</v>
      </c>
      <c r="CQ80" s="47">
        <f t="shared" si="325"/>
        <v>-1000</v>
      </c>
      <c r="CR80" s="47"/>
      <c r="CS80" s="47"/>
      <c r="CT80" s="47"/>
      <c r="CU80" s="50" t="str">
        <f>IFERROR(__xludf.DUMMYFUNCTION("""COMPUTED_VALUE"""),"4211 Brookview Drive
Dallas, TX 75220          ")</f>
        <v>4211 Brookview Drive
Dallas, TX 75220          </v>
      </c>
      <c r="CV80" s="51">
        <f>IFERROR(__xludf.DUMMYFUNCTION("IF(REGEXMATCH(UPPER(CU80), ""TX""),0,1)"),0.0)</f>
        <v>0</v>
      </c>
      <c r="CW80" s="51">
        <f>IFERROR(__xludf.DUMMYFUNCTION("IF(REGEXMATCH(UPPER(CU80), ""DALLAS""),0,1)"),0.0)</f>
        <v>0</v>
      </c>
      <c r="CX80" s="51">
        <f t="shared" si="17"/>
        <v>0</v>
      </c>
      <c r="CY80" s="51">
        <f t="shared" si="18"/>
        <v>0</v>
      </c>
      <c r="CZ80" s="52" t="str">
        <f t="shared" si="19"/>
        <v/>
      </c>
      <c r="DA80" s="53" t="str">
        <f>IFERROR(__xludf.DUMMYFUNCTION("""COMPUTED_VALUE"""),"415 Janie Lane
Shreveport, LA 71106          ")</f>
        <v>415 Janie Lane
Shreveport, LA 71106          </v>
      </c>
      <c r="DB80" s="52">
        <f t="shared" ref="DB80:DU80" si="326">SUMIFS($AJ:$AJ,$X:$X,$DA80,$AK:$AK,DB$2)</f>
        <v>0</v>
      </c>
      <c r="DC80" s="52">
        <f t="shared" si="326"/>
        <v>0</v>
      </c>
      <c r="DD80" s="52">
        <f t="shared" si="326"/>
        <v>0</v>
      </c>
      <c r="DE80" s="52">
        <f t="shared" si="326"/>
        <v>500</v>
      </c>
      <c r="DF80" s="52">
        <f t="shared" si="326"/>
        <v>0</v>
      </c>
      <c r="DG80" s="52">
        <f t="shared" si="326"/>
        <v>0</v>
      </c>
      <c r="DH80" s="52">
        <f t="shared" si="326"/>
        <v>0</v>
      </c>
      <c r="DI80" s="52">
        <f t="shared" si="326"/>
        <v>0</v>
      </c>
      <c r="DJ80" s="52">
        <f t="shared" si="326"/>
        <v>0</v>
      </c>
      <c r="DK80" s="52">
        <f t="shared" si="326"/>
        <v>0</v>
      </c>
      <c r="DL80" s="52">
        <f t="shared" si="326"/>
        <v>0</v>
      </c>
      <c r="DM80" s="52">
        <f t="shared" si="326"/>
        <v>0</v>
      </c>
      <c r="DN80" s="52">
        <f t="shared" si="326"/>
        <v>0</v>
      </c>
      <c r="DO80" s="52">
        <f t="shared" si="326"/>
        <v>0</v>
      </c>
      <c r="DP80" s="52">
        <f t="shared" si="326"/>
        <v>0</v>
      </c>
      <c r="DQ80" s="52">
        <f t="shared" si="326"/>
        <v>0</v>
      </c>
      <c r="DR80" s="52">
        <f t="shared" si="326"/>
        <v>0</v>
      </c>
      <c r="DS80" s="52">
        <f t="shared" si="326"/>
        <v>0</v>
      </c>
      <c r="DT80" s="52">
        <f t="shared" si="326"/>
        <v>0</v>
      </c>
      <c r="DU80" s="52">
        <f t="shared" si="326"/>
        <v>0</v>
      </c>
      <c r="DV80" s="52">
        <f t="shared" si="21"/>
        <v>500</v>
      </c>
      <c r="DW80" s="52">
        <f t="shared" si="22"/>
        <v>1</v>
      </c>
    </row>
    <row r="81">
      <c r="A81" s="40" t="s">
        <v>55</v>
      </c>
      <c r="B81" s="41" t="s">
        <v>56</v>
      </c>
      <c r="C81" s="31" t="s">
        <v>253</v>
      </c>
      <c r="D81" s="25" t="str">
        <f>IFERROR(__xludf.DUMMYFUNCTION("SPLIT(C81,"" "")"),"AT&amp;T")</f>
        <v>AT&amp;T</v>
      </c>
      <c r="E81" s="40" t="str">
        <f>IFERROR(__xludf.DUMMYFUNCTION("""COMPUTED_VALUE"""),"PAC
816")</f>
        <v>PAC
816</v>
      </c>
      <c r="F81" s="40" t="str">
        <f>IFERROR(__xludf.DUMMYFUNCTION("""COMPUTED_VALUE"""),"Congress")</f>
        <v>Congress</v>
      </c>
      <c r="G81" s="40" t="str">
        <f>IFERROR(__xludf.DUMMYFUNCTION("""COMPUTED_VALUE"""),"Ave.
Austin,")</f>
        <v>Ave.
Austin,</v>
      </c>
      <c r="H81" s="40" t="str">
        <f>IFERROR(__xludf.DUMMYFUNCTION("""COMPUTED_VALUE"""),"TX")</f>
        <v>TX</v>
      </c>
      <c r="I81" s="40">
        <f>IFERROR(__xludf.DUMMYFUNCTION("""COMPUTED_VALUE"""),78701.0)</f>
        <v>78701</v>
      </c>
      <c r="J81" s="40"/>
      <c r="K81" s="40"/>
      <c r="L81" s="40"/>
      <c r="M81" s="40"/>
      <c r="N81" s="40"/>
      <c r="O81" s="40"/>
      <c r="P81" s="40"/>
      <c r="Q81" s="40"/>
      <c r="R81" s="40"/>
      <c r="S81" s="40"/>
      <c r="T81" s="40"/>
      <c r="U81" s="24" t="str">
        <f>IFERROR(__xludf.DUMMYFUNCTION("SPLIT(E81,""01234567890"")"),"PAC
")</f>
        <v>PAC
</v>
      </c>
      <c r="V81" s="24" t="str">
        <f>IFERROR(__xludf.DUMMYFUNCTION("SPLIT(D81,"","")"),"AT&amp;T")</f>
        <v>AT&amp;T</v>
      </c>
      <c r="W81" s="25" t="str">
        <f t="shared" si="1"/>
        <v>PAC
 AT&amp;T</v>
      </c>
      <c r="X81" s="25" t="s">
        <v>254</v>
      </c>
      <c r="Y81" s="25">
        <v>78701.0</v>
      </c>
      <c r="Z81" s="25" t="str">
        <f>IFERROR(__xludf.DUMMYFUNCTION("SPLIT(C81,""
"")"),"AT&amp;T PAC")</f>
        <v>AT&amp;T PAC</v>
      </c>
      <c r="AA81" s="25" t="str">
        <f>IFERROR(__xludf.DUMMYFUNCTION("""COMPUTED_VALUE"""),"816 Congress Ave.")</f>
        <v>816 Congress Ave.</v>
      </c>
      <c r="AB81" s="25" t="str">
        <f>IFERROR(__xludf.DUMMYFUNCTION("""COMPUTED_VALUE"""),"Austin, TX 78701")</f>
        <v>Austin, TX 78701</v>
      </c>
      <c r="AC81" s="24" t="s">
        <v>255</v>
      </c>
      <c r="AD81" s="25"/>
      <c r="AE81" s="25"/>
      <c r="AF81" s="25"/>
      <c r="AG81" s="40" t="s">
        <v>60</v>
      </c>
      <c r="AH81" s="42">
        <v>2481.0</v>
      </c>
      <c r="AI81" s="40" t="s">
        <v>68</v>
      </c>
      <c r="AJ81" s="27">
        <v>5000.0</v>
      </c>
      <c r="AK81" s="31" t="s">
        <v>25</v>
      </c>
      <c r="AL81" s="43">
        <v>44841.0</v>
      </c>
      <c r="AM81" s="44">
        <v>44937.81995370371</v>
      </c>
      <c r="AN81" s="30">
        <v>2.0</v>
      </c>
      <c r="AO81" s="40"/>
      <c r="AP81" s="40"/>
      <c r="AQ81" s="40"/>
      <c r="AR81" s="40"/>
      <c r="AS81" s="31">
        <f>IFERROR(__xludf.DUMMYFUNCTION("""COMPUTED_VALUE"""),75013.0)</f>
        <v>75013</v>
      </c>
      <c r="AT81" s="45">
        <f t="shared" si="6"/>
        <v>3750</v>
      </c>
      <c r="AU81" s="40"/>
      <c r="AV81" s="46" t="str">
        <f>IFERROR(__xludf.DUMMYFUNCTION("""COMPUTED_VALUE"""),"Blessing")</f>
        <v>Blessing</v>
      </c>
      <c r="AW81" s="46">
        <f t="shared" si="7"/>
        <v>2000</v>
      </c>
      <c r="AX81" s="47">
        <f t="shared" ref="AX81:BQ81" si="327">SUMIFS($AJ:$AJ,$V:$V,$AV81,$AK:$AK,AX$2)</f>
        <v>0</v>
      </c>
      <c r="AY81" s="48">
        <f t="shared" si="327"/>
        <v>0</v>
      </c>
      <c r="AZ81" s="48">
        <f t="shared" si="327"/>
        <v>0</v>
      </c>
      <c r="BA81" s="48">
        <f t="shared" si="327"/>
        <v>0</v>
      </c>
      <c r="BB81" s="48">
        <f t="shared" si="327"/>
        <v>2000</v>
      </c>
      <c r="BC81" s="48">
        <f t="shared" si="327"/>
        <v>0</v>
      </c>
      <c r="BD81" s="48">
        <f t="shared" si="327"/>
        <v>0</v>
      </c>
      <c r="BE81" s="48">
        <f t="shared" si="327"/>
        <v>0</v>
      </c>
      <c r="BF81" s="48">
        <f t="shared" si="327"/>
        <v>0</v>
      </c>
      <c r="BG81" s="48">
        <f t="shared" si="327"/>
        <v>0</v>
      </c>
      <c r="BH81" s="48">
        <f t="shared" si="327"/>
        <v>0</v>
      </c>
      <c r="BI81" s="48">
        <f t="shared" si="327"/>
        <v>0</v>
      </c>
      <c r="BJ81" s="48">
        <f t="shared" si="327"/>
        <v>0</v>
      </c>
      <c r="BK81" s="48">
        <f t="shared" si="327"/>
        <v>0</v>
      </c>
      <c r="BL81" s="48">
        <f t="shared" si="327"/>
        <v>0</v>
      </c>
      <c r="BM81" s="48">
        <f t="shared" si="327"/>
        <v>0</v>
      </c>
      <c r="BN81" s="48">
        <f t="shared" si="327"/>
        <v>0</v>
      </c>
      <c r="BO81" s="48">
        <f t="shared" si="327"/>
        <v>0</v>
      </c>
      <c r="BP81" s="48">
        <f t="shared" si="327"/>
        <v>0</v>
      </c>
      <c r="BQ81" s="48">
        <f t="shared" si="327"/>
        <v>0</v>
      </c>
      <c r="BR81" s="36">
        <f t="shared" si="9"/>
        <v>0</v>
      </c>
      <c r="BS81" s="38">
        <f t="shared" si="10"/>
        <v>1</v>
      </c>
      <c r="BT81" s="49">
        <f t="shared" si="11"/>
        <v>0</v>
      </c>
      <c r="BU81" s="38">
        <f t="shared" si="12"/>
        <v>1000</v>
      </c>
      <c r="BV81" s="46" t="str">
        <f>IFERROR(__xludf.DUMMYFUNCTION("""COMPUTED_VALUE"""),"Blessing")</f>
        <v>Blessing</v>
      </c>
      <c r="BW81" s="46">
        <f t="shared" si="13"/>
        <v>2000</v>
      </c>
      <c r="BX81" s="47">
        <f t="shared" ref="BX81:CA81" si="328">AX81-$BU81</f>
        <v>-1000</v>
      </c>
      <c r="BY81" s="47">
        <f t="shared" si="328"/>
        <v>-1000</v>
      </c>
      <c r="BZ81" s="47">
        <f t="shared" si="328"/>
        <v>-1000</v>
      </c>
      <c r="CA81" s="47">
        <f t="shared" si="328"/>
        <v>-1000</v>
      </c>
      <c r="CB81" s="47">
        <f t="shared" si="15"/>
        <v>-8000</v>
      </c>
      <c r="CC81" s="47">
        <f t="shared" ref="CC81:CQ81" si="329">BC81-$BU81</f>
        <v>-1000</v>
      </c>
      <c r="CD81" s="47">
        <f t="shared" si="329"/>
        <v>-1000</v>
      </c>
      <c r="CE81" s="47">
        <f t="shared" si="329"/>
        <v>-1000</v>
      </c>
      <c r="CF81" s="47">
        <f t="shared" si="329"/>
        <v>-1000</v>
      </c>
      <c r="CG81" s="47">
        <f t="shared" si="329"/>
        <v>-1000</v>
      </c>
      <c r="CH81" s="47">
        <f t="shared" si="329"/>
        <v>-1000</v>
      </c>
      <c r="CI81" s="47">
        <f t="shared" si="329"/>
        <v>-1000</v>
      </c>
      <c r="CJ81" s="47">
        <f t="shared" si="329"/>
        <v>-1000</v>
      </c>
      <c r="CK81" s="47">
        <f t="shared" si="329"/>
        <v>-1000</v>
      </c>
      <c r="CL81" s="47">
        <f t="shared" si="329"/>
        <v>-1000</v>
      </c>
      <c r="CM81" s="47">
        <f t="shared" si="329"/>
        <v>-1000</v>
      </c>
      <c r="CN81" s="47">
        <f t="shared" si="329"/>
        <v>-1000</v>
      </c>
      <c r="CO81" s="47">
        <f t="shared" si="329"/>
        <v>-1000</v>
      </c>
      <c r="CP81" s="47">
        <f t="shared" si="329"/>
        <v>-1000</v>
      </c>
      <c r="CQ81" s="47">
        <f t="shared" si="329"/>
        <v>-1000</v>
      </c>
      <c r="CR81" s="47"/>
      <c r="CS81" s="47"/>
      <c r="CT81" s="47"/>
      <c r="CU81" s="50" t="str">
        <f>IFERROR(__xludf.DUMMYFUNCTION("""COMPUTED_VALUE"""),"10416 Church Road Dallas
Dallas, TX 75238         ")</f>
        <v>10416 Church Road Dallas
Dallas, TX 75238         </v>
      </c>
      <c r="CV81" s="51">
        <f>IFERROR(__xludf.DUMMYFUNCTION("IF(REGEXMATCH(UPPER(CU81), ""TX""),0,1)"),0.0)</f>
        <v>0</v>
      </c>
      <c r="CW81" s="51">
        <f>IFERROR(__xludf.DUMMYFUNCTION("IF(REGEXMATCH(UPPER(CU81), ""DALLAS""),0,1)"),0.0)</f>
        <v>0</v>
      </c>
      <c r="CX81" s="51">
        <f t="shared" si="17"/>
        <v>0</v>
      </c>
      <c r="CY81" s="51">
        <f t="shared" si="18"/>
        <v>0</v>
      </c>
      <c r="CZ81" s="52" t="str">
        <f t="shared" si="19"/>
        <v/>
      </c>
      <c r="DA81" s="53" t="str">
        <f>IFERROR(__xludf.DUMMYFUNCTION("""COMPUTED_VALUE"""),"12703 Nutty Brown Rd
Austin, TX 78737         ")</f>
        <v>12703 Nutty Brown Rd
Austin, TX 78737         </v>
      </c>
      <c r="DB81" s="52">
        <f t="shared" ref="DB81:DU81" si="330">SUMIFS($AJ:$AJ,$X:$X,$DA81,$AK:$AK,DB$2)</f>
        <v>0</v>
      </c>
      <c r="DC81" s="52">
        <f t="shared" si="330"/>
        <v>0</v>
      </c>
      <c r="DD81" s="52">
        <f t="shared" si="330"/>
        <v>0</v>
      </c>
      <c r="DE81" s="52">
        <f t="shared" si="330"/>
        <v>70</v>
      </c>
      <c r="DF81" s="52">
        <f t="shared" si="330"/>
        <v>0</v>
      </c>
      <c r="DG81" s="52">
        <f t="shared" si="330"/>
        <v>0</v>
      </c>
      <c r="DH81" s="52">
        <f t="shared" si="330"/>
        <v>0</v>
      </c>
      <c r="DI81" s="52">
        <f t="shared" si="330"/>
        <v>0</v>
      </c>
      <c r="DJ81" s="52">
        <f t="shared" si="330"/>
        <v>0</v>
      </c>
      <c r="DK81" s="52">
        <f t="shared" si="330"/>
        <v>0</v>
      </c>
      <c r="DL81" s="52">
        <f t="shared" si="330"/>
        <v>0</v>
      </c>
      <c r="DM81" s="52">
        <f t="shared" si="330"/>
        <v>0</v>
      </c>
      <c r="DN81" s="52">
        <f t="shared" si="330"/>
        <v>0</v>
      </c>
      <c r="DO81" s="52">
        <f t="shared" si="330"/>
        <v>0</v>
      </c>
      <c r="DP81" s="52">
        <f t="shared" si="330"/>
        <v>0</v>
      </c>
      <c r="DQ81" s="52">
        <f t="shared" si="330"/>
        <v>0</v>
      </c>
      <c r="DR81" s="52">
        <f t="shared" si="330"/>
        <v>0</v>
      </c>
      <c r="DS81" s="52">
        <f t="shared" si="330"/>
        <v>0</v>
      </c>
      <c r="DT81" s="52">
        <f t="shared" si="330"/>
        <v>0</v>
      </c>
      <c r="DU81" s="52">
        <f t="shared" si="330"/>
        <v>0</v>
      </c>
      <c r="DV81" s="52">
        <f t="shared" si="21"/>
        <v>70</v>
      </c>
      <c r="DW81" s="52">
        <f t="shared" si="22"/>
        <v>1</v>
      </c>
    </row>
    <row r="82">
      <c r="A82" s="22" t="s">
        <v>55</v>
      </c>
      <c r="B82" s="23" t="s">
        <v>56</v>
      </c>
      <c r="C82" s="31" t="s">
        <v>256</v>
      </c>
      <c r="D82" s="25" t="str">
        <f>IFERROR(__xludf.DUMMYFUNCTION("SPLIT(C82,"" "")"),"AT&amp;T")</f>
        <v>AT&amp;T</v>
      </c>
      <c r="E82" s="22" t="str">
        <f>IFERROR(__xludf.DUMMYFUNCTION("""COMPUTED_VALUE"""),"PAC
816")</f>
        <v>PAC
816</v>
      </c>
      <c r="F82" s="22" t="str">
        <f>IFERROR(__xludf.DUMMYFUNCTION("""COMPUTED_VALUE"""),"Congress")</f>
        <v>Congress</v>
      </c>
      <c r="G82" s="22" t="str">
        <f>IFERROR(__xludf.DUMMYFUNCTION("""COMPUTED_VALUE"""),"Ave
Austin,")</f>
        <v>Ave
Austin,</v>
      </c>
      <c r="H82" s="22" t="str">
        <f>IFERROR(__xludf.DUMMYFUNCTION("""COMPUTED_VALUE"""),"TX")</f>
        <v>TX</v>
      </c>
      <c r="I82" s="22">
        <f>IFERROR(__xludf.DUMMYFUNCTION("""COMPUTED_VALUE"""),78701.0)</f>
        <v>78701</v>
      </c>
      <c r="J82" s="22"/>
      <c r="K82" s="22"/>
      <c r="L82" s="22"/>
      <c r="M82" s="22"/>
      <c r="N82" s="22"/>
      <c r="O82" s="22"/>
      <c r="P82" s="22"/>
      <c r="Q82" s="22"/>
      <c r="R82" s="22"/>
      <c r="S82" s="22"/>
      <c r="T82" s="22"/>
      <c r="U82" s="24" t="str">
        <f>IFERROR(__xludf.DUMMYFUNCTION("SPLIT(E82,""01234567890"")"),"PAC
")</f>
        <v>PAC
</v>
      </c>
      <c r="V82" s="24" t="str">
        <f>IFERROR(__xludf.DUMMYFUNCTION("SPLIT(D82,"","")"),"AT&amp;T")</f>
        <v>AT&amp;T</v>
      </c>
      <c r="W82" s="25" t="str">
        <f t="shared" si="1"/>
        <v>PAC
 AT&amp;T</v>
      </c>
      <c r="X82" s="25" t="s">
        <v>257</v>
      </c>
      <c r="Y82" s="25">
        <v>78701.0</v>
      </c>
      <c r="Z82" s="25" t="str">
        <f>IFERROR(__xludf.DUMMYFUNCTION("SPLIT(C82,""
"")"),"AT&amp;T PAC")</f>
        <v>AT&amp;T PAC</v>
      </c>
      <c r="AA82" s="25" t="str">
        <f>IFERROR(__xludf.DUMMYFUNCTION("""COMPUTED_VALUE"""),"816 Congress Ave")</f>
        <v>816 Congress Ave</v>
      </c>
      <c r="AB82" s="25" t="str">
        <f>IFERROR(__xludf.DUMMYFUNCTION("""COMPUTED_VALUE"""),"Austin, TX 78701")</f>
        <v>Austin, TX 78701</v>
      </c>
      <c r="AC82" s="24" t="s">
        <v>255</v>
      </c>
      <c r="AD82" s="25"/>
      <c r="AE82" s="25"/>
      <c r="AF82" s="25"/>
      <c r="AG82" s="22" t="s">
        <v>60</v>
      </c>
      <c r="AH82" s="54">
        <v>2481.0</v>
      </c>
      <c r="AI82" s="22" t="s">
        <v>68</v>
      </c>
      <c r="AJ82" s="27">
        <v>5000.0</v>
      </c>
      <c r="AK82" s="31" t="s">
        <v>25</v>
      </c>
      <c r="AL82" s="28">
        <v>44907.0</v>
      </c>
      <c r="AM82" s="29">
        <v>44937.81995370371</v>
      </c>
      <c r="AN82" s="30">
        <v>2.0</v>
      </c>
      <c r="AO82" s="22"/>
      <c r="AP82" s="22"/>
      <c r="AQ82" s="22"/>
      <c r="AR82" s="22"/>
      <c r="AS82" s="31">
        <f>IFERROR(__xludf.DUMMYFUNCTION("""COMPUTED_VALUE"""),75215.0)</f>
        <v>75215</v>
      </c>
      <c r="AT82" s="45">
        <f t="shared" si="6"/>
        <v>937</v>
      </c>
      <c r="AU82" s="22"/>
      <c r="AV82" s="57" t="str">
        <f>IFERROR(__xludf.DUMMYFUNCTION("""COMPUTED_VALUE"""),"Blewett")</f>
        <v>Blewett</v>
      </c>
      <c r="AW82" s="46">
        <f t="shared" si="7"/>
        <v>1900</v>
      </c>
      <c r="AX82" s="47">
        <f t="shared" ref="AX82:BQ82" si="331">SUMIFS($AJ:$AJ,$V:$V,$AV82,$AK:$AK,AX$2)</f>
        <v>1900</v>
      </c>
      <c r="AY82" s="48">
        <f t="shared" si="331"/>
        <v>0</v>
      </c>
      <c r="AZ82" s="48">
        <f t="shared" si="331"/>
        <v>0</v>
      </c>
      <c r="BA82" s="48">
        <f t="shared" si="331"/>
        <v>0</v>
      </c>
      <c r="BB82" s="48">
        <f t="shared" si="331"/>
        <v>0</v>
      </c>
      <c r="BC82" s="48">
        <f t="shared" si="331"/>
        <v>0</v>
      </c>
      <c r="BD82" s="48">
        <f t="shared" si="331"/>
        <v>0</v>
      </c>
      <c r="BE82" s="48">
        <f t="shared" si="331"/>
        <v>0</v>
      </c>
      <c r="BF82" s="48">
        <f t="shared" si="331"/>
        <v>0</v>
      </c>
      <c r="BG82" s="48">
        <f t="shared" si="331"/>
        <v>0</v>
      </c>
      <c r="BH82" s="48">
        <f t="shared" si="331"/>
        <v>0</v>
      </c>
      <c r="BI82" s="48">
        <f t="shared" si="331"/>
        <v>0</v>
      </c>
      <c r="BJ82" s="48">
        <f t="shared" si="331"/>
        <v>0</v>
      </c>
      <c r="BK82" s="48">
        <f t="shared" si="331"/>
        <v>0</v>
      </c>
      <c r="BL82" s="48">
        <f t="shared" si="331"/>
        <v>0</v>
      </c>
      <c r="BM82" s="48">
        <f t="shared" si="331"/>
        <v>0</v>
      </c>
      <c r="BN82" s="48">
        <f t="shared" si="331"/>
        <v>0</v>
      </c>
      <c r="BO82" s="48">
        <f t="shared" si="331"/>
        <v>0</v>
      </c>
      <c r="BP82" s="48">
        <f t="shared" si="331"/>
        <v>0</v>
      </c>
      <c r="BQ82" s="48">
        <f t="shared" si="331"/>
        <v>0</v>
      </c>
      <c r="BR82" s="36">
        <f t="shared" si="9"/>
        <v>0</v>
      </c>
      <c r="BS82" s="38">
        <f t="shared" si="10"/>
        <v>1</v>
      </c>
      <c r="BT82" s="49">
        <f t="shared" si="11"/>
        <v>0</v>
      </c>
      <c r="BU82" s="38">
        <f t="shared" si="12"/>
        <v>1000</v>
      </c>
      <c r="BV82" s="57" t="str">
        <f>IFERROR(__xludf.DUMMYFUNCTION("""COMPUTED_VALUE"""),"Blewett")</f>
        <v>Blewett</v>
      </c>
      <c r="BW82" s="46">
        <f t="shared" si="13"/>
        <v>1900</v>
      </c>
      <c r="BX82" s="47">
        <f t="shared" ref="BX82:CA82" si="332">AX82-$BU82</f>
        <v>900</v>
      </c>
      <c r="BY82" s="47">
        <f t="shared" si="332"/>
        <v>-1000</v>
      </c>
      <c r="BZ82" s="47">
        <f t="shared" si="332"/>
        <v>-1000</v>
      </c>
      <c r="CA82" s="47">
        <f t="shared" si="332"/>
        <v>-1000</v>
      </c>
      <c r="CB82" s="47">
        <f t="shared" si="15"/>
        <v>-10000</v>
      </c>
      <c r="CC82" s="47">
        <f t="shared" ref="CC82:CQ82" si="333">BC82-$BU82</f>
        <v>-1000</v>
      </c>
      <c r="CD82" s="47">
        <f t="shared" si="333"/>
        <v>-1000</v>
      </c>
      <c r="CE82" s="47">
        <f t="shared" si="333"/>
        <v>-1000</v>
      </c>
      <c r="CF82" s="47">
        <f t="shared" si="333"/>
        <v>-1000</v>
      </c>
      <c r="CG82" s="47">
        <f t="shared" si="333"/>
        <v>-1000</v>
      </c>
      <c r="CH82" s="47">
        <f t="shared" si="333"/>
        <v>-1000</v>
      </c>
      <c r="CI82" s="47">
        <f t="shared" si="333"/>
        <v>-1000</v>
      </c>
      <c r="CJ82" s="47">
        <f t="shared" si="333"/>
        <v>-1000</v>
      </c>
      <c r="CK82" s="47">
        <f t="shared" si="333"/>
        <v>-1000</v>
      </c>
      <c r="CL82" s="47">
        <f t="shared" si="333"/>
        <v>-1000</v>
      </c>
      <c r="CM82" s="47">
        <f t="shared" si="333"/>
        <v>-1000</v>
      </c>
      <c r="CN82" s="47">
        <f t="shared" si="333"/>
        <v>-1000</v>
      </c>
      <c r="CO82" s="47">
        <f t="shared" si="333"/>
        <v>-1000</v>
      </c>
      <c r="CP82" s="47">
        <f t="shared" si="333"/>
        <v>-1000</v>
      </c>
      <c r="CQ82" s="47">
        <f t="shared" si="333"/>
        <v>-1000</v>
      </c>
      <c r="CR82" s="47"/>
      <c r="CS82" s="47"/>
      <c r="CT82" s="47"/>
      <c r="CU82" s="50" t="str">
        <f>IFERROR(__xludf.DUMMYFUNCTION("""COMPUTED_VALUE"""),"10416 Church Road
Dallas, TX 75238          ")</f>
        <v>10416 Church Road
Dallas, TX 75238          </v>
      </c>
      <c r="CV82" s="51">
        <f>IFERROR(__xludf.DUMMYFUNCTION("IF(REGEXMATCH(UPPER(CU82), ""TX""),0,1)"),0.0)</f>
        <v>0</v>
      </c>
      <c r="CW82" s="51">
        <f>IFERROR(__xludf.DUMMYFUNCTION("IF(REGEXMATCH(UPPER(CU82), ""DALLAS""),0,1)"),0.0)</f>
        <v>0</v>
      </c>
      <c r="CX82" s="51">
        <f t="shared" si="17"/>
        <v>0</v>
      </c>
      <c r="CY82" s="51">
        <f t="shared" si="18"/>
        <v>0</v>
      </c>
      <c r="CZ82" s="52" t="str">
        <f t="shared" si="19"/>
        <v/>
      </c>
      <c r="DA82" s="53" t="str">
        <f>IFERROR(__xludf.DUMMYFUNCTION("""COMPUTED_VALUE"""),"4235 Castle Rock Ct.
IRVING, TX 75038         ")</f>
        <v>4235 Castle Rock Ct.
IRVING, TX 75038         </v>
      </c>
      <c r="DB82" s="52">
        <f t="shared" ref="DB82:DU82" si="334">SUMIFS($AJ:$AJ,$X:$X,$DA82,$AK:$AK,DB$2)</f>
        <v>0</v>
      </c>
      <c r="DC82" s="52">
        <f t="shared" si="334"/>
        <v>0</v>
      </c>
      <c r="DD82" s="52">
        <f t="shared" si="334"/>
        <v>0</v>
      </c>
      <c r="DE82" s="52">
        <f t="shared" si="334"/>
        <v>250</v>
      </c>
      <c r="DF82" s="52">
        <f t="shared" si="334"/>
        <v>0</v>
      </c>
      <c r="DG82" s="52">
        <f t="shared" si="334"/>
        <v>0</v>
      </c>
      <c r="DH82" s="52">
        <f t="shared" si="334"/>
        <v>0</v>
      </c>
      <c r="DI82" s="52">
        <f t="shared" si="334"/>
        <v>0</v>
      </c>
      <c r="DJ82" s="52">
        <f t="shared" si="334"/>
        <v>0</v>
      </c>
      <c r="DK82" s="52">
        <f t="shared" si="334"/>
        <v>0</v>
      </c>
      <c r="DL82" s="52">
        <f t="shared" si="334"/>
        <v>0</v>
      </c>
      <c r="DM82" s="52">
        <f t="shared" si="334"/>
        <v>0</v>
      </c>
      <c r="DN82" s="52">
        <f t="shared" si="334"/>
        <v>0</v>
      </c>
      <c r="DO82" s="52">
        <f t="shared" si="334"/>
        <v>0</v>
      </c>
      <c r="DP82" s="52">
        <f t="shared" si="334"/>
        <v>0</v>
      </c>
      <c r="DQ82" s="52">
        <f t="shared" si="334"/>
        <v>0</v>
      </c>
      <c r="DR82" s="52">
        <f t="shared" si="334"/>
        <v>0</v>
      </c>
      <c r="DS82" s="52">
        <f t="shared" si="334"/>
        <v>0</v>
      </c>
      <c r="DT82" s="52">
        <f t="shared" si="334"/>
        <v>0</v>
      </c>
      <c r="DU82" s="52">
        <f t="shared" si="334"/>
        <v>0</v>
      </c>
      <c r="DV82" s="52">
        <f t="shared" si="21"/>
        <v>250</v>
      </c>
      <c r="DW82" s="52">
        <f t="shared" si="22"/>
        <v>1</v>
      </c>
    </row>
    <row r="83">
      <c r="A83" s="40" t="s">
        <v>55</v>
      </c>
      <c r="B83" s="41" t="s">
        <v>56</v>
      </c>
      <c r="C83" s="31" t="s">
        <v>258</v>
      </c>
      <c r="D83" s="25" t="str">
        <f>IFERROR(__xludf.DUMMYFUNCTION("SPLIT(C83,"" "")"),"Attlee,")</f>
        <v>Attlee,</v>
      </c>
      <c r="E83" s="40" t="str">
        <f>IFERROR(__xludf.DUMMYFUNCTION("""COMPUTED_VALUE"""),"Tim
8751")</f>
        <v>Tim
8751</v>
      </c>
      <c r="F83" s="40" t="str">
        <f>IFERROR(__xludf.DUMMYFUNCTION("""COMPUTED_VALUE"""),"Collin")</f>
        <v>Collin</v>
      </c>
      <c r="G83" s="40" t="str">
        <f>IFERROR(__xludf.DUMMYFUNCTION("""COMPUTED_VALUE"""),"McKinney")</f>
        <v>McKinney</v>
      </c>
      <c r="H83" s="40" t="str">
        <f>IFERROR(__xludf.DUMMYFUNCTION("""COMPUTED_VALUE"""),"Pkwy
McKinney,")</f>
        <v>Pkwy
McKinney,</v>
      </c>
      <c r="I83" s="40" t="str">
        <f>IFERROR(__xludf.DUMMYFUNCTION("""COMPUTED_VALUE"""),"TX")</f>
        <v>TX</v>
      </c>
      <c r="J83" s="40">
        <f>IFERROR(__xludf.DUMMYFUNCTION("""COMPUTED_VALUE"""),75070.0)</f>
        <v>75070</v>
      </c>
      <c r="K83" s="40"/>
      <c r="L83" s="40"/>
      <c r="M83" s="40"/>
      <c r="N83" s="40"/>
      <c r="O83" s="40"/>
      <c r="P83" s="40"/>
      <c r="Q83" s="40"/>
      <c r="R83" s="40"/>
      <c r="S83" s="40"/>
      <c r="T83" s="40"/>
      <c r="U83" s="24" t="str">
        <f>IFERROR(__xludf.DUMMYFUNCTION("SPLIT(E83,""01234567890"")"),"Tim
")</f>
        <v>Tim
</v>
      </c>
      <c r="V83" s="24" t="str">
        <f>IFERROR(__xludf.DUMMYFUNCTION("SPLIT(D83,"","")"),"Attlee")</f>
        <v>Attlee</v>
      </c>
      <c r="W83" s="25" t="str">
        <f t="shared" si="1"/>
        <v>TIM
 ATTLEE</v>
      </c>
      <c r="X83" s="25" t="s">
        <v>259</v>
      </c>
      <c r="Y83" s="25">
        <v>75070.0</v>
      </c>
      <c r="Z83" s="25" t="str">
        <f>IFERROR(__xludf.DUMMYFUNCTION("SPLIT(C83,""
"")"),"Attlee, Tim")</f>
        <v>Attlee, Tim</v>
      </c>
      <c r="AA83" s="25" t="str">
        <f>IFERROR(__xludf.DUMMYFUNCTION("""COMPUTED_VALUE"""),"8751 Collin McKinney Pkwy")</f>
        <v>8751 Collin McKinney Pkwy</v>
      </c>
      <c r="AB83" s="25" t="str">
        <f>IFERROR(__xludf.DUMMYFUNCTION("""COMPUTED_VALUE"""),"McKinney, TX 75070")</f>
        <v>McKinney, TX 75070</v>
      </c>
      <c r="AC83" s="24" t="s">
        <v>260</v>
      </c>
      <c r="AD83" s="25"/>
      <c r="AE83" s="25"/>
      <c r="AF83" s="25"/>
      <c r="AG83" s="40" t="s">
        <v>60</v>
      </c>
      <c r="AH83" s="42">
        <v>2441.0</v>
      </c>
      <c r="AI83" s="40" t="s">
        <v>61</v>
      </c>
      <c r="AJ83" s="27">
        <v>1000.0</v>
      </c>
      <c r="AK83" s="31" t="s">
        <v>21</v>
      </c>
      <c r="AL83" s="43">
        <v>44732.0</v>
      </c>
      <c r="AM83" s="44">
        <v>44756.4640625</v>
      </c>
      <c r="AN83" s="30">
        <v>2.0</v>
      </c>
      <c r="AO83" s="40"/>
      <c r="AP83" s="40"/>
      <c r="AQ83" s="40"/>
      <c r="AR83" s="40"/>
      <c r="AS83" s="31">
        <f>IFERROR(__xludf.DUMMYFUNCTION("""COMPUTED_VALUE"""),75244.0)</f>
        <v>75244</v>
      </c>
      <c r="AT83" s="45">
        <f t="shared" si="6"/>
        <v>2400</v>
      </c>
      <c r="AU83" s="40"/>
      <c r="AV83" s="46" t="str">
        <f>IFERROR(__xludf.DUMMYFUNCTION("""COMPUTED_VALUE"""),"Bloch")</f>
        <v>Bloch</v>
      </c>
      <c r="AW83" s="46">
        <f t="shared" si="7"/>
        <v>1000</v>
      </c>
      <c r="AX83" s="47">
        <f t="shared" ref="AX83:BQ83" si="335">SUMIFS($AJ:$AJ,$V:$V,$AV83,$AK:$AK,AX$2)</f>
        <v>0</v>
      </c>
      <c r="AY83" s="48">
        <f t="shared" si="335"/>
        <v>0</v>
      </c>
      <c r="AZ83" s="48">
        <f t="shared" si="335"/>
        <v>0</v>
      </c>
      <c r="BA83" s="48">
        <f t="shared" si="335"/>
        <v>0</v>
      </c>
      <c r="BB83" s="48">
        <f t="shared" si="335"/>
        <v>0</v>
      </c>
      <c r="BC83" s="48">
        <f t="shared" si="335"/>
        <v>0</v>
      </c>
      <c r="BD83" s="48">
        <f t="shared" si="335"/>
        <v>0</v>
      </c>
      <c r="BE83" s="48">
        <f t="shared" si="335"/>
        <v>0</v>
      </c>
      <c r="BF83" s="48">
        <f t="shared" si="335"/>
        <v>0</v>
      </c>
      <c r="BG83" s="48">
        <f t="shared" si="335"/>
        <v>0</v>
      </c>
      <c r="BH83" s="48">
        <f t="shared" si="335"/>
        <v>1000</v>
      </c>
      <c r="BI83" s="48">
        <f t="shared" si="335"/>
        <v>0</v>
      </c>
      <c r="BJ83" s="48">
        <f t="shared" si="335"/>
        <v>0</v>
      </c>
      <c r="BK83" s="48">
        <f t="shared" si="335"/>
        <v>0</v>
      </c>
      <c r="BL83" s="48">
        <f t="shared" si="335"/>
        <v>0</v>
      </c>
      <c r="BM83" s="48">
        <f t="shared" si="335"/>
        <v>0</v>
      </c>
      <c r="BN83" s="48">
        <f t="shared" si="335"/>
        <v>0</v>
      </c>
      <c r="BO83" s="48">
        <f t="shared" si="335"/>
        <v>0</v>
      </c>
      <c r="BP83" s="48">
        <f t="shared" si="335"/>
        <v>0</v>
      </c>
      <c r="BQ83" s="48">
        <f t="shared" si="335"/>
        <v>0</v>
      </c>
      <c r="BR83" s="36">
        <f t="shared" si="9"/>
        <v>0</v>
      </c>
      <c r="BS83" s="38">
        <f t="shared" si="10"/>
        <v>1</v>
      </c>
      <c r="BT83" s="49">
        <f t="shared" si="11"/>
        <v>0</v>
      </c>
      <c r="BU83" s="38">
        <f t="shared" si="12"/>
        <v>1000</v>
      </c>
      <c r="BV83" s="46" t="str">
        <f>IFERROR(__xludf.DUMMYFUNCTION("""COMPUTED_VALUE"""),"Bloch")</f>
        <v>Bloch</v>
      </c>
      <c r="BW83" s="46">
        <f t="shared" si="13"/>
        <v>1000</v>
      </c>
      <c r="BX83" s="47">
        <f t="shared" ref="BX83:CA83" si="336">AX83-$BU83</f>
        <v>-1000</v>
      </c>
      <c r="BY83" s="47">
        <f t="shared" si="336"/>
        <v>-1000</v>
      </c>
      <c r="BZ83" s="47">
        <f t="shared" si="336"/>
        <v>-1000</v>
      </c>
      <c r="CA83" s="47">
        <f t="shared" si="336"/>
        <v>-1000</v>
      </c>
      <c r="CB83" s="47">
        <f t="shared" si="15"/>
        <v>-10000</v>
      </c>
      <c r="CC83" s="47">
        <f t="shared" ref="CC83:CQ83" si="337">BC83-$BU83</f>
        <v>-1000</v>
      </c>
      <c r="CD83" s="47">
        <f t="shared" si="337"/>
        <v>-1000</v>
      </c>
      <c r="CE83" s="47">
        <f t="shared" si="337"/>
        <v>-1000</v>
      </c>
      <c r="CF83" s="47">
        <f t="shared" si="337"/>
        <v>-1000</v>
      </c>
      <c r="CG83" s="47">
        <f t="shared" si="337"/>
        <v>-1000</v>
      </c>
      <c r="CH83" s="47">
        <f t="shared" si="337"/>
        <v>0</v>
      </c>
      <c r="CI83" s="47">
        <f t="shared" si="337"/>
        <v>-1000</v>
      </c>
      <c r="CJ83" s="47">
        <f t="shared" si="337"/>
        <v>-1000</v>
      </c>
      <c r="CK83" s="47">
        <f t="shared" si="337"/>
        <v>-1000</v>
      </c>
      <c r="CL83" s="47">
        <f t="shared" si="337"/>
        <v>-1000</v>
      </c>
      <c r="CM83" s="47">
        <f t="shared" si="337"/>
        <v>-1000</v>
      </c>
      <c r="CN83" s="47">
        <f t="shared" si="337"/>
        <v>-1000</v>
      </c>
      <c r="CO83" s="47">
        <f t="shared" si="337"/>
        <v>-1000</v>
      </c>
      <c r="CP83" s="47">
        <f t="shared" si="337"/>
        <v>-1000</v>
      </c>
      <c r="CQ83" s="47">
        <f t="shared" si="337"/>
        <v>-1000</v>
      </c>
      <c r="CR83" s="47"/>
      <c r="CS83" s="47"/>
      <c r="CT83" s="47"/>
      <c r="CU83" s="50" t="str">
        <f>IFERROR(__xludf.DUMMYFUNCTION("""COMPUTED_VALUE"""),"thad F.
4011 Commerce St.
Dallas, TX 75226         ")</f>
        <v>thad F.
4011 Commerce St.
Dallas, TX 75226         </v>
      </c>
      <c r="CV83" s="51">
        <f>IFERROR(__xludf.DUMMYFUNCTION("IF(REGEXMATCH(UPPER(CU83), ""TX""),0,1)"),0.0)</f>
        <v>0</v>
      </c>
      <c r="CW83" s="51">
        <f>IFERROR(__xludf.DUMMYFUNCTION("IF(REGEXMATCH(UPPER(CU83), ""DALLAS""),0,1)"),0.0)</f>
        <v>0</v>
      </c>
      <c r="CX83" s="51">
        <f t="shared" si="17"/>
        <v>0</v>
      </c>
      <c r="CY83" s="51">
        <f t="shared" si="18"/>
        <v>0</v>
      </c>
      <c r="CZ83" s="52" t="str">
        <f t="shared" si="19"/>
        <v/>
      </c>
      <c r="DA83" s="53" t="str">
        <f>IFERROR(__xludf.DUMMYFUNCTION("""COMPUTED_VALUE"""),", Blair &amp; Simpson
PO Box 17426
Austin, TX 78760       ")</f>
        <v>, Blair &amp; Simpson
PO Box 17426
Austin, TX 78760       </v>
      </c>
      <c r="DB83" s="52">
        <f t="shared" ref="DB83:DU83" si="338">SUMIFS($AJ:$AJ,$X:$X,$DA83,$AK:$AK,DB$2)</f>
        <v>0</v>
      </c>
      <c r="DC83" s="52">
        <f t="shared" si="338"/>
        <v>0</v>
      </c>
      <c r="DD83" s="52">
        <f t="shared" si="338"/>
        <v>0</v>
      </c>
      <c r="DE83" s="52">
        <f t="shared" si="338"/>
        <v>1000</v>
      </c>
      <c r="DF83" s="52">
        <f t="shared" si="338"/>
        <v>0</v>
      </c>
      <c r="DG83" s="52">
        <f t="shared" si="338"/>
        <v>0</v>
      </c>
      <c r="DH83" s="52">
        <f t="shared" si="338"/>
        <v>0</v>
      </c>
      <c r="DI83" s="52">
        <f t="shared" si="338"/>
        <v>0</v>
      </c>
      <c r="DJ83" s="52">
        <f t="shared" si="338"/>
        <v>0</v>
      </c>
      <c r="DK83" s="52">
        <f t="shared" si="338"/>
        <v>0</v>
      </c>
      <c r="DL83" s="52">
        <f t="shared" si="338"/>
        <v>0</v>
      </c>
      <c r="DM83" s="52">
        <f t="shared" si="338"/>
        <v>0</v>
      </c>
      <c r="DN83" s="52">
        <f t="shared" si="338"/>
        <v>0</v>
      </c>
      <c r="DO83" s="52">
        <f t="shared" si="338"/>
        <v>0</v>
      </c>
      <c r="DP83" s="52">
        <f t="shared" si="338"/>
        <v>0</v>
      </c>
      <c r="DQ83" s="52">
        <f t="shared" si="338"/>
        <v>0</v>
      </c>
      <c r="DR83" s="52">
        <f t="shared" si="338"/>
        <v>0</v>
      </c>
      <c r="DS83" s="52">
        <f t="shared" si="338"/>
        <v>0</v>
      </c>
      <c r="DT83" s="52">
        <f t="shared" si="338"/>
        <v>0</v>
      </c>
      <c r="DU83" s="52">
        <f t="shared" si="338"/>
        <v>0</v>
      </c>
      <c r="DV83" s="52">
        <f t="shared" si="21"/>
        <v>1000</v>
      </c>
      <c r="DW83" s="52">
        <f t="shared" si="22"/>
        <v>1</v>
      </c>
    </row>
    <row r="84">
      <c r="A84" s="22" t="s">
        <v>55</v>
      </c>
      <c r="B84" s="23" t="s">
        <v>56</v>
      </c>
      <c r="C84" s="31" t="s">
        <v>261</v>
      </c>
      <c r="D84" s="25" t="str">
        <f>IFERROR(__xludf.DUMMYFUNCTION("SPLIT(C84,"" "")"),"Attlee,")</f>
        <v>Attlee,</v>
      </c>
      <c r="E84" s="22" t="str">
        <f>IFERROR(__xludf.DUMMYFUNCTION("""COMPUTED_VALUE"""),"Veronica
8751")</f>
        <v>Veronica
8751</v>
      </c>
      <c r="F84" s="22" t="str">
        <f>IFERROR(__xludf.DUMMYFUNCTION("""COMPUTED_VALUE"""),"Collin")</f>
        <v>Collin</v>
      </c>
      <c r="G84" s="22" t="str">
        <f>IFERROR(__xludf.DUMMYFUNCTION("""COMPUTED_VALUE"""),"McKinney")</f>
        <v>McKinney</v>
      </c>
      <c r="H84" s="22" t="str">
        <f>IFERROR(__xludf.DUMMYFUNCTION("""COMPUTED_VALUE"""),"Pkwy
McKinney,")</f>
        <v>Pkwy
McKinney,</v>
      </c>
      <c r="I84" s="22" t="str">
        <f>IFERROR(__xludf.DUMMYFUNCTION("""COMPUTED_VALUE"""),"TX")</f>
        <v>TX</v>
      </c>
      <c r="J84" s="22">
        <f>IFERROR(__xludf.DUMMYFUNCTION("""COMPUTED_VALUE"""),75070.0)</f>
        <v>75070</v>
      </c>
      <c r="K84" s="22"/>
      <c r="L84" s="22"/>
      <c r="M84" s="22"/>
      <c r="N84" s="22"/>
      <c r="O84" s="22"/>
      <c r="P84" s="22"/>
      <c r="Q84" s="22"/>
      <c r="R84" s="22"/>
      <c r="S84" s="22"/>
      <c r="T84" s="22"/>
      <c r="U84" s="24" t="str">
        <f>IFERROR(__xludf.DUMMYFUNCTION("SPLIT(E84,""01234567890"")"),"Veronica
")</f>
        <v>Veronica
</v>
      </c>
      <c r="V84" s="24" t="str">
        <f>IFERROR(__xludf.DUMMYFUNCTION("SPLIT(D84,"","")"),"Attlee")</f>
        <v>Attlee</v>
      </c>
      <c r="W84" s="25" t="str">
        <f t="shared" si="1"/>
        <v>VERONICA
 ATTLEE</v>
      </c>
      <c r="X84" s="25" t="s">
        <v>259</v>
      </c>
      <c r="Y84" s="25">
        <v>75070.0</v>
      </c>
      <c r="Z84" s="25" t="str">
        <f>IFERROR(__xludf.DUMMYFUNCTION("SPLIT(C84,""
"")"),"Attlee, Veronica")</f>
        <v>Attlee, Veronica</v>
      </c>
      <c r="AA84" s="25" t="str">
        <f>IFERROR(__xludf.DUMMYFUNCTION("""COMPUTED_VALUE"""),"8751 Collin McKinney Pkwy")</f>
        <v>8751 Collin McKinney Pkwy</v>
      </c>
      <c r="AB84" s="25" t="str">
        <f>IFERROR(__xludf.DUMMYFUNCTION("""COMPUTED_VALUE"""),"McKinney, TX 75070")</f>
        <v>McKinney, TX 75070</v>
      </c>
      <c r="AC84" s="24" t="s">
        <v>262</v>
      </c>
      <c r="AD84" s="25"/>
      <c r="AE84" s="25"/>
      <c r="AF84" s="25"/>
      <c r="AG84" s="22" t="s">
        <v>60</v>
      </c>
      <c r="AH84" s="54">
        <v>2441.0</v>
      </c>
      <c r="AI84" s="22" t="s">
        <v>61</v>
      </c>
      <c r="AJ84" s="27">
        <v>1000.0</v>
      </c>
      <c r="AK84" s="31" t="s">
        <v>21</v>
      </c>
      <c r="AL84" s="28">
        <v>44732.0</v>
      </c>
      <c r="AM84" s="29">
        <v>44756.4640625</v>
      </c>
      <c r="AN84" s="30">
        <v>2.0</v>
      </c>
      <c r="AO84" s="22"/>
      <c r="AP84" s="22"/>
      <c r="AQ84" s="22"/>
      <c r="AR84" s="22"/>
      <c r="AS84" s="31">
        <f>IFERROR(__xludf.DUMMYFUNCTION("""COMPUTED_VALUE"""),75298.0)</f>
        <v>75298</v>
      </c>
      <c r="AT84" s="45">
        <f t="shared" si="6"/>
        <v>250</v>
      </c>
      <c r="AU84" s="22"/>
      <c r="AV84" s="57" t="str">
        <f>IFERROR(__xludf.DUMMYFUNCTION("""COMPUTED_VALUE"""),"Bloom")</f>
        <v>Bloom</v>
      </c>
      <c r="AW84" s="46">
        <f t="shared" si="7"/>
        <v>1000</v>
      </c>
      <c r="AX84" s="47">
        <f t="shared" ref="AX84:BQ84" si="339">SUMIFS($AJ:$AJ,$V:$V,$AV84,$AK:$AK,AX$2)</f>
        <v>0</v>
      </c>
      <c r="AY84" s="48">
        <f t="shared" si="339"/>
        <v>0</v>
      </c>
      <c r="AZ84" s="48">
        <f t="shared" si="339"/>
        <v>0</v>
      </c>
      <c r="BA84" s="48">
        <f t="shared" si="339"/>
        <v>0</v>
      </c>
      <c r="BB84" s="48">
        <f t="shared" si="339"/>
        <v>0</v>
      </c>
      <c r="BC84" s="48">
        <f t="shared" si="339"/>
        <v>0</v>
      </c>
      <c r="BD84" s="48">
        <f t="shared" si="339"/>
        <v>0</v>
      </c>
      <c r="BE84" s="48">
        <f t="shared" si="339"/>
        <v>0</v>
      </c>
      <c r="BF84" s="48">
        <f t="shared" si="339"/>
        <v>0</v>
      </c>
      <c r="BG84" s="48">
        <f t="shared" si="339"/>
        <v>1000</v>
      </c>
      <c r="BH84" s="48">
        <f t="shared" si="339"/>
        <v>0</v>
      </c>
      <c r="BI84" s="48">
        <f t="shared" si="339"/>
        <v>0</v>
      </c>
      <c r="BJ84" s="48">
        <f t="shared" si="339"/>
        <v>0</v>
      </c>
      <c r="BK84" s="48">
        <f t="shared" si="339"/>
        <v>0</v>
      </c>
      <c r="BL84" s="48">
        <f t="shared" si="339"/>
        <v>0</v>
      </c>
      <c r="BM84" s="48">
        <f t="shared" si="339"/>
        <v>0</v>
      </c>
      <c r="BN84" s="48">
        <f t="shared" si="339"/>
        <v>0</v>
      </c>
      <c r="BO84" s="48">
        <f t="shared" si="339"/>
        <v>0</v>
      </c>
      <c r="BP84" s="48">
        <f t="shared" si="339"/>
        <v>0</v>
      </c>
      <c r="BQ84" s="48">
        <f t="shared" si="339"/>
        <v>0</v>
      </c>
      <c r="BR84" s="36">
        <f t="shared" si="9"/>
        <v>0</v>
      </c>
      <c r="BS84" s="38">
        <f t="shared" si="10"/>
        <v>1</v>
      </c>
      <c r="BT84" s="49">
        <f t="shared" si="11"/>
        <v>0</v>
      </c>
      <c r="BU84" s="38">
        <f t="shared" si="12"/>
        <v>1000</v>
      </c>
      <c r="BV84" s="57" t="str">
        <f>IFERROR(__xludf.DUMMYFUNCTION("""COMPUTED_VALUE"""),"Bloom")</f>
        <v>Bloom</v>
      </c>
      <c r="BW84" s="46">
        <f t="shared" si="13"/>
        <v>1000</v>
      </c>
      <c r="BX84" s="47">
        <f t="shared" ref="BX84:CA84" si="340">AX84-$BU84</f>
        <v>-1000</v>
      </c>
      <c r="BY84" s="47">
        <f t="shared" si="340"/>
        <v>-1000</v>
      </c>
      <c r="BZ84" s="47">
        <f t="shared" si="340"/>
        <v>-1000</v>
      </c>
      <c r="CA84" s="47">
        <f t="shared" si="340"/>
        <v>-1000</v>
      </c>
      <c r="CB84" s="47">
        <f t="shared" si="15"/>
        <v>-10000</v>
      </c>
      <c r="CC84" s="47">
        <f t="shared" ref="CC84:CQ84" si="341">BC84-$BU84</f>
        <v>-1000</v>
      </c>
      <c r="CD84" s="47">
        <f t="shared" si="341"/>
        <v>-1000</v>
      </c>
      <c r="CE84" s="47">
        <f t="shared" si="341"/>
        <v>-1000</v>
      </c>
      <c r="CF84" s="47">
        <f t="shared" si="341"/>
        <v>-1000</v>
      </c>
      <c r="CG84" s="47">
        <f t="shared" si="341"/>
        <v>0</v>
      </c>
      <c r="CH84" s="47">
        <f t="shared" si="341"/>
        <v>-1000</v>
      </c>
      <c r="CI84" s="47">
        <f t="shared" si="341"/>
        <v>-1000</v>
      </c>
      <c r="CJ84" s="47">
        <f t="shared" si="341"/>
        <v>-1000</v>
      </c>
      <c r="CK84" s="47">
        <f t="shared" si="341"/>
        <v>-1000</v>
      </c>
      <c r="CL84" s="47">
        <f t="shared" si="341"/>
        <v>-1000</v>
      </c>
      <c r="CM84" s="47">
        <f t="shared" si="341"/>
        <v>-1000</v>
      </c>
      <c r="CN84" s="47">
        <f t="shared" si="341"/>
        <v>-1000</v>
      </c>
      <c r="CO84" s="47">
        <f t="shared" si="341"/>
        <v>-1000</v>
      </c>
      <c r="CP84" s="47">
        <f t="shared" si="341"/>
        <v>-1000</v>
      </c>
      <c r="CQ84" s="47">
        <f t="shared" si="341"/>
        <v>-1000</v>
      </c>
      <c r="CR84" s="47"/>
      <c r="CS84" s="47"/>
      <c r="CT84" s="47"/>
      <c r="CU84" s="50" t="str">
        <f>IFERROR(__xludf.DUMMYFUNCTION("""COMPUTED_VALUE"""),"4011 Commerce
Dallas, TX 75226           ")</f>
        <v>4011 Commerce
Dallas, TX 75226           </v>
      </c>
      <c r="CV84" s="51">
        <f>IFERROR(__xludf.DUMMYFUNCTION("IF(REGEXMATCH(UPPER(CU84), ""TX""),0,1)"),0.0)</f>
        <v>0</v>
      </c>
      <c r="CW84" s="51">
        <f>IFERROR(__xludf.DUMMYFUNCTION("IF(REGEXMATCH(UPPER(CU84), ""DALLAS""),0,1)"),0.0)</f>
        <v>0</v>
      </c>
      <c r="CX84" s="51">
        <f t="shared" si="17"/>
        <v>0</v>
      </c>
      <c r="CY84" s="51">
        <f t="shared" si="18"/>
        <v>0</v>
      </c>
      <c r="CZ84" s="52" t="str">
        <f t="shared" si="19"/>
        <v/>
      </c>
      <c r="DA84" s="53" t="str">
        <f>IFERROR(__xludf.DUMMYFUNCTION("""COMPUTED_VALUE"""),"321 Overdale Ct.
Sunnyvale, TX 75182          ")</f>
        <v>321 Overdale Ct.
Sunnyvale, TX 75182          </v>
      </c>
      <c r="DB84" s="52">
        <f t="shared" ref="DB84:DU84" si="342">SUMIFS($AJ:$AJ,$X:$X,$DA84,$AK:$AK,DB$2)</f>
        <v>0</v>
      </c>
      <c r="DC84" s="52">
        <f t="shared" si="342"/>
        <v>0</v>
      </c>
      <c r="DD84" s="52">
        <f t="shared" si="342"/>
        <v>0</v>
      </c>
      <c r="DE84" s="52">
        <f t="shared" si="342"/>
        <v>100</v>
      </c>
      <c r="DF84" s="52">
        <f t="shared" si="342"/>
        <v>0</v>
      </c>
      <c r="DG84" s="52">
        <f t="shared" si="342"/>
        <v>0</v>
      </c>
      <c r="DH84" s="52">
        <f t="shared" si="342"/>
        <v>0</v>
      </c>
      <c r="DI84" s="52">
        <f t="shared" si="342"/>
        <v>0</v>
      </c>
      <c r="DJ84" s="52">
        <f t="shared" si="342"/>
        <v>0</v>
      </c>
      <c r="DK84" s="52">
        <f t="shared" si="342"/>
        <v>0</v>
      </c>
      <c r="DL84" s="52">
        <f t="shared" si="342"/>
        <v>0</v>
      </c>
      <c r="DM84" s="52">
        <f t="shared" si="342"/>
        <v>0</v>
      </c>
      <c r="DN84" s="52">
        <f t="shared" si="342"/>
        <v>0</v>
      </c>
      <c r="DO84" s="52">
        <f t="shared" si="342"/>
        <v>0</v>
      </c>
      <c r="DP84" s="52">
        <f t="shared" si="342"/>
        <v>0</v>
      </c>
      <c r="DQ84" s="52">
        <f t="shared" si="342"/>
        <v>0</v>
      </c>
      <c r="DR84" s="52">
        <f t="shared" si="342"/>
        <v>0</v>
      </c>
      <c r="DS84" s="52">
        <f t="shared" si="342"/>
        <v>0</v>
      </c>
      <c r="DT84" s="52">
        <f t="shared" si="342"/>
        <v>0</v>
      </c>
      <c r="DU84" s="52">
        <f t="shared" si="342"/>
        <v>0</v>
      </c>
      <c r="DV84" s="52">
        <f t="shared" si="21"/>
        <v>100</v>
      </c>
      <c r="DW84" s="52">
        <f t="shared" si="22"/>
        <v>1</v>
      </c>
    </row>
    <row r="85">
      <c r="A85" s="40" t="s">
        <v>55</v>
      </c>
      <c r="B85" s="41" t="s">
        <v>56</v>
      </c>
      <c r="C85" s="31" t="s">
        <v>263</v>
      </c>
      <c r="D85" s="25" t="str">
        <f>IFERROR(__xludf.DUMMYFUNCTION("SPLIT(C85,"" "")"),"Aukeman,")</f>
        <v>Aukeman,</v>
      </c>
      <c r="E85" s="40" t="str">
        <f>IFERROR(__xludf.DUMMYFUNCTION("""COMPUTED_VALUE"""),"Cheryl
1915")</f>
        <v>Cheryl
1915</v>
      </c>
      <c r="F85" s="40" t="str">
        <f>IFERROR(__xludf.DUMMYFUNCTION("""COMPUTED_VALUE"""),"W.")</f>
        <v>W.</v>
      </c>
      <c r="G85" s="40" t="str">
        <f>IFERROR(__xludf.DUMMYFUNCTION("""COMPUTED_VALUE"""),"Colorado")</f>
        <v>Colorado</v>
      </c>
      <c r="H85" s="40" t="str">
        <f>IFERROR(__xludf.DUMMYFUNCTION("""COMPUTED_VALUE"""),"Blvd
Dallas,")</f>
        <v>Blvd
Dallas,</v>
      </c>
      <c r="I85" s="40" t="str">
        <f>IFERROR(__xludf.DUMMYFUNCTION("""COMPUTED_VALUE"""),"TX")</f>
        <v>TX</v>
      </c>
      <c r="J85" s="40">
        <f>IFERROR(__xludf.DUMMYFUNCTION("""COMPUTED_VALUE"""),75208.0)</f>
        <v>75208</v>
      </c>
      <c r="K85" s="40"/>
      <c r="L85" s="40"/>
      <c r="M85" s="40"/>
      <c r="N85" s="40"/>
      <c r="O85" s="40"/>
      <c r="P85" s="40"/>
      <c r="Q85" s="40"/>
      <c r="R85" s="40"/>
      <c r="S85" s="40"/>
      <c r="T85" s="40"/>
      <c r="U85" s="24" t="str">
        <f>IFERROR(__xludf.DUMMYFUNCTION("SPLIT(E85,""01234567890"")"),"Cheryl
")</f>
        <v>Cheryl
</v>
      </c>
      <c r="V85" s="24" t="str">
        <f>IFERROR(__xludf.DUMMYFUNCTION("SPLIT(D85,"","")"),"Aukeman")</f>
        <v>Aukeman</v>
      </c>
      <c r="W85" s="25" t="str">
        <f t="shared" si="1"/>
        <v>CHERYL
 AUKEMAN</v>
      </c>
      <c r="X85" s="25" t="s">
        <v>264</v>
      </c>
      <c r="Y85" s="25">
        <v>75208.0</v>
      </c>
      <c r="Z85" s="25" t="str">
        <f>IFERROR(__xludf.DUMMYFUNCTION("SPLIT(C85,""
"")"),"Aukeman, Cheryl")</f>
        <v>Aukeman, Cheryl</v>
      </c>
      <c r="AA85" s="25" t="str">
        <f>IFERROR(__xludf.DUMMYFUNCTION("""COMPUTED_VALUE"""),"1915 W. Colorado Blvd")</f>
        <v>1915 W. Colorado Blvd</v>
      </c>
      <c r="AB85" s="25" t="str">
        <f>IFERROR(__xludf.DUMMYFUNCTION("""COMPUTED_VALUE"""),"Dallas, TX 75208")</f>
        <v>Dallas, TX 75208</v>
      </c>
      <c r="AC85" s="24" t="s">
        <v>265</v>
      </c>
      <c r="AD85" s="25"/>
      <c r="AE85" s="25"/>
      <c r="AF85" s="25"/>
      <c r="AG85" s="40" t="s">
        <v>60</v>
      </c>
      <c r="AH85" s="42">
        <v>2501.0</v>
      </c>
      <c r="AI85" s="40" t="s">
        <v>68</v>
      </c>
      <c r="AJ85" s="27">
        <v>100.0</v>
      </c>
      <c r="AK85" s="31" t="s">
        <v>21</v>
      </c>
      <c r="AL85" s="43">
        <v>44900.0</v>
      </c>
      <c r="AM85" s="44">
        <v>44943.63122685185</v>
      </c>
      <c r="AN85" s="30">
        <v>2.0</v>
      </c>
      <c r="AO85" s="40"/>
      <c r="AP85" s="40"/>
      <c r="AQ85" s="40"/>
      <c r="AR85" s="40"/>
      <c r="AS85" s="31">
        <f>IFERROR(__xludf.DUMMYFUNCTION("""COMPUTED_VALUE"""),75093.0)</f>
        <v>75093</v>
      </c>
      <c r="AT85" s="45">
        <f t="shared" si="6"/>
        <v>2500</v>
      </c>
      <c r="AU85" s="40"/>
      <c r="AV85" s="46" t="str">
        <f>IFERROR(__xludf.DUMMYFUNCTION("""COMPUTED_VALUE"""),"Bobbitt")</f>
        <v>Bobbitt</v>
      </c>
      <c r="AW85" s="46">
        <f t="shared" si="7"/>
        <v>500</v>
      </c>
      <c r="AX85" s="47">
        <f t="shared" ref="AX85:BQ85" si="343">SUMIFS($AJ:$AJ,$V:$V,$AV85,$AK:$AK,AX$2)</f>
        <v>0</v>
      </c>
      <c r="AY85" s="48">
        <f t="shared" si="343"/>
        <v>0</v>
      </c>
      <c r="AZ85" s="48">
        <f t="shared" si="343"/>
        <v>0</v>
      </c>
      <c r="BA85" s="48">
        <f t="shared" si="343"/>
        <v>0</v>
      </c>
      <c r="BB85" s="48">
        <f t="shared" si="343"/>
        <v>0</v>
      </c>
      <c r="BC85" s="48">
        <f t="shared" si="343"/>
        <v>0</v>
      </c>
      <c r="BD85" s="48">
        <f t="shared" si="343"/>
        <v>0</v>
      </c>
      <c r="BE85" s="48">
        <f t="shared" si="343"/>
        <v>0</v>
      </c>
      <c r="BF85" s="48">
        <f t="shared" si="343"/>
        <v>0</v>
      </c>
      <c r="BG85" s="48">
        <f t="shared" si="343"/>
        <v>0</v>
      </c>
      <c r="BH85" s="48">
        <f t="shared" si="343"/>
        <v>500</v>
      </c>
      <c r="BI85" s="48">
        <f t="shared" si="343"/>
        <v>0</v>
      </c>
      <c r="BJ85" s="48">
        <f t="shared" si="343"/>
        <v>0</v>
      </c>
      <c r="BK85" s="48">
        <f t="shared" si="343"/>
        <v>0</v>
      </c>
      <c r="BL85" s="48">
        <f t="shared" si="343"/>
        <v>0</v>
      </c>
      <c r="BM85" s="48">
        <f t="shared" si="343"/>
        <v>0</v>
      </c>
      <c r="BN85" s="48">
        <f t="shared" si="343"/>
        <v>0</v>
      </c>
      <c r="BO85" s="48">
        <f t="shared" si="343"/>
        <v>0</v>
      </c>
      <c r="BP85" s="48">
        <f t="shared" si="343"/>
        <v>0</v>
      </c>
      <c r="BQ85" s="48">
        <f t="shared" si="343"/>
        <v>0</v>
      </c>
      <c r="BR85" s="36">
        <f t="shared" si="9"/>
        <v>0</v>
      </c>
      <c r="BS85" s="38">
        <f t="shared" si="10"/>
        <v>1</v>
      </c>
      <c r="BT85" s="49">
        <f t="shared" si="11"/>
        <v>0</v>
      </c>
      <c r="BU85" s="38">
        <f t="shared" si="12"/>
        <v>1000</v>
      </c>
      <c r="BV85" s="46" t="str">
        <f>IFERROR(__xludf.DUMMYFUNCTION("""COMPUTED_VALUE"""),"Bobbitt")</f>
        <v>Bobbitt</v>
      </c>
      <c r="BW85" s="46">
        <f t="shared" si="13"/>
        <v>500</v>
      </c>
      <c r="BX85" s="47">
        <f t="shared" ref="BX85:CA85" si="344">AX85-$BU85</f>
        <v>-1000</v>
      </c>
      <c r="BY85" s="47">
        <f t="shared" si="344"/>
        <v>-1000</v>
      </c>
      <c r="BZ85" s="47">
        <f t="shared" si="344"/>
        <v>-1000</v>
      </c>
      <c r="CA85" s="47">
        <f t="shared" si="344"/>
        <v>-1000</v>
      </c>
      <c r="CB85" s="47">
        <f t="shared" si="15"/>
        <v>-10000</v>
      </c>
      <c r="CC85" s="47">
        <f t="shared" ref="CC85:CQ85" si="345">BC85-$BU85</f>
        <v>-1000</v>
      </c>
      <c r="CD85" s="47">
        <f t="shared" si="345"/>
        <v>-1000</v>
      </c>
      <c r="CE85" s="47">
        <f t="shared" si="345"/>
        <v>-1000</v>
      </c>
      <c r="CF85" s="47">
        <f t="shared" si="345"/>
        <v>-1000</v>
      </c>
      <c r="CG85" s="47">
        <f t="shared" si="345"/>
        <v>-1000</v>
      </c>
      <c r="CH85" s="47">
        <f t="shared" si="345"/>
        <v>-500</v>
      </c>
      <c r="CI85" s="47">
        <f t="shared" si="345"/>
        <v>-1000</v>
      </c>
      <c r="CJ85" s="47">
        <f t="shared" si="345"/>
        <v>-1000</v>
      </c>
      <c r="CK85" s="47">
        <f t="shared" si="345"/>
        <v>-1000</v>
      </c>
      <c r="CL85" s="47">
        <f t="shared" si="345"/>
        <v>-1000</v>
      </c>
      <c r="CM85" s="47">
        <f t="shared" si="345"/>
        <v>-1000</v>
      </c>
      <c r="CN85" s="47">
        <f t="shared" si="345"/>
        <v>-1000</v>
      </c>
      <c r="CO85" s="47">
        <f t="shared" si="345"/>
        <v>-1000</v>
      </c>
      <c r="CP85" s="47">
        <f t="shared" si="345"/>
        <v>-1000</v>
      </c>
      <c r="CQ85" s="47">
        <f t="shared" si="345"/>
        <v>-1000</v>
      </c>
      <c r="CR85" s="47"/>
      <c r="CS85" s="47"/>
      <c r="CT85" s="47"/>
      <c r="CU85" s="50" t="str">
        <f>IFERROR(__xludf.DUMMYFUNCTION("""COMPUTED_VALUE"""),"4439 Westway Ave.
Dallas, TX 75205          ")</f>
        <v>4439 Westway Ave.
Dallas, TX 75205          </v>
      </c>
      <c r="CV85" s="51">
        <f>IFERROR(__xludf.DUMMYFUNCTION("IF(REGEXMATCH(UPPER(CU85), ""TX""),0,1)"),0.0)</f>
        <v>0</v>
      </c>
      <c r="CW85" s="51">
        <f>IFERROR(__xludf.DUMMYFUNCTION("IF(REGEXMATCH(UPPER(CU85), ""DALLAS""),0,1)"),0.0)</f>
        <v>0</v>
      </c>
      <c r="CX85" s="51">
        <f t="shared" si="17"/>
        <v>0</v>
      </c>
      <c r="CY85" s="51">
        <f t="shared" si="18"/>
        <v>0</v>
      </c>
      <c r="CZ85" s="52" t="str">
        <f t="shared" si="19"/>
        <v/>
      </c>
      <c r="DA85" s="53" t="str">
        <f>IFERROR(__xludf.DUMMYFUNCTION("""COMPUTED_VALUE"""),"box 2246
Austin, TX 78768-2246           ")</f>
        <v>box 2246
Austin, TX 78768-2246           </v>
      </c>
      <c r="DB85" s="52">
        <f t="shared" ref="DB85:DU85" si="346">SUMIFS($AJ:$AJ,$X:$X,$DA85,$AK:$AK,DB$2)</f>
        <v>0</v>
      </c>
      <c r="DC85" s="52">
        <f t="shared" si="346"/>
        <v>0</v>
      </c>
      <c r="DD85" s="52">
        <f t="shared" si="346"/>
        <v>0</v>
      </c>
      <c r="DE85" s="52">
        <f t="shared" si="346"/>
        <v>2500</v>
      </c>
      <c r="DF85" s="52">
        <f t="shared" si="346"/>
        <v>0</v>
      </c>
      <c r="DG85" s="52">
        <f t="shared" si="346"/>
        <v>0</v>
      </c>
      <c r="DH85" s="52">
        <f t="shared" si="346"/>
        <v>0</v>
      </c>
      <c r="DI85" s="52">
        <f t="shared" si="346"/>
        <v>0</v>
      </c>
      <c r="DJ85" s="52">
        <f t="shared" si="346"/>
        <v>0</v>
      </c>
      <c r="DK85" s="52">
        <f t="shared" si="346"/>
        <v>0</v>
      </c>
      <c r="DL85" s="52">
        <f t="shared" si="346"/>
        <v>0</v>
      </c>
      <c r="DM85" s="52">
        <f t="shared" si="346"/>
        <v>0</v>
      </c>
      <c r="DN85" s="52">
        <f t="shared" si="346"/>
        <v>0</v>
      </c>
      <c r="DO85" s="52">
        <f t="shared" si="346"/>
        <v>0</v>
      </c>
      <c r="DP85" s="52">
        <f t="shared" si="346"/>
        <v>0</v>
      </c>
      <c r="DQ85" s="52">
        <f t="shared" si="346"/>
        <v>0</v>
      </c>
      <c r="DR85" s="52">
        <f t="shared" si="346"/>
        <v>0</v>
      </c>
      <c r="DS85" s="52">
        <f t="shared" si="346"/>
        <v>0</v>
      </c>
      <c r="DT85" s="52">
        <f t="shared" si="346"/>
        <v>0</v>
      </c>
      <c r="DU85" s="52">
        <f t="shared" si="346"/>
        <v>0</v>
      </c>
      <c r="DV85" s="52">
        <f t="shared" si="21"/>
        <v>2500</v>
      </c>
      <c r="DW85" s="52">
        <f t="shared" si="22"/>
        <v>1</v>
      </c>
    </row>
    <row r="86">
      <c r="A86" s="23" t="s">
        <v>64</v>
      </c>
      <c r="B86" s="23" t="s">
        <v>56</v>
      </c>
      <c r="C86" s="31" t="s">
        <v>266</v>
      </c>
      <c r="D86" s="25" t="str">
        <f>IFERROR(__xludf.DUMMYFUNCTION("SPLIT(C86,"" "")"),"Ayala,")</f>
        <v>Ayala,</v>
      </c>
      <c r="E86" s="22" t="str">
        <f>IFERROR(__xludf.DUMMYFUNCTION("""COMPUTED_VALUE"""),"Juan
9668")</f>
        <v>Juan
9668</v>
      </c>
      <c r="F86" s="22" t="str">
        <f>IFERROR(__xludf.DUMMYFUNCTION("""COMPUTED_VALUE"""),"Arborhill")</f>
        <v>Arborhill</v>
      </c>
      <c r="G86" s="22" t="str">
        <f>IFERROR(__xludf.DUMMYFUNCTION("""COMPUTED_VALUE"""),"Dr
Dallas,")</f>
        <v>Dr
Dallas,</v>
      </c>
      <c r="H86" s="22" t="str">
        <f>IFERROR(__xludf.DUMMYFUNCTION("""COMPUTED_VALUE"""),"TX")</f>
        <v>TX</v>
      </c>
      <c r="I86" s="22">
        <f>IFERROR(__xludf.DUMMYFUNCTION("""COMPUTED_VALUE"""),75243.0)</f>
        <v>75243</v>
      </c>
      <c r="J86" s="22"/>
      <c r="K86" s="22"/>
      <c r="L86" s="22"/>
      <c r="M86" s="22"/>
      <c r="N86" s="22"/>
      <c r="O86" s="22"/>
      <c r="P86" s="22"/>
      <c r="Q86" s="22"/>
      <c r="R86" s="22"/>
      <c r="S86" s="22"/>
      <c r="T86" s="22"/>
      <c r="U86" s="24" t="str">
        <f>IFERROR(__xludf.DUMMYFUNCTION("SPLIT(E86,""01234567890"")"),"Juan
")</f>
        <v>Juan
</v>
      </c>
      <c r="V86" s="24" t="str">
        <f>IFERROR(__xludf.DUMMYFUNCTION("SPLIT(D86,"","")"),"Ayala")</f>
        <v>Ayala</v>
      </c>
      <c r="W86" s="25" t="str">
        <f t="shared" si="1"/>
        <v>JUAN
 AYALA</v>
      </c>
      <c r="X86" s="25" t="s">
        <v>267</v>
      </c>
      <c r="Y86" s="25">
        <v>75243.0</v>
      </c>
      <c r="Z86" s="25" t="str">
        <f>IFERROR(__xludf.DUMMYFUNCTION("SPLIT(C86,""
"")"),"Ayala, Juan")</f>
        <v>Ayala, Juan</v>
      </c>
      <c r="AA86" s="25" t="str">
        <f>IFERROR(__xludf.DUMMYFUNCTION("""COMPUTED_VALUE"""),"9668 Arborhill Dr")</f>
        <v>9668 Arborhill Dr</v>
      </c>
      <c r="AB86" s="25" t="str">
        <f>IFERROR(__xludf.DUMMYFUNCTION("""COMPUTED_VALUE"""),"Dallas, TX 75243")</f>
        <v>Dallas, TX 75243</v>
      </c>
      <c r="AC86" s="24" t="s">
        <v>268</v>
      </c>
      <c r="AD86" s="25"/>
      <c r="AE86" s="25"/>
      <c r="AF86" s="25"/>
      <c r="AG86" s="22" t="s">
        <v>60</v>
      </c>
      <c r="AH86" s="54">
        <v>2437.0</v>
      </c>
      <c r="AI86" s="22" t="s">
        <v>61</v>
      </c>
      <c r="AJ86" s="27">
        <v>250.0</v>
      </c>
      <c r="AK86" s="31" t="s">
        <v>25</v>
      </c>
      <c r="AL86" s="28">
        <v>44725.0</v>
      </c>
      <c r="AM86" s="29">
        <v>44754.83237268519</v>
      </c>
      <c r="AN86" s="30">
        <v>2.0</v>
      </c>
      <c r="AO86" s="22"/>
      <c r="AP86" s="22"/>
      <c r="AQ86" s="22"/>
      <c r="AR86" s="22"/>
      <c r="AS86" s="31">
        <f>IFERROR(__xludf.DUMMYFUNCTION("""COMPUTED_VALUE"""),78768.0)</f>
        <v>78768</v>
      </c>
      <c r="AT86" s="45">
        <f t="shared" si="6"/>
        <v>2500</v>
      </c>
      <c r="AU86" s="22"/>
      <c r="AV86" s="57" t="str">
        <f>IFERROR(__xludf.DUMMYFUNCTION("""COMPUTED_VALUE"""),"Bobosky")</f>
        <v>Bobosky</v>
      </c>
      <c r="AW86" s="46">
        <f t="shared" si="7"/>
        <v>1500</v>
      </c>
      <c r="AX86" s="47">
        <f t="shared" ref="AX86:BQ86" si="347">SUMIFS($AJ:$AJ,$V:$V,$AV86,$AK:$AK,AX$2)</f>
        <v>0</v>
      </c>
      <c r="AY86" s="48">
        <f t="shared" si="347"/>
        <v>0</v>
      </c>
      <c r="AZ86" s="48">
        <f t="shared" si="347"/>
        <v>0</v>
      </c>
      <c r="BA86" s="48">
        <f t="shared" si="347"/>
        <v>1000</v>
      </c>
      <c r="BB86" s="48">
        <f t="shared" si="347"/>
        <v>500</v>
      </c>
      <c r="BC86" s="48">
        <f t="shared" si="347"/>
        <v>0</v>
      </c>
      <c r="BD86" s="48">
        <f t="shared" si="347"/>
        <v>0</v>
      </c>
      <c r="BE86" s="48">
        <f t="shared" si="347"/>
        <v>0</v>
      </c>
      <c r="BF86" s="48">
        <f t="shared" si="347"/>
        <v>0</v>
      </c>
      <c r="BG86" s="48">
        <f t="shared" si="347"/>
        <v>0</v>
      </c>
      <c r="BH86" s="48">
        <f t="shared" si="347"/>
        <v>0</v>
      </c>
      <c r="BI86" s="48">
        <f t="shared" si="347"/>
        <v>0</v>
      </c>
      <c r="BJ86" s="48">
        <f t="shared" si="347"/>
        <v>0</v>
      </c>
      <c r="BK86" s="48">
        <f t="shared" si="347"/>
        <v>0</v>
      </c>
      <c r="BL86" s="48">
        <f t="shared" si="347"/>
        <v>0</v>
      </c>
      <c r="BM86" s="48">
        <f t="shared" si="347"/>
        <v>0</v>
      </c>
      <c r="BN86" s="48">
        <f t="shared" si="347"/>
        <v>0</v>
      </c>
      <c r="BO86" s="48">
        <f t="shared" si="347"/>
        <v>0</v>
      </c>
      <c r="BP86" s="48">
        <f t="shared" si="347"/>
        <v>0</v>
      </c>
      <c r="BQ86" s="48">
        <f t="shared" si="347"/>
        <v>0</v>
      </c>
      <c r="BR86" s="36">
        <f t="shared" si="9"/>
        <v>0</v>
      </c>
      <c r="BS86" s="38">
        <f t="shared" si="10"/>
        <v>1</v>
      </c>
      <c r="BT86" s="49">
        <f t="shared" si="11"/>
        <v>0</v>
      </c>
      <c r="BU86" s="38">
        <f t="shared" si="12"/>
        <v>1000</v>
      </c>
      <c r="BV86" s="57" t="str">
        <f>IFERROR(__xludf.DUMMYFUNCTION("""COMPUTED_VALUE"""),"Bobosky")</f>
        <v>Bobosky</v>
      </c>
      <c r="BW86" s="46">
        <f t="shared" si="13"/>
        <v>1500</v>
      </c>
      <c r="BX86" s="47">
        <f t="shared" ref="BX86:CA86" si="348">AX86-$BU86</f>
        <v>-1000</v>
      </c>
      <c r="BY86" s="47">
        <f t="shared" si="348"/>
        <v>-1000</v>
      </c>
      <c r="BZ86" s="47">
        <f t="shared" si="348"/>
        <v>-1000</v>
      </c>
      <c r="CA86" s="47">
        <f t="shared" si="348"/>
        <v>0</v>
      </c>
      <c r="CB86" s="47">
        <f t="shared" si="15"/>
        <v>-9500</v>
      </c>
      <c r="CC86" s="47">
        <f t="shared" ref="CC86:CQ86" si="349">BC86-$BU86</f>
        <v>-1000</v>
      </c>
      <c r="CD86" s="47">
        <f t="shared" si="349"/>
        <v>-1000</v>
      </c>
      <c r="CE86" s="47">
        <f t="shared" si="349"/>
        <v>-1000</v>
      </c>
      <c r="CF86" s="47">
        <f t="shared" si="349"/>
        <v>-1000</v>
      </c>
      <c r="CG86" s="47">
        <f t="shared" si="349"/>
        <v>-1000</v>
      </c>
      <c r="CH86" s="47">
        <f t="shared" si="349"/>
        <v>-1000</v>
      </c>
      <c r="CI86" s="47">
        <f t="shared" si="349"/>
        <v>-1000</v>
      </c>
      <c r="CJ86" s="47">
        <f t="shared" si="349"/>
        <v>-1000</v>
      </c>
      <c r="CK86" s="47">
        <f t="shared" si="349"/>
        <v>-1000</v>
      </c>
      <c r="CL86" s="47">
        <f t="shared" si="349"/>
        <v>-1000</v>
      </c>
      <c r="CM86" s="47">
        <f t="shared" si="349"/>
        <v>-1000</v>
      </c>
      <c r="CN86" s="47">
        <f t="shared" si="349"/>
        <v>-1000</v>
      </c>
      <c r="CO86" s="47">
        <f t="shared" si="349"/>
        <v>-1000</v>
      </c>
      <c r="CP86" s="47">
        <f t="shared" si="349"/>
        <v>-1000</v>
      </c>
      <c r="CQ86" s="47">
        <f t="shared" si="349"/>
        <v>-1000</v>
      </c>
      <c r="CR86" s="47"/>
      <c r="CS86" s="47"/>
      <c r="CT86" s="47"/>
      <c r="CU86" s="50" t="str">
        <f>IFERROR(__xludf.DUMMYFUNCTION("""COMPUTED_VALUE"""),"12640 
Dallas, TX 75035           ")</f>
        <v>12640 
Dallas, TX 75035           </v>
      </c>
      <c r="CV86" s="51">
        <f>IFERROR(__xludf.DUMMYFUNCTION("IF(REGEXMATCH(UPPER(CU86), ""TX""),0,1)"),0.0)</f>
        <v>0</v>
      </c>
      <c r="CW86" s="51">
        <f>IFERROR(__xludf.DUMMYFUNCTION("IF(REGEXMATCH(UPPER(CU86), ""DALLAS""),0,1)"),0.0)</f>
        <v>0</v>
      </c>
      <c r="CX86" s="51">
        <f t="shared" si="17"/>
        <v>0</v>
      </c>
      <c r="CY86" s="51">
        <f t="shared" si="18"/>
        <v>0</v>
      </c>
      <c r="CZ86" s="52" t="str">
        <f t="shared" si="19"/>
        <v/>
      </c>
      <c r="DA86" s="53" t="str">
        <f>IFERROR(__xludf.DUMMYFUNCTION("""COMPUTED_VALUE"""),"2307 Wilma Rodolph Rd.
Austin, TX 78748         ")</f>
        <v>2307 Wilma Rodolph Rd.
Austin, TX 78748         </v>
      </c>
      <c r="DB86" s="52">
        <f t="shared" ref="DB86:DU86" si="350">SUMIFS($AJ:$AJ,$X:$X,$DA86,$AK:$AK,DB$2)</f>
        <v>0</v>
      </c>
      <c r="DC86" s="52">
        <f t="shared" si="350"/>
        <v>0</v>
      </c>
      <c r="DD86" s="52">
        <f t="shared" si="350"/>
        <v>0</v>
      </c>
      <c r="DE86" s="52">
        <f t="shared" si="350"/>
        <v>100</v>
      </c>
      <c r="DF86" s="52">
        <f t="shared" si="350"/>
        <v>0</v>
      </c>
      <c r="DG86" s="52">
        <f t="shared" si="350"/>
        <v>0</v>
      </c>
      <c r="DH86" s="52">
        <f t="shared" si="350"/>
        <v>0</v>
      </c>
      <c r="DI86" s="52">
        <f t="shared" si="350"/>
        <v>0</v>
      </c>
      <c r="DJ86" s="52">
        <f t="shared" si="350"/>
        <v>0</v>
      </c>
      <c r="DK86" s="52">
        <f t="shared" si="350"/>
        <v>0</v>
      </c>
      <c r="DL86" s="52">
        <f t="shared" si="350"/>
        <v>0</v>
      </c>
      <c r="DM86" s="52">
        <f t="shared" si="350"/>
        <v>0</v>
      </c>
      <c r="DN86" s="52">
        <f t="shared" si="350"/>
        <v>0</v>
      </c>
      <c r="DO86" s="52">
        <f t="shared" si="350"/>
        <v>0</v>
      </c>
      <c r="DP86" s="52">
        <f t="shared" si="350"/>
        <v>0</v>
      </c>
      <c r="DQ86" s="52">
        <f t="shared" si="350"/>
        <v>0</v>
      </c>
      <c r="DR86" s="52">
        <f t="shared" si="350"/>
        <v>0</v>
      </c>
      <c r="DS86" s="52">
        <f t="shared" si="350"/>
        <v>0</v>
      </c>
      <c r="DT86" s="52">
        <f t="shared" si="350"/>
        <v>0</v>
      </c>
      <c r="DU86" s="52">
        <f t="shared" si="350"/>
        <v>0</v>
      </c>
      <c r="DV86" s="52">
        <f t="shared" si="21"/>
        <v>100</v>
      </c>
      <c r="DW86" s="52">
        <f t="shared" si="22"/>
        <v>1</v>
      </c>
    </row>
    <row r="87">
      <c r="A87" s="41" t="s">
        <v>64</v>
      </c>
      <c r="B87" s="41" t="s">
        <v>56</v>
      </c>
      <c r="C87" s="31" t="s">
        <v>269</v>
      </c>
      <c r="D87" s="25" t="str">
        <f>IFERROR(__xludf.DUMMYFUNCTION("SPLIT(C87,"" "")"),"Ayala,")</f>
        <v>Ayala,</v>
      </c>
      <c r="E87" s="40" t="str">
        <f>IFERROR(__xludf.DUMMYFUNCTION("""COMPUTED_VALUE"""),"Juan
9668")</f>
        <v>Juan
9668</v>
      </c>
      <c r="F87" s="40" t="str">
        <f>IFERROR(__xludf.DUMMYFUNCTION("""COMPUTED_VALUE"""),"Arborhill
Dallas,")</f>
        <v>Arborhill
Dallas,</v>
      </c>
      <c r="G87" s="40" t="str">
        <f>IFERROR(__xludf.DUMMYFUNCTION("""COMPUTED_VALUE"""),"TX")</f>
        <v>TX</v>
      </c>
      <c r="H87" s="40">
        <f>IFERROR(__xludf.DUMMYFUNCTION("""COMPUTED_VALUE"""),75243.0)</f>
        <v>75243</v>
      </c>
      <c r="I87" s="40"/>
      <c r="J87" s="40"/>
      <c r="K87" s="40"/>
      <c r="L87" s="40"/>
      <c r="M87" s="40"/>
      <c r="N87" s="40"/>
      <c r="O87" s="40"/>
      <c r="P87" s="40"/>
      <c r="Q87" s="40"/>
      <c r="R87" s="40"/>
      <c r="S87" s="40"/>
      <c r="T87" s="40"/>
      <c r="U87" s="24" t="str">
        <f>IFERROR(__xludf.DUMMYFUNCTION("SPLIT(E87,""01234567890"")"),"Juan
")</f>
        <v>Juan
</v>
      </c>
      <c r="V87" s="24" t="str">
        <f>IFERROR(__xludf.DUMMYFUNCTION("SPLIT(D87,"","")"),"Ayala")</f>
        <v>Ayala</v>
      </c>
      <c r="W87" s="25" t="str">
        <f t="shared" si="1"/>
        <v>JUAN
 AYALA</v>
      </c>
      <c r="X87" s="25" t="s">
        <v>270</v>
      </c>
      <c r="Y87" s="25">
        <v>75243.0</v>
      </c>
      <c r="Z87" s="25" t="str">
        <f>IFERROR(__xludf.DUMMYFUNCTION("SPLIT(C87,""
"")"),"Ayala, Juan")</f>
        <v>Ayala, Juan</v>
      </c>
      <c r="AA87" s="25" t="str">
        <f>IFERROR(__xludf.DUMMYFUNCTION("""COMPUTED_VALUE"""),"9668 Arborhill")</f>
        <v>9668 Arborhill</v>
      </c>
      <c r="AB87" s="25" t="str">
        <f>IFERROR(__xludf.DUMMYFUNCTION("""COMPUTED_VALUE"""),"Dallas, TX 75243")</f>
        <v>Dallas, TX 75243</v>
      </c>
      <c r="AC87" s="24" t="s">
        <v>268</v>
      </c>
      <c r="AD87" s="25"/>
      <c r="AE87" s="25"/>
      <c r="AF87" s="25"/>
      <c r="AG87" s="40" t="s">
        <v>60</v>
      </c>
      <c r="AH87" s="42">
        <v>2481.0</v>
      </c>
      <c r="AI87" s="40" t="s">
        <v>68</v>
      </c>
      <c r="AJ87" s="27">
        <v>50.0</v>
      </c>
      <c r="AK87" s="31" t="s">
        <v>25</v>
      </c>
      <c r="AL87" s="43">
        <v>44826.0</v>
      </c>
      <c r="AM87" s="44">
        <v>44937.81995370371</v>
      </c>
      <c r="AN87" s="30">
        <v>2.0</v>
      </c>
      <c r="AO87" s="40"/>
      <c r="AP87" s="40"/>
      <c r="AQ87" s="40"/>
      <c r="AR87" s="40"/>
      <c r="AS87" s="31">
        <f>IFERROR(__xludf.DUMMYFUNCTION("""COMPUTED_VALUE"""),75007.0)</f>
        <v>75007</v>
      </c>
      <c r="AT87" s="45">
        <f t="shared" si="6"/>
        <v>1250</v>
      </c>
      <c r="AU87" s="40"/>
      <c r="AV87" s="46" t="str">
        <f>IFERROR(__xludf.DUMMYFUNCTION("""COMPUTED_VALUE"""),"Bogen")</f>
        <v>Bogen</v>
      </c>
      <c r="AW87" s="46">
        <f t="shared" si="7"/>
        <v>500</v>
      </c>
      <c r="AX87" s="47">
        <f t="shared" ref="AX87:BQ87" si="351">SUMIFS($AJ:$AJ,$V:$V,$AV87,$AK:$AK,AX$2)</f>
        <v>0</v>
      </c>
      <c r="AY87" s="48">
        <f t="shared" si="351"/>
        <v>0</v>
      </c>
      <c r="AZ87" s="48">
        <f t="shared" si="351"/>
        <v>0</v>
      </c>
      <c r="BA87" s="48">
        <f t="shared" si="351"/>
        <v>0</v>
      </c>
      <c r="BB87" s="48">
        <f t="shared" si="351"/>
        <v>0</v>
      </c>
      <c r="BC87" s="48">
        <f t="shared" si="351"/>
        <v>0</v>
      </c>
      <c r="BD87" s="48">
        <f t="shared" si="351"/>
        <v>0</v>
      </c>
      <c r="BE87" s="48">
        <f t="shared" si="351"/>
        <v>0</v>
      </c>
      <c r="BF87" s="48">
        <f t="shared" si="351"/>
        <v>0</v>
      </c>
      <c r="BG87" s="48">
        <f t="shared" si="351"/>
        <v>0</v>
      </c>
      <c r="BH87" s="48">
        <f t="shared" si="351"/>
        <v>500</v>
      </c>
      <c r="BI87" s="48">
        <f t="shared" si="351"/>
        <v>0</v>
      </c>
      <c r="BJ87" s="48">
        <f t="shared" si="351"/>
        <v>0</v>
      </c>
      <c r="BK87" s="48">
        <f t="shared" si="351"/>
        <v>0</v>
      </c>
      <c r="BL87" s="48">
        <f t="shared" si="351"/>
        <v>0</v>
      </c>
      <c r="BM87" s="48">
        <f t="shared" si="351"/>
        <v>0</v>
      </c>
      <c r="BN87" s="48">
        <f t="shared" si="351"/>
        <v>0</v>
      </c>
      <c r="BO87" s="48">
        <f t="shared" si="351"/>
        <v>0</v>
      </c>
      <c r="BP87" s="48">
        <f t="shared" si="351"/>
        <v>0</v>
      </c>
      <c r="BQ87" s="48">
        <f t="shared" si="351"/>
        <v>0</v>
      </c>
      <c r="BR87" s="36">
        <f t="shared" si="9"/>
        <v>0</v>
      </c>
      <c r="BS87" s="38">
        <f t="shared" si="10"/>
        <v>1</v>
      </c>
      <c r="BT87" s="49">
        <f t="shared" si="11"/>
        <v>0</v>
      </c>
      <c r="BU87" s="38">
        <f t="shared" si="12"/>
        <v>1000</v>
      </c>
      <c r="BV87" s="46" t="str">
        <f>IFERROR(__xludf.DUMMYFUNCTION("""COMPUTED_VALUE"""),"Bogen")</f>
        <v>Bogen</v>
      </c>
      <c r="BW87" s="46">
        <f t="shared" si="13"/>
        <v>500</v>
      </c>
      <c r="BX87" s="47">
        <f t="shared" ref="BX87:CA87" si="352">AX87-$BU87</f>
        <v>-1000</v>
      </c>
      <c r="BY87" s="47">
        <f t="shared" si="352"/>
        <v>-1000</v>
      </c>
      <c r="BZ87" s="47">
        <f t="shared" si="352"/>
        <v>-1000</v>
      </c>
      <c r="CA87" s="47">
        <f t="shared" si="352"/>
        <v>-1000</v>
      </c>
      <c r="CB87" s="47">
        <f t="shared" si="15"/>
        <v>-10000</v>
      </c>
      <c r="CC87" s="47">
        <f t="shared" ref="CC87:CQ87" si="353">BC87-$BU87</f>
        <v>-1000</v>
      </c>
      <c r="CD87" s="47">
        <f t="shared" si="353"/>
        <v>-1000</v>
      </c>
      <c r="CE87" s="47">
        <f t="shared" si="353"/>
        <v>-1000</v>
      </c>
      <c r="CF87" s="47">
        <f t="shared" si="353"/>
        <v>-1000</v>
      </c>
      <c r="CG87" s="47">
        <f t="shared" si="353"/>
        <v>-1000</v>
      </c>
      <c r="CH87" s="47">
        <f t="shared" si="353"/>
        <v>-500</v>
      </c>
      <c r="CI87" s="47">
        <f t="shared" si="353"/>
        <v>-1000</v>
      </c>
      <c r="CJ87" s="47">
        <f t="shared" si="353"/>
        <v>-1000</v>
      </c>
      <c r="CK87" s="47">
        <f t="shared" si="353"/>
        <v>-1000</v>
      </c>
      <c r="CL87" s="47">
        <f t="shared" si="353"/>
        <v>-1000</v>
      </c>
      <c r="CM87" s="47">
        <f t="shared" si="353"/>
        <v>-1000</v>
      </c>
      <c r="CN87" s="47">
        <f t="shared" si="353"/>
        <v>-1000</v>
      </c>
      <c r="CO87" s="47">
        <f t="shared" si="353"/>
        <v>-1000</v>
      </c>
      <c r="CP87" s="47">
        <f t="shared" si="353"/>
        <v>-1000</v>
      </c>
      <c r="CQ87" s="47">
        <f t="shared" si="353"/>
        <v>-1000</v>
      </c>
      <c r="CR87" s="47"/>
      <c r="CS87" s="47"/>
      <c r="CT87" s="47"/>
      <c r="CU87" s="50" t="str">
        <f>IFERROR(__xludf.DUMMYFUNCTION("""COMPUTED_VALUE"""),"9132 Branch Hollow
Dallas, TX 75243          ")</f>
        <v>9132 Branch Hollow
Dallas, TX 75243          </v>
      </c>
      <c r="CV87" s="51">
        <f>IFERROR(__xludf.DUMMYFUNCTION("IF(REGEXMATCH(UPPER(CU87), ""TX""),0,1)"),0.0)</f>
        <v>0</v>
      </c>
      <c r="CW87" s="51">
        <f>IFERROR(__xludf.DUMMYFUNCTION("IF(REGEXMATCH(UPPER(CU87), ""DALLAS""),0,1)"),0.0)</f>
        <v>0</v>
      </c>
      <c r="CX87" s="51">
        <f t="shared" si="17"/>
        <v>0</v>
      </c>
      <c r="CY87" s="51">
        <f t="shared" si="18"/>
        <v>0</v>
      </c>
      <c r="CZ87" s="52" t="str">
        <f t="shared" si="19"/>
        <v/>
      </c>
      <c r="DA87" s="53" t="str">
        <f>IFERROR(__xludf.DUMMYFUNCTION("""COMPUTED_VALUE"""),"6200 Los Robles Ln
MEsquite, TX 75215         ")</f>
        <v>6200 Los Robles Ln
MEsquite, TX 75215         </v>
      </c>
      <c r="DB87" s="52">
        <f t="shared" ref="DB87:DU87" si="354">SUMIFS($AJ:$AJ,$X:$X,$DA87,$AK:$AK,DB$2)</f>
        <v>0</v>
      </c>
      <c r="DC87" s="52">
        <f t="shared" si="354"/>
        <v>0</v>
      </c>
      <c r="DD87" s="52">
        <f t="shared" si="354"/>
        <v>0</v>
      </c>
      <c r="DE87" s="52">
        <f t="shared" si="354"/>
        <v>100</v>
      </c>
      <c r="DF87" s="52">
        <f t="shared" si="354"/>
        <v>0</v>
      </c>
      <c r="DG87" s="52">
        <f t="shared" si="354"/>
        <v>0</v>
      </c>
      <c r="DH87" s="52">
        <f t="shared" si="354"/>
        <v>0</v>
      </c>
      <c r="DI87" s="52">
        <f t="shared" si="354"/>
        <v>0</v>
      </c>
      <c r="DJ87" s="52">
        <f t="shared" si="354"/>
        <v>0</v>
      </c>
      <c r="DK87" s="52">
        <f t="shared" si="354"/>
        <v>0</v>
      </c>
      <c r="DL87" s="52">
        <f t="shared" si="354"/>
        <v>0</v>
      </c>
      <c r="DM87" s="52">
        <f t="shared" si="354"/>
        <v>0</v>
      </c>
      <c r="DN87" s="52">
        <f t="shared" si="354"/>
        <v>0</v>
      </c>
      <c r="DO87" s="52">
        <f t="shared" si="354"/>
        <v>0</v>
      </c>
      <c r="DP87" s="52">
        <f t="shared" si="354"/>
        <v>0</v>
      </c>
      <c r="DQ87" s="52">
        <f t="shared" si="354"/>
        <v>0</v>
      </c>
      <c r="DR87" s="52">
        <f t="shared" si="354"/>
        <v>0</v>
      </c>
      <c r="DS87" s="52">
        <f t="shared" si="354"/>
        <v>0</v>
      </c>
      <c r="DT87" s="52">
        <f t="shared" si="354"/>
        <v>0</v>
      </c>
      <c r="DU87" s="52">
        <f t="shared" si="354"/>
        <v>0</v>
      </c>
      <c r="DV87" s="52">
        <f t="shared" si="21"/>
        <v>100</v>
      </c>
      <c r="DW87" s="52">
        <f t="shared" si="22"/>
        <v>1</v>
      </c>
    </row>
    <row r="88">
      <c r="A88" s="23" t="s">
        <v>64</v>
      </c>
      <c r="B88" s="23" t="s">
        <v>56</v>
      </c>
      <c r="C88" s="31" t="s">
        <v>271</v>
      </c>
      <c r="D88" s="25" t="str">
        <f>IFERROR(__xludf.DUMMYFUNCTION("SPLIT(C88,"" "")"),"Bach,")</f>
        <v>Bach,</v>
      </c>
      <c r="E88" s="22" t="str">
        <f>IFERROR(__xludf.DUMMYFUNCTION("""COMPUTED_VALUE"""),"Matthew
15746")</f>
        <v>Matthew
15746</v>
      </c>
      <c r="F88" s="22" t="str">
        <f>IFERROR(__xludf.DUMMYFUNCTION("""COMPUTED_VALUE"""),"Covewood")</f>
        <v>Covewood</v>
      </c>
      <c r="G88" s="22" t="str">
        <f>IFERROR(__xludf.DUMMYFUNCTION("""COMPUTED_VALUE"""),"Cir
Dallas,")</f>
        <v>Cir
Dallas,</v>
      </c>
      <c r="H88" s="22" t="str">
        <f>IFERROR(__xludf.DUMMYFUNCTION("""COMPUTED_VALUE"""),"TX")</f>
        <v>TX</v>
      </c>
      <c r="I88" s="22">
        <f>IFERROR(__xludf.DUMMYFUNCTION("""COMPUTED_VALUE"""),75248.0)</f>
        <v>75248</v>
      </c>
      <c r="J88" s="22"/>
      <c r="K88" s="22"/>
      <c r="L88" s="22"/>
      <c r="M88" s="22"/>
      <c r="N88" s="22"/>
      <c r="O88" s="22"/>
      <c r="P88" s="22"/>
      <c r="Q88" s="22"/>
      <c r="R88" s="22"/>
      <c r="S88" s="22"/>
      <c r="T88" s="22"/>
      <c r="U88" s="24" t="str">
        <f>IFERROR(__xludf.DUMMYFUNCTION("SPLIT(E88,""01234567890"")"),"Matthew
")</f>
        <v>Matthew
</v>
      </c>
      <c r="V88" s="24" t="str">
        <f>IFERROR(__xludf.DUMMYFUNCTION("SPLIT(D88,"","")"),"Bach")</f>
        <v>Bach</v>
      </c>
      <c r="W88" s="25" t="str">
        <f t="shared" si="1"/>
        <v>MATTHEW
 BACH</v>
      </c>
      <c r="X88" s="25" t="s">
        <v>272</v>
      </c>
      <c r="Y88" s="25">
        <v>75248.0</v>
      </c>
      <c r="Z88" s="25" t="str">
        <f>IFERROR(__xludf.DUMMYFUNCTION("SPLIT(C88,""
"")"),"Bach, Matthew")</f>
        <v>Bach, Matthew</v>
      </c>
      <c r="AA88" s="25" t="str">
        <f>IFERROR(__xludf.DUMMYFUNCTION("""COMPUTED_VALUE"""),"15746 Covewood Cir")</f>
        <v>15746 Covewood Cir</v>
      </c>
      <c r="AB88" s="25" t="str">
        <f>IFERROR(__xludf.DUMMYFUNCTION("""COMPUTED_VALUE"""),"Dallas, TX 75248")</f>
        <v>Dallas, TX 75248</v>
      </c>
      <c r="AC88" s="24" t="s">
        <v>273</v>
      </c>
      <c r="AD88" s="25"/>
      <c r="AE88" s="25"/>
      <c r="AF88" s="25"/>
      <c r="AG88" s="22" t="s">
        <v>60</v>
      </c>
      <c r="AH88" s="54">
        <v>2482.0</v>
      </c>
      <c r="AI88" s="22" t="s">
        <v>68</v>
      </c>
      <c r="AJ88" s="27">
        <v>50.0</v>
      </c>
      <c r="AK88" s="31" t="s">
        <v>31</v>
      </c>
      <c r="AL88" s="28">
        <v>44924.0</v>
      </c>
      <c r="AM88" s="29">
        <v>44938.558541666665</v>
      </c>
      <c r="AN88" s="30">
        <v>2.0</v>
      </c>
      <c r="AO88" s="22"/>
      <c r="AP88" s="22"/>
      <c r="AQ88" s="22"/>
      <c r="AR88" s="22"/>
      <c r="AS88" s="31">
        <f>IFERROR(__xludf.DUMMYFUNCTION("""COMPUTED_VALUE"""),75048.0)</f>
        <v>75048</v>
      </c>
      <c r="AT88" s="45">
        <f t="shared" si="6"/>
        <v>1000</v>
      </c>
      <c r="AU88" s="22"/>
      <c r="AV88" s="57" t="str">
        <f>IFERROR(__xludf.DUMMYFUNCTION("""COMPUTED_VALUE"""),"Gearing")</f>
        <v>Gearing</v>
      </c>
      <c r="AW88" s="46">
        <f t="shared" si="7"/>
        <v>702</v>
      </c>
      <c r="AX88" s="47">
        <f t="shared" ref="AX88:BQ88" si="355">SUMIFS($AJ:$AJ,$V:$V,$AV88,$AK:$AK,AX$2)</f>
        <v>500</v>
      </c>
      <c r="AY88" s="48">
        <f t="shared" si="355"/>
        <v>0</v>
      </c>
      <c r="AZ88" s="48">
        <f t="shared" si="355"/>
        <v>0</v>
      </c>
      <c r="BA88" s="48">
        <f t="shared" si="355"/>
        <v>100</v>
      </c>
      <c r="BB88" s="48">
        <f t="shared" si="355"/>
        <v>0</v>
      </c>
      <c r="BC88" s="48">
        <f t="shared" si="355"/>
        <v>0</v>
      </c>
      <c r="BD88" s="48">
        <f t="shared" si="355"/>
        <v>0</v>
      </c>
      <c r="BE88" s="48">
        <f t="shared" si="355"/>
        <v>0</v>
      </c>
      <c r="BF88" s="48">
        <f t="shared" si="355"/>
        <v>0</v>
      </c>
      <c r="BG88" s="48">
        <f t="shared" si="355"/>
        <v>0</v>
      </c>
      <c r="BH88" s="48">
        <f t="shared" si="355"/>
        <v>0</v>
      </c>
      <c r="BI88" s="48">
        <f t="shared" si="355"/>
        <v>102</v>
      </c>
      <c r="BJ88" s="48">
        <f t="shared" si="355"/>
        <v>0</v>
      </c>
      <c r="BK88" s="48">
        <f t="shared" si="355"/>
        <v>0</v>
      </c>
      <c r="BL88" s="48">
        <f t="shared" si="355"/>
        <v>0</v>
      </c>
      <c r="BM88" s="48">
        <f t="shared" si="355"/>
        <v>0</v>
      </c>
      <c r="BN88" s="48">
        <f t="shared" si="355"/>
        <v>0</v>
      </c>
      <c r="BO88" s="48">
        <f t="shared" si="355"/>
        <v>0</v>
      </c>
      <c r="BP88" s="48">
        <f t="shared" si="355"/>
        <v>0</v>
      </c>
      <c r="BQ88" s="48">
        <f t="shared" si="355"/>
        <v>0</v>
      </c>
      <c r="BR88" s="36">
        <f t="shared" si="9"/>
        <v>0</v>
      </c>
      <c r="BS88" s="38">
        <f t="shared" si="10"/>
        <v>1</v>
      </c>
      <c r="BT88" s="49">
        <f t="shared" si="11"/>
        <v>0</v>
      </c>
      <c r="BU88" s="38">
        <f t="shared" si="12"/>
        <v>1000</v>
      </c>
      <c r="BV88" s="57" t="str">
        <f>IFERROR(__xludf.DUMMYFUNCTION("""COMPUTED_VALUE"""),"Gearing")</f>
        <v>Gearing</v>
      </c>
      <c r="BW88" s="46">
        <f t="shared" si="13"/>
        <v>702</v>
      </c>
      <c r="BX88" s="47">
        <f t="shared" ref="BX88:CA88" si="356">AX88-$BU88</f>
        <v>-500</v>
      </c>
      <c r="BY88" s="47">
        <f t="shared" si="356"/>
        <v>-1000</v>
      </c>
      <c r="BZ88" s="47">
        <f t="shared" si="356"/>
        <v>-1000</v>
      </c>
      <c r="CA88" s="47">
        <f t="shared" si="356"/>
        <v>-900</v>
      </c>
      <c r="CB88" s="47">
        <f t="shared" si="15"/>
        <v>-10000</v>
      </c>
      <c r="CC88" s="47">
        <f t="shared" ref="CC88:CQ88" si="357">BC88-$BU88</f>
        <v>-1000</v>
      </c>
      <c r="CD88" s="47">
        <f t="shared" si="357"/>
        <v>-1000</v>
      </c>
      <c r="CE88" s="47">
        <f t="shared" si="357"/>
        <v>-1000</v>
      </c>
      <c r="CF88" s="47">
        <f t="shared" si="357"/>
        <v>-1000</v>
      </c>
      <c r="CG88" s="47">
        <f t="shared" si="357"/>
        <v>-1000</v>
      </c>
      <c r="CH88" s="47">
        <f t="shared" si="357"/>
        <v>-1000</v>
      </c>
      <c r="CI88" s="47">
        <f t="shared" si="357"/>
        <v>-898</v>
      </c>
      <c r="CJ88" s="47">
        <f t="shared" si="357"/>
        <v>-1000</v>
      </c>
      <c r="CK88" s="47">
        <f t="shared" si="357"/>
        <v>-1000</v>
      </c>
      <c r="CL88" s="47">
        <f t="shared" si="357"/>
        <v>-1000</v>
      </c>
      <c r="CM88" s="47">
        <f t="shared" si="357"/>
        <v>-1000</v>
      </c>
      <c r="CN88" s="47">
        <f t="shared" si="357"/>
        <v>-1000</v>
      </c>
      <c r="CO88" s="47">
        <f t="shared" si="357"/>
        <v>-1000</v>
      </c>
      <c r="CP88" s="47">
        <f t="shared" si="357"/>
        <v>-1000</v>
      </c>
      <c r="CQ88" s="47">
        <f t="shared" si="357"/>
        <v>-1000</v>
      </c>
      <c r="CR88" s="47"/>
      <c r="CS88" s="47"/>
      <c r="CT88" s="47"/>
      <c r="CU88" s="50" t="str">
        <f>IFERROR(__xludf.DUMMYFUNCTION("""COMPUTED_VALUE"""),"1777 N Record st
Dallas, TX 75202         ")</f>
        <v>1777 N Record st
Dallas, TX 75202         </v>
      </c>
      <c r="CV88" s="51">
        <f>IFERROR(__xludf.DUMMYFUNCTION("IF(REGEXMATCH(UPPER(CU88), ""TX""),0,1)"),0.0)</f>
        <v>0</v>
      </c>
      <c r="CW88" s="51">
        <f>IFERROR(__xludf.DUMMYFUNCTION("IF(REGEXMATCH(UPPER(CU88), ""DALLAS""),0,1)"),0.0)</f>
        <v>0</v>
      </c>
      <c r="CX88" s="51">
        <f t="shared" si="17"/>
        <v>0</v>
      </c>
      <c r="CY88" s="51">
        <f t="shared" si="18"/>
        <v>0</v>
      </c>
      <c r="CZ88" s="52" t="str">
        <f t="shared" si="19"/>
        <v/>
      </c>
      <c r="DA88" s="53" t="str">
        <f>IFERROR(__xludf.DUMMYFUNCTION("""COMPUTED_VALUE"""),"6200 Los Robles Drive
Mesquite, TX 75215         ")</f>
        <v>6200 Los Robles Drive
Mesquite, TX 75215         </v>
      </c>
      <c r="DB88" s="52">
        <f t="shared" ref="DB88:DU88" si="358">SUMIFS($AJ:$AJ,$X:$X,$DA88,$AK:$AK,DB$2)</f>
        <v>0</v>
      </c>
      <c r="DC88" s="52">
        <f t="shared" si="358"/>
        <v>0</v>
      </c>
      <c r="DD88" s="52">
        <f t="shared" si="358"/>
        <v>0</v>
      </c>
      <c r="DE88" s="52">
        <f t="shared" si="358"/>
        <v>100</v>
      </c>
      <c r="DF88" s="52">
        <f t="shared" si="358"/>
        <v>0</v>
      </c>
      <c r="DG88" s="52">
        <f t="shared" si="358"/>
        <v>0</v>
      </c>
      <c r="DH88" s="52">
        <f t="shared" si="358"/>
        <v>0</v>
      </c>
      <c r="DI88" s="52">
        <f t="shared" si="358"/>
        <v>0</v>
      </c>
      <c r="DJ88" s="52">
        <f t="shared" si="358"/>
        <v>0</v>
      </c>
      <c r="DK88" s="52">
        <f t="shared" si="358"/>
        <v>0</v>
      </c>
      <c r="DL88" s="52">
        <f t="shared" si="358"/>
        <v>0</v>
      </c>
      <c r="DM88" s="52">
        <f t="shared" si="358"/>
        <v>0</v>
      </c>
      <c r="DN88" s="52">
        <f t="shared" si="358"/>
        <v>0</v>
      </c>
      <c r="DO88" s="52">
        <f t="shared" si="358"/>
        <v>0</v>
      </c>
      <c r="DP88" s="52">
        <f t="shared" si="358"/>
        <v>0</v>
      </c>
      <c r="DQ88" s="52">
        <f t="shared" si="358"/>
        <v>0</v>
      </c>
      <c r="DR88" s="52">
        <f t="shared" si="358"/>
        <v>0</v>
      </c>
      <c r="DS88" s="52">
        <f t="shared" si="358"/>
        <v>0</v>
      </c>
      <c r="DT88" s="52">
        <f t="shared" si="358"/>
        <v>0</v>
      </c>
      <c r="DU88" s="52">
        <f t="shared" si="358"/>
        <v>0</v>
      </c>
      <c r="DV88" s="52">
        <f t="shared" si="21"/>
        <v>100</v>
      </c>
      <c r="DW88" s="52">
        <f t="shared" si="22"/>
        <v>1</v>
      </c>
    </row>
    <row r="89">
      <c r="A89" s="41" t="s">
        <v>64</v>
      </c>
      <c r="B89" s="41" t="s">
        <v>56</v>
      </c>
      <c r="C89" s="31" t="s">
        <v>274</v>
      </c>
      <c r="D89" s="25" t="str">
        <f>IFERROR(__xludf.DUMMYFUNCTION("SPLIT(C89,"" "")"),"Bacon,")</f>
        <v>Bacon,</v>
      </c>
      <c r="E89" s="40" t="str">
        <f>IFERROR(__xludf.DUMMYFUNCTION("""COMPUTED_VALUE"""),"Diana
9834")</f>
        <v>Diana
9834</v>
      </c>
      <c r="F89" s="40" t="str">
        <f>IFERROR(__xludf.DUMMYFUNCTION("""COMPUTED_VALUE"""),"Shoreview")</f>
        <v>Shoreview</v>
      </c>
      <c r="G89" s="40" t="str">
        <f>IFERROR(__xludf.DUMMYFUNCTION("""COMPUTED_VALUE"""),"Rd
Dallas,")</f>
        <v>Rd
Dallas,</v>
      </c>
      <c r="H89" s="40" t="str">
        <f>IFERROR(__xludf.DUMMYFUNCTION("""COMPUTED_VALUE"""),"TX")</f>
        <v>TX</v>
      </c>
      <c r="I89" s="40">
        <f>IFERROR(__xludf.DUMMYFUNCTION("""COMPUTED_VALUE"""),75238.0)</f>
        <v>75238</v>
      </c>
      <c r="J89" s="40"/>
      <c r="K89" s="40"/>
      <c r="L89" s="40"/>
      <c r="M89" s="40"/>
      <c r="N89" s="40"/>
      <c r="O89" s="40"/>
      <c r="P89" s="40"/>
      <c r="Q89" s="40"/>
      <c r="R89" s="40"/>
      <c r="S89" s="40"/>
      <c r="T89" s="40"/>
      <c r="U89" s="24" t="str">
        <f>IFERROR(__xludf.DUMMYFUNCTION("SPLIT(E89,""01234567890"")"),"Diana
")</f>
        <v>Diana
</v>
      </c>
      <c r="V89" s="24" t="str">
        <f>IFERROR(__xludf.DUMMYFUNCTION("SPLIT(D89,"","")"),"Bacon")</f>
        <v>Bacon</v>
      </c>
      <c r="W89" s="25" t="str">
        <f t="shared" si="1"/>
        <v>DIANA
 BACON</v>
      </c>
      <c r="X89" s="25" t="s">
        <v>275</v>
      </c>
      <c r="Y89" s="25">
        <v>75238.0</v>
      </c>
      <c r="Z89" s="25" t="str">
        <f>IFERROR(__xludf.DUMMYFUNCTION("SPLIT(C89,""
"")"),"Bacon, Diana")</f>
        <v>Bacon, Diana</v>
      </c>
      <c r="AA89" s="25" t="str">
        <f>IFERROR(__xludf.DUMMYFUNCTION("""COMPUTED_VALUE"""),"9834 Shoreview Rd")</f>
        <v>9834 Shoreview Rd</v>
      </c>
      <c r="AB89" s="25" t="str">
        <f>IFERROR(__xludf.DUMMYFUNCTION("""COMPUTED_VALUE"""),"Dallas, TX 75238")</f>
        <v>Dallas, TX 75238</v>
      </c>
      <c r="AC89" s="24" t="s">
        <v>276</v>
      </c>
      <c r="AD89" s="25"/>
      <c r="AE89" s="25"/>
      <c r="AF89" s="25"/>
      <c r="AG89" s="40" t="s">
        <v>60</v>
      </c>
      <c r="AH89" s="42">
        <v>2488.0</v>
      </c>
      <c r="AI89" s="40" t="s">
        <v>68</v>
      </c>
      <c r="AJ89" s="27">
        <v>50.0</v>
      </c>
      <c r="AK89" s="31" t="s">
        <v>32</v>
      </c>
      <c r="AL89" s="43">
        <v>44749.0</v>
      </c>
      <c r="AM89" s="44">
        <v>44937.96288194445</v>
      </c>
      <c r="AN89" s="30">
        <v>2.0</v>
      </c>
      <c r="AO89" s="40"/>
      <c r="AP89" s="40"/>
      <c r="AQ89" s="40"/>
      <c r="AR89" s="40"/>
      <c r="AS89" s="31">
        <f>IFERROR(__xludf.DUMMYFUNCTION("""COMPUTED_VALUE"""),94109.0)</f>
        <v>94109</v>
      </c>
      <c r="AT89" s="45">
        <f t="shared" si="6"/>
        <v>100</v>
      </c>
      <c r="AU89" s="40"/>
      <c r="AV89" s="46" t="str">
        <f>IFERROR(__xludf.DUMMYFUNCTION("""COMPUTED_VALUE"""),"Saxer")</f>
        <v>Saxer</v>
      </c>
      <c r="AW89" s="46">
        <f t="shared" si="7"/>
        <v>100</v>
      </c>
      <c r="AX89" s="47">
        <f t="shared" ref="AX89:BQ89" si="359">SUMIFS($AJ:$AJ,$V:$V,$AV89,$AK:$AK,AX$2)</f>
        <v>100</v>
      </c>
      <c r="AY89" s="48">
        <f t="shared" si="359"/>
        <v>0</v>
      </c>
      <c r="AZ89" s="48">
        <f t="shared" si="359"/>
        <v>0</v>
      </c>
      <c r="BA89" s="48">
        <f t="shared" si="359"/>
        <v>0</v>
      </c>
      <c r="BB89" s="48">
        <f t="shared" si="359"/>
        <v>0</v>
      </c>
      <c r="BC89" s="48">
        <f t="shared" si="359"/>
        <v>0</v>
      </c>
      <c r="BD89" s="48">
        <f t="shared" si="359"/>
        <v>0</v>
      </c>
      <c r="BE89" s="48">
        <f t="shared" si="359"/>
        <v>0</v>
      </c>
      <c r="BF89" s="48">
        <f t="shared" si="359"/>
        <v>0</v>
      </c>
      <c r="BG89" s="48">
        <f t="shared" si="359"/>
        <v>0</v>
      </c>
      <c r="BH89" s="48">
        <f t="shared" si="359"/>
        <v>0</v>
      </c>
      <c r="BI89" s="48">
        <f t="shared" si="359"/>
        <v>0</v>
      </c>
      <c r="BJ89" s="48">
        <f t="shared" si="359"/>
        <v>0</v>
      </c>
      <c r="BK89" s="48">
        <f t="shared" si="359"/>
        <v>0</v>
      </c>
      <c r="BL89" s="48">
        <f t="shared" si="359"/>
        <v>0</v>
      </c>
      <c r="BM89" s="48">
        <f t="shared" si="359"/>
        <v>0</v>
      </c>
      <c r="BN89" s="48">
        <f t="shared" si="359"/>
        <v>0</v>
      </c>
      <c r="BO89" s="48">
        <f t="shared" si="359"/>
        <v>0</v>
      </c>
      <c r="BP89" s="48">
        <f t="shared" si="359"/>
        <v>0</v>
      </c>
      <c r="BQ89" s="48">
        <f t="shared" si="359"/>
        <v>0</v>
      </c>
      <c r="BR89" s="36">
        <f t="shared" si="9"/>
        <v>0</v>
      </c>
      <c r="BS89" s="38">
        <f t="shared" si="10"/>
        <v>1</v>
      </c>
      <c r="BT89" s="49">
        <f t="shared" si="11"/>
        <v>0</v>
      </c>
      <c r="BU89" s="38">
        <f t="shared" si="12"/>
        <v>1000</v>
      </c>
      <c r="BV89" s="46" t="str">
        <f>IFERROR(__xludf.DUMMYFUNCTION("""COMPUTED_VALUE"""),"Saxer")</f>
        <v>Saxer</v>
      </c>
      <c r="BW89" s="46">
        <f t="shared" si="13"/>
        <v>100</v>
      </c>
      <c r="BX89" s="47">
        <f t="shared" ref="BX89:CA89" si="360">AX89-$BU89</f>
        <v>-900</v>
      </c>
      <c r="BY89" s="47">
        <f t="shared" si="360"/>
        <v>-1000</v>
      </c>
      <c r="BZ89" s="47">
        <f t="shared" si="360"/>
        <v>-1000</v>
      </c>
      <c r="CA89" s="47">
        <f t="shared" si="360"/>
        <v>-1000</v>
      </c>
      <c r="CB89" s="47">
        <f t="shared" si="15"/>
        <v>-10000</v>
      </c>
      <c r="CC89" s="47">
        <f t="shared" ref="CC89:CQ89" si="361">BC89-$BU89</f>
        <v>-1000</v>
      </c>
      <c r="CD89" s="47">
        <f t="shared" si="361"/>
        <v>-1000</v>
      </c>
      <c r="CE89" s="47">
        <f t="shared" si="361"/>
        <v>-1000</v>
      </c>
      <c r="CF89" s="47">
        <f t="shared" si="361"/>
        <v>-1000</v>
      </c>
      <c r="CG89" s="47">
        <f t="shared" si="361"/>
        <v>-1000</v>
      </c>
      <c r="CH89" s="47">
        <f t="shared" si="361"/>
        <v>-1000</v>
      </c>
      <c r="CI89" s="47">
        <f t="shared" si="361"/>
        <v>-1000</v>
      </c>
      <c r="CJ89" s="47">
        <f t="shared" si="361"/>
        <v>-1000</v>
      </c>
      <c r="CK89" s="47">
        <f t="shared" si="361"/>
        <v>-1000</v>
      </c>
      <c r="CL89" s="47">
        <f t="shared" si="361"/>
        <v>-1000</v>
      </c>
      <c r="CM89" s="47">
        <f t="shared" si="361"/>
        <v>-1000</v>
      </c>
      <c r="CN89" s="47">
        <f t="shared" si="361"/>
        <v>-1000</v>
      </c>
      <c r="CO89" s="47">
        <f t="shared" si="361"/>
        <v>-1000</v>
      </c>
      <c r="CP89" s="47">
        <f t="shared" si="361"/>
        <v>-1000</v>
      </c>
      <c r="CQ89" s="47">
        <f t="shared" si="361"/>
        <v>-1000</v>
      </c>
      <c r="CR89" s="47"/>
      <c r="CS89" s="47"/>
      <c r="CT89" s="47"/>
      <c r="CU89" s="50" t="str">
        <f>IFERROR(__xludf.DUMMYFUNCTION("""COMPUTED_VALUE"""),"1100 Lake Carolyn Pkwy
Irving, TX 75039         ")</f>
        <v>1100 Lake Carolyn Pkwy
Irving, TX 75039         </v>
      </c>
      <c r="CV89" s="51">
        <f>IFERROR(__xludf.DUMMYFUNCTION("IF(REGEXMATCH(UPPER(CU89), ""TX""),0,1)"),0.0)</f>
        <v>0</v>
      </c>
      <c r="CW89" s="51">
        <f>IFERROR(__xludf.DUMMYFUNCTION("IF(REGEXMATCH(UPPER(CU89), ""DALLAS""),0,1)"),1.0)</f>
        <v>1</v>
      </c>
      <c r="CX89" s="51">
        <f t="shared" si="17"/>
        <v>0</v>
      </c>
      <c r="CY89" s="51">
        <f t="shared" si="18"/>
        <v>100</v>
      </c>
      <c r="CZ89" s="52" t="str">
        <f t="shared" si="19"/>
        <v>1100 Lake Carolyn Pkwy
Irving, TX 75039         </v>
      </c>
      <c r="DA89" s="53" t="str">
        <f>IFERROR(__xludf.DUMMYFUNCTION("""COMPUTED_VALUE"""),"1917 Valley Oaks Ct
Irving, TX 75016         ")</f>
        <v>1917 Valley Oaks Ct
Irving, TX 75016         </v>
      </c>
      <c r="DB89" s="52">
        <f t="shared" ref="DB89:DU89" si="362">SUMIFS($AJ:$AJ,$X:$X,$DA89,$AK:$AK,DB$2)</f>
        <v>0</v>
      </c>
      <c r="DC89" s="52">
        <f t="shared" si="362"/>
        <v>0</v>
      </c>
      <c r="DD89" s="52">
        <f t="shared" si="362"/>
        <v>0</v>
      </c>
      <c r="DE89" s="52">
        <f t="shared" si="362"/>
        <v>250</v>
      </c>
      <c r="DF89" s="52">
        <f t="shared" si="362"/>
        <v>0</v>
      </c>
      <c r="DG89" s="52">
        <f t="shared" si="362"/>
        <v>0</v>
      </c>
      <c r="DH89" s="52">
        <f t="shared" si="362"/>
        <v>0</v>
      </c>
      <c r="DI89" s="52">
        <f t="shared" si="362"/>
        <v>0</v>
      </c>
      <c r="DJ89" s="52">
        <f t="shared" si="362"/>
        <v>0</v>
      </c>
      <c r="DK89" s="52">
        <f t="shared" si="362"/>
        <v>0</v>
      </c>
      <c r="DL89" s="52">
        <f t="shared" si="362"/>
        <v>0</v>
      </c>
      <c r="DM89" s="52">
        <f t="shared" si="362"/>
        <v>0</v>
      </c>
      <c r="DN89" s="52">
        <f t="shared" si="362"/>
        <v>0</v>
      </c>
      <c r="DO89" s="52">
        <f t="shared" si="362"/>
        <v>0</v>
      </c>
      <c r="DP89" s="52">
        <f t="shared" si="362"/>
        <v>0</v>
      </c>
      <c r="DQ89" s="52">
        <f t="shared" si="362"/>
        <v>0</v>
      </c>
      <c r="DR89" s="52">
        <f t="shared" si="362"/>
        <v>0</v>
      </c>
      <c r="DS89" s="52">
        <f t="shared" si="362"/>
        <v>0</v>
      </c>
      <c r="DT89" s="52">
        <f t="shared" si="362"/>
        <v>0</v>
      </c>
      <c r="DU89" s="52">
        <f t="shared" si="362"/>
        <v>0</v>
      </c>
      <c r="DV89" s="52">
        <f t="shared" si="21"/>
        <v>250</v>
      </c>
      <c r="DW89" s="52">
        <f t="shared" si="22"/>
        <v>1</v>
      </c>
    </row>
    <row r="90">
      <c r="A90" s="23" t="s">
        <v>64</v>
      </c>
      <c r="B90" s="23" t="s">
        <v>56</v>
      </c>
      <c r="C90" s="31" t="s">
        <v>277</v>
      </c>
      <c r="D90" s="25" t="str">
        <f>IFERROR(__xludf.DUMMYFUNCTION("SPLIT(C90,"" "")"),"Badgett,")</f>
        <v>Badgett,</v>
      </c>
      <c r="E90" s="22" t="str">
        <f>IFERROR(__xludf.DUMMYFUNCTION("""COMPUTED_VALUE"""),"Charles
8602")</f>
        <v>Charles
8602</v>
      </c>
      <c r="F90" s="22" t="str">
        <f>IFERROR(__xludf.DUMMYFUNCTION("""COMPUTED_VALUE"""),"Middle")</f>
        <v>Middle</v>
      </c>
      <c r="G90" s="22" t="str">
        <f>IFERROR(__xludf.DUMMYFUNCTION("""COMPUTED_VALUE"""),"Downs")</f>
        <v>Downs</v>
      </c>
      <c r="H90" s="22" t="str">
        <f>IFERROR(__xludf.DUMMYFUNCTION("""COMPUTED_VALUE"""),"Dr.
Dallas,")</f>
        <v>Dr.
Dallas,</v>
      </c>
      <c r="I90" s="22" t="str">
        <f>IFERROR(__xludf.DUMMYFUNCTION("""COMPUTED_VALUE"""),"TX")</f>
        <v>TX</v>
      </c>
      <c r="J90" s="22">
        <f>IFERROR(__xludf.DUMMYFUNCTION("""COMPUTED_VALUE"""),75243.0)</f>
        <v>75243</v>
      </c>
      <c r="K90" s="22"/>
      <c r="L90" s="22"/>
      <c r="M90" s="22"/>
      <c r="N90" s="22"/>
      <c r="O90" s="22"/>
      <c r="P90" s="22"/>
      <c r="Q90" s="22"/>
      <c r="R90" s="22"/>
      <c r="S90" s="22"/>
      <c r="T90" s="22"/>
      <c r="U90" s="24" t="str">
        <f>IFERROR(__xludf.DUMMYFUNCTION("SPLIT(E90,""01234567890"")"),"Charles
")</f>
        <v>Charles
</v>
      </c>
      <c r="V90" s="24" t="str">
        <f>IFERROR(__xludf.DUMMYFUNCTION("SPLIT(D90,"","")"),"Badgett")</f>
        <v>Badgett</v>
      </c>
      <c r="W90" s="25" t="str">
        <f t="shared" si="1"/>
        <v>CHARLES
 BADGETT</v>
      </c>
      <c r="X90" s="25" t="s">
        <v>278</v>
      </c>
      <c r="Y90" s="25">
        <v>75243.0</v>
      </c>
      <c r="Z90" s="25" t="str">
        <f>IFERROR(__xludf.DUMMYFUNCTION("SPLIT(C90,""
"")"),"Badgett, Charles")</f>
        <v>Badgett, Charles</v>
      </c>
      <c r="AA90" s="25" t="str">
        <f>IFERROR(__xludf.DUMMYFUNCTION("""COMPUTED_VALUE"""),"8602 Middle Downs Dr.")</f>
        <v>8602 Middle Downs Dr.</v>
      </c>
      <c r="AB90" s="25" t="str">
        <f>IFERROR(__xludf.DUMMYFUNCTION("""COMPUTED_VALUE"""),"Dallas, TX 75243")</f>
        <v>Dallas, TX 75243</v>
      </c>
      <c r="AC90" s="24" t="s">
        <v>279</v>
      </c>
      <c r="AD90" s="25"/>
      <c r="AE90" s="25"/>
      <c r="AF90" s="25"/>
      <c r="AG90" s="22" t="s">
        <v>60</v>
      </c>
      <c r="AH90" s="54">
        <v>2477.0</v>
      </c>
      <c r="AI90" s="22" t="s">
        <v>68</v>
      </c>
      <c r="AJ90" s="27">
        <v>1000.0</v>
      </c>
      <c r="AK90" s="31" t="s">
        <v>26</v>
      </c>
      <c r="AL90" s="28">
        <v>44883.0</v>
      </c>
      <c r="AM90" s="29">
        <v>44940.42346064815</v>
      </c>
      <c r="AN90" s="30">
        <v>2.0</v>
      </c>
      <c r="AO90" s="22"/>
      <c r="AP90" s="22"/>
      <c r="AQ90" s="22"/>
      <c r="AR90" s="22"/>
      <c r="AS90" s="31">
        <f>IFERROR(__xludf.DUMMYFUNCTION("""COMPUTED_VALUE"""),10006.0)</f>
        <v>10006</v>
      </c>
      <c r="AT90" s="45">
        <f t="shared" si="6"/>
        <v>100</v>
      </c>
      <c r="AU90" s="22"/>
      <c r="AV90" s="57" t="str">
        <f>IFERROR(__xludf.DUMMYFUNCTION("""COMPUTED_VALUE"""),"Homan")</f>
        <v>Homan</v>
      </c>
      <c r="AW90" s="46">
        <f t="shared" si="7"/>
        <v>1000</v>
      </c>
      <c r="AX90" s="47">
        <f t="shared" ref="AX90:BQ90" si="363">SUMIFS($AJ:$AJ,$V:$V,$AV90,$AK:$AK,AX$2)</f>
        <v>1000</v>
      </c>
      <c r="AY90" s="48">
        <f t="shared" si="363"/>
        <v>0</v>
      </c>
      <c r="AZ90" s="48">
        <f t="shared" si="363"/>
        <v>0</v>
      </c>
      <c r="BA90" s="48">
        <f t="shared" si="363"/>
        <v>0</v>
      </c>
      <c r="BB90" s="48">
        <f t="shared" si="363"/>
        <v>0</v>
      </c>
      <c r="BC90" s="48">
        <f t="shared" si="363"/>
        <v>0</v>
      </c>
      <c r="BD90" s="48">
        <f t="shared" si="363"/>
        <v>0</v>
      </c>
      <c r="BE90" s="48">
        <f t="shared" si="363"/>
        <v>0</v>
      </c>
      <c r="BF90" s="48">
        <f t="shared" si="363"/>
        <v>0</v>
      </c>
      <c r="BG90" s="48">
        <f t="shared" si="363"/>
        <v>0</v>
      </c>
      <c r="BH90" s="48">
        <f t="shared" si="363"/>
        <v>0</v>
      </c>
      <c r="BI90" s="48">
        <f t="shared" si="363"/>
        <v>0</v>
      </c>
      <c r="BJ90" s="48">
        <f t="shared" si="363"/>
        <v>0</v>
      </c>
      <c r="BK90" s="48">
        <f t="shared" si="363"/>
        <v>0</v>
      </c>
      <c r="BL90" s="48">
        <f t="shared" si="363"/>
        <v>0</v>
      </c>
      <c r="BM90" s="48">
        <f t="shared" si="363"/>
        <v>0</v>
      </c>
      <c r="BN90" s="48">
        <f t="shared" si="363"/>
        <v>0</v>
      </c>
      <c r="BO90" s="48">
        <f t="shared" si="363"/>
        <v>0</v>
      </c>
      <c r="BP90" s="48">
        <f t="shared" si="363"/>
        <v>0</v>
      </c>
      <c r="BQ90" s="48">
        <f t="shared" si="363"/>
        <v>0</v>
      </c>
      <c r="BR90" s="36">
        <f t="shared" si="9"/>
        <v>1</v>
      </c>
      <c r="BS90" s="38">
        <f t="shared" si="10"/>
        <v>2</v>
      </c>
      <c r="BT90" s="49">
        <f t="shared" si="11"/>
        <v>0</v>
      </c>
      <c r="BU90" s="38">
        <f t="shared" si="12"/>
        <v>2000</v>
      </c>
      <c r="BV90" s="57" t="str">
        <f>IFERROR(__xludf.DUMMYFUNCTION("""COMPUTED_VALUE"""),"Homan")</f>
        <v>Homan</v>
      </c>
      <c r="BW90" s="46">
        <f t="shared" si="13"/>
        <v>1000</v>
      </c>
      <c r="BX90" s="47">
        <f t="shared" ref="BX90:CA90" si="364">AX90-$BU90</f>
        <v>-1000</v>
      </c>
      <c r="BY90" s="47">
        <f t="shared" si="364"/>
        <v>-2000</v>
      </c>
      <c r="BZ90" s="47">
        <f t="shared" si="364"/>
        <v>-2000</v>
      </c>
      <c r="CA90" s="47">
        <f t="shared" si="364"/>
        <v>-2000</v>
      </c>
      <c r="CB90" s="47">
        <f t="shared" si="15"/>
        <v>-20000</v>
      </c>
      <c r="CC90" s="47">
        <f t="shared" ref="CC90:CQ90" si="365">BC90-$BU90</f>
        <v>-2000</v>
      </c>
      <c r="CD90" s="47">
        <f t="shared" si="365"/>
        <v>-2000</v>
      </c>
      <c r="CE90" s="47">
        <f t="shared" si="365"/>
        <v>-2000</v>
      </c>
      <c r="CF90" s="47">
        <f t="shared" si="365"/>
        <v>-2000</v>
      </c>
      <c r="CG90" s="47">
        <f t="shared" si="365"/>
        <v>-2000</v>
      </c>
      <c r="CH90" s="47">
        <f t="shared" si="365"/>
        <v>-2000</v>
      </c>
      <c r="CI90" s="47">
        <f t="shared" si="365"/>
        <v>-2000</v>
      </c>
      <c r="CJ90" s="47">
        <f t="shared" si="365"/>
        <v>-2000</v>
      </c>
      <c r="CK90" s="47">
        <f t="shared" si="365"/>
        <v>-2000</v>
      </c>
      <c r="CL90" s="47">
        <f t="shared" si="365"/>
        <v>-2000</v>
      </c>
      <c r="CM90" s="47">
        <f t="shared" si="365"/>
        <v>-2000</v>
      </c>
      <c r="CN90" s="47">
        <f t="shared" si="365"/>
        <v>-2000</v>
      </c>
      <c r="CO90" s="47">
        <f t="shared" si="365"/>
        <v>-2000</v>
      </c>
      <c r="CP90" s="47">
        <f t="shared" si="365"/>
        <v>-2000</v>
      </c>
      <c r="CQ90" s="47">
        <f t="shared" si="365"/>
        <v>-2000</v>
      </c>
      <c r="CR90" s="47"/>
      <c r="CS90" s="47"/>
      <c r="CT90" s="47"/>
      <c r="CU90" s="50" t="str">
        <f>IFERROR(__xludf.DUMMYFUNCTION("""COMPUTED_VALUE"""),"&amp; family, Mitchell and Miriam Lewis
14020 Hughes Ln
Dallas, TX 75254     ")</f>
        <v>&amp; family, Mitchell and Miriam Lewis
14020 Hughes Ln
Dallas, TX 75254     </v>
      </c>
      <c r="CV90" s="51">
        <f>IFERROR(__xludf.DUMMYFUNCTION("IF(REGEXMATCH(UPPER(CU90), ""TX""),0,1)"),0.0)</f>
        <v>0</v>
      </c>
      <c r="CW90" s="51">
        <f>IFERROR(__xludf.DUMMYFUNCTION("IF(REGEXMATCH(UPPER(CU90), ""DALLAS""),0,1)"),0.0)</f>
        <v>0</v>
      </c>
      <c r="CX90" s="51">
        <f t="shared" si="17"/>
        <v>0</v>
      </c>
      <c r="CY90" s="51">
        <f t="shared" si="18"/>
        <v>0</v>
      </c>
      <c r="CZ90" s="52" t="str">
        <f t="shared" si="19"/>
        <v/>
      </c>
      <c r="DA90" s="53" t="str">
        <f>IFERROR(__xludf.DUMMYFUNCTION("""COMPUTED_VALUE"""),"3925 Carnegie Ln
Raleigh, NC 27612          ")</f>
        <v>3925 Carnegie Ln
Raleigh, NC 27612          </v>
      </c>
      <c r="DB90" s="52">
        <f t="shared" ref="DB90:DU90" si="366">SUMIFS($AJ:$AJ,$X:$X,$DA90,$AK:$AK,DB$2)</f>
        <v>0</v>
      </c>
      <c r="DC90" s="52">
        <f t="shared" si="366"/>
        <v>0</v>
      </c>
      <c r="DD90" s="52">
        <f t="shared" si="366"/>
        <v>0</v>
      </c>
      <c r="DE90" s="52">
        <f t="shared" si="366"/>
        <v>60</v>
      </c>
      <c r="DF90" s="52">
        <f t="shared" si="366"/>
        <v>0</v>
      </c>
      <c r="DG90" s="52">
        <f t="shared" si="366"/>
        <v>0</v>
      </c>
      <c r="DH90" s="52">
        <f t="shared" si="366"/>
        <v>0</v>
      </c>
      <c r="DI90" s="52">
        <f t="shared" si="366"/>
        <v>0</v>
      </c>
      <c r="DJ90" s="52">
        <f t="shared" si="366"/>
        <v>0</v>
      </c>
      <c r="DK90" s="52">
        <f t="shared" si="366"/>
        <v>0</v>
      </c>
      <c r="DL90" s="52">
        <f t="shared" si="366"/>
        <v>0</v>
      </c>
      <c r="DM90" s="52">
        <f t="shared" si="366"/>
        <v>0</v>
      </c>
      <c r="DN90" s="52">
        <f t="shared" si="366"/>
        <v>0</v>
      </c>
      <c r="DO90" s="52">
        <f t="shared" si="366"/>
        <v>0</v>
      </c>
      <c r="DP90" s="52">
        <f t="shared" si="366"/>
        <v>0</v>
      </c>
      <c r="DQ90" s="52">
        <f t="shared" si="366"/>
        <v>0</v>
      </c>
      <c r="DR90" s="52">
        <f t="shared" si="366"/>
        <v>0</v>
      </c>
      <c r="DS90" s="52">
        <f t="shared" si="366"/>
        <v>0</v>
      </c>
      <c r="DT90" s="52">
        <f t="shared" si="366"/>
        <v>0</v>
      </c>
      <c r="DU90" s="52">
        <f t="shared" si="366"/>
        <v>0</v>
      </c>
      <c r="DV90" s="52">
        <f t="shared" si="21"/>
        <v>60</v>
      </c>
      <c r="DW90" s="52">
        <f t="shared" si="22"/>
        <v>1</v>
      </c>
    </row>
    <row r="91">
      <c r="A91" s="41" t="s">
        <v>64</v>
      </c>
      <c r="B91" s="41" t="s">
        <v>56</v>
      </c>
      <c r="C91" s="31" t="s">
        <v>280</v>
      </c>
      <c r="D91" s="25" t="str">
        <f>IFERROR(__xludf.DUMMYFUNCTION("SPLIT(C91,"" "")"),"Bailey,")</f>
        <v>Bailey,</v>
      </c>
      <c r="E91" s="40" t="str">
        <f>IFERROR(__xludf.DUMMYFUNCTION("""COMPUTED_VALUE"""),"Kathleen
11057")</f>
        <v>Kathleen
11057</v>
      </c>
      <c r="F91" s="40" t="str">
        <f>IFERROR(__xludf.DUMMYFUNCTION("""COMPUTED_VALUE"""),"Mandalay
Dallas,")</f>
        <v>Mandalay
Dallas,</v>
      </c>
      <c r="G91" s="40" t="str">
        <f>IFERROR(__xludf.DUMMYFUNCTION("""COMPUTED_VALUE"""),"TX")</f>
        <v>TX</v>
      </c>
      <c r="H91" s="40">
        <f>IFERROR(__xludf.DUMMYFUNCTION("""COMPUTED_VALUE"""),75228.0)</f>
        <v>75228</v>
      </c>
      <c r="I91" s="40"/>
      <c r="J91" s="40"/>
      <c r="K91" s="40"/>
      <c r="L91" s="40"/>
      <c r="M91" s="40"/>
      <c r="N91" s="40"/>
      <c r="O91" s="40"/>
      <c r="P91" s="40"/>
      <c r="Q91" s="40"/>
      <c r="R91" s="40"/>
      <c r="S91" s="40"/>
      <c r="T91" s="40"/>
      <c r="U91" s="24" t="str">
        <f>IFERROR(__xludf.DUMMYFUNCTION("SPLIT(E91,""01234567890"")"),"Kathleen
")</f>
        <v>Kathleen
</v>
      </c>
      <c r="V91" s="24" t="str">
        <f>IFERROR(__xludf.DUMMYFUNCTION("SPLIT(D91,"","")"),"Bailey")</f>
        <v>Bailey</v>
      </c>
      <c r="W91" s="25" t="str">
        <f t="shared" si="1"/>
        <v>KATHLEEN
 BAILEY</v>
      </c>
      <c r="X91" s="25" t="s">
        <v>281</v>
      </c>
      <c r="Y91" s="25">
        <v>75228.0</v>
      </c>
      <c r="Z91" s="25" t="str">
        <f>IFERROR(__xludf.DUMMYFUNCTION("SPLIT(C91,""
"")"),"Bailey, Kathleen")</f>
        <v>Bailey, Kathleen</v>
      </c>
      <c r="AA91" s="25" t="str">
        <f>IFERROR(__xludf.DUMMYFUNCTION("""COMPUTED_VALUE"""),"11057 Mandalay")</f>
        <v>11057 Mandalay</v>
      </c>
      <c r="AB91" s="25" t="str">
        <f>IFERROR(__xludf.DUMMYFUNCTION("""COMPUTED_VALUE"""),"Dallas, TX 75228")</f>
        <v>Dallas, TX 75228</v>
      </c>
      <c r="AC91" s="24" t="s">
        <v>282</v>
      </c>
      <c r="AD91" s="25"/>
      <c r="AE91" s="25"/>
      <c r="AF91" s="25"/>
      <c r="AG91" s="40" t="s">
        <v>60</v>
      </c>
      <c r="AH91" s="42">
        <v>2438.0</v>
      </c>
      <c r="AI91" s="40" t="s">
        <v>61</v>
      </c>
      <c r="AJ91" s="27">
        <v>100.0</v>
      </c>
      <c r="AK91" s="31" t="s">
        <v>32</v>
      </c>
      <c r="AL91" s="43">
        <v>44663.0</v>
      </c>
      <c r="AM91" s="44">
        <v>44756.86681712963</v>
      </c>
      <c r="AN91" s="30">
        <v>2.0</v>
      </c>
      <c r="AO91" s="40"/>
      <c r="AP91" s="40"/>
      <c r="AQ91" s="40"/>
      <c r="AR91" s="40"/>
      <c r="AS91" s="31">
        <f>IFERROR(__xludf.DUMMYFUNCTION("""COMPUTED_VALUE"""),75081.0)</f>
        <v>75081</v>
      </c>
      <c r="AT91" s="45">
        <f t="shared" si="6"/>
        <v>250</v>
      </c>
      <c r="AU91" s="40"/>
      <c r="AV91" s="46" t="str">
        <f>IFERROR(__xludf.DUMMYFUNCTION("""COMPUTED_VALUE"""),"Norcross")</f>
        <v>Norcross</v>
      </c>
      <c r="AW91" s="46">
        <f t="shared" si="7"/>
        <v>500</v>
      </c>
      <c r="AX91" s="47">
        <f t="shared" ref="AX91:BQ91" si="367">SUMIFS($AJ:$AJ,$V:$V,$AV91,$AK:$AK,AX$2)</f>
        <v>500</v>
      </c>
      <c r="AY91" s="48">
        <f t="shared" si="367"/>
        <v>0</v>
      </c>
      <c r="AZ91" s="48">
        <f t="shared" si="367"/>
        <v>0</v>
      </c>
      <c r="BA91" s="48">
        <f t="shared" si="367"/>
        <v>0</v>
      </c>
      <c r="BB91" s="48">
        <f t="shared" si="367"/>
        <v>0</v>
      </c>
      <c r="BC91" s="48">
        <f t="shared" si="367"/>
        <v>0</v>
      </c>
      <c r="BD91" s="48">
        <f t="shared" si="367"/>
        <v>0</v>
      </c>
      <c r="BE91" s="48">
        <f t="shared" si="367"/>
        <v>0</v>
      </c>
      <c r="BF91" s="48">
        <f t="shared" si="367"/>
        <v>0</v>
      </c>
      <c r="BG91" s="48">
        <f t="shared" si="367"/>
        <v>0</v>
      </c>
      <c r="BH91" s="48">
        <f t="shared" si="367"/>
        <v>0</v>
      </c>
      <c r="BI91" s="48">
        <f t="shared" si="367"/>
        <v>0</v>
      </c>
      <c r="BJ91" s="48">
        <f t="shared" si="367"/>
        <v>0</v>
      </c>
      <c r="BK91" s="48">
        <f t="shared" si="367"/>
        <v>0</v>
      </c>
      <c r="BL91" s="48">
        <f t="shared" si="367"/>
        <v>0</v>
      </c>
      <c r="BM91" s="48">
        <f t="shared" si="367"/>
        <v>0</v>
      </c>
      <c r="BN91" s="48">
        <f t="shared" si="367"/>
        <v>0</v>
      </c>
      <c r="BO91" s="48">
        <f t="shared" si="367"/>
        <v>0</v>
      </c>
      <c r="BP91" s="48">
        <f t="shared" si="367"/>
        <v>0</v>
      </c>
      <c r="BQ91" s="48">
        <f t="shared" si="367"/>
        <v>0</v>
      </c>
      <c r="BR91" s="36">
        <f t="shared" si="9"/>
        <v>0</v>
      </c>
      <c r="BS91" s="38">
        <f t="shared" si="10"/>
        <v>1</v>
      </c>
      <c r="BT91" s="49">
        <f t="shared" si="11"/>
        <v>0</v>
      </c>
      <c r="BU91" s="38">
        <f t="shared" si="12"/>
        <v>1000</v>
      </c>
      <c r="BV91" s="46" t="str">
        <f>IFERROR(__xludf.DUMMYFUNCTION("""COMPUTED_VALUE"""),"Norcross")</f>
        <v>Norcross</v>
      </c>
      <c r="BW91" s="46">
        <f t="shared" si="13"/>
        <v>500</v>
      </c>
      <c r="BX91" s="47">
        <f t="shared" ref="BX91:CA91" si="368">AX91-$BU91</f>
        <v>-500</v>
      </c>
      <c r="BY91" s="47">
        <f t="shared" si="368"/>
        <v>-1000</v>
      </c>
      <c r="BZ91" s="47">
        <f t="shared" si="368"/>
        <v>-1000</v>
      </c>
      <c r="CA91" s="47">
        <f t="shared" si="368"/>
        <v>-1000</v>
      </c>
      <c r="CB91" s="47">
        <f t="shared" si="15"/>
        <v>-10000</v>
      </c>
      <c r="CC91" s="47">
        <f t="shared" ref="CC91:CQ91" si="369">BC91-$BU91</f>
        <v>-1000</v>
      </c>
      <c r="CD91" s="47">
        <f t="shared" si="369"/>
        <v>-1000</v>
      </c>
      <c r="CE91" s="47">
        <f t="shared" si="369"/>
        <v>-1000</v>
      </c>
      <c r="CF91" s="47">
        <f t="shared" si="369"/>
        <v>-1000</v>
      </c>
      <c r="CG91" s="47">
        <f t="shared" si="369"/>
        <v>-1000</v>
      </c>
      <c r="CH91" s="47">
        <f t="shared" si="369"/>
        <v>-1000</v>
      </c>
      <c r="CI91" s="47">
        <f t="shared" si="369"/>
        <v>-1000</v>
      </c>
      <c r="CJ91" s="47">
        <f t="shared" si="369"/>
        <v>-1000</v>
      </c>
      <c r="CK91" s="47">
        <f t="shared" si="369"/>
        <v>-1000</v>
      </c>
      <c r="CL91" s="47">
        <f t="shared" si="369"/>
        <v>-1000</v>
      </c>
      <c r="CM91" s="47">
        <f t="shared" si="369"/>
        <v>-1000</v>
      </c>
      <c r="CN91" s="47">
        <f t="shared" si="369"/>
        <v>-1000</v>
      </c>
      <c r="CO91" s="47">
        <f t="shared" si="369"/>
        <v>-1000</v>
      </c>
      <c r="CP91" s="47">
        <f t="shared" si="369"/>
        <v>-1000</v>
      </c>
      <c r="CQ91" s="47">
        <f t="shared" si="369"/>
        <v>-1000</v>
      </c>
      <c r="CR91" s="47"/>
      <c r="CS91" s="47"/>
      <c r="CT91" s="47"/>
      <c r="CU91" s="50" t="str">
        <f>IFERROR(__xludf.DUMMYFUNCTION("""COMPUTED_VALUE"""),"billy Bob
310 Calvary Dr
Euless, TX 76040         ")</f>
        <v>billy Bob
310 Calvary Dr
Euless, TX 76040         </v>
      </c>
      <c r="CV91" s="51">
        <f>IFERROR(__xludf.DUMMYFUNCTION("IF(REGEXMATCH(UPPER(CU91), ""TX""),0,1)"),0.0)</f>
        <v>0</v>
      </c>
      <c r="CW91" s="51">
        <f>IFERROR(__xludf.DUMMYFUNCTION("IF(REGEXMATCH(UPPER(CU91), ""DALLAS""),0,1)"),1.0)</f>
        <v>1</v>
      </c>
      <c r="CX91" s="51">
        <f t="shared" si="17"/>
        <v>0</v>
      </c>
      <c r="CY91" s="51">
        <f t="shared" si="18"/>
        <v>5000</v>
      </c>
      <c r="CZ91" s="52" t="str">
        <f t="shared" si="19"/>
        <v>billy Bob
310 Calvary Dr
Euless, TX 76040         </v>
      </c>
      <c r="DA91" s="53" t="str">
        <f>IFERROR(__xludf.DUMMYFUNCTION("""COMPUTED_VALUE"""),"
 Box 17423
Austin, TX 78760          ")</f>
        <v>
 Box 17423
Austin, TX 78760          </v>
      </c>
      <c r="DB91" s="52">
        <f t="shared" ref="DB91:DU91" si="370">SUMIFS($AJ:$AJ,$X:$X,$DA91,$AK:$AK,DB$2)</f>
        <v>0</v>
      </c>
      <c r="DC91" s="52">
        <f t="shared" si="370"/>
        <v>0</v>
      </c>
      <c r="DD91" s="52">
        <f t="shared" si="370"/>
        <v>0</v>
      </c>
      <c r="DE91" s="52">
        <f t="shared" si="370"/>
        <v>0</v>
      </c>
      <c r="DF91" s="52">
        <f t="shared" si="370"/>
        <v>0</v>
      </c>
      <c r="DG91" s="52">
        <f t="shared" si="370"/>
        <v>0</v>
      </c>
      <c r="DH91" s="52">
        <f t="shared" si="370"/>
        <v>0</v>
      </c>
      <c r="DI91" s="52">
        <f t="shared" si="370"/>
        <v>0</v>
      </c>
      <c r="DJ91" s="52">
        <f t="shared" si="370"/>
        <v>1000</v>
      </c>
      <c r="DK91" s="52">
        <f t="shared" si="370"/>
        <v>0</v>
      </c>
      <c r="DL91" s="52">
        <f t="shared" si="370"/>
        <v>0</v>
      </c>
      <c r="DM91" s="52">
        <f t="shared" si="370"/>
        <v>0</v>
      </c>
      <c r="DN91" s="52">
        <f t="shared" si="370"/>
        <v>0</v>
      </c>
      <c r="DO91" s="52">
        <f t="shared" si="370"/>
        <v>0</v>
      </c>
      <c r="DP91" s="52">
        <f t="shared" si="370"/>
        <v>0</v>
      </c>
      <c r="DQ91" s="52">
        <f t="shared" si="370"/>
        <v>0</v>
      </c>
      <c r="DR91" s="52">
        <f t="shared" si="370"/>
        <v>0</v>
      </c>
      <c r="DS91" s="52">
        <f t="shared" si="370"/>
        <v>0</v>
      </c>
      <c r="DT91" s="52">
        <f t="shared" si="370"/>
        <v>0</v>
      </c>
      <c r="DU91" s="52">
        <f t="shared" si="370"/>
        <v>0</v>
      </c>
      <c r="DV91" s="52">
        <f t="shared" si="21"/>
        <v>1000</v>
      </c>
      <c r="DW91" s="52">
        <f t="shared" si="22"/>
        <v>1</v>
      </c>
    </row>
    <row r="92">
      <c r="A92" s="22" t="s">
        <v>55</v>
      </c>
      <c r="B92" s="23" t="s">
        <v>56</v>
      </c>
      <c r="C92" s="31" t="s">
        <v>283</v>
      </c>
      <c r="D92" s="25" t="str">
        <f>IFERROR(__xludf.DUMMYFUNCTION("SPLIT(C92,"" "")"),"Bailey,")</f>
        <v>Bailey,</v>
      </c>
      <c r="E92" s="22" t="str">
        <f>IFERROR(__xludf.DUMMYFUNCTION("""COMPUTED_VALUE"""),"Mary
3817")</f>
        <v>Mary
3817</v>
      </c>
      <c r="F92" s="22" t="str">
        <f>IFERROR(__xludf.DUMMYFUNCTION("""COMPUTED_VALUE"""),"Normandy")</f>
        <v>Normandy</v>
      </c>
      <c r="G92" s="22" t="str">
        <f>IFERROR(__xludf.DUMMYFUNCTION("""COMPUTED_VALUE"""),"Ave
Dallas,")</f>
        <v>Ave
Dallas,</v>
      </c>
      <c r="H92" s="22" t="str">
        <f>IFERROR(__xludf.DUMMYFUNCTION("""COMPUTED_VALUE"""),"TX")</f>
        <v>TX</v>
      </c>
      <c r="I92" s="22">
        <f>IFERROR(__xludf.DUMMYFUNCTION("""COMPUTED_VALUE"""),75205.0)</f>
        <v>75205</v>
      </c>
      <c r="J92" s="22"/>
      <c r="K92" s="22"/>
      <c r="L92" s="22"/>
      <c r="M92" s="22"/>
      <c r="N92" s="22"/>
      <c r="O92" s="22"/>
      <c r="P92" s="22"/>
      <c r="Q92" s="22"/>
      <c r="R92" s="22"/>
      <c r="S92" s="22"/>
      <c r="T92" s="22"/>
      <c r="U92" s="24" t="str">
        <f>IFERROR(__xludf.DUMMYFUNCTION("SPLIT(E92,""01234567890"")"),"Mary
")</f>
        <v>Mary
</v>
      </c>
      <c r="V92" s="24" t="str">
        <f>IFERROR(__xludf.DUMMYFUNCTION("SPLIT(D92,"","")"),"Bailey")</f>
        <v>Bailey</v>
      </c>
      <c r="W92" s="25" t="str">
        <f t="shared" si="1"/>
        <v>MARY
 BAILEY</v>
      </c>
      <c r="X92" s="25" t="s">
        <v>284</v>
      </c>
      <c r="Y92" s="25">
        <v>75205.0</v>
      </c>
      <c r="Z92" s="25" t="str">
        <f>IFERROR(__xludf.DUMMYFUNCTION("SPLIT(C92,""
"")"),"Bailey, Mary")</f>
        <v>Bailey, Mary</v>
      </c>
      <c r="AA92" s="25" t="str">
        <f>IFERROR(__xludf.DUMMYFUNCTION("""COMPUTED_VALUE"""),"3817 Normandy Ave")</f>
        <v>3817 Normandy Ave</v>
      </c>
      <c r="AB92" s="25" t="str">
        <f>IFERROR(__xludf.DUMMYFUNCTION("""COMPUTED_VALUE"""),"Dallas, TX 75205")</f>
        <v>Dallas, TX 75205</v>
      </c>
      <c r="AC92" s="24" t="s">
        <v>285</v>
      </c>
      <c r="AD92" s="25"/>
      <c r="AE92" s="25"/>
      <c r="AF92" s="25"/>
      <c r="AG92" s="22" t="s">
        <v>60</v>
      </c>
      <c r="AH92" s="54">
        <v>2437.0</v>
      </c>
      <c r="AI92" s="22" t="s">
        <v>61</v>
      </c>
      <c r="AJ92" s="27">
        <v>1000.0</v>
      </c>
      <c r="AK92" s="31" t="s">
        <v>25</v>
      </c>
      <c r="AL92" s="28">
        <v>44715.0</v>
      </c>
      <c r="AM92" s="29">
        <v>44754.83237268519</v>
      </c>
      <c r="AN92" s="30">
        <v>2.0</v>
      </c>
      <c r="AO92" s="22"/>
      <c r="AP92" s="22"/>
      <c r="AQ92" s="22"/>
      <c r="AR92" s="22"/>
      <c r="AS92" s="31">
        <f>IFERROR(__xludf.DUMMYFUNCTION("""COMPUTED_VALUE"""),75376.0)</f>
        <v>75376</v>
      </c>
      <c r="AT92" s="45">
        <f t="shared" si="6"/>
        <v>1500</v>
      </c>
      <c r="AU92" s="22"/>
      <c r="AV92" s="57" t="str">
        <f>IFERROR(__xludf.DUMMYFUNCTION("""COMPUTED_VALUE"""),"Melton")</f>
        <v>Melton</v>
      </c>
      <c r="AW92" s="46">
        <f t="shared" si="7"/>
        <v>2650</v>
      </c>
      <c r="AX92" s="47">
        <f t="shared" ref="AX92:BQ92" si="371">SUMIFS($AJ:$AJ,$V:$V,$AV92,$AK:$AK,AX$2)</f>
        <v>500</v>
      </c>
      <c r="AY92" s="48">
        <f t="shared" si="371"/>
        <v>0</v>
      </c>
      <c r="AZ92" s="48">
        <f t="shared" si="371"/>
        <v>2000</v>
      </c>
      <c r="BA92" s="48">
        <f t="shared" si="371"/>
        <v>150</v>
      </c>
      <c r="BB92" s="48">
        <f t="shared" si="371"/>
        <v>0</v>
      </c>
      <c r="BC92" s="48">
        <f t="shared" si="371"/>
        <v>0</v>
      </c>
      <c r="BD92" s="48">
        <f t="shared" si="371"/>
        <v>0</v>
      </c>
      <c r="BE92" s="48">
        <f t="shared" si="371"/>
        <v>0</v>
      </c>
      <c r="BF92" s="48">
        <f t="shared" si="371"/>
        <v>0</v>
      </c>
      <c r="BG92" s="48">
        <f t="shared" si="371"/>
        <v>0</v>
      </c>
      <c r="BH92" s="48">
        <f t="shared" si="371"/>
        <v>0</v>
      </c>
      <c r="BI92" s="48">
        <f t="shared" si="371"/>
        <v>0</v>
      </c>
      <c r="BJ92" s="48">
        <f t="shared" si="371"/>
        <v>0</v>
      </c>
      <c r="BK92" s="48">
        <f t="shared" si="371"/>
        <v>0</v>
      </c>
      <c r="BL92" s="48">
        <f t="shared" si="371"/>
        <v>0</v>
      </c>
      <c r="BM92" s="48">
        <f t="shared" si="371"/>
        <v>0</v>
      </c>
      <c r="BN92" s="48">
        <f t="shared" si="371"/>
        <v>0</v>
      </c>
      <c r="BO92" s="48">
        <f t="shared" si="371"/>
        <v>0</v>
      </c>
      <c r="BP92" s="48">
        <f t="shared" si="371"/>
        <v>0</v>
      </c>
      <c r="BQ92" s="48">
        <f t="shared" si="371"/>
        <v>0</v>
      </c>
      <c r="BR92" s="36">
        <f t="shared" si="9"/>
        <v>1</v>
      </c>
      <c r="BS92" s="38">
        <f t="shared" si="10"/>
        <v>5</v>
      </c>
      <c r="BT92" s="49">
        <f t="shared" si="11"/>
        <v>0</v>
      </c>
      <c r="BU92" s="38">
        <f t="shared" si="12"/>
        <v>5000</v>
      </c>
      <c r="BV92" s="57" t="str">
        <f>IFERROR(__xludf.DUMMYFUNCTION("""COMPUTED_VALUE"""),"Melton")</f>
        <v>Melton</v>
      </c>
      <c r="BW92" s="46">
        <f t="shared" si="13"/>
        <v>2650</v>
      </c>
      <c r="BX92" s="47">
        <f t="shared" ref="BX92:CA92" si="372">AX92-$BU92</f>
        <v>-4500</v>
      </c>
      <c r="BY92" s="47">
        <f t="shared" si="372"/>
        <v>-5000</v>
      </c>
      <c r="BZ92" s="47">
        <f t="shared" si="372"/>
        <v>-3000</v>
      </c>
      <c r="CA92" s="47">
        <f t="shared" si="372"/>
        <v>-4850</v>
      </c>
      <c r="CB92" s="47">
        <f t="shared" si="15"/>
        <v>-50000</v>
      </c>
      <c r="CC92" s="47">
        <f t="shared" ref="CC92:CQ92" si="373">BC92-$BU92</f>
        <v>-5000</v>
      </c>
      <c r="CD92" s="47">
        <f t="shared" si="373"/>
        <v>-5000</v>
      </c>
      <c r="CE92" s="47">
        <f t="shared" si="373"/>
        <v>-5000</v>
      </c>
      <c r="CF92" s="47">
        <f t="shared" si="373"/>
        <v>-5000</v>
      </c>
      <c r="CG92" s="47">
        <f t="shared" si="373"/>
        <v>-5000</v>
      </c>
      <c r="CH92" s="47">
        <f t="shared" si="373"/>
        <v>-5000</v>
      </c>
      <c r="CI92" s="47">
        <f t="shared" si="373"/>
        <v>-5000</v>
      </c>
      <c r="CJ92" s="47">
        <f t="shared" si="373"/>
        <v>-5000</v>
      </c>
      <c r="CK92" s="47">
        <f t="shared" si="373"/>
        <v>-5000</v>
      </c>
      <c r="CL92" s="47">
        <f t="shared" si="373"/>
        <v>-5000</v>
      </c>
      <c r="CM92" s="47">
        <f t="shared" si="373"/>
        <v>-5000</v>
      </c>
      <c r="CN92" s="47">
        <f t="shared" si="373"/>
        <v>-5000</v>
      </c>
      <c r="CO92" s="47">
        <f t="shared" si="373"/>
        <v>-5000</v>
      </c>
      <c r="CP92" s="47">
        <f t="shared" si="373"/>
        <v>-5000</v>
      </c>
      <c r="CQ92" s="47">
        <f t="shared" si="373"/>
        <v>-5000</v>
      </c>
      <c r="CR92" s="47"/>
      <c r="CS92" s="47"/>
      <c r="CT92" s="47"/>
      <c r="CU92" s="50" t="str">
        <f>IFERROR(__xludf.DUMMYFUNCTION("""COMPUTED_VALUE"""),"14003 Hughes Lane
Dallas, TX 75254          ")</f>
        <v>14003 Hughes Lane
Dallas, TX 75254          </v>
      </c>
      <c r="CV92" s="51">
        <f>IFERROR(__xludf.DUMMYFUNCTION("IF(REGEXMATCH(UPPER(CU92), ""TX""),0,1)"),0.0)</f>
        <v>0</v>
      </c>
      <c r="CW92" s="51">
        <f>IFERROR(__xludf.DUMMYFUNCTION("IF(REGEXMATCH(UPPER(CU92), ""DALLAS""),0,1)"),0.0)</f>
        <v>0</v>
      </c>
      <c r="CX92" s="51">
        <f t="shared" si="17"/>
        <v>0</v>
      </c>
      <c r="CY92" s="51">
        <f t="shared" si="18"/>
        <v>0</v>
      </c>
      <c r="CZ92" s="52" t="str">
        <f t="shared" si="19"/>
        <v/>
      </c>
      <c r="DA92" s="53" t="str">
        <f>IFERROR(__xludf.DUMMYFUNCTION("""COMPUTED_VALUE"""),"3405 Bellcrest
Celina, TX 75009           ")</f>
        <v>3405 Bellcrest
Celina, TX 75009           </v>
      </c>
      <c r="DB92" s="52">
        <f t="shared" ref="DB92:DU92" si="374">SUMIFS($AJ:$AJ,$X:$X,$DA92,$AK:$AK,DB$2)</f>
        <v>0</v>
      </c>
      <c r="DC92" s="52">
        <f t="shared" si="374"/>
        <v>0</v>
      </c>
      <c r="DD92" s="52">
        <f t="shared" si="374"/>
        <v>0</v>
      </c>
      <c r="DE92" s="52">
        <f t="shared" si="374"/>
        <v>0</v>
      </c>
      <c r="DF92" s="52">
        <f t="shared" si="374"/>
        <v>0</v>
      </c>
      <c r="DG92" s="52">
        <f t="shared" si="374"/>
        <v>0</v>
      </c>
      <c r="DH92" s="52">
        <f t="shared" si="374"/>
        <v>0</v>
      </c>
      <c r="DI92" s="52">
        <f t="shared" si="374"/>
        <v>0</v>
      </c>
      <c r="DJ92" s="52">
        <f t="shared" si="374"/>
        <v>100</v>
      </c>
      <c r="DK92" s="52">
        <f t="shared" si="374"/>
        <v>0</v>
      </c>
      <c r="DL92" s="52">
        <f t="shared" si="374"/>
        <v>0</v>
      </c>
      <c r="DM92" s="52">
        <f t="shared" si="374"/>
        <v>0</v>
      </c>
      <c r="DN92" s="52">
        <f t="shared" si="374"/>
        <v>0</v>
      </c>
      <c r="DO92" s="52">
        <f t="shared" si="374"/>
        <v>0</v>
      </c>
      <c r="DP92" s="52">
        <f t="shared" si="374"/>
        <v>0</v>
      </c>
      <c r="DQ92" s="52">
        <f t="shared" si="374"/>
        <v>0</v>
      </c>
      <c r="DR92" s="52">
        <f t="shared" si="374"/>
        <v>0</v>
      </c>
      <c r="DS92" s="52">
        <f t="shared" si="374"/>
        <v>0</v>
      </c>
      <c r="DT92" s="52">
        <f t="shared" si="374"/>
        <v>0</v>
      </c>
      <c r="DU92" s="52">
        <f t="shared" si="374"/>
        <v>0</v>
      </c>
      <c r="DV92" s="52">
        <f t="shared" si="21"/>
        <v>100</v>
      </c>
      <c r="DW92" s="52">
        <f t="shared" si="22"/>
        <v>1</v>
      </c>
    </row>
    <row r="93">
      <c r="A93" s="41" t="s">
        <v>64</v>
      </c>
      <c r="B93" s="41" t="s">
        <v>56</v>
      </c>
      <c r="C93" s="31" t="s">
        <v>283</v>
      </c>
      <c r="D93" s="25" t="str">
        <f>IFERROR(__xludf.DUMMYFUNCTION("SPLIT(C93,"" "")"),"Bailey,")</f>
        <v>Bailey,</v>
      </c>
      <c r="E93" s="40" t="str">
        <f>IFERROR(__xludf.DUMMYFUNCTION("""COMPUTED_VALUE"""),"Mary
3817")</f>
        <v>Mary
3817</v>
      </c>
      <c r="F93" s="40" t="str">
        <f>IFERROR(__xludf.DUMMYFUNCTION("""COMPUTED_VALUE"""),"Normandy")</f>
        <v>Normandy</v>
      </c>
      <c r="G93" s="40" t="str">
        <f>IFERROR(__xludf.DUMMYFUNCTION("""COMPUTED_VALUE"""),"Ave
Dallas,")</f>
        <v>Ave
Dallas,</v>
      </c>
      <c r="H93" s="40" t="str">
        <f>IFERROR(__xludf.DUMMYFUNCTION("""COMPUTED_VALUE"""),"TX")</f>
        <v>TX</v>
      </c>
      <c r="I93" s="40">
        <f>IFERROR(__xludf.DUMMYFUNCTION("""COMPUTED_VALUE"""),75205.0)</f>
        <v>75205</v>
      </c>
      <c r="J93" s="40"/>
      <c r="K93" s="40"/>
      <c r="L93" s="40"/>
      <c r="M93" s="40"/>
      <c r="N93" s="40"/>
      <c r="O93" s="40"/>
      <c r="P93" s="40"/>
      <c r="Q93" s="40"/>
      <c r="R93" s="40"/>
      <c r="S93" s="40"/>
      <c r="T93" s="40"/>
      <c r="U93" s="24" t="str">
        <f>IFERROR(__xludf.DUMMYFUNCTION("SPLIT(E93,""01234567890"")"),"Mary
")</f>
        <v>Mary
</v>
      </c>
      <c r="V93" s="24" t="str">
        <f>IFERROR(__xludf.DUMMYFUNCTION("SPLIT(D93,"","")"),"Bailey")</f>
        <v>Bailey</v>
      </c>
      <c r="W93" s="25" t="str">
        <f t="shared" si="1"/>
        <v>MARY
 BAILEY</v>
      </c>
      <c r="X93" s="25" t="s">
        <v>284</v>
      </c>
      <c r="Y93" s="25">
        <v>75205.0</v>
      </c>
      <c r="Z93" s="25" t="str">
        <f>IFERROR(__xludf.DUMMYFUNCTION("SPLIT(C93,""
"")"),"Bailey, Mary")</f>
        <v>Bailey, Mary</v>
      </c>
      <c r="AA93" s="25" t="str">
        <f>IFERROR(__xludf.DUMMYFUNCTION("""COMPUTED_VALUE"""),"3817 Normandy Ave")</f>
        <v>3817 Normandy Ave</v>
      </c>
      <c r="AB93" s="25" t="str">
        <f>IFERROR(__xludf.DUMMYFUNCTION("""COMPUTED_VALUE"""),"Dallas, TX 75205")</f>
        <v>Dallas, TX 75205</v>
      </c>
      <c r="AC93" s="24" t="s">
        <v>285</v>
      </c>
      <c r="AD93" s="25"/>
      <c r="AE93" s="25"/>
      <c r="AF93" s="25"/>
      <c r="AG93" s="40" t="s">
        <v>60</v>
      </c>
      <c r="AH93" s="42">
        <v>2481.0</v>
      </c>
      <c r="AI93" s="40" t="s">
        <v>68</v>
      </c>
      <c r="AJ93" s="27">
        <v>2500.0</v>
      </c>
      <c r="AK93" s="31" t="s">
        <v>25</v>
      </c>
      <c r="AL93" s="43">
        <v>44851.0</v>
      </c>
      <c r="AM93" s="44">
        <v>44937.81995370371</v>
      </c>
      <c r="AN93" s="30">
        <v>2.0</v>
      </c>
      <c r="AO93" s="40"/>
      <c r="AP93" s="40"/>
      <c r="AQ93" s="40"/>
      <c r="AR93" s="40"/>
      <c r="AS93" s="31">
        <f>IFERROR(__xludf.DUMMYFUNCTION("""COMPUTED_VALUE"""),10119.0)</f>
        <v>10119</v>
      </c>
      <c r="AT93" s="45">
        <f t="shared" si="6"/>
        <v>1000</v>
      </c>
      <c r="AU93" s="40"/>
      <c r="AV93" s="46" t="str">
        <f>IFERROR(__xludf.DUMMYFUNCTION("""COMPUTED_VALUE"""),"Marsh")</f>
        <v>Marsh</v>
      </c>
      <c r="AW93" s="46">
        <f t="shared" si="7"/>
        <v>500</v>
      </c>
      <c r="AX93" s="47">
        <f t="shared" ref="AX93:BQ93" si="375">SUMIFS($AJ:$AJ,$V:$V,$AV93,$AK:$AK,AX$2)</f>
        <v>500</v>
      </c>
      <c r="AY93" s="48">
        <f t="shared" si="375"/>
        <v>0</v>
      </c>
      <c r="AZ93" s="48">
        <f t="shared" si="375"/>
        <v>0</v>
      </c>
      <c r="BA93" s="48">
        <f t="shared" si="375"/>
        <v>0</v>
      </c>
      <c r="BB93" s="48">
        <f t="shared" si="375"/>
        <v>0</v>
      </c>
      <c r="BC93" s="48">
        <f t="shared" si="375"/>
        <v>0</v>
      </c>
      <c r="BD93" s="48">
        <f t="shared" si="375"/>
        <v>0</v>
      </c>
      <c r="BE93" s="48">
        <f t="shared" si="375"/>
        <v>0</v>
      </c>
      <c r="BF93" s="48">
        <f t="shared" si="375"/>
        <v>0</v>
      </c>
      <c r="BG93" s="48">
        <f t="shared" si="375"/>
        <v>0</v>
      </c>
      <c r="BH93" s="48">
        <f t="shared" si="375"/>
        <v>0</v>
      </c>
      <c r="BI93" s="48">
        <f t="shared" si="375"/>
        <v>0</v>
      </c>
      <c r="BJ93" s="48">
        <f t="shared" si="375"/>
        <v>0</v>
      </c>
      <c r="BK93" s="48">
        <f t="shared" si="375"/>
        <v>0</v>
      </c>
      <c r="BL93" s="48">
        <f t="shared" si="375"/>
        <v>0</v>
      </c>
      <c r="BM93" s="48">
        <f t="shared" si="375"/>
        <v>0</v>
      </c>
      <c r="BN93" s="48">
        <f t="shared" si="375"/>
        <v>0</v>
      </c>
      <c r="BO93" s="48">
        <f t="shared" si="375"/>
        <v>0</v>
      </c>
      <c r="BP93" s="48">
        <f t="shared" si="375"/>
        <v>0</v>
      </c>
      <c r="BQ93" s="48">
        <f t="shared" si="375"/>
        <v>0</v>
      </c>
      <c r="BR93" s="36">
        <f t="shared" si="9"/>
        <v>0</v>
      </c>
      <c r="BS93" s="38">
        <f t="shared" si="10"/>
        <v>1</v>
      </c>
      <c r="BT93" s="49">
        <f t="shared" si="11"/>
        <v>0</v>
      </c>
      <c r="BU93" s="38">
        <f t="shared" si="12"/>
        <v>1000</v>
      </c>
      <c r="BV93" s="46" t="str">
        <f>IFERROR(__xludf.DUMMYFUNCTION("""COMPUTED_VALUE"""),"Marsh")</f>
        <v>Marsh</v>
      </c>
      <c r="BW93" s="46">
        <f t="shared" si="13"/>
        <v>500</v>
      </c>
      <c r="BX93" s="47">
        <f t="shared" ref="BX93:CA93" si="376">AX93-$BU93</f>
        <v>-500</v>
      </c>
      <c r="BY93" s="47">
        <f t="shared" si="376"/>
        <v>-1000</v>
      </c>
      <c r="BZ93" s="47">
        <f t="shared" si="376"/>
        <v>-1000</v>
      </c>
      <c r="CA93" s="47">
        <f t="shared" si="376"/>
        <v>-1000</v>
      </c>
      <c r="CB93" s="47">
        <f t="shared" si="15"/>
        <v>-10000</v>
      </c>
      <c r="CC93" s="47">
        <f t="shared" ref="CC93:CQ93" si="377">BC93-$BU93</f>
        <v>-1000</v>
      </c>
      <c r="CD93" s="47">
        <f t="shared" si="377"/>
        <v>-1000</v>
      </c>
      <c r="CE93" s="47">
        <f t="shared" si="377"/>
        <v>-1000</v>
      </c>
      <c r="CF93" s="47">
        <f t="shared" si="377"/>
        <v>-1000</v>
      </c>
      <c r="CG93" s="47">
        <f t="shared" si="377"/>
        <v>-1000</v>
      </c>
      <c r="CH93" s="47">
        <f t="shared" si="377"/>
        <v>-1000</v>
      </c>
      <c r="CI93" s="47">
        <f t="shared" si="377"/>
        <v>-1000</v>
      </c>
      <c r="CJ93" s="47">
        <f t="shared" si="377"/>
        <v>-1000</v>
      </c>
      <c r="CK93" s="47">
        <f t="shared" si="377"/>
        <v>-1000</v>
      </c>
      <c r="CL93" s="47">
        <f t="shared" si="377"/>
        <v>-1000</v>
      </c>
      <c r="CM93" s="47">
        <f t="shared" si="377"/>
        <v>-1000</v>
      </c>
      <c r="CN93" s="47">
        <f t="shared" si="377"/>
        <v>-1000</v>
      </c>
      <c r="CO93" s="47">
        <f t="shared" si="377"/>
        <v>-1000</v>
      </c>
      <c r="CP93" s="47">
        <f t="shared" si="377"/>
        <v>-1000</v>
      </c>
      <c r="CQ93" s="47">
        <f t="shared" si="377"/>
        <v>-1000</v>
      </c>
      <c r="CR93" s="47"/>
      <c r="CS93" s="47"/>
      <c r="CT93" s="47"/>
      <c r="CU93" s="50" t="str">
        <f>IFERROR(__xludf.DUMMYFUNCTION("""COMPUTED_VALUE"""),"2705 Irving Blvd
Dallas, TX 75207          ")</f>
        <v>2705 Irving Blvd
Dallas, TX 75207          </v>
      </c>
      <c r="CV93" s="51">
        <f>IFERROR(__xludf.DUMMYFUNCTION("IF(REGEXMATCH(UPPER(CU93), ""TX""),0,1)"),0.0)</f>
        <v>0</v>
      </c>
      <c r="CW93" s="51">
        <f>IFERROR(__xludf.DUMMYFUNCTION("IF(REGEXMATCH(UPPER(CU93), ""DALLAS""),0,1)"),0.0)</f>
        <v>0</v>
      </c>
      <c r="CX93" s="51">
        <f t="shared" si="17"/>
        <v>0</v>
      </c>
      <c r="CY93" s="51">
        <f t="shared" si="18"/>
        <v>0</v>
      </c>
      <c r="CZ93" s="52" t="str">
        <f t="shared" si="19"/>
        <v/>
      </c>
      <c r="DA93" s="53" t="str">
        <f>IFERROR(__xludf.DUMMYFUNCTION("""COMPUTED_VALUE"""),"5112 Woodview Ave.
Austin, TX 78756          ")</f>
        <v>5112 Woodview Ave.
Austin, TX 78756          </v>
      </c>
      <c r="DB93" s="52">
        <f t="shared" ref="DB93:DU93" si="378">SUMIFS($AJ:$AJ,$X:$X,$DA93,$AK:$AK,DB$2)</f>
        <v>0</v>
      </c>
      <c r="DC93" s="52">
        <f t="shared" si="378"/>
        <v>0</v>
      </c>
      <c r="DD93" s="52">
        <f t="shared" si="378"/>
        <v>0</v>
      </c>
      <c r="DE93" s="52">
        <f t="shared" si="378"/>
        <v>0</v>
      </c>
      <c r="DF93" s="52">
        <f t="shared" si="378"/>
        <v>0</v>
      </c>
      <c r="DG93" s="52">
        <f t="shared" si="378"/>
        <v>1000</v>
      </c>
      <c r="DH93" s="52">
        <f t="shared" si="378"/>
        <v>0</v>
      </c>
      <c r="DI93" s="52">
        <f t="shared" si="378"/>
        <v>0</v>
      </c>
      <c r="DJ93" s="52">
        <f t="shared" si="378"/>
        <v>0</v>
      </c>
      <c r="DK93" s="52">
        <f t="shared" si="378"/>
        <v>0</v>
      </c>
      <c r="DL93" s="52">
        <f t="shared" si="378"/>
        <v>0</v>
      </c>
      <c r="DM93" s="52">
        <f t="shared" si="378"/>
        <v>0</v>
      </c>
      <c r="DN93" s="52">
        <f t="shared" si="378"/>
        <v>0</v>
      </c>
      <c r="DO93" s="52">
        <f t="shared" si="378"/>
        <v>0</v>
      </c>
      <c r="DP93" s="52">
        <f t="shared" si="378"/>
        <v>0</v>
      </c>
      <c r="DQ93" s="52">
        <f t="shared" si="378"/>
        <v>0</v>
      </c>
      <c r="DR93" s="52">
        <f t="shared" si="378"/>
        <v>0</v>
      </c>
      <c r="DS93" s="52">
        <f t="shared" si="378"/>
        <v>0</v>
      </c>
      <c r="DT93" s="52">
        <f t="shared" si="378"/>
        <v>0</v>
      </c>
      <c r="DU93" s="52">
        <f t="shared" si="378"/>
        <v>0</v>
      </c>
      <c r="DV93" s="52">
        <f t="shared" si="21"/>
        <v>1000</v>
      </c>
      <c r="DW93" s="52">
        <f t="shared" si="22"/>
        <v>1</v>
      </c>
    </row>
    <row r="94">
      <c r="A94" s="23" t="s">
        <v>64</v>
      </c>
      <c r="B94" s="23" t="s">
        <v>56</v>
      </c>
      <c r="C94" s="31" t="s">
        <v>286</v>
      </c>
      <c r="D94" s="25" t="str">
        <f>IFERROR(__xludf.DUMMYFUNCTION("SPLIT(C94,"" "")"),"Bailey,")</f>
        <v>Bailey,</v>
      </c>
      <c r="E94" s="22" t="str">
        <f>IFERROR(__xludf.DUMMYFUNCTION("""COMPUTED_VALUE"""),"Roy
4211")</f>
        <v>Roy
4211</v>
      </c>
      <c r="F94" s="22" t="str">
        <f>IFERROR(__xludf.DUMMYFUNCTION("""COMPUTED_VALUE"""),"Brookview")</f>
        <v>Brookview</v>
      </c>
      <c r="G94" s="22" t="str">
        <f>IFERROR(__xludf.DUMMYFUNCTION("""COMPUTED_VALUE"""),"Drive
Dallas,")</f>
        <v>Drive
Dallas,</v>
      </c>
      <c r="H94" s="22" t="str">
        <f>IFERROR(__xludf.DUMMYFUNCTION("""COMPUTED_VALUE"""),"TX")</f>
        <v>TX</v>
      </c>
      <c r="I94" s="22">
        <f>IFERROR(__xludf.DUMMYFUNCTION("""COMPUTED_VALUE"""),75220.0)</f>
        <v>75220</v>
      </c>
      <c r="J94" s="22"/>
      <c r="K94" s="22"/>
      <c r="L94" s="22"/>
      <c r="M94" s="22"/>
      <c r="N94" s="22"/>
      <c r="O94" s="22"/>
      <c r="P94" s="22"/>
      <c r="Q94" s="22"/>
      <c r="R94" s="22"/>
      <c r="S94" s="22"/>
      <c r="T94" s="22"/>
      <c r="U94" s="24" t="str">
        <f>IFERROR(__xludf.DUMMYFUNCTION("SPLIT(E94,""01234567890"")"),"Roy
")</f>
        <v>Roy
</v>
      </c>
      <c r="V94" s="24" t="str">
        <f>IFERROR(__xludf.DUMMYFUNCTION("SPLIT(D94,"","")"),"Bailey")</f>
        <v>Bailey</v>
      </c>
      <c r="W94" s="25" t="str">
        <f t="shared" si="1"/>
        <v>ROY
 BAILEY</v>
      </c>
      <c r="X94" s="25" t="s">
        <v>287</v>
      </c>
      <c r="Y94" s="25">
        <v>75220.0</v>
      </c>
      <c r="Z94" s="25" t="str">
        <f>IFERROR(__xludf.DUMMYFUNCTION("SPLIT(C94,""
"")"),"Bailey, Roy")</f>
        <v>Bailey, Roy</v>
      </c>
      <c r="AA94" s="25" t="str">
        <f>IFERROR(__xludf.DUMMYFUNCTION("""COMPUTED_VALUE"""),"4211 Brookview Drive")</f>
        <v>4211 Brookview Drive</v>
      </c>
      <c r="AB94" s="25" t="str">
        <f>IFERROR(__xludf.DUMMYFUNCTION("""COMPUTED_VALUE"""),"Dallas, TX 75220")</f>
        <v>Dallas, TX 75220</v>
      </c>
      <c r="AC94" s="24" t="s">
        <v>288</v>
      </c>
      <c r="AD94" s="25"/>
      <c r="AE94" s="25"/>
      <c r="AF94" s="25"/>
      <c r="AG94" s="22" t="s">
        <v>60</v>
      </c>
      <c r="AH94" s="54">
        <v>2437.0</v>
      </c>
      <c r="AI94" s="22" t="s">
        <v>61</v>
      </c>
      <c r="AJ94" s="27">
        <v>500.0</v>
      </c>
      <c r="AK94" s="31" t="s">
        <v>25</v>
      </c>
      <c r="AL94" s="28">
        <v>44733.0</v>
      </c>
      <c r="AM94" s="29">
        <v>44754.83237268519</v>
      </c>
      <c r="AN94" s="30">
        <v>2.0</v>
      </c>
      <c r="AO94" s="22"/>
      <c r="AP94" s="22"/>
      <c r="AQ94" s="22"/>
      <c r="AR94" s="22"/>
      <c r="AS94" s="31">
        <f>IFERROR(__xludf.DUMMYFUNCTION("""COMPUTED_VALUE"""),75232.0)</f>
        <v>75232</v>
      </c>
      <c r="AT94" s="45">
        <f t="shared" si="6"/>
        <v>100</v>
      </c>
      <c r="AU94" s="22"/>
      <c r="AV94" s="57" t="str">
        <f>IFERROR(__xludf.DUMMYFUNCTION("""COMPUTED_VALUE"""),"Sherman")</f>
        <v>Sherman</v>
      </c>
      <c r="AW94" s="46">
        <f t="shared" si="7"/>
        <v>750</v>
      </c>
      <c r="AX94" s="47">
        <f t="shared" ref="AX94:BQ94" si="379">SUMIFS($AJ:$AJ,$V:$V,$AV94,$AK:$AK,AX$2)</f>
        <v>750</v>
      </c>
      <c r="AY94" s="48">
        <f t="shared" si="379"/>
        <v>0</v>
      </c>
      <c r="AZ94" s="48">
        <f t="shared" si="379"/>
        <v>0</v>
      </c>
      <c r="BA94" s="48">
        <f t="shared" si="379"/>
        <v>0</v>
      </c>
      <c r="BB94" s="48">
        <f t="shared" si="379"/>
        <v>0</v>
      </c>
      <c r="BC94" s="48">
        <f t="shared" si="379"/>
        <v>0</v>
      </c>
      <c r="BD94" s="48">
        <f t="shared" si="379"/>
        <v>0</v>
      </c>
      <c r="BE94" s="48">
        <f t="shared" si="379"/>
        <v>0</v>
      </c>
      <c r="BF94" s="48">
        <f t="shared" si="379"/>
        <v>0</v>
      </c>
      <c r="BG94" s="48">
        <f t="shared" si="379"/>
        <v>0</v>
      </c>
      <c r="BH94" s="48">
        <f t="shared" si="379"/>
        <v>0</v>
      </c>
      <c r="BI94" s="48">
        <f t="shared" si="379"/>
        <v>0</v>
      </c>
      <c r="BJ94" s="48">
        <f t="shared" si="379"/>
        <v>0</v>
      </c>
      <c r="BK94" s="48">
        <f t="shared" si="379"/>
        <v>0</v>
      </c>
      <c r="BL94" s="48">
        <f t="shared" si="379"/>
        <v>0</v>
      </c>
      <c r="BM94" s="48">
        <f t="shared" si="379"/>
        <v>0</v>
      </c>
      <c r="BN94" s="48">
        <f t="shared" si="379"/>
        <v>0</v>
      </c>
      <c r="BO94" s="48">
        <f t="shared" si="379"/>
        <v>0</v>
      </c>
      <c r="BP94" s="48">
        <f t="shared" si="379"/>
        <v>0</v>
      </c>
      <c r="BQ94" s="48">
        <f t="shared" si="379"/>
        <v>0</v>
      </c>
      <c r="BR94" s="36">
        <f t="shared" si="9"/>
        <v>1</v>
      </c>
      <c r="BS94" s="38">
        <f t="shared" si="10"/>
        <v>2</v>
      </c>
      <c r="BT94" s="49">
        <f t="shared" si="11"/>
        <v>0</v>
      </c>
      <c r="BU94" s="38">
        <f t="shared" si="12"/>
        <v>2000</v>
      </c>
      <c r="BV94" s="57" t="str">
        <f>IFERROR(__xludf.DUMMYFUNCTION("""COMPUTED_VALUE"""),"Sherman")</f>
        <v>Sherman</v>
      </c>
      <c r="BW94" s="46">
        <f t="shared" si="13"/>
        <v>750</v>
      </c>
      <c r="BX94" s="47">
        <f t="shared" ref="BX94:CA94" si="380">AX94-$BU94</f>
        <v>-1250</v>
      </c>
      <c r="BY94" s="47">
        <f t="shared" si="380"/>
        <v>-2000</v>
      </c>
      <c r="BZ94" s="47">
        <f t="shared" si="380"/>
        <v>-2000</v>
      </c>
      <c r="CA94" s="47">
        <f t="shared" si="380"/>
        <v>-2000</v>
      </c>
      <c r="CB94" s="47">
        <f t="shared" si="15"/>
        <v>-20000</v>
      </c>
      <c r="CC94" s="47">
        <f t="shared" ref="CC94:CQ94" si="381">BC94-$BU94</f>
        <v>-2000</v>
      </c>
      <c r="CD94" s="47">
        <f t="shared" si="381"/>
        <v>-2000</v>
      </c>
      <c r="CE94" s="47">
        <f t="shared" si="381"/>
        <v>-2000</v>
      </c>
      <c r="CF94" s="47">
        <f t="shared" si="381"/>
        <v>-2000</v>
      </c>
      <c r="CG94" s="47">
        <f t="shared" si="381"/>
        <v>-2000</v>
      </c>
      <c r="CH94" s="47">
        <f t="shared" si="381"/>
        <v>-2000</v>
      </c>
      <c r="CI94" s="47">
        <f t="shared" si="381"/>
        <v>-2000</v>
      </c>
      <c r="CJ94" s="47">
        <f t="shared" si="381"/>
        <v>-2000</v>
      </c>
      <c r="CK94" s="47">
        <f t="shared" si="381"/>
        <v>-2000</v>
      </c>
      <c r="CL94" s="47">
        <f t="shared" si="381"/>
        <v>-2000</v>
      </c>
      <c r="CM94" s="47">
        <f t="shared" si="381"/>
        <v>-2000</v>
      </c>
      <c r="CN94" s="47">
        <f t="shared" si="381"/>
        <v>-2000</v>
      </c>
      <c r="CO94" s="47">
        <f t="shared" si="381"/>
        <v>-2000</v>
      </c>
      <c r="CP94" s="47">
        <f t="shared" si="381"/>
        <v>-2000</v>
      </c>
      <c r="CQ94" s="47">
        <f t="shared" si="381"/>
        <v>-2000</v>
      </c>
      <c r="CR94" s="47"/>
      <c r="CS94" s="47"/>
      <c r="CT94" s="47"/>
      <c r="CU94" s="50" t="str">
        <f>IFERROR(__xludf.DUMMYFUNCTION("""COMPUTED_VALUE"""),"
 Box 587
East Setauket, NY 11733         ")</f>
        <v>
 Box 587
East Setauket, NY 11733         </v>
      </c>
      <c r="CV94" s="51">
        <f>IFERROR(__xludf.DUMMYFUNCTION("IF(REGEXMATCH(UPPER(CU94), ""TX""),0,1)"),1.0)</f>
        <v>1</v>
      </c>
      <c r="CW94" s="51">
        <f>IFERROR(__xludf.DUMMYFUNCTION("IF(REGEXMATCH(UPPER(CU94), ""DALLAS""),0,1)"),1.0)</f>
        <v>1</v>
      </c>
      <c r="CX94" s="51">
        <f t="shared" si="17"/>
        <v>25</v>
      </c>
      <c r="CY94" s="51">
        <f t="shared" si="18"/>
        <v>25</v>
      </c>
      <c r="CZ94" s="52" t="str">
        <f t="shared" si="19"/>
        <v>
 Box 587
East Setauket, NY 11733         </v>
      </c>
      <c r="DA94" s="53" t="str">
        <f>IFERROR(__xludf.DUMMYFUNCTION("""COMPUTED_VALUE"""),"6801 Valburn Dr.
Austin, TX 78731          ")</f>
        <v>6801 Valburn Dr.
Austin, TX 78731          </v>
      </c>
      <c r="DB94" s="52">
        <f t="shared" ref="DB94:DU94" si="382">SUMIFS($AJ:$AJ,$X:$X,$DA94,$AK:$AK,DB$2)</f>
        <v>0</v>
      </c>
      <c r="DC94" s="52">
        <f t="shared" si="382"/>
        <v>0</v>
      </c>
      <c r="DD94" s="52">
        <f t="shared" si="382"/>
        <v>0</v>
      </c>
      <c r="DE94" s="52">
        <f t="shared" si="382"/>
        <v>0</v>
      </c>
      <c r="DF94" s="52">
        <f t="shared" si="382"/>
        <v>0</v>
      </c>
      <c r="DG94" s="52">
        <f t="shared" si="382"/>
        <v>1000</v>
      </c>
      <c r="DH94" s="52">
        <f t="shared" si="382"/>
        <v>0</v>
      </c>
      <c r="DI94" s="52">
        <f t="shared" si="382"/>
        <v>0</v>
      </c>
      <c r="DJ94" s="52">
        <f t="shared" si="382"/>
        <v>0</v>
      </c>
      <c r="DK94" s="52">
        <f t="shared" si="382"/>
        <v>0</v>
      </c>
      <c r="DL94" s="52">
        <f t="shared" si="382"/>
        <v>0</v>
      </c>
      <c r="DM94" s="52">
        <f t="shared" si="382"/>
        <v>0</v>
      </c>
      <c r="DN94" s="52">
        <f t="shared" si="382"/>
        <v>0</v>
      </c>
      <c r="DO94" s="52">
        <f t="shared" si="382"/>
        <v>0</v>
      </c>
      <c r="DP94" s="52">
        <f t="shared" si="382"/>
        <v>0</v>
      </c>
      <c r="DQ94" s="52">
        <f t="shared" si="382"/>
        <v>0</v>
      </c>
      <c r="DR94" s="52">
        <f t="shared" si="382"/>
        <v>0</v>
      </c>
      <c r="DS94" s="52">
        <f t="shared" si="382"/>
        <v>0</v>
      </c>
      <c r="DT94" s="52">
        <f t="shared" si="382"/>
        <v>0</v>
      </c>
      <c r="DU94" s="52">
        <f t="shared" si="382"/>
        <v>0</v>
      </c>
      <c r="DV94" s="52">
        <f t="shared" si="21"/>
        <v>1000</v>
      </c>
      <c r="DW94" s="52">
        <f t="shared" si="22"/>
        <v>1</v>
      </c>
    </row>
    <row r="95">
      <c r="A95" s="41" t="s">
        <v>64</v>
      </c>
      <c r="B95" s="41" t="s">
        <v>56</v>
      </c>
      <c r="C95" s="31" t="s">
        <v>289</v>
      </c>
      <c r="D95" s="25" t="str">
        <f>IFERROR(__xludf.DUMMYFUNCTION("SPLIT(C95,"" "")"),"Baker,")</f>
        <v>Baker,</v>
      </c>
      <c r="E95" s="40" t="str">
        <f>IFERROR(__xludf.DUMMYFUNCTION("""COMPUTED_VALUE"""),"Jeri
10416")</f>
        <v>Jeri
10416</v>
      </c>
      <c r="F95" s="40" t="str">
        <f>IFERROR(__xludf.DUMMYFUNCTION("""COMPUTED_VALUE"""),"Church")</f>
        <v>Church</v>
      </c>
      <c r="G95" s="40" t="str">
        <f>IFERROR(__xludf.DUMMYFUNCTION("""COMPUTED_VALUE"""),"Road")</f>
        <v>Road</v>
      </c>
      <c r="H95" s="40" t="str">
        <f>IFERROR(__xludf.DUMMYFUNCTION("""COMPUTED_VALUE"""),"Dallas
Dallas,")</f>
        <v>Dallas
Dallas,</v>
      </c>
      <c r="I95" s="40" t="str">
        <f>IFERROR(__xludf.DUMMYFUNCTION("""COMPUTED_VALUE"""),"TX")</f>
        <v>TX</v>
      </c>
      <c r="J95" s="40">
        <f>IFERROR(__xludf.DUMMYFUNCTION("""COMPUTED_VALUE"""),75238.0)</f>
        <v>75238</v>
      </c>
      <c r="K95" s="40"/>
      <c r="L95" s="40"/>
      <c r="M95" s="40"/>
      <c r="N95" s="40"/>
      <c r="O95" s="40"/>
      <c r="P95" s="40"/>
      <c r="Q95" s="40"/>
      <c r="R95" s="40"/>
      <c r="S95" s="40"/>
      <c r="T95" s="40"/>
      <c r="U95" s="24" t="str">
        <f>IFERROR(__xludf.DUMMYFUNCTION("SPLIT(E95,""01234567890"")"),"Jeri
")</f>
        <v>Jeri
</v>
      </c>
      <c r="V95" s="24" t="str">
        <f>IFERROR(__xludf.DUMMYFUNCTION("SPLIT(D95,"","")"),"Baker")</f>
        <v>Baker</v>
      </c>
      <c r="W95" s="25" t="str">
        <f t="shared" si="1"/>
        <v>JERI
 BAKER</v>
      </c>
      <c r="X95" s="25" t="s">
        <v>290</v>
      </c>
      <c r="Y95" s="25">
        <v>75238.0</v>
      </c>
      <c r="Z95" s="25" t="str">
        <f>IFERROR(__xludf.DUMMYFUNCTION("SPLIT(C95,""
"")"),"Baker, Jeri")</f>
        <v>Baker, Jeri</v>
      </c>
      <c r="AA95" s="25" t="str">
        <f>IFERROR(__xludf.DUMMYFUNCTION("""COMPUTED_VALUE"""),"10416 Church Road Dallas")</f>
        <v>10416 Church Road Dallas</v>
      </c>
      <c r="AB95" s="25" t="str">
        <f>IFERROR(__xludf.DUMMYFUNCTION("""COMPUTED_VALUE"""),"Dallas, TX 75238")</f>
        <v>Dallas, TX 75238</v>
      </c>
      <c r="AC95" s="24" t="s">
        <v>291</v>
      </c>
      <c r="AD95" s="25"/>
      <c r="AE95" s="25"/>
      <c r="AF95" s="25"/>
      <c r="AG95" s="40" t="s">
        <v>60</v>
      </c>
      <c r="AH95" s="42">
        <v>2488.0</v>
      </c>
      <c r="AI95" s="40" t="s">
        <v>68</v>
      </c>
      <c r="AJ95" s="27">
        <v>100.0</v>
      </c>
      <c r="AK95" s="31" t="s">
        <v>32</v>
      </c>
      <c r="AL95" s="43">
        <v>44789.0</v>
      </c>
      <c r="AM95" s="44">
        <v>44937.96288194445</v>
      </c>
      <c r="AN95" s="30">
        <v>2.0</v>
      </c>
      <c r="AO95" s="40"/>
      <c r="AP95" s="40"/>
      <c r="AQ95" s="40"/>
      <c r="AR95" s="40"/>
      <c r="AS95" s="31">
        <f>IFERROR(__xludf.DUMMYFUNCTION("""COMPUTED_VALUE"""),1456.0)</f>
        <v>1456</v>
      </c>
      <c r="AT95" s="45">
        <f t="shared" si="6"/>
        <v>300</v>
      </c>
      <c r="AU95" s="40"/>
      <c r="AV95" s="46" t="str">
        <f>IFERROR(__xludf.DUMMYFUNCTION("""COMPUTED_VALUE"""),"Noltemy")</f>
        <v>Noltemy</v>
      </c>
      <c r="AW95" s="46">
        <f t="shared" si="7"/>
        <v>250</v>
      </c>
      <c r="AX95" s="47">
        <f t="shared" ref="AX95:BQ95" si="383">SUMIFS($AJ:$AJ,$V:$V,$AV95,$AK:$AK,AX$2)</f>
        <v>250</v>
      </c>
      <c r="AY95" s="48">
        <f t="shared" si="383"/>
        <v>0</v>
      </c>
      <c r="AZ95" s="48">
        <f t="shared" si="383"/>
        <v>0</v>
      </c>
      <c r="BA95" s="48">
        <f t="shared" si="383"/>
        <v>0</v>
      </c>
      <c r="BB95" s="48">
        <f t="shared" si="383"/>
        <v>0</v>
      </c>
      <c r="BC95" s="48">
        <f t="shared" si="383"/>
        <v>0</v>
      </c>
      <c r="BD95" s="48">
        <f t="shared" si="383"/>
        <v>0</v>
      </c>
      <c r="BE95" s="48">
        <f t="shared" si="383"/>
        <v>0</v>
      </c>
      <c r="BF95" s="48">
        <f t="shared" si="383"/>
        <v>0</v>
      </c>
      <c r="BG95" s="48">
        <f t="shared" si="383"/>
        <v>0</v>
      </c>
      <c r="BH95" s="48">
        <f t="shared" si="383"/>
        <v>0</v>
      </c>
      <c r="BI95" s="48">
        <f t="shared" si="383"/>
        <v>0</v>
      </c>
      <c r="BJ95" s="48">
        <f t="shared" si="383"/>
        <v>0</v>
      </c>
      <c r="BK95" s="48">
        <f t="shared" si="383"/>
        <v>0</v>
      </c>
      <c r="BL95" s="48">
        <f t="shared" si="383"/>
        <v>0</v>
      </c>
      <c r="BM95" s="48">
        <f t="shared" si="383"/>
        <v>0</v>
      </c>
      <c r="BN95" s="48">
        <f t="shared" si="383"/>
        <v>0</v>
      </c>
      <c r="BO95" s="48">
        <f t="shared" si="383"/>
        <v>0</v>
      </c>
      <c r="BP95" s="48">
        <f t="shared" si="383"/>
        <v>0</v>
      </c>
      <c r="BQ95" s="48">
        <f t="shared" si="383"/>
        <v>0</v>
      </c>
      <c r="BR95" s="36">
        <f t="shared" si="9"/>
        <v>0</v>
      </c>
      <c r="BS95" s="38">
        <f t="shared" si="10"/>
        <v>1</v>
      </c>
      <c r="BT95" s="49">
        <f t="shared" si="11"/>
        <v>0</v>
      </c>
      <c r="BU95" s="38">
        <f t="shared" si="12"/>
        <v>1000</v>
      </c>
      <c r="BV95" s="46" t="str">
        <f>IFERROR(__xludf.DUMMYFUNCTION("""COMPUTED_VALUE"""),"Noltemy")</f>
        <v>Noltemy</v>
      </c>
      <c r="BW95" s="46">
        <f t="shared" si="13"/>
        <v>250</v>
      </c>
      <c r="BX95" s="47">
        <f t="shared" ref="BX95:CA95" si="384">AX95-$BU95</f>
        <v>-750</v>
      </c>
      <c r="BY95" s="47">
        <f t="shared" si="384"/>
        <v>-1000</v>
      </c>
      <c r="BZ95" s="47">
        <f t="shared" si="384"/>
        <v>-1000</v>
      </c>
      <c r="CA95" s="47">
        <f t="shared" si="384"/>
        <v>-1000</v>
      </c>
      <c r="CB95" s="47">
        <f t="shared" si="15"/>
        <v>-10000</v>
      </c>
      <c r="CC95" s="47">
        <f t="shared" ref="CC95:CQ95" si="385">BC95-$BU95</f>
        <v>-1000</v>
      </c>
      <c r="CD95" s="47">
        <f t="shared" si="385"/>
        <v>-1000</v>
      </c>
      <c r="CE95" s="47">
        <f t="shared" si="385"/>
        <v>-1000</v>
      </c>
      <c r="CF95" s="47">
        <f t="shared" si="385"/>
        <v>-1000</v>
      </c>
      <c r="CG95" s="47">
        <f t="shared" si="385"/>
        <v>-1000</v>
      </c>
      <c r="CH95" s="47">
        <f t="shared" si="385"/>
        <v>-1000</v>
      </c>
      <c r="CI95" s="47">
        <f t="shared" si="385"/>
        <v>-1000</v>
      </c>
      <c r="CJ95" s="47">
        <f t="shared" si="385"/>
        <v>-1000</v>
      </c>
      <c r="CK95" s="47">
        <f t="shared" si="385"/>
        <v>-1000</v>
      </c>
      <c r="CL95" s="47">
        <f t="shared" si="385"/>
        <v>-1000</v>
      </c>
      <c r="CM95" s="47">
        <f t="shared" si="385"/>
        <v>-1000</v>
      </c>
      <c r="CN95" s="47">
        <f t="shared" si="385"/>
        <v>-1000</v>
      </c>
      <c r="CO95" s="47">
        <f t="shared" si="385"/>
        <v>-1000</v>
      </c>
      <c r="CP95" s="47">
        <f t="shared" si="385"/>
        <v>-1000</v>
      </c>
      <c r="CQ95" s="47">
        <f t="shared" si="385"/>
        <v>-1000</v>
      </c>
      <c r="CR95" s="47"/>
      <c r="CS95" s="47"/>
      <c r="CT95" s="47"/>
      <c r="CU95" s="50" t="str">
        <f>IFERROR(__xludf.DUMMYFUNCTION("""COMPUTED_VALUE"""),"6926 Belteau Lane
Dallas, TX 75227          ")</f>
        <v>6926 Belteau Lane
Dallas, TX 75227          </v>
      </c>
      <c r="CV95" s="51">
        <f>IFERROR(__xludf.DUMMYFUNCTION("IF(REGEXMATCH(UPPER(CU95), ""TX""),0,1)"),0.0)</f>
        <v>0</v>
      </c>
      <c r="CW95" s="51">
        <f>IFERROR(__xludf.DUMMYFUNCTION("IF(REGEXMATCH(UPPER(CU95), ""DALLAS""),0,1)"),0.0)</f>
        <v>0</v>
      </c>
      <c r="CX95" s="51">
        <f t="shared" si="17"/>
        <v>0</v>
      </c>
      <c r="CY95" s="51">
        <f t="shared" si="18"/>
        <v>0</v>
      </c>
      <c r="CZ95" s="52" t="str">
        <f t="shared" si="19"/>
        <v/>
      </c>
      <c r="DA95" s="53" t="str">
        <f>IFERROR(__xludf.DUMMYFUNCTION("""COMPUTED_VALUE"""),"3221 Clubview Dr
Argyle, TX 76226          ")</f>
        <v>3221 Clubview Dr
Argyle, TX 76226          </v>
      </c>
      <c r="DB95" s="52">
        <f t="shared" ref="DB95:DU95" si="386">SUMIFS($AJ:$AJ,$X:$X,$DA95,$AK:$AK,DB$2)</f>
        <v>0</v>
      </c>
      <c r="DC95" s="52">
        <f t="shared" si="386"/>
        <v>0</v>
      </c>
      <c r="DD95" s="52">
        <f t="shared" si="386"/>
        <v>0</v>
      </c>
      <c r="DE95" s="52">
        <f t="shared" si="386"/>
        <v>0</v>
      </c>
      <c r="DF95" s="52">
        <f t="shared" si="386"/>
        <v>0</v>
      </c>
      <c r="DG95" s="52">
        <f t="shared" si="386"/>
        <v>100</v>
      </c>
      <c r="DH95" s="52">
        <f t="shared" si="386"/>
        <v>0</v>
      </c>
      <c r="DI95" s="52">
        <f t="shared" si="386"/>
        <v>0</v>
      </c>
      <c r="DJ95" s="52">
        <f t="shared" si="386"/>
        <v>0</v>
      </c>
      <c r="DK95" s="52">
        <f t="shared" si="386"/>
        <v>0</v>
      </c>
      <c r="DL95" s="52">
        <f t="shared" si="386"/>
        <v>0</v>
      </c>
      <c r="DM95" s="52">
        <f t="shared" si="386"/>
        <v>0</v>
      </c>
      <c r="DN95" s="52">
        <f t="shared" si="386"/>
        <v>0</v>
      </c>
      <c r="DO95" s="52">
        <f t="shared" si="386"/>
        <v>0</v>
      </c>
      <c r="DP95" s="52">
        <f t="shared" si="386"/>
        <v>0</v>
      </c>
      <c r="DQ95" s="52">
        <f t="shared" si="386"/>
        <v>0</v>
      </c>
      <c r="DR95" s="52">
        <f t="shared" si="386"/>
        <v>0</v>
      </c>
      <c r="DS95" s="52">
        <f t="shared" si="386"/>
        <v>0</v>
      </c>
      <c r="DT95" s="52">
        <f t="shared" si="386"/>
        <v>0</v>
      </c>
      <c r="DU95" s="52">
        <f t="shared" si="386"/>
        <v>0</v>
      </c>
      <c r="DV95" s="52">
        <f t="shared" si="21"/>
        <v>100</v>
      </c>
      <c r="DW95" s="52">
        <f t="shared" si="22"/>
        <v>1</v>
      </c>
    </row>
    <row r="96">
      <c r="A96" s="23" t="s">
        <v>64</v>
      </c>
      <c r="B96" s="23" t="s">
        <v>56</v>
      </c>
      <c r="C96" s="31" t="s">
        <v>292</v>
      </c>
      <c r="D96" s="25" t="str">
        <f>IFERROR(__xludf.DUMMYFUNCTION("SPLIT(C96,"" "")"),"Baker,")</f>
        <v>Baker,</v>
      </c>
      <c r="E96" s="22" t="str">
        <f>IFERROR(__xludf.DUMMYFUNCTION("""COMPUTED_VALUE"""),"Jerry
10416")</f>
        <v>Jerry
10416</v>
      </c>
      <c r="F96" s="22" t="str">
        <f>IFERROR(__xludf.DUMMYFUNCTION("""COMPUTED_VALUE"""),"Church")</f>
        <v>Church</v>
      </c>
      <c r="G96" s="22" t="str">
        <f>IFERROR(__xludf.DUMMYFUNCTION("""COMPUTED_VALUE"""),"Road
Dallas,")</f>
        <v>Road
Dallas,</v>
      </c>
      <c r="H96" s="22" t="str">
        <f>IFERROR(__xludf.DUMMYFUNCTION("""COMPUTED_VALUE"""),"TX")</f>
        <v>TX</v>
      </c>
      <c r="I96" s="22">
        <f>IFERROR(__xludf.DUMMYFUNCTION("""COMPUTED_VALUE"""),75238.0)</f>
        <v>75238</v>
      </c>
      <c r="J96" s="22"/>
      <c r="K96" s="22"/>
      <c r="L96" s="22"/>
      <c r="M96" s="22"/>
      <c r="N96" s="22"/>
      <c r="O96" s="22"/>
      <c r="P96" s="22"/>
      <c r="Q96" s="22"/>
      <c r="R96" s="22"/>
      <c r="S96" s="22"/>
      <c r="T96" s="22"/>
      <c r="U96" s="24" t="str">
        <f>IFERROR(__xludf.DUMMYFUNCTION("SPLIT(E96,""01234567890"")"),"Jerry
")</f>
        <v>Jerry
</v>
      </c>
      <c r="V96" s="24" t="str">
        <f>IFERROR(__xludf.DUMMYFUNCTION("SPLIT(D96,"","")"),"Baker")</f>
        <v>Baker</v>
      </c>
      <c r="W96" s="25" t="str">
        <f t="shared" si="1"/>
        <v>JERRY
 BAKER</v>
      </c>
      <c r="X96" s="25" t="s">
        <v>293</v>
      </c>
      <c r="Y96" s="25">
        <v>75238.0</v>
      </c>
      <c r="Z96" s="25" t="str">
        <f>IFERROR(__xludf.DUMMYFUNCTION("SPLIT(C96,""
"")"),"Baker, Jerry")</f>
        <v>Baker, Jerry</v>
      </c>
      <c r="AA96" s="25" t="str">
        <f>IFERROR(__xludf.DUMMYFUNCTION("""COMPUTED_VALUE"""),"10416 Church Road")</f>
        <v>10416 Church Road</v>
      </c>
      <c r="AB96" s="25" t="str">
        <f>IFERROR(__xludf.DUMMYFUNCTION("""COMPUTED_VALUE"""),"Dallas, TX 75238")</f>
        <v>Dallas, TX 75238</v>
      </c>
      <c r="AC96" s="24" t="s">
        <v>294</v>
      </c>
      <c r="AD96" s="25"/>
      <c r="AE96" s="25"/>
      <c r="AF96" s="25"/>
      <c r="AG96" s="22" t="s">
        <v>60</v>
      </c>
      <c r="AH96" s="54">
        <v>2477.0</v>
      </c>
      <c r="AI96" s="22" t="s">
        <v>68</v>
      </c>
      <c r="AJ96" s="27">
        <v>250.0</v>
      </c>
      <c r="AK96" s="31" t="s">
        <v>26</v>
      </c>
      <c r="AL96" s="28">
        <v>44884.0</v>
      </c>
      <c r="AM96" s="29">
        <v>44940.42346064815</v>
      </c>
      <c r="AN96" s="30">
        <v>2.0</v>
      </c>
      <c r="AO96" s="22"/>
      <c r="AP96" s="22"/>
      <c r="AQ96" s="22"/>
      <c r="AR96" s="22"/>
      <c r="AS96" s="31">
        <f>IFERROR(__xludf.DUMMYFUNCTION("""COMPUTED_VALUE"""),76710.0)</f>
        <v>76710</v>
      </c>
      <c r="AT96" s="45">
        <f t="shared" si="6"/>
        <v>5000</v>
      </c>
      <c r="AU96" s="22"/>
      <c r="AV96" s="57" t="str">
        <f>IFERROR(__xludf.DUMMYFUNCTION("""COMPUTED_VALUE"""),"Buss")</f>
        <v>Buss</v>
      </c>
      <c r="AW96" s="46">
        <f t="shared" si="7"/>
        <v>100</v>
      </c>
      <c r="AX96" s="47">
        <f t="shared" ref="AX96:BQ96" si="387">SUMIFS($AJ:$AJ,$V:$V,$AV96,$AK:$AK,AX$2)</f>
        <v>100</v>
      </c>
      <c r="AY96" s="48">
        <f t="shared" si="387"/>
        <v>0</v>
      </c>
      <c r="AZ96" s="48">
        <f t="shared" si="387"/>
        <v>0</v>
      </c>
      <c r="BA96" s="48">
        <f t="shared" si="387"/>
        <v>0</v>
      </c>
      <c r="BB96" s="48">
        <f t="shared" si="387"/>
        <v>0</v>
      </c>
      <c r="BC96" s="48">
        <f t="shared" si="387"/>
        <v>0</v>
      </c>
      <c r="BD96" s="48">
        <f t="shared" si="387"/>
        <v>0</v>
      </c>
      <c r="BE96" s="48">
        <f t="shared" si="387"/>
        <v>0</v>
      </c>
      <c r="BF96" s="48">
        <f t="shared" si="387"/>
        <v>0</v>
      </c>
      <c r="BG96" s="48">
        <f t="shared" si="387"/>
        <v>0</v>
      </c>
      <c r="BH96" s="48">
        <f t="shared" si="387"/>
        <v>0</v>
      </c>
      <c r="BI96" s="48">
        <f t="shared" si="387"/>
        <v>0</v>
      </c>
      <c r="BJ96" s="48">
        <f t="shared" si="387"/>
        <v>0</v>
      </c>
      <c r="BK96" s="48">
        <f t="shared" si="387"/>
        <v>0</v>
      </c>
      <c r="BL96" s="48">
        <f t="shared" si="387"/>
        <v>0</v>
      </c>
      <c r="BM96" s="48">
        <f t="shared" si="387"/>
        <v>0</v>
      </c>
      <c r="BN96" s="48">
        <f t="shared" si="387"/>
        <v>0</v>
      </c>
      <c r="BO96" s="48">
        <f t="shared" si="387"/>
        <v>0</v>
      </c>
      <c r="BP96" s="48">
        <f t="shared" si="387"/>
        <v>0</v>
      </c>
      <c r="BQ96" s="48">
        <f t="shared" si="387"/>
        <v>0</v>
      </c>
      <c r="BR96" s="36">
        <f t="shared" si="9"/>
        <v>0</v>
      </c>
      <c r="BS96" s="38">
        <f t="shared" si="10"/>
        <v>1</v>
      </c>
      <c r="BT96" s="49">
        <f t="shared" si="11"/>
        <v>0</v>
      </c>
      <c r="BU96" s="38">
        <f t="shared" si="12"/>
        <v>1000</v>
      </c>
      <c r="BV96" s="57" t="str">
        <f>IFERROR(__xludf.DUMMYFUNCTION("""COMPUTED_VALUE"""),"Buss")</f>
        <v>Buss</v>
      </c>
      <c r="BW96" s="46">
        <f t="shared" si="13"/>
        <v>100</v>
      </c>
      <c r="BX96" s="47">
        <f t="shared" ref="BX96:CA96" si="388">AX96-$BU96</f>
        <v>-900</v>
      </c>
      <c r="BY96" s="47">
        <f t="shared" si="388"/>
        <v>-1000</v>
      </c>
      <c r="BZ96" s="47">
        <f t="shared" si="388"/>
        <v>-1000</v>
      </c>
      <c r="CA96" s="47">
        <f t="shared" si="388"/>
        <v>-1000</v>
      </c>
      <c r="CB96" s="47">
        <f t="shared" si="15"/>
        <v>-10000</v>
      </c>
      <c r="CC96" s="47">
        <f t="shared" ref="CC96:CQ96" si="389">BC96-$BU96</f>
        <v>-1000</v>
      </c>
      <c r="CD96" s="47">
        <f t="shared" si="389"/>
        <v>-1000</v>
      </c>
      <c r="CE96" s="47">
        <f t="shared" si="389"/>
        <v>-1000</v>
      </c>
      <c r="CF96" s="47">
        <f t="shared" si="389"/>
        <v>-1000</v>
      </c>
      <c r="CG96" s="47">
        <f t="shared" si="389"/>
        <v>-1000</v>
      </c>
      <c r="CH96" s="47">
        <f t="shared" si="389"/>
        <v>-1000</v>
      </c>
      <c r="CI96" s="47">
        <f t="shared" si="389"/>
        <v>-1000</v>
      </c>
      <c r="CJ96" s="47">
        <f t="shared" si="389"/>
        <v>-1000</v>
      </c>
      <c r="CK96" s="47">
        <f t="shared" si="389"/>
        <v>-1000</v>
      </c>
      <c r="CL96" s="47">
        <f t="shared" si="389"/>
        <v>-1000</v>
      </c>
      <c r="CM96" s="47">
        <f t="shared" si="389"/>
        <v>-1000</v>
      </c>
      <c r="CN96" s="47">
        <f t="shared" si="389"/>
        <v>-1000</v>
      </c>
      <c r="CO96" s="47">
        <f t="shared" si="389"/>
        <v>-1000</v>
      </c>
      <c r="CP96" s="47">
        <f t="shared" si="389"/>
        <v>-1000</v>
      </c>
      <c r="CQ96" s="47">
        <f t="shared" si="389"/>
        <v>-1000</v>
      </c>
      <c r="CR96" s="47"/>
      <c r="CS96" s="47"/>
      <c r="CT96" s="47"/>
      <c r="CU96" s="50" t="str">
        <f>IFERROR(__xludf.DUMMYFUNCTION("""COMPUTED_VALUE"""),"1649 
Midlothian, TX 76065           ")</f>
        <v>1649 
Midlothian, TX 76065           </v>
      </c>
      <c r="CV96" s="51">
        <f>IFERROR(__xludf.DUMMYFUNCTION("IF(REGEXMATCH(UPPER(CU96), ""TX""),0,1)"),0.0)</f>
        <v>0</v>
      </c>
      <c r="CW96" s="51">
        <f>IFERROR(__xludf.DUMMYFUNCTION("IF(REGEXMATCH(UPPER(CU96), ""DALLAS""),0,1)"),1.0)</f>
        <v>1</v>
      </c>
      <c r="CX96" s="51">
        <f t="shared" si="17"/>
        <v>0</v>
      </c>
      <c r="CY96" s="51">
        <f t="shared" si="18"/>
        <v>75</v>
      </c>
      <c r="CZ96" s="52" t="str">
        <f t="shared" si="19"/>
        <v>1649 
Midlothian, TX 76065           </v>
      </c>
      <c r="DA96" s="53" t="str">
        <f>IFERROR(__xludf.DUMMYFUNCTION("""COMPUTED_VALUE"""),"3202 Winged Elm Dr
Cedar Park, TX 78616        ")</f>
        <v>3202 Winged Elm Dr
Cedar Park, TX 78616        </v>
      </c>
      <c r="DB96" s="52">
        <f t="shared" ref="DB96:DU96" si="390">SUMIFS($AJ:$AJ,$X:$X,$DA96,$AK:$AK,DB$2)</f>
        <v>0</v>
      </c>
      <c r="DC96" s="52">
        <f t="shared" si="390"/>
        <v>0</v>
      </c>
      <c r="DD96" s="52">
        <f t="shared" si="390"/>
        <v>0</v>
      </c>
      <c r="DE96" s="52">
        <f t="shared" si="390"/>
        <v>0</v>
      </c>
      <c r="DF96" s="52">
        <f t="shared" si="390"/>
        <v>0</v>
      </c>
      <c r="DG96" s="52">
        <f t="shared" si="390"/>
        <v>100</v>
      </c>
      <c r="DH96" s="52">
        <f t="shared" si="390"/>
        <v>0</v>
      </c>
      <c r="DI96" s="52">
        <f t="shared" si="390"/>
        <v>0</v>
      </c>
      <c r="DJ96" s="52">
        <f t="shared" si="390"/>
        <v>0</v>
      </c>
      <c r="DK96" s="52">
        <f t="shared" si="390"/>
        <v>0</v>
      </c>
      <c r="DL96" s="52">
        <f t="shared" si="390"/>
        <v>0</v>
      </c>
      <c r="DM96" s="52">
        <f t="shared" si="390"/>
        <v>0</v>
      </c>
      <c r="DN96" s="52">
        <f t="shared" si="390"/>
        <v>0</v>
      </c>
      <c r="DO96" s="52">
        <f t="shared" si="390"/>
        <v>0</v>
      </c>
      <c r="DP96" s="52">
        <f t="shared" si="390"/>
        <v>0</v>
      </c>
      <c r="DQ96" s="52">
        <f t="shared" si="390"/>
        <v>0</v>
      </c>
      <c r="DR96" s="52">
        <f t="shared" si="390"/>
        <v>0</v>
      </c>
      <c r="DS96" s="52">
        <f t="shared" si="390"/>
        <v>0</v>
      </c>
      <c r="DT96" s="52">
        <f t="shared" si="390"/>
        <v>0</v>
      </c>
      <c r="DU96" s="52">
        <f t="shared" si="390"/>
        <v>0</v>
      </c>
      <c r="DV96" s="52">
        <f t="shared" si="21"/>
        <v>100</v>
      </c>
      <c r="DW96" s="52">
        <f t="shared" si="22"/>
        <v>1</v>
      </c>
    </row>
    <row r="97">
      <c r="A97" s="41" t="s">
        <v>64</v>
      </c>
      <c r="B97" s="41" t="s">
        <v>56</v>
      </c>
      <c r="C97" s="31" t="s">
        <v>295</v>
      </c>
      <c r="D97" s="25" t="str">
        <f>IFERROR(__xludf.DUMMYFUNCTION("SPLIT(C97,"" "")"),"Baker,")</f>
        <v>Baker,</v>
      </c>
      <c r="E97" s="40" t="str">
        <f>IFERROR(__xludf.DUMMYFUNCTION("""COMPUTED_VALUE"""),"Thad")</f>
        <v>Thad</v>
      </c>
      <c r="F97" s="40" t="str">
        <f>IFERROR(__xludf.DUMMYFUNCTION("""COMPUTED_VALUE"""),"F.
4011")</f>
        <v>F.
4011</v>
      </c>
      <c r="G97" s="40" t="str">
        <f>IFERROR(__xludf.DUMMYFUNCTION("""COMPUTED_VALUE"""),"Commerce")</f>
        <v>Commerce</v>
      </c>
      <c r="H97" s="40" t="str">
        <f>IFERROR(__xludf.DUMMYFUNCTION("""COMPUTED_VALUE"""),"St.
Dallas,")</f>
        <v>St.
Dallas,</v>
      </c>
      <c r="I97" s="40" t="str">
        <f>IFERROR(__xludf.DUMMYFUNCTION("""COMPUTED_VALUE"""),"TX")</f>
        <v>TX</v>
      </c>
      <c r="J97" s="40">
        <f>IFERROR(__xludf.DUMMYFUNCTION("""COMPUTED_VALUE"""),75226.0)</f>
        <v>75226</v>
      </c>
      <c r="K97" s="40"/>
      <c r="L97" s="40"/>
      <c r="M97" s="40"/>
      <c r="N97" s="40"/>
      <c r="O97" s="40"/>
      <c r="P97" s="40"/>
      <c r="Q97" s="40"/>
      <c r="R97" s="40"/>
      <c r="S97" s="40"/>
      <c r="T97" s="40"/>
      <c r="U97" s="24" t="str">
        <f>IFERROR(__xludf.DUMMYFUNCTION("SPLIT(E97,""01234567890"")"),"Thad")</f>
        <v>Thad</v>
      </c>
      <c r="V97" s="24" t="str">
        <f>IFERROR(__xludf.DUMMYFUNCTION("SPLIT(D97,"","")"),"Baker")</f>
        <v>Baker</v>
      </c>
      <c r="W97" s="25" t="str">
        <f t="shared" si="1"/>
        <v>THAD BAKER</v>
      </c>
      <c r="X97" s="25" t="s">
        <v>296</v>
      </c>
      <c r="Y97" s="25">
        <v>75226.0</v>
      </c>
      <c r="Z97" s="25" t="str">
        <f>IFERROR(__xludf.DUMMYFUNCTION("SPLIT(C97,""
"")"),"Baker, Thad F.")</f>
        <v>Baker, Thad F.</v>
      </c>
      <c r="AA97" s="25" t="str">
        <f>IFERROR(__xludf.DUMMYFUNCTION("""COMPUTED_VALUE"""),"4011 Commerce St.")</f>
        <v>4011 Commerce St.</v>
      </c>
      <c r="AB97" s="25" t="str">
        <f>IFERROR(__xludf.DUMMYFUNCTION("""COMPUTED_VALUE"""),"Dallas, TX 75226")</f>
        <v>Dallas, TX 75226</v>
      </c>
      <c r="AC97" s="24" t="s">
        <v>297</v>
      </c>
      <c r="AD97" s="25"/>
      <c r="AE97" s="25"/>
      <c r="AF97" s="25"/>
      <c r="AG97" s="40" t="s">
        <v>60</v>
      </c>
      <c r="AH97" s="42">
        <v>2441.0</v>
      </c>
      <c r="AI97" s="40" t="s">
        <v>61</v>
      </c>
      <c r="AJ97" s="27">
        <v>500.0</v>
      </c>
      <c r="AK97" s="31" t="s">
        <v>21</v>
      </c>
      <c r="AL97" s="43">
        <v>44728.0</v>
      </c>
      <c r="AM97" s="44">
        <v>44756.4640625</v>
      </c>
      <c r="AN97" s="30">
        <v>2.0</v>
      </c>
      <c r="AO97" s="40"/>
      <c r="AP97" s="40"/>
      <c r="AQ97" s="40"/>
      <c r="AR97" s="40"/>
      <c r="AS97" s="31">
        <f>IFERROR(__xludf.DUMMYFUNCTION("""COMPUTED_VALUE"""),74136.0)</f>
        <v>74136</v>
      </c>
      <c r="AT97" s="45">
        <f t="shared" si="6"/>
        <v>250</v>
      </c>
      <c r="AU97" s="40"/>
      <c r="AV97" s="46" t="str">
        <f>IFERROR(__xludf.DUMMYFUNCTION("""COMPUTED_VALUE"""),"Ellis")</f>
        <v>Ellis</v>
      </c>
      <c r="AW97" s="46">
        <f t="shared" si="7"/>
        <v>225</v>
      </c>
      <c r="AX97" s="47">
        <f t="shared" ref="AX97:BQ97" si="391">SUMIFS($AJ:$AJ,$V:$V,$AV97,$AK:$AK,AX$2)</f>
        <v>100</v>
      </c>
      <c r="AY97" s="48">
        <f t="shared" si="391"/>
        <v>0</v>
      </c>
      <c r="AZ97" s="48">
        <f t="shared" si="391"/>
        <v>0</v>
      </c>
      <c r="BA97" s="48">
        <f t="shared" si="391"/>
        <v>125</v>
      </c>
      <c r="BB97" s="48">
        <f t="shared" si="391"/>
        <v>0</v>
      </c>
      <c r="BC97" s="48">
        <f t="shared" si="391"/>
        <v>0</v>
      </c>
      <c r="BD97" s="48">
        <f t="shared" si="391"/>
        <v>0</v>
      </c>
      <c r="BE97" s="48">
        <f t="shared" si="391"/>
        <v>0</v>
      </c>
      <c r="BF97" s="48">
        <f t="shared" si="391"/>
        <v>0</v>
      </c>
      <c r="BG97" s="48">
        <f t="shared" si="391"/>
        <v>0</v>
      </c>
      <c r="BH97" s="48">
        <f t="shared" si="391"/>
        <v>0</v>
      </c>
      <c r="BI97" s="48">
        <f t="shared" si="391"/>
        <v>0</v>
      </c>
      <c r="BJ97" s="48">
        <f t="shared" si="391"/>
        <v>0</v>
      </c>
      <c r="BK97" s="48">
        <f t="shared" si="391"/>
        <v>0</v>
      </c>
      <c r="BL97" s="48">
        <f t="shared" si="391"/>
        <v>0</v>
      </c>
      <c r="BM97" s="48">
        <f t="shared" si="391"/>
        <v>0</v>
      </c>
      <c r="BN97" s="48">
        <f t="shared" si="391"/>
        <v>0</v>
      </c>
      <c r="BO97" s="48">
        <f t="shared" si="391"/>
        <v>0</v>
      </c>
      <c r="BP97" s="48">
        <f t="shared" si="391"/>
        <v>0</v>
      </c>
      <c r="BQ97" s="48">
        <f t="shared" si="391"/>
        <v>0</v>
      </c>
      <c r="BR97" s="36">
        <f t="shared" si="9"/>
        <v>1</v>
      </c>
      <c r="BS97" s="38">
        <f t="shared" si="10"/>
        <v>3</v>
      </c>
      <c r="BT97" s="49">
        <f t="shared" si="11"/>
        <v>0</v>
      </c>
      <c r="BU97" s="38">
        <f t="shared" si="12"/>
        <v>3000</v>
      </c>
      <c r="BV97" s="46" t="str">
        <f>IFERROR(__xludf.DUMMYFUNCTION("""COMPUTED_VALUE"""),"Ellis")</f>
        <v>Ellis</v>
      </c>
      <c r="BW97" s="46">
        <f t="shared" si="13"/>
        <v>225</v>
      </c>
      <c r="BX97" s="47">
        <f t="shared" ref="BX97:CA97" si="392">AX97-$BU97</f>
        <v>-2900</v>
      </c>
      <c r="BY97" s="47">
        <f t="shared" si="392"/>
        <v>-3000</v>
      </c>
      <c r="BZ97" s="47">
        <f t="shared" si="392"/>
        <v>-3000</v>
      </c>
      <c r="CA97" s="47">
        <f t="shared" si="392"/>
        <v>-2875</v>
      </c>
      <c r="CB97" s="47">
        <f t="shared" si="15"/>
        <v>-30000</v>
      </c>
      <c r="CC97" s="47">
        <f t="shared" ref="CC97:CQ97" si="393">BC97-$BU97</f>
        <v>-3000</v>
      </c>
      <c r="CD97" s="47">
        <f t="shared" si="393"/>
        <v>-3000</v>
      </c>
      <c r="CE97" s="47">
        <f t="shared" si="393"/>
        <v>-3000</v>
      </c>
      <c r="CF97" s="47">
        <f t="shared" si="393"/>
        <v>-3000</v>
      </c>
      <c r="CG97" s="47">
        <f t="shared" si="393"/>
        <v>-3000</v>
      </c>
      <c r="CH97" s="47">
        <f t="shared" si="393"/>
        <v>-3000</v>
      </c>
      <c r="CI97" s="47">
        <f t="shared" si="393"/>
        <v>-3000</v>
      </c>
      <c r="CJ97" s="47">
        <f t="shared" si="393"/>
        <v>-3000</v>
      </c>
      <c r="CK97" s="47">
        <f t="shared" si="393"/>
        <v>-3000</v>
      </c>
      <c r="CL97" s="47">
        <f t="shared" si="393"/>
        <v>-3000</v>
      </c>
      <c r="CM97" s="47">
        <f t="shared" si="393"/>
        <v>-3000</v>
      </c>
      <c r="CN97" s="47">
        <f t="shared" si="393"/>
        <v>-3000</v>
      </c>
      <c r="CO97" s="47">
        <f t="shared" si="393"/>
        <v>-3000</v>
      </c>
      <c r="CP97" s="47">
        <f t="shared" si="393"/>
        <v>-3000</v>
      </c>
      <c r="CQ97" s="47">
        <f t="shared" si="393"/>
        <v>-3000</v>
      </c>
      <c r="CR97" s="47"/>
      <c r="CS97" s="47"/>
      <c r="CT97" s="47"/>
      <c r="CU97" s="50" t="str">
        <f>IFERROR(__xludf.DUMMYFUNCTION("""COMPUTED_VALUE"""),"10456 Vinemont Street
Dallas, TX 75218          ")</f>
        <v>10456 Vinemont Street
Dallas, TX 75218          </v>
      </c>
      <c r="CV97" s="51">
        <f>IFERROR(__xludf.DUMMYFUNCTION("IF(REGEXMATCH(UPPER(CU97), ""TX""),0,1)"),0.0)</f>
        <v>0</v>
      </c>
      <c r="CW97" s="51">
        <f>IFERROR(__xludf.DUMMYFUNCTION("IF(REGEXMATCH(UPPER(CU97), ""DALLAS""),0,1)"),0.0)</f>
        <v>0</v>
      </c>
      <c r="CX97" s="51">
        <f t="shared" si="17"/>
        <v>0</v>
      </c>
      <c r="CY97" s="51">
        <f t="shared" si="18"/>
        <v>0</v>
      </c>
      <c r="CZ97" s="52" t="str">
        <f t="shared" si="19"/>
        <v/>
      </c>
      <c r="DA97" s="53" t="str">
        <f>IFERROR(__xludf.DUMMYFUNCTION("""COMPUTED_VALUE"""),"74 BUCK TRAIL
SADLER, TX 76264          ")</f>
        <v>74 BUCK TRAIL
SADLER, TX 76264          </v>
      </c>
      <c r="DB97" s="52">
        <f t="shared" ref="DB97:DU97" si="394">SUMIFS($AJ:$AJ,$X:$X,$DA97,$AK:$AK,DB$2)</f>
        <v>0</v>
      </c>
      <c r="DC97" s="52">
        <f t="shared" si="394"/>
        <v>1000</v>
      </c>
      <c r="DD97" s="52">
        <f t="shared" si="394"/>
        <v>0</v>
      </c>
      <c r="DE97" s="52">
        <f t="shared" si="394"/>
        <v>0</v>
      </c>
      <c r="DF97" s="52">
        <f t="shared" si="394"/>
        <v>0</v>
      </c>
      <c r="DG97" s="52">
        <f t="shared" si="394"/>
        <v>0</v>
      </c>
      <c r="DH97" s="52">
        <f t="shared" si="394"/>
        <v>0</v>
      </c>
      <c r="DI97" s="52">
        <f t="shared" si="394"/>
        <v>0</v>
      </c>
      <c r="DJ97" s="52">
        <f t="shared" si="394"/>
        <v>0</v>
      </c>
      <c r="DK97" s="52">
        <f t="shared" si="394"/>
        <v>0</v>
      </c>
      <c r="DL97" s="52">
        <f t="shared" si="394"/>
        <v>0</v>
      </c>
      <c r="DM97" s="52">
        <f t="shared" si="394"/>
        <v>0</v>
      </c>
      <c r="DN97" s="52">
        <f t="shared" si="394"/>
        <v>0</v>
      </c>
      <c r="DO97" s="52">
        <f t="shared" si="394"/>
        <v>0</v>
      </c>
      <c r="DP97" s="52">
        <f t="shared" si="394"/>
        <v>0</v>
      </c>
      <c r="DQ97" s="52">
        <f t="shared" si="394"/>
        <v>0</v>
      </c>
      <c r="DR97" s="52">
        <f t="shared" si="394"/>
        <v>0</v>
      </c>
      <c r="DS97" s="52">
        <f t="shared" si="394"/>
        <v>0</v>
      </c>
      <c r="DT97" s="52">
        <f t="shared" si="394"/>
        <v>0</v>
      </c>
      <c r="DU97" s="52">
        <f t="shared" si="394"/>
        <v>0</v>
      </c>
      <c r="DV97" s="52">
        <f t="shared" si="21"/>
        <v>1000</v>
      </c>
      <c r="DW97" s="52">
        <f t="shared" si="22"/>
        <v>1</v>
      </c>
    </row>
    <row r="98">
      <c r="A98" s="23" t="s">
        <v>64</v>
      </c>
      <c r="B98" s="23" t="s">
        <v>56</v>
      </c>
      <c r="C98" s="31" t="s">
        <v>298</v>
      </c>
      <c r="D98" s="25" t="str">
        <f>IFERROR(__xludf.DUMMYFUNCTION("SPLIT(C98,"" "")"),"Baker,")</f>
        <v>Baker,</v>
      </c>
      <c r="E98" s="22" t="str">
        <f>IFERROR(__xludf.DUMMYFUNCTION("""COMPUTED_VALUE"""),"Thad
4011")</f>
        <v>Thad
4011</v>
      </c>
      <c r="F98" s="22" t="str">
        <f>IFERROR(__xludf.DUMMYFUNCTION("""COMPUTED_VALUE"""),"Commerce
Dallas,")</f>
        <v>Commerce
Dallas,</v>
      </c>
      <c r="G98" s="22" t="str">
        <f>IFERROR(__xludf.DUMMYFUNCTION("""COMPUTED_VALUE"""),"TX")</f>
        <v>TX</v>
      </c>
      <c r="H98" s="22">
        <f>IFERROR(__xludf.DUMMYFUNCTION("""COMPUTED_VALUE"""),75226.0)</f>
        <v>75226</v>
      </c>
      <c r="I98" s="22"/>
      <c r="J98" s="22"/>
      <c r="K98" s="22"/>
      <c r="L98" s="22"/>
      <c r="M98" s="22"/>
      <c r="N98" s="22"/>
      <c r="O98" s="22"/>
      <c r="P98" s="22"/>
      <c r="Q98" s="22"/>
      <c r="R98" s="22"/>
      <c r="S98" s="22"/>
      <c r="T98" s="22"/>
      <c r="U98" s="24" t="str">
        <f>IFERROR(__xludf.DUMMYFUNCTION("SPLIT(E98,""01234567890"")"),"Thad
")</f>
        <v>Thad
</v>
      </c>
      <c r="V98" s="24" t="str">
        <f>IFERROR(__xludf.DUMMYFUNCTION("SPLIT(D98,"","")"),"Baker")</f>
        <v>Baker</v>
      </c>
      <c r="W98" s="25" t="str">
        <f t="shared" si="1"/>
        <v>THAD
 BAKER</v>
      </c>
      <c r="X98" s="25" t="s">
        <v>299</v>
      </c>
      <c r="Y98" s="25">
        <v>75226.0</v>
      </c>
      <c r="Z98" s="25" t="str">
        <f>IFERROR(__xludf.DUMMYFUNCTION("SPLIT(C98,""
"")"),"Baker, Thad")</f>
        <v>Baker, Thad</v>
      </c>
      <c r="AA98" s="25" t="str">
        <f>IFERROR(__xludf.DUMMYFUNCTION("""COMPUTED_VALUE"""),"4011 Commerce")</f>
        <v>4011 Commerce</v>
      </c>
      <c r="AB98" s="25" t="str">
        <f>IFERROR(__xludf.DUMMYFUNCTION("""COMPUTED_VALUE"""),"Dallas, TX 75226")</f>
        <v>Dallas, TX 75226</v>
      </c>
      <c r="AC98" s="24" t="s">
        <v>300</v>
      </c>
      <c r="AD98" s="25"/>
      <c r="AE98" s="25"/>
      <c r="AF98" s="25"/>
      <c r="AG98" s="22" t="s">
        <v>60</v>
      </c>
      <c r="AH98" s="54">
        <v>2448.0</v>
      </c>
      <c r="AI98" s="22" t="s">
        <v>61</v>
      </c>
      <c r="AJ98" s="27">
        <v>500.0</v>
      </c>
      <c r="AK98" s="31" t="s">
        <v>24</v>
      </c>
      <c r="AL98" s="28">
        <v>44679.0</v>
      </c>
      <c r="AM98" s="29">
        <v>44757.44018518519</v>
      </c>
      <c r="AN98" s="30">
        <v>2.0</v>
      </c>
      <c r="AO98" s="22"/>
      <c r="AP98" s="22"/>
      <c r="AQ98" s="22"/>
      <c r="AR98" s="22"/>
      <c r="AS98" s="31">
        <f>IFERROR(__xludf.DUMMYFUNCTION("""COMPUTED_VALUE"""),75033.0)</f>
        <v>75033</v>
      </c>
      <c r="AT98" s="45">
        <f t="shared" si="6"/>
        <v>250</v>
      </c>
      <c r="AU98" s="22"/>
      <c r="AV98" s="57" t="str">
        <f>IFERROR(__xludf.DUMMYFUNCTION("""COMPUTED_VALUE"""),"Chernock")</f>
        <v>Chernock</v>
      </c>
      <c r="AW98" s="46">
        <f t="shared" si="7"/>
        <v>950</v>
      </c>
      <c r="AX98" s="47">
        <f t="shared" ref="AX98:BQ98" si="395">SUMIFS($AJ:$AJ,$V:$V,$AV98,$AK:$AK,AX$2)</f>
        <v>950</v>
      </c>
      <c r="AY98" s="48">
        <f t="shared" si="395"/>
        <v>0</v>
      </c>
      <c r="AZ98" s="48">
        <f t="shared" si="395"/>
        <v>0</v>
      </c>
      <c r="BA98" s="48">
        <f t="shared" si="395"/>
        <v>0</v>
      </c>
      <c r="BB98" s="48">
        <f t="shared" si="395"/>
        <v>0</v>
      </c>
      <c r="BC98" s="48">
        <f t="shared" si="395"/>
        <v>0</v>
      </c>
      <c r="BD98" s="48">
        <f t="shared" si="395"/>
        <v>0</v>
      </c>
      <c r="BE98" s="48">
        <f t="shared" si="395"/>
        <v>0</v>
      </c>
      <c r="BF98" s="48">
        <f t="shared" si="395"/>
        <v>0</v>
      </c>
      <c r="BG98" s="48">
        <f t="shared" si="395"/>
        <v>0</v>
      </c>
      <c r="BH98" s="48">
        <f t="shared" si="395"/>
        <v>0</v>
      </c>
      <c r="BI98" s="48">
        <f t="shared" si="395"/>
        <v>0</v>
      </c>
      <c r="BJ98" s="48">
        <f t="shared" si="395"/>
        <v>0</v>
      </c>
      <c r="BK98" s="48">
        <f t="shared" si="395"/>
        <v>0</v>
      </c>
      <c r="BL98" s="48">
        <f t="shared" si="395"/>
        <v>0</v>
      </c>
      <c r="BM98" s="48">
        <f t="shared" si="395"/>
        <v>0</v>
      </c>
      <c r="BN98" s="48">
        <f t="shared" si="395"/>
        <v>0</v>
      </c>
      <c r="BO98" s="48">
        <f t="shared" si="395"/>
        <v>0</v>
      </c>
      <c r="BP98" s="48">
        <f t="shared" si="395"/>
        <v>0</v>
      </c>
      <c r="BQ98" s="48">
        <f t="shared" si="395"/>
        <v>0</v>
      </c>
      <c r="BR98" s="36">
        <f t="shared" si="9"/>
        <v>0</v>
      </c>
      <c r="BS98" s="38">
        <f t="shared" si="10"/>
        <v>1</v>
      </c>
      <c r="BT98" s="49">
        <f t="shared" si="11"/>
        <v>0</v>
      </c>
      <c r="BU98" s="38">
        <f t="shared" si="12"/>
        <v>1000</v>
      </c>
      <c r="BV98" s="57" t="str">
        <f>IFERROR(__xludf.DUMMYFUNCTION("""COMPUTED_VALUE"""),"Chernock")</f>
        <v>Chernock</v>
      </c>
      <c r="BW98" s="46">
        <f t="shared" si="13"/>
        <v>950</v>
      </c>
      <c r="BX98" s="47">
        <f t="shared" ref="BX98:CA98" si="396">AX98-$BU98</f>
        <v>-50</v>
      </c>
      <c r="BY98" s="47">
        <f t="shared" si="396"/>
        <v>-1000</v>
      </c>
      <c r="BZ98" s="47">
        <f t="shared" si="396"/>
        <v>-1000</v>
      </c>
      <c r="CA98" s="47">
        <f t="shared" si="396"/>
        <v>-1000</v>
      </c>
      <c r="CB98" s="47">
        <f t="shared" si="15"/>
        <v>-10000</v>
      </c>
      <c r="CC98" s="47">
        <f t="shared" ref="CC98:CQ98" si="397">BC98-$BU98</f>
        <v>-1000</v>
      </c>
      <c r="CD98" s="47">
        <f t="shared" si="397"/>
        <v>-1000</v>
      </c>
      <c r="CE98" s="47">
        <f t="shared" si="397"/>
        <v>-1000</v>
      </c>
      <c r="CF98" s="47">
        <f t="shared" si="397"/>
        <v>-1000</v>
      </c>
      <c r="CG98" s="47">
        <f t="shared" si="397"/>
        <v>-1000</v>
      </c>
      <c r="CH98" s="47">
        <f t="shared" si="397"/>
        <v>-1000</v>
      </c>
      <c r="CI98" s="47">
        <f t="shared" si="397"/>
        <v>-1000</v>
      </c>
      <c r="CJ98" s="47">
        <f t="shared" si="397"/>
        <v>-1000</v>
      </c>
      <c r="CK98" s="47">
        <f t="shared" si="397"/>
        <v>-1000</v>
      </c>
      <c r="CL98" s="47">
        <f t="shared" si="397"/>
        <v>-1000</v>
      </c>
      <c r="CM98" s="47">
        <f t="shared" si="397"/>
        <v>-1000</v>
      </c>
      <c r="CN98" s="47">
        <f t="shared" si="397"/>
        <v>-1000</v>
      </c>
      <c r="CO98" s="47">
        <f t="shared" si="397"/>
        <v>-1000</v>
      </c>
      <c r="CP98" s="47">
        <f t="shared" si="397"/>
        <v>-1000</v>
      </c>
      <c r="CQ98" s="47">
        <f t="shared" si="397"/>
        <v>-1000</v>
      </c>
      <c r="CR98" s="47"/>
      <c r="CS98" s="47"/>
      <c r="CT98" s="47"/>
      <c r="CU98" s="50" t="str">
        <f>IFERROR(__xludf.DUMMYFUNCTION("""COMPUTED_VALUE"""),"10456 Vinemont
Dallas, TX 75218           ")</f>
        <v>10456 Vinemont
Dallas, TX 75218           </v>
      </c>
      <c r="CV98" s="51">
        <f>IFERROR(__xludf.DUMMYFUNCTION("IF(REGEXMATCH(UPPER(CU98), ""TX""),0,1)"),0.0)</f>
        <v>0</v>
      </c>
      <c r="CW98" s="51">
        <f>IFERROR(__xludf.DUMMYFUNCTION("IF(REGEXMATCH(UPPER(CU98), ""DALLAS""),0,1)"),0.0)</f>
        <v>0</v>
      </c>
      <c r="CX98" s="51">
        <f t="shared" si="17"/>
        <v>0</v>
      </c>
      <c r="CY98" s="51">
        <f t="shared" si="18"/>
        <v>0</v>
      </c>
      <c r="CZ98" s="52" t="str">
        <f t="shared" si="19"/>
        <v/>
      </c>
      <c r="DA98" s="53" t="str">
        <f>IFERROR(__xludf.DUMMYFUNCTION("""COMPUTED_VALUE"""),"12612 Beech Tree Lane
Euless, TX 76040         ")</f>
        <v>12612 Beech Tree Lane
Euless, TX 76040         </v>
      </c>
      <c r="DB98" s="52">
        <f t="shared" ref="DB98:DU98" si="398">SUMIFS($AJ:$AJ,$X:$X,$DA98,$AK:$AK,DB$2)</f>
        <v>0</v>
      </c>
      <c r="DC98" s="52">
        <f t="shared" si="398"/>
        <v>750</v>
      </c>
      <c r="DD98" s="52">
        <f t="shared" si="398"/>
        <v>0</v>
      </c>
      <c r="DE98" s="52">
        <f t="shared" si="398"/>
        <v>0</v>
      </c>
      <c r="DF98" s="52">
        <f t="shared" si="398"/>
        <v>0</v>
      </c>
      <c r="DG98" s="52">
        <f t="shared" si="398"/>
        <v>0</v>
      </c>
      <c r="DH98" s="52">
        <f t="shared" si="398"/>
        <v>0</v>
      </c>
      <c r="DI98" s="52">
        <f t="shared" si="398"/>
        <v>0</v>
      </c>
      <c r="DJ98" s="52">
        <f t="shared" si="398"/>
        <v>0</v>
      </c>
      <c r="DK98" s="52">
        <f t="shared" si="398"/>
        <v>0</v>
      </c>
      <c r="DL98" s="52">
        <f t="shared" si="398"/>
        <v>0</v>
      </c>
      <c r="DM98" s="52">
        <f t="shared" si="398"/>
        <v>0</v>
      </c>
      <c r="DN98" s="52">
        <f t="shared" si="398"/>
        <v>0</v>
      </c>
      <c r="DO98" s="52">
        <f t="shared" si="398"/>
        <v>0</v>
      </c>
      <c r="DP98" s="52">
        <f t="shared" si="398"/>
        <v>0</v>
      </c>
      <c r="DQ98" s="52">
        <f t="shared" si="398"/>
        <v>0</v>
      </c>
      <c r="DR98" s="52">
        <f t="shared" si="398"/>
        <v>0</v>
      </c>
      <c r="DS98" s="52">
        <f t="shared" si="398"/>
        <v>0</v>
      </c>
      <c r="DT98" s="52">
        <f t="shared" si="398"/>
        <v>0</v>
      </c>
      <c r="DU98" s="52">
        <f t="shared" si="398"/>
        <v>0</v>
      </c>
      <c r="DV98" s="52">
        <f t="shared" si="21"/>
        <v>750</v>
      </c>
      <c r="DW98" s="52">
        <f t="shared" si="22"/>
        <v>1</v>
      </c>
    </row>
    <row r="99">
      <c r="A99" s="41" t="s">
        <v>64</v>
      </c>
      <c r="B99" s="41" t="s">
        <v>56</v>
      </c>
      <c r="C99" s="31" t="s">
        <v>301</v>
      </c>
      <c r="D99" s="25" t="str">
        <f>IFERROR(__xludf.DUMMYFUNCTION("SPLIT(C99,"" "")"),"Bame,")</f>
        <v>Bame,</v>
      </c>
      <c r="E99" s="40" t="str">
        <f>IFERROR(__xludf.DUMMYFUNCTION("""COMPUTED_VALUE"""),"Seth
4439")</f>
        <v>Seth
4439</v>
      </c>
      <c r="F99" s="40" t="str">
        <f>IFERROR(__xludf.DUMMYFUNCTION("""COMPUTED_VALUE"""),"Westway")</f>
        <v>Westway</v>
      </c>
      <c r="G99" s="40" t="str">
        <f>IFERROR(__xludf.DUMMYFUNCTION("""COMPUTED_VALUE"""),"Ave.
Dallas,")</f>
        <v>Ave.
Dallas,</v>
      </c>
      <c r="H99" s="40" t="str">
        <f>IFERROR(__xludf.DUMMYFUNCTION("""COMPUTED_VALUE"""),"TX")</f>
        <v>TX</v>
      </c>
      <c r="I99" s="40">
        <f>IFERROR(__xludf.DUMMYFUNCTION("""COMPUTED_VALUE"""),75205.0)</f>
        <v>75205</v>
      </c>
      <c r="J99" s="40"/>
      <c r="K99" s="40"/>
      <c r="L99" s="40"/>
      <c r="M99" s="40"/>
      <c r="N99" s="40"/>
      <c r="O99" s="40"/>
      <c r="P99" s="40"/>
      <c r="Q99" s="40"/>
      <c r="R99" s="40"/>
      <c r="S99" s="40"/>
      <c r="T99" s="40"/>
      <c r="U99" s="24" t="str">
        <f>IFERROR(__xludf.DUMMYFUNCTION("SPLIT(E99,""01234567890"")"),"Seth
")</f>
        <v>Seth
</v>
      </c>
      <c r="V99" s="24" t="str">
        <f>IFERROR(__xludf.DUMMYFUNCTION("SPLIT(D99,"","")"),"Bame")</f>
        <v>Bame</v>
      </c>
      <c r="W99" s="25" t="str">
        <f t="shared" si="1"/>
        <v>SETH
 BAME</v>
      </c>
      <c r="X99" s="25" t="s">
        <v>302</v>
      </c>
      <c r="Y99" s="25">
        <v>75205.0</v>
      </c>
      <c r="Z99" s="25" t="str">
        <f>IFERROR(__xludf.DUMMYFUNCTION("SPLIT(C99,""
"")"),"Bame, Seth")</f>
        <v>Bame, Seth</v>
      </c>
      <c r="AA99" s="25" t="str">
        <f>IFERROR(__xludf.DUMMYFUNCTION("""COMPUTED_VALUE"""),"4439 Westway Ave.")</f>
        <v>4439 Westway Ave.</v>
      </c>
      <c r="AB99" s="25" t="str">
        <f>IFERROR(__xludf.DUMMYFUNCTION("""COMPUTED_VALUE"""),"Dallas, TX 75205")</f>
        <v>Dallas, TX 75205</v>
      </c>
      <c r="AC99" s="24" t="s">
        <v>303</v>
      </c>
      <c r="AD99" s="25"/>
      <c r="AE99" s="25"/>
      <c r="AF99" s="25"/>
      <c r="AG99" s="40" t="s">
        <v>60</v>
      </c>
      <c r="AH99" s="42">
        <v>2441.0</v>
      </c>
      <c r="AI99" s="40" t="s">
        <v>61</v>
      </c>
      <c r="AJ99" s="27">
        <v>950.0</v>
      </c>
      <c r="AK99" s="31" t="s">
        <v>21</v>
      </c>
      <c r="AL99" s="43">
        <v>44742.0</v>
      </c>
      <c r="AM99" s="44">
        <v>44756.4640625</v>
      </c>
      <c r="AN99" s="30">
        <v>2.0</v>
      </c>
      <c r="AO99" s="40"/>
      <c r="AP99" s="40"/>
      <c r="AQ99" s="40"/>
      <c r="AR99" s="40"/>
      <c r="AS99" s="31">
        <f>IFERROR(__xludf.DUMMYFUNCTION("""COMPUTED_VALUE"""),20745.0)</f>
        <v>20745</v>
      </c>
      <c r="AT99" s="45">
        <f t="shared" si="6"/>
        <v>1000</v>
      </c>
      <c r="AU99" s="40"/>
      <c r="AV99" s="46" t="str">
        <f>IFERROR(__xludf.DUMMYFUNCTION("""COMPUTED_VALUE"""),"Ruiz")</f>
        <v>Ruiz</v>
      </c>
      <c r="AW99" s="46">
        <f t="shared" si="7"/>
        <v>500</v>
      </c>
      <c r="AX99" s="47">
        <f t="shared" ref="AX99:BQ99" si="399">SUMIFS($AJ:$AJ,$V:$V,$AV99,$AK:$AK,AX$2)</f>
        <v>500</v>
      </c>
      <c r="AY99" s="48">
        <f t="shared" si="399"/>
        <v>0</v>
      </c>
      <c r="AZ99" s="48">
        <f t="shared" si="399"/>
        <v>0</v>
      </c>
      <c r="BA99" s="48">
        <f t="shared" si="399"/>
        <v>0</v>
      </c>
      <c r="BB99" s="48">
        <f t="shared" si="399"/>
        <v>0</v>
      </c>
      <c r="BC99" s="48">
        <f t="shared" si="399"/>
        <v>0</v>
      </c>
      <c r="BD99" s="48">
        <f t="shared" si="399"/>
        <v>0</v>
      </c>
      <c r="BE99" s="48">
        <f t="shared" si="399"/>
        <v>0</v>
      </c>
      <c r="BF99" s="48">
        <f t="shared" si="399"/>
        <v>0</v>
      </c>
      <c r="BG99" s="48">
        <f t="shared" si="399"/>
        <v>0</v>
      </c>
      <c r="BH99" s="48">
        <f t="shared" si="399"/>
        <v>0</v>
      </c>
      <c r="BI99" s="48">
        <f t="shared" si="399"/>
        <v>0</v>
      </c>
      <c r="BJ99" s="48">
        <f t="shared" si="399"/>
        <v>0</v>
      </c>
      <c r="BK99" s="48">
        <f t="shared" si="399"/>
        <v>0</v>
      </c>
      <c r="BL99" s="48">
        <f t="shared" si="399"/>
        <v>0</v>
      </c>
      <c r="BM99" s="48">
        <f t="shared" si="399"/>
        <v>0</v>
      </c>
      <c r="BN99" s="48">
        <f t="shared" si="399"/>
        <v>0</v>
      </c>
      <c r="BO99" s="48">
        <f t="shared" si="399"/>
        <v>0</v>
      </c>
      <c r="BP99" s="48">
        <f t="shared" si="399"/>
        <v>0</v>
      </c>
      <c r="BQ99" s="48">
        <f t="shared" si="399"/>
        <v>0</v>
      </c>
      <c r="BR99" s="36">
        <f t="shared" si="9"/>
        <v>0</v>
      </c>
      <c r="BS99" s="38">
        <f t="shared" si="10"/>
        <v>1</v>
      </c>
      <c r="BT99" s="49">
        <f t="shared" si="11"/>
        <v>0</v>
      </c>
      <c r="BU99" s="38">
        <f t="shared" si="12"/>
        <v>1000</v>
      </c>
      <c r="BV99" s="46" t="str">
        <f>IFERROR(__xludf.DUMMYFUNCTION("""COMPUTED_VALUE"""),"Ruiz")</f>
        <v>Ruiz</v>
      </c>
      <c r="BW99" s="46">
        <f t="shared" si="13"/>
        <v>500</v>
      </c>
      <c r="BX99" s="47">
        <f t="shared" ref="BX99:CA99" si="400">AX99-$BU99</f>
        <v>-500</v>
      </c>
      <c r="BY99" s="47">
        <f t="shared" si="400"/>
        <v>-1000</v>
      </c>
      <c r="BZ99" s="47">
        <f t="shared" si="400"/>
        <v>-1000</v>
      </c>
      <c r="CA99" s="47">
        <f t="shared" si="400"/>
        <v>-1000</v>
      </c>
      <c r="CB99" s="47">
        <f t="shared" si="15"/>
        <v>-10000</v>
      </c>
      <c r="CC99" s="47">
        <f t="shared" ref="CC99:CQ99" si="401">BC99-$BU99</f>
        <v>-1000</v>
      </c>
      <c r="CD99" s="47">
        <f t="shared" si="401"/>
        <v>-1000</v>
      </c>
      <c r="CE99" s="47">
        <f t="shared" si="401"/>
        <v>-1000</v>
      </c>
      <c r="CF99" s="47">
        <f t="shared" si="401"/>
        <v>-1000</v>
      </c>
      <c r="CG99" s="47">
        <f t="shared" si="401"/>
        <v>-1000</v>
      </c>
      <c r="CH99" s="47">
        <f t="shared" si="401"/>
        <v>-1000</v>
      </c>
      <c r="CI99" s="47">
        <f t="shared" si="401"/>
        <v>-1000</v>
      </c>
      <c r="CJ99" s="47">
        <f t="shared" si="401"/>
        <v>-1000</v>
      </c>
      <c r="CK99" s="47">
        <f t="shared" si="401"/>
        <v>-1000</v>
      </c>
      <c r="CL99" s="47">
        <f t="shared" si="401"/>
        <v>-1000</v>
      </c>
      <c r="CM99" s="47">
        <f t="shared" si="401"/>
        <v>-1000</v>
      </c>
      <c r="CN99" s="47">
        <f t="shared" si="401"/>
        <v>-1000</v>
      </c>
      <c r="CO99" s="47">
        <f t="shared" si="401"/>
        <v>-1000</v>
      </c>
      <c r="CP99" s="47">
        <f t="shared" si="401"/>
        <v>-1000</v>
      </c>
      <c r="CQ99" s="47">
        <f t="shared" si="401"/>
        <v>-1000</v>
      </c>
      <c r="CR99" s="47"/>
      <c r="CS99" s="47"/>
      <c r="CT99" s="47"/>
      <c r="CU99" s="50" t="str">
        <f>IFERROR(__xludf.DUMMYFUNCTION("""COMPUTED_VALUE"""),"12596 Montego Plaza
Dallas, TX 75230          ")</f>
        <v>12596 Montego Plaza
Dallas, TX 75230          </v>
      </c>
      <c r="CV99" s="51">
        <f>IFERROR(__xludf.DUMMYFUNCTION("IF(REGEXMATCH(UPPER(CU99), ""TX""),0,1)"),0.0)</f>
        <v>0</v>
      </c>
      <c r="CW99" s="51">
        <f>IFERROR(__xludf.DUMMYFUNCTION("IF(REGEXMATCH(UPPER(CU99), ""DALLAS""),0,1)"),0.0)</f>
        <v>0</v>
      </c>
      <c r="CX99" s="51">
        <f t="shared" si="17"/>
        <v>0</v>
      </c>
      <c r="CY99" s="51">
        <f t="shared" si="18"/>
        <v>0</v>
      </c>
      <c r="CZ99" s="52" t="str">
        <f t="shared" si="19"/>
        <v/>
      </c>
      <c r="DA99" s="53" t="str">
        <f>IFERROR(__xludf.DUMMYFUNCTION("""COMPUTED_VALUE"""),"7 Equestrian Trail
Duncanville, TX 75116          ")</f>
        <v>7 Equestrian Trail
Duncanville, TX 75116          </v>
      </c>
      <c r="DB99" s="52">
        <f t="shared" ref="DB99:DU99" si="402">SUMIFS($AJ:$AJ,$X:$X,$DA99,$AK:$AK,DB$2)</f>
        <v>0</v>
      </c>
      <c r="DC99" s="52">
        <f t="shared" si="402"/>
        <v>1000</v>
      </c>
      <c r="DD99" s="52">
        <f t="shared" si="402"/>
        <v>0</v>
      </c>
      <c r="DE99" s="52">
        <f t="shared" si="402"/>
        <v>0</v>
      </c>
      <c r="DF99" s="52">
        <f t="shared" si="402"/>
        <v>0</v>
      </c>
      <c r="DG99" s="52">
        <f t="shared" si="402"/>
        <v>0</v>
      </c>
      <c r="DH99" s="52">
        <f t="shared" si="402"/>
        <v>0</v>
      </c>
      <c r="DI99" s="52">
        <f t="shared" si="402"/>
        <v>0</v>
      </c>
      <c r="DJ99" s="52">
        <f t="shared" si="402"/>
        <v>0</v>
      </c>
      <c r="DK99" s="52">
        <f t="shared" si="402"/>
        <v>0</v>
      </c>
      <c r="DL99" s="52">
        <f t="shared" si="402"/>
        <v>0</v>
      </c>
      <c r="DM99" s="52">
        <f t="shared" si="402"/>
        <v>0</v>
      </c>
      <c r="DN99" s="52">
        <f t="shared" si="402"/>
        <v>0</v>
      </c>
      <c r="DO99" s="52">
        <f t="shared" si="402"/>
        <v>0</v>
      </c>
      <c r="DP99" s="52">
        <f t="shared" si="402"/>
        <v>0</v>
      </c>
      <c r="DQ99" s="52">
        <f t="shared" si="402"/>
        <v>0</v>
      </c>
      <c r="DR99" s="52">
        <f t="shared" si="402"/>
        <v>0</v>
      </c>
      <c r="DS99" s="52">
        <f t="shared" si="402"/>
        <v>0</v>
      </c>
      <c r="DT99" s="52">
        <f t="shared" si="402"/>
        <v>0</v>
      </c>
      <c r="DU99" s="52">
        <f t="shared" si="402"/>
        <v>0</v>
      </c>
      <c r="DV99" s="52">
        <f t="shared" si="21"/>
        <v>1000</v>
      </c>
      <c r="DW99" s="52">
        <f t="shared" si="22"/>
        <v>1</v>
      </c>
    </row>
    <row r="100">
      <c r="A100" s="23" t="s">
        <v>64</v>
      </c>
      <c r="B100" s="23" t="s">
        <v>56</v>
      </c>
      <c r="C100" s="31" t="s">
        <v>304</v>
      </c>
      <c r="D100" s="25" t="str">
        <f>IFERROR(__xludf.DUMMYFUNCTION("SPLIT(C100,"" "")"),"Banerjee,")</f>
        <v>Banerjee,</v>
      </c>
      <c r="E100" s="22" t="str">
        <f>IFERROR(__xludf.DUMMYFUNCTION("""COMPUTED_VALUE"""),"Amit
12640")</f>
        <v>Amit
12640</v>
      </c>
      <c r="F100" s="22" t="str">
        <f>IFERROR(__xludf.DUMMYFUNCTION("""COMPUTED_VALUE"""),"
Dallas,")</f>
        <v>
Dallas,</v>
      </c>
      <c r="G100" s="22" t="str">
        <f>IFERROR(__xludf.DUMMYFUNCTION("""COMPUTED_VALUE"""),"TX")</f>
        <v>TX</v>
      </c>
      <c r="H100" s="22">
        <f>IFERROR(__xludf.DUMMYFUNCTION("""COMPUTED_VALUE"""),75035.0)</f>
        <v>75035</v>
      </c>
      <c r="I100" s="22"/>
      <c r="J100" s="22"/>
      <c r="K100" s="22"/>
      <c r="L100" s="22"/>
      <c r="M100" s="22"/>
      <c r="N100" s="22"/>
      <c r="O100" s="22"/>
      <c r="P100" s="22"/>
      <c r="Q100" s="22"/>
      <c r="R100" s="22"/>
      <c r="S100" s="22"/>
      <c r="T100" s="22"/>
      <c r="U100" s="24" t="str">
        <f>IFERROR(__xludf.DUMMYFUNCTION("SPLIT(E100,""01234567890"")"),"Amit
")</f>
        <v>Amit
</v>
      </c>
      <c r="V100" s="24" t="str">
        <f>IFERROR(__xludf.DUMMYFUNCTION("SPLIT(D100,"","")"),"Banerjee")</f>
        <v>Banerjee</v>
      </c>
      <c r="W100" s="25" t="str">
        <f t="shared" si="1"/>
        <v>AMIT
 BANERJEE</v>
      </c>
      <c r="X100" s="25" t="s">
        <v>305</v>
      </c>
      <c r="Y100" s="25">
        <v>75035.0</v>
      </c>
      <c r="Z100" s="25" t="str">
        <f>IFERROR(__xludf.DUMMYFUNCTION("SPLIT(C100,""
"")"),"Banerjee, Amit")</f>
        <v>Banerjee, Amit</v>
      </c>
      <c r="AA100" s="25">
        <f>IFERROR(__xludf.DUMMYFUNCTION("""COMPUTED_VALUE"""),12640.0)</f>
        <v>12640</v>
      </c>
      <c r="AB100" s="25" t="str">
        <f>IFERROR(__xludf.DUMMYFUNCTION("""COMPUTED_VALUE"""),"Dallas, TX 75035")</f>
        <v>Dallas, TX 75035</v>
      </c>
      <c r="AC100" s="24" t="s">
        <v>306</v>
      </c>
      <c r="AD100" s="25"/>
      <c r="AE100" s="25"/>
      <c r="AF100" s="25"/>
      <c r="AG100" s="22" t="s">
        <v>60</v>
      </c>
      <c r="AH100" s="54">
        <v>2500.0</v>
      </c>
      <c r="AI100" s="22" t="s">
        <v>68</v>
      </c>
      <c r="AJ100" s="27">
        <v>50.0</v>
      </c>
      <c r="AK100" s="31" t="s">
        <v>23</v>
      </c>
      <c r="AL100" s="28">
        <v>44847.0</v>
      </c>
      <c r="AM100" s="29">
        <v>44941.874814814815</v>
      </c>
      <c r="AN100" s="30">
        <v>2.0</v>
      </c>
      <c r="AO100" s="22"/>
      <c r="AP100" s="22"/>
      <c r="AQ100" s="22"/>
      <c r="AR100" s="22"/>
      <c r="AS100" s="31">
        <f>IFERROR(__xludf.DUMMYFUNCTION("""COMPUTED_VALUE"""),75043.0)</f>
        <v>75043</v>
      </c>
      <c r="AT100" s="45">
        <f t="shared" si="6"/>
        <v>5000</v>
      </c>
      <c r="AU100" s="22"/>
      <c r="AV100" s="57" t="str">
        <f>IFERROR(__xludf.DUMMYFUNCTION("""COMPUTED_VALUE"""),"Cole")</f>
        <v>Cole</v>
      </c>
      <c r="AW100" s="46">
        <f t="shared" si="7"/>
        <v>950</v>
      </c>
      <c r="AX100" s="47">
        <f t="shared" ref="AX100:BQ100" si="403">SUMIFS($AJ:$AJ,$V:$V,$AV100,$AK:$AK,AX$2)</f>
        <v>950</v>
      </c>
      <c r="AY100" s="48">
        <f t="shared" si="403"/>
        <v>0</v>
      </c>
      <c r="AZ100" s="48">
        <f t="shared" si="403"/>
        <v>0</v>
      </c>
      <c r="BA100" s="48">
        <f t="shared" si="403"/>
        <v>0</v>
      </c>
      <c r="BB100" s="48">
        <f t="shared" si="403"/>
        <v>0</v>
      </c>
      <c r="BC100" s="48">
        <f t="shared" si="403"/>
        <v>0</v>
      </c>
      <c r="BD100" s="48">
        <f t="shared" si="403"/>
        <v>0</v>
      </c>
      <c r="BE100" s="48">
        <f t="shared" si="403"/>
        <v>0</v>
      </c>
      <c r="BF100" s="48">
        <f t="shared" si="403"/>
        <v>0</v>
      </c>
      <c r="BG100" s="48">
        <f t="shared" si="403"/>
        <v>0</v>
      </c>
      <c r="BH100" s="48">
        <f t="shared" si="403"/>
        <v>0</v>
      </c>
      <c r="BI100" s="48">
        <f t="shared" si="403"/>
        <v>0</v>
      </c>
      <c r="BJ100" s="48">
        <f t="shared" si="403"/>
        <v>0</v>
      </c>
      <c r="BK100" s="48">
        <f t="shared" si="403"/>
        <v>0</v>
      </c>
      <c r="BL100" s="48">
        <f t="shared" si="403"/>
        <v>0</v>
      </c>
      <c r="BM100" s="48">
        <f t="shared" si="403"/>
        <v>0</v>
      </c>
      <c r="BN100" s="48">
        <f t="shared" si="403"/>
        <v>0</v>
      </c>
      <c r="BO100" s="48">
        <f t="shared" si="403"/>
        <v>0</v>
      </c>
      <c r="BP100" s="48">
        <f t="shared" si="403"/>
        <v>0</v>
      </c>
      <c r="BQ100" s="48">
        <f t="shared" si="403"/>
        <v>0</v>
      </c>
      <c r="BR100" s="36">
        <f t="shared" si="9"/>
        <v>0</v>
      </c>
      <c r="BS100" s="38">
        <f t="shared" si="10"/>
        <v>1</v>
      </c>
      <c r="BT100" s="49">
        <f t="shared" si="11"/>
        <v>0</v>
      </c>
      <c r="BU100" s="38">
        <f t="shared" si="12"/>
        <v>1000</v>
      </c>
      <c r="BV100" s="57" t="str">
        <f>IFERROR(__xludf.DUMMYFUNCTION("""COMPUTED_VALUE"""),"Cole")</f>
        <v>Cole</v>
      </c>
      <c r="BW100" s="46">
        <f t="shared" si="13"/>
        <v>950</v>
      </c>
      <c r="BX100" s="47">
        <f t="shared" ref="BX100:CA100" si="404">AX100-$BU100</f>
        <v>-50</v>
      </c>
      <c r="BY100" s="47">
        <f t="shared" si="404"/>
        <v>-1000</v>
      </c>
      <c r="BZ100" s="47">
        <f t="shared" si="404"/>
        <v>-1000</v>
      </c>
      <c r="CA100" s="47">
        <f t="shared" si="404"/>
        <v>-1000</v>
      </c>
      <c r="CB100" s="47">
        <f t="shared" si="15"/>
        <v>-10000</v>
      </c>
      <c r="CC100" s="47">
        <f t="shared" ref="CC100:CQ100" si="405">BC100-$BU100</f>
        <v>-1000</v>
      </c>
      <c r="CD100" s="47">
        <f t="shared" si="405"/>
        <v>-1000</v>
      </c>
      <c r="CE100" s="47">
        <f t="shared" si="405"/>
        <v>-1000</v>
      </c>
      <c r="CF100" s="47">
        <f t="shared" si="405"/>
        <v>-1000</v>
      </c>
      <c r="CG100" s="47">
        <f t="shared" si="405"/>
        <v>-1000</v>
      </c>
      <c r="CH100" s="47">
        <f t="shared" si="405"/>
        <v>-1000</v>
      </c>
      <c r="CI100" s="47">
        <f t="shared" si="405"/>
        <v>-1000</v>
      </c>
      <c r="CJ100" s="47">
        <f t="shared" si="405"/>
        <v>-1000</v>
      </c>
      <c r="CK100" s="47">
        <f t="shared" si="405"/>
        <v>-1000</v>
      </c>
      <c r="CL100" s="47">
        <f t="shared" si="405"/>
        <v>-1000</v>
      </c>
      <c r="CM100" s="47">
        <f t="shared" si="405"/>
        <v>-1000</v>
      </c>
      <c r="CN100" s="47">
        <f t="shared" si="405"/>
        <v>-1000</v>
      </c>
      <c r="CO100" s="47">
        <f t="shared" si="405"/>
        <v>-1000</v>
      </c>
      <c r="CP100" s="47">
        <f t="shared" si="405"/>
        <v>-1000</v>
      </c>
      <c r="CQ100" s="47">
        <f t="shared" si="405"/>
        <v>-1000</v>
      </c>
      <c r="CR100" s="47"/>
      <c r="CS100" s="47"/>
      <c r="CT100" s="47"/>
      <c r="CU100" s="50" t="str">
        <f>IFERROR(__xludf.DUMMYFUNCTION("""COMPUTED_VALUE"""),"
 Box 1224
Ennis, TX 75120          ")</f>
        <v>
 Box 1224
Ennis, TX 75120          </v>
      </c>
      <c r="CV100" s="51">
        <f>IFERROR(__xludf.DUMMYFUNCTION("IF(REGEXMATCH(UPPER(CU100), ""TX""),0,1)"),0.0)</f>
        <v>0</v>
      </c>
      <c r="CW100" s="51">
        <f>IFERROR(__xludf.DUMMYFUNCTION("IF(REGEXMATCH(UPPER(CU100), ""DALLAS""),0,1)"),1.0)</f>
        <v>1</v>
      </c>
      <c r="CX100" s="51">
        <f t="shared" si="17"/>
        <v>0</v>
      </c>
      <c r="CY100" s="51">
        <f t="shared" si="18"/>
        <v>1000</v>
      </c>
      <c r="CZ100" s="52" t="str">
        <f t="shared" si="19"/>
        <v>
 Box 1224
Ennis, TX 75120          </v>
      </c>
      <c r="DA100" s="53" t="str">
        <f>IFERROR(__xludf.DUMMYFUNCTION("""COMPUTED_VALUE"""),"consulting Group LLC
600 Six Flags Dr
Arlington, TX 76011       ")</f>
        <v>consulting Group LLC
600 Six Flags Dr
Arlington, TX 76011       </v>
      </c>
      <c r="DB100" s="52">
        <f t="shared" ref="DB100:DU100" si="406">SUMIFS($AJ:$AJ,$X:$X,$DA100,$AK:$AK,DB$2)</f>
        <v>0</v>
      </c>
      <c r="DC100" s="52">
        <f t="shared" si="406"/>
        <v>1000</v>
      </c>
      <c r="DD100" s="52">
        <f t="shared" si="406"/>
        <v>0</v>
      </c>
      <c r="DE100" s="52">
        <f t="shared" si="406"/>
        <v>0</v>
      </c>
      <c r="DF100" s="52">
        <f t="shared" si="406"/>
        <v>0</v>
      </c>
      <c r="DG100" s="52">
        <f t="shared" si="406"/>
        <v>0</v>
      </c>
      <c r="DH100" s="52">
        <f t="shared" si="406"/>
        <v>0</v>
      </c>
      <c r="DI100" s="52">
        <f t="shared" si="406"/>
        <v>0</v>
      </c>
      <c r="DJ100" s="52">
        <f t="shared" si="406"/>
        <v>0</v>
      </c>
      <c r="DK100" s="52">
        <f t="shared" si="406"/>
        <v>0</v>
      </c>
      <c r="DL100" s="52">
        <f t="shared" si="406"/>
        <v>0</v>
      </c>
      <c r="DM100" s="52">
        <f t="shared" si="406"/>
        <v>0</v>
      </c>
      <c r="DN100" s="52">
        <f t="shared" si="406"/>
        <v>0</v>
      </c>
      <c r="DO100" s="52">
        <f t="shared" si="406"/>
        <v>0</v>
      </c>
      <c r="DP100" s="52">
        <f t="shared" si="406"/>
        <v>0</v>
      </c>
      <c r="DQ100" s="52">
        <f t="shared" si="406"/>
        <v>0</v>
      </c>
      <c r="DR100" s="52">
        <f t="shared" si="406"/>
        <v>0</v>
      </c>
      <c r="DS100" s="52">
        <f t="shared" si="406"/>
        <v>0</v>
      </c>
      <c r="DT100" s="52">
        <f t="shared" si="406"/>
        <v>0</v>
      </c>
      <c r="DU100" s="52">
        <f t="shared" si="406"/>
        <v>0</v>
      </c>
      <c r="DV100" s="52">
        <f t="shared" si="21"/>
        <v>1000</v>
      </c>
      <c r="DW100" s="52">
        <f t="shared" si="22"/>
        <v>1</v>
      </c>
    </row>
    <row r="101">
      <c r="A101" s="41" t="s">
        <v>64</v>
      </c>
      <c r="B101" s="41" t="s">
        <v>56</v>
      </c>
      <c r="C101" s="31" t="s">
        <v>307</v>
      </c>
      <c r="D101" s="25" t="str">
        <f>IFERROR(__xludf.DUMMYFUNCTION("SPLIT(C101,"" "")"),"Barab,")</f>
        <v>Barab,</v>
      </c>
      <c r="E101" s="40" t="str">
        <f>IFERROR(__xludf.DUMMYFUNCTION("""COMPUTED_VALUE"""),"Stuart
9132")</f>
        <v>Stuart
9132</v>
      </c>
      <c r="F101" s="40" t="str">
        <f>IFERROR(__xludf.DUMMYFUNCTION("""COMPUTED_VALUE"""),"Branch")</f>
        <v>Branch</v>
      </c>
      <c r="G101" s="40" t="str">
        <f>IFERROR(__xludf.DUMMYFUNCTION("""COMPUTED_VALUE"""),"Hollow
Dallas,")</f>
        <v>Hollow
Dallas,</v>
      </c>
      <c r="H101" s="40" t="str">
        <f>IFERROR(__xludf.DUMMYFUNCTION("""COMPUTED_VALUE"""),"TX")</f>
        <v>TX</v>
      </c>
      <c r="I101" s="40">
        <f>IFERROR(__xludf.DUMMYFUNCTION("""COMPUTED_VALUE"""),75243.0)</f>
        <v>75243</v>
      </c>
      <c r="J101" s="40"/>
      <c r="K101" s="40"/>
      <c r="L101" s="40"/>
      <c r="M101" s="40"/>
      <c r="N101" s="40"/>
      <c r="O101" s="40"/>
      <c r="P101" s="40"/>
      <c r="Q101" s="40"/>
      <c r="R101" s="40"/>
      <c r="S101" s="40"/>
      <c r="T101" s="40"/>
      <c r="U101" s="24" t="str">
        <f>IFERROR(__xludf.DUMMYFUNCTION("SPLIT(E101,""01234567890"")"),"Stuart
")</f>
        <v>Stuart
</v>
      </c>
      <c r="V101" s="24" t="str">
        <f>IFERROR(__xludf.DUMMYFUNCTION("SPLIT(D101,"","")"),"Barab")</f>
        <v>Barab</v>
      </c>
      <c r="W101" s="25" t="str">
        <f t="shared" si="1"/>
        <v>STUART
 BARAB</v>
      </c>
      <c r="X101" s="25" t="s">
        <v>308</v>
      </c>
      <c r="Y101" s="25">
        <v>75243.0</v>
      </c>
      <c r="Z101" s="25" t="str">
        <f>IFERROR(__xludf.DUMMYFUNCTION("SPLIT(C101,""
"")"),"Barab, Stuart")</f>
        <v>Barab, Stuart</v>
      </c>
      <c r="AA101" s="25" t="str">
        <f>IFERROR(__xludf.DUMMYFUNCTION("""COMPUTED_VALUE"""),"9132 Branch Hollow")</f>
        <v>9132 Branch Hollow</v>
      </c>
      <c r="AB101" s="25" t="str">
        <f>IFERROR(__xludf.DUMMYFUNCTION("""COMPUTED_VALUE"""),"Dallas, TX 75243")</f>
        <v>Dallas, TX 75243</v>
      </c>
      <c r="AC101" s="24" t="s">
        <v>309</v>
      </c>
      <c r="AD101" s="25"/>
      <c r="AE101" s="25"/>
      <c r="AF101" s="25"/>
      <c r="AG101" s="40" t="s">
        <v>60</v>
      </c>
      <c r="AH101" s="42">
        <v>2477.0</v>
      </c>
      <c r="AI101" s="40" t="s">
        <v>68</v>
      </c>
      <c r="AJ101" s="27">
        <v>250.0</v>
      </c>
      <c r="AK101" s="31" t="s">
        <v>26</v>
      </c>
      <c r="AL101" s="43">
        <v>44883.0</v>
      </c>
      <c r="AM101" s="44">
        <v>44940.42346064815</v>
      </c>
      <c r="AN101" s="30">
        <v>2.0</v>
      </c>
      <c r="AO101" s="40"/>
      <c r="AP101" s="40"/>
      <c r="AQ101" s="40"/>
      <c r="AR101" s="40"/>
      <c r="AS101" s="31">
        <f>IFERROR(__xludf.DUMMYFUNCTION("""COMPUTED_VALUE"""),4915.0)</f>
        <v>4915</v>
      </c>
      <c r="AT101" s="45">
        <f t="shared" si="6"/>
        <v>1000</v>
      </c>
      <c r="AU101" s="40"/>
      <c r="AV101" s="46" t="str">
        <f>IFERROR(__xludf.DUMMYFUNCTION("""COMPUTED_VALUE"""),"Hagan")</f>
        <v>Hagan</v>
      </c>
      <c r="AW101" s="46">
        <f t="shared" si="7"/>
        <v>500</v>
      </c>
      <c r="AX101" s="47">
        <f t="shared" ref="AX101:BQ101" si="407">SUMIFS($AJ:$AJ,$V:$V,$AV101,$AK:$AK,AX$2)</f>
        <v>500</v>
      </c>
      <c r="AY101" s="48">
        <f t="shared" si="407"/>
        <v>0</v>
      </c>
      <c r="AZ101" s="48">
        <f t="shared" si="407"/>
        <v>0</v>
      </c>
      <c r="BA101" s="48">
        <f t="shared" si="407"/>
        <v>0</v>
      </c>
      <c r="BB101" s="48">
        <f t="shared" si="407"/>
        <v>0</v>
      </c>
      <c r="BC101" s="48">
        <f t="shared" si="407"/>
        <v>0</v>
      </c>
      <c r="BD101" s="48">
        <f t="shared" si="407"/>
        <v>0</v>
      </c>
      <c r="BE101" s="48">
        <f t="shared" si="407"/>
        <v>0</v>
      </c>
      <c r="BF101" s="48">
        <f t="shared" si="407"/>
        <v>0</v>
      </c>
      <c r="BG101" s="48">
        <f t="shared" si="407"/>
        <v>0</v>
      </c>
      <c r="BH101" s="48">
        <f t="shared" si="407"/>
        <v>0</v>
      </c>
      <c r="BI101" s="48">
        <f t="shared" si="407"/>
        <v>0</v>
      </c>
      <c r="BJ101" s="48">
        <f t="shared" si="407"/>
        <v>0</v>
      </c>
      <c r="BK101" s="48">
        <f t="shared" si="407"/>
        <v>0</v>
      </c>
      <c r="BL101" s="48">
        <f t="shared" si="407"/>
        <v>0</v>
      </c>
      <c r="BM101" s="48">
        <f t="shared" si="407"/>
        <v>0</v>
      </c>
      <c r="BN101" s="48">
        <f t="shared" si="407"/>
        <v>0</v>
      </c>
      <c r="BO101" s="48">
        <f t="shared" si="407"/>
        <v>0</v>
      </c>
      <c r="BP101" s="48">
        <f t="shared" si="407"/>
        <v>0</v>
      </c>
      <c r="BQ101" s="48">
        <f t="shared" si="407"/>
        <v>0</v>
      </c>
      <c r="BR101" s="36">
        <f t="shared" si="9"/>
        <v>0</v>
      </c>
      <c r="BS101" s="38">
        <f t="shared" si="10"/>
        <v>1</v>
      </c>
      <c r="BT101" s="49">
        <f t="shared" si="11"/>
        <v>0</v>
      </c>
      <c r="BU101" s="38">
        <f t="shared" si="12"/>
        <v>1000</v>
      </c>
      <c r="BV101" s="46" t="str">
        <f>IFERROR(__xludf.DUMMYFUNCTION("""COMPUTED_VALUE"""),"Hagan")</f>
        <v>Hagan</v>
      </c>
      <c r="BW101" s="46">
        <f t="shared" si="13"/>
        <v>500</v>
      </c>
      <c r="BX101" s="47">
        <f t="shared" ref="BX101:CA101" si="408">AX101-$BU101</f>
        <v>-500</v>
      </c>
      <c r="BY101" s="47">
        <f t="shared" si="408"/>
        <v>-1000</v>
      </c>
      <c r="BZ101" s="47">
        <f t="shared" si="408"/>
        <v>-1000</v>
      </c>
      <c r="CA101" s="47">
        <f t="shared" si="408"/>
        <v>-1000</v>
      </c>
      <c r="CB101" s="47">
        <f t="shared" si="15"/>
        <v>-10000</v>
      </c>
      <c r="CC101" s="47">
        <f t="shared" ref="CC101:CQ101" si="409">BC101-$BU101</f>
        <v>-1000</v>
      </c>
      <c r="CD101" s="47">
        <f t="shared" si="409"/>
        <v>-1000</v>
      </c>
      <c r="CE101" s="47">
        <f t="shared" si="409"/>
        <v>-1000</v>
      </c>
      <c r="CF101" s="47">
        <f t="shared" si="409"/>
        <v>-1000</v>
      </c>
      <c r="CG101" s="47">
        <f t="shared" si="409"/>
        <v>-1000</v>
      </c>
      <c r="CH101" s="47">
        <f t="shared" si="409"/>
        <v>-1000</v>
      </c>
      <c r="CI101" s="47">
        <f t="shared" si="409"/>
        <v>-1000</v>
      </c>
      <c r="CJ101" s="47">
        <f t="shared" si="409"/>
        <v>-1000</v>
      </c>
      <c r="CK101" s="47">
        <f t="shared" si="409"/>
        <v>-1000</v>
      </c>
      <c r="CL101" s="47">
        <f t="shared" si="409"/>
        <v>-1000</v>
      </c>
      <c r="CM101" s="47">
        <f t="shared" si="409"/>
        <v>-1000</v>
      </c>
      <c r="CN101" s="47">
        <f t="shared" si="409"/>
        <v>-1000</v>
      </c>
      <c r="CO101" s="47">
        <f t="shared" si="409"/>
        <v>-1000</v>
      </c>
      <c r="CP101" s="47">
        <f t="shared" si="409"/>
        <v>-1000</v>
      </c>
      <c r="CQ101" s="47">
        <f t="shared" si="409"/>
        <v>-1000</v>
      </c>
      <c r="CR101" s="47"/>
      <c r="CS101" s="47"/>
      <c r="CT101" s="47"/>
      <c r="CU101" s="50" t="str">
        <f>IFERROR(__xludf.DUMMYFUNCTION("""COMPUTED_VALUE"""),"4232 San Carlos
Dallas, TX 75205          ")</f>
        <v>4232 San Carlos
Dallas, TX 75205          </v>
      </c>
      <c r="CV101" s="51">
        <f>IFERROR(__xludf.DUMMYFUNCTION("IF(REGEXMATCH(UPPER(CU101), ""TX""),0,1)"),0.0)</f>
        <v>0</v>
      </c>
      <c r="CW101" s="51">
        <f>IFERROR(__xludf.DUMMYFUNCTION("IF(REGEXMATCH(UPPER(CU101), ""DALLAS""),0,1)"),0.0)</f>
        <v>0</v>
      </c>
      <c r="CX101" s="51">
        <f t="shared" si="17"/>
        <v>0</v>
      </c>
      <c r="CY101" s="51">
        <f t="shared" si="18"/>
        <v>0</v>
      </c>
      <c r="CZ101" s="52" t="str">
        <f t="shared" si="19"/>
        <v/>
      </c>
      <c r="DA101" s="53" t="str">
        <f>IFERROR(__xludf.DUMMYFUNCTION("""COMPUTED_VALUE"""),"1030 Harvest Hill
Prosper, TX 75078          ")</f>
        <v>1030 Harvest Hill
Prosper, TX 75078          </v>
      </c>
      <c r="DB101" s="52">
        <f t="shared" ref="DB101:DU101" si="410">SUMIFS($AJ:$AJ,$X:$X,$DA101,$AK:$AK,DB$2)</f>
        <v>0</v>
      </c>
      <c r="DC101" s="52">
        <f t="shared" si="410"/>
        <v>100</v>
      </c>
      <c r="DD101" s="52">
        <f t="shared" si="410"/>
        <v>0</v>
      </c>
      <c r="DE101" s="52">
        <f t="shared" si="410"/>
        <v>0</v>
      </c>
      <c r="DF101" s="52">
        <f t="shared" si="410"/>
        <v>0</v>
      </c>
      <c r="DG101" s="52">
        <f t="shared" si="410"/>
        <v>0</v>
      </c>
      <c r="DH101" s="52">
        <f t="shared" si="410"/>
        <v>0</v>
      </c>
      <c r="DI101" s="52">
        <f t="shared" si="410"/>
        <v>0</v>
      </c>
      <c r="DJ101" s="52">
        <f t="shared" si="410"/>
        <v>0</v>
      </c>
      <c r="DK101" s="52">
        <f t="shared" si="410"/>
        <v>0</v>
      </c>
      <c r="DL101" s="52">
        <f t="shared" si="410"/>
        <v>0</v>
      </c>
      <c r="DM101" s="52">
        <f t="shared" si="410"/>
        <v>0</v>
      </c>
      <c r="DN101" s="52">
        <f t="shared" si="410"/>
        <v>0</v>
      </c>
      <c r="DO101" s="52">
        <f t="shared" si="410"/>
        <v>0</v>
      </c>
      <c r="DP101" s="52">
        <f t="shared" si="410"/>
        <v>0</v>
      </c>
      <c r="DQ101" s="52">
        <f t="shared" si="410"/>
        <v>0</v>
      </c>
      <c r="DR101" s="52">
        <f t="shared" si="410"/>
        <v>0</v>
      </c>
      <c r="DS101" s="52">
        <f t="shared" si="410"/>
        <v>0</v>
      </c>
      <c r="DT101" s="52">
        <f t="shared" si="410"/>
        <v>0</v>
      </c>
      <c r="DU101" s="52">
        <f t="shared" si="410"/>
        <v>0</v>
      </c>
      <c r="DV101" s="52">
        <f t="shared" si="21"/>
        <v>100</v>
      </c>
      <c r="DW101" s="52">
        <f t="shared" si="22"/>
        <v>1</v>
      </c>
    </row>
    <row r="102">
      <c r="A102" s="23" t="s">
        <v>64</v>
      </c>
      <c r="B102" s="23" t="s">
        <v>56</v>
      </c>
      <c r="C102" s="31" t="s">
        <v>310</v>
      </c>
      <c r="D102" s="25" t="str">
        <f>IFERROR(__xludf.DUMMYFUNCTION("SPLIT(C102,"" "")"),"Barling,")</f>
        <v>Barling,</v>
      </c>
      <c r="E102" s="22" t="str">
        <f>IFERROR(__xludf.DUMMYFUNCTION("""COMPUTED_VALUE"""),"Hannah
1777")</f>
        <v>Hannah
1777</v>
      </c>
      <c r="F102" s="22" t="str">
        <f>IFERROR(__xludf.DUMMYFUNCTION("""COMPUTED_VALUE"""),"N")</f>
        <v>N</v>
      </c>
      <c r="G102" s="22" t="str">
        <f>IFERROR(__xludf.DUMMYFUNCTION("""COMPUTED_VALUE"""),"Record")</f>
        <v>Record</v>
      </c>
      <c r="H102" s="22" t="str">
        <f>IFERROR(__xludf.DUMMYFUNCTION("""COMPUTED_VALUE"""),"st
Dallas,")</f>
        <v>st
Dallas,</v>
      </c>
      <c r="I102" s="22" t="str">
        <f>IFERROR(__xludf.DUMMYFUNCTION("""COMPUTED_VALUE"""),"TX")</f>
        <v>TX</v>
      </c>
      <c r="J102" s="22">
        <f>IFERROR(__xludf.DUMMYFUNCTION("""COMPUTED_VALUE"""),75202.0)</f>
        <v>75202</v>
      </c>
      <c r="K102" s="22"/>
      <c r="L102" s="22"/>
      <c r="M102" s="22"/>
      <c r="N102" s="22"/>
      <c r="O102" s="22"/>
      <c r="P102" s="22"/>
      <c r="Q102" s="22"/>
      <c r="R102" s="22"/>
      <c r="S102" s="22"/>
      <c r="T102" s="22"/>
      <c r="U102" s="24" t="str">
        <f>IFERROR(__xludf.DUMMYFUNCTION("SPLIT(E102,""01234567890"")"),"Hannah
")</f>
        <v>Hannah
</v>
      </c>
      <c r="V102" s="24" t="str">
        <f>IFERROR(__xludf.DUMMYFUNCTION("SPLIT(D102,"","")"),"Barling")</f>
        <v>Barling</v>
      </c>
      <c r="W102" s="25" t="str">
        <f t="shared" si="1"/>
        <v>HANNAH
 BARLING</v>
      </c>
      <c r="X102" s="25" t="s">
        <v>311</v>
      </c>
      <c r="Y102" s="25">
        <v>75202.0</v>
      </c>
      <c r="Z102" s="25" t="str">
        <f>IFERROR(__xludf.DUMMYFUNCTION("SPLIT(C102,""
"")"),"Barling, Hannah")</f>
        <v>Barling, Hannah</v>
      </c>
      <c r="AA102" s="25" t="str">
        <f>IFERROR(__xludf.DUMMYFUNCTION("""COMPUTED_VALUE"""),"1777 N Record st")</f>
        <v>1777 N Record st</v>
      </c>
      <c r="AB102" s="25" t="str">
        <f>IFERROR(__xludf.DUMMYFUNCTION("""COMPUTED_VALUE"""),"Dallas, TX 75202")</f>
        <v>Dallas, TX 75202</v>
      </c>
      <c r="AC102" s="24" t="s">
        <v>312</v>
      </c>
      <c r="AD102" s="25"/>
      <c r="AE102" s="25"/>
      <c r="AF102" s="25"/>
      <c r="AG102" s="22" t="s">
        <v>60</v>
      </c>
      <c r="AH102" s="54">
        <v>2488.0</v>
      </c>
      <c r="AI102" s="22" t="s">
        <v>68</v>
      </c>
      <c r="AJ102" s="27">
        <v>51.0</v>
      </c>
      <c r="AK102" s="31" t="s">
        <v>32</v>
      </c>
      <c r="AL102" s="28">
        <v>44794.0</v>
      </c>
      <c r="AM102" s="29">
        <v>44937.96288194445</v>
      </c>
      <c r="AN102" s="30">
        <v>2.0</v>
      </c>
      <c r="AO102" s="22"/>
      <c r="AP102" s="22"/>
      <c r="AQ102" s="22"/>
      <c r="AR102" s="22"/>
      <c r="AS102" s="31">
        <f>IFERROR(__xludf.DUMMYFUNCTION("""COMPUTED_VALUE"""),75038.0)</f>
        <v>75038</v>
      </c>
      <c r="AT102" s="45">
        <f t="shared" si="6"/>
        <v>2750</v>
      </c>
      <c r="AU102" s="22"/>
      <c r="AV102" s="57" t="str">
        <f>IFERROR(__xludf.DUMMYFUNCTION("""COMPUTED_VALUE"""),"Gilbreath")</f>
        <v>Gilbreath</v>
      </c>
      <c r="AW102" s="46">
        <f t="shared" si="7"/>
        <v>750</v>
      </c>
      <c r="AX102" s="47">
        <f t="shared" ref="AX102:BQ102" si="411">SUMIFS($AJ:$AJ,$V:$V,$AV102,$AK:$AK,AX$2)</f>
        <v>750</v>
      </c>
      <c r="AY102" s="48">
        <f t="shared" si="411"/>
        <v>0</v>
      </c>
      <c r="AZ102" s="48">
        <f t="shared" si="411"/>
        <v>0</v>
      </c>
      <c r="BA102" s="48">
        <f t="shared" si="411"/>
        <v>0</v>
      </c>
      <c r="BB102" s="48">
        <f t="shared" si="411"/>
        <v>0</v>
      </c>
      <c r="BC102" s="48">
        <f t="shared" si="411"/>
        <v>0</v>
      </c>
      <c r="BD102" s="48">
        <f t="shared" si="411"/>
        <v>0</v>
      </c>
      <c r="BE102" s="48">
        <f t="shared" si="411"/>
        <v>0</v>
      </c>
      <c r="BF102" s="48">
        <f t="shared" si="411"/>
        <v>0</v>
      </c>
      <c r="BG102" s="48">
        <f t="shared" si="411"/>
        <v>0</v>
      </c>
      <c r="BH102" s="48">
        <f t="shared" si="411"/>
        <v>0</v>
      </c>
      <c r="BI102" s="48">
        <f t="shared" si="411"/>
        <v>0</v>
      </c>
      <c r="BJ102" s="48">
        <f t="shared" si="411"/>
        <v>0</v>
      </c>
      <c r="BK102" s="48">
        <f t="shared" si="411"/>
        <v>0</v>
      </c>
      <c r="BL102" s="48">
        <f t="shared" si="411"/>
        <v>0</v>
      </c>
      <c r="BM102" s="48">
        <f t="shared" si="411"/>
        <v>0</v>
      </c>
      <c r="BN102" s="48">
        <f t="shared" si="411"/>
        <v>0</v>
      </c>
      <c r="BO102" s="48">
        <f t="shared" si="411"/>
        <v>0</v>
      </c>
      <c r="BP102" s="48">
        <f t="shared" si="411"/>
        <v>0</v>
      </c>
      <c r="BQ102" s="48">
        <f t="shared" si="411"/>
        <v>0</v>
      </c>
      <c r="BR102" s="36">
        <f t="shared" si="9"/>
        <v>0</v>
      </c>
      <c r="BS102" s="38">
        <f t="shared" si="10"/>
        <v>1</v>
      </c>
      <c r="BT102" s="49">
        <f t="shared" si="11"/>
        <v>0</v>
      </c>
      <c r="BU102" s="38">
        <f t="shared" si="12"/>
        <v>1000</v>
      </c>
      <c r="BV102" s="57" t="str">
        <f>IFERROR(__xludf.DUMMYFUNCTION("""COMPUTED_VALUE"""),"Gilbreath")</f>
        <v>Gilbreath</v>
      </c>
      <c r="BW102" s="46">
        <f t="shared" si="13"/>
        <v>750</v>
      </c>
      <c r="BX102" s="47">
        <f t="shared" ref="BX102:CA102" si="412">AX102-$BU102</f>
        <v>-250</v>
      </c>
      <c r="BY102" s="47">
        <f t="shared" si="412"/>
        <v>-1000</v>
      </c>
      <c r="BZ102" s="47">
        <f t="shared" si="412"/>
        <v>-1000</v>
      </c>
      <c r="CA102" s="47">
        <f t="shared" si="412"/>
        <v>-1000</v>
      </c>
      <c r="CB102" s="47">
        <f t="shared" si="15"/>
        <v>-10000</v>
      </c>
      <c r="CC102" s="47">
        <f t="shared" ref="CC102:CQ102" si="413">BC102-$BU102</f>
        <v>-1000</v>
      </c>
      <c r="CD102" s="47">
        <f t="shared" si="413"/>
        <v>-1000</v>
      </c>
      <c r="CE102" s="47">
        <f t="shared" si="413"/>
        <v>-1000</v>
      </c>
      <c r="CF102" s="47">
        <f t="shared" si="413"/>
        <v>-1000</v>
      </c>
      <c r="CG102" s="47">
        <f t="shared" si="413"/>
        <v>-1000</v>
      </c>
      <c r="CH102" s="47">
        <f t="shared" si="413"/>
        <v>-1000</v>
      </c>
      <c r="CI102" s="47">
        <f t="shared" si="413"/>
        <v>-1000</v>
      </c>
      <c r="CJ102" s="47">
        <f t="shared" si="413"/>
        <v>-1000</v>
      </c>
      <c r="CK102" s="47">
        <f t="shared" si="413"/>
        <v>-1000</v>
      </c>
      <c r="CL102" s="47">
        <f t="shared" si="413"/>
        <v>-1000</v>
      </c>
      <c r="CM102" s="47">
        <f t="shared" si="413"/>
        <v>-1000</v>
      </c>
      <c r="CN102" s="47">
        <f t="shared" si="413"/>
        <v>-1000</v>
      </c>
      <c r="CO102" s="47">
        <f t="shared" si="413"/>
        <v>-1000</v>
      </c>
      <c r="CP102" s="47">
        <f t="shared" si="413"/>
        <v>-1000</v>
      </c>
      <c r="CQ102" s="47">
        <f t="shared" si="413"/>
        <v>-1000</v>
      </c>
      <c r="CR102" s="47"/>
      <c r="CS102" s="47"/>
      <c r="CT102" s="47"/>
      <c r="CU102" s="50" t="str">
        <f>IFERROR(__xludf.DUMMYFUNCTION("""COMPUTED_VALUE"""),"304 Town East Blvd
Sunnyvale, TX 75182         ")</f>
        <v>304 Town East Blvd
Sunnyvale, TX 75182         </v>
      </c>
      <c r="CV102" s="51">
        <f>IFERROR(__xludf.DUMMYFUNCTION("IF(REGEXMATCH(UPPER(CU102), ""TX""),0,1)"),0.0)</f>
        <v>0</v>
      </c>
      <c r="CW102" s="51">
        <f>IFERROR(__xludf.DUMMYFUNCTION("IF(REGEXMATCH(UPPER(CU102), ""DALLAS""),0,1)"),1.0)</f>
        <v>1</v>
      </c>
      <c r="CX102" s="51">
        <f t="shared" si="17"/>
        <v>0</v>
      </c>
      <c r="CY102" s="51">
        <f t="shared" si="18"/>
        <v>2000</v>
      </c>
      <c r="CZ102" s="52" t="str">
        <f t="shared" si="19"/>
        <v>304 Town East Blvd
Sunnyvale, TX 75182         </v>
      </c>
      <c r="DA102" s="53" t="str">
        <f>IFERROR(__xludf.DUMMYFUNCTION("""COMPUTED_VALUE"""),"
 Box 716
Eagle Lake, TX 77434         ")</f>
        <v>
 Box 716
Eagle Lake, TX 77434         </v>
      </c>
      <c r="DB102" s="52">
        <f t="shared" ref="DB102:DU102" si="414">SUMIFS($AJ:$AJ,$X:$X,$DA102,$AK:$AK,DB$2)</f>
        <v>0</v>
      </c>
      <c r="DC102" s="52">
        <f t="shared" si="414"/>
        <v>0</v>
      </c>
      <c r="DD102" s="52">
        <f t="shared" si="414"/>
        <v>0</v>
      </c>
      <c r="DE102" s="52">
        <f t="shared" si="414"/>
        <v>0</v>
      </c>
      <c r="DF102" s="52">
        <f t="shared" si="414"/>
        <v>500</v>
      </c>
      <c r="DG102" s="52">
        <f t="shared" si="414"/>
        <v>0</v>
      </c>
      <c r="DH102" s="52">
        <f t="shared" si="414"/>
        <v>0</v>
      </c>
      <c r="DI102" s="52">
        <f t="shared" si="414"/>
        <v>0</v>
      </c>
      <c r="DJ102" s="52">
        <f t="shared" si="414"/>
        <v>0</v>
      </c>
      <c r="DK102" s="52">
        <f t="shared" si="414"/>
        <v>0</v>
      </c>
      <c r="DL102" s="52">
        <f t="shared" si="414"/>
        <v>0</v>
      </c>
      <c r="DM102" s="52">
        <f t="shared" si="414"/>
        <v>0</v>
      </c>
      <c r="DN102" s="52">
        <f t="shared" si="414"/>
        <v>0</v>
      </c>
      <c r="DO102" s="52">
        <f t="shared" si="414"/>
        <v>0</v>
      </c>
      <c r="DP102" s="52">
        <f t="shared" si="414"/>
        <v>0</v>
      </c>
      <c r="DQ102" s="52">
        <f t="shared" si="414"/>
        <v>0</v>
      </c>
      <c r="DR102" s="52">
        <f t="shared" si="414"/>
        <v>0</v>
      </c>
      <c r="DS102" s="52">
        <f t="shared" si="414"/>
        <v>0</v>
      </c>
      <c r="DT102" s="52">
        <f t="shared" si="414"/>
        <v>0</v>
      </c>
      <c r="DU102" s="52">
        <f t="shared" si="414"/>
        <v>0</v>
      </c>
      <c r="DV102" s="52">
        <f t="shared" si="21"/>
        <v>500</v>
      </c>
      <c r="DW102" s="52">
        <f t="shared" si="22"/>
        <v>1</v>
      </c>
    </row>
    <row r="103">
      <c r="A103" s="41" t="s">
        <v>64</v>
      </c>
      <c r="B103" s="41" t="s">
        <v>56</v>
      </c>
      <c r="C103" s="31" t="s">
        <v>313</v>
      </c>
      <c r="D103" s="25" t="str">
        <f>IFERROR(__xludf.DUMMYFUNCTION("SPLIT(C103,"" "")"),"Barnes,")</f>
        <v>Barnes,</v>
      </c>
      <c r="E103" s="40" t="str">
        <f>IFERROR(__xludf.DUMMYFUNCTION("""COMPUTED_VALUE"""),"Madge
1100")</f>
        <v>Madge
1100</v>
      </c>
      <c r="F103" s="40" t="str">
        <f>IFERROR(__xludf.DUMMYFUNCTION("""COMPUTED_VALUE"""),"Lake")</f>
        <v>Lake</v>
      </c>
      <c r="G103" s="40" t="str">
        <f>IFERROR(__xludf.DUMMYFUNCTION("""COMPUTED_VALUE"""),"Carolyn")</f>
        <v>Carolyn</v>
      </c>
      <c r="H103" s="40" t="str">
        <f>IFERROR(__xludf.DUMMYFUNCTION("""COMPUTED_VALUE"""),"Pkwy
Irving,")</f>
        <v>Pkwy
Irving,</v>
      </c>
      <c r="I103" s="40" t="str">
        <f>IFERROR(__xludf.DUMMYFUNCTION("""COMPUTED_VALUE"""),"TX")</f>
        <v>TX</v>
      </c>
      <c r="J103" s="40">
        <f>IFERROR(__xludf.DUMMYFUNCTION("""COMPUTED_VALUE"""),75039.0)</f>
        <v>75039</v>
      </c>
      <c r="K103" s="40"/>
      <c r="L103" s="40"/>
      <c r="M103" s="40"/>
      <c r="N103" s="40"/>
      <c r="O103" s="40"/>
      <c r="P103" s="40"/>
      <c r="Q103" s="40"/>
      <c r="R103" s="40"/>
      <c r="S103" s="40"/>
      <c r="T103" s="40"/>
      <c r="U103" s="24" t="str">
        <f>IFERROR(__xludf.DUMMYFUNCTION("SPLIT(E103,""01234567890"")"),"Madge
")</f>
        <v>Madge
</v>
      </c>
      <c r="V103" s="24" t="str">
        <f>IFERROR(__xludf.DUMMYFUNCTION("SPLIT(D103,"","")"),"Barnes")</f>
        <v>Barnes</v>
      </c>
      <c r="W103" s="25" t="str">
        <f t="shared" si="1"/>
        <v>MADGE
 BARNES</v>
      </c>
      <c r="X103" s="25" t="s">
        <v>314</v>
      </c>
      <c r="Y103" s="25">
        <v>75039.0</v>
      </c>
      <c r="Z103" s="25" t="str">
        <f>IFERROR(__xludf.DUMMYFUNCTION("SPLIT(C103,""
"")"),"Barnes, Madge")</f>
        <v>Barnes, Madge</v>
      </c>
      <c r="AA103" s="25" t="str">
        <f>IFERROR(__xludf.DUMMYFUNCTION("""COMPUTED_VALUE"""),"1100 Lake Carolyn Pkwy")</f>
        <v>1100 Lake Carolyn Pkwy</v>
      </c>
      <c r="AB103" s="25" t="str">
        <f>IFERROR(__xludf.DUMMYFUNCTION("""COMPUTED_VALUE"""),"Irving, TX 75039")</f>
        <v>Irving, TX 75039</v>
      </c>
      <c r="AC103" s="24" t="s">
        <v>315</v>
      </c>
      <c r="AD103" s="25"/>
      <c r="AE103" s="25"/>
      <c r="AF103" s="25"/>
      <c r="AG103" s="40" t="s">
        <v>60</v>
      </c>
      <c r="AH103" s="42">
        <v>2481.0</v>
      </c>
      <c r="AI103" s="40" t="s">
        <v>68</v>
      </c>
      <c r="AJ103" s="27">
        <v>100.0</v>
      </c>
      <c r="AK103" s="31" t="s">
        <v>25</v>
      </c>
      <c r="AL103" s="43">
        <v>44839.0</v>
      </c>
      <c r="AM103" s="44">
        <v>44937.81995370371</v>
      </c>
      <c r="AN103" s="30">
        <v>2.0</v>
      </c>
      <c r="AO103" s="40"/>
      <c r="AP103" s="40"/>
      <c r="AQ103" s="40"/>
      <c r="AR103" s="40"/>
      <c r="AS103" s="31">
        <f>IFERROR(__xludf.DUMMYFUNCTION("""COMPUTED_VALUE"""),75069.0)</f>
        <v>75069</v>
      </c>
      <c r="AT103" s="45">
        <f t="shared" si="6"/>
        <v>250</v>
      </c>
      <c r="AU103" s="40"/>
      <c r="AV103" s="46" t="str">
        <f>IFERROR(__xludf.DUMMYFUNCTION("""COMPUTED_VALUE"""),"Roberts")</f>
        <v>Roberts</v>
      </c>
      <c r="AW103" s="46">
        <f t="shared" si="7"/>
        <v>2000</v>
      </c>
      <c r="AX103" s="47">
        <f t="shared" ref="AX103:BQ103" si="415">SUMIFS($AJ:$AJ,$V:$V,$AV103,$AK:$AK,AX$2)</f>
        <v>500</v>
      </c>
      <c r="AY103" s="48">
        <f t="shared" si="415"/>
        <v>0</v>
      </c>
      <c r="AZ103" s="48">
        <f t="shared" si="415"/>
        <v>0</v>
      </c>
      <c r="BA103" s="48">
        <f t="shared" si="415"/>
        <v>0</v>
      </c>
      <c r="BB103" s="48">
        <f t="shared" si="415"/>
        <v>1500</v>
      </c>
      <c r="BC103" s="48">
        <f t="shared" si="415"/>
        <v>0</v>
      </c>
      <c r="BD103" s="48">
        <f t="shared" si="415"/>
        <v>0</v>
      </c>
      <c r="BE103" s="48">
        <f t="shared" si="415"/>
        <v>0</v>
      </c>
      <c r="BF103" s="48">
        <f t="shared" si="415"/>
        <v>0</v>
      </c>
      <c r="BG103" s="48">
        <f t="shared" si="415"/>
        <v>0</v>
      </c>
      <c r="BH103" s="48">
        <f t="shared" si="415"/>
        <v>0</v>
      </c>
      <c r="BI103" s="48">
        <f t="shared" si="415"/>
        <v>0</v>
      </c>
      <c r="BJ103" s="48">
        <f t="shared" si="415"/>
        <v>0</v>
      </c>
      <c r="BK103" s="48">
        <f t="shared" si="415"/>
        <v>0</v>
      </c>
      <c r="BL103" s="48">
        <f t="shared" si="415"/>
        <v>0</v>
      </c>
      <c r="BM103" s="48">
        <f t="shared" si="415"/>
        <v>0</v>
      </c>
      <c r="BN103" s="48">
        <f t="shared" si="415"/>
        <v>0</v>
      </c>
      <c r="BO103" s="48">
        <f t="shared" si="415"/>
        <v>0</v>
      </c>
      <c r="BP103" s="48">
        <f t="shared" si="415"/>
        <v>0</v>
      </c>
      <c r="BQ103" s="48">
        <f t="shared" si="415"/>
        <v>0</v>
      </c>
      <c r="BR103" s="36">
        <f t="shared" si="9"/>
        <v>1</v>
      </c>
      <c r="BS103" s="38">
        <f t="shared" si="10"/>
        <v>3</v>
      </c>
      <c r="BT103" s="49">
        <f t="shared" si="11"/>
        <v>0</v>
      </c>
      <c r="BU103" s="38">
        <f t="shared" si="12"/>
        <v>3000</v>
      </c>
      <c r="BV103" s="46" t="str">
        <f>IFERROR(__xludf.DUMMYFUNCTION("""COMPUTED_VALUE"""),"Roberts")</f>
        <v>Roberts</v>
      </c>
      <c r="BW103" s="46">
        <f t="shared" si="13"/>
        <v>2000</v>
      </c>
      <c r="BX103" s="47">
        <f t="shared" ref="BX103:CA103" si="416">AX103-$BU103</f>
        <v>-2500</v>
      </c>
      <c r="BY103" s="47">
        <f t="shared" si="416"/>
        <v>-3000</v>
      </c>
      <c r="BZ103" s="47">
        <f t="shared" si="416"/>
        <v>-3000</v>
      </c>
      <c r="CA103" s="47">
        <f t="shared" si="416"/>
        <v>-3000</v>
      </c>
      <c r="CB103" s="47">
        <f t="shared" si="15"/>
        <v>-28500</v>
      </c>
      <c r="CC103" s="47">
        <f t="shared" ref="CC103:CQ103" si="417">BC103-$BU103</f>
        <v>-3000</v>
      </c>
      <c r="CD103" s="47">
        <f t="shared" si="417"/>
        <v>-3000</v>
      </c>
      <c r="CE103" s="47">
        <f t="shared" si="417"/>
        <v>-3000</v>
      </c>
      <c r="CF103" s="47">
        <f t="shared" si="417"/>
        <v>-3000</v>
      </c>
      <c r="CG103" s="47">
        <f t="shared" si="417"/>
        <v>-3000</v>
      </c>
      <c r="CH103" s="47">
        <f t="shared" si="417"/>
        <v>-3000</v>
      </c>
      <c r="CI103" s="47">
        <f t="shared" si="417"/>
        <v>-3000</v>
      </c>
      <c r="CJ103" s="47">
        <f t="shared" si="417"/>
        <v>-3000</v>
      </c>
      <c r="CK103" s="47">
        <f t="shared" si="417"/>
        <v>-3000</v>
      </c>
      <c r="CL103" s="47">
        <f t="shared" si="417"/>
        <v>-3000</v>
      </c>
      <c r="CM103" s="47">
        <f t="shared" si="417"/>
        <v>-3000</v>
      </c>
      <c r="CN103" s="47">
        <f t="shared" si="417"/>
        <v>-3000</v>
      </c>
      <c r="CO103" s="47">
        <f t="shared" si="417"/>
        <v>-3000</v>
      </c>
      <c r="CP103" s="47">
        <f t="shared" si="417"/>
        <v>-3000</v>
      </c>
      <c r="CQ103" s="47">
        <f t="shared" si="417"/>
        <v>-3000</v>
      </c>
      <c r="CR103" s="47"/>
      <c r="CS103" s="47"/>
      <c r="CT103" s="47"/>
      <c r="CU103" s="50" t="str">
        <f>IFERROR(__xludf.DUMMYFUNCTION("""COMPUTED_VALUE"""),"1512 Commerce St.
Dallas, TX 75201          ")</f>
        <v>1512 Commerce St.
Dallas, TX 75201          </v>
      </c>
      <c r="CV103" s="51">
        <f>IFERROR(__xludf.DUMMYFUNCTION("IF(REGEXMATCH(UPPER(CU103), ""TX""),0,1)"),0.0)</f>
        <v>0</v>
      </c>
      <c r="CW103" s="51">
        <f>IFERROR(__xludf.DUMMYFUNCTION("IF(REGEXMATCH(UPPER(CU103), ""DALLAS""),0,1)"),0.0)</f>
        <v>0</v>
      </c>
      <c r="CX103" s="51">
        <f t="shared" si="17"/>
        <v>0</v>
      </c>
      <c r="CY103" s="51">
        <f t="shared" si="18"/>
        <v>0</v>
      </c>
      <c r="CZ103" s="52" t="str">
        <f t="shared" si="19"/>
        <v/>
      </c>
      <c r="DA103" s="53" t="str">
        <f>IFERROR(__xludf.DUMMYFUNCTION("""COMPUTED_VALUE"""),"3652 Chevy Chase
Houston, TX 77019          ")</f>
        <v>3652 Chevy Chase
Houston, TX 77019          </v>
      </c>
      <c r="DB103" s="52">
        <f t="shared" ref="DB103:DU103" si="418">SUMIFS($AJ:$AJ,$X:$X,$DA103,$AK:$AK,DB$2)</f>
        <v>0</v>
      </c>
      <c r="DC103" s="52">
        <f t="shared" si="418"/>
        <v>0</v>
      </c>
      <c r="DD103" s="52">
        <f t="shared" si="418"/>
        <v>0</v>
      </c>
      <c r="DE103" s="52">
        <f t="shared" si="418"/>
        <v>0</v>
      </c>
      <c r="DF103" s="52">
        <f t="shared" si="418"/>
        <v>750</v>
      </c>
      <c r="DG103" s="52">
        <f t="shared" si="418"/>
        <v>0</v>
      </c>
      <c r="DH103" s="52">
        <f t="shared" si="418"/>
        <v>0</v>
      </c>
      <c r="DI103" s="52">
        <f t="shared" si="418"/>
        <v>0</v>
      </c>
      <c r="DJ103" s="52">
        <f t="shared" si="418"/>
        <v>0</v>
      </c>
      <c r="DK103" s="52">
        <f t="shared" si="418"/>
        <v>0</v>
      </c>
      <c r="DL103" s="52">
        <f t="shared" si="418"/>
        <v>0</v>
      </c>
      <c r="DM103" s="52">
        <f t="shared" si="418"/>
        <v>0</v>
      </c>
      <c r="DN103" s="52">
        <f t="shared" si="418"/>
        <v>0</v>
      </c>
      <c r="DO103" s="52">
        <f t="shared" si="418"/>
        <v>0</v>
      </c>
      <c r="DP103" s="52">
        <f t="shared" si="418"/>
        <v>0</v>
      </c>
      <c r="DQ103" s="52">
        <f t="shared" si="418"/>
        <v>0</v>
      </c>
      <c r="DR103" s="52">
        <f t="shared" si="418"/>
        <v>0</v>
      </c>
      <c r="DS103" s="52">
        <f t="shared" si="418"/>
        <v>0</v>
      </c>
      <c r="DT103" s="52">
        <f t="shared" si="418"/>
        <v>0</v>
      </c>
      <c r="DU103" s="52">
        <f t="shared" si="418"/>
        <v>0</v>
      </c>
      <c r="DV103" s="52">
        <f t="shared" si="21"/>
        <v>750</v>
      </c>
      <c r="DW103" s="52">
        <f t="shared" si="22"/>
        <v>1</v>
      </c>
    </row>
    <row r="104">
      <c r="A104" s="23" t="s">
        <v>64</v>
      </c>
      <c r="B104" s="23" t="s">
        <v>56</v>
      </c>
      <c r="C104" s="31" t="s">
        <v>316</v>
      </c>
      <c r="D104" s="25" t="str">
        <f>IFERROR(__xludf.DUMMYFUNCTION("SPLIT(C104,"" "")"),"Barnett")</f>
        <v>Barnett</v>
      </c>
      <c r="E104" s="22" t="str">
        <f>IFERROR(__xludf.DUMMYFUNCTION("""COMPUTED_VALUE"""),"&amp;")</f>
        <v>&amp;</v>
      </c>
      <c r="F104" s="22" t="str">
        <f>IFERROR(__xludf.DUMMYFUNCTION("""COMPUTED_VALUE"""),"family,")</f>
        <v>family,</v>
      </c>
      <c r="G104" s="22" t="str">
        <f>IFERROR(__xludf.DUMMYFUNCTION("""COMPUTED_VALUE"""),"Mitchell")</f>
        <v>Mitchell</v>
      </c>
      <c r="H104" s="22" t="str">
        <f>IFERROR(__xludf.DUMMYFUNCTION("""COMPUTED_VALUE"""),"and")</f>
        <v>and</v>
      </c>
      <c r="I104" s="22" t="str">
        <f>IFERROR(__xludf.DUMMYFUNCTION("""COMPUTED_VALUE"""),"Miriam")</f>
        <v>Miriam</v>
      </c>
      <c r="J104" s="22" t="str">
        <f>IFERROR(__xludf.DUMMYFUNCTION("""COMPUTED_VALUE"""),"Lewis
14020")</f>
        <v>Lewis
14020</v>
      </c>
      <c r="K104" s="22" t="str">
        <f>IFERROR(__xludf.DUMMYFUNCTION("""COMPUTED_VALUE"""),"Hughes")</f>
        <v>Hughes</v>
      </c>
      <c r="L104" s="22" t="str">
        <f>IFERROR(__xludf.DUMMYFUNCTION("""COMPUTED_VALUE"""),"Ln
Dallas,")</f>
        <v>Ln
Dallas,</v>
      </c>
      <c r="M104" s="22" t="str">
        <f>IFERROR(__xludf.DUMMYFUNCTION("""COMPUTED_VALUE"""),"TX")</f>
        <v>TX</v>
      </c>
      <c r="N104" s="22">
        <f>IFERROR(__xludf.DUMMYFUNCTION("""COMPUTED_VALUE"""),75254.0)</f>
        <v>75254</v>
      </c>
      <c r="O104" s="22"/>
      <c r="P104" s="22"/>
      <c r="Q104" s="22"/>
      <c r="R104" s="22"/>
      <c r="S104" s="22"/>
      <c r="T104" s="22"/>
      <c r="U104" s="24" t="str">
        <f>IFERROR(__xludf.DUMMYFUNCTION("SPLIT(E104,""01234567890"")"),"&amp;")</f>
        <v>&amp;</v>
      </c>
      <c r="V104" s="24" t="str">
        <f>IFERROR(__xludf.DUMMYFUNCTION("SPLIT(D104,"","")"),"Barnett")</f>
        <v>Barnett</v>
      </c>
      <c r="W104" s="25" t="str">
        <f t="shared" si="1"/>
        <v>&amp; BARNETT</v>
      </c>
      <c r="X104" s="25" t="s">
        <v>317</v>
      </c>
      <c r="Y104" s="25">
        <v>14020.0</v>
      </c>
      <c r="Z104" s="25" t="str">
        <f>IFERROR(__xludf.DUMMYFUNCTION("SPLIT(C104,""
"")"),"Barnett &amp; family, Mitchell and Miriam Lewis")</f>
        <v>Barnett &amp; family, Mitchell and Miriam Lewis</v>
      </c>
      <c r="AA104" s="25" t="str">
        <f>IFERROR(__xludf.DUMMYFUNCTION("""COMPUTED_VALUE"""),"14020 Hughes Ln")</f>
        <v>14020 Hughes Ln</v>
      </c>
      <c r="AB104" s="25" t="str">
        <f>IFERROR(__xludf.DUMMYFUNCTION("""COMPUTED_VALUE"""),"Dallas, TX 75254")</f>
        <v>Dallas, TX 75254</v>
      </c>
      <c r="AC104" s="24" t="s">
        <v>318</v>
      </c>
      <c r="AD104" s="25"/>
      <c r="AE104" s="25"/>
      <c r="AF104" s="25"/>
      <c r="AG104" s="22" t="s">
        <v>60</v>
      </c>
      <c r="AH104" s="54">
        <v>2436.0</v>
      </c>
      <c r="AI104" s="22" t="s">
        <v>61</v>
      </c>
      <c r="AJ104" s="27">
        <v>1000.0</v>
      </c>
      <c r="AK104" s="31" t="s">
        <v>31</v>
      </c>
      <c r="AL104" s="28">
        <v>44683.0</v>
      </c>
      <c r="AM104" s="29">
        <v>44748.433599537035</v>
      </c>
      <c r="AN104" s="30">
        <v>2.0</v>
      </c>
      <c r="AO104" s="22"/>
      <c r="AP104" s="22"/>
      <c r="AQ104" s="22"/>
      <c r="AR104" s="22"/>
      <c r="AS104" s="31">
        <f>IFERROR(__xludf.DUMMYFUNCTION("""COMPUTED_VALUE"""),75034.0)</f>
        <v>75034</v>
      </c>
      <c r="AT104" s="45">
        <f t="shared" si="6"/>
        <v>2500</v>
      </c>
      <c r="AU104" s="22"/>
      <c r="AV104" s="57" t="str">
        <f>IFERROR(__xludf.DUMMYFUNCTION("""COMPUTED_VALUE"""),"Mackey")</f>
        <v>Mackey</v>
      </c>
      <c r="AW104" s="46">
        <f t="shared" si="7"/>
        <v>250</v>
      </c>
      <c r="AX104" s="47">
        <f t="shared" ref="AX104:BQ104" si="419">SUMIFS($AJ:$AJ,$V:$V,$AV104,$AK:$AK,AX$2)</f>
        <v>250</v>
      </c>
      <c r="AY104" s="48">
        <f t="shared" si="419"/>
        <v>0</v>
      </c>
      <c r="AZ104" s="48">
        <f t="shared" si="419"/>
        <v>0</v>
      </c>
      <c r="BA104" s="48">
        <f t="shared" si="419"/>
        <v>0</v>
      </c>
      <c r="BB104" s="48">
        <f t="shared" si="419"/>
        <v>0</v>
      </c>
      <c r="BC104" s="48">
        <f t="shared" si="419"/>
        <v>0</v>
      </c>
      <c r="BD104" s="48">
        <f t="shared" si="419"/>
        <v>0</v>
      </c>
      <c r="BE104" s="48">
        <f t="shared" si="419"/>
        <v>0</v>
      </c>
      <c r="BF104" s="48">
        <f t="shared" si="419"/>
        <v>0</v>
      </c>
      <c r="BG104" s="48">
        <f t="shared" si="419"/>
        <v>0</v>
      </c>
      <c r="BH104" s="48">
        <f t="shared" si="419"/>
        <v>0</v>
      </c>
      <c r="BI104" s="48">
        <f t="shared" si="419"/>
        <v>0</v>
      </c>
      <c r="BJ104" s="48">
        <f t="shared" si="419"/>
        <v>0</v>
      </c>
      <c r="BK104" s="48">
        <f t="shared" si="419"/>
        <v>0</v>
      </c>
      <c r="BL104" s="48">
        <f t="shared" si="419"/>
        <v>0</v>
      </c>
      <c r="BM104" s="48">
        <f t="shared" si="419"/>
        <v>0</v>
      </c>
      <c r="BN104" s="48">
        <f t="shared" si="419"/>
        <v>0</v>
      </c>
      <c r="BO104" s="48">
        <f t="shared" si="419"/>
        <v>0</v>
      </c>
      <c r="BP104" s="48">
        <f t="shared" si="419"/>
        <v>0</v>
      </c>
      <c r="BQ104" s="48">
        <f t="shared" si="419"/>
        <v>0</v>
      </c>
      <c r="BR104" s="36">
        <f t="shared" si="9"/>
        <v>0</v>
      </c>
      <c r="BS104" s="38">
        <f t="shared" si="10"/>
        <v>1</v>
      </c>
      <c r="BT104" s="49">
        <f t="shared" si="11"/>
        <v>0</v>
      </c>
      <c r="BU104" s="38">
        <f t="shared" si="12"/>
        <v>1000</v>
      </c>
      <c r="BV104" s="57" t="str">
        <f>IFERROR(__xludf.DUMMYFUNCTION("""COMPUTED_VALUE"""),"Mackey")</f>
        <v>Mackey</v>
      </c>
      <c r="BW104" s="46">
        <f t="shared" si="13"/>
        <v>250</v>
      </c>
      <c r="BX104" s="47">
        <f t="shared" ref="BX104:CA104" si="420">AX104-$BU104</f>
        <v>-750</v>
      </c>
      <c r="BY104" s="47">
        <f t="shared" si="420"/>
        <v>-1000</v>
      </c>
      <c r="BZ104" s="47">
        <f t="shared" si="420"/>
        <v>-1000</v>
      </c>
      <c r="CA104" s="47">
        <f t="shared" si="420"/>
        <v>-1000</v>
      </c>
      <c r="CB104" s="47">
        <f t="shared" si="15"/>
        <v>-10000</v>
      </c>
      <c r="CC104" s="47">
        <f t="shared" ref="CC104:CQ104" si="421">BC104-$BU104</f>
        <v>-1000</v>
      </c>
      <c r="CD104" s="47">
        <f t="shared" si="421"/>
        <v>-1000</v>
      </c>
      <c r="CE104" s="47">
        <f t="shared" si="421"/>
        <v>-1000</v>
      </c>
      <c r="CF104" s="47">
        <f t="shared" si="421"/>
        <v>-1000</v>
      </c>
      <c r="CG104" s="47">
        <f t="shared" si="421"/>
        <v>-1000</v>
      </c>
      <c r="CH104" s="47">
        <f t="shared" si="421"/>
        <v>-1000</v>
      </c>
      <c r="CI104" s="47">
        <f t="shared" si="421"/>
        <v>-1000</v>
      </c>
      <c r="CJ104" s="47">
        <f t="shared" si="421"/>
        <v>-1000</v>
      </c>
      <c r="CK104" s="47">
        <f t="shared" si="421"/>
        <v>-1000</v>
      </c>
      <c r="CL104" s="47">
        <f t="shared" si="421"/>
        <v>-1000</v>
      </c>
      <c r="CM104" s="47">
        <f t="shared" si="421"/>
        <v>-1000</v>
      </c>
      <c r="CN104" s="47">
        <f t="shared" si="421"/>
        <v>-1000</v>
      </c>
      <c r="CO104" s="47">
        <f t="shared" si="421"/>
        <v>-1000</v>
      </c>
      <c r="CP104" s="47">
        <f t="shared" si="421"/>
        <v>-1000</v>
      </c>
      <c r="CQ104" s="47">
        <f t="shared" si="421"/>
        <v>-1000</v>
      </c>
      <c r="CR104" s="47"/>
      <c r="CS104" s="47"/>
      <c r="CT104" s="47"/>
      <c r="CU104" s="50" t="str">
        <f>IFERROR(__xludf.DUMMYFUNCTION("""COMPUTED_VALUE"""),"8804 Mariscal Canyon Dr.
Austin, TX 78759         ")</f>
        <v>8804 Mariscal Canyon Dr.
Austin, TX 78759         </v>
      </c>
      <c r="CV104" s="51">
        <f>IFERROR(__xludf.DUMMYFUNCTION("IF(REGEXMATCH(UPPER(CU104), ""TX""),0,1)"),0.0)</f>
        <v>0</v>
      </c>
      <c r="CW104" s="51">
        <f>IFERROR(__xludf.DUMMYFUNCTION("IF(REGEXMATCH(UPPER(CU104), ""DALLAS""),0,1)"),1.0)</f>
        <v>1</v>
      </c>
      <c r="CX104" s="51">
        <f t="shared" si="17"/>
        <v>0</v>
      </c>
      <c r="CY104" s="51">
        <f t="shared" si="18"/>
        <v>200</v>
      </c>
      <c r="CZ104" s="52" t="str">
        <f t="shared" si="19"/>
        <v>8804 Mariscal Canyon Dr.
Austin, TX 78759         </v>
      </c>
      <c r="DA104" s="53" t="str">
        <f>IFERROR(__xludf.DUMMYFUNCTION("""COMPUTED_VALUE"""),".
210 St.
Austin, TX 78701          ")</f>
        <v>.
210 St.
Austin, TX 78701          </v>
      </c>
      <c r="DB104" s="52">
        <f t="shared" ref="DB104:DU104" si="422">SUMIFS($AJ:$AJ,$X:$X,$DA104,$AK:$AK,DB$2)</f>
        <v>0</v>
      </c>
      <c r="DC104" s="52">
        <f t="shared" si="422"/>
        <v>0</v>
      </c>
      <c r="DD104" s="52">
        <f t="shared" si="422"/>
        <v>0</v>
      </c>
      <c r="DE104" s="52">
        <f t="shared" si="422"/>
        <v>0</v>
      </c>
      <c r="DF104" s="52">
        <f t="shared" si="422"/>
        <v>2500</v>
      </c>
      <c r="DG104" s="52">
        <f t="shared" si="422"/>
        <v>0</v>
      </c>
      <c r="DH104" s="52">
        <f t="shared" si="422"/>
        <v>0</v>
      </c>
      <c r="DI104" s="52">
        <f t="shared" si="422"/>
        <v>0</v>
      </c>
      <c r="DJ104" s="52">
        <f t="shared" si="422"/>
        <v>0</v>
      </c>
      <c r="DK104" s="52">
        <f t="shared" si="422"/>
        <v>0</v>
      </c>
      <c r="DL104" s="52">
        <f t="shared" si="422"/>
        <v>0</v>
      </c>
      <c r="DM104" s="52">
        <f t="shared" si="422"/>
        <v>0</v>
      </c>
      <c r="DN104" s="52">
        <f t="shared" si="422"/>
        <v>0</v>
      </c>
      <c r="DO104" s="52">
        <f t="shared" si="422"/>
        <v>0</v>
      </c>
      <c r="DP104" s="52">
        <f t="shared" si="422"/>
        <v>0</v>
      </c>
      <c r="DQ104" s="52">
        <f t="shared" si="422"/>
        <v>0</v>
      </c>
      <c r="DR104" s="52">
        <f t="shared" si="422"/>
        <v>0</v>
      </c>
      <c r="DS104" s="52">
        <f t="shared" si="422"/>
        <v>0</v>
      </c>
      <c r="DT104" s="52">
        <f t="shared" si="422"/>
        <v>0</v>
      </c>
      <c r="DU104" s="52">
        <f t="shared" si="422"/>
        <v>0</v>
      </c>
      <c r="DV104" s="52">
        <f t="shared" si="21"/>
        <v>2500</v>
      </c>
      <c r="DW104" s="52">
        <f t="shared" si="22"/>
        <v>1</v>
      </c>
    </row>
    <row r="105">
      <c r="A105" s="41" t="s">
        <v>64</v>
      </c>
      <c r="B105" s="41" t="s">
        <v>56</v>
      </c>
      <c r="C105" s="31" t="s">
        <v>319</v>
      </c>
      <c r="D105" s="25" t="str">
        <f>IFERROR(__xludf.DUMMYFUNCTION("SPLIT(C105,"" "")"),"Barnett,")</f>
        <v>Barnett,</v>
      </c>
      <c r="E105" s="40" t="str">
        <f>IFERROR(__xludf.DUMMYFUNCTION("""COMPUTED_VALUE"""),"Billy")</f>
        <v>Billy</v>
      </c>
      <c r="F105" s="40" t="str">
        <f>IFERROR(__xludf.DUMMYFUNCTION("""COMPUTED_VALUE"""),"Bob
310")</f>
        <v>Bob
310</v>
      </c>
      <c r="G105" s="40" t="str">
        <f>IFERROR(__xludf.DUMMYFUNCTION("""COMPUTED_VALUE"""),"Calvary")</f>
        <v>Calvary</v>
      </c>
      <c r="H105" s="40" t="str">
        <f>IFERROR(__xludf.DUMMYFUNCTION("""COMPUTED_VALUE"""),"Dr
Euless,")</f>
        <v>Dr
Euless,</v>
      </c>
      <c r="I105" s="40" t="str">
        <f>IFERROR(__xludf.DUMMYFUNCTION("""COMPUTED_VALUE"""),"TX")</f>
        <v>TX</v>
      </c>
      <c r="J105" s="40">
        <f>IFERROR(__xludf.DUMMYFUNCTION("""COMPUTED_VALUE"""),76040.0)</f>
        <v>76040</v>
      </c>
      <c r="K105" s="40"/>
      <c r="L105" s="40"/>
      <c r="M105" s="40"/>
      <c r="N105" s="40"/>
      <c r="O105" s="40"/>
      <c r="P105" s="40"/>
      <c r="Q105" s="40"/>
      <c r="R105" s="40"/>
      <c r="S105" s="40"/>
      <c r="T105" s="40"/>
      <c r="U105" s="24" t="str">
        <f>IFERROR(__xludf.DUMMYFUNCTION("SPLIT(E105,""01234567890"")"),"Billy")</f>
        <v>Billy</v>
      </c>
      <c r="V105" s="24" t="str">
        <f>IFERROR(__xludf.DUMMYFUNCTION("SPLIT(D105,"","")"),"Barnett")</f>
        <v>Barnett</v>
      </c>
      <c r="W105" s="25" t="str">
        <f t="shared" si="1"/>
        <v>BILLY BARNETT</v>
      </c>
      <c r="X105" s="25" t="s">
        <v>320</v>
      </c>
      <c r="Y105" s="25">
        <v>76040.0</v>
      </c>
      <c r="Z105" s="25" t="str">
        <f>IFERROR(__xludf.DUMMYFUNCTION("SPLIT(C105,""
"")"),"Barnett, Billy Bob")</f>
        <v>Barnett, Billy Bob</v>
      </c>
      <c r="AA105" s="25" t="str">
        <f>IFERROR(__xludf.DUMMYFUNCTION("""COMPUTED_VALUE"""),"310 Calvary Dr")</f>
        <v>310 Calvary Dr</v>
      </c>
      <c r="AB105" s="25" t="str">
        <f>IFERROR(__xludf.DUMMYFUNCTION("""COMPUTED_VALUE"""),"Euless, TX 76040")</f>
        <v>Euless, TX 76040</v>
      </c>
      <c r="AC105" s="24" t="s">
        <v>321</v>
      </c>
      <c r="AD105" s="25"/>
      <c r="AE105" s="25"/>
      <c r="AF105" s="25"/>
      <c r="AG105" s="40" t="s">
        <v>60</v>
      </c>
      <c r="AH105" s="42">
        <v>2481.0</v>
      </c>
      <c r="AI105" s="40" t="s">
        <v>68</v>
      </c>
      <c r="AJ105" s="27">
        <v>2500.0</v>
      </c>
      <c r="AK105" s="31" t="s">
        <v>25</v>
      </c>
      <c r="AL105" s="43">
        <v>44841.0</v>
      </c>
      <c r="AM105" s="44">
        <v>44937.81995370371</v>
      </c>
      <c r="AN105" s="30">
        <v>2.0</v>
      </c>
      <c r="AO105" s="40"/>
      <c r="AP105" s="40"/>
      <c r="AQ105" s="40"/>
      <c r="AR105" s="40"/>
      <c r="AS105" s="31">
        <f>IFERROR(__xludf.DUMMYFUNCTION("""COMPUTED_VALUE"""),78610.0)</f>
        <v>78610</v>
      </c>
      <c r="AT105" s="45">
        <f t="shared" si="6"/>
        <v>800</v>
      </c>
      <c r="AU105" s="40"/>
      <c r="AV105" s="46" t="str">
        <f>IFERROR(__xludf.DUMMYFUNCTION("""COMPUTED_VALUE"""),"Flaim")</f>
        <v>Flaim</v>
      </c>
      <c r="AW105" s="46">
        <f t="shared" si="7"/>
        <v>500</v>
      </c>
      <c r="AX105" s="47">
        <f t="shared" ref="AX105:BQ105" si="423">SUMIFS($AJ:$AJ,$V:$V,$AV105,$AK:$AK,AX$2)</f>
        <v>500</v>
      </c>
      <c r="AY105" s="48">
        <f t="shared" si="423"/>
        <v>0</v>
      </c>
      <c r="AZ105" s="48">
        <f t="shared" si="423"/>
        <v>0</v>
      </c>
      <c r="BA105" s="48">
        <f t="shared" si="423"/>
        <v>0</v>
      </c>
      <c r="BB105" s="48">
        <f t="shared" si="423"/>
        <v>0</v>
      </c>
      <c r="BC105" s="48">
        <f t="shared" si="423"/>
        <v>0</v>
      </c>
      <c r="BD105" s="48">
        <f t="shared" si="423"/>
        <v>0</v>
      </c>
      <c r="BE105" s="48">
        <f t="shared" si="423"/>
        <v>0</v>
      </c>
      <c r="BF105" s="48">
        <f t="shared" si="423"/>
        <v>0</v>
      </c>
      <c r="BG105" s="48">
        <f t="shared" si="423"/>
        <v>0</v>
      </c>
      <c r="BH105" s="48">
        <f t="shared" si="423"/>
        <v>0</v>
      </c>
      <c r="BI105" s="48">
        <f t="shared" si="423"/>
        <v>0</v>
      </c>
      <c r="BJ105" s="48">
        <f t="shared" si="423"/>
        <v>0</v>
      </c>
      <c r="BK105" s="48">
        <f t="shared" si="423"/>
        <v>0</v>
      </c>
      <c r="BL105" s="48">
        <f t="shared" si="423"/>
        <v>0</v>
      </c>
      <c r="BM105" s="48">
        <f t="shared" si="423"/>
        <v>0</v>
      </c>
      <c r="BN105" s="48">
        <f t="shared" si="423"/>
        <v>0</v>
      </c>
      <c r="BO105" s="48">
        <f t="shared" si="423"/>
        <v>0</v>
      </c>
      <c r="BP105" s="48">
        <f t="shared" si="423"/>
        <v>0</v>
      </c>
      <c r="BQ105" s="48">
        <f t="shared" si="423"/>
        <v>0</v>
      </c>
      <c r="BR105" s="36">
        <f t="shared" si="9"/>
        <v>0</v>
      </c>
      <c r="BS105" s="38">
        <f t="shared" si="10"/>
        <v>1</v>
      </c>
      <c r="BT105" s="49">
        <f t="shared" si="11"/>
        <v>0</v>
      </c>
      <c r="BU105" s="38">
        <f t="shared" si="12"/>
        <v>1000</v>
      </c>
      <c r="BV105" s="46" t="str">
        <f>IFERROR(__xludf.DUMMYFUNCTION("""COMPUTED_VALUE"""),"Flaim")</f>
        <v>Flaim</v>
      </c>
      <c r="BW105" s="46">
        <f t="shared" si="13"/>
        <v>500</v>
      </c>
      <c r="BX105" s="47">
        <f t="shared" ref="BX105:CA105" si="424">AX105-$BU105</f>
        <v>-500</v>
      </c>
      <c r="BY105" s="47">
        <f t="shared" si="424"/>
        <v>-1000</v>
      </c>
      <c r="BZ105" s="47">
        <f t="shared" si="424"/>
        <v>-1000</v>
      </c>
      <c r="CA105" s="47">
        <f t="shared" si="424"/>
        <v>-1000</v>
      </c>
      <c r="CB105" s="47">
        <f t="shared" si="15"/>
        <v>-10000</v>
      </c>
      <c r="CC105" s="47">
        <f t="shared" ref="CC105:CQ105" si="425">BC105-$BU105</f>
        <v>-1000</v>
      </c>
      <c r="CD105" s="47">
        <f t="shared" si="425"/>
        <v>-1000</v>
      </c>
      <c r="CE105" s="47">
        <f t="shared" si="425"/>
        <v>-1000</v>
      </c>
      <c r="CF105" s="47">
        <f t="shared" si="425"/>
        <v>-1000</v>
      </c>
      <c r="CG105" s="47">
        <f t="shared" si="425"/>
        <v>-1000</v>
      </c>
      <c r="CH105" s="47">
        <f t="shared" si="425"/>
        <v>-1000</v>
      </c>
      <c r="CI105" s="47">
        <f t="shared" si="425"/>
        <v>-1000</v>
      </c>
      <c r="CJ105" s="47">
        <f t="shared" si="425"/>
        <v>-1000</v>
      </c>
      <c r="CK105" s="47">
        <f t="shared" si="425"/>
        <v>-1000</v>
      </c>
      <c r="CL105" s="47">
        <f t="shared" si="425"/>
        <v>-1000</v>
      </c>
      <c r="CM105" s="47">
        <f t="shared" si="425"/>
        <v>-1000</v>
      </c>
      <c r="CN105" s="47">
        <f t="shared" si="425"/>
        <v>-1000</v>
      </c>
      <c r="CO105" s="47">
        <f t="shared" si="425"/>
        <v>-1000</v>
      </c>
      <c r="CP105" s="47">
        <f t="shared" si="425"/>
        <v>-1000</v>
      </c>
      <c r="CQ105" s="47">
        <f t="shared" si="425"/>
        <v>-1000</v>
      </c>
      <c r="CR105" s="47"/>
      <c r="CS105" s="47"/>
      <c r="CT105" s="47"/>
      <c r="CU105" s="50" t="str">
        <f>IFERROR(__xludf.DUMMYFUNCTION("""COMPUTED_VALUE"""),"8350 Meadow Road
Dallas, TX 75231          ")</f>
        <v>8350 Meadow Road
Dallas, TX 75231          </v>
      </c>
      <c r="CV105" s="51">
        <f>IFERROR(__xludf.DUMMYFUNCTION("IF(REGEXMATCH(UPPER(CU105), ""TX""),0,1)"),0.0)</f>
        <v>0</v>
      </c>
      <c r="CW105" s="51">
        <f>IFERROR(__xludf.DUMMYFUNCTION("IF(REGEXMATCH(UPPER(CU105), ""DALLAS""),0,1)"),0.0)</f>
        <v>0</v>
      </c>
      <c r="CX105" s="51">
        <f t="shared" si="17"/>
        <v>0</v>
      </c>
      <c r="CY105" s="51">
        <f t="shared" si="18"/>
        <v>0</v>
      </c>
      <c r="CZ105" s="52" t="str">
        <f t="shared" si="19"/>
        <v/>
      </c>
      <c r="DA105" s="58"/>
      <c r="DW105" s="52"/>
    </row>
    <row r="106">
      <c r="A106" s="22" t="s">
        <v>55</v>
      </c>
      <c r="B106" s="23" t="s">
        <v>56</v>
      </c>
      <c r="C106" s="31" t="s">
        <v>322</v>
      </c>
      <c r="D106" s="25" t="str">
        <f>IFERROR(__xludf.DUMMYFUNCTION("SPLIT(C106,"" "")"),"Barnett,")</f>
        <v>Barnett,</v>
      </c>
      <c r="E106" s="22" t="str">
        <f>IFERROR(__xludf.DUMMYFUNCTION("""COMPUTED_VALUE"""),"Sheli
14003")</f>
        <v>Sheli
14003</v>
      </c>
      <c r="F106" s="22" t="str">
        <f>IFERROR(__xludf.DUMMYFUNCTION("""COMPUTED_VALUE"""),"Hughes")</f>
        <v>Hughes</v>
      </c>
      <c r="G106" s="22" t="str">
        <f>IFERROR(__xludf.DUMMYFUNCTION("""COMPUTED_VALUE"""),"Lane
Dallas,")</f>
        <v>Lane
Dallas,</v>
      </c>
      <c r="H106" s="22" t="str">
        <f>IFERROR(__xludf.DUMMYFUNCTION("""COMPUTED_VALUE"""),"TX")</f>
        <v>TX</v>
      </c>
      <c r="I106" s="22">
        <f>IFERROR(__xludf.DUMMYFUNCTION("""COMPUTED_VALUE"""),75254.0)</f>
        <v>75254</v>
      </c>
      <c r="J106" s="22"/>
      <c r="K106" s="22"/>
      <c r="L106" s="22"/>
      <c r="M106" s="22"/>
      <c r="N106" s="22"/>
      <c r="O106" s="22"/>
      <c r="P106" s="22"/>
      <c r="Q106" s="22"/>
      <c r="R106" s="22"/>
      <c r="S106" s="22"/>
      <c r="T106" s="22"/>
      <c r="U106" s="24" t="str">
        <f>IFERROR(__xludf.DUMMYFUNCTION("SPLIT(E106,""01234567890"")"),"Sheli
")</f>
        <v>Sheli
</v>
      </c>
      <c r="V106" s="24" t="str">
        <f>IFERROR(__xludf.DUMMYFUNCTION("SPLIT(D106,"","")"),"Barnett")</f>
        <v>Barnett</v>
      </c>
      <c r="W106" s="25" t="str">
        <f t="shared" si="1"/>
        <v>SHELI
 BARNETT</v>
      </c>
      <c r="X106" s="25" t="s">
        <v>323</v>
      </c>
      <c r="Y106" s="25">
        <v>75254.0</v>
      </c>
      <c r="Z106" s="25" t="str">
        <f>IFERROR(__xludf.DUMMYFUNCTION("SPLIT(C106,""
"")"),"Barnett, Sheli")</f>
        <v>Barnett, Sheli</v>
      </c>
      <c r="AA106" s="25" t="str">
        <f>IFERROR(__xludf.DUMMYFUNCTION("""COMPUTED_VALUE"""),"14003 Hughes Lane")</f>
        <v>14003 Hughes Lane</v>
      </c>
      <c r="AB106" s="25" t="str">
        <f>IFERROR(__xludf.DUMMYFUNCTION("""COMPUTED_VALUE"""),"Dallas, TX 75254")</f>
        <v>Dallas, TX 75254</v>
      </c>
      <c r="AC106" s="24" t="s">
        <v>324</v>
      </c>
      <c r="AD106" s="25"/>
      <c r="AE106" s="25"/>
      <c r="AF106" s="25"/>
      <c r="AG106" s="22" t="s">
        <v>60</v>
      </c>
      <c r="AH106" s="54">
        <v>2482.0</v>
      </c>
      <c r="AI106" s="22" t="s">
        <v>68</v>
      </c>
      <c r="AJ106" s="27">
        <v>180.0</v>
      </c>
      <c r="AK106" s="31" t="s">
        <v>31</v>
      </c>
      <c r="AL106" s="28">
        <v>44925.0</v>
      </c>
      <c r="AM106" s="29">
        <v>44938.558541666665</v>
      </c>
      <c r="AN106" s="30">
        <v>2.0</v>
      </c>
      <c r="AO106" s="22"/>
      <c r="AP106" s="22"/>
      <c r="AQ106" s="22"/>
      <c r="AR106" s="22"/>
      <c r="AS106" s="31">
        <f>IFERROR(__xludf.DUMMYFUNCTION("""COMPUTED_VALUE"""),85248.0)</f>
        <v>85248</v>
      </c>
      <c r="AT106" s="45">
        <f t="shared" si="6"/>
        <v>500</v>
      </c>
      <c r="AU106" s="22"/>
      <c r="AV106" s="57" t="str">
        <f>IFERROR(__xludf.DUMMYFUNCTION("""COMPUTED_VALUE"""),"Preziosi")</f>
        <v>Preziosi</v>
      </c>
      <c r="AW106" s="46">
        <f t="shared" si="7"/>
        <v>500</v>
      </c>
      <c r="AX106" s="47">
        <f t="shared" ref="AX106:BQ106" si="426">SUMIFS($AJ:$AJ,$V:$V,$AV106,$AK:$AK,AX$2)</f>
        <v>500</v>
      </c>
      <c r="AY106" s="48">
        <f t="shared" si="426"/>
        <v>0</v>
      </c>
      <c r="AZ106" s="48">
        <f t="shared" si="426"/>
        <v>0</v>
      </c>
      <c r="BA106" s="48">
        <f t="shared" si="426"/>
        <v>0</v>
      </c>
      <c r="BB106" s="48">
        <f t="shared" si="426"/>
        <v>0</v>
      </c>
      <c r="BC106" s="48">
        <f t="shared" si="426"/>
        <v>0</v>
      </c>
      <c r="BD106" s="48">
        <f t="shared" si="426"/>
        <v>0</v>
      </c>
      <c r="BE106" s="48">
        <f t="shared" si="426"/>
        <v>0</v>
      </c>
      <c r="BF106" s="48">
        <f t="shared" si="426"/>
        <v>0</v>
      </c>
      <c r="BG106" s="48">
        <f t="shared" si="426"/>
        <v>0</v>
      </c>
      <c r="BH106" s="48">
        <f t="shared" si="426"/>
        <v>0</v>
      </c>
      <c r="BI106" s="48">
        <f t="shared" si="426"/>
        <v>0</v>
      </c>
      <c r="BJ106" s="48">
        <f t="shared" si="426"/>
        <v>0</v>
      </c>
      <c r="BK106" s="48">
        <f t="shared" si="426"/>
        <v>0</v>
      </c>
      <c r="BL106" s="48">
        <f t="shared" si="426"/>
        <v>0</v>
      </c>
      <c r="BM106" s="48">
        <f t="shared" si="426"/>
        <v>0</v>
      </c>
      <c r="BN106" s="48">
        <f t="shared" si="426"/>
        <v>0</v>
      </c>
      <c r="BO106" s="48">
        <f t="shared" si="426"/>
        <v>0</v>
      </c>
      <c r="BP106" s="48">
        <f t="shared" si="426"/>
        <v>0</v>
      </c>
      <c r="BQ106" s="48">
        <f t="shared" si="426"/>
        <v>0</v>
      </c>
      <c r="BR106" s="36">
        <f t="shared" si="9"/>
        <v>0</v>
      </c>
      <c r="BS106" s="38">
        <f t="shared" si="10"/>
        <v>1</v>
      </c>
      <c r="BT106" s="49">
        <f t="shared" si="11"/>
        <v>0</v>
      </c>
      <c r="BU106" s="38">
        <f t="shared" si="12"/>
        <v>1000</v>
      </c>
      <c r="BV106" s="57" t="str">
        <f>IFERROR(__xludf.DUMMYFUNCTION("""COMPUTED_VALUE"""),"Preziosi")</f>
        <v>Preziosi</v>
      </c>
      <c r="BW106" s="46">
        <f t="shared" si="13"/>
        <v>500</v>
      </c>
      <c r="BX106" s="47">
        <f t="shared" ref="BX106:CA106" si="427">AX106-$BU106</f>
        <v>-500</v>
      </c>
      <c r="BY106" s="47">
        <f t="shared" si="427"/>
        <v>-1000</v>
      </c>
      <c r="BZ106" s="47">
        <f t="shared" si="427"/>
        <v>-1000</v>
      </c>
      <c r="CA106" s="47">
        <f t="shared" si="427"/>
        <v>-1000</v>
      </c>
      <c r="CB106" s="47">
        <f t="shared" si="15"/>
        <v>-10000</v>
      </c>
      <c r="CC106" s="47">
        <f t="shared" ref="CC106:CQ106" si="428">BC106-$BU106</f>
        <v>-1000</v>
      </c>
      <c r="CD106" s="47">
        <f t="shared" si="428"/>
        <v>-1000</v>
      </c>
      <c r="CE106" s="47">
        <f t="shared" si="428"/>
        <v>-1000</v>
      </c>
      <c r="CF106" s="47">
        <f t="shared" si="428"/>
        <v>-1000</v>
      </c>
      <c r="CG106" s="47">
        <f t="shared" si="428"/>
        <v>-1000</v>
      </c>
      <c r="CH106" s="47">
        <f t="shared" si="428"/>
        <v>-1000</v>
      </c>
      <c r="CI106" s="47">
        <f t="shared" si="428"/>
        <v>-1000</v>
      </c>
      <c r="CJ106" s="47">
        <f t="shared" si="428"/>
        <v>-1000</v>
      </c>
      <c r="CK106" s="47">
        <f t="shared" si="428"/>
        <v>-1000</v>
      </c>
      <c r="CL106" s="47">
        <f t="shared" si="428"/>
        <v>-1000</v>
      </c>
      <c r="CM106" s="47">
        <f t="shared" si="428"/>
        <v>-1000</v>
      </c>
      <c r="CN106" s="47">
        <f t="shared" si="428"/>
        <v>-1000</v>
      </c>
      <c r="CO106" s="47">
        <f t="shared" si="428"/>
        <v>-1000</v>
      </c>
      <c r="CP106" s="47">
        <f t="shared" si="428"/>
        <v>-1000</v>
      </c>
      <c r="CQ106" s="47">
        <f t="shared" si="428"/>
        <v>-1000</v>
      </c>
      <c r="CR106" s="47"/>
      <c r="CS106" s="47"/>
      <c r="CT106" s="47"/>
      <c r="CU106" s="50" t="str">
        <f>IFERROR(__xludf.DUMMYFUNCTION("""COMPUTED_VALUE"""),"3362 Blackburn St.
Dallas, TX 75204          ")</f>
        <v>3362 Blackburn St.
Dallas, TX 75204          </v>
      </c>
      <c r="CV106" s="51">
        <f>IFERROR(__xludf.DUMMYFUNCTION("IF(REGEXMATCH(UPPER(CU106), ""TX""),0,1)"),0.0)</f>
        <v>0</v>
      </c>
      <c r="CW106" s="51">
        <f>IFERROR(__xludf.DUMMYFUNCTION("IF(REGEXMATCH(UPPER(CU106), ""DALLAS""),0,1)"),0.0)</f>
        <v>0</v>
      </c>
      <c r="CX106" s="51">
        <f t="shared" si="17"/>
        <v>0</v>
      </c>
      <c r="CY106" s="51">
        <f t="shared" si="18"/>
        <v>0</v>
      </c>
      <c r="CZ106" s="52" t="str">
        <f t="shared" si="19"/>
        <v/>
      </c>
      <c r="DA106" s="59" t="s">
        <v>325</v>
      </c>
      <c r="DB106" s="60">
        <f t="shared" ref="DB106:DV106" si="429">MAX(DB3:DB104)</f>
        <v>4000</v>
      </c>
      <c r="DC106" s="60">
        <f t="shared" si="429"/>
        <v>2000</v>
      </c>
      <c r="DD106" s="60">
        <f t="shared" si="429"/>
        <v>75</v>
      </c>
      <c r="DE106" s="60">
        <f t="shared" si="429"/>
        <v>2500</v>
      </c>
      <c r="DF106" s="60">
        <f t="shared" si="429"/>
        <v>20000</v>
      </c>
      <c r="DG106" s="60">
        <f t="shared" si="429"/>
        <v>1000</v>
      </c>
      <c r="DH106" s="60">
        <f t="shared" si="429"/>
        <v>0</v>
      </c>
      <c r="DI106" s="60">
        <f t="shared" si="429"/>
        <v>0</v>
      </c>
      <c r="DJ106" s="60">
        <f t="shared" si="429"/>
        <v>1000</v>
      </c>
      <c r="DK106" s="60">
        <f t="shared" si="429"/>
        <v>0</v>
      </c>
      <c r="DL106" s="60">
        <f t="shared" si="429"/>
        <v>100</v>
      </c>
      <c r="DM106" s="60">
        <f t="shared" si="429"/>
        <v>25</v>
      </c>
      <c r="DN106" s="60">
        <f t="shared" si="429"/>
        <v>1000</v>
      </c>
      <c r="DO106" s="60">
        <f t="shared" si="429"/>
        <v>0</v>
      </c>
      <c r="DP106" s="60">
        <f t="shared" si="429"/>
        <v>0</v>
      </c>
      <c r="DQ106" s="60">
        <f t="shared" si="429"/>
        <v>0</v>
      </c>
      <c r="DR106" s="60">
        <f t="shared" si="429"/>
        <v>0</v>
      </c>
      <c r="DS106" s="60">
        <f t="shared" si="429"/>
        <v>0</v>
      </c>
      <c r="DT106" s="60">
        <f t="shared" si="429"/>
        <v>0</v>
      </c>
      <c r="DU106" s="60">
        <f t="shared" si="429"/>
        <v>0</v>
      </c>
      <c r="DV106" s="61">
        <f t="shared" si="429"/>
        <v>20000</v>
      </c>
      <c r="DW106" s="52"/>
    </row>
    <row r="107">
      <c r="A107" s="41" t="s">
        <v>64</v>
      </c>
      <c r="B107" s="41" t="s">
        <v>56</v>
      </c>
      <c r="C107" s="31" t="s">
        <v>326</v>
      </c>
      <c r="D107" s="25" t="str">
        <f>IFERROR(__xludf.DUMMYFUNCTION("SPLIT(C107,"" "")"),"Bates,")</f>
        <v>Bates,</v>
      </c>
      <c r="E107" s="40" t="str">
        <f>IFERROR(__xludf.DUMMYFUNCTION("""COMPUTED_VALUE"""),"Floyd
2705")</f>
        <v>Floyd
2705</v>
      </c>
      <c r="F107" s="40" t="str">
        <f>IFERROR(__xludf.DUMMYFUNCTION("""COMPUTED_VALUE"""),"Irving")</f>
        <v>Irving</v>
      </c>
      <c r="G107" s="40" t="str">
        <f>IFERROR(__xludf.DUMMYFUNCTION("""COMPUTED_VALUE"""),"Blvd
Dallas,")</f>
        <v>Blvd
Dallas,</v>
      </c>
      <c r="H107" s="40" t="str">
        <f>IFERROR(__xludf.DUMMYFUNCTION("""COMPUTED_VALUE"""),"TX")</f>
        <v>TX</v>
      </c>
      <c r="I107" s="40">
        <f>IFERROR(__xludf.DUMMYFUNCTION("""COMPUTED_VALUE"""),75207.0)</f>
        <v>75207</v>
      </c>
      <c r="J107" s="40"/>
      <c r="K107" s="40"/>
      <c r="L107" s="40"/>
      <c r="M107" s="40"/>
      <c r="N107" s="40"/>
      <c r="O107" s="40"/>
      <c r="P107" s="40"/>
      <c r="Q107" s="40"/>
      <c r="R107" s="40"/>
      <c r="S107" s="40"/>
      <c r="T107" s="40"/>
      <c r="U107" s="24" t="str">
        <f>IFERROR(__xludf.DUMMYFUNCTION("SPLIT(E107,""01234567890"")"),"Floyd
")</f>
        <v>Floyd
</v>
      </c>
      <c r="V107" s="24" t="str">
        <f>IFERROR(__xludf.DUMMYFUNCTION("SPLIT(D107,"","")"),"Bates")</f>
        <v>Bates</v>
      </c>
      <c r="W107" s="25" t="str">
        <f t="shared" si="1"/>
        <v>FLOYD
 BATES</v>
      </c>
      <c r="X107" s="25" t="s">
        <v>327</v>
      </c>
      <c r="Y107" s="25">
        <v>75207.0</v>
      </c>
      <c r="Z107" s="25" t="str">
        <f>IFERROR(__xludf.DUMMYFUNCTION("SPLIT(C107,""
"")"),"Bates, Floyd")</f>
        <v>Bates, Floyd</v>
      </c>
      <c r="AA107" s="25" t="str">
        <f>IFERROR(__xludf.DUMMYFUNCTION("""COMPUTED_VALUE"""),"2705 Irving Blvd")</f>
        <v>2705 Irving Blvd</v>
      </c>
      <c r="AB107" s="25" t="str">
        <f>IFERROR(__xludf.DUMMYFUNCTION("""COMPUTED_VALUE"""),"Dallas, TX 75207")</f>
        <v>Dallas, TX 75207</v>
      </c>
      <c r="AC107" s="24" t="s">
        <v>328</v>
      </c>
      <c r="AD107" s="25"/>
      <c r="AE107" s="25"/>
      <c r="AF107" s="25"/>
      <c r="AG107" s="40" t="s">
        <v>60</v>
      </c>
      <c r="AH107" s="42">
        <v>2437.0</v>
      </c>
      <c r="AI107" s="40" t="s">
        <v>61</v>
      </c>
      <c r="AJ107" s="27">
        <v>2500.0</v>
      </c>
      <c r="AK107" s="31" t="s">
        <v>25</v>
      </c>
      <c r="AL107" s="43">
        <v>44726.0</v>
      </c>
      <c r="AM107" s="44">
        <v>44754.83237268519</v>
      </c>
      <c r="AN107" s="30">
        <v>2.0</v>
      </c>
      <c r="AO107" s="40"/>
      <c r="AP107" s="40"/>
      <c r="AQ107" s="40"/>
      <c r="AR107" s="40"/>
      <c r="AS107" s="31">
        <f>IFERROR(__xludf.DUMMYFUNCTION("""COMPUTED_VALUE"""),75180.0)</f>
        <v>75180</v>
      </c>
      <c r="AT107" s="45">
        <f t="shared" si="6"/>
        <v>50</v>
      </c>
      <c r="AU107" s="40"/>
      <c r="AV107" s="46" t="str">
        <f>IFERROR(__xludf.DUMMYFUNCTION("""COMPUTED_VALUE"""),"Nasca")</f>
        <v>Nasca</v>
      </c>
      <c r="AW107" s="46">
        <f t="shared" si="7"/>
        <v>500</v>
      </c>
      <c r="AX107" s="47">
        <f t="shared" ref="AX107:BQ107" si="430">SUMIFS($AJ:$AJ,$V:$V,$AV107,$AK:$AK,AX$2)</f>
        <v>500</v>
      </c>
      <c r="AY107" s="48">
        <f t="shared" si="430"/>
        <v>0</v>
      </c>
      <c r="AZ107" s="48">
        <f t="shared" si="430"/>
        <v>0</v>
      </c>
      <c r="BA107" s="48">
        <f t="shared" si="430"/>
        <v>0</v>
      </c>
      <c r="BB107" s="48">
        <f t="shared" si="430"/>
        <v>0</v>
      </c>
      <c r="BC107" s="48">
        <f t="shared" si="430"/>
        <v>0</v>
      </c>
      <c r="BD107" s="48">
        <f t="shared" si="430"/>
        <v>0</v>
      </c>
      <c r="BE107" s="48">
        <f t="shared" si="430"/>
        <v>0</v>
      </c>
      <c r="BF107" s="48">
        <f t="shared" si="430"/>
        <v>0</v>
      </c>
      <c r="BG107" s="48">
        <f t="shared" si="430"/>
        <v>0</v>
      </c>
      <c r="BH107" s="48">
        <f t="shared" si="430"/>
        <v>0</v>
      </c>
      <c r="BI107" s="48">
        <f t="shared" si="430"/>
        <v>0</v>
      </c>
      <c r="BJ107" s="48">
        <f t="shared" si="430"/>
        <v>0</v>
      </c>
      <c r="BK107" s="48">
        <f t="shared" si="430"/>
        <v>0</v>
      </c>
      <c r="BL107" s="48">
        <f t="shared" si="430"/>
        <v>0</v>
      </c>
      <c r="BM107" s="48">
        <f t="shared" si="430"/>
        <v>0</v>
      </c>
      <c r="BN107" s="48">
        <f t="shared" si="430"/>
        <v>0</v>
      </c>
      <c r="BO107" s="48">
        <f t="shared" si="430"/>
        <v>0</v>
      </c>
      <c r="BP107" s="48">
        <f t="shared" si="430"/>
        <v>0</v>
      </c>
      <c r="BQ107" s="48">
        <f t="shared" si="430"/>
        <v>0</v>
      </c>
      <c r="BR107" s="36">
        <f t="shared" si="9"/>
        <v>0</v>
      </c>
      <c r="BS107" s="38">
        <f t="shared" si="10"/>
        <v>1</v>
      </c>
      <c r="BT107" s="49">
        <f t="shared" si="11"/>
        <v>0</v>
      </c>
      <c r="BU107" s="38">
        <f t="shared" si="12"/>
        <v>1000</v>
      </c>
      <c r="BV107" s="46" t="str">
        <f>IFERROR(__xludf.DUMMYFUNCTION("""COMPUTED_VALUE"""),"Nasca")</f>
        <v>Nasca</v>
      </c>
      <c r="BW107" s="46">
        <f t="shared" si="13"/>
        <v>500</v>
      </c>
      <c r="BX107" s="47">
        <f t="shared" ref="BX107:CA107" si="431">AX107-$BU107</f>
        <v>-500</v>
      </c>
      <c r="BY107" s="47">
        <f t="shared" si="431"/>
        <v>-1000</v>
      </c>
      <c r="BZ107" s="47">
        <f t="shared" si="431"/>
        <v>-1000</v>
      </c>
      <c r="CA107" s="47">
        <f t="shared" si="431"/>
        <v>-1000</v>
      </c>
      <c r="CB107" s="47">
        <f t="shared" si="15"/>
        <v>-10000</v>
      </c>
      <c r="CC107" s="47">
        <f t="shared" ref="CC107:CQ107" si="432">BC107-$BU107</f>
        <v>-1000</v>
      </c>
      <c r="CD107" s="47">
        <f t="shared" si="432"/>
        <v>-1000</v>
      </c>
      <c r="CE107" s="47">
        <f t="shared" si="432"/>
        <v>-1000</v>
      </c>
      <c r="CF107" s="47">
        <f t="shared" si="432"/>
        <v>-1000</v>
      </c>
      <c r="CG107" s="47">
        <f t="shared" si="432"/>
        <v>-1000</v>
      </c>
      <c r="CH107" s="47">
        <f t="shared" si="432"/>
        <v>-1000</v>
      </c>
      <c r="CI107" s="47">
        <f t="shared" si="432"/>
        <v>-1000</v>
      </c>
      <c r="CJ107" s="47">
        <f t="shared" si="432"/>
        <v>-1000</v>
      </c>
      <c r="CK107" s="47">
        <f t="shared" si="432"/>
        <v>-1000</v>
      </c>
      <c r="CL107" s="47">
        <f t="shared" si="432"/>
        <v>-1000</v>
      </c>
      <c r="CM107" s="47">
        <f t="shared" si="432"/>
        <v>-1000</v>
      </c>
      <c r="CN107" s="47">
        <f t="shared" si="432"/>
        <v>-1000</v>
      </c>
      <c r="CO107" s="47">
        <f t="shared" si="432"/>
        <v>-1000</v>
      </c>
      <c r="CP107" s="47">
        <f t="shared" si="432"/>
        <v>-1000</v>
      </c>
      <c r="CQ107" s="47">
        <f t="shared" si="432"/>
        <v>-1000</v>
      </c>
      <c r="CR107" s="47"/>
      <c r="CS107" s="47"/>
      <c r="CT107" s="47"/>
      <c r="CU107" s="50" t="str">
        <f>IFERROR(__xludf.DUMMYFUNCTION("""COMPUTED_VALUE"""),"30 Alcalde Rd.
Santa Fe, NM 87508         ")</f>
        <v>30 Alcalde Rd.
Santa Fe, NM 87508         </v>
      </c>
      <c r="CV107" s="51">
        <f>IFERROR(__xludf.DUMMYFUNCTION("IF(REGEXMATCH(UPPER(CU107), ""TX""),0,1)"),1.0)</f>
        <v>1</v>
      </c>
      <c r="CW107" s="51">
        <f>IFERROR(__xludf.DUMMYFUNCTION("IF(REGEXMATCH(UPPER(CU107), ""DALLAS""),0,1)"),1.0)</f>
        <v>1</v>
      </c>
      <c r="CX107" s="51">
        <f t="shared" si="17"/>
        <v>25</v>
      </c>
      <c r="CY107" s="51">
        <f t="shared" si="18"/>
        <v>25</v>
      </c>
      <c r="CZ107" s="52" t="str">
        <f t="shared" si="19"/>
        <v>30 Alcalde Rd.
Santa Fe, NM 87508         </v>
      </c>
      <c r="DA107" s="62" t="s">
        <v>329</v>
      </c>
      <c r="DB107" s="63">
        <f t="shared" ref="DB107:DV107" si="433">SUM(DB3:DB104)</f>
        <v>13770</v>
      </c>
      <c r="DC107" s="64">
        <f t="shared" si="433"/>
        <v>6850</v>
      </c>
      <c r="DD107" s="64">
        <f t="shared" si="433"/>
        <v>75</v>
      </c>
      <c r="DE107" s="64">
        <f t="shared" si="433"/>
        <v>8080</v>
      </c>
      <c r="DF107" s="64">
        <f t="shared" si="433"/>
        <v>87200</v>
      </c>
      <c r="DG107" s="64">
        <f t="shared" si="433"/>
        <v>2600</v>
      </c>
      <c r="DH107" s="64">
        <f t="shared" si="433"/>
        <v>0</v>
      </c>
      <c r="DI107" s="64">
        <f t="shared" si="433"/>
        <v>0</v>
      </c>
      <c r="DJ107" s="64">
        <f t="shared" si="433"/>
        <v>1100</v>
      </c>
      <c r="DK107" s="64">
        <f t="shared" si="433"/>
        <v>0</v>
      </c>
      <c r="DL107" s="64">
        <f t="shared" si="433"/>
        <v>100</v>
      </c>
      <c r="DM107" s="64">
        <f t="shared" si="433"/>
        <v>25</v>
      </c>
      <c r="DN107" s="64">
        <f t="shared" si="433"/>
        <v>1000</v>
      </c>
      <c r="DO107" s="64">
        <f t="shared" si="433"/>
        <v>0</v>
      </c>
      <c r="DP107" s="64">
        <f t="shared" si="433"/>
        <v>0</v>
      </c>
      <c r="DQ107" s="64">
        <f t="shared" si="433"/>
        <v>0</v>
      </c>
      <c r="DR107" s="64">
        <f t="shared" si="433"/>
        <v>0</v>
      </c>
      <c r="DS107" s="64">
        <f t="shared" si="433"/>
        <v>0</v>
      </c>
      <c r="DT107" s="64">
        <f t="shared" si="433"/>
        <v>0</v>
      </c>
      <c r="DU107" s="64">
        <f t="shared" si="433"/>
        <v>0</v>
      </c>
      <c r="DV107" s="65">
        <f t="shared" si="433"/>
        <v>120800</v>
      </c>
      <c r="DW107" s="66"/>
    </row>
    <row r="108">
      <c r="A108" s="22" t="s">
        <v>55</v>
      </c>
      <c r="B108" s="23" t="s">
        <v>56</v>
      </c>
      <c r="C108" s="31" t="s">
        <v>330</v>
      </c>
      <c r="D108" s="25" t="str">
        <f>IFERROR(__xludf.DUMMYFUNCTION("SPLIT(C108,"" "")"),"Baum,")</f>
        <v>Baum,</v>
      </c>
      <c r="E108" s="22" t="str">
        <f>IFERROR(__xludf.DUMMYFUNCTION("""COMPUTED_VALUE"""),"Zachary
PO")</f>
        <v>Zachary
PO</v>
      </c>
      <c r="F108" s="22" t="str">
        <f>IFERROR(__xludf.DUMMYFUNCTION("""COMPUTED_VALUE"""),"Box")</f>
        <v>Box</v>
      </c>
      <c r="G108" s="22" t="str">
        <f>IFERROR(__xludf.DUMMYFUNCTION("""COMPUTED_VALUE"""),"587
East")</f>
        <v>587
East</v>
      </c>
      <c r="H108" s="22" t="str">
        <f>IFERROR(__xludf.DUMMYFUNCTION("""COMPUTED_VALUE"""),"Setauket,")</f>
        <v>Setauket,</v>
      </c>
      <c r="I108" s="22" t="str">
        <f>IFERROR(__xludf.DUMMYFUNCTION("""COMPUTED_VALUE"""),"NY")</f>
        <v>NY</v>
      </c>
      <c r="J108" s="22">
        <f>IFERROR(__xludf.DUMMYFUNCTION("""COMPUTED_VALUE"""),11733.0)</f>
        <v>11733</v>
      </c>
      <c r="K108" s="22"/>
      <c r="L108" s="22"/>
      <c r="M108" s="22"/>
      <c r="N108" s="22"/>
      <c r="O108" s="22"/>
      <c r="P108" s="22"/>
      <c r="Q108" s="22"/>
      <c r="R108" s="22"/>
      <c r="S108" s="22"/>
      <c r="T108" s="22"/>
      <c r="U108" s="24" t="str">
        <f>IFERROR(__xludf.DUMMYFUNCTION("SPLIT(E108,""01234567890"")"),"Zachary
PO")</f>
        <v>Zachary
PO</v>
      </c>
      <c r="V108" s="24" t="str">
        <f>IFERROR(__xludf.DUMMYFUNCTION("SPLIT(D108,"","")"),"Baum")</f>
        <v>Baum</v>
      </c>
      <c r="W108" s="25" t="str">
        <f t="shared" si="1"/>
        <v>ZACHARY
PO BAUM</v>
      </c>
      <c r="X108" s="25" t="s">
        <v>331</v>
      </c>
      <c r="Y108" s="25">
        <v>11733.0</v>
      </c>
      <c r="Z108" s="25" t="str">
        <f>IFERROR(__xludf.DUMMYFUNCTION("SPLIT(C108,""
"")"),"Baum, Zachary")</f>
        <v>Baum, Zachary</v>
      </c>
      <c r="AA108" s="25" t="str">
        <f>IFERROR(__xludf.DUMMYFUNCTION("""COMPUTED_VALUE"""),"PO Box 587")</f>
        <v>PO Box 587</v>
      </c>
      <c r="AB108" s="25" t="str">
        <f>IFERROR(__xludf.DUMMYFUNCTION("""COMPUTED_VALUE"""),"East Setauket, NY 11733")</f>
        <v>East Setauket, NY 11733</v>
      </c>
      <c r="AC108" s="24" t="s">
        <v>332</v>
      </c>
      <c r="AD108" s="25"/>
      <c r="AE108" s="25"/>
      <c r="AF108" s="25"/>
      <c r="AG108" s="22" t="s">
        <v>60</v>
      </c>
      <c r="AH108" s="54">
        <v>2501.0</v>
      </c>
      <c r="AI108" s="22" t="s">
        <v>68</v>
      </c>
      <c r="AJ108" s="27">
        <v>25.0</v>
      </c>
      <c r="AK108" s="31" t="s">
        <v>21</v>
      </c>
      <c r="AL108" s="28">
        <v>44914.0</v>
      </c>
      <c r="AM108" s="29">
        <v>44943.63122685185</v>
      </c>
      <c r="AN108" s="30">
        <v>2.0</v>
      </c>
      <c r="AO108" s="22"/>
      <c r="AP108" s="22"/>
      <c r="AQ108" s="22"/>
      <c r="AR108" s="22"/>
      <c r="AS108" s="31">
        <f>IFERROR(__xludf.DUMMYFUNCTION("""COMPUTED_VALUE"""),75054.0)</f>
        <v>75054</v>
      </c>
      <c r="AT108" s="45">
        <f t="shared" si="6"/>
        <v>250</v>
      </c>
      <c r="AU108" s="22"/>
      <c r="AV108" s="57" t="str">
        <f>IFERROR(__xludf.DUMMYFUNCTION("""COMPUTED_VALUE"""),"Masterman")</f>
        <v>Masterman</v>
      </c>
      <c r="AW108" s="46">
        <f t="shared" si="7"/>
        <v>833</v>
      </c>
      <c r="AX108" s="47">
        <f t="shared" ref="AX108:BQ108" si="434">SUMIFS($AJ:$AJ,$V:$V,$AV108,$AK:$AK,AX$2)</f>
        <v>833</v>
      </c>
      <c r="AY108" s="48">
        <f t="shared" si="434"/>
        <v>0</v>
      </c>
      <c r="AZ108" s="48">
        <f t="shared" si="434"/>
        <v>0</v>
      </c>
      <c r="BA108" s="48">
        <f t="shared" si="434"/>
        <v>0</v>
      </c>
      <c r="BB108" s="48">
        <f t="shared" si="434"/>
        <v>0</v>
      </c>
      <c r="BC108" s="48">
        <f t="shared" si="434"/>
        <v>0</v>
      </c>
      <c r="BD108" s="48">
        <f t="shared" si="434"/>
        <v>0</v>
      </c>
      <c r="BE108" s="48">
        <f t="shared" si="434"/>
        <v>0</v>
      </c>
      <c r="BF108" s="48">
        <f t="shared" si="434"/>
        <v>0</v>
      </c>
      <c r="BG108" s="48">
        <f t="shared" si="434"/>
        <v>0</v>
      </c>
      <c r="BH108" s="48">
        <f t="shared" si="434"/>
        <v>0</v>
      </c>
      <c r="BI108" s="48">
        <f t="shared" si="434"/>
        <v>0</v>
      </c>
      <c r="BJ108" s="48">
        <f t="shared" si="434"/>
        <v>0</v>
      </c>
      <c r="BK108" s="48">
        <f t="shared" si="434"/>
        <v>0</v>
      </c>
      <c r="BL108" s="48">
        <f t="shared" si="434"/>
        <v>0</v>
      </c>
      <c r="BM108" s="48">
        <f t="shared" si="434"/>
        <v>0</v>
      </c>
      <c r="BN108" s="48">
        <f t="shared" si="434"/>
        <v>0</v>
      </c>
      <c r="BO108" s="48">
        <f t="shared" si="434"/>
        <v>0</v>
      </c>
      <c r="BP108" s="48">
        <f t="shared" si="434"/>
        <v>0</v>
      </c>
      <c r="BQ108" s="48">
        <f t="shared" si="434"/>
        <v>0</v>
      </c>
      <c r="BR108" s="36">
        <f t="shared" si="9"/>
        <v>0</v>
      </c>
      <c r="BS108" s="38">
        <f t="shared" si="10"/>
        <v>1</v>
      </c>
      <c r="BT108" s="49">
        <f t="shared" si="11"/>
        <v>0</v>
      </c>
      <c r="BU108" s="38">
        <f t="shared" si="12"/>
        <v>1000</v>
      </c>
      <c r="BV108" s="57" t="str">
        <f>IFERROR(__xludf.DUMMYFUNCTION("""COMPUTED_VALUE"""),"Masterman")</f>
        <v>Masterman</v>
      </c>
      <c r="BW108" s="46">
        <f t="shared" si="13"/>
        <v>833</v>
      </c>
      <c r="BX108" s="47">
        <f t="shared" ref="BX108:CA108" si="435">AX108-$BU108</f>
        <v>-167</v>
      </c>
      <c r="BY108" s="47">
        <f t="shared" si="435"/>
        <v>-1000</v>
      </c>
      <c r="BZ108" s="47">
        <f t="shared" si="435"/>
        <v>-1000</v>
      </c>
      <c r="CA108" s="47">
        <f t="shared" si="435"/>
        <v>-1000</v>
      </c>
      <c r="CB108" s="47">
        <f t="shared" si="15"/>
        <v>-10000</v>
      </c>
      <c r="CC108" s="47">
        <f t="shared" ref="CC108:CQ108" si="436">BC108-$BU108</f>
        <v>-1000</v>
      </c>
      <c r="CD108" s="47">
        <f t="shared" si="436"/>
        <v>-1000</v>
      </c>
      <c r="CE108" s="47">
        <f t="shared" si="436"/>
        <v>-1000</v>
      </c>
      <c r="CF108" s="47">
        <f t="shared" si="436"/>
        <v>-1000</v>
      </c>
      <c r="CG108" s="47">
        <f t="shared" si="436"/>
        <v>-1000</v>
      </c>
      <c r="CH108" s="47">
        <f t="shared" si="436"/>
        <v>-1000</v>
      </c>
      <c r="CI108" s="47">
        <f t="shared" si="436"/>
        <v>-1000</v>
      </c>
      <c r="CJ108" s="47">
        <f t="shared" si="436"/>
        <v>-1000</v>
      </c>
      <c r="CK108" s="47">
        <f t="shared" si="436"/>
        <v>-1000</v>
      </c>
      <c r="CL108" s="47">
        <f t="shared" si="436"/>
        <v>-1000</v>
      </c>
      <c r="CM108" s="47">
        <f t="shared" si="436"/>
        <v>-1000</v>
      </c>
      <c r="CN108" s="47">
        <f t="shared" si="436"/>
        <v>-1000</v>
      </c>
      <c r="CO108" s="47">
        <f t="shared" si="436"/>
        <v>-1000</v>
      </c>
      <c r="CP108" s="47">
        <f t="shared" si="436"/>
        <v>-1000</v>
      </c>
      <c r="CQ108" s="47">
        <f t="shared" si="436"/>
        <v>-1000</v>
      </c>
      <c r="CR108" s="47"/>
      <c r="CS108" s="47"/>
      <c r="CT108" s="47"/>
      <c r="CU108" s="50" t="str">
        <f>IFERROR(__xludf.DUMMYFUNCTION("""COMPUTED_VALUE"""),"9406 Crestedge Dr.
Dallas, TX 75238          ")</f>
        <v>9406 Crestedge Dr.
Dallas, TX 75238          </v>
      </c>
      <c r="CV108" s="51">
        <f>IFERROR(__xludf.DUMMYFUNCTION("IF(REGEXMATCH(UPPER(CU108), ""TX""),0,1)"),0.0)</f>
        <v>0</v>
      </c>
      <c r="CW108" s="51">
        <f>IFERROR(__xludf.DUMMYFUNCTION("IF(REGEXMATCH(UPPER(CU108), ""DALLAS""),0,1)"),0.0)</f>
        <v>0</v>
      </c>
      <c r="CX108" s="51">
        <f t="shared" si="17"/>
        <v>0</v>
      </c>
      <c r="CY108" s="51">
        <f t="shared" si="18"/>
        <v>0</v>
      </c>
      <c r="CZ108" s="52" t="str">
        <f t="shared" si="19"/>
        <v/>
      </c>
      <c r="DA108" s="58"/>
      <c r="DB108" s="52"/>
      <c r="DC108" s="52"/>
      <c r="DD108" s="52"/>
      <c r="DE108" s="52"/>
      <c r="DF108" s="52"/>
      <c r="DG108" s="52"/>
      <c r="DH108" s="52"/>
      <c r="DI108" s="52"/>
      <c r="DJ108" s="52"/>
      <c r="DK108" s="52"/>
      <c r="DL108" s="52"/>
      <c r="DM108" s="52"/>
      <c r="DN108" s="52"/>
      <c r="DO108" s="52"/>
      <c r="DP108" s="52"/>
      <c r="DQ108" s="52"/>
      <c r="DR108" s="52"/>
      <c r="DS108" s="52"/>
      <c r="DT108" s="52"/>
      <c r="DU108" s="52"/>
      <c r="DV108" s="52"/>
      <c r="DW108" s="52"/>
    </row>
    <row r="109">
      <c r="A109" s="41" t="s">
        <v>64</v>
      </c>
      <c r="B109" s="41" t="s">
        <v>56</v>
      </c>
      <c r="C109" s="31" t="s">
        <v>333</v>
      </c>
      <c r="D109" s="25" t="str">
        <f>IFERROR(__xludf.DUMMYFUNCTION("SPLIT(C109,"" "")"),"Bazaldua,")</f>
        <v>Bazaldua,</v>
      </c>
      <c r="E109" s="40" t="str">
        <f>IFERROR(__xludf.DUMMYFUNCTION("""COMPUTED_VALUE"""),"Adam
6926")</f>
        <v>Adam
6926</v>
      </c>
      <c r="F109" s="40" t="str">
        <f>IFERROR(__xludf.DUMMYFUNCTION("""COMPUTED_VALUE"""),"Belteau")</f>
        <v>Belteau</v>
      </c>
      <c r="G109" s="40" t="str">
        <f>IFERROR(__xludf.DUMMYFUNCTION("""COMPUTED_VALUE"""),"Lane
Dallas,")</f>
        <v>Lane
Dallas,</v>
      </c>
      <c r="H109" s="40" t="str">
        <f>IFERROR(__xludf.DUMMYFUNCTION("""COMPUTED_VALUE"""),"TX")</f>
        <v>TX</v>
      </c>
      <c r="I109" s="40">
        <f>IFERROR(__xludf.DUMMYFUNCTION("""COMPUTED_VALUE"""),75227.0)</f>
        <v>75227</v>
      </c>
      <c r="J109" s="40"/>
      <c r="K109" s="40"/>
      <c r="L109" s="40"/>
      <c r="M109" s="40"/>
      <c r="N109" s="40"/>
      <c r="O109" s="40"/>
      <c r="P109" s="40"/>
      <c r="Q109" s="40"/>
      <c r="R109" s="40"/>
      <c r="S109" s="40"/>
      <c r="T109" s="40"/>
      <c r="U109" s="24" t="str">
        <f>IFERROR(__xludf.DUMMYFUNCTION("SPLIT(E109,""01234567890"")"),"Adam
")</f>
        <v>Adam
</v>
      </c>
      <c r="V109" s="24" t="str">
        <f>IFERROR(__xludf.DUMMYFUNCTION("SPLIT(D109,"","")"),"Bazaldua")</f>
        <v>Bazaldua</v>
      </c>
      <c r="W109" s="25" t="str">
        <f t="shared" si="1"/>
        <v>ADAM
 BAZALDUA</v>
      </c>
      <c r="X109" s="25" t="s">
        <v>334</v>
      </c>
      <c r="Y109" s="25">
        <v>75227.0</v>
      </c>
      <c r="Z109" s="25" t="str">
        <f>IFERROR(__xludf.DUMMYFUNCTION("SPLIT(C109,""
"")"),"Bazaldua, Adam")</f>
        <v>Bazaldua, Adam</v>
      </c>
      <c r="AA109" s="25" t="str">
        <f>IFERROR(__xludf.DUMMYFUNCTION("""COMPUTED_VALUE"""),"6926 Belteau Lane")</f>
        <v>6926 Belteau Lane</v>
      </c>
      <c r="AB109" s="25" t="str">
        <f>IFERROR(__xludf.DUMMYFUNCTION("""COMPUTED_VALUE"""),"Dallas, TX 75227")</f>
        <v>Dallas, TX 75227</v>
      </c>
      <c r="AC109" s="24" t="s">
        <v>335</v>
      </c>
      <c r="AD109" s="25"/>
      <c r="AE109" s="25"/>
      <c r="AF109" s="25"/>
      <c r="AG109" s="40" t="s">
        <v>60</v>
      </c>
      <c r="AH109" s="42">
        <v>2448.0</v>
      </c>
      <c r="AI109" s="40" t="s">
        <v>61</v>
      </c>
      <c r="AJ109" s="27">
        <v>100.0</v>
      </c>
      <c r="AK109" s="31" t="s">
        <v>24</v>
      </c>
      <c r="AL109" s="43">
        <v>44726.0</v>
      </c>
      <c r="AM109" s="44">
        <v>44757.44018518519</v>
      </c>
      <c r="AN109" s="30">
        <v>2.0</v>
      </c>
      <c r="AO109" s="40"/>
      <c r="AP109" s="40"/>
      <c r="AQ109" s="40"/>
      <c r="AR109" s="40"/>
      <c r="AS109" s="31">
        <f>IFERROR(__xludf.DUMMYFUNCTION("""COMPUTED_VALUE"""),75236.0)</f>
        <v>75236</v>
      </c>
      <c r="AT109" s="45">
        <f t="shared" si="6"/>
        <v>250</v>
      </c>
      <c r="AU109" s="40"/>
      <c r="AV109" s="46" t="str">
        <f>IFERROR(__xludf.DUMMYFUNCTION("""COMPUTED_VALUE"""),"Herenandez")</f>
        <v>Herenandez</v>
      </c>
      <c r="AW109" s="46">
        <f t="shared" si="7"/>
        <v>1000</v>
      </c>
      <c r="AX109" s="47">
        <f t="shared" ref="AX109:BQ109" si="437">SUMIFS($AJ:$AJ,$V:$V,$AV109,$AK:$AK,AX$2)</f>
        <v>1000</v>
      </c>
      <c r="AY109" s="48">
        <f t="shared" si="437"/>
        <v>0</v>
      </c>
      <c r="AZ109" s="48">
        <f t="shared" si="437"/>
        <v>0</v>
      </c>
      <c r="BA109" s="48">
        <f t="shared" si="437"/>
        <v>0</v>
      </c>
      <c r="BB109" s="48">
        <f t="shared" si="437"/>
        <v>0</v>
      </c>
      <c r="BC109" s="48">
        <f t="shared" si="437"/>
        <v>0</v>
      </c>
      <c r="BD109" s="48">
        <f t="shared" si="437"/>
        <v>0</v>
      </c>
      <c r="BE109" s="48">
        <f t="shared" si="437"/>
        <v>0</v>
      </c>
      <c r="BF109" s="48">
        <f t="shared" si="437"/>
        <v>0</v>
      </c>
      <c r="BG109" s="48">
        <f t="shared" si="437"/>
        <v>0</v>
      </c>
      <c r="BH109" s="48">
        <f t="shared" si="437"/>
        <v>0</v>
      </c>
      <c r="BI109" s="48">
        <f t="shared" si="437"/>
        <v>0</v>
      </c>
      <c r="BJ109" s="48">
        <f t="shared" si="437"/>
        <v>0</v>
      </c>
      <c r="BK109" s="48">
        <f t="shared" si="437"/>
        <v>0</v>
      </c>
      <c r="BL109" s="48">
        <f t="shared" si="437"/>
        <v>0</v>
      </c>
      <c r="BM109" s="48">
        <f t="shared" si="437"/>
        <v>0</v>
      </c>
      <c r="BN109" s="48">
        <f t="shared" si="437"/>
        <v>0</v>
      </c>
      <c r="BO109" s="48">
        <f t="shared" si="437"/>
        <v>0</v>
      </c>
      <c r="BP109" s="48">
        <f t="shared" si="437"/>
        <v>0</v>
      </c>
      <c r="BQ109" s="48">
        <f t="shared" si="437"/>
        <v>0</v>
      </c>
      <c r="BR109" s="36">
        <f t="shared" si="9"/>
        <v>0</v>
      </c>
      <c r="BS109" s="38">
        <f t="shared" si="10"/>
        <v>1</v>
      </c>
      <c r="BT109" s="49">
        <f t="shared" si="11"/>
        <v>0</v>
      </c>
      <c r="BU109" s="38">
        <f t="shared" si="12"/>
        <v>1000</v>
      </c>
      <c r="BV109" s="46" t="str">
        <f>IFERROR(__xludf.DUMMYFUNCTION("""COMPUTED_VALUE"""),"Herenandez")</f>
        <v>Herenandez</v>
      </c>
      <c r="BW109" s="46">
        <f t="shared" si="13"/>
        <v>1000</v>
      </c>
      <c r="BX109" s="47">
        <f t="shared" ref="BX109:CA109" si="438">AX109-$BU109</f>
        <v>0</v>
      </c>
      <c r="BY109" s="47">
        <f t="shared" si="438"/>
        <v>-1000</v>
      </c>
      <c r="BZ109" s="47">
        <f t="shared" si="438"/>
        <v>-1000</v>
      </c>
      <c r="CA109" s="47">
        <f t="shared" si="438"/>
        <v>-1000</v>
      </c>
      <c r="CB109" s="47">
        <f t="shared" si="15"/>
        <v>-10000</v>
      </c>
      <c r="CC109" s="47">
        <f t="shared" ref="CC109:CQ109" si="439">BC109-$BU109</f>
        <v>-1000</v>
      </c>
      <c r="CD109" s="47">
        <f t="shared" si="439"/>
        <v>-1000</v>
      </c>
      <c r="CE109" s="47">
        <f t="shared" si="439"/>
        <v>-1000</v>
      </c>
      <c r="CF109" s="47">
        <f t="shared" si="439"/>
        <v>-1000</v>
      </c>
      <c r="CG109" s="47">
        <f t="shared" si="439"/>
        <v>-1000</v>
      </c>
      <c r="CH109" s="47">
        <f t="shared" si="439"/>
        <v>-1000</v>
      </c>
      <c r="CI109" s="47">
        <f t="shared" si="439"/>
        <v>-1000</v>
      </c>
      <c r="CJ109" s="47">
        <f t="shared" si="439"/>
        <v>-1000</v>
      </c>
      <c r="CK109" s="47">
        <f t="shared" si="439"/>
        <v>-1000</v>
      </c>
      <c r="CL109" s="47">
        <f t="shared" si="439"/>
        <v>-1000</v>
      </c>
      <c r="CM109" s="47">
        <f t="shared" si="439"/>
        <v>-1000</v>
      </c>
      <c r="CN109" s="47">
        <f t="shared" si="439"/>
        <v>-1000</v>
      </c>
      <c r="CO109" s="47">
        <f t="shared" si="439"/>
        <v>-1000</v>
      </c>
      <c r="CP109" s="47">
        <f t="shared" si="439"/>
        <v>-1000</v>
      </c>
      <c r="CQ109" s="47">
        <f t="shared" si="439"/>
        <v>-1000</v>
      </c>
      <c r="CR109" s="47"/>
      <c r="CS109" s="47"/>
      <c r="CT109" s="47"/>
      <c r="CU109" s="50" t="str">
        <f>IFERROR(__xludf.DUMMYFUNCTION("""COMPUTED_VALUE"""),"9406 Crestedge
Dallas, TX 75238           ")</f>
        <v>9406 Crestedge
Dallas, TX 75238           </v>
      </c>
      <c r="CV109" s="51">
        <f>IFERROR(__xludf.DUMMYFUNCTION("IF(REGEXMATCH(UPPER(CU109), ""TX""),0,1)"),0.0)</f>
        <v>0</v>
      </c>
      <c r="CW109" s="51">
        <f>IFERROR(__xludf.DUMMYFUNCTION("IF(REGEXMATCH(UPPER(CU109), ""DALLAS""),0,1)"),0.0)</f>
        <v>0</v>
      </c>
      <c r="CX109" s="51">
        <f t="shared" si="17"/>
        <v>0</v>
      </c>
      <c r="CY109" s="51">
        <f t="shared" si="18"/>
        <v>0</v>
      </c>
      <c r="CZ109" s="52" t="str">
        <f t="shared" si="19"/>
        <v/>
      </c>
      <c r="DA109" s="67" t="s">
        <v>336</v>
      </c>
      <c r="DB109" s="68"/>
      <c r="DC109" s="68"/>
      <c r="DD109" s="69"/>
      <c r="DE109" s="52"/>
      <c r="DF109" s="52"/>
      <c r="DG109" s="52"/>
      <c r="DH109" s="52"/>
      <c r="DI109" s="52"/>
      <c r="DJ109" s="52"/>
      <c r="DK109" s="52"/>
      <c r="DL109" s="52"/>
      <c r="DM109" s="52"/>
      <c r="DN109" s="52"/>
      <c r="DO109" s="52"/>
      <c r="DP109" s="52"/>
      <c r="DQ109" s="52"/>
      <c r="DR109" s="52"/>
      <c r="DS109" s="52"/>
      <c r="DT109" s="52"/>
      <c r="DU109" s="52"/>
      <c r="DV109" s="52"/>
      <c r="DW109" s="52"/>
    </row>
    <row r="110">
      <c r="A110" s="23" t="s">
        <v>64</v>
      </c>
      <c r="B110" s="23" t="s">
        <v>56</v>
      </c>
      <c r="C110" s="31" t="s">
        <v>333</v>
      </c>
      <c r="D110" s="25" t="str">
        <f>IFERROR(__xludf.DUMMYFUNCTION("SPLIT(C110,"" "")"),"Bazaldua,")</f>
        <v>Bazaldua,</v>
      </c>
      <c r="E110" s="22" t="str">
        <f>IFERROR(__xludf.DUMMYFUNCTION("""COMPUTED_VALUE"""),"Adam
6926")</f>
        <v>Adam
6926</v>
      </c>
      <c r="F110" s="22" t="str">
        <f>IFERROR(__xludf.DUMMYFUNCTION("""COMPUTED_VALUE"""),"Belteau")</f>
        <v>Belteau</v>
      </c>
      <c r="G110" s="22" t="str">
        <f>IFERROR(__xludf.DUMMYFUNCTION("""COMPUTED_VALUE"""),"Lane
Dallas,")</f>
        <v>Lane
Dallas,</v>
      </c>
      <c r="H110" s="22" t="str">
        <f>IFERROR(__xludf.DUMMYFUNCTION("""COMPUTED_VALUE"""),"TX")</f>
        <v>TX</v>
      </c>
      <c r="I110" s="22">
        <f>IFERROR(__xludf.DUMMYFUNCTION("""COMPUTED_VALUE"""),75227.0)</f>
        <v>75227</v>
      </c>
      <c r="J110" s="22"/>
      <c r="K110" s="22"/>
      <c r="L110" s="22"/>
      <c r="M110" s="22"/>
      <c r="N110" s="22"/>
      <c r="O110" s="22"/>
      <c r="P110" s="22"/>
      <c r="Q110" s="22"/>
      <c r="R110" s="22"/>
      <c r="S110" s="22"/>
      <c r="T110" s="22"/>
      <c r="U110" s="24" t="str">
        <f>IFERROR(__xludf.DUMMYFUNCTION("SPLIT(E110,""01234567890"")"),"Adam
")</f>
        <v>Adam
</v>
      </c>
      <c r="V110" s="24" t="str">
        <f>IFERROR(__xludf.DUMMYFUNCTION("SPLIT(D110,"","")"),"Bazaldua")</f>
        <v>Bazaldua</v>
      </c>
      <c r="W110" s="25" t="str">
        <f t="shared" si="1"/>
        <v>ADAM
 BAZALDUA</v>
      </c>
      <c r="X110" s="25" t="s">
        <v>334</v>
      </c>
      <c r="Y110" s="25">
        <v>75227.0</v>
      </c>
      <c r="Z110" s="25" t="str">
        <f>IFERROR(__xludf.DUMMYFUNCTION("SPLIT(C110,""
"")"),"Bazaldua, Adam")</f>
        <v>Bazaldua, Adam</v>
      </c>
      <c r="AA110" s="25" t="str">
        <f>IFERROR(__xludf.DUMMYFUNCTION("""COMPUTED_VALUE"""),"6926 Belteau Lane")</f>
        <v>6926 Belteau Lane</v>
      </c>
      <c r="AB110" s="25" t="str">
        <f>IFERROR(__xludf.DUMMYFUNCTION("""COMPUTED_VALUE"""),"Dallas, TX 75227")</f>
        <v>Dallas, TX 75227</v>
      </c>
      <c r="AC110" s="24" t="s">
        <v>335</v>
      </c>
      <c r="AD110" s="25"/>
      <c r="AE110" s="25"/>
      <c r="AF110" s="25"/>
      <c r="AG110" s="22" t="s">
        <v>60</v>
      </c>
      <c r="AH110" s="54">
        <v>2482.0</v>
      </c>
      <c r="AI110" s="22" t="s">
        <v>68</v>
      </c>
      <c r="AJ110" s="27">
        <v>50.0</v>
      </c>
      <c r="AK110" s="31" t="s">
        <v>31</v>
      </c>
      <c r="AL110" s="28">
        <v>44925.0</v>
      </c>
      <c r="AM110" s="29">
        <v>44938.558541666665</v>
      </c>
      <c r="AN110" s="30">
        <v>2.0</v>
      </c>
      <c r="AO110" s="22"/>
      <c r="AP110" s="22"/>
      <c r="AQ110" s="22"/>
      <c r="AR110" s="22"/>
      <c r="AS110" s="31">
        <f>IFERROR(__xludf.DUMMYFUNCTION("""COMPUTED_VALUE"""),75237.0)</f>
        <v>75237</v>
      </c>
      <c r="AT110" s="45">
        <f t="shared" si="6"/>
        <v>1500</v>
      </c>
      <c r="AU110" s="22"/>
      <c r="AV110" s="57" t="str">
        <f>IFERROR(__xludf.DUMMYFUNCTION("""COMPUTED_VALUE"""),"Rudnicki")</f>
        <v>Rudnicki</v>
      </c>
      <c r="AW110" s="46">
        <f t="shared" si="7"/>
        <v>100</v>
      </c>
      <c r="AX110" s="47">
        <f t="shared" ref="AX110:BQ110" si="440">SUMIFS($AJ:$AJ,$V:$V,$AV110,$AK:$AK,AX$2)</f>
        <v>100</v>
      </c>
      <c r="AY110" s="48">
        <f t="shared" si="440"/>
        <v>0</v>
      </c>
      <c r="AZ110" s="48">
        <f t="shared" si="440"/>
        <v>0</v>
      </c>
      <c r="BA110" s="48">
        <f t="shared" si="440"/>
        <v>0</v>
      </c>
      <c r="BB110" s="48">
        <f t="shared" si="440"/>
        <v>0</v>
      </c>
      <c r="BC110" s="48">
        <f t="shared" si="440"/>
        <v>0</v>
      </c>
      <c r="BD110" s="48">
        <f t="shared" si="440"/>
        <v>0</v>
      </c>
      <c r="BE110" s="48">
        <f t="shared" si="440"/>
        <v>0</v>
      </c>
      <c r="BF110" s="48">
        <f t="shared" si="440"/>
        <v>0</v>
      </c>
      <c r="BG110" s="48">
        <f t="shared" si="440"/>
        <v>0</v>
      </c>
      <c r="BH110" s="48">
        <f t="shared" si="440"/>
        <v>0</v>
      </c>
      <c r="BI110" s="48">
        <f t="shared" si="440"/>
        <v>0</v>
      </c>
      <c r="BJ110" s="48">
        <f t="shared" si="440"/>
        <v>0</v>
      </c>
      <c r="BK110" s="48">
        <f t="shared" si="440"/>
        <v>0</v>
      </c>
      <c r="BL110" s="48">
        <f t="shared" si="440"/>
        <v>0</v>
      </c>
      <c r="BM110" s="48">
        <f t="shared" si="440"/>
        <v>0</v>
      </c>
      <c r="BN110" s="48">
        <f t="shared" si="440"/>
        <v>0</v>
      </c>
      <c r="BO110" s="48">
        <f t="shared" si="440"/>
        <v>0</v>
      </c>
      <c r="BP110" s="48">
        <f t="shared" si="440"/>
        <v>0</v>
      </c>
      <c r="BQ110" s="48">
        <f t="shared" si="440"/>
        <v>0</v>
      </c>
      <c r="BR110" s="36">
        <f t="shared" si="9"/>
        <v>0</v>
      </c>
      <c r="BS110" s="38">
        <f t="shared" si="10"/>
        <v>1</v>
      </c>
      <c r="BT110" s="49">
        <f t="shared" si="11"/>
        <v>0</v>
      </c>
      <c r="BU110" s="38">
        <f t="shared" si="12"/>
        <v>1000</v>
      </c>
      <c r="BV110" s="57" t="str">
        <f>IFERROR(__xludf.DUMMYFUNCTION("""COMPUTED_VALUE"""),"Rudnicki")</f>
        <v>Rudnicki</v>
      </c>
      <c r="BW110" s="46">
        <f t="shared" si="13"/>
        <v>100</v>
      </c>
      <c r="BX110" s="47">
        <f t="shared" ref="BX110:CA110" si="441">AX110-$BU110</f>
        <v>-900</v>
      </c>
      <c r="BY110" s="47">
        <f t="shared" si="441"/>
        <v>-1000</v>
      </c>
      <c r="BZ110" s="47">
        <f t="shared" si="441"/>
        <v>-1000</v>
      </c>
      <c r="CA110" s="47">
        <f t="shared" si="441"/>
        <v>-1000</v>
      </c>
      <c r="CB110" s="47">
        <f t="shared" si="15"/>
        <v>-10000</v>
      </c>
      <c r="CC110" s="47">
        <f t="shared" ref="CC110:CQ110" si="442">BC110-$BU110</f>
        <v>-1000</v>
      </c>
      <c r="CD110" s="47">
        <f t="shared" si="442"/>
        <v>-1000</v>
      </c>
      <c r="CE110" s="47">
        <f t="shared" si="442"/>
        <v>-1000</v>
      </c>
      <c r="CF110" s="47">
        <f t="shared" si="442"/>
        <v>-1000</v>
      </c>
      <c r="CG110" s="47">
        <f t="shared" si="442"/>
        <v>-1000</v>
      </c>
      <c r="CH110" s="47">
        <f t="shared" si="442"/>
        <v>-1000</v>
      </c>
      <c r="CI110" s="47">
        <f t="shared" si="442"/>
        <v>-1000</v>
      </c>
      <c r="CJ110" s="47">
        <f t="shared" si="442"/>
        <v>-1000</v>
      </c>
      <c r="CK110" s="47">
        <f t="shared" si="442"/>
        <v>-1000</v>
      </c>
      <c r="CL110" s="47">
        <f t="shared" si="442"/>
        <v>-1000</v>
      </c>
      <c r="CM110" s="47">
        <f t="shared" si="442"/>
        <v>-1000</v>
      </c>
      <c r="CN110" s="47">
        <f t="shared" si="442"/>
        <v>-1000</v>
      </c>
      <c r="CO110" s="47">
        <f t="shared" si="442"/>
        <v>-1000</v>
      </c>
      <c r="CP110" s="47">
        <f t="shared" si="442"/>
        <v>-1000</v>
      </c>
      <c r="CQ110" s="47">
        <f t="shared" si="442"/>
        <v>-1000</v>
      </c>
      <c r="CR110" s="47"/>
      <c r="CS110" s="47"/>
      <c r="CT110" s="47"/>
      <c r="CU110" s="50" t="str">
        <f>IFERROR(__xludf.DUMMYFUNCTION("""COMPUTED_VALUE"""),"3405 Rustic Way Lane
Falls Church, VA 22044        ")</f>
        <v>3405 Rustic Way Lane
Falls Church, VA 22044        </v>
      </c>
      <c r="CV110" s="51">
        <f>IFERROR(__xludf.DUMMYFUNCTION("IF(REGEXMATCH(UPPER(CU110), ""TX""),0,1)"),1.0)</f>
        <v>1</v>
      </c>
      <c r="CW110" s="51">
        <f>IFERROR(__xludf.DUMMYFUNCTION("IF(REGEXMATCH(UPPER(CU110), ""DALLAS""),0,1)"),1.0)</f>
        <v>1</v>
      </c>
      <c r="CX110" s="51">
        <f t="shared" si="17"/>
        <v>100</v>
      </c>
      <c r="CY110" s="51">
        <f t="shared" si="18"/>
        <v>100</v>
      </c>
      <c r="CZ110" s="52" t="str">
        <f t="shared" si="19"/>
        <v>3405 Rustic Way Lane
Falls Church, VA 22044        </v>
      </c>
      <c r="DA110" s="58"/>
      <c r="DB110" s="52"/>
      <c r="DC110" s="52"/>
      <c r="DD110" s="52"/>
      <c r="DE110" s="52"/>
      <c r="DF110" s="52"/>
      <c r="DG110" s="52"/>
      <c r="DH110" s="52"/>
      <c r="DI110" s="52"/>
      <c r="DJ110" s="52"/>
      <c r="DK110" s="52"/>
      <c r="DL110" s="52"/>
      <c r="DM110" s="52"/>
      <c r="DN110" s="52"/>
      <c r="DO110" s="52"/>
      <c r="DP110" s="52"/>
      <c r="DQ110" s="52"/>
      <c r="DR110" s="52"/>
      <c r="DS110" s="52"/>
      <c r="DT110" s="52"/>
      <c r="DU110" s="52"/>
      <c r="DV110" s="52"/>
      <c r="DW110" s="52"/>
    </row>
    <row r="111">
      <c r="A111" s="40" t="s">
        <v>55</v>
      </c>
      <c r="B111" s="41" t="s">
        <v>56</v>
      </c>
      <c r="C111" s="31" t="s">
        <v>337</v>
      </c>
      <c r="D111" s="25" t="str">
        <f>IFERROR(__xludf.DUMMYFUNCTION("SPLIT(C111,"" "")"),"Bazaldua,")</f>
        <v>Bazaldua,</v>
      </c>
      <c r="E111" s="40" t="str">
        <f>IFERROR(__xludf.DUMMYFUNCTION("""COMPUTED_VALUE"""),"Karen
1649")</f>
        <v>Karen
1649</v>
      </c>
      <c r="F111" s="40" t="str">
        <f>IFERROR(__xludf.DUMMYFUNCTION("""COMPUTED_VALUE"""),"
Midlothian,")</f>
        <v>
Midlothian,</v>
      </c>
      <c r="G111" s="40" t="str">
        <f>IFERROR(__xludf.DUMMYFUNCTION("""COMPUTED_VALUE"""),"TX")</f>
        <v>TX</v>
      </c>
      <c r="H111" s="40">
        <f>IFERROR(__xludf.DUMMYFUNCTION("""COMPUTED_VALUE"""),76065.0)</f>
        <v>76065</v>
      </c>
      <c r="I111" s="40"/>
      <c r="J111" s="40"/>
      <c r="K111" s="40"/>
      <c r="L111" s="40"/>
      <c r="M111" s="40"/>
      <c r="N111" s="40"/>
      <c r="O111" s="40"/>
      <c r="P111" s="40"/>
      <c r="Q111" s="40"/>
      <c r="R111" s="40"/>
      <c r="S111" s="40"/>
      <c r="T111" s="40"/>
      <c r="U111" s="24" t="str">
        <f>IFERROR(__xludf.DUMMYFUNCTION("SPLIT(E111,""01234567890"")"),"Karen
")</f>
        <v>Karen
</v>
      </c>
      <c r="V111" s="24" t="str">
        <f>IFERROR(__xludf.DUMMYFUNCTION("SPLIT(D111,"","")"),"Bazaldua")</f>
        <v>Bazaldua</v>
      </c>
      <c r="W111" s="25" t="str">
        <f t="shared" si="1"/>
        <v>KAREN
 BAZALDUA</v>
      </c>
      <c r="X111" s="25" t="s">
        <v>338</v>
      </c>
      <c r="Y111" s="25">
        <v>76065.0</v>
      </c>
      <c r="Z111" s="25" t="str">
        <f>IFERROR(__xludf.DUMMYFUNCTION("SPLIT(C111,""
"")"),"Bazaldua, Karen")</f>
        <v>Bazaldua, Karen</v>
      </c>
      <c r="AA111" s="25">
        <f>IFERROR(__xludf.DUMMYFUNCTION("""COMPUTED_VALUE"""),1649.0)</f>
        <v>1649</v>
      </c>
      <c r="AB111" s="25" t="str">
        <f>IFERROR(__xludf.DUMMYFUNCTION("""COMPUTED_VALUE"""),"Midlothian, TX 76065")</f>
        <v>Midlothian, TX 76065</v>
      </c>
      <c r="AC111" s="24" t="s">
        <v>339</v>
      </c>
      <c r="AD111" s="25"/>
      <c r="AE111" s="25"/>
      <c r="AF111" s="25"/>
      <c r="AG111" s="40" t="s">
        <v>60</v>
      </c>
      <c r="AH111" s="42">
        <v>2500.0</v>
      </c>
      <c r="AI111" s="40" t="s">
        <v>68</v>
      </c>
      <c r="AJ111" s="27">
        <v>75.0</v>
      </c>
      <c r="AK111" s="31" t="s">
        <v>23</v>
      </c>
      <c r="AL111" s="43">
        <v>44915.0</v>
      </c>
      <c r="AM111" s="44">
        <v>44941.874814814815</v>
      </c>
      <c r="AN111" s="30">
        <v>2.0</v>
      </c>
      <c r="AO111" s="40"/>
      <c r="AP111" s="40"/>
      <c r="AQ111" s="40"/>
      <c r="AR111" s="40"/>
      <c r="AS111" s="31">
        <f>IFERROR(__xludf.DUMMYFUNCTION("""COMPUTED_VALUE"""),37027.0)</f>
        <v>37027</v>
      </c>
      <c r="AT111" s="45">
        <f t="shared" si="6"/>
        <v>1000</v>
      </c>
      <c r="AU111" s="40"/>
      <c r="AV111" s="46" t="str">
        <f>IFERROR(__xludf.DUMMYFUNCTION("""COMPUTED_VALUE"""),"Taylor")</f>
        <v>Taylor</v>
      </c>
      <c r="AW111" s="46">
        <f t="shared" si="7"/>
        <v>2350</v>
      </c>
      <c r="AX111" s="47">
        <f t="shared" ref="AX111:BQ111" si="443">SUMIFS($AJ:$AJ,$V:$V,$AV111,$AK:$AK,AX$2)</f>
        <v>300</v>
      </c>
      <c r="AY111" s="48">
        <f t="shared" si="443"/>
        <v>0</v>
      </c>
      <c r="AZ111" s="48">
        <f t="shared" si="443"/>
        <v>0</v>
      </c>
      <c r="BA111" s="48">
        <f t="shared" si="443"/>
        <v>0</v>
      </c>
      <c r="BB111" s="48">
        <f t="shared" si="443"/>
        <v>2050</v>
      </c>
      <c r="BC111" s="48">
        <f t="shared" si="443"/>
        <v>0</v>
      </c>
      <c r="BD111" s="48">
        <f t="shared" si="443"/>
        <v>0</v>
      </c>
      <c r="BE111" s="48">
        <f t="shared" si="443"/>
        <v>0</v>
      </c>
      <c r="BF111" s="48">
        <f t="shared" si="443"/>
        <v>0</v>
      </c>
      <c r="BG111" s="48">
        <f t="shared" si="443"/>
        <v>0</v>
      </c>
      <c r="BH111" s="48">
        <f t="shared" si="443"/>
        <v>0</v>
      </c>
      <c r="BI111" s="48">
        <f t="shared" si="443"/>
        <v>0</v>
      </c>
      <c r="BJ111" s="48">
        <f t="shared" si="443"/>
        <v>0</v>
      </c>
      <c r="BK111" s="48">
        <f t="shared" si="443"/>
        <v>0</v>
      </c>
      <c r="BL111" s="48">
        <f t="shared" si="443"/>
        <v>0</v>
      </c>
      <c r="BM111" s="48">
        <f t="shared" si="443"/>
        <v>0</v>
      </c>
      <c r="BN111" s="48">
        <f t="shared" si="443"/>
        <v>0</v>
      </c>
      <c r="BO111" s="48">
        <f t="shared" si="443"/>
        <v>0</v>
      </c>
      <c r="BP111" s="48">
        <f t="shared" si="443"/>
        <v>0</v>
      </c>
      <c r="BQ111" s="48">
        <f t="shared" si="443"/>
        <v>0</v>
      </c>
      <c r="BR111" s="36">
        <f t="shared" si="9"/>
        <v>1</v>
      </c>
      <c r="BS111" s="38">
        <f t="shared" si="10"/>
        <v>5</v>
      </c>
      <c r="BT111" s="49">
        <f t="shared" si="11"/>
        <v>0</v>
      </c>
      <c r="BU111" s="38">
        <f t="shared" si="12"/>
        <v>5000</v>
      </c>
      <c r="BV111" s="46" t="str">
        <f>IFERROR(__xludf.DUMMYFUNCTION("""COMPUTED_VALUE"""),"Taylor")</f>
        <v>Taylor</v>
      </c>
      <c r="BW111" s="46">
        <f t="shared" si="13"/>
        <v>2350</v>
      </c>
      <c r="BX111" s="47">
        <f t="shared" ref="BX111:CA111" si="444">AX111-$BU111</f>
        <v>-4700</v>
      </c>
      <c r="BY111" s="47">
        <f t="shared" si="444"/>
        <v>-5000</v>
      </c>
      <c r="BZ111" s="47">
        <f t="shared" si="444"/>
        <v>-5000</v>
      </c>
      <c r="CA111" s="47">
        <f t="shared" si="444"/>
        <v>-5000</v>
      </c>
      <c r="CB111" s="47">
        <f t="shared" si="15"/>
        <v>-47950</v>
      </c>
      <c r="CC111" s="47">
        <f t="shared" ref="CC111:CQ111" si="445">BC111-$BU111</f>
        <v>-5000</v>
      </c>
      <c r="CD111" s="47">
        <f t="shared" si="445"/>
        <v>-5000</v>
      </c>
      <c r="CE111" s="47">
        <f t="shared" si="445"/>
        <v>-5000</v>
      </c>
      <c r="CF111" s="47">
        <f t="shared" si="445"/>
        <v>-5000</v>
      </c>
      <c r="CG111" s="47">
        <f t="shared" si="445"/>
        <v>-5000</v>
      </c>
      <c r="CH111" s="47">
        <f t="shared" si="445"/>
        <v>-5000</v>
      </c>
      <c r="CI111" s="47">
        <f t="shared" si="445"/>
        <v>-5000</v>
      </c>
      <c r="CJ111" s="47">
        <f t="shared" si="445"/>
        <v>-5000</v>
      </c>
      <c r="CK111" s="47">
        <f t="shared" si="445"/>
        <v>-5000</v>
      </c>
      <c r="CL111" s="47">
        <f t="shared" si="445"/>
        <v>-5000</v>
      </c>
      <c r="CM111" s="47">
        <f t="shared" si="445"/>
        <v>-5000</v>
      </c>
      <c r="CN111" s="47">
        <f t="shared" si="445"/>
        <v>-5000</v>
      </c>
      <c r="CO111" s="47">
        <f t="shared" si="445"/>
        <v>-5000</v>
      </c>
      <c r="CP111" s="47">
        <f t="shared" si="445"/>
        <v>-5000</v>
      </c>
      <c r="CQ111" s="47">
        <f t="shared" si="445"/>
        <v>-5000</v>
      </c>
      <c r="CR111" s="47"/>
      <c r="CS111" s="47"/>
      <c r="CT111" s="47"/>
      <c r="CU111" s="50" t="str">
        <f>IFERROR(__xludf.DUMMYFUNCTION("""COMPUTED_VALUE"""),"3100 Commerce St
Dallas, TX 75226          ")</f>
        <v>3100 Commerce St
Dallas, TX 75226          </v>
      </c>
      <c r="CV111" s="51">
        <f>IFERROR(__xludf.DUMMYFUNCTION("IF(REGEXMATCH(UPPER(CU111), ""TX""),0,1)"),0.0)</f>
        <v>0</v>
      </c>
      <c r="CW111" s="51">
        <f>IFERROR(__xludf.DUMMYFUNCTION("IF(REGEXMATCH(UPPER(CU111), ""DALLAS""),0,1)"),0.0)</f>
        <v>0</v>
      </c>
      <c r="CX111" s="51">
        <f t="shared" si="17"/>
        <v>0</v>
      </c>
      <c r="CY111" s="51">
        <f t="shared" si="18"/>
        <v>0</v>
      </c>
      <c r="CZ111" s="52" t="str">
        <f t="shared" si="19"/>
        <v/>
      </c>
      <c r="DA111" s="58"/>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row>
    <row r="112">
      <c r="A112" s="23" t="s">
        <v>64</v>
      </c>
      <c r="B112" s="23" t="s">
        <v>56</v>
      </c>
      <c r="C112" s="31" t="s">
        <v>340</v>
      </c>
      <c r="D112" s="25" t="str">
        <f>IFERROR(__xludf.DUMMYFUNCTION("SPLIT(C112,"" "")"),"Bazan,")</f>
        <v>Bazan,</v>
      </c>
      <c r="E112" s="22" t="str">
        <f>IFERROR(__xludf.DUMMYFUNCTION("""COMPUTED_VALUE"""),"Kathryn
10456")</f>
        <v>Kathryn
10456</v>
      </c>
      <c r="F112" s="22" t="str">
        <f>IFERROR(__xludf.DUMMYFUNCTION("""COMPUTED_VALUE"""),"Vinemont")</f>
        <v>Vinemont</v>
      </c>
      <c r="G112" s="22" t="str">
        <f>IFERROR(__xludf.DUMMYFUNCTION("""COMPUTED_VALUE"""),"Street
Dallas,")</f>
        <v>Street
Dallas,</v>
      </c>
      <c r="H112" s="22" t="str">
        <f>IFERROR(__xludf.DUMMYFUNCTION("""COMPUTED_VALUE"""),"TX")</f>
        <v>TX</v>
      </c>
      <c r="I112" s="22">
        <f>IFERROR(__xludf.DUMMYFUNCTION("""COMPUTED_VALUE"""),75218.0)</f>
        <v>75218</v>
      </c>
      <c r="J112" s="22"/>
      <c r="K112" s="22"/>
      <c r="L112" s="22"/>
      <c r="M112" s="22"/>
      <c r="N112" s="22"/>
      <c r="O112" s="22"/>
      <c r="P112" s="22"/>
      <c r="Q112" s="22"/>
      <c r="R112" s="22"/>
      <c r="S112" s="22"/>
      <c r="T112" s="22"/>
      <c r="U112" s="24" t="str">
        <f>IFERROR(__xludf.DUMMYFUNCTION("SPLIT(E112,""01234567890"")"),"Kathryn
")</f>
        <v>Kathryn
</v>
      </c>
      <c r="V112" s="24" t="str">
        <f>IFERROR(__xludf.DUMMYFUNCTION("SPLIT(D112,"","")"),"Bazan")</f>
        <v>Bazan</v>
      </c>
      <c r="W112" s="25" t="str">
        <f t="shared" si="1"/>
        <v>KATHRYN
 BAZAN</v>
      </c>
      <c r="X112" s="25" t="s">
        <v>341</v>
      </c>
      <c r="Y112" s="25">
        <v>75218.0</v>
      </c>
      <c r="Z112" s="25" t="str">
        <f>IFERROR(__xludf.DUMMYFUNCTION("SPLIT(C112,""
"")"),"Bazan, Kathryn")</f>
        <v>Bazan, Kathryn</v>
      </c>
      <c r="AA112" s="25" t="str">
        <f>IFERROR(__xludf.DUMMYFUNCTION("""COMPUTED_VALUE"""),"10456 Vinemont Street")</f>
        <v>10456 Vinemont Street</v>
      </c>
      <c r="AB112" s="25" t="str">
        <f>IFERROR(__xludf.DUMMYFUNCTION("""COMPUTED_VALUE"""),"Dallas, TX 75218")</f>
        <v>Dallas, TX 75218</v>
      </c>
      <c r="AC112" s="24" t="s">
        <v>342</v>
      </c>
      <c r="AD112" s="25"/>
      <c r="AE112" s="25"/>
      <c r="AF112" s="25"/>
      <c r="AG112" s="22" t="s">
        <v>60</v>
      </c>
      <c r="AH112" s="54">
        <v>2486.0</v>
      </c>
      <c r="AI112" s="22" t="s">
        <v>68</v>
      </c>
      <c r="AJ112" s="27">
        <v>250.0</v>
      </c>
      <c r="AK112" s="31" t="s">
        <v>24</v>
      </c>
      <c r="AL112" s="28">
        <v>44914.0</v>
      </c>
      <c r="AM112" s="29">
        <v>44942.42989583333</v>
      </c>
      <c r="AN112" s="30">
        <v>2.0</v>
      </c>
      <c r="AO112" s="22"/>
      <c r="AP112" s="22"/>
      <c r="AQ112" s="22"/>
      <c r="AR112" s="22"/>
      <c r="AS112" s="31">
        <f>IFERROR(__xludf.DUMMYFUNCTION("""COMPUTED_VALUE"""),75249.0)</f>
        <v>75249</v>
      </c>
      <c r="AT112" s="45">
        <f t="shared" si="6"/>
        <v>250</v>
      </c>
      <c r="AU112" s="22"/>
      <c r="AV112" s="57" t="str">
        <f>IFERROR(__xludf.DUMMYFUNCTION("""COMPUTED_VALUE"""),"Carey")</f>
        <v>Carey</v>
      </c>
      <c r="AW112" s="46">
        <f t="shared" si="7"/>
        <v>1950</v>
      </c>
      <c r="AX112" s="47">
        <f t="shared" ref="AX112:BQ112" si="446">SUMIFS($AJ:$AJ,$V:$V,$AV112,$AK:$AK,AX$2)</f>
        <v>950</v>
      </c>
      <c r="AY112" s="48">
        <f t="shared" si="446"/>
        <v>0</v>
      </c>
      <c r="AZ112" s="48">
        <f t="shared" si="446"/>
        <v>0</v>
      </c>
      <c r="BA112" s="48">
        <f t="shared" si="446"/>
        <v>0</v>
      </c>
      <c r="BB112" s="48">
        <f t="shared" si="446"/>
        <v>0</v>
      </c>
      <c r="BC112" s="48">
        <f t="shared" si="446"/>
        <v>0</v>
      </c>
      <c r="BD112" s="48">
        <f t="shared" si="446"/>
        <v>0</v>
      </c>
      <c r="BE112" s="48">
        <f t="shared" si="446"/>
        <v>0</v>
      </c>
      <c r="BF112" s="48">
        <f t="shared" si="446"/>
        <v>0</v>
      </c>
      <c r="BG112" s="48">
        <f t="shared" si="446"/>
        <v>0</v>
      </c>
      <c r="BH112" s="48">
        <f t="shared" si="446"/>
        <v>0</v>
      </c>
      <c r="BI112" s="48">
        <f t="shared" si="446"/>
        <v>0</v>
      </c>
      <c r="BJ112" s="48">
        <f t="shared" si="446"/>
        <v>0</v>
      </c>
      <c r="BK112" s="48">
        <f t="shared" si="446"/>
        <v>1000</v>
      </c>
      <c r="BL112" s="48">
        <f t="shared" si="446"/>
        <v>0</v>
      </c>
      <c r="BM112" s="48">
        <f t="shared" si="446"/>
        <v>0</v>
      </c>
      <c r="BN112" s="48">
        <f t="shared" si="446"/>
        <v>0</v>
      </c>
      <c r="BO112" s="48">
        <f t="shared" si="446"/>
        <v>0</v>
      </c>
      <c r="BP112" s="48">
        <f t="shared" si="446"/>
        <v>0</v>
      </c>
      <c r="BQ112" s="48">
        <f t="shared" si="446"/>
        <v>0</v>
      </c>
      <c r="BR112" s="36">
        <f t="shared" si="9"/>
        <v>0</v>
      </c>
      <c r="BS112" s="38">
        <f t="shared" si="10"/>
        <v>1</v>
      </c>
      <c r="BT112" s="49">
        <f t="shared" si="11"/>
        <v>0</v>
      </c>
      <c r="BU112" s="38">
        <f t="shared" si="12"/>
        <v>1000</v>
      </c>
      <c r="BV112" s="57" t="str">
        <f>IFERROR(__xludf.DUMMYFUNCTION("""COMPUTED_VALUE"""),"Carey")</f>
        <v>Carey</v>
      </c>
      <c r="BW112" s="46">
        <f t="shared" si="13"/>
        <v>1950</v>
      </c>
      <c r="BX112" s="47">
        <f t="shared" ref="BX112:CA112" si="447">AX112-$BU112</f>
        <v>-50</v>
      </c>
      <c r="BY112" s="47">
        <f t="shared" si="447"/>
        <v>-1000</v>
      </c>
      <c r="BZ112" s="47">
        <f t="shared" si="447"/>
        <v>-1000</v>
      </c>
      <c r="CA112" s="47">
        <f t="shared" si="447"/>
        <v>-1000</v>
      </c>
      <c r="CB112" s="47">
        <f t="shared" si="15"/>
        <v>-10000</v>
      </c>
      <c r="CC112" s="47">
        <f t="shared" ref="CC112:CQ112" si="448">BC112-$BU112</f>
        <v>-1000</v>
      </c>
      <c r="CD112" s="47">
        <f t="shared" si="448"/>
        <v>-1000</v>
      </c>
      <c r="CE112" s="47">
        <f t="shared" si="448"/>
        <v>-1000</v>
      </c>
      <c r="CF112" s="47">
        <f t="shared" si="448"/>
        <v>-1000</v>
      </c>
      <c r="CG112" s="47">
        <f t="shared" si="448"/>
        <v>-1000</v>
      </c>
      <c r="CH112" s="47">
        <f t="shared" si="448"/>
        <v>-1000</v>
      </c>
      <c r="CI112" s="47">
        <f t="shared" si="448"/>
        <v>-1000</v>
      </c>
      <c r="CJ112" s="47">
        <f t="shared" si="448"/>
        <v>-1000</v>
      </c>
      <c r="CK112" s="47">
        <f t="shared" si="448"/>
        <v>0</v>
      </c>
      <c r="CL112" s="47">
        <f t="shared" si="448"/>
        <v>-1000</v>
      </c>
      <c r="CM112" s="47">
        <f t="shared" si="448"/>
        <v>-1000</v>
      </c>
      <c r="CN112" s="47">
        <f t="shared" si="448"/>
        <v>-1000</v>
      </c>
      <c r="CO112" s="47">
        <f t="shared" si="448"/>
        <v>-1000</v>
      </c>
      <c r="CP112" s="47">
        <f t="shared" si="448"/>
        <v>-1000</v>
      </c>
      <c r="CQ112" s="47">
        <f t="shared" si="448"/>
        <v>-1000</v>
      </c>
      <c r="CR112" s="47"/>
      <c r="CS112" s="47"/>
      <c r="CT112" s="47"/>
      <c r="CU112" s="50" t="str">
        <f>IFERROR(__xludf.DUMMYFUNCTION("""COMPUTED_VALUE"""),"1527 Waterside Ct.
Dallas, TX 75218          ")</f>
        <v>1527 Waterside Ct.
Dallas, TX 75218          </v>
      </c>
      <c r="CV112" s="51">
        <f>IFERROR(__xludf.DUMMYFUNCTION("IF(REGEXMATCH(UPPER(CU112), ""TX""),0,1)"),0.0)</f>
        <v>0</v>
      </c>
      <c r="CW112" s="51">
        <f>IFERROR(__xludf.DUMMYFUNCTION("IF(REGEXMATCH(UPPER(CU112), ""DALLAS""),0,1)"),0.0)</f>
        <v>0</v>
      </c>
      <c r="CX112" s="51">
        <f t="shared" si="17"/>
        <v>0</v>
      </c>
      <c r="CY112" s="51">
        <f t="shared" si="18"/>
        <v>0</v>
      </c>
      <c r="CZ112" s="52" t="str">
        <f t="shared" si="19"/>
        <v/>
      </c>
      <c r="DA112" s="58"/>
      <c r="DB112" s="52"/>
      <c r="DC112" s="52"/>
      <c r="DD112" s="52"/>
      <c r="DE112" s="52"/>
      <c r="DF112" s="52"/>
      <c r="DG112" s="52"/>
      <c r="DH112" s="52"/>
      <c r="DI112" s="52"/>
      <c r="DJ112" s="52"/>
      <c r="DK112" s="52"/>
      <c r="DL112" s="52"/>
      <c r="DM112" s="52"/>
      <c r="DN112" s="52"/>
      <c r="DO112" s="52"/>
      <c r="DP112" s="52"/>
      <c r="DQ112" s="52"/>
      <c r="DR112" s="52"/>
      <c r="DS112" s="52"/>
      <c r="DT112" s="52"/>
      <c r="DU112" s="52"/>
      <c r="DV112" s="52"/>
      <c r="DW112" s="52"/>
    </row>
    <row r="113">
      <c r="A113" s="41" t="s">
        <v>64</v>
      </c>
      <c r="B113" s="41" t="s">
        <v>56</v>
      </c>
      <c r="C113" s="31" t="s">
        <v>343</v>
      </c>
      <c r="D113" s="25" t="str">
        <f>IFERROR(__xludf.DUMMYFUNCTION("SPLIT(C113,"" "")"),"Bazan,")</f>
        <v>Bazan,</v>
      </c>
      <c r="E113" s="40" t="str">
        <f>IFERROR(__xludf.DUMMYFUNCTION("""COMPUTED_VALUE"""),"Kathryn
10456")</f>
        <v>Kathryn
10456</v>
      </c>
      <c r="F113" s="40" t="str">
        <f>IFERROR(__xludf.DUMMYFUNCTION("""COMPUTED_VALUE"""),"Vinemont
Dallas,")</f>
        <v>Vinemont
Dallas,</v>
      </c>
      <c r="G113" s="40" t="str">
        <f>IFERROR(__xludf.DUMMYFUNCTION("""COMPUTED_VALUE"""),"TX")</f>
        <v>TX</v>
      </c>
      <c r="H113" s="40">
        <f>IFERROR(__xludf.DUMMYFUNCTION("""COMPUTED_VALUE"""),75218.0)</f>
        <v>75218</v>
      </c>
      <c r="I113" s="40"/>
      <c r="J113" s="40"/>
      <c r="K113" s="40"/>
      <c r="L113" s="40"/>
      <c r="M113" s="40"/>
      <c r="N113" s="40"/>
      <c r="O113" s="40"/>
      <c r="P113" s="40"/>
      <c r="Q113" s="40"/>
      <c r="R113" s="40"/>
      <c r="S113" s="40"/>
      <c r="T113" s="40"/>
      <c r="U113" s="24" t="str">
        <f>IFERROR(__xludf.DUMMYFUNCTION("SPLIT(E113,""01234567890"")"),"Kathryn
")</f>
        <v>Kathryn
</v>
      </c>
      <c r="V113" s="24" t="str">
        <f>IFERROR(__xludf.DUMMYFUNCTION("SPLIT(D113,"","")"),"Bazan")</f>
        <v>Bazan</v>
      </c>
      <c r="W113" s="25" t="str">
        <f t="shared" si="1"/>
        <v>KATHRYN
 BAZAN</v>
      </c>
      <c r="X113" s="25" t="s">
        <v>344</v>
      </c>
      <c r="Y113" s="25">
        <v>75218.0</v>
      </c>
      <c r="Z113" s="25" t="str">
        <f>IFERROR(__xludf.DUMMYFUNCTION("SPLIT(C113,""
"")"),"Bazan, Kathryn")</f>
        <v>Bazan, Kathryn</v>
      </c>
      <c r="AA113" s="25" t="str">
        <f>IFERROR(__xludf.DUMMYFUNCTION("""COMPUTED_VALUE"""),"10456 Vinemont")</f>
        <v>10456 Vinemont</v>
      </c>
      <c r="AB113" s="25" t="str">
        <f>IFERROR(__xludf.DUMMYFUNCTION("""COMPUTED_VALUE"""),"Dallas, TX 75218")</f>
        <v>Dallas, TX 75218</v>
      </c>
      <c r="AC113" s="24" t="s">
        <v>342</v>
      </c>
      <c r="AD113" s="25"/>
      <c r="AE113" s="25"/>
      <c r="AF113" s="25"/>
      <c r="AG113" s="40" t="s">
        <v>60</v>
      </c>
      <c r="AH113" s="42">
        <v>2448.0</v>
      </c>
      <c r="AI113" s="40" t="s">
        <v>61</v>
      </c>
      <c r="AJ113" s="27">
        <v>100.0</v>
      </c>
      <c r="AK113" s="31" t="s">
        <v>24</v>
      </c>
      <c r="AL113" s="43">
        <v>44706.0</v>
      </c>
      <c r="AM113" s="44">
        <v>44757.44018518519</v>
      </c>
      <c r="AN113" s="30">
        <v>2.0</v>
      </c>
      <c r="AO113" s="40"/>
      <c r="AP113" s="40"/>
      <c r="AQ113" s="40"/>
      <c r="AR113" s="40"/>
      <c r="AS113" s="31">
        <f>IFERROR(__xludf.DUMMYFUNCTION("""COMPUTED_VALUE"""),33140.0)</f>
        <v>33140</v>
      </c>
      <c r="AT113" s="45">
        <f t="shared" si="6"/>
        <v>1000</v>
      </c>
      <c r="AU113" s="40"/>
      <c r="AV113" s="46" t="str">
        <f>IFERROR(__xludf.DUMMYFUNCTION("""COMPUTED_VALUE"""),"Suarez")</f>
        <v>Suarez</v>
      </c>
      <c r="AW113" s="46">
        <f t="shared" si="7"/>
        <v>833</v>
      </c>
      <c r="AX113" s="47">
        <f t="shared" ref="AX113:BQ113" si="449">SUMIFS($AJ:$AJ,$V:$V,$AV113,$AK:$AK,AX$2)</f>
        <v>833</v>
      </c>
      <c r="AY113" s="48">
        <f t="shared" si="449"/>
        <v>0</v>
      </c>
      <c r="AZ113" s="48">
        <f t="shared" si="449"/>
        <v>0</v>
      </c>
      <c r="BA113" s="48">
        <f t="shared" si="449"/>
        <v>0</v>
      </c>
      <c r="BB113" s="48">
        <f t="shared" si="449"/>
        <v>0</v>
      </c>
      <c r="BC113" s="48">
        <f t="shared" si="449"/>
        <v>0</v>
      </c>
      <c r="BD113" s="48">
        <f t="shared" si="449"/>
        <v>0</v>
      </c>
      <c r="BE113" s="48">
        <f t="shared" si="449"/>
        <v>0</v>
      </c>
      <c r="BF113" s="48">
        <f t="shared" si="449"/>
        <v>0</v>
      </c>
      <c r="BG113" s="48">
        <f t="shared" si="449"/>
        <v>0</v>
      </c>
      <c r="BH113" s="48">
        <f t="shared" si="449"/>
        <v>0</v>
      </c>
      <c r="BI113" s="48">
        <f t="shared" si="449"/>
        <v>0</v>
      </c>
      <c r="BJ113" s="48">
        <f t="shared" si="449"/>
        <v>0</v>
      </c>
      <c r="BK113" s="48">
        <f t="shared" si="449"/>
        <v>0</v>
      </c>
      <c r="BL113" s="48">
        <f t="shared" si="449"/>
        <v>0</v>
      </c>
      <c r="BM113" s="48">
        <f t="shared" si="449"/>
        <v>0</v>
      </c>
      <c r="BN113" s="48">
        <f t="shared" si="449"/>
        <v>0</v>
      </c>
      <c r="BO113" s="48">
        <f t="shared" si="449"/>
        <v>0</v>
      </c>
      <c r="BP113" s="48">
        <f t="shared" si="449"/>
        <v>0</v>
      </c>
      <c r="BQ113" s="48">
        <f t="shared" si="449"/>
        <v>0</v>
      </c>
      <c r="BR113" s="36">
        <f t="shared" si="9"/>
        <v>0</v>
      </c>
      <c r="BS113" s="38">
        <f t="shared" si="10"/>
        <v>1</v>
      </c>
      <c r="BT113" s="49">
        <f t="shared" si="11"/>
        <v>0</v>
      </c>
      <c r="BU113" s="38">
        <f t="shared" si="12"/>
        <v>1000</v>
      </c>
      <c r="BV113" s="46" t="str">
        <f>IFERROR(__xludf.DUMMYFUNCTION("""COMPUTED_VALUE"""),"Suarez")</f>
        <v>Suarez</v>
      </c>
      <c r="BW113" s="46">
        <f t="shared" si="13"/>
        <v>833</v>
      </c>
      <c r="BX113" s="47">
        <f t="shared" ref="BX113:CA113" si="450">AX113-$BU113</f>
        <v>-167</v>
      </c>
      <c r="BY113" s="47">
        <f t="shared" si="450"/>
        <v>-1000</v>
      </c>
      <c r="BZ113" s="47">
        <f t="shared" si="450"/>
        <v>-1000</v>
      </c>
      <c r="CA113" s="47">
        <f t="shared" si="450"/>
        <v>-1000</v>
      </c>
      <c r="CB113" s="47">
        <f t="shared" si="15"/>
        <v>-10000</v>
      </c>
      <c r="CC113" s="47">
        <f t="shared" ref="CC113:CQ113" si="451">BC113-$BU113</f>
        <v>-1000</v>
      </c>
      <c r="CD113" s="47">
        <f t="shared" si="451"/>
        <v>-1000</v>
      </c>
      <c r="CE113" s="47">
        <f t="shared" si="451"/>
        <v>-1000</v>
      </c>
      <c r="CF113" s="47">
        <f t="shared" si="451"/>
        <v>-1000</v>
      </c>
      <c r="CG113" s="47">
        <f t="shared" si="451"/>
        <v>-1000</v>
      </c>
      <c r="CH113" s="47">
        <f t="shared" si="451"/>
        <v>-1000</v>
      </c>
      <c r="CI113" s="47">
        <f t="shared" si="451"/>
        <v>-1000</v>
      </c>
      <c r="CJ113" s="47">
        <f t="shared" si="451"/>
        <v>-1000</v>
      </c>
      <c r="CK113" s="47">
        <f t="shared" si="451"/>
        <v>-1000</v>
      </c>
      <c r="CL113" s="47">
        <f t="shared" si="451"/>
        <v>-1000</v>
      </c>
      <c r="CM113" s="47">
        <f t="shared" si="451"/>
        <v>-1000</v>
      </c>
      <c r="CN113" s="47">
        <f t="shared" si="451"/>
        <v>-1000</v>
      </c>
      <c r="CO113" s="47">
        <f t="shared" si="451"/>
        <v>-1000</v>
      </c>
      <c r="CP113" s="47">
        <f t="shared" si="451"/>
        <v>-1000</v>
      </c>
      <c r="CQ113" s="47">
        <f t="shared" si="451"/>
        <v>-1000</v>
      </c>
      <c r="CR113" s="47"/>
      <c r="CS113" s="47"/>
      <c r="CT113" s="47"/>
      <c r="CU113" s="50" t="str">
        <f>IFERROR(__xludf.DUMMYFUNCTION("""COMPUTED_VALUE"""),"3417 Milam St
Houston, TX 77002          ")</f>
        <v>3417 Milam St
Houston, TX 77002          </v>
      </c>
      <c r="CV113" s="51">
        <f>IFERROR(__xludf.DUMMYFUNCTION("IF(REGEXMATCH(UPPER(CU113), ""TX""),0,1)"),0.0)</f>
        <v>0</v>
      </c>
      <c r="CW113" s="51">
        <f>IFERROR(__xludf.DUMMYFUNCTION("IF(REGEXMATCH(UPPER(CU113), ""DALLAS""),0,1)"),1.0)</f>
        <v>1</v>
      </c>
      <c r="CX113" s="51">
        <f t="shared" si="17"/>
        <v>0</v>
      </c>
      <c r="CY113" s="51">
        <f t="shared" si="18"/>
        <v>500</v>
      </c>
      <c r="CZ113" s="52" t="str">
        <f t="shared" si="19"/>
        <v>3417 Milam St
Houston, TX 77002          </v>
      </c>
      <c r="DA113" s="58"/>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row>
    <row r="114">
      <c r="A114" s="23" t="s">
        <v>64</v>
      </c>
      <c r="B114" s="23" t="s">
        <v>56</v>
      </c>
      <c r="C114" s="31" t="s">
        <v>345</v>
      </c>
      <c r="D114" s="25" t="str">
        <f>IFERROR(__xludf.DUMMYFUNCTION("SPLIT(C114,"" "")"),"Beane,")</f>
        <v>Beane,</v>
      </c>
      <c r="E114" s="22" t="str">
        <f>IFERROR(__xludf.DUMMYFUNCTION("""COMPUTED_VALUE"""),"Alan
12596")</f>
        <v>Alan
12596</v>
      </c>
      <c r="F114" s="22" t="str">
        <f>IFERROR(__xludf.DUMMYFUNCTION("""COMPUTED_VALUE"""),"Montego")</f>
        <v>Montego</v>
      </c>
      <c r="G114" s="22" t="str">
        <f>IFERROR(__xludf.DUMMYFUNCTION("""COMPUTED_VALUE"""),"Plaza
Dallas,")</f>
        <v>Plaza
Dallas,</v>
      </c>
      <c r="H114" s="22" t="str">
        <f>IFERROR(__xludf.DUMMYFUNCTION("""COMPUTED_VALUE"""),"TX")</f>
        <v>TX</v>
      </c>
      <c r="I114" s="22">
        <f>IFERROR(__xludf.DUMMYFUNCTION("""COMPUTED_VALUE"""),75230.0)</f>
        <v>75230</v>
      </c>
      <c r="J114" s="22"/>
      <c r="K114" s="22"/>
      <c r="L114" s="22"/>
      <c r="M114" s="22"/>
      <c r="N114" s="22"/>
      <c r="O114" s="22"/>
      <c r="P114" s="22"/>
      <c r="Q114" s="22"/>
      <c r="R114" s="22"/>
      <c r="S114" s="22"/>
      <c r="T114" s="22"/>
      <c r="U114" s="24" t="str">
        <f>IFERROR(__xludf.DUMMYFUNCTION("SPLIT(E114,""01234567890"")"),"Alan
")</f>
        <v>Alan
</v>
      </c>
      <c r="V114" s="24" t="str">
        <f>IFERROR(__xludf.DUMMYFUNCTION("SPLIT(D114,"","")"),"Beane")</f>
        <v>Beane</v>
      </c>
      <c r="W114" s="25" t="str">
        <f t="shared" si="1"/>
        <v>ALAN
 BEANE</v>
      </c>
      <c r="X114" s="25" t="s">
        <v>346</v>
      </c>
      <c r="Y114" s="25">
        <v>75230.0</v>
      </c>
      <c r="Z114" s="25" t="str">
        <f>IFERROR(__xludf.DUMMYFUNCTION("SPLIT(C114,""
"")"),"Beane, Alan")</f>
        <v>Beane, Alan</v>
      </c>
      <c r="AA114" s="25" t="str">
        <f>IFERROR(__xludf.DUMMYFUNCTION("""COMPUTED_VALUE"""),"12596 Montego Plaza")</f>
        <v>12596 Montego Plaza</v>
      </c>
      <c r="AB114" s="25" t="str">
        <f>IFERROR(__xludf.DUMMYFUNCTION("""COMPUTED_VALUE"""),"Dallas, TX 75230")</f>
        <v>Dallas, TX 75230</v>
      </c>
      <c r="AC114" s="24" t="s">
        <v>347</v>
      </c>
      <c r="AD114" s="25"/>
      <c r="AE114" s="25"/>
      <c r="AF114" s="25"/>
      <c r="AG114" s="22" t="s">
        <v>60</v>
      </c>
      <c r="AH114" s="54">
        <v>2448.0</v>
      </c>
      <c r="AI114" s="22" t="s">
        <v>61</v>
      </c>
      <c r="AJ114" s="27">
        <v>100.0</v>
      </c>
      <c r="AK114" s="31" t="s">
        <v>24</v>
      </c>
      <c r="AL114" s="28">
        <v>44722.0</v>
      </c>
      <c r="AM114" s="29">
        <v>44757.44018518519</v>
      </c>
      <c r="AN114" s="30">
        <v>2.0</v>
      </c>
      <c r="AO114" s="22"/>
      <c r="AP114" s="22"/>
      <c r="AQ114" s="22"/>
      <c r="AR114" s="22"/>
      <c r="AS114" s="31">
        <f>IFERROR(__xludf.DUMMYFUNCTION("""COMPUTED_VALUE"""),76112.0)</f>
        <v>76112</v>
      </c>
      <c r="AT114" s="45">
        <f t="shared" si="6"/>
        <v>500</v>
      </c>
      <c r="AU114" s="22"/>
      <c r="AV114" s="57" t="str">
        <f>IFERROR(__xludf.DUMMYFUNCTION("""COMPUTED_VALUE"""),"Yancey")</f>
        <v>Yancey</v>
      </c>
      <c r="AW114" s="46">
        <f t="shared" si="7"/>
        <v>237</v>
      </c>
      <c r="AX114" s="47">
        <f t="shared" ref="AX114:BQ114" si="452">SUMIFS($AJ:$AJ,$V:$V,$AV114,$AK:$AK,AX$2)</f>
        <v>237</v>
      </c>
      <c r="AY114" s="48">
        <f t="shared" si="452"/>
        <v>0</v>
      </c>
      <c r="AZ114" s="48">
        <f t="shared" si="452"/>
        <v>0</v>
      </c>
      <c r="BA114" s="48">
        <f t="shared" si="452"/>
        <v>0</v>
      </c>
      <c r="BB114" s="48">
        <f t="shared" si="452"/>
        <v>0</v>
      </c>
      <c r="BC114" s="48">
        <f t="shared" si="452"/>
        <v>0</v>
      </c>
      <c r="BD114" s="48">
        <f t="shared" si="452"/>
        <v>0</v>
      </c>
      <c r="BE114" s="48">
        <f t="shared" si="452"/>
        <v>0</v>
      </c>
      <c r="BF114" s="48">
        <f t="shared" si="452"/>
        <v>0</v>
      </c>
      <c r="BG114" s="48">
        <f t="shared" si="452"/>
        <v>0</v>
      </c>
      <c r="BH114" s="48">
        <f t="shared" si="452"/>
        <v>0</v>
      </c>
      <c r="BI114" s="48">
        <f t="shared" si="452"/>
        <v>0</v>
      </c>
      <c r="BJ114" s="48">
        <f t="shared" si="452"/>
        <v>0</v>
      </c>
      <c r="BK114" s="48">
        <f t="shared" si="452"/>
        <v>0</v>
      </c>
      <c r="BL114" s="48">
        <f t="shared" si="452"/>
        <v>0</v>
      </c>
      <c r="BM114" s="48">
        <f t="shared" si="452"/>
        <v>0</v>
      </c>
      <c r="BN114" s="48">
        <f t="shared" si="452"/>
        <v>0</v>
      </c>
      <c r="BO114" s="48">
        <f t="shared" si="452"/>
        <v>0</v>
      </c>
      <c r="BP114" s="48">
        <f t="shared" si="452"/>
        <v>0</v>
      </c>
      <c r="BQ114" s="48">
        <f t="shared" si="452"/>
        <v>0</v>
      </c>
      <c r="BR114" s="36">
        <f t="shared" si="9"/>
        <v>0</v>
      </c>
      <c r="BS114" s="38">
        <f t="shared" si="10"/>
        <v>1</v>
      </c>
      <c r="BT114" s="49">
        <f t="shared" si="11"/>
        <v>0</v>
      </c>
      <c r="BU114" s="38">
        <f t="shared" si="12"/>
        <v>1000</v>
      </c>
      <c r="BV114" s="57" t="str">
        <f>IFERROR(__xludf.DUMMYFUNCTION("""COMPUTED_VALUE"""),"Yancey")</f>
        <v>Yancey</v>
      </c>
      <c r="BW114" s="46">
        <f t="shared" si="13"/>
        <v>237</v>
      </c>
      <c r="BX114" s="47">
        <f t="shared" ref="BX114:CA114" si="453">AX114-$BU114</f>
        <v>-763</v>
      </c>
      <c r="BY114" s="47">
        <f t="shared" si="453"/>
        <v>-1000</v>
      </c>
      <c r="BZ114" s="47">
        <f t="shared" si="453"/>
        <v>-1000</v>
      </c>
      <c r="CA114" s="47">
        <f t="shared" si="453"/>
        <v>-1000</v>
      </c>
      <c r="CB114" s="47">
        <f t="shared" si="15"/>
        <v>-10000</v>
      </c>
      <c r="CC114" s="47">
        <f t="shared" ref="CC114:CQ114" si="454">BC114-$BU114</f>
        <v>-1000</v>
      </c>
      <c r="CD114" s="47">
        <f t="shared" si="454"/>
        <v>-1000</v>
      </c>
      <c r="CE114" s="47">
        <f t="shared" si="454"/>
        <v>-1000</v>
      </c>
      <c r="CF114" s="47">
        <f t="shared" si="454"/>
        <v>-1000</v>
      </c>
      <c r="CG114" s="47">
        <f t="shared" si="454"/>
        <v>-1000</v>
      </c>
      <c r="CH114" s="47">
        <f t="shared" si="454"/>
        <v>-1000</v>
      </c>
      <c r="CI114" s="47">
        <f t="shared" si="454"/>
        <v>-1000</v>
      </c>
      <c r="CJ114" s="47">
        <f t="shared" si="454"/>
        <v>-1000</v>
      </c>
      <c r="CK114" s="47">
        <f t="shared" si="454"/>
        <v>-1000</v>
      </c>
      <c r="CL114" s="47">
        <f t="shared" si="454"/>
        <v>-1000</v>
      </c>
      <c r="CM114" s="47">
        <f t="shared" si="454"/>
        <v>-1000</v>
      </c>
      <c r="CN114" s="47">
        <f t="shared" si="454"/>
        <v>-1000</v>
      </c>
      <c r="CO114" s="47">
        <f t="shared" si="454"/>
        <v>-1000</v>
      </c>
      <c r="CP114" s="47">
        <f t="shared" si="454"/>
        <v>-1000</v>
      </c>
      <c r="CQ114" s="47">
        <f t="shared" si="454"/>
        <v>-1000</v>
      </c>
      <c r="CR114" s="47"/>
      <c r="CS114" s="47"/>
      <c r="CT114" s="47"/>
      <c r="CU114" s="50" t="str">
        <f>IFERROR(__xludf.DUMMYFUNCTION("""COMPUTED_VALUE"""),"7715 Northaven Road
Dallas, TX 75230          ")</f>
        <v>7715 Northaven Road
Dallas, TX 75230          </v>
      </c>
      <c r="CV114" s="51">
        <f>IFERROR(__xludf.DUMMYFUNCTION("IF(REGEXMATCH(UPPER(CU114), ""TX""),0,1)"),0.0)</f>
        <v>0</v>
      </c>
      <c r="CW114" s="51">
        <f>IFERROR(__xludf.DUMMYFUNCTION("IF(REGEXMATCH(UPPER(CU114), ""DALLAS""),0,1)"),0.0)</f>
        <v>0</v>
      </c>
      <c r="CX114" s="51">
        <f t="shared" si="17"/>
        <v>0</v>
      </c>
      <c r="CY114" s="51">
        <f t="shared" si="18"/>
        <v>0</v>
      </c>
      <c r="CZ114" s="52" t="str">
        <f t="shared" si="19"/>
        <v/>
      </c>
      <c r="DA114" s="58"/>
      <c r="DB114" s="52"/>
      <c r="DC114" s="52"/>
      <c r="DD114" s="52"/>
      <c r="DE114" s="52"/>
      <c r="DF114" s="52"/>
      <c r="DG114" s="52"/>
      <c r="DH114" s="52"/>
      <c r="DI114" s="52"/>
      <c r="DJ114" s="52"/>
      <c r="DK114" s="52"/>
      <c r="DL114" s="52"/>
      <c r="DM114" s="52"/>
      <c r="DN114" s="52"/>
      <c r="DO114" s="52"/>
      <c r="DP114" s="52"/>
      <c r="DQ114" s="52"/>
      <c r="DR114" s="52"/>
      <c r="DS114" s="52"/>
      <c r="DT114" s="52"/>
      <c r="DU114" s="52"/>
      <c r="DV114" s="52"/>
      <c r="DW114" s="52"/>
    </row>
    <row r="115">
      <c r="A115" s="41" t="s">
        <v>64</v>
      </c>
      <c r="B115" s="41" t="s">
        <v>56</v>
      </c>
      <c r="C115" s="31" t="s">
        <v>348</v>
      </c>
      <c r="D115" s="25" t="str">
        <f>IFERROR(__xludf.DUMMYFUNCTION("SPLIT(C115,"" "")"),"Beard,")</f>
        <v>Beard,</v>
      </c>
      <c r="E115" s="40" t="str">
        <f>IFERROR(__xludf.DUMMYFUNCTION("""COMPUTED_VALUE"""),"Bramlet
PO")</f>
        <v>Bramlet
PO</v>
      </c>
      <c r="F115" s="40" t="str">
        <f>IFERROR(__xludf.DUMMYFUNCTION("""COMPUTED_VALUE"""),"Box")</f>
        <v>Box</v>
      </c>
      <c r="G115" s="40" t="str">
        <f>IFERROR(__xludf.DUMMYFUNCTION("""COMPUTED_VALUE"""),"1224
Ennis,")</f>
        <v>1224
Ennis,</v>
      </c>
      <c r="H115" s="40" t="str">
        <f>IFERROR(__xludf.DUMMYFUNCTION("""COMPUTED_VALUE"""),"TX")</f>
        <v>TX</v>
      </c>
      <c r="I115" s="40">
        <f>IFERROR(__xludf.DUMMYFUNCTION("""COMPUTED_VALUE"""),75120.0)</f>
        <v>75120</v>
      </c>
      <c r="J115" s="40"/>
      <c r="K115" s="40"/>
      <c r="L115" s="40"/>
      <c r="M115" s="40"/>
      <c r="N115" s="40"/>
      <c r="O115" s="40"/>
      <c r="P115" s="40"/>
      <c r="Q115" s="40"/>
      <c r="R115" s="40"/>
      <c r="S115" s="40"/>
      <c r="T115" s="40"/>
      <c r="U115" s="24" t="str">
        <f>IFERROR(__xludf.DUMMYFUNCTION("SPLIT(E115,""01234567890"")"),"Bramlet
PO")</f>
        <v>Bramlet
PO</v>
      </c>
      <c r="V115" s="24" t="str">
        <f>IFERROR(__xludf.DUMMYFUNCTION("SPLIT(D115,"","")"),"Beard")</f>
        <v>Beard</v>
      </c>
      <c r="W115" s="25" t="str">
        <f t="shared" si="1"/>
        <v>BRAMLET
PO BEARD</v>
      </c>
      <c r="X115" s="25" t="s">
        <v>349</v>
      </c>
      <c r="Y115" s="25">
        <v>75120.0</v>
      </c>
      <c r="Z115" s="25" t="str">
        <f>IFERROR(__xludf.DUMMYFUNCTION("SPLIT(C115,""
"")"),"Beard, Bramlet")</f>
        <v>Beard, Bramlet</v>
      </c>
      <c r="AA115" s="25" t="str">
        <f>IFERROR(__xludf.DUMMYFUNCTION("""COMPUTED_VALUE"""),"PO Box 1224")</f>
        <v>PO Box 1224</v>
      </c>
      <c r="AB115" s="25" t="str">
        <f>IFERROR(__xludf.DUMMYFUNCTION("""COMPUTED_VALUE"""),"Ennis, TX 75120")</f>
        <v>Ennis, TX 75120</v>
      </c>
      <c r="AC115" s="24" t="s">
        <v>350</v>
      </c>
      <c r="AD115" s="25"/>
      <c r="AE115" s="25"/>
      <c r="AF115" s="25"/>
      <c r="AG115" s="40" t="s">
        <v>60</v>
      </c>
      <c r="AH115" s="42">
        <v>2437.0</v>
      </c>
      <c r="AI115" s="40" t="s">
        <v>61</v>
      </c>
      <c r="AJ115" s="27">
        <v>1000.0</v>
      </c>
      <c r="AK115" s="31" t="s">
        <v>25</v>
      </c>
      <c r="AL115" s="43">
        <v>44720.0</v>
      </c>
      <c r="AM115" s="44">
        <v>44754.83237268519</v>
      </c>
      <c r="AN115" s="30">
        <v>2.0</v>
      </c>
      <c r="AO115" s="40"/>
      <c r="AP115" s="40"/>
      <c r="AQ115" s="40"/>
      <c r="AR115" s="40"/>
      <c r="AS115" s="31">
        <f>IFERROR(__xludf.DUMMYFUNCTION("""COMPUTED_VALUE"""),10020.0)</f>
        <v>10020</v>
      </c>
      <c r="AT115" s="45">
        <f t="shared" si="6"/>
        <v>1000</v>
      </c>
      <c r="AU115" s="40"/>
      <c r="AV115" s="46" t="str">
        <f>IFERROR(__xludf.DUMMYFUNCTION("""COMPUTED_VALUE"""),"Luther")</f>
        <v>Luther</v>
      </c>
      <c r="AW115" s="46">
        <f t="shared" si="7"/>
        <v>125</v>
      </c>
      <c r="AX115" s="47">
        <f t="shared" ref="AX115:BQ115" si="455">SUMIFS($AJ:$AJ,$V:$V,$AV115,$AK:$AK,AX$2)</f>
        <v>75</v>
      </c>
      <c r="AY115" s="48">
        <f t="shared" si="455"/>
        <v>0</v>
      </c>
      <c r="AZ115" s="48">
        <f t="shared" si="455"/>
        <v>0</v>
      </c>
      <c r="BA115" s="48">
        <f t="shared" si="455"/>
        <v>0</v>
      </c>
      <c r="BB115" s="48">
        <f t="shared" si="455"/>
        <v>50</v>
      </c>
      <c r="BC115" s="48">
        <f t="shared" si="455"/>
        <v>0</v>
      </c>
      <c r="BD115" s="48">
        <f t="shared" si="455"/>
        <v>0</v>
      </c>
      <c r="BE115" s="48">
        <f t="shared" si="455"/>
        <v>0</v>
      </c>
      <c r="BF115" s="48">
        <f t="shared" si="455"/>
        <v>0</v>
      </c>
      <c r="BG115" s="48">
        <f t="shared" si="455"/>
        <v>0</v>
      </c>
      <c r="BH115" s="48">
        <f t="shared" si="455"/>
        <v>0</v>
      </c>
      <c r="BI115" s="48">
        <f t="shared" si="455"/>
        <v>0</v>
      </c>
      <c r="BJ115" s="48">
        <f t="shared" si="455"/>
        <v>0</v>
      </c>
      <c r="BK115" s="48">
        <f t="shared" si="455"/>
        <v>0</v>
      </c>
      <c r="BL115" s="48">
        <f t="shared" si="455"/>
        <v>0</v>
      </c>
      <c r="BM115" s="48">
        <f t="shared" si="455"/>
        <v>0</v>
      </c>
      <c r="BN115" s="48">
        <f t="shared" si="455"/>
        <v>0</v>
      </c>
      <c r="BO115" s="48">
        <f t="shared" si="455"/>
        <v>0</v>
      </c>
      <c r="BP115" s="48">
        <f t="shared" si="455"/>
        <v>0</v>
      </c>
      <c r="BQ115" s="48">
        <f t="shared" si="455"/>
        <v>0</v>
      </c>
      <c r="BR115" s="36">
        <f t="shared" si="9"/>
        <v>0</v>
      </c>
      <c r="BS115" s="38">
        <f t="shared" si="10"/>
        <v>1</v>
      </c>
      <c r="BT115" s="49">
        <f t="shared" si="11"/>
        <v>0</v>
      </c>
      <c r="BU115" s="38">
        <f t="shared" si="12"/>
        <v>1000</v>
      </c>
      <c r="BV115" s="46" t="str">
        <f>IFERROR(__xludf.DUMMYFUNCTION("""COMPUTED_VALUE"""),"Luther")</f>
        <v>Luther</v>
      </c>
      <c r="BW115" s="46">
        <f t="shared" si="13"/>
        <v>125</v>
      </c>
      <c r="BX115" s="47">
        <f t="shared" ref="BX115:CA115" si="456">AX115-$BU115</f>
        <v>-925</v>
      </c>
      <c r="BY115" s="47">
        <f t="shared" si="456"/>
        <v>-1000</v>
      </c>
      <c r="BZ115" s="47">
        <f t="shared" si="456"/>
        <v>-1000</v>
      </c>
      <c r="CA115" s="47">
        <f t="shared" si="456"/>
        <v>-1000</v>
      </c>
      <c r="CB115" s="47">
        <f t="shared" si="15"/>
        <v>-9950</v>
      </c>
      <c r="CC115" s="47">
        <f t="shared" ref="CC115:CQ115" si="457">BC115-$BU115</f>
        <v>-1000</v>
      </c>
      <c r="CD115" s="47">
        <f t="shared" si="457"/>
        <v>-1000</v>
      </c>
      <c r="CE115" s="47">
        <f t="shared" si="457"/>
        <v>-1000</v>
      </c>
      <c r="CF115" s="47">
        <f t="shared" si="457"/>
        <v>-1000</v>
      </c>
      <c r="CG115" s="47">
        <f t="shared" si="457"/>
        <v>-1000</v>
      </c>
      <c r="CH115" s="47">
        <f t="shared" si="457"/>
        <v>-1000</v>
      </c>
      <c r="CI115" s="47">
        <f t="shared" si="457"/>
        <v>-1000</v>
      </c>
      <c r="CJ115" s="47">
        <f t="shared" si="457"/>
        <v>-1000</v>
      </c>
      <c r="CK115" s="47">
        <f t="shared" si="457"/>
        <v>-1000</v>
      </c>
      <c r="CL115" s="47">
        <f t="shared" si="457"/>
        <v>-1000</v>
      </c>
      <c r="CM115" s="47">
        <f t="shared" si="457"/>
        <v>-1000</v>
      </c>
      <c r="CN115" s="47">
        <f t="shared" si="457"/>
        <v>-1000</v>
      </c>
      <c r="CO115" s="47">
        <f t="shared" si="457"/>
        <v>-1000</v>
      </c>
      <c r="CP115" s="47">
        <f t="shared" si="457"/>
        <v>-1000</v>
      </c>
      <c r="CQ115" s="47">
        <f t="shared" si="457"/>
        <v>-1000</v>
      </c>
      <c r="CR115" s="47"/>
      <c r="CS115" s="47"/>
      <c r="CT115" s="47"/>
      <c r="CU115" s="50" t="str">
        <f>IFERROR(__xludf.DUMMYFUNCTION("""COMPUTED_VALUE"""),"1219 Coronado Lane
Duncanville, TX 75137          ")</f>
        <v>1219 Coronado Lane
Duncanville, TX 75137          </v>
      </c>
      <c r="CV115" s="51">
        <f>IFERROR(__xludf.DUMMYFUNCTION("IF(REGEXMATCH(UPPER(CU115), ""TX""),0,1)"),0.0)</f>
        <v>0</v>
      </c>
      <c r="CW115" s="51">
        <f>IFERROR(__xludf.DUMMYFUNCTION("IF(REGEXMATCH(UPPER(CU115), ""DALLAS""),0,1)"),1.0)</f>
        <v>1</v>
      </c>
      <c r="CX115" s="51">
        <f t="shared" si="17"/>
        <v>0</v>
      </c>
      <c r="CY115" s="51">
        <f t="shared" si="18"/>
        <v>500</v>
      </c>
      <c r="CZ115" s="52" t="str">
        <f t="shared" si="19"/>
        <v>1219 Coronado Lane
Duncanville, TX 75137          </v>
      </c>
      <c r="DA115" s="58"/>
      <c r="DB115" s="52"/>
      <c r="DC115" s="52"/>
      <c r="DD115" s="52"/>
      <c r="DE115" s="52"/>
      <c r="DF115" s="52"/>
      <c r="DG115" s="52"/>
      <c r="DH115" s="52"/>
      <c r="DI115" s="52"/>
      <c r="DJ115" s="52"/>
      <c r="DK115" s="52"/>
      <c r="DL115" s="52"/>
      <c r="DM115" s="52"/>
      <c r="DN115" s="52"/>
      <c r="DO115" s="52"/>
      <c r="DP115" s="52"/>
      <c r="DQ115" s="52"/>
      <c r="DR115" s="52"/>
      <c r="DS115" s="52"/>
      <c r="DT115" s="52"/>
      <c r="DU115" s="52"/>
      <c r="DV115" s="52"/>
      <c r="DW115" s="52"/>
    </row>
    <row r="116">
      <c r="A116" s="23" t="s">
        <v>64</v>
      </c>
      <c r="B116" s="23" t="s">
        <v>56</v>
      </c>
      <c r="C116" s="31" t="s">
        <v>351</v>
      </c>
      <c r="D116" s="25" t="str">
        <f>IFERROR(__xludf.DUMMYFUNCTION("SPLIT(C116,"" "")"),"Beaver,")</f>
        <v>Beaver,</v>
      </c>
      <c r="E116" s="22" t="str">
        <f>IFERROR(__xludf.DUMMYFUNCTION("""COMPUTED_VALUE"""),"Howell
4232")</f>
        <v>Howell
4232</v>
      </c>
      <c r="F116" s="22" t="str">
        <f>IFERROR(__xludf.DUMMYFUNCTION("""COMPUTED_VALUE"""),"San")</f>
        <v>San</v>
      </c>
      <c r="G116" s="22" t="str">
        <f>IFERROR(__xludf.DUMMYFUNCTION("""COMPUTED_VALUE"""),"Carlos
Dallas,")</f>
        <v>Carlos
Dallas,</v>
      </c>
      <c r="H116" s="22" t="str">
        <f>IFERROR(__xludf.DUMMYFUNCTION("""COMPUTED_VALUE"""),"TX")</f>
        <v>TX</v>
      </c>
      <c r="I116" s="22">
        <f>IFERROR(__xludf.DUMMYFUNCTION("""COMPUTED_VALUE"""),75205.0)</f>
        <v>75205</v>
      </c>
      <c r="J116" s="22"/>
      <c r="K116" s="22"/>
      <c r="L116" s="22"/>
      <c r="M116" s="22"/>
      <c r="N116" s="22"/>
      <c r="O116" s="22"/>
      <c r="P116" s="22"/>
      <c r="Q116" s="22"/>
      <c r="R116" s="22"/>
      <c r="S116" s="22"/>
      <c r="T116" s="22"/>
      <c r="U116" s="24" t="str">
        <f>IFERROR(__xludf.DUMMYFUNCTION("SPLIT(E116,""01234567890"")"),"Howell
")</f>
        <v>Howell
</v>
      </c>
      <c r="V116" s="24" t="str">
        <f>IFERROR(__xludf.DUMMYFUNCTION("SPLIT(D116,"","")"),"Beaver")</f>
        <v>Beaver</v>
      </c>
      <c r="W116" s="25" t="str">
        <f t="shared" si="1"/>
        <v>HOWELL
 BEAVER</v>
      </c>
      <c r="X116" s="25" t="s">
        <v>352</v>
      </c>
      <c r="Y116" s="25">
        <v>75205.0</v>
      </c>
      <c r="Z116" s="25" t="str">
        <f>IFERROR(__xludf.DUMMYFUNCTION("SPLIT(C116,""
"")"),"Beaver, Howell")</f>
        <v>Beaver, Howell</v>
      </c>
      <c r="AA116" s="25" t="str">
        <f>IFERROR(__xludf.DUMMYFUNCTION("""COMPUTED_VALUE"""),"4232 San Carlos")</f>
        <v>4232 San Carlos</v>
      </c>
      <c r="AB116" s="25" t="str">
        <f>IFERROR(__xludf.DUMMYFUNCTION("""COMPUTED_VALUE"""),"Dallas, TX 75205")</f>
        <v>Dallas, TX 75205</v>
      </c>
      <c r="AC116" s="24" t="s">
        <v>353</v>
      </c>
      <c r="AD116" s="25"/>
      <c r="AE116" s="25"/>
      <c r="AF116" s="25"/>
      <c r="AG116" s="22" t="s">
        <v>60</v>
      </c>
      <c r="AH116" s="54">
        <v>2441.0</v>
      </c>
      <c r="AI116" s="22" t="s">
        <v>61</v>
      </c>
      <c r="AJ116" s="27">
        <v>950.0</v>
      </c>
      <c r="AK116" s="31" t="s">
        <v>21</v>
      </c>
      <c r="AL116" s="28">
        <v>44692.0</v>
      </c>
      <c r="AM116" s="29">
        <v>44756.4640625</v>
      </c>
      <c r="AN116" s="30">
        <v>2.0</v>
      </c>
      <c r="AO116" s="22"/>
      <c r="AP116" s="22"/>
      <c r="AQ116" s="22"/>
      <c r="AR116" s="22"/>
      <c r="AS116" s="31">
        <f>IFERROR(__xludf.DUMMYFUNCTION("""COMPUTED_VALUE"""),75001.0)</f>
        <v>75001</v>
      </c>
      <c r="AT116" s="45">
        <f t="shared" si="6"/>
        <v>500</v>
      </c>
      <c r="AU116" s="22"/>
      <c r="AV116" s="57" t="str">
        <f>IFERROR(__xludf.DUMMYFUNCTION("""COMPUTED_VALUE"""),"Goodwin")</f>
        <v>Goodwin</v>
      </c>
      <c r="AW116" s="46">
        <f t="shared" si="7"/>
        <v>189.7</v>
      </c>
      <c r="AX116" s="47">
        <f t="shared" ref="AX116:BQ116" si="458">SUMIFS($AJ:$AJ,$V:$V,$AV116,$AK:$AK,AX$2)</f>
        <v>189.7</v>
      </c>
      <c r="AY116" s="48">
        <f t="shared" si="458"/>
        <v>0</v>
      </c>
      <c r="AZ116" s="48">
        <f t="shared" si="458"/>
        <v>0</v>
      </c>
      <c r="BA116" s="48">
        <f t="shared" si="458"/>
        <v>0</v>
      </c>
      <c r="BB116" s="48">
        <f t="shared" si="458"/>
        <v>0</v>
      </c>
      <c r="BC116" s="48">
        <f t="shared" si="458"/>
        <v>0</v>
      </c>
      <c r="BD116" s="48">
        <f t="shared" si="458"/>
        <v>0</v>
      </c>
      <c r="BE116" s="48">
        <f t="shared" si="458"/>
        <v>0</v>
      </c>
      <c r="BF116" s="48">
        <f t="shared" si="458"/>
        <v>0</v>
      </c>
      <c r="BG116" s="48">
        <f t="shared" si="458"/>
        <v>0</v>
      </c>
      <c r="BH116" s="48">
        <f t="shared" si="458"/>
        <v>0</v>
      </c>
      <c r="BI116" s="48">
        <f t="shared" si="458"/>
        <v>0</v>
      </c>
      <c r="BJ116" s="48">
        <f t="shared" si="458"/>
        <v>0</v>
      </c>
      <c r="BK116" s="48">
        <f t="shared" si="458"/>
        <v>0</v>
      </c>
      <c r="BL116" s="48">
        <f t="shared" si="458"/>
        <v>0</v>
      </c>
      <c r="BM116" s="48">
        <f t="shared" si="458"/>
        <v>0</v>
      </c>
      <c r="BN116" s="48">
        <f t="shared" si="458"/>
        <v>0</v>
      </c>
      <c r="BO116" s="48">
        <f t="shared" si="458"/>
        <v>0</v>
      </c>
      <c r="BP116" s="48">
        <f t="shared" si="458"/>
        <v>0</v>
      </c>
      <c r="BQ116" s="48">
        <f t="shared" si="458"/>
        <v>0</v>
      </c>
      <c r="BR116" s="36">
        <f t="shared" si="9"/>
        <v>0</v>
      </c>
      <c r="BS116" s="38">
        <f t="shared" si="10"/>
        <v>1</v>
      </c>
      <c r="BT116" s="49">
        <f t="shared" si="11"/>
        <v>0</v>
      </c>
      <c r="BU116" s="38">
        <f t="shared" si="12"/>
        <v>1000</v>
      </c>
      <c r="BV116" s="57" t="str">
        <f>IFERROR(__xludf.DUMMYFUNCTION("""COMPUTED_VALUE"""),"Goodwin")</f>
        <v>Goodwin</v>
      </c>
      <c r="BW116" s="46">
        <f t="shared" si="13"/>
        <v>189.7</v>
      </c>
      <c r="BX116" s="47">
        <f t="shared" ref="BX116:CA116" si="459">AX116-$BU116</f>
        <v>-810.3</v>
      </c>
      <c r="BY116" s="47">
        <f t="shared" si="459"/>
        <v>-1000</v>
      </c>
      <c r="BZ116" s="47">
        <f t="shared" si="459"/>
        <v>-1000</v>
      </c>
      <c r="CA116" s="47">
        <f t="shared" si="459"/>
        <v>-1000</v>
      </c>
      <c r="CB116" s="47">
        <f t="shared" si="15"/>
        <v>-10000</v>
      </c>
      <c r="CC116" s="47">
        <f t="shared" ref="CC116:CQ116" si="460">BC116-$BU116</f>
        <v>-1000</v>
      </c>
      <c r="CD116" s="47">
        <f t="shared" si="460"/>
        <v>-1000</v>
      </c>
      <c r="CE116" s="47">
        <f t="shared" si="460"/>
        <v>-1000</v>
      </c>
      <c r="CF116" s="47">
        <f t="shared" si="460"/>
        <v>-1000</v>
      </c>
      <c r="CG116" s="47">
        <f t="shared" si="460"/>
        <v>-1000</v>
      </c>
      <c r="CH116" s="47">
        <f t="shared" si="460"/>
        <v>-1000</v>
      </c>
      <c r="CI116" s="47">
        <f t="shared" si="460"/>
        <v>-1000</v>
      </c>
      <c r="CJ116" s="47">
        <f t="shared" si="460"/>
        <v>-1000</v>
      </c>
      <c r="CK116" s="47">
        <f t="shared" si="460"/>
        <v>-1000</v>
      </c>
      <c r="CL116" s="47">
        <f t="shared" si="460"/>
        <v>-1000</v>
      </c>
      <c r="CM116" s="47">
        <f t="shared" si="460"/>
        <v>-1000</v>
      </c>
      <c r="CN116" s="47">
        <f t="shared" si="460"/>
        <v>-1000</v>
      </c>
      <c r="CO116" s="47">
        <f t="shared" si="460"/>
        <v>-1000</v>
      </c>
      <c r="CP116" s="47">
        <f t="shared" si="460"/>
        <v>-1000</v>
      </c>
      <c r="CQ116" s="47">
        <f t="shared" si="460"/>
        <v>-1000</v>
      </c>
      <c r="CR116" s="47"/>
      <c r="CS116" s="47"/>
      <c r="CT116" s="47"/>
      <c r="CU116" s="50" t="str">
        <f>IFERROR(__xludf.DUMMYFUNCTION("""COMPUTED_VALUE"""),"1219 Coronado Ln
Duncanville, TX 75137          ")</f>
        <v>1219 Coronado Ln
Duncanville, TX 75137          </v>
      </c>
      <c r="CV116" s="51">
        <f>IFERROR(__xludf.DUMMYFUNCTION("IF(REGEXMATCH(UPPER(CU116), ""TX""),0,1)"),0.0)</f>
        <v>0</v>
      </c>
      <c r="CW116" s="51">
        <f>IFERROR(__xludf.DUMMYFUNCTION("IF(REGEXMATCH(UPPER(CU116), ""DALLAS""),0,1)"),1.0)</f>
        <v>1</v>
      </c>
      <c r="CX116" s="51">
        <f t="shared" si="17"/>
        <v>0</v>
      </c>
      <c r="CY116" s="51">
        <f t="shared" si="18"/>
        <v>50</v>
      </c>
      <c r="CZ116" s="52" t="str">
        <f t="shared" si="19"/>
        <v>1219 Coronado Ln
Duncanville, TX 75137          </v>
      </c>
      <c r="DA116" s="58"/>
      <c r="DB116" s="52"/>
      <c r="DC116" s="52"/>
      <c r="DD116" s="52"/>
      <c r="DE116" s="52"/>
      <c r="DF116" s="52"/>
      <c r="DG116" s="52"/>
      <c r="DH116" s="52"/>
      <c r="DI116" s="52"/>
      <c r="DJ116" s="52"/>
      <c r="DK116" s="52"/>
      <c r="DL116" s="52"/>
      <c r="DM116" s="52"/>
      <c r="DN116" s="52"/>
      <c r="DO116" s="52"/>
      <c r="DP116" s="52"/>
      <c r="DQ116" s="52"/>
      <c r="DR116" s="52"/>
      <c r="DS116" s="52"/>
      <c r="DT116" s="52"/>
      <c r="DU116" s="52"/>
      <c r="DV116" s="52"/>
      <c r="DW116" s="52"/>
    </row>
    <row r="117">
      <c r="A117" s="41" t="s">
        <v>64</v>
      </c>
      <c r="B117" s="41" t="s">
        <v>56</v>
      </c>
      <c r="C117" s="31" t="s">
        <v>354</v>
      </c>
      <c r="D117" s="25" t="str">
        <f>IFERROR(__xludf.DUMMYFUNCTION("SPLIT(C117,"" "")"),"Becker,")</f>
        <v>Becker,</v>
      </c>
      <c r="E117" s="40" t="str">
        <f>IFERROR(__xludf.DUMMYFUNCTION("""COMPUTED_VALUE"""),"Will
304")</f>
        <v>Will
304</v>
      </c>
      <c r="F117" s="40" t="str">
        <f>IFERROR(__xludf.DUMMYFUNCTION("""COMPUTED_VALUE"""),"Town")</f>
        <v>Town</v>
      </c>
      <c r="G117" s="40" t="str">
        <f>IFERROR(__xludf.DUMMYFUNCTION("""COMPUTED_VALUE"""),"East")</f>
        <v>East</v>
      </c>
      <c r="H117" s="40" t="str">
        <f>IFERROR(__xludf.DUMMYFUNCTION("""COMPUTED_VALUE"""),"Blvd
Sunnyvale,")</f>
        <v>Blvd
Sunnyvale,</v>
      </c>
      <c r="I117" s="40" t="str">
        <f>IFERROR(__xludf.DUMMYFUNCTION("""COMPUTED_VALUE"""),"TX")</f>
        <v>TX</v>
      </c>
      <c r="J117" s="40">
        <f>IFERROR(__xludf.DUMMYFUNCTION("""COMPUTED_VALUE"""),75182.0)</f>
        <v>75182</v>
      </c>
      <c r="K117" s="40"/>
      <c r="L117" s="40"/>
      <c r="M117" s="40"/>
      <c r="N117" s="40"/>
      <c r="O117" s="40"/>
      <c r="P117" s="40"/>
      <c r="Q117" s="40"/>
      <c r="R117" s="40"/>
      <c r="S117" s="40"/>
      <c r="T117" s="40"/>
      <c r="U117" s="24" t="str">
        <f>IFERROR(__xludf.DUMMYFUNCTION("SPLIT(E117,""01234567890"")"),"Will
")</f>
        <v>Will
</v>
      </c>
      <c r="V117" s="24" t="str">
        <f>IFERROR(__xludf.DUMMYFUNCTION("SPLIT(D117,"","")"),"Becker")</f>
        <v>Becker</v>
      </c>
      <c r="W117" s="25" t="str">
        <f t="shared" si="1"/>
        <v>WILL
 BECKER</v>
      </c>
      <c r="X117" s="25" t="s">
        <v>355</v>
      </c>
      <c r="Y117" s="25">
        <v>75182.0</v>
      </c>
      <c r="Z117" s="25" t="str">
        <f>IFERROR(__xludf.DUMMYFUNCTION("SPLIT(C117,""
"")"),"Becker, Will")</f>
        <v>Becker, Will</v>
      </c>
      <c r="AA117" s="25" t="str">
        <f>IFERROR(__xludf.DUMMYFUNCTION("""COMPUTED_VALUE"""),"304 Town East Blvd")</f>
        <v>304 Town East Blvd</v>
      </c>
      <c r="AB117" s="25" t="str">
        <f>IFERROR(__xludf.DUMMYFUNCTION("""COMPUTED_VALUE"""),"Sunnyvale, TX 75182")</f>
        <v>Sunnyvale, TX 75182</v>
      </c>
      <c r="AC117" s="24" t="s">
        <v>356</v>
      </c>
      <c r="AD117" s="25"/>
      <c r="AE117" s="25"/>
      <c r="AF117" s="25"/>
      <c r="AG117" s="40" t="s">
        <v>60</v>
      </c>
      <c r="AH117" s="42">
        <v>2481.0</v>
      </c>
      <c r="AI117" s="40" t="s">
        <v>68</v>
      </c>
      <c r="AJ117" s="27">
        <v>1000.0</v>
      </c>
      <c r="AK117" s="31" t="s">
        <v>25</v>
      </c>
      <c r="AL117" s="43">
        <v>44834.0</v>
      </c>
      <c r="AM117" s="44">
        <v>44937.81995370371</v>
      </c>
      <c r="AN117" s="30">
        <v>2.0</v>
      </c>
      <c r="AO117" s="40"/>
      <c r="AP117" s="40"/>
      <c r="AQ117" s="40"/>
      <c r="AR117" s="40"/>
      <c r="AS117" s="31">
        <f>IFERROR(__xludf.DUMMYFUNCTION("""COMPUTED_VALUE"""),75063.0)</f>
        <v>75063</v>
      </c>
      <c r="AT117" s="45">
        <f t="shared" si="6"/>
        <v>1000</v>
      </c>
      <c r="AU117" s="40"/>
      <c r="AV117" s="46" t="str">
        <f>IFERROR(__xludf.DUMMYFUNCTION("""COMPUTED_VALUE"""),"Fay")</f>
        <v>Fay</v>
      </c>
      <c r="AW117" s="46">
        <f t="shared" si="7"/>
        <v>1000</v>
      </c>
      <c r="AX117" s="47">
        <f t="shared" ref="AX117:BQ117" si="461">SUMIFS($AJ:$AJ,$V:$V,$AV117,$AK:$AK,AX$2)</f>
        <v>1000</v>
      </c>
      <c r="AY117" s="48">
        <f t="shared" si="461"/>
        <v>0</v>
      </c>
      <c r="AZ117" s="48">
        <f t="shared" si="461"/>
        <v>0</v>
      </c>
      <c r="BA117" s="48">
        <f t="shared" si="461"/>
        <v>0</v>
      </c>
      <c r="BB117" s="48">
        <f t="shared" si="461"/>
        <v>0</v>
      </c>
      <c r="BC117" s="48">
        <f t="shared" si="461"/>
        <v>0</v>
      </c>
      <c r="BD117" s="48">
        <f t="shared" si="461"/>
        <v>0</v>
      </c>
      <c r="BE117" s="48">
        <f t="shared" si="461"/>
        <v>0</v>
      </c>
      <c r="BF117" s="48">
        <f t="shared" si="461"/>
        <v>0</v>
      </c>
      <c r="BG117" s="48">
        <f t="shared" si="461"/>
        <v>0</v>
      </c>
      <c r="BH117" s="48">
        <f t="shared" si="461"/>
        <v>0</v>
      </c>
      <c r="BI117" s="48">
        <f t="shared" si="461"/>
        <v>0</v>
      </c>
      <c r="BJ117" s="48">
        <f t="shared" si="461"/>
        <v>0</v>
      </c>
      <c r="BK117" s="48">
        <f t="shared" si="461"/>
        <v>0</v>
      </c>
      <c r="BL117" s="48">
        <f t="shared" si="461"/>
        <v>0</v>
      </c>
      <c r="BM117" s="48">
        <f t="shared" si="461"/>
        <v>0</v>
      </c>
      <c r="BN117" s="48">
        <f t="shared" si="461"/>
        <v>0</v>
      </c>
      <c r="BO117" s="48">
        <f t="shared" si="461"/>
        <v>0</v>
      </c>
      <c r="BP117" s="48">
        <f t="shared" si="461"/>
        <v>0</v>
      </c>
      <c r="BQ117" s="48">
        <f t="shared" si="461"/>
        <v>0</v>
      </c>
      <c r="BR117" s="36">
        <f t="shared" si="9"/>
        <v>0</v>
      </c>
      <c r="BS117" s="38">
        <f t="shared" si="10"/>
        <v>1</v>
      </c>
      <c r="BT117" s="49">
        <f t="shared" si="11"/>
        <v>0</v>
      </c>
      <c r="BU117" s="38">
        <f t="shared" si="12"/>
        <v>1000</v>
      </c>
      <c r="BV117" s="46" t="str">
        <f>IFERROR(__xludf.DUMMYFUNCTION("""COMPUTED_VALUE"""),"Fay")</f>
        <v>Fay</v>
      </c>
      <c r="BW117" s="46">
        <f t="shared" si="13"/>
        <v>1000</v>
      </c>
      <c r="BX117" s="47">
        <f t="shared" ref="BX117:CA117" si="462">AX117-$BU117</f>
        <v>0</v>
      </c>
      <c r="BY117" s="47">
        <f t="shared" si="462"/>
        <v>-1000</v>
      </c>
      <c r="BZ117" s="47">
        <f t="shared" si="462"/>
        <v>-1000</v>
      </c>
      <c r="CA117" s="47">
        <f t="shared" si="462"/>
        <v>-1000</v>
      </c>
      <c r="CB117" s="47">
        <f t="shared" si="15"/>
        <v>-10000</v>
      </c>
      <c r="CC117" s="47">
        <f t="shared" ref="CC117:CQ117" si="463">BC117-$BU117</f>
        <v>-1000</v>
      </c>
      <c r="CD117" s="47">
        <f t="shared" si="463"/>
        <v>-1000</v>
      </c>
      <c r="CE117" s="47">
        <f t="shared" si="463"/>
        <v>-1000</v>
      </c>
      <c r="CF117" s="47">
        <f t="shared" si="463"/>
        <v>-1000</v>
      </c>
      <c r="CG117" s="47">
        <f t="shared" si="463"/>
        <v>-1000</v>
      </c>
      <c r="CH117" s="47">
        <f t="shared" si="463"/>
        <v>-1000</v>
      </c>
      <c r="CI117" s="47">
        <f t="shared" si="463"/>
        <v>-1000</v>
      </c>
      <c r="CJ117" s="47">
        <f t="shared" si="463"/>
        <v>-1000</v>
      </c>
      <c r="CK117" s="47">
        <f t="shared" si="463"/>
        <v>-1000</v>
      </c>
      <c r="CL117" s="47">
        <f t="shared" si="463"/>
        <v>-1000</v>
      </c>
      <c r="CM117" s="47">
        <f t="shared" si="463"/>
        <v>-1000</v>
      </c>
      <c r="CN117" s="47">
        <f t="shared" si="463"/>
        <v>-1000</v>
      </c>
      <c r="CO117" s="47">
        <f t="shared" si="463"/>
        <v>-1000</v>
      </c>
      <c r="CP117" s="47">
        <f t="shared" si="463"/>
        <v>-1000</v>
      </c>
      <c r="CQ117" s="47">
        <f t="shared" si="463"/>
        <v>-1000</v>
      </c>
      <c r="CR117" s="47"/>
      <c r="CS117" s="47"/>
      <c r="CT117" s="47"/>
      <c r="CU117" s="50" t="str">
        <f>IFERROR(__xludf.DUMMYFUNCTION("""COMPUTED_VALUE"""),"9762 
Dallas, TX 75220           ")</f>
        <v>9762 
Dallas, TX 75220           </v>
      </c>
      <c r="CV117" s="51">
        <f>IFERROR(__xludf.DUMMYFUNCTION("IF(REGEXMATCH(UPPER(CU117), ""TX""),0,1)"),0.0)</f>
        <v>0</v>
      </c>
      <c r="CW117" s="51">
        <f>IFERROR(__xludf.DUMMYFUNCTION("IF(REGEXMATCH(UPPER(CU117), ""DALLAS""),0,1)"),0.0)</f>
        <v>0</v>
      </c>
      <c r="CX117" s="51">
        <f t="shared" si="17"/>
        <v>0</v>
      </c>
      <c r="CY117" s="51">
        <f t="shared" si="18"/>
        <v>0</v>
      </c>
      <c r="CZ117" s="52" t="str">
        <f t="shared" si="19"/>
        <v/>
      </c>
      <c r="DA117" s="58"/>
      <c r="DB117" s="52"/>
      <c r="DC117" s="52"/>
      <c r="DD117" s="52"/>
      <c r="DE117" s="52"/>
      <c r="DF117" s="52"/>
      <c r="DG117" s="52"/>
      <c r="DH117" s="52"/>
      <c r="DI117" s="52"/>
      <c r="DJ117" s="52"/>
      <c r="DK117" s="52"/>
      <c r="DL117" s="52"/>
      <c r="DM117" s="52"/>
      <c r="DN117" s="52"/>
      <c r="DO117" s="52"/>
      <c r="DP117" s="52"/>
      <c r="DQ117" s="52"/>
      <c r="DR117" s="52"/>
      <c r="DS117" s="52"/>
      <c r="DT117" s="52"/>
      <c r="DU117" s="52"/>
      <c r="DV117" s="52"/>
      <c r="DW117" s="52"/>
    </row>
    <row r="118">
      <c r="A118" s="23" t="s">
        <v>64</v>
      </c>
      <c r="B118" s="23" t="s">
        <v>56</v>
      </c>
      <c r="C118" s="31" t="s">
        <v>354</v>
      </c>
      <c r="D118" s="25" t="str">
        <f>IFERROR(__xludf.DUMMYFUNCTION("SPLIT(C118,"" "")"),"Becker,")</f>
        <v>Becker,</v>
      </c>
      <c r="E118" s="22" t="str">
        <f>IFERROR(__xludf.DUMMYFUNCTION("""COMPUTED_VALUE"""),"Will
304")</f>
        <v>Will
304</v>
      </c>
      <c r="F118" s="22" t="str">
        <f>IFERROR(__xludf.DUMMYFUNCTION("""COMPUTED_VALUE"""),"Town")</f>
        <v>Town</v>
      </c>
      <c r="G118" s="22" t="str">
        <f>IFERROR(__xludf.DUMMYFUNCTION("""COMPUTED_VALUE"""),"East")</f>
        <v>East</v>
      </c>
      <c r="H118" s="22" t="str">
        <f>IFERROR(__xludf.DUMMYFUNCTION("""COMPUTED_VALUE"""),"Blvd
Sunnyvale,")</f>
        <v>Blvd
Sunnyvale,</v>
      </c>
      <c r="I118" s="22" t="str">
        <f>IFERROR(__xludf.DUMMYFUNCTION("""COMPUTED_VALUE"""),"TX")</f>
        <v>TX</v>
      </c>
      <c r="J118" s="22">
        <f>IFERROR(__xludf.DUMMYFUNCTION("""COMPUTED_VALUE"""),75182.0)</f>
        <v>75182</v>
      </c>
      <c r="K118" s="22"/>
      <c r="L118" s="22"/>
      <c r="M118" s="22"/>
      <c r="N118" s="22"/>
      <c r="O118" s="22"/>
      <c r="P118" s="22"/>
      <c r="Q118" s="22"/>
      <c r="R118" s="22"/>
      <c r="S118" s="22"/>
      <c r="T118" s="22"/>
      <c r="U118" s="24" t="str">
        <f>IFERROR(__xludf.DUMMYFUNCTION("SPLIT(E118,""01234567890"")"),"Will
")</f>
        <v>Will
</v>
      </c>
      <c r="V118" s="24" t="str">
        <f>IFERROR(__xludf.DUMMYFUNCTION("SPLIT(D118,"","")"),"Becker")</f>
        <v>Becker</v>
      </c>
      <c r="W118" s="25" t="str">
        <f t="shared" si="1"/>
        <v>WILL
 BECKER</v>
      </c>
      <c r="X118" s="25" t="s">
        <v>355</v>
      </c>
      <c r="Y118" s="25">
        <v>75182.0</v>
      </c>
      <c r="Z118" s="25" t="str">
        <f>IFERROR(__xludf.DUMMYFUNCTION("SPLIT(C118,""
"")"),"Becker, Will")</f>
        <v>Becker, Will</v>
      </c>
      <c r="AA118" s="25" t="str">
        <f>IFERROR(__xludf.DUMMYFUNCTION("""COMPUTED_VALUE"""),"304 Town East Blvd")</f>
        <v>304 Town East Blvd</v>
      </c>
      <c r="AB118" s="25" t="str">
        <f>IFERROR(__xludf.DUMMYFUNCTION("""COMPUTED_VALUE"""),"Sunnyvale, TX 75182")</f>
        <v>Sunnyvale, TX 75182</v>
      </c>
      <c r="AC118" s="24" t="s">
        <v>356</v>
      </c>
      <c r="AD118" s="25"/>
      <c r="AE118" s="25"/>
      <c r="AF118" s="25"/>
      <c r="AG118" s="22" t="s">
        <v>60</v>
      </c>
      <c r="AH118" s="54">
        <v>2481.0</v>
      </c>
      <c r="AI118" s="22" t="s">
        <v>68</v>
      </c>
      <c r="AJ118" s="27">
        <v>1000.0</v>
      </c>
      <c r="AK118" s="31" t="s">
        <v>25</v>
      </c>
      <c r="AL118" s="28">
        <v>44867.0</v>
      </c>
      <c r="AM118" s="29">
        <v>44937.81995370371</v>
      </c>
      <c r="AN118" s="30">
        <v>2.0</v>
      </c>
      <c r="AO118" s="22"/>
      <c r="AP118" s="22"/>
      <c r="AQ118" s="22"/>
      <c r="AR118" s="22"/>
      <c r="AS118" s="31">
        <f>IFERROR(__xludf.DUMMYFUNCTION("""COMPUTED_VALUE"""),85268.0)</f>
        <v>85268</v>
      </c>
      <c r="AT118" s="45">
        <f t="shared" si="6"/>
        <v>500</v>
      </c>
      <c r="AU118" s="22"/>
      <c r="AV118" s="57" t="str">
        <f>IFERROR(__xludf.DUMMYFUNCTION("""COMPUTED_VALUE"""),"Jalomo")</f>
        <v>Jalomo</v>
      </c>
      <c r="AW118" s="46">
        <f t="shared" si="7"/>
        <v>250</v>
      </c>
      <c r="AX118" s="47">
        <f t="shared" ref="AX118:BQ118" si="464">SUMIFS($AJ:$AJ,$V:$V,$AV118,$AK:$AK,AX$2)</f>
        <v>250</v>
      </c>
      <c r="AY118" s="48">
        <f t="shared" si="464"/>
        <v>0</v>
      </c>
      <c r="AZ118" s="48">
        <f t="shared" si="464"/>
        <v>0</v>
      </c>
      <c r="BA118" s="48">
        <f t="shared" si="464"/>
        <v>0</v>
      </c>
      <c r="BB118" s="48">
        <f t="shared" si="464"/>
        <v>0</v>
      </c>
      <c r="BC118" s="48">
        <f t="shared" si="464"/>
        <v>0</v>
      </c>
      <c r="BD118" s="48">
        <f t="shared" si="464"/>
        <v>0</v>
      </c>
      <c r="BE118" s="48">
        <f t="shared" si="464"/>
        <v>0</v>
      </c>
      <c r="BF118" s="48">
        <f t="shared" si="464"/>
        <v>0</v>
      </c>
      <c r="BG118" s="48">
        <f t="shared" si="464"/>
        <v>0</v>
      </c>
      <c r="BH118" s="48">
        <f t="shared" si="464"/>
        <v>0</v>
      </c>
      <c r="BI118" s="48">
        <f t="shared" si="464"/>
        <v>0</v>
      </c>
      <c r="BJ118" s="48">
        <f t="shared" si="464"/>
        <v>0</v>
      </c>
      <c r="BK118" s="48">
        <f t="shared" si="464"/>
        <v>0</v>
      </c>
      <c r="BL118" s="48">
        <f t="shared" si="464"/>
        <v>0</v>
      </c>
      <c r="BM118" s="48">
        <f t="shared" si="464"/>
        <v>0</v>
      </c>
      <c r="BN118" s="48">
        <f t="shared" si="464"/>
        <v>0</v>
      </c>
      <c r="BO118" s="48">
        <f t="shared" si="464"/>
        <v>0</v>
      </c>
      <c r="BP118" s="48">
        <f t="shared" si="464"/>
        <v>0</v>
      </c>
      <c r="BQ118" s="48">
        <f t="shared" si="464"/>
        <v>0</v>
      </c>
      <c r="BR118" s="36">
        <f t="shared" si="9"/>
        <v>0</v>
      </c>
      <c r="BS118" s="38">
        <f t="shared" si="10"/>
        <v>1</v>
      </c>
      <c r="BT118" s="49">
        <f t="shared" si="11"/>
        <v>0</v>
      </c>
      <c r="BU118" s="38">
        <f t="shared" si="12"/>
        <v>1000</v>
      </c>
      <c r="BV118" s="57" t="str">
        <f>IFERROR(__xludf.DUMMYFUNCTION("""COMPUTED_VALUE"""),"Jalomo")</f>
        <v>Jalomo</v>
      </c>
      <c r="BW118" s="46">
        <f t="shared" si="13"/>
        <v>250</v>
      </c>
      <c r="BX118" s="47">
        <f t="shared" ref="BX118:CA118" si="465">AX118-$BU118</f>
        <v>-750</v>
      </c>
      <c r="BY118" s="47">
        <f t="shared" si="465"/>
        <v>-1000</v>
      </c>
      <c r="BZ118" s="47">
        <f t="shared" si="465"/>
        <v>-1000</v>
      </c>
      <c r="CA118" s="47">
        <f t="shared" si="465"/>
        <v>-1000</v>
      </c>
      <c r="CB118" s="47">
        <f t="shared" si="15"/>
        <v>-10000</v>
      </c>
      <c r="CC118" s="47">
        <f t="shared" ref="CC118:CQ118" si="466">BC118-$BU118</f>
        <v>-1000</v>
      </c>
      <c r="CD118" s="47">
        <f t="shared" si="466"/>
        <v>-1000</v>
      </c>
      <c r="CE118" s="47">
        <f t="shared" si="466"/>
        <v>-1000</v>
      </c>
      <c r="CF118" s="47">
        <f t="shared" si="466"/>
        <v>-1000</v>
      </c>
      <c r="CG118" s="47">
        <f t="shared" si="466"/>
        <v>-1000</v>
      </c>
      <c r="CH118" s="47">
        <f t="shared" si="466"/>
        <v>-1000</v>
      </c>
      <c r="CI118" s="47">
        <f t="shared" si="466"/>
        <v>-1000</v>
      </c>
      <c r="CJ118" s="47">
        <f t="shared" si="466"/>
        <v>-1000</v>
      </c>
      <c r="CK118" s="47">
        <f t="shared" si="466"/>
        <v>-1000</v>
      </c>
      <c r="CL118" s="47">
        <f t="shared" si="466"/>
        <v>-1000</v>
      </c>
      <c r="CM118" s="47">
        <f t="shared" si="466"/>
        <v>-1000</v>
      </c>
      <c r="CN118" s="47">
        <f t="shared" si="466"/>
        <v>-1000</v>
      </c>
      <c r="CO118" s="47">
        <f t="shared" si="466"/>
        <v>-1000</v>
      </c>
      <c r="CP118" s="47">
        <f t="shared" si="466"/>
        <v>-1000</v>
      </c>
      <c r="CQ118" s="47">
        <f t="shared" si="466"/>
        <v>-1000</v>
      </c>
      <c r="CR118" s="47"/>
      <c r="CS118" s="47"/>
      <c r="CT118" s="47"/>
      <c r="CU118" s="50" t="str">
        <f>IFERROR(__xludf.DUMMYFUNCTION("""COMPUTED_VALUE"""),"9762 Audubon Place
Dallas, TX 75220          ")</f>
        <v>9762 Audubon Place
Dallas, TX 75220          </v>
      </c>
      <c r="CV118" s="51">
        <f>IFERROR(__xludf.DUMMYFUNCTION("IF(REGEXMATCH(UPPER(CU118), ""TX""),0,1)"),0.0)</f>
        <v>0</v>
      </c>
      <c r="CW118" s="51">
        <f>IFERROR(__xludf.DUMMYFUNCTION("IF(REGEXMATCH(UPPER(CU118), ""DALLAS""),0,1)"),0.0)</f>
        <v>0</v>
      </c>
      <c r="CX118" s="51">
        <f t="shared" si="17"/>
        <v>0</v>
      </c>
      <c r="CY118" s="51">
        <f t="shared" si="18"/>
        <v>0</v>
      </c>
      <c r="CZ118" s="52" t="str">
        <f t="shared" si="19"/>
        <v/>
      </c>
      <c r="DA118" s="58"/>
      <c r="DB118" s="52"/>
      <c r="DC118" s="52"/>
      <c r="DD118" s="52"/>
      <c r="DE118" s="52"/>
      <c r="DF118" s="52"/>
      <c r="DG118" s="52"/>
      <c r="DH118" s="52"/>
      <c r="DI118" s="52"/>
      <c r="DJ118" s="52"/>
      <c r="DK118" s="52"/>
      <c r="DL118" s="52"/>
      <c r="DM118" s="52"/>
      <c r="DN118" s="52"/>
      <c r="DO118" s="52"/>
      <c r="DP118" s="52"/>
      <c r="DQ118" s="52"/>
      <c r="DR118" s="52"/>
      <c r="DS118" s="52"/>
      <c r="DT118" s="52"/>
      <c r="DU118" s="52"/>
      <c r="DV118" s="52"/>
      <c r="DW118" s="52"/>
    </row>
    <row r="119">
      <c r="A119" s="41" t="s">
        <v>64</v>
      </c>
      <c r="B119" s="41" t="s">
        <v>56</v>
      </c>
      <c r="C119" s="31" t="s">
        <v>357</v>
      </c>
      <c r="D119" s="25" t="str">
        <f>IFERROR(__xludf.DUMMYFUNCTION("SPLIT(C119,"" "")"),"Bedford,")</f>
        <v>Bedford,</v>
      </c>
      <c r="E119" s="40" t="str">
        <f>IFERROR(__xludf.DUMMYFUNCTION("""COMPUTED_VALUE"""),"Calen
1512")</f>
        <v>Calen
1512</v>
      </c>
      <c r="F119" s="40" t="str">
        <f>IFERROR(__xludf.DUMMYFUNCTION("""COMPUTED_VALUE"""),"Commerce")</f>
        <v>Commerce</v>
      </c>
      <c r="G119" s="40" t="str">
        <f>IFERROR(__xludf.DUMMYFUNCTION("""COMPUTED_VALUE"""),"St.
Dallas,")</f>
        <v>St.
Dallas,</v>
      </c>
      <c r="H119" s="40" t="str">
        <f>IFERROR(__xludf.DUMMYFUNCTION("""COMPUTED_VALUE"""),"TX")</f>
        <v>TX</v>
      </c>
      <c r="I119" s="40">
        <f>IFERROR(__xludf.DUMMYFUNCTION("""COMPUTED_VALUE"""),75201.0)</f>
        <v>75201</v>
      </c>
      <c r="J119" s="40"/>
      <c r="K119" s="40"/>
      <c r="L119" s="40"/>
      <c r="M119" s="40"/>
      <c r="N119" s="40"/>
      <c r="O119" s="40"/>
      <c r="P119" s="40"/>
      <c r="Q119" s="40"/>
      <c r="R119" s="40"/>
      <c r="S119" s="40"/>
      <c r="T119" s="40"/>
      <c r="U119" s="24" t="str">
        <f>IFERROR(__xludf.DUMMYFUNCTION("SPLIT(E119,""01234567890"")"),"Calen
")</f>
        <v>Calen
</v>
      </c>
      <c r="V119" s="24" t="str">
        <f>IFERROR(__xludf.DUMMYFUNCTION("SPLIT(D119,"","")"),"Bedford")</f>
        <v>Bedford</v>
      </c>
      <c r="W119" s="25" t="str">
        <f t="shared" si="1"/>
        <v>CALEN
 BEDFORD</v>
      </c>
      <c r="X119" s="25" t="s">
        <v>358</v>
      </c>
      <c r="Y119" s="25">
        <v>75201.0</v>
      </c>
      <c r="Z119" s="25" t="str">
        <f>IFERROR(__xludf.DUMMYFUNCTION("SPLIT(C119,""
"")"),"Bedford, Calen")</f>
        <v>Bedford, Calen</v>
      </c>
      <c r="AA119" s="25" t="str">
        <f>IFERROR(__xludf.DUMMYFUNCTION("""COMPUTED_VALUE"""),"1512 Commerce St.")</f>
        <v>1512 Commerce St.</v>
      </c>
      <c r="AB119" s="25" t="str">
        <f>IFERROR(__xludf.DUMMYFUNCTION("""COMPUTED_VALUE"""),"Dallas, TX 75201")</f>
        <v>Dallas, TX 75201</v>
      </c>
      <c r="AC119" s="24" t="s">
        <v>359</v>
      </c>
      <c r="AD119" s="25"/>
      <c r="AE119" s="25"/>
      <c r="AF119" s="25"/>
      <c r="AG119" s="40" t="s">
        <v>60</v>
      </c>
      <c r="AH119" s="42">
        <v>2448.0</v>
      </c>
      <c r="AI119" s="40" t="s">
        <v>61</v>
      </c>
      <c r="AJ119" s="27">
        <v>50.0</v>
      </c>
      <c r="AK119" s="31" t="s">
        <v>24</v>
      </c>
      <c r="AL119" s="43">
        <v>44719.0</v>
      </c>
      <c r="AM119" s="44">
        <v>44757.44018518519</v>
      </c>
      <c r="AN119" s="30">
        <v>2.0</v>
      </c>
      <c r="AO119" s="40"/>
      <c r="AP119" s="40"/>
      <c r="AQ119" s="40"/>
      <c r="AR119" s="40"/>
      <c r="AS119" s="31">
        <f>IFERROR(__xludf.DUMMYFUNCTION("""COMPUTED_VALUE"""),30312.0)</f>
        <v>30312</v>
      </c>
      <c r="AT119" s="45">
        <f t="shared" si="6"/>
        <v>500</v>
      </c>
      <c r="AU119" s="40"/>
      <c r="AV119" s="46" t="str">
        <f>IFERROR(__xludf.DUMMYFUNCTION("""COMPUTED_VALUE"""),"Orr")</f>
        <v>Orr</v>
      </c>
      <c r="AW119" s="46">
        <f t="shared" si="7"/>
        <v>1000</v>
      </c>
      <c r="AX119" s="47">
        <f t="shared" ref="AX119:BQ119" si="467">SUMIFS($AJ:$AJ,$V:$V,$AV119,$AK:$AK,AX$2)</f>
        <v>700</v>
      </c>
      <c r="AY119" s="48">
        <f t="shared" si="467"/>
        <v>0</v>
      </c>
      <c r="AZ119" s="48">
        <f t="shared" si="467"/>
        <v>0</v>
      </c>
      <c r="BA119" s="48">
        <f t="shared" si="467"/>
        <v>0</v>
      </c>
      <c r="BB119" s="48">
        <f t="shared" si="467"/>
        <v>0</v>
      </c>
      <c r="BC119" s="48">
        <f t="shared" si="467"/>
        <v>0</v>
      </c>
      <c r="BD119" s="48">
        <f t="shared" si="467"/>
        <v>0</v>
      </c>
      <c r="BE119" s="48">
        <f t="shared" si="467"/>
        <v>0</v>
      </c>
      <c r="BF119" s="48">
        <f t="shared" si="467"/>
        <v>0</v>
      </c>
      <c r="BG119" s="48">
        <f t="shared" si="467"/>
        <v>300</v>
      </c>
      <c r="BH119" s="48">
        <f t="shared" si="467"/>
        <v>0</v>
      </c>
      <c r="BI119" s="48">
        <f t="shared" si="467"/>
        <v>0</v>
      </c>
      <c r="BJ119" s="48">
        <f t="shared" si="467"/>
        <v>0</v>
      </c>
      <c r="BK119" s="48">
        <f t="shared" si="467"/>
        <v>0</v>
      </c>
      <c r="BL119" s="48">
        <f t="shared" si="467"/>
        <v>0</v>
      </c>
      <c r="BM119" s="48">
        <f t="shared" si="467"/>
        <v>0</v>
      </c>
      <c r="BN119" s="48">
        <f t="shared" si="467"/>
        <v>0</v>
      </c>
      <c r="BO119" s="48">
        <f t="shared" si="467"/>
        <v>0</v>
      </c>
      <c r="BP119" s="48">
        <f t="shared" si="467"/>
        <v>0</v>
      </c>
      <c r="BQ119" s="48">
        <f t="shared" si="467"/>
        <v>0</v>
      </c>
      <c r="BR119" s="36">
        <f t="shared" si="9"/>
        <v>1</v>
      </c>
      <c r="BS119" s="38">
        <f t="shared" si="10"/>
        <v>4</v>
      </c>
      <c r="BT119" s="49">
        <f t="shared" si="11"/>
        <v>0</v>
      </c>
      <c r="BU119" s="38">
        <f t="shared" si="12"/>
        <v>4000</v>
      </c>
      <c r="BV119" s="46" t="str">
        <f>IFERROR(__xludf.DUMMYFUNCTION("""COMPUTED_VALUE"""),"Orr")</f>
        <v>Orr</v>
      </c>
      <c r="BW119" s="46">
        <f t="shared" si="13"/>
        <v>1000</v>
      </c>
      <c r="BX119" s="47">
        <f t="shared" ref="BX119:CA119" si="468">AX119-$BU119</f>
        <v>-3300</v>
      </c>
      <c r="BY119" s="47">
        <f t="shared" si="468"/>
        <v>-4000</v>
      </c>
      <c r="BZ119" s="47">
        <f t="shared" si="468"/>
        <v>-4000</v>
      </c>
      <c r="CA119" s="47">
        <f t="shared" si="468"/>
        <v>-4000</v>
      </c>
      <c r="CB119" s="47">
        <f t="shared" si="15"/>
        <v>-40000</v>
      </c>
      <c r="CC119" s="47">
        <f t="shared" ref="CC119:CQ119" si="469">BC119-$BU119</f>
        <v>-4000</v>
      </c>
      <c r="CD119" s="47">
        <f t="shared" si="469"/>
        <v>-4000</v>
      </c>
      <c r="CE119" s="47">
        <f t="shared" si="469"/>
        <v>-4000</v>
      </c>
      <c r="CF119" s="47">
        <f t="shared" si="469"/>
        <v>-4000</v>
      </c>
      <c r="CG119" s="47">
        <f t="shared" si="469"/>
        <v>-3700</v>
      </c>
      <c r="CH119" s="47">
        <f t="shared" si="469"/>
        <v>-4000</v>
      </c>
      <c r="CI119" s="47">
        <f t="shared" si="469"/>
        <v>-4000</v>
      </c>
      <c r="CJ119" s="47">
        <f t="shared" si="469"/>
        <v>-4000</v>
      </c>
      <c r="CK119" s="47">
        <f t="shared" si="469"/>
        <v>-4000</v>
      </c>
      <c r="CL119" s="47">
        <f t="shared" si="469"/>
        <v>-4000</v>
      </c>
      <c r="CM119" s="47">
        <f t="shared" si="469"/>
        <v>-4000</v>
      </c>
      <c r="CN119" s="47">
        <f t="shared" si="469"/>
        <v>-4000</v>
      </c>
      <c r="CO119" s="47">
        <f t="shared" si="469"/>
        <v>-4000</v>
      </c>
      <c r="CP119" s="47">
        <f t="shared" si="469"/>
        <v>-4000</v>
      </c>
      <c r="CQ119" s="47">
        <f t="shared" si="469"/>
        <v>-4000</v>
      </c>
      <c r="CR119" s="47"/>
      <c r="CS119" s="47"/>
      <c r="CT119" s="47"/>
      <c r="CU119" s="50" t="str">
        <f>IFERROR(__xludf.DUMMYFUNCTION("""COMPUTED_VALUE"""),"freundlich Trustee
4283 NW 64th St
Boca Raton, FL 33496       ")</f>
        <v>freundlich Trustee
4283 NW 64th St
Boca Raton, FL 33496       </v>
      </c>
      <c r="CV119" s="51">
        <f>IFERROR(__xludf.DUMMYFUNCTION("IF(REGEXMATCH(UPPER(CU119), ""TX""),0,1)"),1.0)</f>
        <v>1</v>
      </c>
      <c r="CW119" s="51">
        <f>IFERROR(__xludf.DUMMYFUNCTION("IF(REGEXMATCH(UPPER(CU119), ""DALLAS""),0,1)"),1.0)</f>
        <v>1</v>
      </c>
      <c r="CX119" s="51">
        <f t="shared" si="17"/>
        <v>2000</v>
      </c>
      <c r="CY119" s="51">
        <f t="shared" si="18"/>
        <v>2000</v>
      </c>
      <c r="CZ119" s="52" t="str">
        <f t="shared" si="19"/>
        <v>freundlich Trustee
4283 NW 64th St
Boca Raton, FL 33496       </v>
      </c>
      <c r="DA119" s="58"/>
      <c r="DB119" s="52"/>
      <c r="DC119" s="52"/>
      <c r="DD119" s="52"/>
      <c r="DE119" s="52"/>
      <c r="DF119" s="52"/>
      <c r="DG119" s="52"/>
      <c r="DH119" s="52"/>
      <c r="DI119" s="52"/>
      <c r="DJ119" s="52"/>
      <c r="DK119" s="52"/>
      <c r="DL119" s="52"/>
      <c r="DM119" s="52"/>
      <c r="DN119" s="52"/>
      <c r="DO119" s="52"/>
      <c r="DP119" s="52"/>
      <c r="DQ119" s="52"/>
      <c r="DR119" s="52"/>
      <c r="DS119" s="52"/>
      <c r="DT119" s="52"/>
      <c r="DU119" s="52"/>
      <c r="DV119" s="52"/>
      <c r="DW119" s="52"/>
    </row>
    <row r="120">
      <c r="A120" s="23" t="s">
        <v>64</v>
      </c>
      <c r="B120" s="23" t="s">
        <v>56</v>
      </c>
      <c r="C120" s="31" t="s">
        <v>360</v>
      </c>
      <c r="D120" s="25" t="str">
        <f>IFERROR(__xludf.DUMMYFUNCTION("SPLIT(C120,"" "")"),"Bell,")</f>
        <v>Bell,</v>
      </c>
      <c r="E120" s="22" t="str">
        <f>IFERROR(__xludf.DUMMYFUNCTION("""COMPUTED_VALUE"""),"Celia
8804")</f>
        <v>Celia
8804</v>
      </c>
      <c r="F120" s="22" t="str">
        <f>IFERROR(__xludf.DUMMYFUNCTION("""COMPUTED_VALUE"""),"Mariscal")</f>
        <v>Mariscal</v>
      </c>
      <c r="G120" s="22" t="str">
        <f>IFERROR(__xludf.DUMMYFUNCTION("""COMPUTED_VALUE"""),"Canyon")</f>
        <v>Canyon</v>
      </c>
      <c r="H120" s="22" t="str">
        <f>IFERROR(__xludf.DUMMYFUNCTION("""COMPUTED_VALUE"""),"Dr.
Austin,")</f>
        <v>Dr.
Austin,</v>
      </c>
      <c r="I120" s="22" t="str">
        <f>IFERROR(__xludf.DUMMYFUNCTION("""COMPUTED_VALUE"""),"TX")</f>
        <v>TX</v>
      </c>
      <c r="J120" s="22">
        <f>IFERROR(__xludf.DUMMYFUNCTION("""COMPUTED_VALUE"""),78759.0)</f>
        <v>78759</v>
      </c>
      <c r="K120" s="22"/>
      <c r="L120" s="22"/>
      <c r="M120" s="22"/>
      <c r="N120" s="22"/>
      <c r="O120" s="22"/>
      <c r="P120" s="22"/>
      <c r="Q120" s="22"/>
      <c r="R120" s="22"/>
      <c r="S120" s="22"/>
      <c r="T120" s="22"/>
      <c r="U120" s="24" t="str">
        <f>IFERROR(__xludf.DUMMYFUNCTION("SPLIT(E120,""01234567890"")"),"Celia
")</f>
        <v>Celia
</v>
      </c>
      <c r="V120" s="24" t="str">
        <f>IFERROR(__xludf.DUMMYFUNCTION("SPLIT(D120,"","")"),"Bell")</f>
        <v>Bell</v>
      </c>
      <c r="W120" s="25" t="str">
        <f t="shared" si="1"/>
        <v>CELIA
 BELL</v>
      </c>
      <c r="X120" s="25" t="s">
        <v>361</v>
      </c>
      <c r="Y120" s="25">
        <v>78759.0</v>
      </c>
      <c r="Z120" s="25" t="str">
        <f>IFERROR(__xludf.DUMMYFUNCTION("SPLIT(C120,""
"")"),"Bell, Celia")</f>
        <v>Bell, Celia</v>
      </c>
      <c r="AA120" s="25" t="str">
        <f>IFERROR(__xludf.DUMMYFUNCTION("""COMPUTED_VALUE"""),"8804 Mariscal Canyon Dr.")</f>
        <v>8804 Mariscal Canyon Dr.</v>
      </c>
      <c r="AB120" s="25" t="str">
        <f>IFERROR(__xludf.DUMMYFUNCTION("""COMPUTED_VALUE"""),"Austin, TX 78759")</f>
        <v>Austin, TX 78759</v>
      </c>
      <c r="AC120" s="24" t="s">
        <v>362</v>
      </c>
      <c r="AD120" s="25"/>
      <c r="AE120" s="25"/>
      <c r="AF120" s="25"/>
      <c r="AG120" s="22" t="s">
        <v>60</v>
      </c>
      <c r="AH120" s="54">
        <v>2477.0</v>
      </c>
      <c r="AI120" s="22" t="s">
        <v>68</v>
      </c>
      <c r="AJ120" s="27">
        <v>100.0</v>
      </c>
      <c r="AK120" s="31" t="s">
        <v>26</v>
      </c>
      <c r="AL120" s="28">
        <v>44913.0</v>
      </c>
      <c r="AM120" s="29">
        <v>44940.42346064815</v>
      </c>
      <c r="AN120" s="30">
        <v>2.0</v>
      </c>
      <c r="AO120" s="22"/>
      <c r="AP120" s="22"/>
      <c r="AQ120" s="22"/>
      <c r="AR120" s="22"/>
      <c r="AS120" s="31">
        <f>IFERROR(__xludf.DUMMYFUNCTION("""COMPUTED_VALUE"""),8020.0)</f>
        <v>8020</v>
      </c>
      <c r="AT120" s="45">
        <f t="shared" si="6"/>
        <v>35</v>
      </c>
      <c r="AU120" s="22"/>
      <c r="AV120" s="57" t="str">
        <f>IFERROR(__xludf.DUMMYFUNCTION("""COMPUTED_VALUE"""),"Stimson")</f>
        <v>Stimson</v>
      </c>
      <c r="AW120" s="46">
        <f t="shared" si="7"/>
        <v>1000</v>
      </c>
      <c r="AX120" s="47">
        <f t="shared" ref="AX120:BQ120" si="470">SUMIFS($AJ:$AJ,$V:$V,$AV120,$AK:$AK,AX$2)</f>
        <v>1000</v>
      </c>
      <c r="AY120" s="48">
        <f t="shared" si="470"/>
        <v>0</v>
      </c>
      <c r="AZ120" s="48">
        <f t="shared" si="470"/>
        <v>0</v>
      </c>
      <c r="BA120" s="48">
        <f t="shared" si="470"/>
        <v>0</v>
      </c>
      <c r="BB120" s="48">
        <f t="shared" si="470"/>
        <v>0</v>
      </c>
      <c r="BC120" s="48">
        <f t="shared" si="470"/>
        <v>0</v>
      </c>
      <c r="BD120" s="48">
        <f t="shared" si="470"/>
        <v>0</v>
      </c>
      <c r="BE120" s="48">
        <f t="shared" si="470"/>
        <v>0</v>
      </c>
      <c r="BF120" s="48">
        <f t="shared" si="470"/>
        <v>0</v>
      </c>
      <c r="BG120" s="48">
        <f t="shared" si="470"/>
        <v>0</v>
      </c>
      <c r="BH120" s="48">
        <f t="shared" si="470"/>
        <v>0</v>
      </c>
      <c r="BI120" s="48">
        <f t="shared" si="470"/>
        <v>0</v>
      </c>
      <c r="BJ120" s="48">
        <f t="shared" si="470"/>
        <v>0</v>
      </c>
      <c r="BK120" s="48">
        <f t="shared" si="470"/>
        <v>0</v>
      </c>
      <c r="BL120" s="48">
        <f t="shared" si="470"/>
        <v>0</v>
      </c>
      <c r="BM120" s="48">
        <f t="shared" si="470"/>
        <v>0</v>
      </c>
      <c r="BN120" s="48">
        <f t="shared" si="470"/>
        <v>0</v>
      </c>
      <c r="BO120" s="48">
        <f t="shared" si="470"/>
        <v>0</v>
      </c>
      <c r="BP120" s="48">
        <f t="shared" si="470"/>
        <v>0</v>
      </c>
      <c r="BQ120" s="48">
        <f t="shared" si="470"/>
        <v>0</v>
      </c>
      <c r="BR120" s="36">
        <f t="shared" si="9"/>
        <v>0</v>
      </c>
      <c r="BS120" s="38">
        <f t="shared" si="10"/>
        <v>1</v>
      </c>
      <c r="BT120" s="49">
        <f t="shared" si="11"/>
        <v>0</v>
      </c>
      <c r="BU120" s="38">
        <f t="shared" si="12"/>
        <v>1000</v>
      </c>
      <c r="BV120" s="57" t="str">
        <f>IFERROR(__xludf.DUMMYFUNCTION("""COMPUTED_VALUE"""),"Stimson")</f>
        <v>Stimson</v>
      </c>
      <c r="BW120" s="46">
        <f t="shared" si="13"/>
        <v>1000</v>
      </c>
      <c r="BX120" s="47">
        <f t="shared" ref="BX120:CA120" si="471">AX120-$BU120</f>
        <v>0</v>
      </c>
      <c r="BY120" s="47">
        <f t="shared" si="471"/>
        <v>-1000</v>
      </c>
      <c r="BZ120" s="47">
        <f t="shared" si="471"/>
        <v>-1000</v>
      </c>
      <c r="CA120" s="47">
        <f t="shared" si="471"/>
        <v>-1000</v>
      </c>
      <c r="CB120" s="47">
        <f t="shared" si="15"/>
        <v>-10000</v>
      </c>
      <c r="CC120" s="47">
        <f t="shared" ref="CC120:CQ120" si="472">BC120-$BU120</f>
        <v>-1000</v>
      </c>
      <c r="CD120" s="47">
        <f t="shared" si="472"/>
        <v>-1000</v>
      </c>
      <c r="CE120" s="47">
        <f t="shared" si="472"/>
        <v>-1000</v>
      </c>
      <c r="CF120" s="47">
        <f t="shared" si="472"/>
        <v>-1000</v>
      </c>
      <c r="CG120" s="47">
        <f t="shared" si="472"/>
        <v>-1000</v>
      </c>
      <c r="CH120" s="47">
        <f t="shared" si="472"/>
        <v>-1000</v>
      </c>
      <c r="CI120" s="47">
        <f t="shared" si="472"/>
        <v>-1000</v>
      </c>
      <c r="CJ120" s="47">
        <f t="shared" si="472"/>
        <v>-1000</v>
      </c>
      <c r="CK120" s="47">
        <f t="shared" si="472"/>
        <v>-1000</v>
      </c>
      <c r="CL120" s="47">
        <f t="shared" si="472"/>
        <v>-1000</v>
      </c>
      <c r="CM120" s="47">
        <f t="shared" si="472"/>
        <v>-1000</v>
      </c>
      <c r="CN120" s="47">
        <f t="shared" si="472"/>
        <v>-1000</v>
      </c>
      <c r="CO120" s="47">
        <f t="shared" si="472"/>
        <v>-1000</v>
      </c>
      <c r="CP120" s="47">
        <f t="shared" si="472"/>
        <v>-1000</v>
      </c>
      <c r="CQ120" s="47">
        <f t="shared" si="472"/>
        <v>-1000</v>
      </c>
      <c r="CR120" s="47"/>
      <c r="CS120" s="47"/>
      <c r="CT120" s="47"/>
      <c r="CU120" s="50" t="str">
        <f>IFERROR(__xludf.DUMMYFUNCTION("""COMPUTED_VALUE"""),"6060 N Central Expwy Suite 125
Dallas, TX 75206       ")</f>
        <v>6060 N Central Expwy Suite 125
Dallas, TX 75206       </v>
      </c>
      <c r="CV120" s="51">
        <f>IFERROR(__xludf.DUMMYFUNCTION("IF(REGEXMATCH(UPPER(CU120), ""TX""),0,1)"),0.0)</f>
        <v>0</v>
      </c>
      <c r="CW120" s="51">
        <f>IFERROR(__xludf.DUMMYFUNCTION("IF(REGEXMATCH(UPPER(CU120), ""DALLAS""),0,1)"),0.0)</f>
        <v>0</v>
      </c>
      <c r="CX120" s="51">
        <f t="shared" si="17"/>
        <v>0</v>
      </c>
      <c r="CY120" s="51">
        <f t="shared" si="18"/>
        <v>0</v>
      </c>
      <c r="CZ120" s="52" t="str">
        <f t="shared" si="19"/>
        <v/>
      </c>
      <c r="DA120" s="58"/>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row>
    <row r="121">
      <c r="A121" s="40" t="s">
        <v>55</v>
      </c>
      <c r="B121" s="41" t="s">
        <v>56</v>
      </c>
      <c r="C121" s="31" t="s">
        <v>363</v>
      </c>
      <c r="D121" s="25" t="str">
        <f>IFERROR(__xludf.DUMMYFUNCTION("SPLIT(C121,"" "")"),"Bell,")</f>
        <v>Bell,</v>
      </c>
      <c r="E121" s="40" t="str">
        <f>IFERROR(__xludf.DUMMYFUNCTION("""COMPUTED_VALUE"""),"David
8350")</f>
        <v>David
8350</v>
      </c>
      <c r="F121" s="40" t="str">
        <f>IFERROR(__xludf.DUMMYFUNCTION("""COMPUTED_VALUE"""),"Meadow")</f>
        <v>Meadow</v>
      </c>
      <c r="G121" s="40" t="str">
        <f>IFERROR(__xludf.DUMMYFUNCTION("""COMPUTED_VALUE"""),"Road
Dallas,")</f>
        <v>Road
Dallas,</v>
      </c>
      <c r="H121" s="40" t="str">
        <f>IFERROR(__xludf.DUMMYFUNCTION("""COMPUTED_VALUE"""),"TX")</f>
        <v>TX</v>
      </c>
      <c r="I121" s="40">
        <f>IFERROR(__xludf.DUMMYFUNCTION("""COMPUTED_VALUE"""),75231.0)</f>
        <v>75231</v>
      </c>
      <c r="J121" s="40"/>
      <c r="K121" s="40"/>
      <c r="L121" s="40"/>
      <c r="M121" s="40"/>
      <c r="N121" s="40"/>
      <c r="O121" s="40"/>
      <c r="P121" s="40"/>
      <c r="Q121" s="40"/>
      <c r="R121" s="40"/>
      <c r="S121" s="40"/>
      <c r="T121" s="40"/>
      <c r="U121" s="24" t="str">
        <f>IFERROR(__xludf.DUMMYFUNCTION("SPLIT(E121,""01234567890"")"),"David
")</f>
        <v>David
</v>
      </c>
      <c r="V121" s="24" t="str">
        <f>IFERROR(__xludf.DUMMYFUNCTION("SPLIT(D121,"","")"),"Bell")</f>
        <v>Bell</v>
      </c>
      <c r="W121" s="25" t="str">
        <f t="shared" si="1"/>
        <v>DAVID
 BELL</v>
      </c>
      <c r="X121" s="25" t="s">
        <v>364</v>
      </c>
      <c r="Y121" s="25">
        <v>75231.0</v>
      </c>
      <c r="Z121" s="25" t="str">
        <f>IFERROR(__xludf.DUMMYFUNCTION("SPLIT(C121,""
"")"),"Bell, David")</f>
        <v>Bell, David</v>
      </c>
      <c r="AA121" s="25" t="str">
        <f>IFERROR(__xludf.DUMMYFUNCTION("""COMPUTED_VALUE"""),"8350 Meadow Road")</f>
        <v>8350 Meadow Road</v>
      </c>
      <c r="AB121" s="25" t="str">
        <f>IFERROR(__xludf.DUMMYFUNCTION("""COMPUTED_VALUE"""),"Dallas, TX 75231")</f>
        <v>Dallas, TX 75231</v>
      </c>
      <c r="AC121" s="24" t="s">
        <v>365</v>
      </c>
      <c r="AD121" s="25"/>
      <c r="AE121" s="25"/>
      <c r="AF121" s="25"/>
      <c r="AG121" s="40" t="s">
        <v>60</v>
      </c>
      <c r="AH121" s="42">
        <v>2482.0</v>
      </c>
      <c r="AI121" s="40" t="s">
        <v>68</v>
      </c>
      <c r="AJ121" s="27">
        <v>180.0</v>
      </c>
      <c r="AK121" s="31" t="s">
        <v>31</v>
      </c>
      <c r="AL121" s="43">
        <v>44924.0</v>
      </c>
      <c r="AM121" s="44">
        <v>44938.558541666665</v>
      </c>
      <c r="AN121" s="30">
        <v>2.0</v>
      </c>
      <c r="AO121" s="40"/>
      <c r="AP121" s="40"/>
      <c r="AQ121" s="40"/>
      <c r="AR121" s="40"/>
      <c r="AS121" s="31">
        <f>IFERROR(__xludf.DUMMYFUNCTION("""COMPUTED_VALUE"""),22308.0)</f>
        <v>22308</v>
      </c>
      <c r="AT121" s="45">
        <f t="shared" si="6"/>
        <v>100</v>
      </c>
      <c r="AU121" s="40"/>
      <c r="AV121" s="46" t="str">
        <f>IFERROR(__xludf.DUMMYFUNCTION("""COMPUTED_VALUE"""),"Drennan")</f>
        <v>Drennan</v>
      </c>
      <c r="AW121" s="46">
        <f t="shared" si="7"/>
        <v>2000</v>
      </c>
      <c r="AX121" s="47">
        <f t="shared" ref="AX121:BQ121" si="473">SUMIFS($AJ:$AJ,$V:$V,$AV121,$AK:$AK,AX$2)</f>
        <v>2000</v>
      </c>
      <c r="AY121" s="48">
        <f t="shared" si="473"/>
        <v>0</v>
      </c>
      <c r="AZ121" s="48">
        <f t="shared" si="473"/>
        <v>0</v>
      </c>
      <c r="BA121" s="48">
        <f t="shared" si="473"/>
        <v>0</v>
      </c>
      <c r="BB121" s="48">
        <f t="shared" si="473"/>
        <v>0</v>
      </c>
      <c r="BC121" s="48">
        <f t="shared" si="473"/>
        <v>0</v>
      </c>
      <c r="BD121" s="48">
        <f t="shared" si="473"/>
        <v>0</v>
      </c>
      <c r="BE121" s="48">
        <f t="shared" si="473"/>
        <v>0</v>
      </c>
      <c r="BF121" s="48">
        <f t="shared" si="473"/>
        <v>0</v>
      </c>
      <c r="BG121" s="48">
        <f t="shared" si="473"/>
        <v>0</v>
      </c>
      <c r="BH121" s="48">
        <f t="shared" si="473"/>
        <v>0</v>
      </c>
      <c r="BI121" s="48">
        <f t="shared" si="473"/>
        <v>0</v>
      </c>
      <c r="BJ121" s="48">
        <f t="shared" si="473"/>
        <v>0</v>
      </c>
      <c r="BK121" s="48">
        <f t="shared" si="473"/>
        <v>0</v>
      </c>
      <c r="BL121" s="48">
        <f t="shared" si="473"/>
        <v>0</v>
      </c>
      <c r="BM121" s="48">
        <f t="shared" si="473"/>
        <v>0</v>
      </c>
      <c r="BN121" s="48">
        <f t="shared" si="473"/>
        <v>0</v>
      </c>
      <c r="BO121" s="48">
        <f t="shared" si="473"/>
        <v>0</v>
      </c>
      <c r="BP121" s="48">
        <f t="shared" si="473"/>
        <v>0</v>
      </c>
      <c r="BQ121" s="48">
        <f t="shared" si="473"/>
        <v>0</v>
      </c>
      <c r="BR121" s="36">
        <f t="shared" si="9"/>
        <v>1</v>
      </c>
      <c r="BS121" s="38">
        <f t="shared" si="10"/>
        <v>2</v>
      </c>
      <c r="BT121" s="49">
        <f t="shared" si="11"/>
        <v>0</v>
      </c>
      <c r="BU121" s="38">
        <f t="shared" si="12"/>
        <v>2000</v>
      </c>
      <c r="BV121" s="46" t="str">
        <f>IFERROR(__xludf.DUMMYFUNCTION("""COMPUTED_VALUE"""),"Drennan")</f>
        <v>Drennan</v>
      </c>
      <c r="BW121" s="46">
        <f t="shared" si="13"/>
        <v>2000</v>
      </c>
      <c r="BX121" s="47">
        <f t="shared" ref="BX121:CA121" si="474">AX121-$BU121</f>
        <v>0</v>
      </c>
      <c r="BY121" s="47">
        <f t="shared" si="474"/>
        <v>-2000</v>
      </c>
      <c r="BZ121" s="47">
        <f t="shared" si="474"/>
        <v>-2000</v>
      </c>
      <c r="CA121" s="47">
        <f t="shared" si="474"/>
        <v>-2000</v>
      </c>
      <c r="CB121" s="47">
        <f t="shared" si="15"/>
        <v>-20000</v>
      </c>
      <c r="CC121" s="47">
        <f t="shared" ref="CC121:CQ121" si="475">BC121-$BU121</f>
        <v>-2000</v>
      </c>
      <c r="CD121" s="47">
        <f t="shared" si="475"/>
        <v>-2000</v>
      </c>
      <c r="CE121" s="47">
        <f t="shared" si="475"/>
        <v>-2000</v>
      </c>
      <c r="CF121" s="47">
        <f t="shared" si="475"/>
        <v>-2000</v>
      </c>
      <c r="CG121" s="47">
        <f t="shared" si="475"/>
        <v>-2000</v>
      </c>
      <c r="CH121" s="47">
        <f t="shared" si="475"/>
        <v>-2000</v>
      </c>
      <c r="CI121" s="47">
        <f t="shared" si="475"/>
        <v>-2000</v>
      </c>
      <c r="CJ121" s="47">
        <f t="shared" si="475"/>
        <v>-2000</v>
      </c>
      <c r="CK121" s="47">
        <f t="shared" si="475"/>
        <v>-2000</v>
      </c>
      <c r="CL121" s="47">
        <f t="shared" si="475"/>
        <v>-2000</v>
      </c>
      <c r="CM121" s="47">
        <f t="shared" si="475"/>
        <v>-2000</v>
      </c>
      <c r="CN121" s="47">
        <f t="shared" si="475"/>
        <v>-2000</v>
      </c>
      <c r="CO121" s="47">
        <f t="shared" si="475"/>
        <v>-2000</v>
      </c>
      <c r="CP121" s="47">
        <f t="shared" si="475"/>
        <v>-2000</v>
      </c>
      <c r="CQ121" s="47">
        <f t="shared" si="475"/>
        <v>-2000</v>
      </c>
      <c r="CR121" s="47"/>
      <c r="CS121" s="47"/>
      <c r="CT121" s="47"/>
      <c r="CU121" s="50" t="str">
        <f>IFERROR(__xludf.DUMMYFUNCTION("""COMPUTED_VALUE"""),"6060 N. Central Expwy.
Dallas, TX 75206         ")</f>
        <v>6060 N. Central Expwy.
Dallas, TX 75206         </v>
      </c>
      <c r="CV121" s="51">
        <f>IFERROR(__xludf.DUMMYFUNCTION("IF(REGEXMATCH(UPPER(CU121), ""TX""),0,1)"),0.0)</f>
        <v>0</v>
      </c>
      <c r="CW121" s="51">
        <f>IFERROR(__xludf.DUMMYFUNCTION("IF(REGEXMATCH(UPPER(CU121), ""DALLAS""),0,1)"),0.0)</f>
        <v>0</v>
      </c>
      <c r="CX121" s="51">
        <f t="shared" si="17"/>
        <v>0</v>
      </c>
      <c r="CY121" s="51">
        <f t="shared" si="18"/>
        <v>0</v>
      </c>
      <c r="CZ121" s="52" t="str">
        <f t="shared" si="19"/>
        <v/>
      </c>
      <c r="DA121" s="58"/>
      <c r="DB121" s="52"/>
      <c r="DC121" s="52"/>
      <c r="DD121" s="52"/>
      <c r="DE121" s="52"/>
      <c r="DF121" s="52"/>
      <c r="DG121" s="52"/>
      <c r="DH121" s="52"/>
      <c r="DI121" s="52"/>
      <c r="DJ121" s="52"/>
      <c r="DK121" s="52"/>
      <c r="DL121" s="52"/>
      <c r="DM121" s="52"/>
      <c r="DN121" s="52"/>
      <c r="DO121" s="52"/>
      <c r="DP121" s="52"/>
      <c r="DQ121" s="52"/>
      <c r="DR121" s="52"/>
      <c r="DS121" s="52"/>
      <c r="DT121" s="52"/>
      <c r="DU121" s="52"/>
      <c r="DV121" s="52"/>
      <c r="DW121" s="52"/>
    </row>
    <row r="122">
      <c r="A122" s="23" t="s">
        <v>64</v>
      </c>
      <c r="B122" s="23" t="s">
        <v>56</v>
      </c>
      <c r="C122" s="31" t="s">
        <v>366</v>
      </c>
      <c r="D122" s="25" t="str">
        <f>IFERROR(__xludf.DUMMYFUNCTION("SPLIT(C122,"" "")"),"Bell,")</f>
        <v>Bell,</v>
      </c>
      <c r="E122" s="22" t="str">
        <f>IFERROR(__xludf.DUMMYFUNCTION("""COMPUTED_VALUE"""),"Mitchell
3362")</f>
        <v>Mitchell
3362</v>
      </c>
      <c r="F122" s="22" t="str">
        <f>IFERROR(__xludf.DUMMYFUNCTION("""COMPUTED_VALUE"""),"Blackburn")</f>
        <v>Blackburn</v>
      </c>
      <c r="G122" s="22" t="str">
        <f>IFERROR(__xludf.DUMMYFUNCTION("""COMPUTED_VALUE"""),"St.
Dallas,")</f>
        <v>St.
Dallas,</v>
      </c>
      <c r="H122" s="22" t="str">
        <f>IFERROR(__xludf.DUMMYFUNCTION("""COMPUTED_VALUE"""),"TX")</f>
        <v>TX</v>
      </c>
      <c r="I122" s="22">
        <f>IFERROR(__xludf.DUMMYFUNCTION("""COMPUTED_VALUE"""),75204.0)</f>
        <v>75204</v>
      </c>
      <c r="J122" s="22"/>
      <c r="K122" s="22"/>
      <c r="L122" s="22"/>
      <c r="M122" s="22"/>
      <c r="N122" s="22"/>
      <c r="O122" s="22"/>
      <c r="P122" s="22"/>
      <c r="Q122" s="22"/>
      <c r="R122" s="22"/>
      <c r="S122" s="22"/>
      <c r="T122" s="22"/>
      <c r="U122" s="24" t="str">
        <f>IFERROR(__xludf.DUMMYFUNCTION("SPLIT(E122,""01234567890"")"),"Mitchell
")</f>
        <v>Mitchell
</v>
      </c>
      <c r="V122" s="24" t="str">
        <f>IFERROR(__xludf.DUMMYFUNCTION("SPLIT(D122,"","")"),"Bell")</f>
        <v>Bell</v>
      </c>
      <c r="W122" s="25" t="str">
        <f t="shared" si="1"/>
        <v>MITCHELL
 BELL</v>
      </c>
      <c r="X122" s="25" t="s">
        <v>367</v>
      </c>
      <c r="Y122" s="25">
        <v>75204.0</v>
      </c>
      <c r="Z122" s="25" t="str">
        <f>IFERROR(__xludf.DUMMYFUNCTION("SPLIT(C122,""
"")"),"Bell, Mitchell")</f>
        <v>Bell, Mitchell</v>
      </c>
      <c r="AA122" s="25" t="str">
        <f>IFERROR(__xludf.DUMMYFUNCTION("""COMPUTED_VALUE"""),"3362 Blackburn St.")</f>
        <v>3362 Blackburn St.</v>
      </c>
      <c r="AB122" s="25" t="str">
        <f>IFERROR(__xludf.DUMMYFUNCTION("""COMPUTED_VALUE"""),"Dallas, TX 75204")</f>
        <v>Dallas, TX 75204</v>
      </c>
      <c r="AC122" s="24" t="s">
        <v>368</v>
      </c>
      <c r="AD122" s="25"/>
      <c r="AE122" s="25"/>
      <c r="AF122" s="25"/>
      <c r="AG122" s="22" t="s">
        <v>60</v>
      </c>
      <c r="AH122" s="54">
        <v>2477.0</v>
      </c>
      <c r="AI122" s="22" t="s">
        <v>68</v>
      </c>
      <c r="AJ122" s="27">
        <v>1000.0</v>
      </c>
      <c r="AK122" s="31" t="s">
        <v>26</v>
      </c>
      <c r="AL122" s="28">
        <v>44913.0</v>
      </c>
      <c r="AM122" s="29">
        <v>44940.42346064815</v>
      </c>
      <c r="AN122" s="30">
        <v>2.0</v>
      </c>
      <c r="AO122" s="22"/>
      <c r="AP122" s="22"/>
      <c r="AQ122" s="22"/>
      <c r="AR122" s="22"/>
      <c r="AS122" s="31">
        <f>IFERROR(__xludf.DUMMYFUNCTION("""COMPUTED_VALUE"""),12523.0)</f>
        <v>12523</v>
      </c>
      <c r="AT122" s="45">
        <f t="shared" si="6"/>
        <v>100</v>
      </c>
      <c r="AU122" s="22"/>
      <c r="AV122" s="57" t="str">
        <f>IFERROR(__xludf.DUMMYFUNCTION("""COMPUTED_VALUE"""),"Carabeta")</f>
        <v>Carabeta</v>
      </c>
      <c r="AW122" s="46">
        <f t="shared" si="7"/>
        <v>100</v>
      </c>
      <c r="AX122" s="47">
        <f t="shared" ref="AX122:BQ122" si="476">SUMIFS($AJ:$AJ,$V:$V,$AV122,$AK:$AK,AX$2)</f>
        <v>100</v>
      </c>
      <c r="AY122" s="48">
        <f t="shared" si="476"/>
        <v>0</v>
      </c>
      <c r="AZ122" s="48">
        <f t="shared" si="476"/>
        <v>0</v>
      </c>
      <c r="BA122" s="48">
        <f t="shared" si="476"/>
        <v>0</v>
      </c>
      <c r="BB122" s="48">
        <f t="shared" si="476"/>
        <v>0</v>
      </c>
      <c r="BC122" s="48">
        <f t="shared" si="476"/>
        <v>0</v>
      </c>
      <c r="BD122" s="48">
        <f t="shared" si="476"/>
        <v>0</v>
      </c>
      <c r="BE122" s="48">
        <f t="shared" si="476"/>
        <v>0</v>
      </c>
      <c r="BF122" s="48">
        <f t="shared" si="476"/>
        <v>0</v>
      </c>
      <c r="BG122" s="48">
        <f t="shared" si="476"/>
        <v>0</v>
      </c>
      <c r="BH122" s="48">
        <f t="shared" si="476"/>
        <v>0</v>
      </c>
      <c r="BI122" s="48">
        <f t="shared" si="476"/>
        <v>0</v>
      </c>
      <c r="BJ122" s="48">
        <f t="shared" si="476"/>
        <v>0</v>
      </c>
      <c r="BK122" s="48">
        <f t="shared" si="476"/>
        <v>0</v>
      </c>
      <c r="BL122" s="48">
        <f t="shared" si="476"/>
        <v>0</v>
      </c>
      <c r="BM122" s="48">
        <f t="shared" si="476"/>
        <v>0</v>
      </c>
      <c r="BN122" s="48">
        <f t="shared" si="476"/>
        <v>0</v>
      </c>
      <c r="BO122" s="48">
        <f t="shared" si="476"/>
        <v>0</v>
      </c>
      <c r="BP122" s="48">
        <f t="shared" si="476"/>
        <v>0</v>
      </c>
      <c r="BQ122" s="48">
        <f t="shared" si="476"/>
        <v>0</v>
      </c>
      <c r="BR122" s="36">
        <f t="shared" si="9"/>
        <v>0</v>
      </c>
      <c r="BS122" s="38">
        <f t="shared" si="10"/>
        <v>1</v>
      </c>
      <c r="BT122" s="49">
        <f t="shared" si="11"/>
        <v>0</v>
      </c>
      <c r="BU122" s="38">
        <f t="shared" si="12"/>
        <v>1000</v>
      </c>
      <c r="BV122" s="57" t="str">
        <f>IFERROR(__xludf.DUMMYFUNCTION("""COMPUTED_VALUE"""),"Carabeta")</f>
        <v>Carabeta</v>
      </c>
      <c r="BW122" s="46">
        <f t="shared" si="13"/>
        <v>100</v>
      </c>
      <c r="BX122" s="47">
        <f t="shared" ref="BX122:CA122" si="477">AX122-$BU122</f>
        <v>-900</v>
      </c>
      <c r="BY122" s="47">
        <f t="shared" si="477"/>
        <v>-1000</v>
      </c>
      <c r="BZ122" s="47">
        <f t="shared" si="477"/>
        <v>-1000</v>
      </c>
      <c r="CA122" s="47">
        <f t="shared" si="477"/>
        <v>-1000</v>
      </c>
      <c r="CB122" s="47">
        <f t="shared" si="15"/>
        <v>-10000</v>
      </c>
      <c r="CC122" s="47">
        <f t="shared" ref="CC122:CQ122" si="478">BC122-$BU122</f>
        <v>-1000</v>
      </c>
      <c r="CD122" s="47">
        <f t="shared" si="478"/>
        <v>-1000</v>
      </c>
      <c r="CE122" s="47">
        <f t="shared" si="478"/>
        <v>-1000</v>
      </c>
      <c r="CF122" s="47">
        <f t="shared" si="478"/>
        <v>-1000</v>
      </c>
      <c r="CG122" s="47">
        <f t="shared" si="478"/>
        <v>-1000</v>
      </c>
      <c r="CH122" s="47">
        <f t="shared" si="478"/>
        <v>-1000</v>
      </c>
      <c r="CI122" s="47">
        <f t="shared" si="478"/>
        <v>-1000</v>
      </c>
      <c r="CJ122" s="47">
        <f t="shared" si="478"/>
        <v>-1000</v>
      </c>
      <c r="CK122" s="47">
        <f t="shared" si="478"/>
        <v>-1000</v>
      </c>
      <c r="CL122" s="47">
        <f t="shared" si="478"/>
        <v>-1000</v>
      </c>
      <c r="CM122" s="47">
        <f t="shared" si="478"/>
        <v>-1000</v>
      </c>
      <c r="CN122" s="47">
        <f t="shared" si="478"/>
        <v>-1000</v>
      </c>
      <c r="CO122" s="47">
        <f t="shared" si="478"/>
        <v>-1000</v>
      </c>
      <c r="CP122" s="47">
        <f t="shared" si="478"/>
        <v>-1000</v>
      </c>
      <c r="CQ122" s="47">
        <f t="shared" si="478"/>
        <v>-1000</v>
      </c>
      <c r="CR122" s="47"/>
      <c r="CS122" s="47"/>
      <c r="CT122" s="47"/>
      <c r="CU122" s="50" t="str">
        <f>IFERROR(__xludf.DUMMYFUNCTION("""COMPUTED_VALUE"""),"5932 Rosebud Dr.
Dallas, TX 75252          ")</f>
        <v>5932 Rosebud Dr.
Dallas, TX 75252          </v>
      </c>
      <c r="CV122" s="51">
        <f>IFERROR(__xludf.DUMMYFUNCTION("IF(REGEXMATCH(UPPER(CU122), ""TX""),0,1)"),0.0)</f>
        <v>0</v>
      </c>
      <c r="CW122" s="51">
        <f>IFERROR(__xludf.DUMMYFUNCTION("IF(REGEXMATCH(UPPER(CU122), ""DALLAS""),0,1)"),0.0)</f>
        <v>0</v>
      </c>
      <c r="CX122" s="51">
        <f t="shared" si="17"/>
        <v>0</v>
      </c>
      <c r="CY122" s="51">
        <f t="shared" si="18"/>
        <v>0</v>
      </c>
      <c r="CZ122" s="52" t="str">
        <f t="shared" si="19"/>
        <v/>
      </c>
      <c r="DA122" s="58"/>
      <c r="DB122" s="52"/>
      <c r="DC122" s="52"/>
      <c r="DD122" s="52"/>
      <c r="DE122" s="52"/>
      <c r="DF122" s="52"/>
      <c r="DG122" s="52"/>
      <c r="DH122" s="52"/>
      <c r="DI122" s="52"/>
      <c r="DJ122" s="52"/>
      <c r="DK122" s="52"/>
      <c r="DL122" s="52"/>
      <c r="DM122" s="52"/>
      <c r="DN122" s="52"/>
      <c r="DO122" s="52"/>
      <c r="DP122" s="52"/>
      <c r="DQ122" s="52"/>
      <c r="DR122" s="52"/>
      <c r="DS122" s="52"/>
      <c r="DT122" s="52"/>
      <c r="DU122" s="52"/>
      <c r="DV122" s="52"/>
      <c r="DW122" s="52"/>
    </row>
    <row r="123">
      <c r="A123" s="41" t="s">
        <v>64</v>
      </c>
      <c r="B123" s="41" t="s">
        <v>56</v>
      </c>
      <c r="C123" s="31" t="s">
        <v>369</v>
      </c>
      <c r="D123" s="25" t="str">
        <f>IFERROR(__xludf.DUMMYFUNCTION("SPLIT(C123,"" "")"),"Bell,")</f>
        <v>Bell,</v>
      </c>
      <c r="E123" s="40" t="str">
        <f>IFERROR(__xludf.DUMMYFUNCTION("""COMPUTED_VALUE"""),"Pamela
30")</f>
        <v>Pamela
30</v>
      </c>
      <c r="F123" s="40" t="str">
        <f>IFERROR(__xludf.DUMMYFUNCTION("""COMPUTED_VALUE"""),"Alcalde")</f>
        <v>Alcalde</v>
      </c>
      <c r="G123" s="40" t="str">
        <f>IFERROR(__xludf.DUMMYFUNCTION("""COMPUTED_VALUE"""),"Rd.
Santa")</f>
        <v>Rd.
Santa</v>
      </c>
      <c r="H123" s="40" t="str">
        <f>IFERROR(__xludf.DUMMYFUNCTION("""COMPUTED_VALUE"""),"Fe,")</f>
        <v>Fe,</v>
      </c>
      <c r="I123" s="40" t="str">
        <f>IFERROR(__xludf.DUMMYFUNCTION("""COMPUTED_VALUE"""),"NM")</f>
        <v>NM</v>
      </c>
      <c r="J123" s="40">
        <f>IFERROR(__xludf.DUMMYFUNCTION("""COMPUTED_VALUE"""),87508.0)</f>
        <v>87508</v>
      </c>
      <c r="K123" s="40"/>
      <c r="L123" s="40"/>
      <c r="M123" s="40"/>
      <c r="N123" s="40"/>
      <c r="O123" s="40"/>
      <c r="P123" s="40"/>
      <c r="Q123" s="40"/>
      <c r="R123" s="40"/>
      <c r="S123" s="40"/>
      <c r="T123" s="40"/>
      <c r="U123" s="24" t="str">
        <f>IFERROR(__xludf.DUMMYFUNCTION("SPLIT(E123,""01234567890"")"),"Pamela
")</f>
        <v>Pamela
</v>
      </c>
      <c r="V123" s="24" t="str">
        <f>IFERROR(__xludf.DUMMYFUNCTION("SPLIT(D123,"","")"),"Bell")</f>
        <v>Bell</v>
      </c>
      <c r="W123" s="25" t="str">
        <f t="shared" si="1"/>
        <v>PAMELA
 BELL</v>
      </c>
      <c r="X123" s="25" t="s">
        <v>370</v>
      </c>
      <c r="Y123" s="25">
        <v>87508.0</v>
      </c>
      <c r="Z123" s="25" t="str">
        <f>IFERROR(__xludf.DUMMYFUNCTION("SPLIT(C123,""
"")"),"Bell, Pamela")</f>
        <v>Bell, Pamela</v>
      </c>
      <c r="AA123" s="25" t="str">
        <f>IFERROR(__xludf.DUMMYFUNCTION("""COMPUTED_VALUE"""),"30 Alcalde Rd.")</f>
        <v>30 Alcalde Rd.</v>
      </c>
      <c r="AB123" s="25" t="str">
        <f>IFERROR(__xludf.DUMMYFUNCTION("""COMPUTED_VALUE"""),"Santa Fe, NM 87508")</f>
        <v>Santa Fe, NM 87508</v>
      </c>
      <c r="AC123" s="24" t="s">
        <v>371</v>
      </c>
      <c r="AD123" s="25"/>
      <c r="AE123" s="25"/>
      <c r="AF123" s="25"/>
      <c r="AG123" s="40" t="s">
        <v>60</v>
      </c>
      <c r="AH123" s="42">
        <v>2438.0</v>
      </c>
      <c r="AI123" s="40" t="s">
        <v>61</v>
      </c>
      <c r="AJ123" s="27">
        <v>25.0</v>
      </c>
      <c r="AK123" s="31" t="s">
        <v>32</v>
      </c>
      <c r="AL123" s="43">
        <v>44733.0</v>
      </c>
      <c r="AM123" s="44">
        <v>44756.86681712963</v>
      </c>
      <c r="AN123" s="30">
        <v>2.0</v>
      </c>
      <c r="AO123" s="40"/>
      <c r="AP123" s="40"/>
      <c r="AQ123" s="40"/>
      <c r="AR123" s="40"/>
      <c r="AS123" s="31">
        <f>IFERROR(__xludf.DUMMYFUNCTION("""COMPUTED_VALUE"""),4717.0)</f>
        <v>4717</v>
      </c>
      <c r="AT123" s="45">
        <f t="shared" si="6"/>
        <v>250</v>
      </c>
      <c r="AU123" s="40"/>
      <c r="AV123" s="46" t="str">
        <f>IFERROR(__xludf.DUMMYFUNCTION("""COMPUTED_VALUE"""),"Mathis")</f>
        <v>Mathis</v>
      </c>
      <c r="AW123" s="46">
        <f t="shared" si="7"/>
        <v>249</v>
      </c>
      <c r="AX123" s="47">
        <f t="shared" ref="AX123:BQ123" si="479">SUMIFS($AJ:$AJ,$V:$V,$AV123,$AK:$AK,AX$2)</f>
        <v>249</v>
      </c>
      <c r="AY123" s="48">
        <f t="shared" si="479"/>
        <v>0</v>
      </c>
      <c r="AZ123" s="48">
        <f t="shared" si="479"/>
        <v>0</v>
      </c>
      <c r="BA123" s="48">
        <f t="shared" si="479"/>
        <v>0</v>
      </c>
      <c r="BB123" s="48">
        <f t="shared" si="479"/>
        <v>0</v>
      </c>
      <c r="BC123" s="48">
        <f t="shared" si="479"/>
        <v>0</v>
      </c>
      <c r="BD123" s="48">
        <f t="shared" si="479"/>
        <v>0</v>
      </c>
      <c r="BE123" s="48">
        <f t="shared" si="479"/>
        <v>0</v>
      </c>
      <c r="BF123" s="48">
        <f t="shared" si="479"/>
        <v>0</v>
      </c>
      <c r="BG123" s="48">
        <f t="shared" si="479"/>
        <v>0</v>
      </c>
      <c r="BH123" s="48">
        <f t="shared" si="479"/>
        <v>0</v>
      </c>
      <c r="BI123" s="48">
        <f t="shared" si="479"/>
        <v>0</v>
      </c>
      <c r="BJ123" s="48">
        <f t="shared" si="479"/>
        <v>0</v>
      </c>
      <c r="BK123" s="48">
        <f t="shared" si="479"/>
        <v>0</v>
      </c>
      <c r="BL123" s="48">
        <f t="shared" si="479"/>
        <v>0</v>
      </c>
      <c r="BM123" s="48">
        <f t="shared" si="479"/>
        <v>0</v>
      </c>
      <c r="BN123" s="48">
        <f t="shared" si="479"/>
        <v>0</v>
      </c>
      <c r="BO123" s="48">
        <f t="shared" si="479"/>
        <v>0</v>
      </c>
      <c r="BP123" s="48">
        <f t="shared" si="479"/>
        <v>0</v>
      </c>
      <c r="BQ123" s="48">
        <f t="shared" si="479"/>
        <v>0</v>
      </c>
      <c r="BR123" s="36">
        <f t="shared" si="9"/>
        <v>0</v>
      </c>
      <c r="BS123" s="38">
        <f t="shared" si="10"/>
        <v>1</v>
      </c>
      <c r="BT123" s="49">
        <f t="shared" si="11"/>
        <v>0</v>
      </c>
      <c r="BU123" s="38">
        <f t="shared" si="12"/>
        <v>1000</v>
      </c>
      <c r="BV123" s="46" t="str">
        <f>IFERROR(__xludf.DUMMYFUNCTION("""COMPUTED_VALUE"""),"Mathis")</f>
        <v>Mathis</v>
      </c>
      <c r="BW123" s="46">
        <f t="shared" si="13"/>
        <v>249</v>
      </c>
      <c r="BX123" s="47">
        <f t="shared" ref="BX123:CA123" si="480">AX123-$BU123</f>
        <v>-751</v>
      </c>
      <c r="BY123" s="47">
        <f t="shared" si="480"/>
        <v>-1000</v>
      </c>
      <c r="BZ123" s="47">
        <f t="shared" si="480"/>
        <v>-1000</v>
      </c>
      <c r="CA123" s="47">
        <f t="shared" si="480"/>
        <v>-1000</v>
      </c>
      <c r="CB123" s="47">
        <f t="shared" si="15"/>
        <v>-10000</v>
      </c>
      <c r="CC123" s="47">
        <f t="shared" ref="CC123:CQ123" si="481">BC123-$BU123</f>
        <v>-1000</v>
      </c>
      <c r="CD123" s="47">
        <f t="shared" si="481"/>
        <v>-1000</v>
      </c>
      <c r="CE123" s="47">
        <f t="shared" si="481"/>
        <v>-1000</v>
      </c>
      <c r="CF123" s="47">
        <f t="shared" si="481"/>
        <v>-1000</v>
      </c>
      <c r="CG123" s="47">
        <f t="shared" si="481"/>
        <v>-1000</v>
      </c>
      <c r="CH123" s="47">
        <f t="shared" si="481"/>
        <v>-1000</v>
      </c>
      <c r="CI123" s="47">
        <f t="shared" si="481"/>
        <v>-1000</v>
      </c>
      <c r="CJ123" s="47">
        <f t="shared" si="481"/>
        <v>-1000</v>
      </c>
      <c r="CK123" s="47">
        <f t="shared" si="481"/>
        <v>-1000</v>
      </c>
      <c r="CL123" s="47">
        <f t="shared" si="481"/>
        <v>-1000</v>
      </c>
      <c r="CM123" s="47">
        <f t="shared" si="481"/>
        <v>-1000</v>
      </c>
      <c r="CN123" s="47">
        <f t="shared" si="481"/>
        <v>-1000</v>
      </c>
      <c r="CO123" s="47">
        <f t="shared" si="481"/>
        <v>-1000</v>
      </c>
      <c r="CP123" s="47">
        <f t="shared" si="481"/>
        <v>-1000</v>
      </c>
      <c r="CQ123" s="47">
        <f t="shared" si="481"/>
        <v>-1000</v>
      </c>
      <c r="CR123" s="47"/>
      <c r="CS123" s="47"/>
      <c r="CT123" s="47"/>
      <c r="CU123" s="50" t="str">
        <f>IFERROR(__xludf.DUMMYFUNCTION("""COMPUTED_VALUE"""),"12201 Wightman
Dallas, TX 75243           ")</f>
        <v>12201 Wightman
Dallas, TX 75243           </v>
      </c>
      <c r="CV123" s="51">
        <f>IFERROR(__xludf.DUMMYFUNCTION("IF(REGEXMATCH(UPPER(CU123), ""TX""),0,1)"),0.0)</f>
        <v>0</v>
      </c>
      <c r="CW123" s="51">
        <f>IFERROR(__xludf.DUMMYFUNCTION("IF(REGEXMATCH(UPPER(CU123), ""DALLAS""),0,1)"),0.0)</f>
        <v>0</v>
      </c>
      <c r="CX123" s="51">
        <f t="shared" si="17"/>
        <v>0</v>
      </c>
      <c r="CY123" s="51">
        <f t="shared" si="18"/>
        <v>0</v>
      </c>
      <c r="CZ123" s="52" t="str">
        <f t="shared" si="19"/>
        <v/>
      </c>
      <c r="DA123" s="58"/>
      <c r="DB123" s="52"/>
      <c r="DC123" s="52"/>
      <c r="DD123" s="52"/>
      <c r="DE123" s="52"/>
      <c r="DF123" s="52"/>
      <c r="DG123" s="52"/>
      <c r="DH123" s="52"/>
      <c r="DI123" s="52"/>
      <c r="DJ123" s="52"/>
      <c r="DK123" s="52"/>
      <c r="DL123" s="52"/>
      <c r="DM123" s="52"/>
      <c r="DN123" s="52"/>
      <c r="DO123" s="52"/>
      <c r="DP123" s="52"/>
      <c r="DQ123" s="52"/>
      <c r="DR123" s="52"/>
      <c r="DS123" s="52"/>
      <c r="DT123" s="52"/>
      <c r="DU123" s="52"/>
      <c r="DV123" s="52"/>
      <c r="DW123" s="52"/>
    </row>
    <row r="124">
      <c r="A124" s="23" t="s">
        <v>64</v>
      </c>
      <c r="B124" s="23" t="s">
        <v>56</v>
      </c>
      <c r="C124" s="31" t="s">
        <v>372</v>
      </c>
      <c r="D124" s="25" t="str">
        <f>IFERROR(__xludf.DUMMYFUNCTION("SPLIT(C124,"" "")"),"Bellew,")</f>
        <v>Bellew,</v>
      </c>
      <c r="E124" s="22" t="str">
        <f>IFERROR(__xludf.DUMMYFUNCTION("""COMPUTED_VALUE"""),"Chris
9406")</f>
        <v>Chris
9406</v>
      </c>
      <c r="F124" s="22" t="str">
        <f>IFERROR(__xludf.DUMMYFUNCTION("""COMPUTED_VALUE"""),"Crestedge")</f>
        <v>Crestedge</v>
      </c>
      <c r="G124" s="22" t="str">
        <f>IFERROR(__xludf.DUMMYFUNCTION("""COMPUTED_VALUE"""),"Dr.
Dallas,")</f>
        <v>Dr.
Dallas,</v>
      </c>
      <c r="H124" s="22" t="str">
        <f>IFERROR(__xludf.DUMMYFUNCTION("""COMPUTED_VALUE"""),"TX")</f>
        <v>TX</v>
      </c>
      <c r="I124" s="22">
        <f>IFERROR(__xludf.DUMMYFUNCTION("""COMPUTED_VALUE"""),75238.0)</f>
        <v>75238</v>
      </c>
      <c r="J124" s="22"/>
      <c r="K124" s="22"/>
      <c r="L124" s="22"/>
      <c r="M124" s="22"/>
      <c r="N124" s="22"/>
      <c r="O124" s="22"/>
      <c r="P124" s="22"/>
      <c r="Q124" s="22"/>
      <c r="R124" s="22"/>
      <c r="S124" s="22"/>
      <c r="T124" s="22"/>
      <c r="U124" s="24" t="str">
        <f>IFERROR(__xludf.DUMMYFUNCTION("SPLIT(E124,""01234567890"")"),"Chris
")</f>
        <v>Chris
</v>
      </c>
      <c r="V124" s="24" t="str">
        <f>IFERROR(__xludf.DUMMYFUNCTION("SPLIT(D124,"","")"),"Bellew")</f>
        <v>Bellew</v>
      </c>
      <c r="W124" s="25" t="str">
        <f t="shared" si="1"/>
        <v>CHRIS
 BELLEW</v>
      </c>
      <c r="X124" s="25" t="s">
        <v>373</v>
      </c>
      <c r="Y124" s="25">
        <v>75238.0</v>
      </c>
      <c r="Z124" s="25" t="str">
        <f>IFERROR(__xludf.DUMMYFUNCTION("SPLIT(C124,""
"")"),"Bellew, Chris")</f>
        <v>Bellew, Chris</v>
      </c>
      <c r="AA124" s="25" t="str">
        <f>IFERROR(__xludf.DUMMYFUNCTION("""COMPUTED_VALUE"""),"9406 Crestedge Dr.")</f>
        <v>9406 Crestedge Dr.</v>
      </c>
      <c r="AB124" s="25" t="str">
        <f>IFERROR(__xludf.DUMMYFUNCTION("""COMPUTED_VALUE"""),"Dallas, TX 75238")</f>
        <v>Dallas, TX 75238</v>
      </c>
      <c r="AC124" s="24" t="s">
        <v>374</v>
      </c>
      <c r="AD124" s="25"/>
      <c r="AE124" s="25"/>
      <c r="AF124" s="25"/>
      <c r="AG124" s="22" t="s">
        <v>60</v>
      </c>
      <c r="AH124" s="54">
        <v>2477.0</v>
      </c>
      <c r="AI124" s="22" t="s">
        <v>68</v>
      </c>
      <c r="AJ124" s="27">
        <v>1000.0</v>
      </c>
      <c r="AK124" s="31" t="s">
        <v>26</v>
      </c>
      <c r="AL124" s="28">
        <v>44879.0</v>
      </c>
      <c r="AM124" s="29">
        <v>44940.42346064815</v>
      </c>
      <c r="AN124" s="30">
        <v>2.0</v>
      </c>
      <c r="AO124" s="22"/>
      <c r="AP124" s="22"/>
      <c r="AQ124" s="22"/>
      <c r="AR124" s="22"/>
      <c r="AS124" s="31">
        <f>IFERROR(__xludf.DUMMYFUNCTION("""COMPUTED_VALUE"""),1350.0)</f>
        <v>1350</v>
      </c>
      <c r="AT124" s="45">
        <f t="shared" si="6"/>
        <v>1000</v>
      </c>
      <c r="AU124" s="22"/>
      <c r="AV124" s="57" t="str">
        <f>IFERROR(__xludf.DUMMYFUNCTION("""COMPUTED_VALUE"""),"Garza")</f>
        <v>Garza</v>
      </c>
      <c r="AW124" s="46">
        <f t="shared" si="7"/>
        <v>1750</v>
      </c>
      <c r="AX124" s="47">
        <f t="shared" ref="AX124:BQ124" si="482">SUMIFS($AJ:$AJ,$V:$V,$AV124,$AK:$AK,AX$2)</f>
        <v>1500</v>
      </c>
      <c r="AY124" s="48">
        <f t="shared" si="482"/>
        <v>0</v>
      </c>
      <c r="AZ124" s="48">
        <f t="shared" si="482"/>
        <v>0</v>
      </c>
      <c r="BA124" s="48">
        <f t="shared" si="482"/>
        <v>0</v>
      </c>
      <c r="BB124" s="48">
        <f t="shared" si="482"/>
        <v>0</v>
      </c>
      <c r="BC124" s="48">
        <f t="shared" si="482"/>
        <v>0</v>
      </c>
      <c r="BD124" s="48">
        <f t="shared" si="482"/>
        <v>250</v>
      </c>
      <c r="BE124" s="48">
        <f t="shared" si="482"/>
        <v>0</v>
      </c>
      <c r="BF124" s="48">
        <f t="shared" si="482"/>
        <v>0</v>
      </c>
      <c r="BG124" s="48">
        <f t="shared" si="482"/>
        <v>0</v>
      </c>
      <c r="BH124" s="48">
        <f t="shared" si="482"/>
        <v>0</v>
      </c>
      <c r="BI124" s="48">
        <f t="shared" si="482"/>
        <v>0</v>
      </c>
      <c r="BJ124" s="48">
        <f t="shared" si="482"/>
        <v>0</v>
      </c>
      <c r="BK124" s="48">
        <f t="shared" si="482"/>
        <v>0</v>
      </c>
      <c r="BL124" s="48">
        <f t="shared" si="482"/>
        <v>0</v>
      </c>
      <c r="BM124" s="48">
        <f t="shared" si="482"/>
        <v>0</v>
      </c>
      <c r="BN124" s="48">
        <f t="shared" si="482"/>
        <v>0</v>
      </c>
      <c r="BO124" s="48">
        <f t="shared" si="482"/>
        <v>0</v>
      </c>
      <c r="BP124" s="48">
        <f t="shared" si="482"/>
        <v>0</v>
      </c>
      <c r="BQ124" s="48">
        <f t="shared" si="482"/>
        <v>0</v>
      </c>
      <c r="BR124" s="36">
        <f t="shared" si="9"/>
        <v>1</v>
      </c>
      <c r="BS124" s="38">
        <f t="shared" si="10"/>
        <v>3</v>
      </c>
      <c r="BT124" s="49">
        <f t="shared" si="11"/>
        <v>0</v>
      </c>
      <c r="BU124" s="38">
        <f t="shared" si="12"/>
        <v>3000</v>
      </c>
      <c r="BV124" s="57" t="str">
        <f>IFERROR(__xludf.DUMMYFUNCTION("""COMPUTED_VALUE"""),"Garza")</f>
        <v>Garza</v>
      </c>
      <c r="BW124" s="46">
        <f t="shared" si="13"/>
        <v>1750</v>
      </c>
      <c r="BX124" s="47">
        <f t="shared" ref="BX124:CA124" si="483">AX124-$BU124</f>
        <v>-1500</v>
      </c>
      <c r="BY124" s="47">
        <f t="shared" si="483"/>
        <v>-3000</v>
      </c>
      <c r="BZ124" s="47">
        <f t="shared" si="483"/>
        <v>-3000</v>
      </c>
      <c r="CA124" s="47">
        <f t="shared" si="483"/>
        <v>-3000</v>
      </c>
      <c r="CB124" s="47">
        <f t="shared" si="15"/>
        <v>-30000</v>
      </c>
      <c r="CC124" s="47">
        <f t="shared" ref="CC124:CQ124" si="484">BC124-$BU124</f>
        <v>-3000</v>
      </c>
      <c r="CD124" s="47">
        <f t="shared" si="484"/>
        <v>-2750</v>
      </c>
      <c r="CE124" s="47">
        <f t="shared" si="484"/>
        <v>-3000</v>
      </c>
      <c r="CF124" s="47">
        <f t="shared" si="484"/>
        <v>-3000</v>
      </c>
      <c r="CG124" s="47">
        <f t="shared" si="484"/>
        <v>-3000</v>
      </c>
      <c r="CH124" s="47">
        <f t="shared" si="484"/>
        <v>-3000</v>
      </c>
      <c r="CI124" s="47">
        <f t="shared" si="484"/>
        <v>-3000</v>
      </c>
      <c r="CJ124" s="47">
        <f t="shared" si="484"/>
        <v>-3000</v>
      </c>
      <c r="CK124" s="47">
        <f t="shared" si="484"/>
        <v>-3000</v>
      </c>
      <c r="CL124" s="47">
        <f t="shared" si="484"/>
        <v>-3000</v>
      </c>
      <c r="CM124" s="47">
        <f t="shared" si="484"/>
        <v>-3000</v>
      </c>
      <c r="CN124" s="47">
        <f t="shared" si="484"/>
        <v>-3000</v>
      </c>
      <c r="CO124" s="47">
        <f t="shared" si="484"/>
        <v>-3000</v>
      </c>
      <c r="CP124" s="47">
        <f t="shared" si="484"/>
        <v>-3000</v>
      </c>
      <c r="CQ124" s="47">
        <f t="shared" si="484"/>
        <v>-3000</v>
      </c>
      <c r="CR124" s="47"/>
      <c r="CS124" s="47"/>
      <c r="CT124" s="47"/>
      <c r="CU124" s="50" t="str">
        <f>IFERROR(__xludf.DUMMYFUNCTION("""COMPUTED_VALUE"""),"1722 ROUTH ST
DALLAS, TX 75201          ")</f>
        <v>1722 ROUTH ST
DALLAS, TX 75201          </v>
      </c>
      <c r="CV124" s="51">
        <f>IFERROR(__xludf.DUMMYFUNCTION("IF(REGEXMATCH(UPPER(CU124), ""TX""),0,1)"),0.0)</f>
        <v>0</v>
      </c>
      <c r="CW124" s="51">
        <f>IFERROR(__xludf.DUMMYFUNCTION("IF(REGEXMATCH(UPPER(CU124), ""DALLAS""),0,1)"),0.0)</f>
        <v>0</v>
      </c>
      <c r="CX124" s="51">
        <f t="shared" si="17"/>
        <v>0</v>
      </c>
      <c r="CY124" s="51">
        <f t="shared" si="18"/>
        <v>0</v>
      </c>
      <c r="CZ124" s="52" t="str">
        <f t="shared" si="19"/>
        <v/>
      </c>
      <c r="DA124" s="58"/>
      <c r="DB124" s="52"/>
      <c r="DC124" s="52"/>
      <c r="DD124" s="52"/>
      <c r="DE124" s="52"/>
      <c r="DF124" s="52"/>
      <c r="DG124" s="52"/>
      <c r="DH124" s="52"/>
      <c r="DI124" s="52"/>
      <c r="DJ124" s="52"/>
      <c r="DK124" s="52"/>
      <c r="DL124" s="52"/>
      <c r="DM124" s="52"/>
      <c r="DN124" s="52"/>
      <c r="DO124" s="52"/>
      <c r="DP124" s="52"/>
      <c r="DQ124" s="52"/>
      <c r="DR124" s="52"/>
      <c r="DS124" s="52"/>
      <c r="DT124" s="52"/>
      <c r="DU124" s="52"/>
      <c r="DV124" s="52"/>
      <c r="DW124" s="52"/>
    </row>
    <row r="125">
      <c r="A125" s="41" t="s">
        <v>64</v>
      </c>
      <c r="B125" s="41" t="s">
        <v>56</v>
      </c>
      <c r="C125" s="31" t="s">
        <v>375</v>
      </c>
      <c r="D125" s="25" t="str">
        <f>IFERROR(__xludf.DUMMYFUNCTION("SPLIT(C125,"" "")"),"Bellew,")</f>
        <v>Bellew,</v>
      </c>
      <c r="E125" s="40" t="str">
        <f>IFERROR(__xludf.DUMMYFUNCTION("""COMPUTED_VALUE"""),"Jill
9406")</f>
        <v>Jill
9406</v>
      </c>
      <c r="F125" s="40" t="str">
        <f>IFERROR(__xludf.DUMMYFUNCTION("""COMPUTED_VALUE"""),"Crestedge
Dallas,")</f>
        <v>Crestedge
Dallas,</v>
      </c>
      <c r="G125" s="40" t="str">
        <f>IFERROR(__xludf.DUMMYFUNCTION("""COMPUTED_VALUE"""),"TX")</f>
        <v>TX</v>
      </c>
      <c r="H125" s="40">
        <f>IFERROR(__xludf.DUMMYFUNCTION("""COMPUTED_VALUE"""),75238.0)</f>
        <v>75238</v>
      </c>
      <c r="I125" s="40"/>
      <c r="J125" s="40"/>
      <c r="K125" s="40"/>
      <c r="L125" s="40"/>
      <c r="M125" s="40"/>
      <c r="N125" s="40"/>
      <c r="O125" s="40"/>
      <c r="P125" s="40"/>
      <c r="Q125" s="40"/>
      <c r="R125" s="40"/>
      <c r="S125" s="40"/>
      <c r="T125" s="40"/>
      <c r="U125" s="24" t="str">
        <f>IFERROR(__xludf.DUMMYFUNCTION("SPLIT(E125,""01234567890"")"),"Jill
")</f>
        <v>Jill
</v>
      </c>
      <c r="V125" s="24" t="str">
        <f>IFERROR(__xludf.DUMMYFUNCTION("SPLIT(D125,"","")"),"Bellew")</f>
        <v>Bellew</v>
      </c>
      <c r="W125" s="25" t="str">
        <f t="shared" si="1"/>
        <v>JILL
 BELLEW</v>
      </c>
      <c r="X125" s="25" t="s">
        <v>376</v>
      </c>
      <c r="Y125" s="25">
        <v>75238.0</v>
      </c>
      <c r="Z125" s="25" t="str">
        <f>IFERROR(__xludf.DUMMYFUNCTION("SPLIT(C125,""
"")"),"Bellew, Jill")</f>
        <v>Bellew, Jill</v>
      </c>
      <c r="AA125" s="25" t="str">
        <f>IFERROR(__xludf.DUMMYFUNCTION("""COMPUTED_VALUE"""),"9406 Crestedge")</f>
        <v>9406 Crestedge</v>
      </c>
      <c r="AB125" s="25" t="str">
        <f>IFERROR(__xludf.DUMMYFUNCTION("""COMPUTED_VALUE"""),"Dallas, TX 75238")</f>
        <v>Dallas, TX 75238</v>
      </c>
      <c r="AC125" s="24" t="s">
        <v>377</v>
      </c>
      <c r="AD125" s="25"/>
      <c r="AE125" s="25"/>
      <c r="AF125" s="25"/>
      <c r="AG125" s="40" t="s">
        <v>60</v>
      </c>
      <c r="AH125" s="42">
        <v>2477.0</v>
      </c>
      <c r="AI125" s="40" t="s">
        <v>68</v>
      </c>
      <c r="AJ125" s="27">
        <v>1000.0</v>
      </c>
      <c r="AK125" s="31" t="s">
        <v>26</v>
      </c>
      <c r="AL125" s="43">
        <v>44879.0</v>
      </c>
      <c r="AM125" s="44">
        <v>44940.42346064815</v>
      </c>
      <c r="AN125" s="30">
        <v>2.0</v>
      </c>
      <c r="AO125" s="40"/>
      <c r="AP125" s="40"/>
      <c r="AQ125" s="40"/>
      <c r="AR125" s="40"/>
      <c r="AS125" s="31">
        <f>IFERROR(__xludf.DUMMYFUNCTION("""COMPUTED_VALUE"""),6152.0)</f>
        <v>6152</v>
      </c>
      <c r="AT125" s="45">
        <f t="shared" si="6"/>
        <v>10</v>
      </c>
      <c r="AU125" s="40"/>
      <c r="AV125" s="46" t="str">
        <f>IFERROR(__xludf.DUMMYFUNCTION("""COMPUTED_VALUE"""),"Whitney")</f>
        <v>Whitney</v>
      </c>
      <c r="AW125" s="46">
        <f t="shared" si="7"/>
        <v>100</v>
      </c>
      <c r="AX125" s="47">
        <f t="shared" ref="AX125:BQ125" si="485">SUMIFS($AJ:$AJ,$V:$V,$AV125,$AK:$AK,AX$2)</f>
        <v>100</v>
      </c>
      <c r="AY125" s="48">
        <f t="shared" si="485"/>
        <v>0</v>
      </c>
      <c r="AZ125" s="48">
        <f t="shared" si="485"/>
        <v>0</v>
      </c>
      <c r="BA125" s="48">
        <f t="shared" si="485"/>
        <v>0</v>
      </c>
      <c r="BB125" s="48">
        <f t="shared" si="485"/>
        <v>0</v>
      </c>
      <c r="BC125" s="48">
        <f t="shared" si="485"/>
        <v>0</v>
      </c>
      <c r="BD125" s="48">
        <f t="shared" si="485"/>
        <v>0</v>
      </c>
      <c r="BE125" s="48">
        <f t="shared" si="485"/>
        <v>0</v>
      </c>
      <c r="BF125" s="48">
        <f t="shared" si="485"/>
        <v>0</v>
      </c>
      <c r="BG125" s="48">
        <f t="shared" si="485"/>
        <v>0</v>
      </c>
      <c r="BH125" s="48">
        <f t="shared" si="485"/>
        <v>0</v>
      </c>
      <c r="BI125" s="48">
        <f t="shared" si="485"/>
        <v>0</v>
      </c>
      <c r="BJ125" s="48">
        <f t="shared" si="485"/>
        <v>0</v>
      </c>
      <c r="BK125" s="48">
        <f t="shared" si="485"/>
        <v>0</v>
      </c>
      <c r="BL125" s="48">
        <f t="shared" si="485"/>
        <v>0</v>
      </c>
      <c r="BM125" s="48">
        <f t="shared" si="485"/>
        <v>0</v>
      </c>
      <c r="BN125" s="48">
        <f t="shared" si="485"/>
        <v>0</v>
      </c>
      <c r="BO125" s="48">
        <f t="shared" si="485"/>
        <v>0</v>
      </c>
      <c r="BP125" s="48">
        <f t="shared" si="485"/>
        <v>0</v>
      </c>
      <c r="BQ125" s="48">
        <f t="shared" si="485"/>
        <v>0</v>
      </c>
      <c r="BR125" s="36">
        <f t="shared" si="9"/>
        <v>0</v>
      </c>
      <c r="BS125" s="38">
        <f t="shared" si="10"/>
        <v>1</v>
      </c>
      <c r="BT125" s="49">
        <f t="shared" si="11"/>
        <v>0</v>
      </c>
      <c r="BU125" s="38">
        <f t="shared" si="12"/>
        <v>1000</v>
      </c>
      <c r="BV125" s="46" t="str">
        <f>IFERROR(__xludf.DUMMYFUNCTION("""COMPUTED_VALUE"""),"Whitney")</f>
        <v>Whitney</v>
      </c>
      <c r="BW125" s="46">
        <f t="shared" si="13"/>
        <v>100</v>
      </c>
      <c r="BX125" s="47">
        <f t="shared" ref="BX125:CA125" si="486">AX125-$BU125</f>
        <v>-900</v>
      </c>
      <c r="BY125" s="47">
        <f t="shared" si="486"/>
        <v>-1000</v>
      </c>
      <c r="BZ125" s="47">
        <f t="shared" si="486"/>
        <v>-1000</v>
      </c>
      <c r="CA125" s="47">
        <f t="shared" si="486"/>
        <v>-1000</v>
      </c>
      <c r="CB125" s="47">
        <f t="shared" si="15"/>
        <v>-10000</v>
      </c>
      <c r="CC125" s="47">
        <f t="shared" ref="CC125:CQ125" si="487">BC125-$BU125</f>
        <v>-1000</v>
      </c>
      <c r="CD125" s="47">
        <f t="shared" si="487"/>
        <v>-1000</v>
      </c>
      <c r="CE125" s="47">
        <f t="shared" si="487"/>
        <v>-1000</v>
      </c>
      <c r="CF125" s="47">
        <f t="shared" si="487"/>
        <v>-1000</v>
      </c>
      <c r="CG125" s="47">
        <f t="shared" si="487"/>
        <v>-1000</v>
      </c>
      <c r="CH125" s="47">
        <f t="shared" si="487"/>
        <v>-1000</v>
      </c>
      <c r="CI125" s="47">
        <f t="shared" si="487"/>
        <v>-1000</v>
      </c>
      <c r="CJ125" s="47">
        <f t="shared" si="487"/>
        <v>-1000</v>
      </c>
      <c r="CK125" s="47">
        <f t="shared" si="487"/>
        <v>-1000</v>
      </c>
      <c r="CL125" s="47">
        <f t="shared" si="487"/>
        <v>-1000</v>
      </c>
      <c r="CM125" s="47">
        <f t="shared" si="487"/>
        <v>-1000</v>
      </c>
      <c r="CN125" s="47">
        <f t="shared" si="487"/>
        <v>-1000</v>
      </c>
      <c r="CO125" s="47">
        <f t="shared" si="487"/>
        <v>-1000</v>
      </c>
      <c r="CP125" s="47">
        <f t="shared" si="487"/>
        <v>-1000</v>
      </c>
      <c r="CQ125" s="47">
        <f t="shared" si="487"/>
        <v>-1000</v>
      </c>
      <c r="CR125" s="47"/>
      <c r="CS125" s="47"/>
      <c r="CT125" s="47"/>
      <c r="CU125" s="50" t="str">
        <f>IFERROR(__xludf.DUMMYFUNCTION("""COMPUTED_VALUE"""),"5369 Nakoma Dr
Dallas, TX 75209          ")</f>
        <v>5369 Nakoma Dr
Dallas, TX 75209          </v>
      </c>
      <c r="CV125" s="51">
        <f>IFERROR(__xludf.DUMMYFUNCTION("IF(REGEXMATCH(UPPER(CU125), ""TX""),0,1)"),0.0)</f>
        <v>0</v>
      </c>
      <c r="CW125" s="51">
        <f>IFERROR(__xludf.DUMMYFUNCTION("IF(REGEXMATCH(UPPER(CU125), ""DALLAS""),0,1)"),0.0)</f>
        <v>0</v>
      </c>
      <c r="CX125" s="51">
        <f t="shared" si="17"/>
        <v>0</v>
      </c>
      <c r="CY125" s="51">
        <f t="shared" si="18"/>
        <v>0</v>
      </c>
      <c r="CZ125" s="52" t="str">
        <f t="shared" si="19"/>
        <v/>
      </c>
      <c r="DA125" s="58"/>
      <c r="DB125" s="52"/>
      <c r="DC125" s="52"/>
      <c r="DD125" s="52"/>
      <c r="DE125" s="52"/>
      <c r="DF125" s="52"/>
      <c r="DG125" s="52"/>
      <c r="DH125" s="52"/>
      <c r="DI125" s="52"/>
      <c r="DJ125" s="52"/>
      <c r="DK125" s="52"/>
      <c r="DL125" s="52"/>
      <c r="DM125" s="52"/>
      <c r="DN125" s="52"/>
      <c r="DO125" s="52"/>
      <c r="DP125" s="52"/>
      <c r="DQ125" s="52"/>
      <c r="DR125" s="52"/>
      <c r="DS125" s="52"/>
      <c r="DT125" s="52"/>
      <c r="DU125" s="52"/>
      <c r="DV125" s="52"/>
      <c r="DW125" s="52"/>
    </row>
    <row r="126">
      <c r="A126" s="22" t="s">
        <v>55</v>
      </c>
      <c r="B126" s="23" t="s">
        <v>56</v>
      </c>
      <c r="C126" s="31" t="s">
        <v>378</v>
      </c>
      <c r="D126" s="25" t="str">
        <f>IFERROR(__xludf.DUMMYFUNCTION("SPLIT(C126,"" "")"),"Bennett,")</f>
        <v>Bennett,</v>
      </c>
      <c r="E126" s="22" t="str">
        <f>IFERROR(__xludf.DUMMYFUNCTION("""COMPUTED_VALUE"""),"Dottie
3405")</f>
        <v>Dottie
3405</v>
      </c>
      <c r="F126" s="22" t="str">
        <f>IFERROR(__xludf.DUMMYFUNCTION("""COMPUTED_VALUE"""),"Rustic")</f>
        <v>Rustic</v>
      </c>
      <c r="G126" s="22" t="str">
        <f>IFERROR(__xludf.DUMMYFUNCTION("""COMPUTED_VALUE"""),"Way")</f>
        <v>Way</v>
      </c>
      <c r="H126" s="22" t="str">
        <f>IFERROR(__xludf.DUMMYFUNCTION("""COMPUTED_VALUE"""),"Lane
Falls")</f>
        <v>Lane
Falls</v>
      </c>
      <c r="I126" s="22" t="str">
        <f>IFERROR(__xludf.DUMMYFUNCTION("""COMPUTED_VALUE"""),"Church,")</f>
        <v>Church,</v>
      </c>
      <c r="J126" s="22" t="str">
        <f>IFERROR(__xludf.DUMMYFUNCTION("""COMPUTED_VALUE"""),"VA")</f>
        <v>VA</v>
      </c>
      <c r="K126" s="22">
        <f>IFERROR(__xludf.DUMMYFUNCTION("""COMPUTED_VALUE"""),22044.0)</f>
        <v>22044</v>
      </c>
      <c r="L126" s="22"/>
      <c r="M126" s="22"/>
      <c r="N126" s="22"/>
      <c r="O126" s="22"/>
      <c r="P126" s="22"/>
      <c r="Q126" s="22"/>
      <c r="R126" s="22"/>
      <c r="S126" s="22"/>
      <c r="T126" s="22"/>
      <c r="U126" s="24" t="str">
        <f>IFERROR(__xludf.DUMMYFUNCTION("SPLIT(E126,""01234567890"")"),"Dottie
")</f>
        <v>Dottie
</v>
      </c>
      <c r="V126" s="24" t="str">
        <f>IFERROR(__xludf.DUMMYFUNCTION("SPLIT(D126,"","")"),"Bennett")</f>
        <v>Bennett</v>
      </c>
      <c r="W126" s="25" t="str">
        <f t="shared" si="1"/>
        <v>DOTTIE
 BENNETT</v>
      </c>
      <c r="X126" s="25" t="s">
        <v>379</v>
      </c>
      <c r="Y126" s="25">
        <v>22044.0</v>
      </c>
      <c r="Z126" s="25" t="str">
        <f>IFERROR(__xludf.DUMMYFUNCTION("SPLIT(C126,""
"")"),"Bennett, Dottie")</f>
        <v>Bennett, Dottie</v>
      </c>
      <c r="AA126" s="25" t="str">
        <f>IFERROR(__xludf.DUMMYFUNCTION("""COMPUTED_VALUE"""),"3405 Rustic Way Lane")</f>
        <v>3405 Rustic Way Lane</v>
      </c>
      <c r="AB126" s="25" t="str">
        <f>IFERROR(__xludf.DUMMYFUNCTION("""COMPUTED_VALUE"""),"Falls Church, VA 22044")</f>
        <v>Falls Church, VA 22044</v>
      </c>
      <c r="AC126" s="24" t="s">
        <v>380</v>
      </c>
      <c r="AD126" s="25"/>
      <c r="AE126" s="25"/>
      <c r="AF126" s="25"/>
      <c r="AG126" s="22" t="s">
        <v>60</v>
      </c>
      <c r="AH126" s="54">
        <v>2482.0</v>
      </c>
      <c r="AI126" s="22" t="s">
        <v>68</v>
      </c>
      <c r="AJ126" s="27">
        <v>100.0</v>
      </c>
      <c r="AK126" s="31" t="s">
        <v>31</v>
      </c>
      <c r="AL126" s="28">
        <v>44912.0</v>
      </c>
      <c r="AM126" s="29">
        <v>44938.558541666665</v>
      </c>
      <c r="AN126" s="30">
        <v>2.0</v>
      </c>
      <c r="AO126" s="22"/>
      <c r="AP126" s="22"/>
      <c r="AQ126" s="22"/>
      <c r="AR126" s="22"/>
      <c r="AS126" s="31">
        <f>IFERROR(__xludf.DUMMYFUNCTION("""COMPUTED_VALUE"""),75367.0)</f>
        <v>75367</v>
      </c>
      <c r="AT126" s="45">
        <f t="shared" si="6"/>
        <v>1000</v>
      </c>
      <c r="AU126" s="22"/>
      <c r="AV126" s="57" t="str">
        <f>IFERROR(__xludf.DUMMYFUNCTION("""COMPUTED_VALUE"""),"Neill")</f>
        <v>Neill</v>
      </c>
      <c r="AW126" s="46">
        <f t="shared" si="7"/>
        <v>1000</v>
      </c>
      <c r="AX126" s="47">
        <f t="shared" ref="AX126:BQ126" si="488">SUMIFS($AJ:$AJ,$V:$V,$AV126,$AK:$AK,AX$2)</f>
        <v>1000</v>
      </c>
      <c r="AY126" s="48">
        <f t="shared" si="488"/>
        <v>0</v>
      </c>
      <c r="AZ126" s="48">
        <f t="shared" si="488"/>
        <v>0</v>
      </c>
      <c r="BA126" s="48">
        <f t="shared" si="488"/>
        <v>0</v>
      </c>
      <c r="BB126" s="48">
        <f t="shared" si="488"/>
        <v>0</v>
      </c>
      <c r="BC126" s="48">
        <f t="shared" si="488"/>
        <v>0</v>
      </c>
      <c r="BD126" s="48">
        <f t="shared" si="488"/>
        <v>0</v>
      </c>
      <c r="BE126" s="48">
        <f t="shared" si="488"/>
        <v>0</v>
      </c>
      <c r="BF126" s="48">
        <f t="shared" si="488"/>
        <v>0</v>
      </c>
      <c r="BG126" s="48">
        <f t="shared" si="488"/>
        <v>0</v>
      </c>
      <c r="BH126" s="48">
        <f t="shared" si="488"/>
        <v>0</v>
      </c>
      <c r="BI126" s="48">
        <f t="shared" si="488"/>
        <v>0</v>
      </c>
      <c r="BJ126" s="48">
        <f t="shared" si="488"/>
        <v>0</v>
      </c>
      <c r="BK126" s="48">
        <f t="shared" si="488"/>
        <v>0</v>
      </c>
      <c r="BL126" s="48">
        <f t="shared" si="488"/>
        <v>0</v>
      </c>
      <c r="BM126" s="48">
        <f t="shared" si="488"/>
        <v>0</v>
      </c>
      <c r="BN126" s="48">
        <f t="shared" si="488"/>
        <v>0</v>
      </c>
      <c r="BO126" s="48">
        <f t="shared" si="488"/>
        <v>0</v>
      </c>
      <c r="BP126" s="48">
        <f t="shared" si="488"/>
        <v>0</v>
      </c>
      <c r="BQ126" s="48">
        <f t="shared" si="488"/>
        <v>0</v>
      </c>
      <c r="BR126" s="36">
        <f t="shared" si="9"/>
        <v>0</v>
      </c>
      <c r="BS126" s="38">
        <f t="shared" si="10"/>
        <v>1</v>
      </c>
      <c r="BT126" s="49">
        <f t="shared" si="11"/>
        <v>0</v>
      </c>
      <c r="BU126" s="38">
        <f t="shared" si="12"/>
        <v>1000</v>
      </c>
      <c r="BV126" s="57" t="str">
        <f>IFERROR(__xludf.DUMMYFUNCTION("""COMPUTED_VALUE"""),"Neill")</f>
        <v>Neill</v>
      </c>
      <c r="BW126" s="46">
        <f t="shared" si="13"/>
        <v>1000</v>
      </c>
      <c r="BX126" s="47">
        <f t="shared" ref="BX126:CA126" si="489">AX126-$BU126</f>
        <v>0</v>
      </c>
      <c r="BY126" s="47">
        <f t="shared" si="489"/>
        <v>-1000</v>
      </c>
      <c r="BZ126" s="47">
        <f t="shared" si="489"/>
        <v>-1000</v>
      </c>
      <c r="CA126" s="47">
        <f t="shared" si="489"/>
        <v>-1000</v>
      </c>
      <c r="CB126" s="47">
        <f t="shared" si="15"/>
        <v>-10000</v>
      </c>
      <c r="CC126" s="47">
        <f t="shared" ref="CC126:CQ126" si="490">BC126-$BU126</f>
        <v>-1000</v>
      </c>
      <c r="CD126" s="47">
        <f t="shared" si="490"/>
        <v>-1000</v>
      </c>
      <c r="CE126" s="47">
        <f t="shared" si="490"/>
        <v>-1000</v>
      </c>
      <c r="CF126" s="47">
        <f t="shared" si="490"/>
        <v>-1000</v>
      </c>
      <c r="CG126" s="47">
        <f t="shared" si="490"/>
        <v>-1000</v>
      </c>
      <c r="CH126" s="47">
        <f t="shared" si="490"/>
        <v>-1000</v>
      </c>
      <c r="CI126" s="47">
        <f t="shared" si="490"/>
        <v>-1000</v>
      </c>
      <c r="CJ126" s="47">
        <f t="shared" si="490"/>
        <v>-1000</v>
      </c>
      <c r="CK126" s="47">
        <f t="shared" si="490"/>
        <v>-1000</v>
      </c>
      <c r="CL126" s="47">
        <f t="shared" si="490"/>
        <v>-1000</v>
      </c>
      <c r="CM126" s="47">
        <f t="shared" si="490"/>
        <v>-1000</v>
      </c>
      <c r="CN126" s="47">
        <f t="shared" si="490"/>
        <v>-1000</v>
      </c>
      <c r="CO126" s="47">
        <f t="shared" si="490"/>
        <v>-1000</v>
      </c>
      <c r="CP126" s="47">
        <f t="shared" si="490"/>
        <v>-1000</v>
      </c>
      <c r="CQ126" s="47">
        <f t="shared" si="490"/>
        <v>-1000</v>
      </c>
      <c r="CR126" s="47"/>
      <c r="CS126" s="47"/>
      <c r="CT126" s="47"/>
      <c r="CU126" s="50" t="str">
        <f>IFERROR(__xludf.DUMMYFUNCTION("""COMPUTED_VALUE"""),"1722 Routh St.
Dallas, TX 75201          ")</f>
        <v>1722 Routh St.
Dallas, TX 75201          </v>
      </c>
      <c r="CV126" s="51">
        <f>IFERROR(__xludf.DUMMYFUNCTION("IF(REGEXMATCH(UPPER(CU126), ""TX""),0,1)"),0.0)</f>
        <v>0</v>
      </c>
      <c r="CW126" s="51">
        <f>IFERROR(__xludf.DUMMYFUNCTION("IF(REGEXMATCH(UPPER(CU126), ""DALLAS""),0,1)"),0.0)</f>
        <v>0</v>
      </c>
      <c r="CX126" s="51">
        <f t="shared" si="17"/>
        <v>0</v>
      </c>
      <c r="CY126" s="51">
        <f t="shared" si="18"/>
        <v>0</v>
      </c>
      <c r="CZ126" s="52" t="str">
        <f t="shared" si="19"/>
        <v/>
      </c>
      <c r="DA126" s="58"/>
      <c r="DB126" s="52"/>
      <c r="DC126" s="52"/>
      <c r="DD126" s="52"/>
      <c r="DE126" s="52"/>
      <c r="DF126" s="52"/>
      <c r="DG126" s="52"/>
      <c r="DH126" s="52"/>
      <c r="DI126" s="52"/>
      <c r="DJ126" s="52"/>
      <c r="DK126" s="52"/>
      <c r="DL126" s="52"/>
      <c r="DM126" s="52"/>
      <c r="DN126" s="52"/>
      <c r="DO126" s="52"/>
      <c r="DP126" s="52"/>
      <c r="DQ126" s="52"/>
      <c r="DR126" s="52"/>
      <c r="DS126" s="52"/>
      <c r="DT126" s="52"/>
      <c r="DU126" s="52"/>
      <c r="DV126" s="52"/>
      <c r="DW126" s="52"/>
    </row>
    <row r="127">
      <c r="A127" s="41" t="s">
        <v>64</v>
      </c>
      <c r="B127" s="41" t="s">
        <v>56</v>
      </c>
      <c r="C127" s="31" t="s">
        <v>381</v>
      </c>
      <c r="D127" s="25" t="str">
        <f>IFERROR(__xludf.DUMMYFUNCTION("SPLIT(C127,"" "")"),"Bennett,")</f>
        <v>Bennett,</v>
      </c>
      <c r="E127" s="40" t="str">
        <f>IFERROR(__xludf.DUMMYFUNCTION("""COMPUTED_VALUE"""),"Jeffrey
3100")</f>
        <v>Jeffrey
3100</v>
      </c>
      <c r="F127" s="40" t="str">
        <f>IFERROR(__xludf.DUMMYFUNCTION("""COMPUTED_VALUE"""),"Commerce")</f>
        <v>Commerce</v>
      </c>
      <c r="G127" s="40" t="str">
        <f>IFERROR(__xludf.DUMMYFUNCTION("""COMPUTED_VALUE"""),"St
Dallas,")</f>
        <v>St
Dallas,</v>
      </c>
      <c r="H127" s="40" t="str">
        <f>IFERROR(__xludf.DUMMYFUNCTION("""COMPUTED_VALUE"""),"TX")</f>
        <v>TX</v>
      </c>
      <c r="I127" s="40">
        <f>IFERROR(__xludf.DUMMYFUNCTION("""COMPUTED_VALUE"""),75226.0)</f>
        <v>75226</v>
      </c>
      <c r="J127" s="40"/>
      <c r="K127" s="40"/>
      <c r="L127" s="40"/>
      <c r="M127" s="40"/>
      <c r="N127" s="40"/>
      <c r="O127" s="40"/>
      <c r="P127" s="40"/>
      <c r="Q127" s="40"/>
      <c r="R127" s="40"/>
      <c r="S127" s="40"/>
      <c r="T127" s="40"/>
      <c r="U127" s="24" t="str">
        <f>IFERROR(__xludf.DUMMYFUNCTION("SPLIT(E127,""01234567890"")"),"Jeffrey
")</f>
        <v>Jeffrey
</v>
      </c>
      <c r="V127" s="24" t="str">
        <f>IFERROR(__xludf.DUMMYFUNCTION("SPLIT(D127,"","")"),"Bennett")</f>
        <v>Bennett</v>
      </c>
      <c r="W127" s="25" t="str">
        <f t="shared" si="1"/>
        <v>JEFFREY
 BENNETT</v>
      </c>
      <c r="X127" s="25" t="s">
        <v>382</v>
      </c>
      <c r="Y127" s="25">
        <v>75226.0</v>
      </c>
      <c r="Z127" s="25" t="str">
        <f>IFERROR(__xludf.DUMMYFUNCTION("SPLIT(C127,""
"")"),"Bennett, Jeffrey")</f>
        <v>Bennett, Jeffrey</v>
      </c>
      <c r="AA127" s="25" t="str">
        <f>IFERROR(__xludf.DUMMYFUNCTION("""COMPUTED_VALUE"""),"3100 Commerce St")</f>
        <v>3100 Commerce St</v>
      </c>
      <c r="AB127" s="25" t="str">
        <f>IFERROR(__xludf.DUMMYFUNCTION("""COMPUTED_VALUE"""),"Dallas, TX 75226")</f>
        <v>Dallas, TX 75226</v>
      </c>
      <c r="AC127" s="24" t="s">
        <v>383</v>
      </c>
      <c r="AD127" s="25"/>
      <c r="AE127" s="25"/>
      <c r="AF127" s="25"/>
      <c r="AG127" s="40" t="s">
        <v>60</v>
      </c>
      <c r="AH127" s="42">
        <v>2481.0</v>
      </c>
      <c r="AI127" s="40" t="s">
        <v>68</v>
      </c>
      <c r="AJ127" s="27">
        <v>500.0</v>
      </c>
      <c r="AK127" s="31" t="s">
        <v>25</v>
      </c>
      <c r="AL127" s="43">
        <v>44840.0</v>
      </c>
      <c r="AM127" s="44">
        <v>44937.81995370371</v>
      </c>
      <c r="AN127" s="30">
        <v>2.0</v>
      </c>
      <c r="AO127" s="40"/>
      <c r="AP127" s="40"/>
      <c r="AQ127" s="40"/>
      <c r="AR127" s="40"/>
      <c r="AS127" s="31">
        <f>IFERROR(__xludf.DUMMYFUNCTION("""COMPUTED_VALUE"""),77021.0)</f>
        <v>77021</v>
      </c>
      <c r="AT127" s="45">
        <f t="shared" si="6"/>
        <v>1000</v>
      </c>
      <c r="AU127" s="40"/>
      <c r="AV127" s="46" t="str">
        <f>IFERROR(__xludf.DUMMYFUNCTION("""COMPUTED_VALUE"""),"Hetzel")</f>
        <v>Hetzel</v>
      </c>
      <c r="AW127" s="46">
        <f t="shared" si="7"/>
        <v>2000</v>
      </c>
      <c r="AX127" s="47">
        <f t="shared" ref="AX127:BQ127" si="491">SUMIFS($AJ:$AJ,$V:$V,$AV127,$AK:$AK,AX$2)</f>
        <v>1000</v>
      </c>
      <c r="AY127" s="48">
        <f t="shared" si="491"/>
        <v>0</v>
      </c>
      <c r="AZ127" s="48">
        <f t="shared" si="491"/>
        <v>0</v>
      </c>
      <c r="BA127" s="48">
        <f t="shared" si="491"/>
        <v>0</v>
      </c>
      <c r="BB127" s="48">
        <f t="shared" si="491"/>
        <v>0</v>
      </c>
      <c r="BC127" s="48">
        <f t="shared" si="491"/>
        <v>0</v>
      </c>
      <c r="BD127" s="48">
        <f t="shared" si="491"/>
        <v>1000</v>
      </c>
      <c r="BE127" s="48">
        <f t="shared" si="491"/>
        <v>0</v>
      </c>
      <c r="BF127" s="48">
        <f t="shared" si="491"/>
        <v>0</v>
      </c>
      <c r="BG127" s="48">
        <f t="shared" si="491"/>
        <v>0</v>
      </c>
      <c r="BH127" s="48">
        <f t="shared" si="491"/>
        <v>0</v>
      </c>
      <c r="BI127" s="48">
        <f t="shared" si="491"/>
        <v>0</v>
      </c>
      <c r="BJ127" s="48">
        <f t="shared" si="491"/>
        <v>0</v>
      </c>
      <c r="BK127" s="48">
        <f t="shared" si="491"/>
        <v>0</v>
      </c>
      <c r="BL127" s="48">
        <f t="shared" si="491"/>
        <v>0</v>
      </c>
      <c r="BM127" s="48">
        <f t="shared" si="491"/>
        <v>0</v>
      </c>
      <c r="BN127" s="48">
        <f t="shared" si="491"/>
        <v>0</v>
      </c>
      <c r="BO127" s="48">
        <f t="shared" si="491"/>
        <v>0</v>
      </c>
      <c r="BP127" s="48">
        <f t="shared" si="491"/>
        <v>0</v>
      </c>
      <c r="BQ127" s="48">
        <f t="shared" si="491"/>
        <v>0</v>
      </c>
      <c r="BR127" s="36">
        <f t="shared" si="9"/>
        <v>1</v>
      </c>
      <c r="BS127" s="38">
        <f t="shared" si="10"/>
        <v>2</v>
      </c>
      <c r="BT127" s="49">
        <f t="shared" si="11"/>
        <v>0</v>
      </c>
      <c r="BU127" s="38">
        <f t="shared" si="12"/>
        <v>2000</v>
      </c>
      <c r="BV127" s="46" t="str">
        <f>IFERROR(__xludf.DUMMYFUNCTION("""COMPUTED_VALUE"""),"Hetzel")</f>
        <v>Hetzel</v>
      </c>
      <c r="BW127" s="46">
        <f t="shared" si="13"/>
        <v>2000</v>
      </c>
      <c r="BX127" s="47">
        <f t="shared" ref="BX127:CA127" si="492">AX127-$BU127</f>
        <v>-1000</v>
      </c>
      <c r="BY127" s="47">
        <f t="shared" si="492"/>
        <v>-2000</v>
      </c>
      <c r="BZ127" s="47">
        <f t="shared" si="492"/>
        <v>-2000</v>
      </c>
      <c r="CA127" s="47">
        <f t="shared" si="492"/>
        <v>-2000</v>
      </c>
      <c r="CB127" s="47">
        <f t="shared" si="15"/>
        <v>-20000</v>
      </c>
      <c r="CC127" s="47">
        <f t="shared" ref="CC127:CQ127" si="493">BC127-$BU127</f>
        <v>-2000</v>
      </c>
      <c r="CD127" s="47">
        <f t="shared" si="493"/>
        <v>-1000</v>
      </c>
      <c r="CE127" s="47">
        <f t="shared" si="493"/>
        <v>-2000</v>
      </c>
      <c r="CF127" s="47">
        <f t="shared" si="493"/>
        <v>-2000</v>
      </c>
      <c r="CG127" s="47">
        <f t="shared" si="493"/>
        <v>-2000</v>
      </c>
      <c r="CH127" s="47">
        <f t="shared" si="493"/>
        <v>-2000</v>
      </c>
      <c r="CI127" s="47">
        <f t="shared" si="493"/>
        <v>-2000</v>
      </c>
      <c r="CJ127" s="47">
        <f t="shared" si="493"/>
        <v>-2000</v>
      </c>
      <c r="CK127" s="47">
        <f t="shared" si="493"/>
        <v>-2000</v>
      </c>
      <c r="CL127" s="47">
        <f t="shared" si="493"/>
        <v>-2000</v>
      </c>
      <c r="CM127" s="47">
        <f t="shared" si="493"/>
        <v>-2000</v>
      </c>
      <c r="CN127" s="47">
        <f t="shared" si="493"/>
        <v>-2000</v>
      </c>
      <c r="CO127" s="47">
        <f t="shared" si="493"/>
        <v>-2000</v>
      </c>
      <c r="CP127" s="47">
        <f t="shared" si="493"/>
        <v>-2000</v>
      </c>
      <c r="CQ127" s="47">
        <f t="shared" si="493"/>
        <v>-2000</v>
      </c>
      <c r="CR127" s="47"/>
      <c r="CS127" s="47"/>
      <c r="CT127" s="47"/>
      <c r="CU127" s="50" t="str">
        <f>IFERROR(__xludf.DUMMYFUNCTION("""COMPUTED_VALUE"""),"1722 Routh St
Dallas, TX 75201          ")</f>
        <v>1722 Routh St
Dallas, TX 75201          </v>
      </c>
      <c r="CV127" s="51">
        <f>IFERROR(__xludf.DUMMYFUNCTION("IF(REGEXMATCH(UPPER(CU127), ""TX""),0,1)"),0.0)</f>
        <v>0</v>
      </c>
      <c r="CW127" s="51">
        <f>IFERROR(__xludf.DUMMYFUNCTION("IF(REGEXMATCH(UPPER(CU127), ""DALLAS""),0,1)"),0.0)</f>
        <v>0</v>
      </c>
      <c r="CX127" s="51">
        <f t="shared" si="17"/>
        <v>0</v>
      </c>
      <c r="CY127" s="51">
        <f t="shared" si="18"/>
        <v>0</v>
      </c>
      <c r="CZ127" s="52" t="str">
        <f t="shared" si="19"/>
        <v/>
      </c>
      <c r="DA127" s="58"/>
      <c r="DB127" s="52"/>
      <c r="DC127" s="52"/>
      <c r="DD127" s="52"/>
      <c r="DE127" s="52"/>
      <c r="DF127" s="52"/>
      <c r="DG127" s="52"/>
      <c r="DH127" s="52"/>
      <c r="DI127" s="52"/>
      <c r="DJ127" s="52"/>
      <c r="DK127" s="52"/>
      <c r="DL127" s="52"/>
      <c r="DM127" s="52"/>
      <c r="DN127" s="52"/>
      <c r="DO127" s="52"/>
      <c r="DP127" s="52"/>
      <c r="DQ127" s="52"/>
      <c r="DR127" s="52"/>
      <c r="DS127" s="52"/>
      <c r="DT127" s="52"/>
      <c r="DU127" s="52"/>
      <c r="DV127" s="52"/>
      <c r="DW127" s="52"/>
    </row>
    <row r="128">
      <c r="A128" s="23" t="s">
        <v>64</v>
      </c>
      <c r="B128" s="23" t="s">
        <v>56</v>
      </c>
      <c r="C128" s="31" t="s">
        <v>384</v>
      </c>
      <c r="D128" s="25" t="str">
        <f>IFERROR(__xludf.DUMMYFUNCTION("SPLIT(C128,"" "")"),"Benson,")</f>
        <v>Benson,</v>
      </c>
      <c r="E128" s="22" t="str">
        <f>IFERROR(__xludf.DUMMYFUNCTION("""COMPUTED_VALUE"""),"Kenneth
1527")</f>
        <v>Kenneth
1527</v>
      </c>
      <c r="F128" s="22" t="str">
        <f>IFERROR(__xludf.DUMMYFUNCTION("""COMPUTED_VALUE"""),"Waterside")</f>
        <v>Waterside</v>
      </c>
      <c r="G128" s="22" t="str">
        <f>IFERROR(__xludf.DUMMYFUNCTION("""COMPUTED_VALUE"""),"Ct.
Dallas,")</f>
        <v>Ct.
Dallas,</v>
      </c>
      <c r="H128" s="22" t="str">
        <f>IFERROR(__xludf.DUMMYFUNCTION("""COMPUTED_VALUE"""),"TX")</f>
        <v>TX</v>
      </c>
      <c r="I128" s="22">
        <f>IFERROR(__xludf.DUMMYFUNCTION("""COMPUTED_VALUE"""),75218.0)</f>
        <v>75218</v>
      </c>
      <c r="J128" s="22"/>
      <c r="K128" s="22"/>
      <c r="L128" s="22"/>
      <c r="M128" s="22"/>
      <c r="N128" s="22"/>
      <c r="O128" s="22"/>
      <c r="P128" s="22"/>
      <c r="Q128" s="22"/>
      <c r="R128" s="22"/>
      <c r="S128" s="22"/>
      <c r="T128" s="22"/>
      <c r="U128" s="24" t="str">
        <f>IFERROR(__xludf.DUMMYFUNCTION("SPLIT(E128,""01234567890"")"),"Kenneth
")</f>
        <v>Kenneth
</v>
      </c>
      <c r="V128" s="24" t="str">
        <f>IFERROR(__xludf.DUMMYFUNCTION("SPLIT(D128,"","")"),"Benson")</f>
        <v>Benson</v>
      </c>
      <c r="W128" s="25" t="str">
        <f t="shared" si="1"/>
        <v>KENNETH
 BENSON</v>
      </c>
      <c r="X128" s="25" t="s">
        <v>385</v>
      </c>
      <c r="Y128" s="25">
        <v>75218.0</v>
      </c>
      <c r="Z128" s="25" t="str">
        <f>IFERROR(__xludf.DUMMYFUNCTION("SPLIT(C128,""
"")"),"Benson, Kenneth")</f>
        <v>Benson, Kenneth</v>
      </c>
      <c r="AA128" s="25" t="str">
        <f>IFERROR(__xludf.DUMMYFUNCTION("""COMPUTED_VALUE"""),"1527 Waterside Ct.")</f>
        <v>1527 Waterside Ct.</v>
      </c>
      <c r="AB128" s="25" t="str">
        <f>IFERROR(__xludf.DUMMYFUNCTION("""COMPUTED_VALUE"""),"Dallas, TX 75218")</f>
        <v>Dallas, TX 75218</v>
      </c>
      <c r="AC128" s="24" t="s">
        <v>386</v>
      </c>
      <c r="AD128" s="25"/>
      <c r="AE128" s="25"/>
      <c r="AF128" s="25"/>
      <c r="AG128" s="22" t="s">
        <v>60</v>
      </c>
      <c r="AH128" s="54">
        <v>2448.0</v>
      </c>
      <c r="AI128" s="22" t="s">
        <v>61</v>
      </c>
      <c r="AJ128" s="27">
        <v>500.0</v>
      </c>
      <c r="AK128" s="31" t="s">
        <v>24</v>
      </c>
      <c r="AL128" s="28">
        <v>44726.0</v>
      </c>
      <c r="AM128" s="29">
        <v>44757.44018518519</v>
      </c>
      <c r="AN128" s="30">
        <v>2.0</v>
      </c>
      <c r="AO128" s="22"/>
      <c r="AP128" s="22"/>
      <c r="AQ128" s="22"/>
      <c r="AR128" s="22"/>
      <c r="AS128" s="31">
        <f>IFERROR(__xludf.DUMMYFUNCTION("""COMPUTED_VALUE"""),71106.0)</f>
        <v>71106</v>
      </c>
      <c r="AT128" s="45">
        <f t="shared" si="6"/>
        <v>500</v>
      </c>
      <c r="AU128" s="22"/>
      <c r="AV128" s="57" t="str">
        <f>IFERROR(__xludf.DUMMYFUNCTION("""COMPUTED_VALUE"""),"Raymond")</f>
        <v>Raymond</v>
      </c>
      <c r="AW128" s="46">
        <f t="shared" si="7"/>
        <v>1100</v>
      </c>
      <c r="AX128" s="47">
        <f t="shared" ref="AX128:BQ128" si="494">SUMIFS($AJ:$AJ,$V:$V,$AV128,$AK:$AK,AX$2)</f>
        <v>100</v>
      </c>
      <c r="AY128" s="48">
        <f t="shared" si="494"/>
        <v>0</v>
      </c>
      <c r="AZ128" s="48">
        <f t="shared" si="494"/>
        <v>0</v>
      </c>
      <c r="BA128" s="48">
        <f t="shared" si="494"/>
        <v>1000</v>
      </c>
      <c r="BB128" s="48">
        <f t="shared" si="494"/>
        <v>0</v>
      </c>
      <c r="BC128" s="48">
        <f t="shared" si="494"/>
        <v>0</v>
      </c>
      <c r="BD128" s="48">
        <f t="shared" si="494"/>
        <v>0</v>
      </c>
      <c r="BE128" s="48">
        <f t="shared" si="494"/>
        <v>0</v>
      </c>
      <c r="BF128" s="48">
        <f t="shared" si="494"/>
        <v>0</v>
      </c>
      <c r="BG128" s="48">
        <f t="shared" si="494"/>
        <v>0</v>
      </c>
      <c r="BH128" s="48">
        <f t="shared" si="494"/>
        <v>0</v>
      </c>
      <c r="BI128" s="48">
        <f t="shared" si="494"/>
        <v>0</v>
      </c>
      <c r="BJ128" s="48">
        <f t="shared" si="494"/>
        <v>0</v>
      </c>
      <c r="BK128" s="48">
        <f t="shared" si="494"/>
        <v>0</v>
      </c>
      <c r="BL128" s="48">
        <f t="shared" si="494"/>
        <v>0</v>
      </c>
      <c r="BM128" s="48">
        <f t="shared" si="494"/>
        <v>0</v>
      </c>
      <c r="BN128" s="48">
        <f t="shared" si="494"/>
        <v>0</v>
      </c>
      <c r="BO128" s="48">
        <f t="shared" si="494"/>
        <v>0</v>
      </c>
      <c r="BP128" s="48">
        <f t="shared" si="494"/>
        <v>0</v>
      </c>
      <c r="BQ128" s="48">
        <f t="shared" si="494"/>
        <v>0</v>
      </c>
      <c r="BR128" s="36">
        <f t="shared" si="9"/>
        <v>1</v>
      </c>
      <c r="BS128" s="38">
        <f t="shared" si="10"/>
        <v>2</v>
      </c>
      <c r="BT128" s="49">
        <f t="shared" si="11"/>
        <v>0</v>
      </c>
      <c r="BU128" s="38">
        <f t="shared" si="12"/>
        <v>2000</v>
      </c>
      <c r="BV128" s="57" t="str">
        <f>IFERROR(__xludf.DUMMYFUNCTION("""COMPUTED_VALUE"""),"Raymond")</f>
        <v>Raymond</v>
      </c>
      <c r="BW128" s="46">
        <f t="shared" si="13"/>
        <v>1100</v>
      </c>
      <c r="BX128" s="47">
        <f t="shared" ref="BX128:CA128" si="495">AX128-$BU128</f>
        <v>-1900</v>
      </c>
      <c r="BY128" s="47">
        <f t="shared" si="495"/>
        <v>-2000</v>
      </c>
      <c r="BZ128" s="47">
        <f t="shared" si="495"/>
        <v>-2000</v>
      </c>
      <c r="CA128" s="47">
        <f t="shared" si="495"/>
        <v>-1000</v>
      </c>
      <c r="CB128" s="47">
        <f t="shared" si="15"/>
        <v>-20000</v>
      </c>
      <c r="CC128" s="47">
        <f t="shared" ref="CC128:CQ128" si="496">BC128-$BU128</f>
        <v>-2000</v>
      </c>
      <c r="CD128" s="47">
        <f t="shared" si="496"/>
        <v>-2000</v>
      </c>
      <c r="CE128" s="47">
        <f t="shared" si="496"/>
        <v>-2000</v>
      </c>
      <c r="CF128" s="47">
        <f t="shared" si="496"/>
        <v>-2000</v>
      </c>
      <c r="CG128" s="47">
        <f t="shared" si="496"/>
        <v>-2000</v>
      </c>
      <c r="CH128" s="47">
        <f t="shared" si="496"/>
        <v>-2000</v>
      </c>
      <c r="CI128" s="47">
        <f t="shared" si="496"/>
        <v>-2000</v>
      </c>
      <c r="CJ128" s="47">
        <f t="shared" si="496"/>
        <v>-2000</v>
      </c>
      <c r="CK128" s="47">
        <f t="shared" si="496"/>
        <v>-2000</v>
      </c>
      <c r="CL128" s="47">
        <f t="shared" si="496"/>
        <v>-2000</v>
      </c>
      <c r="CM128" s="47">
        <f t="shared" si="496"/>
        <v>-2000</v>
      </c>
      <c r="CN128" s="47">
        <f t="shared" si="496"/>
        <v>-2000</v>
      </c>
      <c r="CO128" s="47">
        <f t="shared" si="496"/>
        <v>-2000</v>
      </c>
      <c r="CP128" s="47">
        <f t="shared" si="496"/>
        <v>-2000</v>
      </c>
      <c r="CQ128" s="47">
        <f t="shared" si="496"/>
        <v>-2000</v>
      </c>
      <c r="CR128" s="47"/>
      <c r="CS128" s="47"/>
      <c r="CT128" s="47"/>
      <c r="CU128" s="50" t="str">
        <f>IFERROR(__xludf.DUMMYFUNCTION("""COMPUTED_VALUE"""),"1722 Routh Street Suite
Dallas, TX 75201         ")</f>
        <v>1722 Routh Street Suite
Dallas, TX 75201         </v>
      </c>
      <c r="CV128" s="51">
        <f>IFERROR(__xludf.DUMMYFUNCTION("IF(REGEXMATCH(UPPER(CU128), ""TX""),0,1)"),0.0)</f>
        <v>0</v>
      </c>
      <c r="CW128" s="51">
        <f>IFERROR(__xludf.DUMMYFUNCTION("IF(REGEXMATCH(UPPER(CU128), ""DALLAS""),0,1)"),0.0)</f>
        <v>0</v>
      </c>
      <c r="CX128" s="51">
        <f t="shared" si="17"/>
        <v>0</v>
      </c>
      <c r="CY128" s="51">
        <f t="shared" si="18"/>
        <v>0</v>
      </c>
      <c r="CZ128" s="52" t="str">
        <f t="shared" si="19"/>
        <v/>
      </c>
      <c r="DA128" s="58"/>
      <c r="DB128" s="52"/>
      <c r="DC128" s="52"/>
      <c r="DD128" s="52"/>
      <c r="DE128" s="52"/>
      <c r="DF128" s="52"/>
      <c r="DG128" s="52"/>
      <c r="DH128" s="52"/>
      <c r="DI128" s="52"/>
      <c r="DJ128" s="52"/>
      <c r="DK128" s="52"/>
      <c r="DL128" s="52"/>
      <c r="DM128" s="52"/>
      <c r="DN128" s="52"/>
      <c r="DO128" s="52"/>
      <c r="DP128" s="52"/>
      <c r="DQ128" s="52"/>
      <c r="DR128" s="52"/>
      <c r="DS128" s="52"/>
      <c r="DT128" s="52"/>
      <c r="DU128" s="52"/>
      <c r="DV128" s="52"/>
      <c r="DW128" s="52"/>
    </row>
    <row r="129">
      <c r="A129" s="41" t="s">
        <v>64</v>
      </c>
      <c r="B129" s="41" t="s">
        <v>56</v>
      </c>
      <c r="C129" s="31" t="s">
        <v>387</v>
      </c>
      <c r="D129" s="25" t="str">
        <f>IFERROR(__xludf.DUMMYFUNCTION("SPLIT(C129,"" "")"),"Benton,")</f>
        <v>Benton,</v>
      </c>
      <c r="E129" s="40" t="str">
        <f>IFERROR(__xludf.DUMMYFUNCTION("""COMPUTED_VALUE"""),"Levi
3417")</f>
        <v>Levi
3417</v>
      </c>
      <c r="F129" s="40" t="str">
        <f>IFERROR(__xludf.DUMMYFUNCTION("""COMPUTED_VALUE"""),"Milam")</f>
        <v>Milam</v>
      </c>
      <c r="G129" s="40" t="str">
        <f>IFERROR(__xludf.DUMMYFUNCTION("""COMPUTED_VALUE"""),"St
Houston,")</f>
        <v>St
Houston,</v>
      </c>
      <c r="H129" s="40" t="str">
        <f>IFERROR(__xludf.DUMMYFUNCTION("""COMPUTED_VALUE"""),"TX")</f>
        <v>TX</v>
      </c>
      <c r="I129" s="40">
        <f>IFERROR(__xludf.DUMMYFUNCTION("""COMPUTED_VALUE"""),77002.0)</f>
        <v>77002</v>
      </c>
      <c r="J129" s="40"/>
      <c r="K129" s="40"/>
      <c r="L129" s="40"/>
      <c r="M129" s="40"/>
      <c r="N129" s="40"/>
      <c r="O129" s="40"/>
      <c r="P129" s="40"/>
      <c r="Q129" s="40"/>
      <c r="R129" s="40"/>
      <c r="S129" s="40"/>
      <c r="T129" s="40"/>
      <c r="U129" s="24" t="str">
        <f>IFERROR(__xludf.DUMMYFUNCTION("SPLIT(E129,""01234567890"")"),"Levi
")</f>
        <v>Levi
</v>
      </c>
      <c r="V129" s="24" t="str">
        <f>IFERROR(__xludf.DUMMYFUNCTION("SPLIT(D129,"","")"),"Benton")</f>
        <v>Benton</v>
      </c>
      <c r="W129" s="25" t="str">
        <f t="shared" si="1"/>
        <v>LEVI
 BENTON</v>
      </c>
      <c r="X129" s="25" t="s">
        <v>388</v>
      </c>
      <c r="Y129" s="25">
        <v>77002.0</v>
      </c>
      <c r="Z129" s="25" t="str">
        <f>IFERROR(__xludf.DUMMYFUNCTION("SPLIT(C129,""
"")"),"Benton, Levi")</f>
        <v>Benton, Levi</v>
      </c>
      <c r="AA129" s="25" t="str">
        <f>IFERROR(__xludf.DUMMYFUNCTION("""COMPUTED_VALUE"""),"3417 Milam St")</f>
        <v>3417 Milam St</v>
      </c>
      <c r="AB129" s="25" t="str">
        <f>IFERROR(__xludf.DUMMYFUNCTION("""COMPUTED_VALUE"""),"Houston, TX 77002")</f>
        <v>Houston, TX 77002</v>
      </c>
      <c r="AC129" s="24" t="s">
        <v>389</v>
      </c>
      <c r="AD129" s="25"/>
      <c r="AE129" s="25"/>
      <c r="AF129" s="25"/>
      <c r="AG129" s="40" t="s">
        <v>60</v>
      </c>
      <c r="AH129" s="42">
        <v>2481.0</v>
      </c>
      <c r="AI129" s="40" t="s">
        <v>68</v>
      </c>
      <c r="AJ129" s="27">
        <v>500.0</v>
      </c>
      <c r="AK129" s="31" t="s">
        <v>25</v>
      </c>
      <c r="AL129" s="43">
        <v>44840.0</v>
      </c>
      <c r="AM129" s="44">
        <v>44937.81995370371</v>
      </c>
      <c r="AN129" s="30">
        <v>2.0</v>
      </c>
      <c r="AO129" s="40"/>
      <c r="AP129" s="40"/>
      <c r="AQ129" s="40"/>
      <c r="AR129" s="40"/>
      <c r="AS129" s="31">
        <f>IFERROR(__xludf.DUMMYFUNCTION("""COMPUTED_VALUE"""),75210.0)</f>
        <v>75210</v>
      </c>
      <c r="AT129" s="45">
        <f t="shared" si="6"/>
        <v>500</v>
      </c>
      <c r="AU129" s="40"/>
      <c r="AV129" s="46" t="str">
        <f>IFERROR(__xludf.DUMMYFUNCTION("""COMPUTED_VALUE"""),"Rachel")</f>
        <v>Rachel</v>
      </c>
      <c r="AW129" s="46">
        <f t="shared" si="7"/>
        <v>250</v>
      </c>
      <c r="AX129" s="47">
        <f t="shared" ref="AX129:BQ129" si="497">SUMIFS($AJ:$AJ,$V:$V,$AV129,$AK:$AK,AX$2)</f>
        <v>250</v>
      </c>
      <c r="AY129" s="48">
        <f t="shared" si="497"/>
        <v>0</v>
      </c>
      <c r="AZ129" s="48">
        <f t="shared" si="497"/>
        <v>0</v>
      </c>
      <c r="BA129" s="48">
        <f t="shared" si="497"/>
        <v>0</v>
      </c>
      <c r="BB129" s="48">
        <f t="shared" si="497"/>
        <v>0</v>
      </c>
      <c r="BC129" s="48">
        <f t="shared" si="497"/>
        <v>0</v>
      </c>
      <c r="BD129" s="48">
        <f t="shared" si="497"/>
        <v>0</v>
      </c>
      <c r="BE129" s="48">
        <f t="shared" si="497"/>
        <v>0</v>
      </c>
      <c r="BF129" s="48">
        <f t="shared" si="497"/>
        <v>0</v>
      </c>
      <c r="BG129" s="48">
        <f t="shared" si="497"/>
        <v>0</v>
      </c>
      <c r="BH129" s="48">
        <f t="shared" si="497"/>
        <v>0</v>
      </c>
      <c r="BI129" s="48">
        <f t="shared" si="497"/>
        <v>0</v>
      </c>
      <c r="BJ129" s="48">
        <f t="shared" si="497"/>
        <v>0</v>
      </c>
      <c r="BK129" s="48">
        <f t="shared" si="497"/>
        <v>0</v>
      </c>
      <c r="BL129" s="48">
        <f t="shared" si="497"/>
        <v>0</v>
      </c>
      <c r="BM129" s="48">
        <f t="shared" si="497"/>
        <v>0</v>
      </c>
      <c r="BN129" s="48">
        <f t="shared" si="497"/>
        <v>0</v>
      </c>
      <c r="BO129" s="48">
        <f t="shared" si="497"/>
        <v>0</v>
      </c>
      <c r="BP129" s="48">
        <f t="shared" si="497"/>
        <v>0</v>
      </c>
      <c r="BQ129" s="48">
        <f t="shared" si="497"/>
        <v>0</v>
      </c>
      <c r="BR129" s="36">
        <f t="shared" si="9"/>
        <v>0</v>
      </c>
      <c r="BS129" s="38">
        <f t="shared" si="10"/>
        <v>1</v>
      </c>
      <c r="BT129" s="49">
        <f t="shared" si="11"/>
        <v>0</v>
      </c>
      <c r="BU129" s="38">
        <f t="shared" si="12"/>
        <v>1000</v>
      </c>
      <c r="BV129" s="46" t="str">
        <f>IFERROR(__xludf.DUMMYFUNCTION("""COMPUTED_VALUE"""),"Rachel")</f>
        <v>Rachel</v>
      </c>
      <c r="BW129" s="46">
        <f t="shared" si="13"/>
        <v>250</v>
      </c>
      <c r="BX129" s="47">
        <f t="shared" ref="BX129:CA129" si="498">AX129-$BU129</f>
        <v>-750</v>
      </c>
      <c r="BY129" s="47">
        <f t="shared" si="498"/>
        <v>-1000</v>
      </c>
      <c r="BZ129" s="47">
        <f t="shared" si="498"/>
        <v>-1000</v>
      </c>
      <c r="CA129" s="47">
        <f t="shared" si="498"/>
        <v>-1000</v>
      </c>
      <c r="CB129" s="47">
        <f t="shared" si="15"/>
        <v>-10000</v>
      </c>
      <c r="CC129" s="47">
        <f t="shared" ref="CC129:CQ129" si="499">BC129-$BU129</f>
        <v>-1000</v>
      </c>
      <c r="CD129" s="47">
        <f t="shared" si="499"/>
        <v>-1000</v>
      </c>
      <c r="CE129" s="47">
        <f t="shared" si="499"/>
        <v>-1000</v>
      </c>
      <c r="CF129" s="47">
        <f t="shared" si="499"/>
        <v>-1000</v>
      </c>
      <c r="CG129" s="47">
        <f t="shared" si="499"/>
        <v>-1000</v>
      </c>
      <c r="CH129" s="47">
        <f t="shared" si="499"/>
        <v>-1000</v>
      </c>
      <c r="CI129" s="47">
        <f t="shared" si="499"/>
        <v>-1000</v>
      </c>
      <c r="CJ129" s="47">
        <f t="shared" si="499"/>
        <v>-1000</v>
      </c>
      <c r="CK129" s="47">
        <f t="shared" si="499"/>
        <v>-1000</v>
      </c>
      <c r="CL129" s="47">
        <f t="shared" si="499"/>
        <v>-1000</v>
      </c>
      <c r="CM129" s="47">
        <f t="shared" si="499"/>
        <v>-1000</v>
      </c>
      <c r="CN129" s="47">
        <f t="shared" si="499"/>
        <v>-1000</v>
      </c>
      <c r="CO129" s="47">
        <f t="shared" si="499"/>
        <v>-1000</v>
      </c>
      <c r="CP129" s="47">
        <f t="shared" si="499"/>
        <v>-1000</v>
      </c>
      <c r="CQ129" s="47">
        <f t="shared" si="499"/>
        <v>-1000</v>
      </c>
      <c r="CR129" s="47"/>
      <c r="CS129" s="47"/>
      <c r="CT129" s="47"/>
      <c r="CU129" s="50" t="str">
        <f>IFERROR(__xludf.DUMMYFUNCTION("""COMPUTED_VALUE"""),"1722 Routh Street
Dallas, TX 75201          ")</f>
        <v>1722 Routh Street
Dallas, TX 75201          </v>
      </c>
      <c r="CV129" s="51">
        <f>IFERROR(__xludf.DUMMYFUNCTION("IF(REGEXMATCH(UPPER(CU129), ""TX""),0,1)"),0.0)</f>
        <v>0</v>
      </c>
      <c r="CW129" s="51">
        <f>IFERROR(__xludf.DUMMYFUNCTION("IF(REGEXMATCH(UPPER(CU129), ""DALLAS""),0,1)"),0.0)</f>
        <v>0</v>
      </c>
      <c r="CX129" s="51">
        <f t="shared" si="17"/>
        <v>0</v>
      </c>
      <c r="CY129" s="51">
        <f t="shared" si="18"/>
        <v>0</v>
      </c>
      <c r="CZ129" s="52" t="str">
        <f t="shared" si="19"/>
        <v/>
      </c>
      <c r="DA129" s="58"/>
      <c r="DB129" s="52"/>
      <c r="DC129" s="52"/>
      <c r="DD129" s="52"/>
      <c r="DE129" s="52"/>
      <c r="DF129" s="52"/>
      <c r="DG129" s="52"/>
      <c r="DH129" s="52"/>
      <c r="DI129" s="52"/>
      <c r="DJ129" s="52"/>
      <c r="DK129" s="52"/>
      <c r="DL129" s="52"/>
      <c r="DM129" s="52"/>
      <c r="DN129" s="52"/>
      <c r="DO129" s="52"/>
      <c r="DP129" s="52"/>
      <c r="DQ129" s="52"/>
      <c r="DR129" s="52"/>
      <c r="DS129" s="52"/>
      <c r="DT129" s="52"/>
      <c r="DU129" s="52"/>
      <c r="DV129" s="52"/>
      <c r="DW129" s="52"/>
    </row>
    <row r="130">
      <c r="A130" s="23" t="s">
        <v>64</v>
      </c>
      <c r="B130" s="23" t="s">
        <v>56</v>
      </c>
      <c r="C130" s="31" t="s">
        <v>390</v>
      </c>
      <c r="D130" s="25" t="str">
        <f>IFERROR(__xludf.DUMMYFUNCTION("SPLIT(C130,"" "")"),"Bernbaum,")</f>
        <v>Bernbaum,</v>
      </c>
      <c r="E130" s="22" t="str">
        <f>IFERROR(__xludf.DUMMYFUNCTION("""COMPUTED_VALUE"""),"bruce
7715")</f>
        <v>bruce
7715</v>
      </c>
      <c r="F130" s="22" t="str">
        <f>IFERROR(__xludf.DUMMYFUNCTION("""COMPUTED_VALUE"""),"Northaven")</f>
        <v>Northaven</v>
      </c>
      <c r="G130" s="22" t="str">
        <f>IFERROR(__xludf.DUMMYFUNCTION("""COMPUTED_VALUE"""),"Road
Dallas,")</f>
        <v>Road
Dallas,</v>
      </c>
      <c r="H130" s="22" t="str">
        <f>IFERROR(__xludf.DUMMYFUNCTION("""COMPUTED_VALUE"""),"TX")</f>
        <v>TX</v>
      </c>
      <c r="I130" s="22">
        <f>IFERROR(__xludf.DUMMYFUNCTION("""COMPUTED_VALUE"""),75230.0)</f>
        <v>75230</v>
      </c>
      <c r="J130" s="22"/>
      <c r="K130" s="22"/>
      <c r="L130" s="22"/>
      <c r="M130" s="22"/>
      <c r="N130" s="22"/>
      <c r="O130" s="22"/>
      <c r="P130" s="22"/>
      <c r="Q130" s="22"/>
      <c r="R130" s="22"/>
      <c r="S130" s="22"/>
      <c r="T130" s="22"/>
      <c r="U130" s="24" t="str">
        <f>IFERROR(__xludf.DUMMYFUNCTION("SPLIT(E130,""01234567890"")"),"bruce
")</f>
        <v>bruce
</v>
      </c>
      <c r="V130" s="24" t="str">
        <f>IFERROR(__xludf.DUMMYFUNCTION("SPLIT(D130,"","")"),"Bernbaum")</f>
        <v>Bernbaum</v>
      </c>
      <c r="W130" s="25" t="str">
        <f t="shared" si="1"/>
        <v>BRUCE
 BERNBAUM</v>
      </c>
      <c r="X130" s="25" t="s">
        <v>391</v>
      </c>
      <c r="Y130" s="25">
        <v>75230.0</v>
      </c>
      <c r="Z130" s="25" t="str">
        <f>IFERROR(__xludf.DUMMYFUNCTION("SPLIT(C130,""
"")"),"Bernbaum, bruce")</f>
        <v>Bernbaum, bruce</v>
      </c>
      <c r="AA130" s="25" t="str">
        <f>IFERROR(__xludf.DUMMYFUNCTION("""COMPUTED_VALUE"""),"7715 Northaven Road")</f>
        <v>7715 Northaven Road</v>
      </c>
      <c r="AB130" s="25" t="str">
        <f>IFERROR(__xludf.DUMMYFUNCTION("""COMPUTED_VALUE"""),"Dallas, TX 75230")</f>
        <v>Dallas, TX 75230</v>
      </c>
      <c r="AC130" s="24" t="s">
        <v>392</v>
      </c>
      <c r="AD130" s="25"/>
      <c r="AE130" s="25"/>
      <c r="AF130" s="25"/>
      <c r="AG130" s="22" t="s">
        <v>60</v>
      </c>
      <c r="AH130" s="54">
        <v>2482.0</v>
      </c>
      <c r="AI130" s="22" t="s">
        <v>68</v>
      </c>
      <c r="AJ130" s="27">
        <v>250.0</v>
      </c>
      <c r="AK130" s="31" t="s">
        <v>31</v>
      </c>
      <c r="AL130" s="28">
        <v>44924.0</v>
      </c>
      <c r="AM130" s="29">
        <v>44938.558541666665</v>
      </c>
      <c r="AN130" s="30">
        <v>2.0</v>
      </c>
      <c r="AO130" s="22"/>
      <c r="AP130" s="22"/>
      <c r="AQ130" s="22"/>
      <c r="AR130" s="22"/>
      <c r="AS130" s="31">
        <f>IFERROR(__xludf.DUMMYFUNCTION("""COMPUTED_VALUE"""),78737.0)</f>
        <v>78737</v>
      </c>
      <c r="AT130" s="45">
        <f t="shared" si="6"/>
        <v>70</v>
      </c>
      <c r="AU130" s="22"/>
      <c r="AV130" s="57" t="str">
        <f>IFERROR(__xludf.DUMMYFUNCTION("""COMPUTED_VALUE"""),"Vineyard")</f>
        <v>Vineyard</v>
      </c>
      <c r="AW130" s="46">
        <f t="shared" si="7"/>
        <v>500</v>
      </c>
      <c r="AX130" s="47">
        <f t="shared" ref="AX130:BQ130" si="500">SUMIFS($AJ:$AJ,$V:$V,$AV130,$AK:$AK,AX$2)</f>
        <v>500</v>
      </c>
      <c r="AY130" s="48">
        <f t="shared" si="500"/>
        <v>0</v>
      </c>
      <c r="AZ130" s="48">
        <f t="shared" si="500"/>
        <v>0</v>
      </c>
      <c r="BA130" s="48">
        <f t="shared" si="500"/>
        <v>0</v>
      </c>
      <c r="BB130" s="48">
        <f t="shared" si="500"/>
        <v>0</v>
      </c>
      <c r="BC130" s="48">
        <f t="shared" si="500"/>
        <v>0</v>
      </c>
      <c r="BD130" s="48">
        <f t="shared" si="500"/>
        <v>0</v>
      </c>
      <c r="BE130" s="48">
        <f t="shared" si="500"/>
        <v>0</v>
      </c>
      <c r="BF130" s="48">
        <f t="shared" si="500"/>
        <v>0</v>
      </c>
      <c r="BG130" s="48">
        <f t="shared" si="500"/>
        <v>0</v>
      </c>
      <c r="BH130" s="48">
        <f t="shared" si="500"/>
        <v>0</v>
      </c>
      <c r="BI130" s="48">
        <f t="shared" si="500"/>
        <v>0</v>
      </c>
      <c r="BJ130" s="48">
        <f t="shared" si="500"/>
        <v>0</v>
      </c>
      <c r="BK130" s="48">
        <f t="shared" si="500"/>
        <v>0</v>
      </c>
      <c r="BL130" s="48">
        <f t="shared" si="500"/>
        <v>0</v>
      </c>
      <c r="BM130" s="48">
        <f t="shared" si="500"/>
        <v>0</v>
      </c>
      <c r="BN130" s="48">
        <f t="shared" si="500"/>
        <v>0</v>
      </c>
      <c r="BO130" s="48">
        <f t="shared" si="500"/>
        <v>0</v>
      </c>
      <c r="BP130" s="48">
        <f t="shared" si="500"/>
        <v>0</v>
      </c>
      <c r="BQ130" s="48">
        <f t="shared" si="500"/>
        <v>0</v>
      </c>
      <c r="BR130" s="36">
        <f t="shared" si="9"/>
        <v>0</v>
      </c>
      <c r="BS130" s="38">
        <f t="shared" si="10"/>
        <v>1</v>
      </c>
      <c r="BT130" s="49">
        <f t="shared" si="11"/>
        <v>0</v>
      </c>
      <c r="BU130" s="38">
        <f t="shared" si="12"/>
        <v>1000</v>
      </c>
      <c r="BV130" s="57" t="str">
        <f>IFERROR(__xludf.DUMMYFUNCTION("""COMPUTED_VALUE"""),"Vineyard")</f>
        <v>Vineyard</v>
      </c>
      <c r="BW130" s="46">
        <f t="shared" si="13"/>
        <v>500</v>
      </c>
      <c r="BX130" s="47">
        <f t="shared" ref="BX130:CA130" si="501">AX130-$BU130</f>
        <v>-500</v>
      </c>
      <c r="BY130" s="47">
        <f t="shared" si="501"/>
        <v>-1000</v>
      </c>
      <c r="BZ130" s="47">
        <f t="shared" si="501"/>
        <v>-1000</v>
      </c>
      <c r="CA130" s="47">
        <f t="shared" si="501"/>
        <v>-1000</v>
      </c>
      <c r="CB130" s="47">
        <f t="shared" si="15"/>
        <v>-10000</v>
      </c>
      <c r="CC130" s="47">
        <f t="shared" ref="CC130:CQ130" si="502">BC130-$BU130</f>
        <v>-1000</v>
      </c>
      <c r="CD130" s="47">
        <f t="shared" si="502"/>
        <v>-1000</v>
      </c>
      <c r="CE130" s="47">
        <f t="shared" si="502"/>
        <v>-1000</v>
      </c>
      <c r="CF130" s="47">
        <f t="shared" si="502"/>
        <v>-1000</v>
      </c>
      <c r="CG130" s="47">
        <f t="shared" si="502"/>
        <v>-1000</v>
      </c>
      <c r="CH130" s="47">
        <f t="shared" si="502"/>
        <v>-1000</v>
      </c>
      <c r="CI130" s="47">
        <f t="shared" si="502"/>
        <v>-1000</v>
      </c>
      <c r="CJ130" s="47">
        <f t="shared" si="502"/>
        <v>-1000</v>
      </c>
      <c r="CK130" s="47">
        <f t="shared" si="502"/>
        <v>-1000</v>
      </c>
      <c r="CL130" s="47">
        <f t="shared" si="502"/>
        <v>-1000</v>
      </c>
      <c r="CM130" s="47">
        <f t="shared" si="502"/>
        <v>-1000</v>
      </c>
      <c r="CN130" s="47">
        <f t="shared" si="502"/>
        <v>-1000</v>
      </c>
      <c r="CO130" s="47">
        <f t="shared" si="502"/>
        <v>-1000</v>
      </c>
      <c r="CP130" s="47">
        <f t="shared" si="502"/>
        <v>-1000</v>
      </c>
      <c r="CQ130" s="47">
        <f t="shared" si="502"/>
        <v>-1000</v>
      </c>
      <c r="CR130" s="47"/>
      <c r="CS130" s="47"/>
      <c r="CT130" s="47"/>
      <c r="CU130" s="50" t="str">
        <f>IFERROR(__xludf.DUMMYFUNCTION("""COMPUTED_VALUE"""),"1723 Routh Street
Dallas, TX 75201          ")</f>
        <v>1723 Routh Street
Dallas, TX 75201          </v>
      </c>
      <c r="CV130" s="51">
        <f>IFERROR(__xludf.DUMMYFUNCTION("IF(REGEXMATCH(UPPER(CU130), ""TX""),0,1)"),0.0)</f>
        <v>0</v>
      </c>
      <c r="CW130" s="51">
        <f>IFERROR(__xludf.DUMMYFUNCTION("IF(REGEXMATCH(UPPER(CU130), ""DALLAS""),0,1)"),0.0)</f>
        <v>0</v>
      </c>
      <c r="CX130" s="51">
        <f t="shared" si="17"/>
        <v>0</v>
      </c>
      <c r="CY130" s="51">
        <f t="shared" si="18"/>
        <v>0</v>
      </c>
      <c r="CZ130" s="52" t="str">
        <f t="shared" si="19"/>
        <v/>
      </c>
      <c r="DA130" s="58"/>
      <c r="DB130" s="52"/>
      <c r="DC130" s="52"/>
      <c r="DD130" s="52"/>
      <c r="DE130" s="52"/>
      <c r="DF130" s="52"/>
      <c r="DG130" s="52"/>
      <c r="DH130" s="52"/>
      <c r="DI130" s="52"/>
      <c r="DJ130" s="52"/>
      <c r="DK130" s="52"/>
      <c r="DL130" s="52"/>
      <c r="DM130" s="52"/>
      <c r="DN130" s="52"/>
      <c r="DO130" s="52"/>
      <c r="DP130" s="52"/>
      <c r="DQ130" s="52"/>
      <c r="DR130" s="52"/>
      <c r="DS130" s="52"/>
      <c r="DT130" s="52"/>
      <c r="DU130" s="52"/>
      <c r="DV130" s="52"/>
      <c r="DW130" s="52"/>
    </row>
    <row r="131">
      <c r="A131" s="40" t="s">
        <v>55</v>
      </c>
      <c r="B131" s="41" t="s">
        <v>56</v>
      </c>
      <c r="C131" s="31" t="s">
        <v>393</v>
      </c>
      <c r="D131" s="25" t="str">
        <f>IFERROR(__xludf.DUMMYFUNCTION("SPLIT(C131,"" "")"),"Berry,")</f>
        <v>Berry,</v>
      </c>
      <c r="E131" s="40" t="str">
        <f>IFERROR(__xludf.DUMMYFUNCTION("""COMPUTED_VALUE"""),"Sammie
1219")</f>
        <v>Sammie
1219</v>
      </c>
      <c r="F131" s="40" t="str">
        <f>IFERROR(__xludf.DUMMYFUNCTION("""COMPUTED_VALUE"""),"Coronado")</f>
        <v>Coronado</v>
      </c>
      <c r="G131" s="40" t="str">
        <f>IFERROR(__xludf.DUMMYFUNCTION("""COMPUTED_VALUE"""),"Lane
Duncanville,")</f>
        <v>Lane
Duncanville,</v>
      </c>
      <c r="H131" s="40" t="str">
        <f>IFERROR(__xludf.DUMMYFUNCTION("""COMPUTED_VALUE"""),"TX")</f>
        <v>TX</v>
      </c>
      <c r="I131" s="40">
        <f>IFERROR(__xludf.DUMMYFUNCTION("""COMPUTED_VALUE"""),75137.0)</f>
        <v>75137</v>
      </c>
      <c r="J131" s="40"/>
      <c r="K131" s="40"/>
      <c r="L131" s="40"/>
      <c r="M131" s="40"/>
      <c r="N131" s="40"/>
      <c r="O131" s="40"/>
      <c r="P131" s="40"/>
      <c r="Q131" s="40"/>
      <c r="R131" s="40"/>
      <c r="S131" s="40"/>
      <c r="T131" s="40"/>
      <c r="U131" s="24" t="str">
        <f>IFERROR(__xludf.DUMMYFUNCTION("SPLIT(E131,""01234567890"")"),"Sammie
")</f>
        <v>Sammie
</v>
      </c>
      <c r="V131" s="24" t="str">
        <f>IFERROR(__xludf.DUMMYFUNCTION("SPLIT(D131,"","")"),"Berry")</f>
        <v>Berry</v>
      </c>
      <c r="W131" s="25" t="str">
        <f t="shared" si="1"/>
        <v>SAMMIE
 BERRY</v>
      </c>
      <c r="X131" s="25" t="s">
        <v>394</v>
      </c>
      <c r="Y131" s="25">
        <v>75137.0</v>
      </c>
      <c r="Z131" s="25" t="str">
        <f>IFERROR(__xludf.DUMMYFUNCTION("SPLIT(C131,""
"")"),"Berry, Sammie")</f>
        <v>Berry, Sammie</v>
      </c>
      <c r="AA131" s="25" t="str">
        <f>IFERROR(__xludf.DUMMYFUNCTION("""COMPUTED_VALUE"""),"1219 Coronado Lane")</f>
        <v>1219 Coronado Lane</v>
      </c>
      <c r="AB131" s="25" t="str">
        <f>IFERROR(__xludf.DUMMYFUNCTION("""COMPUTED_VALUE"""),"Duncanville, TX 75137")</f>
        <v>Duncanville, TX 75137</v>
      </c>
      <c r="AC131" s="24" t="s">
        <v>395</v>
      </c>
      <c r="AD131" s="25"/>
      <c r="AE131" s="25"/>
      <c r="AF131" s="25"/>
      <c r="AG131" s="40" t="s">
        <v>60</v>
      </c>
      <c r="AH131" s="42">
        <v>2437.0</v>
      </c>
      <c r="AI131" s="40" t="s">
        <v>61</v>
      </c>
      <c r="AJ131" s="27">
        <v>250.0</v>
      </c>
      <c r="AK131" s="31" t="s">
        <v>25</v>
      </c>
      <c r="AL131" s="43">
        <v>44719.0</v>
      </c>
      <c r="AM131" s="44">
        <v>44754.83237268519</v>
      </c>
      <c r="AN131" s="30">
        <v>2.0</v>
      </c>
      <c r="AO131" s="40"/>
      <c r="AP131" s="40"/>
      <c r="AQ131" s="40"/>
      <c r="AR131" s="40"/>
      <c r="AS131" s="31">
        <f>IFERROR(__xludf.DUMMYFUNCTION("""COMPUTED_VALUE"""),17426.0)</f>
        <v>17426</v>
      </c>
      <c r="AT131" s="45">
        <f t="shared" si="6"/>
        <v>1000</v>
      </c>
      <c r="AU131" s="40"/>
      <c r="AV131" s="46" t="str">
        <f>IFERROR(__xludf.DUMMYFUNCTION("""COMPUTED_VALUE"""),"Salcedo")</f>
        <v>Salcedo</v>
      </c>
      <c r="AW131" s="46">
        <f t="shared" si="7"/>
        <v>500</v>
      </c>
      <c r="AX131" s="47">
        <f t="shared" ref="AX131:BQ131" si="503">SUMIFS($AJ:$AJ,$V:$V,$AV131,$AK:$AK,AX$2)</f>
        <v>500</v>
      </c>
      <c r="AY131" s="48">
        <f t="shared" si="503"/>
        <v>0</v>
      </c>
      <c r="AZ131" s="48">
        <f t="shared" si="503"/>
        <v>0</v>
      </c>
      <c r="BA131" s="48">
        <f t="shared" si="503"/>
        <v>0</v>
      </c>
      <c r="BB131" s="48">
        <f t="shared" si="503"/>
        <v>0</v>
      </c>
      <c r="BC131" s="48">
        <f t="shared" si="503"/>
        <v>0</v>
      </c>
      <c r="BD131" s="48">
        <f t="shared" si="503"/>
        <v>0</v>
      </c>
      <c r="BE131" s="48">
        <f t="shared" si="503"/>
        <v>0</v>
      </c>
      <c r="BF131" s="48">
        <f t="shared" si="503"/>
        <v>0</v>
      </c>
      <c r="BG131" s="48">
        <f t="shared" si="503"/>
        <v>0</v>
      </c>
      <c r="BH131" s="48">
        <f t="shared" si="503"/>
        <v>0</v>
      </c>
      <c r="BI131" s="48">
        <f t="shared" si="503"/>
        <v>0</v>
      </c>
      <c r="BJ131" s="48">
        <f t="shared" si="503"/>
        <v>0</v>
      </c>
      <c r="BK131" s="48">
        <f t="shared" si="503"/>
        <v>0</v>
      </c>
      <c r="BL131" s="48">
        <f t="shared" si="503"/>
        <v>0</v>
      </c>
      <c r="BM131" s="48">
        <f t="shared" si="503"/>
        <v>0</v>
      </c>
      <c r="BN131" s="48">
        <f t="shared" si="503"/>
        <v>0</v>
      </c>
      <c r="BO131" s="48">
        <f t="shared" si="503"/>
        <v>0</v>
      </c>
      <c r="BP131" s="48">
        <f t="shared" si="503"/>
        <v>0</v>
      </c>
      <c r="BQ131" s="48">
        <f t="shared" si="503"/>
        <v>0</v>
      </c>
      <c r="BR131" s="36">
        <f t="shared" si="9"/>
        <v>0</v>
      </c>
      <c r="BS131" s="38">
        <f t="shared" si="10"/>
        <v>1</v>
      </c>
      <c r="BT131" s="49">
        <f t="shared" si="11"/>
        <v>0</v>
      </c>
      <c r="BU131" s="38">
        <f t="shared" si="12"/>
        <v>1000</v>
      </c>
      <c r="BV131" s="46" t="str">
        <f>IFERROR(__xludf.DUMMYFUNCTION("""COMPUTED_VALUE"""),"Salcedo")</f>
        <v>Salcedo</v>
      </c>
      <c r="BW131" s="46">
        <f t="shared" si="13"/>
        <v>500</v>
      </c>
      <c r="BX131" s="47">
        <f t="shared" ref="BX131:CA131" si="504">AX131-$BU131</f>
        <v>-500</v>
      </c>
      <c r="BY131" s="47">
        <f t="shared" si="504"/>
        <v>-1000</v>
      </c>
      <c r="BZ131" s="47">
        <f t="shared" si="504"/>
        <v>-1000</v>
      </c>
      <c r="CA131" s="47">
        <f t="shared" si="504"/>
        <v>-1000</v>
      </c>
      <c r="CB131" s="47">
        <f t="shared" si="15"/>
        <v>-10000</v>
      </c>
      <c r="CC131" s="47">
        <f t="shared" ref="CC131:CQ131" si="505">BC131-$BU131</f>
        <v>-1000</v>
      </c>
      <c r="CD131" s="47">
        <f t="shared" si="505"/>
        <v>-1000</v>
      </c>
      <c r="CE131" s="47">
        <f t="shared" si="505"/>
        <v>-1000</v>
      </c>
      <c r="CF131" s="47">
        <f t="shared" si="505"/>
        <v>-1000</v>
      </c>
      <c r="CG131" s="47">
        <f t="shared" si="505"/>
        <v>-1000</v>
      </c>
      <c r="CH131" s="47">
        <f t="shared" si="505"/>
        <v>-1000</v>
      </c>
      <c r="CI131" s="47">
        <f t="shared" si="505"/>
        <v>-1000</v>
      </c>
      <c r="CJ131" s="47">
        <f t="shared" si="505"/>
        <v>-1000</v>
      </c>
      <c r="CK131" s="47">
        <f t="shared" si="505"/>
        <v>-1000</v>
      </c>
      <c r="CL131" s="47">
        <f t="shared" si="505"/>
        <v>-1000</v>
      </c>
      <c r="CM131" s="47">
        <f t="shared" si="505"/>
        <v>-1000</v>
      </c>
      <c r="CN131" s="47">
        <f t="shared" si="505"/>
        <v>-1000</v>
      </c>
      <c r="CO131" s="47">
        <f t="shared" si="505"/>
        <v>-1000</v>
      </c>
      <c r="CP131" s="47">
        <f t="shared" si="505"/>
        <v>-1000</v>
      </c>
      <c r="CQ131" s="47">
        <f t="shared" si="505"/>
        <v>-1000</v>
      </c>
      <c r="CR131" s="47"/>
      <c r="CS131" s="47"/>
      <c r="CT131" s="47"/>
      <c r="CU131" s="50" t="str">
        <f>IFERROR(__xludf.DUMMYFUNCTION("""COMPUTED_VALUE"""),"9710 Blanco dr
Lantana, TX 76226          ")</f>
        <v>9710 Blanco dr
Lantana, TX 76226          </v>
      </c>
      <c r="CV131" s="51">
        <f>IFERROR(__xludf.DUMMYFUNCTION("IF(REGEXMATCH(UPPER(CU131), ""TX""),0,1)"),0.0)</f>
        <v>0</v>
      </c>
      <c r="CW131" s="51">
        <f>IFERROR(__xludf.DUMMYFUNCTION("IF(REGEXMATCH(UPPER(CU131), ""DALLAS""),0,1)"),1.0)</f>
        <v>1</v>
      </c>
      <c r="CX131" s="51">
        <f t="shared" si="17"/>
        <v>0</v>
      </c>
      <c r="CY131" s="51">
        <f t="shared" si="18"/>
        <v>2000</v>
      </c>
      <c r="CZ131" s="52" t="str">
        <f t="shared" si="19"/>
        <v>9710 Blanco dr
Lantana, TX 76226          </v>
      </c>
      <c r="DA131" s="58"/>
      <c r="DB131" s="52"/>
      <c r="DC131" s="52"/>
      <c r="DD131" s="52"/>
      <c r="DE131" s="52"/>
      <c r="DF131" s="52"/>
      <c r="DG131" s="52"/>
      <c r="DH131" s="52"/>
      <c r="DI131" s="52"/>
      <c r="DJ131" s="52"/>
      <c r="DK131" s="52"/>
      <c r="DL131" s="52"/>
      <c r="DM131" s="52"/>
      <c r="DN131" s="52"/>
      <c r="DO131" s="52"/>
      <c r="DP131" s="52"/>
      <c r="DQ131" s="52"/>
      <c r="DR131" s="52"/>
      <c r="DS131" s="52"/>
      <c r="DT131" s="52"/>
      <c r="DU131" s="52"/>
      <c r="DV131" s="52"/>
      <c r="DW131" s="52"/>
    </row>
    <row r="132">
      <c r="A132" s="23" t="s">
        <v>64</v>
      </c>
      <c r="B132" s="23" t="s">
        <v>56</v>
      </c>
      <c r="C132" s="31" t="s">
        <v>396</v>
      </c>
      <c r="D132" s="25" t="str">
        <f>IFERROR(__xludf.DUMMYFUNCTION("SPLIT(C132,"" "")"),"Berry,")</f>
        <v>Berry,</v>
      </c>
      <c r="E132" s="22" t="str">
        <f>IFERROR(__xludf.DUMMYFUNCTION("""COMPUTED_VALUE"""),"Sammie
1219")</f>
        <v>Sammie
1219</v>
      </c>
      <c r="F132" s="22" t="str">
        <f>IFERROR(__xludf.DUMMYFUNCTION("""COMPUTED_VALUE"""),"Coronado")</f>
        <v>Coronado</v>
      </c>
      <c r="G132" s="22" t="str">
        <f>IFERROR(__xludf.DUMMYFUNCTION("""COMPUTED_VALUE"""),"Ln
Duncanville,")</f>
        <v>Ln
Duncanville,</v>
      </c>
      <c r="H132" s="22" t="str">
        <f>IFERROR(__xludf.DUMMYFUNCTION("""COMPUTED_VALUE"""),"TX")</f>
        <v>TX</v>
      </c>
      <c r="I132" s="22">
        <f>IFERROR(__xludf.DUMMYFUNCTION("""COMPUTED_VALUE"""),75137.0)</f>
        <v>75137</v>
      </c>
      <c r="J132" s="22"/>
      <c r="K132" s="22"/>
      <c r="L132" s="22"/>
      <c r="M132" s="22"/>
      <c r="N132" s="22"/>
      <c r="O132" s="22"/>
      <c r="P132" s="22"/>
      <c r="Q132" s="22"/>
      <c r="R132" s="22"/>
      <c r="S132" s="22"/>
      <c r="T132" s="22"/>
      <c r="U132" s="24" t="str">
        <f>IFERROR(__xludf.DUMMYFUNCTION("SPLIT(E132,""01234567890"")"),"Sammie
")</f>
        <v>Sammie
</v>
      </c>
      <c r="V132" s="24" t="str">
        <f>IFERROR(__xludf.DUMMYFUNCTION("SPLIT(D132,"","")"),"Berry")</f>
        <v>Berry</v>
      </c>
      <c r="W132" s="25" t="str">
        <f t="shared" si="1"/>
        <v>SAMMIE
 BERRY</v>
      </c>
      <c r="X132" s="25" t="s">
        <v>397</v>
      </c>
      <c r="Y132" s="25">
        <v>75137.0</v>
      </c>
      <c r="Z132" s="25" t="str">
        <f>IFERROR(__xludf.DUMMYFUNCTION("SPLIT(C132,""
"")"),"Berry, Sammie")</f>
        <v>Berry, Sammie</v>
      </c>
      <c r="AA132" s="25" t="str">
        <f>IFERROR(__xludf.DUMMYFUNCTION("""COMPUTED_VALUE"""),"1219 Coronado Ln")</f>
        <v>1219 Coronado Ln</v>
      </c>
      <c r="AB132" s="25" t="str">
        <f>IFERROR(__xludf.DUMMYFUNCTION("""COMPUTED_VALUE"""),"Duncanville, TX 75137")</f>
        <v>Duncanville, TX 75137</v>
      </c>
      <c r="AC132" s="24" t="s">
        <v>395</v>
      </c>
      <c r="AD132" s="25"/>
      <c r="AE132" s="25"/>
      <c r="AF132" s="25"/>
      <c r="AG132" s="22" t="s">
        <v>60</v>
      </c>
      <c r="AH132" s="54">
        <v>2481.0</v>
      </c>
      <c r="AI132" s="22" t="s">
        <v>68</v>
      </c>
      <c r="AJ132" s="27">
        <v>50.0</v>
      </c>
      <c r="AK132" s="31" t="s">
        <v>25</v>
      </c>
      <c r="AL132" s="28">
        <v>44830.0</v>
      </c>
      <c r="AM132" s="29">
        <v>44937.81995370371</v>
      </c>
      <c r="AN132" s="30">
        <v>2.0</v>
      </c>
      <c r="AO132" s="22"/>
      <c r="AP132" s="22"/>
      <c r="AQ132" s="22"/>
      <c r="AR132" s="22"/>
      <c r="AS132" s="31" t="str">
        <f>IFERROR(__xludf.DUMMYFUNCTION("""COMPUTED_VALUE"""),"78768-2246")</f>
        <v>78768-2246</v>
      </c>
      <c r="AT132" s="45">
        <f t="shared" si="6"/>
        <v>2500</v>
      </c>
      <c r="AU132" s="22"/>
      <c r="AV132" s="57" t="str">
        <f>IFERROR(__xludf.DUMMYFUNCTION("""COMPUTED_VALUE"""),"Phillips")</f>
        <v>Phillips</v>
      </c>
      <c r="AW132" s="46">
        <f t="shared" si="7"/>
        <v>2000</v>
      </c>
      <c r="AX132" s="47">
        <f t="shared" ref="AX132:BQ132" si="506">SUMIFS($AJ:$AJ,$V:$V,$AV132,$AK:$AK,AX$2)</f>
        <v>500</v>
      </c>
      <c r="AY132" s="48">
        <f t="shared" si="506"/>
        <v>0</v>
      </c>
      <c r="AZ132" s="48">
        <f t="shared" si="506"/>
        <v>0</v>
      </c>
      <c r="BA132" s="48">
        <f t="shared" si="506"/>
        <v>0</v>
      </c>
      <c r="BB132" s="48">
        <f t="shared" si="506"/>
        <v>500</v>
      </c>
      <c r="BC132" s="48">
        <f t="shared" si="506"/>
        <v>0</v>
      </c>
      <c r="BD132" s="48">
        <f t="shared" si="506"/>
        <v>0</v>
      </c>
      <c r="BE132" s="48">
        <f t="shared" si="506"/>
        <v>0</v>
      </c>
      <c r="BF132" s="48">
        <f t="shared" si="506"/>
        <v>1000</v>
      </c>
      <c r="BG132" s="48">
        <f t="shared" si="506"/>
        <v>0</v>
      </c>
      <c r="BH132" s="48">
        <f t="shared" si="506"/>
        <v>0</v>
      </c>
      <c r="BI132" s="48">
        <f t="shared" si="506"/>
        <v>0</v>
      </c>
      <c r="BJ132" s="48">
        <f t="shared" si="506"/>
        <v>0</v>
      </c>
      <c r="BK132" s="48">
        <f t="shared" si="506"/>
        <v>0</v>
      </c>
      <c r="BL132" s="48">
        <f t="shared" si="506"/>
        <v>0</v>
      </c>
      <c r="BM132" s="48">
        <f t="shared" si="506"/>
        <v>0</v>
      </c>
      <c r="BN132" s="48">
        <f t="shared" si="506"/>
        <v>0</v>
      </c>
      <c r="BO132" s="48">
        <f t="shared" si="506"/>
        <v>0</v>
      </c>
      <c r="BP132" s="48">
        <f t="shared" si="506"/>
        <v>0</v>
      </c>
      <c r="BQ132" s="48">
        <f t="shared" si="506"/>
        <v>0</v>
      </c>
      <c r="BR132" s="36">
        <f t="shared" si="9"/>
        <v>1</v>
      </c>
      <c r="BS132" s="38">
        <f t="shared" si="10"/>
        <v>3</v>
      </c>
      <c r="BT132" s="49">
        <f t="shared" si="11"/>
        <v>0</v>
      </c>
      <c r="BU132" s="38">
        <f t="shared" si="12"/>
        <v>3000</v>
      </c>
      <c r="BV132" s="57" t="str">
        <f>IFERROR(__xludf.DUMMYFUNCTION("""COMPUTED_VALUE"""),"Phillips")</f>
        <v>Phillips</v>
      </c>
      <c r="BW132" s="46">
        <f t="shared" si="13"/>
        <v>2000</v>
      </c>
      <c r="BX132" s="47">
        <f t="shared" ref="BX132:CA132" si="507">AX132-$BU132</f>
        <v>-2500</v>
      </c>
      <c r="BY132" s="47">
        <f t="shared" si="507"/>
        <v>-3000</v>
      </c>
      <c r="BZ132" s="47">
        <f t="shared" si="507"/>
        <v>-3000</v>
      </c>
      <c r="CA132" s="47">
        <f t="shared" si="507"/>
        <v>-3000</v>
      </c>
      <c r="CB132" s="47">
        <f t="shared" si="15"/>
        <v>-29500</v>
      </c>
      <c r="CC132" s="47">
        <f t="shared" ref="CC132:CQ132" si="508">BC132-$BU132</f>
        <v>-3000</v>
      </c>
      <c r="CD132" s="47">
        <f t="shared" si="508"/>
        <v>-3000</v>
      </c>
      <c r="CE132" s="47">
        <f t="shared" si="508"/>
        <v>-3000</v>
      </c>
      <c r="CF132" s="47">
        <f t="shared" si="508"/>
        <v>-2000</v>
      </c>
      <c r="CG132" s="47">
        <f t="shared" si="508"/>
        <v>-3000</v>
      </c>
      <c r="CH132" s="47">
        <f t="shared" si="508"/>
        <v>-3000</v>
      </c>
      <c r="CI132" s="47">
        <f t="shared" si="508"/>
        <v>-3000</v>
      </c>
      <c r="CJ132" s="47">
        <f t="shared" si="508"/>
        <v>-3000</v>
      </c>
      <c r="CK132" s="47">
        <f t="shared" si="508"/>
        <v>-3000</v>
      </c>
      <c r="CL132" s="47">
        <f t="shared" si="508"/>
        <v>-3000</v>
      </c>
      <c r="CM132" s="47">
        <f t="shared" si="508"/>
        <v>-3000</v>
      </c>
      <c r="CN132" s="47">
        <f t="shared" si="508"/>
        <v>-3000</v>
      </c>
      <c r="CO132" s="47">
        <f t="shared" si="508"/>
        <v>-3000</v>
      </c>
      <c r="CP132" s="47">
        <f t="shared" si="508"/>
        <v>-3000</v>
      </c>
      <c r="CQ132" s="47">
        <f t="shared" si="508"/>
        <v>-3000</v>
      </c>
      <c r="CR132" s="47"/>
      <c r="CS132" s="47"/>
      <c r="CT132" s="47"/>
      <c r="CU132" s="50" t="str">
        <f>IFERROR(__xludf.DUMMYFUNCTION("""COMPUTED_VALUE"""),"3417 Princeton Ave.
Dallas, TX 75205          ")</f>
        <v>3417 Princeton Ave.
Dallas, TX 75205          </v>
      </c>
      <c r="CV132" s="51">
        <f>IFERROR(__xludf.DUMMYFUNCTION("IF(REGEXMATCH(UPPER(CU132), ""TX""),0,1)"),0.0)</f>
        <v>0</v>
      </c>
      <c r="CW132" s="51">
        <f>IFERROR(__xludf.DUMMYFUNCTION("IF(REGEXMATCH(UPPER(CU132), ""DALLAS""),0,1)"),0.0)</f>
        <v>0</v>
      </c>
      <c r="CX132" s="51">
        <f t="shared" si="17"/>
        <v>0</v>
      </c>
      <c r="CY132" s="51">
        <f t="shared" si="18"/>
        <v>0</v>
      </c>
      <c r="CZ132" s="52" t="str">
        <f t="shared" si="19"/>
        <v/>
      </c>
      <c r="DA132" s="58"/>
      <c r="DB132" s="52"/>
      <c r="DC132" s="52"/>
      <c r="DD132" s="52"/>
      <c r="DE132" s="52"/>
      <c r="DF132" s="52"/>
      <c r="DG132" s="52"/>
      <c r="DH132" s="52"/>
      <c r="DI132" s="52"/>
      <c r="DJ132" s="52"/>
      <c r="DK132" s="52"/>
      <c r="DL132" s="52"/>
      <c r="DM132" s="52"/>
      <c r="DN132" s="52"/>
      <c r="DO132" s="52"/>
      <c r="DP132" s="52"/>
      <c r="DQ132" s="52"/>
      <c r="DR132" s="52"/>
      <c r="DS132" s="52"/>
      <c r="DT132" s="52"/>
      <c r="DU132" s="52"/>
      <c r="DV132" s="52"/>
      <c r="DW132" s="52"/>
    </row>
    <row r="133">
      <c r="A133" s="41" t="s">
        <v>64</v>
      </c>
      <c r="B133" s="41" t="s">
        <v>56</v>
      </c>
      <c r="C133" s="31" t="s">
        <v>398</v>
      </c>
      <c r="D133" s="25" t="str">
        <f>IFERROR(__xludf.DUMMYFUNCTION("SPLIT(C133,"" "")"),"Best,")</f>
        <v>Best,</v>
      </c>
      <c r="E133" s="40" t="str">
        <f>IFERROR(__xludf.DUMMYFUNCTION("""COMPUTED_VALUE"""),"Nancy
9762")</f>
        <v>Nancy
9762</v>
      </c>
      <c r="F133" s="40" t="str">
        <f>IFERROR(__xludf.DUMMYFUNCTION("""COMPUTED_VALUE"""),"
Dallas,")</f>
        <v>
Dallas,</v>
      </c>
      <c r="G133" s="40" t="str">
        <f>IFERROR(__xludf.DUMMYFUNCTION("""COMPUTED_VALUE"""),"TX")</f>
        <v>TX</v>
      </c>
      <c r="H133" s="40">
        <f>IFERROR(__xludf.DUMMYFUNCTION("""COMPUTED_VALUE"""),75220.0)</f>
        <v>75220</v>
      </c>
      <c r="I133" s="40"/>
      <c r="J133" s="40"/>
      <c r="K133" s="40"/>
      <c r="L133" s="40"/>
      <c r="M133" s="40"/>
      <c r="N133" s="40"/>
      <c r="O133" s="40"/>
      <c r="P133" s="40"/>
      <c r="Q133" s="40"/>
      <c r="R133" s="40"/>
      <c r="S133" s="40"/>
      <c r="T133" s="40"/>
      <c r="U133" s="24" t="str">
        <f>IFERROR(__xludf.DUMMYFUNCTION("SPLIT(E133,""01234567890"")"),"Nancy
")</f>
        <v>Nancy
</v>
      </c>
      <c r="V133" s="24" t="str">
        <f>IFERROR(__xludf.DUMMYFUNCTION("SPLIT(D133,"","")"),"Best")</f>
        <v>Best</v>
      </c>
      <c r="W133" s="25" t="str">
        <f t="shared" si="1"/>
        <v>NANCY
 BEST</v>
      </c>
      <c r="X133" s="25" t="s">
        <v>399</v>
      </c>
      <c r="Y133" s="25">
        <v>75220.0</v>
      </c>
      <c r="Z133" s="25" t="str">
        <f>IFERROR(__xludf.DUMMYFUNCTION("SPLIT(C133,""
"")"),"Best, Nancy")</f>
        <v>Best, Nancy</v>
      </c>
      <c r="AA133" s="25">
        <f>IFERROR(__xludf.DUMMYFUNCTION("""COMPUTED_VALUE"""),9762.0)</f>
        <v>9762</v>
      </c>
      <c r="AB133" s="25" t="str">
        <f>IFERROR(__xludf.DUMMYFUNCTION("""COMPUTED_VALUE"""),"Dallas, TX 75220")</f>
        <v>Dallas, TX 75220</v>
      </c>
      <c r="AC133" s="24" t="s">
        <v>400</v>
      </c>
      <c r="AD133" s="25"/>
      <c r="AE133" s="25"/>
      <c r="AF133" s="25"/>
      <c r="AG133" s="40" t="s">
        <v>60</v>
      </c>
      <c r="AH133" s="42">
        <v>2500.0</v>
      </c>
      <c r="AI133" s="40" t="s">
        <v>68</v>
      </c>
      <c r="AJ133" s="27">
        <v>1000.0</v>
      </c>
      <c r="AK133" s="31" t="s">
        <v>23</v>
      </c>
      <c r="AL133" s="43">
        <v>44846.0</v>
      </c>
      <c r="AM133" s="44">
        <v>44941.874814814815</v>
      </c>
      <c r="AN133" s="30">
        <v>2.0</v>
      </c>
      <c r="AO133" s="40"/>
      <c r="AP133" s="40"/>
      <c r="AQ133" s="40"/>
      <c r="AR133" s="40"/>
      <c r="AS133" s="31">
        <f>IFERROR(__xludf.DUMMYFUNCTION("""COMPUTED_VALUE"""),78748.0)</f>
        <v>78748</v>
      </c>
      <c r="AT133" s="45">
        <f t="shared" si="6"/>
        <v>100</v>
      </c>
      <c r="AU133" s="40"/>
      <c r="AV133" s="46" t="str">
        <f>IFERROR(__xludf.DUMMYFUNCTION("""COMPUTED_VALUE"""),"Kirk-Tekippe")</f>
        <v>Kirk-Tekippe</v>
      </c>
      <c r="AW133" s="46">
        <f t="shared" si="7"/>
        <v>50</v>
      </c>
      <c r="AX133" s="47">
        <f t="shared" ref="AX133:BQ133" si="509">SUMIFS($AJ:$AJ,$V:$V,$AV133,$AK:$AK,AX$2)</f>
        <v>50</v>
      </c>
      <c r="AY133" s="48">
        <f t="shared" si="509"/>
        <v>0</v>
      </c>
      <c r="AZ133" s="48">
        <f t="shared" si="509"/>
        <v>0</v>
      </c>
      <c r="BA133" s="48">
        <f t="shared" si="509"/>
        <v>0</v>
      </c>
      <c r="BB133" s="48">
        <f t="shared" si="509"/>
        <v>0</v>
      </c>
      <c r="BC133" s="48">
        <f t="shared" si="509"/>
        <v>0</v>
      </c>
      <c r="BD133" s="48">
        <f t="shared" si="509"/>
        <v>0</v>
      </c>
      <c r="BE133" s="48">
        <f t="shared" si="509"/>
        <v>0</v>
      </c>
      <c r="BF133" s="48">
        <f t="shared" si="509"/>
        <v>0</v>
      </c>
      <c r="BG133" s="48">
        <f t="shared" si="509"/>
        <v>0</v>
      </c>
      <c r="BH133" s="48">
        <f t="shared" si="509"/>
        <v>0</v>
      </c>
      <c r="BI133" s="48">
        <f t="shared" si="509"/>
        <v>0</v>
      </c>
      <c r="BJ133" s="48">
        <f t="shared" si="509"/>
        <v>0</v>
      </c>
      <c r="BK133" s="48">
        <f t="shared" si="509"/>
        <v>0</v>
      </c>
      <c r="BL133" s="48">
        <f t="shared" si="509"/>
        <v>0</v>
      </c>
      <c r="BM133" s="48">
        <f t="shared" si="509"/>
        <v>0</v>
      </c>
      <c r="BN133" s="48">
        <f t="shared" si="509"/>
        <v>0</v>
      </c>
      <c r="BO133" s="48">
        <f t="shared" si="509"/>
        <v>0</v>
      </c>
      <c r="BP133" s="48">
        <f t="shared" si="509"/>
        <v>0</v>
      </c>
      <c r="BQ133" s="48">
        <f t="shared" si="509"/>
        <v>0</v>
      </c>
      <c r="BR133" s="36">
        <f t="shared" si="9"/>
        <v>0</v>
      </c>
      <c r="BS133" s="38">
        <f t="shared" si="10"/>
        <v>1</v>
      </c>
      <c r="BT133" s="49">
        <f t="shared" si="11"/>
        <v>0</v>
      </c>
      <c r="BU133" s="38">
        <f t="shared" si="12"/>
        <v>1000</v>
      </c>
      <c r="BV133" s="46" t="str">
        <f>IFERROR(__xludf.DUMMYFUNCTION("""COMPUTED_VALUE"""),"Kirk-Tekippe")</f>
        <v>Kirk-Tekippe</v>
      </c>
      <c r="BW133" s="46">
        <f t="shared" si="13"/>
        <v>50</v>
      </c>
      <c r="BX133" s="47">
        <f t="shared" ref="BX133:CA133" si="510">AX133-$BU133</f>
        <v>-950</v>
      </c>
      <c r="BY133" s="47">
        <f t="shared" si="510"/>
        <v>-1000</v>
      </c>
      <c r="BZ133" s="47">
        <f t="shared" si="510"/>
        <v>-1000</v>
      </c>
      <c r="CA133" s="47">
        <f t="shared" si="510"/>
        <v>-1000</v>
      </c>
      <c r="CB133" s="47">
        <f t="shared" si="15"/>
        <v>-10000</v>
      </c>
      <c r="CC133" s="47">
        <f t="shared" ref="CC133:CQ133" si="511">BC133-$BU133</f>
        <v>-1000</v>
      </c>
      <c r="CD133" s="47">
        <f t="shared" si="511"/>
        <v>-1000</v>
      </c>
      <c r="CE133" s="47">
        <f t="shared" si="511"/>
        <v>-1000</v>
      </c>
      <c r="CF133" s="47">
        <f t="shared" si="511"/>
        <v>-1000</v>
      </c>
      <c r="CG133" s="47">
        <f t="shared" si="511"/>
        <v>-1000</v>
      </c>
      <c r="CH133" s="47">
        <f t="shared" si="511"/>
        <v>-1000</v>
      </c>
      <c r="CI133" s="47">
        <f t="shared" si="511"/>
        <v>-1000</v>
      </c>
      <c r="CJ133" s="47">
        <f t="shared" si="511"/>
        <v>-1000</v>
      </c>
      <c r="CK133" s="47">
        <f t="shared" si="511"/>
        <v>-1000</v>
      </c>
      <c r="CL133" s="47">
        <f t="shared" si="511"/>
        <v>-1000</v>
      </c>
      <c r="CM133" s="47">
        <f t="shared" si="511"/>
        <v>-1000</v>
      </c>
      <c r="CN133" s="47">
        <f t="shared" si="511"/>
        <v>-1000</v>
      </c>
      <c r="CO133" s="47">
        <f t="shared" si="511"/>
        <v>-1000</v>
      </c>
      <c r="CP133" s="47">
        <f t="shared" si="511"/>
        <v>-1000</v>
      </c>
      <c r="CQ133" s="47">
        <f t="shared" si="511"/>
        <v>-1000</v>
      </c>
      <c r="CR133" s="47"/>
      <c r="CS133" s="47"/>
      <c r="CT133" s="47"/>
      <c r="CU133" s="50" t="str">
        <f>IFERROR(__xludf.DUMMYFUNCTION("""COMPUTED_VALUE"""),", Janice
813 Rainbow Ln
Cedar Hill, TX 75104        ")</f>
        <v>, Janice
813 Rainbow Ln
Cedar Hill, TX 75104        </v>
      </c>
      <c r="CV133" s="51">
        <f>IFERROR(__xludf.DUMMYFUNCTION("IF(REGEXMATCH(UPPER(CU133), ""TX""),0,1)"),0.0)</f>
        <v>0</v>
      </c>
      <c r="CW133" s="51">
        <f>IFERROR(__xludf.DUMMYFUNCTION("IF(REGEXMATCH(UPPER(CU133), ""DALLAS""),0,1)"),1.0)</f>
        <v>1</v>
      </c>
      <c r="CX133" s="51">
        <f t="shared" si="17"/>
        <v>0</v>
      </c>
      <c r="CY133" s="51">
        <f t="shared" si="18"/>
        <v>50</v>
      </c>
      <c r="CZ133" s="52" t="str">
        <f t="shared" si="19"/>
        <v>, Janice
813 Rainbow Ln
Cedar Hill, TX 75104        </v>
      </c>
      <c r="DA133" s="58"/>
      <c r="DB133" s="52"/>
      <c r="DC133" s="52"/>
      <c r="DD133" s="52"/>
      <c r="DE133" s="52"/>
      <c r="DF133" s="52"/>
      <c r="DG133" s="52"/>
      <c r="DH133" s="52"/>
      <c r="DI133" s="52"/>
      <c r="DJ133" s="52"/>
      <c r="DK133" s="52"/>
      <c r="DL133" s="52"/>
      <c r="DM133" s="52"/>
      <c r="DN133" s="52"/>
      <c r="DO133" s="52"/>
      <c r="DP133" s="52"/>
      <c r="DQ133" s="52"/>
      <c r="DR133" s="52"/>
      <c r="DS133" s="52"/>
      <c r="DT133" s="52"/>
      <c r="DU133" s="52"/>
      <c r="DV133" s="52"/>
      <c r="DW133" s="52"/>
    </row>
    <row r="134">
      <c r="A134" s="23" t="s">
        <v>64</v>
      </c>
      <c r="B134" s="23" t="s">
        <v>56</v>
      </c>
      <c r="C134" s="31" t="s">
        <v>401</v>
      </c>
      <c r="D134" s="25" t="str">
        <f>IFERROR(__xludf.DUMMYFUNCTION("SPLIT(C134,"" "")"),"Best,")</f>
        <v>Best,</v>
      </c>
      <c r="E134" s="22" t="str">
        <f>IFERROR(__xludf.DUMMYFUNCTION("""COMPUTED_VALUE"""),"Nancy
9762")</f>
        <v>Nancy
9762</v>
      </c>
      <c r="F134" s="22" t="str">
        <f>IFERROR(__xludf.DUMMYFUNCTION("""COMPUTED_VALUE"""),"Audubon")</f>
        <v>Audubon</v>
      </c>
      <c r="G134" s="22" t="str">
        <f>IFERROR(__xludf.DUMMYFUNCTION("""COMPUTED_VALUE"""),"Place
Dallas,")</f>
        <v>Place
Dallas,</v>
      </c>
      <c r="H134" s="22" t="str">
        <f>IFERROR(__xludf.DUMMYFUNCTION("""COMPUTED_VALUE"""),"TX")</f>
        <v>TX</v>
      </c>
      <c r="I134" s="22">
        <f>IFERROR(__xludf.DUMMYFUNCTION("""COMPUTED_VALUE"""),75220.0)</f>
        <v>75220</v>
      </c>
      <c r="J134" s="22"/>
      <c r="K134" s="22"/>
      <c r="L134" s="22"/>
      <c r="M134" s="22"/>
      <c r="N134" s="22"/>
      <c r="O134" s="22"/>
      <c r="P134" s="22"/>
      <c r="Q134" s="22"/>
      <c r="R134" s="22"/>
      <c r="S134" s="22"/>
      <c r="T134" s="22"/>
      <c r="U134" s="24" t="str">
        <f>IFERROR(__xludf.DUMMYFUNCTION("SPLIT(E134,""01234567890"")"),"Nancy
")</f>
        <v>Nancy
</v>
      </c>
      <c r="V134" s="24" t="str">
        <f>IFERROR(__xludf.DUMMYFUNCTION("SPLIT(D134,"","")"),"Best")</f>
        <v>Best</v>
      </c>
      <c r="W134" s="25" t="str">
        <f t="shared" si="1"/>
        <v>NANCY
 BEST</v>
      </c>
      <c r="X134" s="25" t="s">
        <v>402</v>
      </c>
      <c r="Y134" s="25">
        <v>75220.0</v>
      </c>
      <c r="Z134" s="25" t="str">
        <f>IFERROR(__xludf.DUMMYFUNCTION("SPLIT(C134,""
"")"),"Best, Nancy")</f>
        <v>Best, Nancy</v>
      </c>
      <c r="AA134" s="25" t="str">
        <f>IFERROR(__xludf.DUMMYFUNCTION("""COMPUTED_VALUE"""),"9762 Audubon Place")</f>
        <v>9762 Audubon Place</v>
      </c>
      <c r="AB134" s="25" t="str">
        <f>IFERROR(__xludf.DUMMYFUNCTION("""COMPUTED_VALUE"""),"Dallas, TX 75220")</f>
        <v>Dallas, TX 75220</v>
      </c>
      <c r="AC134" s="24" t="s">
        <v>400</v>
      </c>
      <c r="AD134" s="25"/>
      <c r="AE134" s="25"/>
      <c r="AF134" s="25"/>
      <c r="AG134" s="22" t="s">
        <v>60</v>
      </c>
      <c r="AH134" s="54">
        <v>2481.0</v>
      </c>
      <c r="AI134" s="22" t="s">
        <v>68</v>
      </c>
      <c r="AJ134" s="27">
        <v>1000.0</v>
      </c>
      <c r="AK134" s="31" t="s">
        <v>25</v>
      </c>
      <c r="AL134" s="28">
        <v>44824.0</v>
      </c>
      <c r="AM134" s="29">
        <v>44937.81995370371</v>
      </c>
      <c r="AN134" s="30">
        <v>2.0</v>
      </c>
      <c r="AO134" s="22"/>
      <c r="AP134" s="22"/>
      <c r="AQ134" s="22"/>
      <c r="AR134" s="22"/>
      <c r="AS134" s="31">
        <f>IFERROR(__xludf.DUMMYFUNCTION("""COMPUTED_VALUE"""),75216.0)</f>
        <v>75216</v>
      </c>
      <c r="AT134" s="45">
        <f t="shared" si="6"/>
        <v>100</v>
      </c>
      <c r="AU134" s="22"/>
      <c r="AV134" s="57" t="str">
        <f>IFERROR(__xludf.DUMMYFUNCTION("""COMPUTED_VALUE"""),"Granoff")</f>
        <v>Granoff</v>
      </c>
      <c r="AW134" s="46">
        <f t="shared" si="7"/>
        <v>500</v>
      </c>
      <c r="AX134" s="47">
        <f t="shared" ref="AX134:BQ134" si="512">SUMIFS($AJ:$AJ,$V:$V,$AV134,$AK:$AK,AX$2)</f>
        <v>500</v>
      </c>
      <c r="AY134" s="48">
        <f t="shared" si="512"/>
        <v>0</v>
      </c>
      <c r="AZ134" s="48">
        <f t="shared" si="512"/>
        <v>0</v>
      </c>
      <c r="BA134" s="48">
        <f t="shared" si="512"/>
        <v>0</v>
      </c>
      <c r="BB134" s="48">
        <f t="shared" si="512"/>
        <v>0</v>
      </c>
      <c r="BC134" s="48">
        <f t="shared" si="512"/>
        <v>0</v>
      </c>
      <c r="BD134" s="48">
        <f t="shared" si="512"/>
        <v>0</v>
      </c>
      <c r="BE134" s="48">
        <f t="shared" si="512"/>
        <v>0</v>
      </c>
      <c r="BF134" s="48">
        <f t="shared" si="512"/>
        <v>0</v>
      </c>
      <c r="BG134" s="48">
        <f t="shared" si="512"/>
        <v>0</v>
      </c>
      <c r="BH134" s="48">
        <f t="shared" si="512"/>
        <v>0</v>
      </c>
      <c r="BI134" s="48">
        <f t="shared" si="512"/>
        <v>0</v>
      </c>
      <c r="BJ134" s="48">
        <f t="shared" si="512"/>
        <v>0</v>
      </c>
      <c r="BK134" s="48">
        <f t="shared" si="512"/>
        <v>0</v>
      </c>
      <c r="BL134" s="48">
        <f t="shared" si="512"/>
        <v>0</v>
      </c>
      <c r="BM134" s="48">
        <f t="shared" si="512"/>
        <v>0</v>
      </c>
      <c r="BN134" s="48">
        <f t="shared" si="512"/>
        <v>0</v>
      </c>
      <c r="BO134" s="48">
        <f t="shared" si="512"/>
        <v>0</v>
      </c>
      <c r="BP134" s="48">
        <f t="shared" si="512"/>
        <v>0</v>
      </c>
      <c r="BQ134" s="48">
        <f t="shared" si="512"/>
        <v>0</v>
      </c>
      <c r="BR134" s="36">
        <f t="shared" si="9"/>
        <v>0</v>
      </c>
      <c r="BS134" s="38">
        <f t="shared" si="10"/>
        <v>1</v>
      </c>
      <c r="BT134" s="49">
        <f t="shared" si="11"/>
        <v>0</v>
      </c>
      <c r="BU134" s="38">
        <f t="shared" si="12"/>
        <v>1000</v>
      </c>
      <c r="BV134" s="57" t="str">
        <f>IFERROR(__xludf.DUMMYFUNCTION("""COMPUTED_VALUE"""),"Granoff")</f>
        <v>Granoff</v>
      </c>
      <c r="BW134" s="46">
        <f t="shared" si="13"/>
        <v>500</v>
      </c>
      <c r="BX134" s="47">
        <f t="shared" ref="BX134:CA134" si="513">AX134-$BU134</f>
        <v>-500</v>
      </c>
      <c r="BY134" s="47">
        <f t="shared" si="513"/>
        <v>-1000</v>
      </c>
      <c r="BZ134" s="47">
        <f t="shared" si="513"/>
        <v>-1000</v>
      </c>
      <c r="CA134" s="47">
        <f t="shared" si="513"/>
        <v>-1000</v>
      </c>
      <c r="CB134" s="47">
        <f t="shared" si="15"/>
        <v>-10000</v>
      </c>
      <c r="CC134" s="47">
        <f t="shared" ref="CC134:CQ134" si="514">BC134-$BU134</f>
        <v>-1000</v>
      </c>
      <c r="CD134" s="47">
        <f t="shared" si="514"/>
        <v>-1000</v>
      </c>
      <c r="CE134" s="47">
        <f t="shared" si="514"/>
        <v>-1000</v>
      </c>
      <c r="CF134" s="47">
        <f t="shared" si="514"/>
        <v>-1000</v>
      </c>
      <c r="CG134" s="47">
        <f t="shared" si="514"/>
        <v>-1000</v>
      </c>
      <c r="CH134" s="47">
        <f t="shared" si="514"/>
        <v>-1000</v>
      </c>
      <c r="CI134" s="47">
        <f t="shared" si="514"/>
        <v>-1000</v>
      </c>
      <c r="CJ134" s="47">
        <f t="shared" si="514"/>
        <v>-1000</v>
      </c>
      <c r="CK134" s="47">
        <f t="shared" si="514"/>
        <v>-1000</v>
      </c>
      <c r="CL134" s="47">
        <f t="shared" si="514"/>
        <v>-1000</v>
      </c>
      <c r="CM134" s="47">
        <f t="shared" si="514"/>
        <v>-1000</v>
      </c>
      <c r="CN134" s="47">
        <f t="shared" si="514"/>
        <v>-1000</v>
      </c>
      <c r="CO134" s="47">
        <f t="shared" si="514"/>
        <v>-1000</v>
      </c>
      <c r="CP134" s="47">
        <f t="shared" si="514"/>
        <v>-1000</v>
      </c>
      <c r="CQ134" s="47">
        <f t="shared" si="514"/>
        <v>-1000</v>
      </c>
      <c r="CR134" s="47"/>
      <c r="CS134" s="47"/>
      <c r="CT134" s="47"/>
      <c r="CU134" s="50" t="str">
        <f>IFERROR(__xludf.DUMMYFUNCTION("""COMPUTED_VALUE"""),"4327 Travis Street
Dallas, TX 75205          ")</f>
        <v>4327 Travis Street
Dallas, TX 75205          </v>
      </c>
      <c r="CV134" s="51">
        <f>IFERROR(__xludf.DUMMYFUNCTION("IF(REGEXMATCH(UPPER(CU134), ""TX""),0,1)"),0.0)</f>
        <v>0</v>
      </c>
      <c r="CW134" s="51">
        <f>IFERROR(__xludf.DUMMYFUNCTION("IF(REGEXMATCH(UPPER(CU134), ""DALLAS""),0,1)"),0.0)</f>
        <v>0</v>
      </c>
      <c r="CX134" s="51">
        <f t="shared" si="17"/>
        <v>0</v>
      </c>
      <c r="CY134" s="51">
        <f t="shared" si="18"/>
        <v>0</v>
      </c>
      <c r="CZ134" s="52" t="str">
        <f t="shared" si="19"/>
        <v/>
      </c>
      <c r="DA134" s="58"/>
      <c r="DB134" s="52"/>
      <c r="DC134" s="52"/>
      <c r="DD134" s="52"/>
      <c r="DE134" s="52"/>
      <c r="DF134" s="52"/>
      <c r="DG134" s="52"/>
      <c r="DH134" s="52"/>
      <c r="DI134" s="52"/>
      <c r="DJ134" s="52"/>
      <c r="DK134" s="52"/>
      <c r="DL134" s="52"/>
      <c r="DM134" s="52"/>
      <c r="DN134" s="52"/>
      <c r="DO134" s="52"/>
      <c r="DP134" s="52"/>
      <c r="DQ134" s="52"/>
      <c r="DR134" s="52"/>
      <c r="DS134" s="52"/>
      <c r="DT134" s="52"/>
      <c r="DU134" s="52"/>
      <c r="DV134" s="52"/>
      <c r="DW134" s="52"/>
    </row>
    <row r="135">
      <c r="A135" s="41" t="s">
        <v>64</v>
      </c>
      <c r="B135" s="41" t="s">
        <v>56</v>
      </c>
      <c r="C135" s="31" t="s">
        <v>401</v>
      </c>
      <c r="D135" s="25" t="str">
        <f>IFERROR(__xludf.DUMMYFUNCTION("SPLIT(C135,"" "")"),"Best,")</f>
        <v>Best,</v>
      </c>
      <c r="E135" s="40" t="str">
        <f>IFERROR(__xludf.DUMMYFUNCTION("""COMPUTED_VALUE"""),"Nancy
9762")</f>
        <v>Nancy
9762</v>
      </c>
      <c r="F135" s="40" t="str">
        <f>IFERROR(__xludf.DUMMYFUNCTION("""COMPUTED_VALUE"""),"Audubon")</f>
        <v>Audubon</v>
      </c>
      <c r="G135" s="40" t="str">
        <f>IFERROR(__xludf.DUMMYFUNCTION("""COMPUTED_VALUE"""),"Place
Dallas,")</f>
        <v>Place
Dallas,</v>
      </c>
      <c r="H135" s="40" t="str">
        <f>IFERROR(__xludf.DUMMYFUNCTION("""COMPUTED_VALUE"""),"TX")</f>
        <v>TX</v>
      </c>
      <c r="I135" s="40">
        <f>IFERROR(__xludf.DUMMYFUNCTION("""COMPUTED_VALUE"""),75220.0)</f>
        <v>75220</v>
      </c>
      <c r="J135" s="40"/>
      <c r="K135" s="40"/>
      <c r="L135" s="40"/>
      <c r="M135" s="40"/>
      <c r="N135" s="40"/>
      <c r="O135" s="40"/>
      <c r="P135" s="40"/>
      <c r="Q135" s="40"/>
      <c r="R135" s="40"/>
      <c r="S135" s="40"/>
      <c r="T135" s="40"/>
      <c r="U135" s="24" t="str">
        <f>IFERROR(__xludf.DUMMYFUNCTION("SPLIT(E135,""01234567890"")"),"Nancy
")</f>
        <v>Nancy
</v>
      </c>
      <c r="V135" s="24" t="str">
        <f>IFERROR(__xludf.DUMMYFUNCTION("SPLIT(D135,"","")"),"Best")</f>
        <v>Best</v>
      </c>
      <c r="W135" s="25" t="str">
        <f t="shared" si="1"/>
        <v>NANCY
 BEST</v>
      </c>
      <c r="X135" s="25" t="s">
        <v>402</v>
      </c>
      <c r="Y135" s="25">
        <v>75220.0</v>
      </c>
      <c r="Z135" s="25" t="str">
        <f>IFERROR(__xludf.DUMMYFUNCTION("SPLIT(C135,""
"")"),"Best, Nancy")</f>
        <v>Best, Nancy</v>
      </c>
      <c r="AA135" s="25" t="str">
        <f>IFERROR(__xludf.DUMMYFUNCTION("""COMPUTED_VALUE"""),"9762 Audubon Place")</f>
        <v>9762 Audubon Place</v>
      </c>
      <c r="AB135" s="25" t="str">
        <f>IFERROR(__xludf.DUMMYFUNCTION("""COMPUTED_VALUE"""),"Dallas, TX 75220")</f>
        <v>Dallas, TX 75220</v>
      </c>
      <c r="AC135" s="24" t="s">
        <v>400</v>
      </c>
      <c r="AD135" s="25"/>
      <c r="AE135" s="25"/>
      <c r="AF135" s="25"/>
      <c r="AG135" s="40" t="s">
        <v>60</v>
      </c>
      <c r="AH135" s="42">
        <v>2481.0</v>
      </c>
      <c r="AI135" s="40" t="s">
        <v>68</v>
      </c>
      <c r="AJ135" s="27">
        <v>1000.0</v>
      </c>
      <c r="AK135" s="31" t="s">
        <v>25</v>
      </c>
      <c r="AL135" s="43">
        <v>44824.0</v>
      </c>
      <c r="AM135" s="44">
        <v>44937.81995370371</v>
      </c>
      <c r="AN135" s="30">
        <v>2.0</v>
      </c>
      <c r="AO135" s="40"/>
      <c r="AP135" s="40"/>
      <c r="AQ135" s="40"/>
      <c r="AR135" s="40"/>
      <c r="AS135" s="31" t="str">
        <f>IFERROR(__xludf.DUMMYFUNCTION("""COMPUTED_VALUE"""),"75376-3834")</f>
        <v>75376-3834</v>
      </c>
      <c r="AT135" s="45">
        <f t="shared" si="6"/>
        <v>250</v>
      </c>
      <c r="AU135" s="40"/>
      <c r="AV135" s="46" t="str">
        <f>IFERROR(__xludf.DUMMYFUNCTION("""COMPUTED_VALUE"""),"Bradshaw")</f>
        <v>Bradshaw</v>
      </c>
      <c r="AW135" s="46">
        <f t="shared" si="7"/>
        <v>850</v>
      </c>
      <c r="AX135" s="47">
        <f t="shared" ref="AX135:BQ135" si="515">SUMIFS($AJ:$AJ,$V:$V,$AV135,$AK:$AK,AX$2)</f>
        <v>750</v>
      </c>
      <c r="AY135" s="48">
        <f t="shared" si="515"/>
        <v>0</v>
      </c>
      <c r="AZ135" s="48">
        <f t="shared" si="515"/>
        <v>0</v>
      </c>
      <c r="BA135" s="48">
        <f t="shared" si="515"/>
        <v>0</v>
      </c>
      <c r="BB135" s="48">
        <f t="shared" si="515"/>
        <v>100</v>
      </c>
      <c r="BC135" s="48">
        <f t="shared" si="515"/>
        <v>0</v>
      </c>
      <c r="BD135" s="48">
        <f t="shared" si="515"/>
        <v>0</v>
      </c>
      <c r="BE135" s="48">
        <f t="shared" si="515"/>
        <v>0</v>
      </c>
      <c r="BF135" s="48">
        <f t="shared" si="515"/>
        <v>0</v>
      </c>
      <c r="BG135" s="48">
        <f t="shared" si="515"/>
        <v>0</v>
      </c>
      <c r="BH135" s="48">
        <f t="shared" si="515"/>
        <v>0</v>
      </c>
      <c r="BI135" s="48">
        <f t="shared" si="515"/>
        <v>0</v>
      </c>
      <c r="BJ135" s="48">
        <f t="shared" si="515"/>
        <v>0</v>
      </c>
      <c r="BK135" s="48">
        <f t="shared" si="515"/>
        <v>0</v>
      </c>
      <c r="BL135" s="48">
        <f t="shared" si="515"/>
        <v>0</v>
      </c>
      <c r="BM135" s="48">
        <f t="shared" si="515"/>
        <v>0</v>
      </c>
      <c r="BN135" s="48">
        <f t="shared" si="515"/>
        <v>0</v>
      </c>
      <c r="BO135" s="48">
        <f t="shared" si="515"/>
        <v>0</v>
      </c>
      <c r="BP135" s="48">
        <f t="shared" si="515"/>
        <v>0</v>
      </c>
      <c r="BQ135" s="48">
        <f t="shared" si="515"/>
        <v>0</v>
      </c>
      <c r="BR135" s="36">
        <f t="shared" si="9"/>
        <v>1</v>
      </c>
      <c r="BS135" s="38">
        <f t="shared" si="10"/>
        <v>3</v>
      </c>
      <c r="BT135" s="49">
        <f t="shared" si="11"/>
        <v>0</v>
      </c>
      <c r="BU135" s="38">
        <f t="shared" si="12"/>
        <v>3000</v>
      </c>
      <c r="BV135" s="46" t="str">
        <f>IFERROR(__xludf.DUMMYFUNCTION("""COMPUTED_VALUE"""),"Bradshaw")</f>
        <v>Bradshaw</v>
      </c>
      <c r="BW135" s="46">
        <f t="shared" si="13"/>
        <v>850</v>
      </c>
      <c r="BX135" s="47">
        <f t="shared" ref="BX135:CA135" si="516">AX135-$BU135</f>
        <v>-2250</v>
      </c>
      <c r="BY135" s="47">
        <f t="shared" si="516"/>
        <v>-3000</v>
      </c>
      <c r="BZ135" s="47">
        <f t="shared" si="516"/>
        <v>-3000</v>
      </c>
      <c r="CA135" s="47">
        <f t="shared" si="516"/>
        <v>-3000</v>
      </c>
      <c r="CB135" s="47">
        <f t="shared" si="15"/>
        <v>-29900</v>
      </c>
      <c r="CC135" s="47">
        <f t="shared" ref="CC135:CQ135" si="517">BC135-$BU135</f>
        <v>-3000</v>
      </c>
      <c r="CD135" s="47">
        <f t="shared" si="517"/>
        <v>-3000</v>
      </c>
      <c r="CE135" s="47">
        <f t="shared" si="517"/>
        <v>-3000</v>
      </c>
      <c r="CF135" s="47">
        <f t="shared" si="517"/>
        <v>-3000</v>
      </c>
      <c r="CG135" s="47">
        <f t="shared" si="517"/>
        <v>-3000</v>
      </c>
      <c r="CH135" s="47">
        <f t="shared" si="517"/>
        <v>-3000</v>
      </c>
      <c r="CI135" s="47">
        <f t="shared" si="517"/>
        <v>-3000</v>
      </c>
      <c r="CJ135" s="47">
        <f t="shared" si="517"/>
        <v>-3000</v>
      </c>
      <c r="CK135" s="47">
        <f t="shared" si="517"/>
        <v>-3000</v>
      </c>
      <c r="CL135" s="47">
        <f t="shared" si="517"/>
        <v>-3000</v>
      </c>
      <c r="CM135" s="47">
        <f t="shared" si="517"/>
        <v>-3000</v>
      </c>
      <c r="CN135" s="47">
        <f t="shared" si="517"/>
        <v>-3000</v>
      </c>
      <c r="CO135" s="47">
        <f t="shared" si="517"/>
        <v>-3000</v>
      </c>
      <c r="CP135" s="47">
        <f t="shared" si="517"/>
        <v>-3000</v>
      </c>
      <c r="CQ135" s="47">
        <f t="shared" si="517"/>
        <v>-3000</v>
      </c>
      <c r="CR135" s="47"/>
      <c r="CS135" s="47"/>
      <c r="CT135" s="47"/>
      <c r="CU135" s="50" t="str">
        <f>IFERROR(__xludf.DUMMYFUNCTION("""COMPUTED_VALUE"""),"jan Hart
4563 Isabella
Dallas, TX 75229          ")</f>
        <v>jan Hart
4563 Isabella
Dallas, TX 75229          </v>
      </c>
      <c r="CV135" s="51">
        <f>IFERROR(__xludf.DUMMYFUNCTION("IF(REGEXMATCH(UPPER(CU135), ""TX""),0,1)"),0.0)</f>
        <v>0</v>
      </c>
      <c r="CW135" s="51">
        <f>IFERROR(__xludf.DUMMYFUNCTION("IF(REGEXMATCH(UPPER(CU135), ""DALLAS""),0,1)"),0.0)</f>
        <v>0</v>
      </c>
      <c r="CX135" s="51">
        <f t="shared" si="17"/>
        <v>0</v>
      </c>
      <c r="CY135" s="51">
        <f t="shared" si="18"/>
        <v>0</v>
      </c>
      <c r="CZ135" s="52" t="str">
        <f t="shared" si="19"/>
        <v/>
      </c>
      <c r="DA135" s="58"/>
      <c r="DB135" s="52"/>
      <c r="DC135" s="52"/>
      <c r="DD135" s="52"/>
      <c r="DE135" s="52"/>
      <c r="DF135" s="52"/>
      <c r="DG135" s="52"/>
      <c r="DH135" s="52"/>
      <c r="DI135" s="52"/>
      <c r="DJ135" s="52"/>
      <c r="DK135" s="52"/>
      <c r="DL135" s="52"/>
      <c r="DM135" s="52"/>
      <c r="DN135" s="52"/>
      <c r="DO135" s="52"/>
      <c r="DP135" s="52"/>
      <c r="DQ135" s="52"/>
      <c r="DR135" s="52"/>
      <c r="DS135" s="52"/>
      <c r="DT135" s="52"/>
      <c r="DU135" s="52"/>
      <c r="DV135" s="52"/>
      <c r="DW135" s="52"/>
    </row>
    <row r="136">
      <c r="A136" s="22" t="s">
        <v>55</v>
      </c>
      <c r="B136" s="23" t="s">
        <v>56</v>
      </c>
      <c r="C136" s="31" t="s">
        <v>403</v>
      </c>
      <c r="D136" s="25" t="str">
        <f>IFERROR(__xludf.DUMMYFUNCTION("SPLIT(C136,"" "")"),"Beth")</f>
        <v>Beth</v>
      </c>
      <c r="E136" s="22" t="str">
        <f>IFERROR(__xludf.DUMMYFUNCTION("""COMPUTED_VALUE"""),"Freundlich")</f>
        <v>Freundlich</v>
      </c>
      <c r="F136" s="22" t="str">
        <f>IFERROR(__xludf.DUMMYFUNCTION("""COMPUTED_VALUE"""),"Trustee
4283")</f>
        <v>Trustee
4283</v>
      </c>
      <c r="G136" s="22" t="str">
        <f>IFERROR(__xludf.DUMMYFUNCTION("""COMPUTED_VALUE"""),"NW")</f>
        <v>NW</v>
      </c>
      <c r="H136" s="22" t="str">
        <f>IFERROR(__xludf.DUMMYFUNCTION("""COMPUTED_VALUE"""),"64th")</f>
        <v>64th</v>
      </c>
      <c r="I136" s="22" t="str">
        <f>IFERROR(__xludf.DUMMYFUNCTION("""COMPUTED_VALUE"""),"St
Boca")</f>
        <v>St
Boca</v>
      </c>
      <c r="J136" s="22" t="str">
        <f>IFERROR(__xludf.DUMMYFUNCTION("""COMPUTED_VALUE"""),"Raton,")</f>
        <v>Raton,</v>
      </c>
      <c r="K136" s="22" t="str">
        <f>IFERROR(__xludf.DUMMYFUNCTION("""COMPUTED_VALUE"""),"FL")</f>
        <v>FL</v>
      </c>
      <c r="L136" s="22">
        <f>IFERROR(__xludf.DUMMYFUNCTION("""COMPUTED_VALUE"""),33496.0)</f>
        <v>33496</v>
      </c>
      <c r="M136" s="22"/>
      <c r="N136" s="22"/>
      <c r="O136" s="22"/>
      <c r="P136" s="22"/>
      <c r="Q136" s="22"/>
      <c r="R136" s="22"/>
      <c r="S136" s="22"/>
      <c r="T136" s="22"/>
      <c r="U136" s="24" t="str">
        <f>IFERROR(__xludf.DUMMYFUNCTION("SPLIT(E136,""01234567890"")"),"Freundlich")</f>
        <v>Freundlich</v>
      </c>
      <c r="V136" s="24" t="str">
        <f>IFERROR(__xludf.DUMMYFUNCTION("SPLIT(D136,"","")"),"Beth")</f>
        <v>Beth</v>
      </c>
      <c r="W136" s="25" t="str">
        <f t="shared" si="1"/>
        <v>FREUNDLICH BETH</v>
      </c>
      <c r="X136" s="25" t="s">
        <v>404</v>
      </c>
      <c r="Y136" s="25">
        <v>64.0</v>
      </c>
      <c r="Z136" s="25" t="str">
        <f>IFERROR(__xludf.DUMMYFUNCTION("SPLIT(C136,""
"")"),"Beth Freundlich Trustee")</f>
        <v>Beth Freundlich Trustee</v>
      </c>
      <c r="AA136" s="25" t="str">
        <f>IFERROR(__xludf.DUMMYFUNCTION("""COMPUTED_VALUE"""),"4283 NW 64th St")</f>
        <v>4283 NW 64th St</v>
      </c>
      <c r="AB136" s="25" t="str">
        <f>IFERROR(__xludf.DUMMYFUNCTION("""COMPUTED_VALUE"""),"Boca Raton, FL 33496")</f>
        <v>Boca Raton, FL 33496</v>
      </c>
      <c r="AC136" s="24" t="s">
        <v>405</v>
      </c>
      <c r="AD136" s="25"/>
      <c r="AE136" s="25"/>
      <c r="AF136" s="25"/>
      <c r="AG136" s="22" t="s">
        <v>60</v>
      </c>
      <c r="AH136" s="54">
        <v>2480.0</v>
      </c>
      <c r="AI136" s="22" t="s">
        <v>68</v>
      </c>
      <c r="AJ136" s="27">
        <v>1000.0</v>
      </c>
      <c r="AK136" s="31" t="s">
        <v>22</v>
      </c>
      <c r="AL136" s="28">
        <v>44847.0</v>
      </c>
      <c r="AM136" s="29">
        <v>44942.7278125</v>
      </c>
      <c r="AN136" s="30">
        <v>2.0</v>
      </c>
      <c r="AO136" s="22"/>
      <c r="AP136" s="22"/>
      <c r="AQ136" s="22"/>
      <c r="AR136" s="22"/>
      <c r="AS136" s="31">
        <f>IFERROR(__xludf.DUMMYFUNCTION("""COMPUTED_VALUE"""),75234.0)</f>
        <v>75234</v>
      </c>
      <c r="AT136" s="45">
        <f t="shared" si="6"/>
        <v>50</v>
      </c>
      <c r="AU136" s="22"/>
      <c r="AV136" s="57" t="str">
        <f>IFERROR(__xludf.DUMMYFUNCTION("""COMPUTED_VALUE"""),"Reese")</f>
        <v>Reese</v>
      </c>
      <c r="AW136" s="46">
        <f t="shared" si="7"/>
        <v>1500</v>
      </c>
      <c r="AX136" s="47">
        <f t="shared" ref="AX136:BQ136" si="518">SUMIFS($AJ:$AJ,$V:$V,$AV136,$AK:$AK,AX$2)</f>
        <v>1500</v>
      </c>
      <c r="AY136" s="48">
        <f t="shared" si="518"/>
        <v>0</v>
      </c>
      <c r="AZ136" s="48">
        <f t="shared" si="518"/>
        <v>0</v>
      </c>
      <c r="BA136" s="48">
        <f t="shared" si="518"/>
        <v>0</v>
      </c>
      <c r="BB136" s="48">
        <f t="shared" si="518"/>
        <v>0</v>
      </c>
      <c r="BC136" s="48">
        <f t="shared" si="518"/>
        <v>0</v>
      </c>
      <c r="BD136" s="48">
        <f t="shared" si="518"/>
        <v>0</v>
      </c>
      <c r="BE136" s="48">
        <f t="shared" si="518"/>
        <v>0</v>
      </c>
      <c r="BF136" s="48">
        <f t="shared" si="518"/>
        <v>0</v>
      </c>
      <c r="BG136" s="48">
        <f t="shared" si="518"/>
        <v>0</v>
      </c>
      <c r="BH136" s="48">
        <f t="shared" si="518"/>
        <v>0</v>
      </c>
      <c r="BI136" s="48">
        <f t="shared" si="518"/>
        <v>0</v>
      </c>
      <c r="BJ136" s="48">
        <f t="shared" si="518"/>
        <v>0</v>
      </c>
      <c r="BK136" s="48">
        <f t="shared" si="518"/>
        <v>0</v>
      </c>
      <c r="BL136" s="48">
        <f t="shared" si="518"/>
        <v>0</v>
      </c>
      <c r="BM136" s="48">
        <f t="shared" si="518"/>
        <v>0</v>
      </c>
      <c r="BN136" s="48">
        <f t="shared" si="518"/>
        <v>0</v>
      </c>
      <c r="BO136" s="48">
        <f t="shared" si="518"/>
        <v>0</v>
      </c>
      <c r="BP136" s="48">
        <f t="shared" si="518"/>
        <v>0</v>
      </c>
      <c r="BQ136" s="48">
        <f t="shared" si="518"/>
        <v>0</v>
      </c>
      <c r="BR136" s="36">
        <f t="shared" si="9"/>
        <v>1</v>
      </c>
      <c r="BS136" s="38">
        <f t="shared" si="10"/>
        <v>2</v>
      </c>
      <c r="BT136" s="49">
        <f t="shared" si="11"/>
        <v>0</v>
      </c>
      <c r="BU136" s="38">
        <f t="shared" si="12"/>
        <v>2000</v>
      </c>
      <c r="BV136" s="57" t="str">
        <f>IFERROR(__xludf.DUMMYFUNCTION("""COMPUTED_VALUE"""),"Reese")</f>
        <v>Reese</v>
      </c>
      <c r="BW136" s="46">
        <f t="shared" si="13"/>
        <v>1500</v>
      </c>
      <c r="BX136" s="47">
        <f t="shared" ref="BX136:CA136" si="519">AX136-$BU136</f>
        <v>-500</v>
      </c>
      <c r="BY136" s="47">
        <f t="shared" si="519"/>
        <v>-2000</v>
      </c>
      <c r="BZ136" s="47">
        <f t="shared" si="519"/>
        <v>-2000</v>
      </c>
      <c r="CA136" s="47">
        <f t="shared" si="519"/>
        <v>-2000</v>
      </c>
      <c r="CB136" s="47">
        <f t="shared" si="15"/>
        <v>-20000</v>
      </c>
      <c r="CC136" s="47">
        <f t="shared" ref="CC136:CQ136" si="520">BC136-$BU136</f>
        <v>-2000</v>
      </c>
      <c r="CD136" s="47">
        <f t="shared" si="520"/>
        <v>-2000</v>
      </c>
      <c r="CE136" s="47">
        <f t="shared" si="520"/>
        <v>-2000</v>
      </c>
      <c r="CF136" s="47">
        <f t="shared" si="520"/>
        <v>-2000</v>
      </c>
      <c r="CG136" s="47">
        <f t="shared" si="520"/>
        <v>-2000</v>
      </c>
      <c r="CH136" s="47">
        <f t="shared" si="520"/>
        <v>-2000</v>
      </c>
      <c r="CI136" s="47">
        <f t="shared" si="520"/>
        <v>-2000</v>
      </c>
      <c r="CJ136" s="47">
        <f t="shared" si="520"/>
        <v>-2000</v>
      </c>
      <c r="CK136" s="47">
        <f t="shared" si="520"/>
        <v>-2000</v>
      </c>
      <c r="CL136" s="47">
        <f t="shared" si="520"/>
        <v>-2000</v>
      </c>
      <c r="CM136" s="47">
        <f t="shared" si="520"/>
        <v>-2000</v>
      </c>
      <c r="CN136" s="47">
        <f t="shared" si="520"/>
        <v>-2000</v>
      </c>
      <c r="CO136" s="47">
        <f t="shared" si="520"/>
        <v>-2000</v>
      </c>
      <c r="CP136" s="47">
        <f t="shared" si="520"/>
        <v>-2000</v>
      </c>
      <c r="CQ136" s="47">
        <f t="shared" si="520"/>
        <v>-2000</v>
      </c>
      <c r="CR136" s="47"/>
      <c r="CS136" s="47"/>
      <c r="CT136" s="47"/>
      <c r="CU136" s="50" t="str">
        <f>IFERROR(__xludf.DUMMYFUNCTION("""COMPUTED_VALUE"""),"751 
Dallas, TX 75208           ")</f>
        <v>751 
Dallas, TX 75208           </v>
      </c>
      <c r="CV136" s="51">
        <f>IFERROR(__xludf.DUMMYFUNCTION("IF(REGEXMATCH(UPPER(CU136), ""TX""),0,1)"),0.0)</f>
        <v>0</v>
      </c>
      <c r="CW136" s="51">
        <f>IFERROR(__xludf.DUMMYFUNCTION("IF(REGEXMATCH(UPPER(CU136), ""DALLAS""),0,1)"),0.0)</f>
        <v>0</v>
      </c>
      <c r="CX136" s="51">
        <f t="shared" si="17"/>
        <v>0</v>
      </c>
      <c r="CY136" s="51">
        <f t="shared" si="18"/>
        <v>0</v>
      </c>
      <c r="CZ136" s="52" t="str">
        <f t="shared" si="19"/>
        <v/>
      </c>
      <c r="DA136" s="58"/>
      <c r="DB136" s="52"/>
      <c r="DC136" s="52"/>
      <c r="DD136" s="52"/>
      <c r="DE136" s="52"/>
      <c r="DF136" s="52"/>
      <c r="DG136" s="52"/>
      <c r="DH136" s="52"/>
      <c r="DI136" s="52"/>
      <c r="DJ136" s="52"/>
      <c r="DK136" s="52"/>
      <c r="DL136" s="52"/>
      <c r="DM136" s="52"/>
      <c r="DN136" s="52"/>
      <c r="DO136" s="52"/>
      <c r="DP136" s="52"/>
      <c r="DQ136" s="52"/>
      <c r="DR136" s="52"/>
      <c r="DS136" s="52"/>
      <c r="DT136" s="52"/>
      <c r="DU136" s="52"/>
      <c r="DV136" s="52"/>
      <c r="DW136" s="52"/>
    </row>
    <row r="137">
      <c r="A137" s="41" t="s">
        <v>64</v>
      </c>
      <c r="B137" s="41" t="s">
        <v>56</v>
      </c>
      <c r="C137" s="31" t="s">
        <v>406</v>
      </c>
      <c r="D137" s="25" t="str">
        <f>IFERROR(__xludf.DUMMYFUNCTION("SPLIT(C137,"" "")"),"Beucler,")</f>
        <v>Beucler,</v>
      </c>
      <c r="E137" s="40" t="str">
        <f>IFERROR(__xludf.DUMMYFUNCTION("""COMPUTED_VALUE"""),"Reid
6060")</f>
        <v>Reid
6060</v>
      </c>
      <c r="F137" s="40" t="str">
        <f>IFERROR(__xludf.DUMMYFUNCTION("""COMPUTED_VALUE"""),"N")</f>
        <v>N</v>
      </c>
      <c r="G137" s="40" t="str">
        <f>IFERROR(__xludf.DUMMYFUNCTION("""COMPUTED_VALUE"""),"Central")</f>
        <v>Central</v>
      </c>
      <c r="H137" s="40" t="str">
        <f>IFERROR(__xludf.DUMMYFUNCTION("""COMPUTED_VALUE"""),"Expwy")</f>
        <v>Expwy</v>
      </c>
      <c r="I137" s="40" t="str">
        <f>IFERROR(__xludf.DUMMYFUNCTION("""COMPUTED_VALUE"""),"Suite")</f>
        <v>Suite</v>
      </c>
      <c r="J137" s="40" t="str">
        <f>IFERROR(__xludf.DUMMYFUNCTION("""COMPUTED_VALUE"""),"125
Dallas,")</f>
        <v>125
Dallas,</v>
      </c>
      <c r="K137" s="40" t="str">
        <f>IFERROR(__xludf.DUMMYFUNCTION("""COMPUTED_VALUE"""),"TX")</f>
        <v>TX</v>
      </c>
      <c r="L137" s="40">
        <f>IFERROR(__xludf.DUMMYFUNCTION("""COMPUTED_VALUE"""),75206.0)</f>
        <v>75206</v>
      </c>
      <c r="M137" s="40"/>
      <c r="N137" s="40"/>
      <c r="O137" s="40"/>
      <c r="P137" s="40"/>
      <c r="Q137" s="40"/>
      <c r="R137" s="40"/>
      <c r="S137" s="40"/>
      <c r="T137" s="40"/>
      <c r="U137" s="24" t="str">
        <f>IFERROR(__xludf.DUMMYFUNCTION("SPLIT(E137,""01234567890"")"),"Reid
")</f>
        <v>Reid
</v>
      </c>
      <c r="V137" s="24" t="str">
        <f>IFERROR(__xludf.DUMMYFUNCTION("SPLIT(D137,"","")"),"Beucler")</f>
        <v>Beucler</v>
      </c>
      <c r="W137" s="25" t="str">
        <f t="shared" si="1"/>
        <v>REID
 BEUCLER</v>
      </c>
      <c r="X137" s="25" t="s">
        <v>407</v>
      </c>
      <c r="Y137" s="25">
        <v>125.0</v>
      </c>
      <c r="Z137" s="25" t="str">
        <f>IFERROR(__xludf.DUMMYFUNCTION("SPLIT(C137,""
"")"),"Beucler, Reid")</f>
        <v>Beucler, Reid</v>
      </c>
      <c r="AA137" s="25" t="str">
        <f>IFERROR(__xludf.DUMMYFUNCTION("""COMPUTED_VALUE"""),"6060 N Central Expwy Suite 125")</f>
        <v>6060 N Central Expwy Suite 125</v>
      </c>
      <c r="AB137" s="25" t="str">
        <f>IFERROR(__xludf.DUMMYFUNCTION("""COMPUTED_VALUE"""),"Dallas, TX 75206")</f>
        <v>Dallas, TX 75206</v>
      </c>
      <c r="AC137" s="24" t="s">
        <v>408</v>
      </c>
      <c r="AD137" s="25"/>
      <c r="AE137" s="25"/>
      <c r="AF137" s="25"/>
      <c r="AG137" s="40" t="s">
        <v>60</v>
      </c>
      <c r="AH137" s="42">
        <v>2486.0</v>
      </c>
      <c r="AI137" s="40" t="s">
        <v>68</v>
      </c>
      <c r="AJ137" s="27">
        <v>1000.0</v>
      </c>
      <c r="AK137" s="31" t="s">
        <v>24</v>
      </c>
      <c r="AL137" s="43">
        <v>44825.0</v>
      </c>
      <c r="AM137" s="44">
        <v>44942.42989583333</v>
      </c>
      <c r="AN137" s="30">
        <v>2.0</v>
      </c>
      <c r="AO137" s="40"/>
      <c r="AP137" s="40"/>
      <c r="AQ137" s="40"/>
      <c r="AR137" s="40"/>
      <c r="AS137" s="31">
        <f>IFERROR(__xludf.DUMMYFUNCTION("""COMPUTED_VALUE"""),75016.0)</f>
        <v>75016</v>
      </c>
      <c r="AT137" s="45">
        <f t="shared" si="6"/>
        <v>250</v>
      </c>
      <c r="AU137" s="40"/>
      <c r="AV137" s="46" t="str">
        <f>IFERROR(__xludf.DUMMYFUNCTION("""COMPUTED_VALUE"""),"Kapioltas")</f>
        <v>Kapioltas</v>
      </c>
      <c r="AW137" s="46">
        <f t="shared" si="7"/>
        <v>1000</v>
      </c>
      <c r="AX137" s="47">
        <f t="shared" ref="AX137:BQ137" si="521">SUMIFS($AJ:$AJ,$V:$V,$AV137,$AK:$AK,AX$2)</f>
        <v>1000</v>
      </c>
      <c r="AY137" s="48">
        <f t="shared" si="521"/>
        <v>0</v>
      </c>
      <c r="AZ137" s="48">
        <f t="shared" si="521"/>
        <v>0</v>
      </c>
      <c r="BA137" s="48">
        <f t="shared" si="521"/>
        <v>0</v>
      </c>
      <c r="BB137" s="48">
        <f t="shared" si="521"/>
        <v>0</v>
      </c>
      <c r="BC137" s="48">
        <f t="shared" si="521"/>
        <v>0</v>
      </c>
      <c r="BD137" s="48">
        <f t="shared" si="521"/>
        <v>0</v>
      </c>
      <c r="BE137" s="48">
        <f t="shared" si="521"/>
        <v>0</v>
      </c>
      <c r="BF137" s="48">
        <f t="shared" si="521"/>
        <v>0</v>
      </c>
      <c r="BG137" s="48">
        <f t="shared" si="521"/>
        <v>0</v>
      </c>
      <c r="BH137" s="48">
        <f t="shared" si="521"/>
        <v>0</v>
      </c>
      <c r="BI137" s="48">
        <f t="shared" si="521"/>
        <v>0</v>
      </c>
      <c r="BJ137" s="48">
        <f t="shared" si="521"/>
        <v>0</v>
      </c>
      <c r="BK137" s="48">
        <f t="shared" si="521"/>
        <v>0</v>
      </c>
      <c r="BL137" s="48">
        <f t="shared" si="521"/>
        <v>0</v>
      </c>
      <c r="BM137" s="48">
        <f t="shared" si="521"/>
        <v>0</v>
      </c>
      <c r="BN137" s="48">
        <f t="shared" si="521"/>
        <v>0</v>
      </c>
      <c r="BO137" s="48">
        <f t="shared" si="521"/>
        <v>0</v>
      </c>
      <c r="BP137" s="48">
        <f t="shared" si="521"/>
        <v>0</v>
      </c>
      <c r="BQ137" s="48">
        <f t="shared" si="521"/>
        <v>0</v>
      </c>
      <c r="BR137" s="36">
        <f t="shared" si="9"/>
        <v>0</v>
      </c>
      <c r="BS137" s="38">
        <f t="shared" si="10"/>
        <v>1</v>
      </c>
      <c r="BT137" s="49">
        <f t="shared" si="11"/>
        <v>0</v>
      </c>
      <c r="BU137" s="38">
        <f t="shared" si="12"/>
        <v>1000</v>
      </c>
      <c r="BV137" s="46" t="str">
        <f>IFERROR(__xludf.DUMMYFUNCTION("""COMPUTED_VALUE"""),"Kapioltas")</f>
        <v>Kapioltas</v>
      </c>
      <c r="BW137" s="46">
        <f t="shared" si="13"/>
        <v>1000</v>
      </c>
      <c r="BX137" s="47">
        <f t="shared" ref="BX137:CA137" si="522">AX137-$BU137</f>
        <v>0</v>
      </c>
      <c r="BY137" s="47">
        <f t="shared" si="522"/>
        <v>-1000</v>
      </c>
      <c r="BZ137" s="47">
        <f t="shared" si="522"/>
        <v>-1000</v>
      </c>
      <c r="CA137" s="47">
        <f t="shared" si="522"/>
        <v>-1000</v>
      </c>
      <c r="CB137" s="47">
        <f t="shared" si="15"/>
        <v>-10000</v>
      </c>
      <c r="CC137" s="47">
        <f t="shared" ref="CC137:CQ137" si="523">BC137-$BU137</f>
        <v>-1000</v>
      </c>
      <c r="CD137" s="47">
        <f t="shared" si="523"/>
        <v>-1000</v>
      </c>
      <c r="CE137" s="47">
        <f t="shared" si="523"/>
        <v>-1000</v>
      </c>
      <c r="CF137" s="47">
        <f t="shared" si="523"/>
        <v>-1000</v>
      </c>
      <c r="CG137" s="47">
        <f t="shared" si="523"/>
        <v>-1000</v>
      </c>
      <c r="CH137" s="47">
        <f t="shared" si="523"/>
        <v>-1000</v>
      </c>
      <c r="CI137" s="47">
        <f t="shared" si="523"/>
        <v>-1000</v>
      </c>
      <c r="CJ137" s="47">
        <f t="shared" si="523"/>
        <v>-1000</v>
      </c>
      <c r="CK137" s="47">
        <f t="shared" si="523"/>
        <v>-1000</v>
      </c>
      <c r="CL137" s="47">
        <f t="shared" si="523"/>
        <v>-1000</v>
      </c>
      <c r="CM137" s="47">
        <f t="shared" si="523"/>
        <v>-1000</v>
      </c>
      <c r="CN137" s="47">
        <f t="shared" si="523"/>
        <v>-1000</v>
      </c>
      <c r="CO137" s="47">
        <f t="shared" si="523"/>
        <v>-1000</v>
      </c>
      <c r="CP137" s="47">
        <f t="shared" si="523"/>
        <v>-1000</v>
      </c>
      <c r="CQ137" s="47">
        <f t="shared" si="523"/>
        <v>-1000</v>
      </c>
      <c r="CR137" s="47"/>
      <c r="CS137" s="47"/>
      <c r="CT137" s="47"/>
      <c r="CU137" s="50" t="str">
        <f>IFERROR(__xludf.DUMMYFUNCTION("""COMPUTED_VALUE"""),"751 Kessler Lake Dr.
Dallas, TX 75208         ")</f>
        <v>751 Kessler Lake Dr.
Dallas, TX 75208         </v>
      </c>
      <c r="CV137" s="51">
        <f>IFERROR(__xludf.DUMMYFUNCTION("IF(REGEXMATCH(UPPER(CU137), ""TX""),0,1)"),0.0)</f>
        <v>0</v>
      </c>
      <c r="CW137" s="51">
        <f>IFERROR(__xludf.DUMMYFUNCTION("IF(REGEXMATCH(UPPER(CU137), ""DALLAS""),0,1)"),0.0)</f>
        <v>0</v>
      </c>
      <c r="CX137" s="51">
        <f t="shared" si="17"/>
        <v>0</v>
      </c>
      <c r="CY137" s="51">
        <f t="shared" si="18"/>
        <v>0</v>
      </c>
      <c r="CZ137" s="52" t="str">
        <f t="shared" si="19"/>
        <v/>
      </c>
      <c r="DA137" s="58"/>
      <c r="DB137" s="52"/>
      <c r="DC137" s="52"/>
      <c r="DD137" s="52"/>
      <c r="DE137" s="52"/>
      <c r="DF137" s="52"/>
      <c r="DG137" s="52"/>
      <c r="DH137" s="52"/>
      <c r="DI137" s="52"/>
      <c r="DJ137" s="52"/>
      <c r="DK137" s="52"/>
      <c r="DL137" s="52"/>
      <c r="DM137" s="52"/>
      <c r="DN137" s="52"/>
      <c r="DO137" s="52"/>
      <c r="DP137" s="52"/>
      <c r="DQ137" s="52"/>
      <c r="DR137" s="52"/>
      <c r="DS137" s="52"/>
      <c r="DT137" s="52"/>
      <c r="DU137" s="52"/>
      <c r="DV137" s="52"/>
      <c r="DW137" s="52"/>
    </row>
    <row r="138">
      <c r="A138" s="23" t="s">
        <v>64</v>
      </c>
      <c r="B138" s="23" t="s">
        <v>56</v>
      </c>
      <c r="C138" s="31" t="s">
        <v>409</v>
      </c>
      <c r="D138" s="25" t="str">
        <f>IFERROR(__xludf.DUMMYFUNCTION("SPLIT(C138,"" "")"),"Beucler,")</f>
        <v>Beucler,</v>
      </c>
      <c r="E138" s="22" t="str">
        <f>IFERROR(__xludf.DUMMYFUNCTION("""COMPUTED_VALUE"""),"Reid
6060")</f>
        <v>Reid
6060</v>
      </c>
      <c r="F138" s="22" t="str">
        <f>IFERROR(__xludf.DUMMYFUNCTION("""COMPUTED_VALUE"""),"N.")</f>
        <v>N.</v>
      </c>
      <c r="G138" s="22" t="str">
        <f>IFERROR(__xludf.DUMMYFUNCTION("""COMPUTED_VALUE"""),"Central")</f>
        <v>Central</v>
      </c>
      <c r="H138" s="22" t="str">
        <f>IFERROR(__xludf.DUMMYFUNCTION("""COMPUTED_VALUE"""),"Expwy.
Dallas,")</f>
        <v>Expwy.
Dallas,</v>
      </c>
      <c r="I138" s="22" t="str">
        <f>IFERROR(__xludf.DUMMYFUNCTION("""COMPUTED_VALUE"""),"TX")</f>
        <v>TX</v>
      </c>
      <c r="J138" s="22">
        <f>IFERROR(__xludf.DUMMYFUNCTION("""COMPUTED_VALUE"""),75206.0)</f>
        <v>75206</v>
      </c>
      <c r="K138" s="22"/>
      <c r="L138" s="22"/>
      <c r="M138" s="22"/>
      <c r="N138" s="22"/>
      <c r="O138" s="22"/>
      <c r="P138" s="22"/>
      <c r="Q138" s="22"/>
      <c r="R138" s="22"/>
      <c r="S138" s="22"/>
      <c r="T138" s="22"/>
      <c r="U138" s="24" t="str">
        <f>IFERROR(__xludf.DUMMYFUNCTION("SPLIT(E138,""01234567890"")"),"Reid
")</f>
        <v>Reid
</v>
      </c>
      <c r="V138" s="24" t="str">
        <f>IFERROR(__xludf.DUMMYFUNCTION("SPLIT(D138,"","")"),"Beucler")</f>
        <v>Beucler</v>
      </c>
      <c r="W138" s="25" t="str">
        <f t="shared" si="1"/>
        <v>REID
 BEUCLER</v>
      </c>
      <c r="X138" s="25" t="s">
        <v>410</v>
      </c>
      <c r="Y138" s="25">
        <v>75206.0</v>
      </c>
      <c r="Z138" s="25" t="str">
        <f>IFERROR(__xludf.DUMMYFUNCTION("SPLIT(C138,""
"")"),"Beucler, Reid")</f>
        <v>Beucler, Reid</v>
      </c>
      <c r="AA138" s="25" t="str">
        <f>IFERROR(__xludf.DUMMYFUNCTION("""COMPUTED_VALUE"""),"6060 N. Central Expwy.")</f>
        <v>6060 N. Central Expwy.</v>
      </c>
      <c r="AB138" s="25" t="str">
        <f>IFERROR(__xludf.DUMMYFUNCTION("""COMPUTED_VALUE"""),"Dallas, TX 75206")</f>
        <v>Dallas, TX 75206</v>
      </c>
      <c r="AC138" s="24" t="s">
        <v>408</v>
      </c>
      <c r="AD138" s="25"/>
      <c r="AE138" s="25"/>
      <c r="AF138" s="25"/>
      <c r="AG138" s="22" t="s">
        <v>60</v>
      </c>
      <c r="AH138" s="54">
        <v>2441.0</v>
      </c>
      <c r="AI138" s="22" t="s">
        <v>61</v>
      </c>
      <c r="AJ138" s="27">
        <v>950.0</v>
      </c>
      <c r="AK138" s="31" t="s">
        <v>21</v>
      </c>
      <c r="AL138" s="28">
        <v>44692.0</v>
      </c>
      <c r="AM138" s="29">
        <v>44756.4640625</v>
      </c>
      <c r="AN138" s="30">
        <v>2.0</v>
      </c>
      <c r="AO138" s="22"/>
      <c r="AP138" s="22"/>
      <c r="AQ138" s="22"/>
      <c r="AR138" s="22"/>
      <c r="AS138" s="31">
        <f>IFERROR(__xludf.DUMMYFUNCTION("""COMPUTED_VALUE"""),27612.0)</f>
        <v>27612</v>
      </c>
      <c r="AT138" s="45">
        <f t="shared" si="6"/>
        <v>60</v>
      </c>
      <c r="AU138" s="22"/>
      <c r="AV138" s="57" t="str">
        <f>IFERROR(__xludf.DUMMYFUNCTION("""COMPUTED_VALUE"""),"Zimmerman")</f>
        <v>Zimmerman</v>
      </c>
      <c r="AW138" s="46">
        <f t="shared" si="7"/>
        <v>47</v>
      </c>
      <c r="AX138" s="47">
        <f t="shared" ref="AX138:BQ138" si="524">SUMIFS($AJ:$AJ,$V:$V,$AV138,$AK:$AK,AX$2)</f>
        <v>47</v>
      </c>
      <c r="AY138" s="48">
        <f t="shared" si="524"/>
        <v>0</v>
      </c>
      <c r="AZ138" s="48">
        <f t="shared" si="524"/>
        <v>0</v>
      </c>
      <c r="BA138" s="48">
        <f t="shared" si="524"/>
        <v>0</v>
      </c>
      <c r="BB138" s="48">
        <f t="shared" si="524"/>
        <v>0</v>
      </c>
      <c r="BC138" s="48">
        <f t="shared" si="524"/>
        <v>0</v>
      </c>
      <c r="BD138" s="48">
        <f t="shared" si="524"/>
        <v>0</v>
      </c>
      <c r="BE138" s="48">
        <f t="shared" si="524"/>
        <v>0</v>
      </c>
      <c r="BF138" s="48">
        <f t="shared" si="524"/>
        <v>0</v>
      </c>
      <c r="BG138" s="48">
        <f t="shared" si="524"/>
        <v>0</v>
      </c>
      <c r="BH138" s="48">
        <f t="shared" si="524"/>
        <v>0</v>
      </c>
      <c r="BI138" s="48">
        <f t="shared" si="524"/>
        <v>0</v>
      </c>
      <c r="BJ138" s="48">
        <f t="shared" si="524"/>
        <v>0</v>
      </c>
      <c r="BK138" s="48">
        <f t="shared" si="524"/>
        <v>0</v>
      </c>
      <c r="BL138" s="48">
        <f t="shared" si="524"/>
        <v>0</v>
      </c>
      <c r="BM138" s="48">
        <f t="shared" si="524"/>
        <v>0</v>
      </c>
      <c r="BN138" s="48">
        <f t="shared" si="524"/>
        <v>0</v>
      </c>
      <c r="BO138" s="48">
        <f t="shared" si="524"/>
        <v>0</v>
      </c>
      <c r="BP138" s="48">
        <f t="shared" si="524"/>
        <v>0</v>
      </c>
      <c r="BQ138" s="48">
        <f t="shared" si="524"/>
        <v>0</v>
      </c>
      <c r="BR138" s="36">
        <f t="shared" si="9"/>
        <v>0</v>
      </c>
      <c r="BS138" s="38">
        <f t="shared" si="10"/>
        <v>1</v>
      </c>
      <c r="BT138" s="49">
        <f t="shared" si="11"/>
        <v>0</v>
      </c>
      <c r="BU138" s="38">
        <f t="shared" si="12"/>
        <v>1000</v>
      </c>
      <c r="BV138" s="57" t="str">
        <f>IFERROR(__xludf.DUMMYFUNCTION("""COMPUTED_VALUE"""),"Zimmerman")</f>
        <v>Zimmerman</v>
      </c>
      <c r="BW138" s="46">
        <f t="shared" si="13"/>
        <v>47</v>
      </c>
      <c r="BX138" s="47">
        <f t="shared" ref="BX138:CA138" si="525">AX138-$BU138</f>
        <v>-953</v>
      </c>
      <c r="BY138" s="47">
        <f t="shared" si="525"/>
        <v>-1000</v>
      </c>
      <c r="BZ138" s="47">
        <f t="shared" si="525"/>
        <v>-1000</v>
      </c>
      <c r="CA138" s="47">
        <f t="shared" si="525"/>
        <v>-1000</v>
      </c>
      <c r="CB138" s="47">
        <f t="shared" si="15"/>
        <v>-10000</v>
      </c>
      <c r="CC138" s="47">
        <f t="shared" ref="CC138:CQ138" si="526">BC138-$BU138</f>
        <v>-1000</v>
      </c>
      <c r="CD138" s="47">
        <f t="shared" si="526"/>
        <v>-1000</v>
      </c>
      <c r="CE138" s="47">
        <f t="shared" si="526"/>
        <v>-1000</v>
      </c>
      <c r="CF138" s="47">
        <f t="shared" si="526"/>
        <v>-1000</v>
      </c>
      <c r="CG138" s="47">
        <f t="shared" si="526"/>
        <v>-1000</v>
      </c>
      <c r="CH138" s="47">
        <f t="shared" si="526"/>
        <v>-1000</v>
      </c>
      <c r="CI138" s="47">
        <f t="shared" si="526"/>
        <v>-1000</v>
      </c>
      <c r="CJ138" s="47">
        <f t="shared" si="526"/>
        <v>-1000</v>
      </c>
      <c r="CK138" s="47">
        <f t="shared" si="526"/>
        <v>-1000</v>
      </c>
      <c r="CL138" s="47">
        <f t="shared" si="526"/>
        <v>-1000</v>
      </c>
      <c r="CM138" s="47">
        <f t="shared" si="526"/>
        <v>-1000</v>
      </c>
      <c r="CN138" s="47">
        <f t="shared" si="526"/>
        <v>-1000</v>
      </c>
      <c r="CO138" s="47">
        <f t="shared" si="526"/>
        <v>-1000</v>
      </c>
      <c r="CP138" s="47">
        <f t="shared" si="526"/>
        <v>-1000</v>
      </c>
      <c r="CQ138" s="47">
        <f t="shared" si="526"/>
        <v>-1000</v>
      </c>
      <c r="CR138" s="47"/>
      <c r="CS138" s="47"/>
      <c r="CT138" s="47"/>
      <c r="CU138" s="50" t="str">
        <f>IFERROR(__xludf.DUMMYFUNCTION("""COMPUTED_VALUE"""),"751 Kessler Lake Dr
Dallas, TX 75208         ")</f>
        <v>751 Kessler Lake Dr
Dallas, TX 75208         </v>
      </c>
      <c r="CV138" s="51">
        <f>IFERROR(__xludf.DUMMYFUNCTION("IF(REGEXMATCH(UPPER(CU138), ""TX""),0,1)"),0.0)</f>
        <v>0</v>
      </c>
      <c r="CW138" s="51">
        <f>IFERROR(__xludf.DUMMYFUNCTION("IF(REGEXMATCH(UPPER(CU138), ""DALLAS""),0,1)"),0.0)</f>
        <v>0</v>
      </c>
      <c r="CX138" s="51">
        <f t="shared" si="17"/>
        <v>0</v>
      </c>
      <c r="CY138" s="51">
        <f t="shared" si="18"/>
        <v>0</v>
      </c>
      <c r="CZ138" s="52" t="str">
        <f t="shared" si="19"/>
        <v/>
      </c>
      <c r="DA138" s="58"/>
      <c r="DB138" s="52"/>
      <c r="DC138" s="52"/>
      <c r="DD138" s="52"/>
      <c r="DE138" s="52"/>
      <c r="DF138" s="52"/>
      <c r="DG138" s="52"/>
      <c r="DH138" s="52"/>
      <c r="DI138" s="52"/>
      <c r="DJ138" s="52"/>
      <c r="DK138" s="52"/>
      <c r="DL138" s="52"/>
      <c r="DM138" s="52"/>
      <c r="DN138" s="52"/>
      <c r="DO138" s="52"/>
      <c r="DP138" s="52"/>
      <c r="DQ138" s="52"/>
      <c r="DR138" s="52"/>
      <c r="DS138" s="52"/>
      <c r="DT138" s="52"/>
      <c r="DU138" s="52"/>
      <c r="DV138" s="52"/>
      <c r="DW138" s="52"/>
    </row>
    <row r="139">
      <c r="A139" s="41" t="s">
        <v>64</v>
      </c>
      <c r="B139" s="41" t="s">
        <v>56</v>
      </c>
      <c r="C139" s="31" t="s">
        <v>411</v>
      </c>
      <c r="D139" s="25" t="str">
        <f>IFERROR(__xludf.DUMMYFUNCTION("SPLIT(C139,"" "")"),"Bhatt,")</f>
        <v>Bhatt,</v>
      </c>
      <c r="E139" s="40" t="str">
        <f>IFERROR(__xludf.DUMMYFUNCTION("""COMPUTED_VALUE"""),"Rohan
5932")</f>
        <v>Rohan
5932</v>
      </c>
      <c r="F139" s="40" t="str">
        <f>IFERROR(__xludf.DUMMYFUNCTION("""COMPUTED_VALUE"""),"Rosebud")</f>
        <v>Rosebud</v>
      </c>
      <c r="G139" s="40" t="str">
        <f>IFERROR(__xludf.DUMMYFUNCTION("""COMPUTED_VALUE"""),"Dr.
Dallas,")</f>
        <v>Dr.
Dallas,</v>
      </c>
      <c r="H139" s="40" t="str">
        <f>IFERROR(__xludf.DUMMYFUNCTION("""COMPUTED_VALUE"""),"TX")</f>
        <v>TX</v>
      </c>
      <c r="I139" s="40">
        <f>IFERROR(__xludf.DUMMYFUNCTION("""COMPUTED_VALUE"""),75252.0)</f>
        <v>75252</v>
      </c>
      <c r="J139" s="40"/>
      <c r="K139" s="40"/>
      <c r="L139" s="40"/>
      <c r="M139" s="40"/>
      <c r="N139" s="40"/>
      <c r="O139" s="40"/>
      <c r="P139" s="40"/>
      <c r="Q139" s="40"/>
      <c r="R139" s="40"/>
      <c r="S139" s="40"/>
      <c r="T139" s="40"/>
      <c r="U139" s="24" t="str">
        <f>IFERROR(__xludf.DUMMYFUNCTION("SPLIT(E139,""01234567890"")"),"Rohan
")</f>
        <v>Rohan
</v>
      </c>
      <c r="V139" s="24" t="str">
        <f>IFERROR(__xludf.DUMMYFUNCTION("SPLIT(D139,"","")"),"Bhatt")</f>
        <v>Bhatt</v>
      </c>
      <c r="W139" s="25" t="str">
        <f t="shared" si="1"/>
        <v>ROHAN
 BHATT</v>
      </c>
      <c r="X139" s="25" t="s">
        <v>412</v>
      </c>
      <c r="Y139" s="25">
        <v>75252.0</v>
      </c>
      <c r="Z139" s="25" t="str">
        <f>IFERROR(__xludf.DUMMYFUNCTION("SPLIT(C139,""
"")"),"Bhatt, Rohan")</f>
        <v>Bhatt, Rohan</v>
      </c>
      <c r="AA139" s="25" t="str">
        <f>IFERROR(__xludf.DUMMYFUNCTION("""COMPUTED_VALUE"""),"5932 Rosebud Dr.")</f>
        <v>5932 Rosebud Dr.</v>
      </c>
      <c r="AB139" s="25" t="str">
        <f>IFERROR(__xludf.DUMMYFUNCTION("""COMPUTED_VALUE"""),"Dallas, TX 75252")</f>
        <v>Dallas, TX 75252</v>
      </c>
      <c r="AC139" s="24" t="s">
        <v>413</v>
      </c>
      <c r="AD139" s="25"/>
      <c r="AE139" s="25"/>
      <c r="AF139" s="25"/>
      <c r="AG139" s="40" t="s">
        <v>60</v>
      </c>
      <c r="AH139" s="42">
        <v>2501.0</v>
      </c>
      <c r="AI139" s="40" t="s">
        <v>68</v>
      </c>
      <c r="AJ139" s="27">
        <v>1000.0</v>
      </c>
      <c r="AK139" s="31" t="s">
        <v>21</v>
      </c>
      <c r="AL139" s="43">
        <v>44925.0</v>
      </c>
      <c r="AM139" s="44">
        <v>44943.63122685185</v>
      </c>
      <c r="AN139" s="30">
        <v>2.0</v>
      </c>
      <c r="AO139" s="40"/>
      <c r="AP139" s="40"/>
      <c r="AQ139" s="40"/>
      <c r="AR139" s="40"/>
      <c r="AS139" s="31">
        <f>IFERROR(__xludf.DUMMYFUNCTION("""COMPUTED_VALUE"""),78760.0)</f>
        <v>78760</v>
      </c>
      <c r="AT139" s="45">
        <f t="shared" si="6"/>
        <v>1000</v>
      </c>
      <c r="AU139" s="40"/>
      <c r="AV139" s="46" t="str">
        <f>IFERROR(__xludf.DUMMYFUNCTION("""COMPUTED_VALUE"""),"Johnslon")</f>
        <v>Johnslon</v>
      </c>
      <c r="AW139" s="46">
        <f t="shared" si="7"/>
        <v>500</v>
      </c>
      <c r="AX139" s="47">
        <f t="shared" ref="AX139:BQ139" si="527">SUMIFS($AJ:$AJ,$V:$V,$AV139,$AK:$AK,AX$2)</f>
        <v>500</v>
      </c>
      <c r="AY139" s="48">
        <f t="shared" si="527"/>
        <v>0</v>
      </c>
      <c r="AZ139" s="48">
        <f t="shared" si="527"/>
        <v>0</v>
      </c>
      <c r="BA139" s="48">
        <f t="shared" si="527"/>
        <v>0</v>
      </c>
      <c r="BB139" s="48">
        <f t="shared" si="527"/>
        <v>0</v>
      </c>
      <c r="BC139" s="48">
        <f t="shared" si="527"/>
        <v>0</v>
      </c>
      <c r="BD139" s="48">
        <f t="shared" si="527"/>
        <v>0</v>
      </c>
      <c r="BE139" s="48">
        <f t="shared" si="527"/>
        <v>0</v>
      </c>
      <c r="BF139" s="48">
        <f t="shared" si="527"/>
        <v>0</v>
      </c>
      <c r="BG139" s="48">
        <f t="shared" si="527"/>
        <v>0</v>
      </c>
      <c r="BH139" s="48">
        <f t="shared" si="527"/>
        <v>0</v>
      </c>
      <c r="BI139" s="48">
        <f t="shared" si="527"/>
        <v>0</v>
      </c>
      <c r="BJ139" s="48">
        <f t="shared" si="527"/>
        <v>0</v>
      </c>
      <c r="BK139" s="48">
        <f t="shared" si="527"/>
        <v>0</v>
      </c>
      <c r="BL139" s="48">
        <f t="shared" si="527"/>
        <v>0</v>
      </c>
      <c r="BM139" s="48">
        <f t="shared" si="527"/>
        <v>0</v>
      </c>
      <c r="BN139" s="48">
        <f t="shared" si="527"/>
        <v>0</v>
      </c>
      <c r="BO139" s="48">
        <f t="shared" si="527"/>
        <v>0</v>
      </c>
      <c r="BP139" s="48">
        <f t="shared" si="527"/>
        <v>0</v>
      </c>
      <c r="BQ139" s="48">
        <f t="shared" si="527"/>
        <v>0</v>
      </c>
      <c r="BR139" s="36">
        <f t="shared" si="9"/>
        <v>0</v>
      </c>
      <c r="BS139" s="38">
        <f t="shared" si="10"/>
        <v>1</v>
      </c>
      <c r="BT139" s="49">
        <f t="shared" si="11"/>
        <v>0</v>
      </c>
      <c r="BU139" s="38">
        <f t="shared" si="12"/>
        <v>1000</v>
      </c>
      <c r="BV139" s="46" t="str">
        <f>IFERROR(__xludf.DUMMYFUNCTION("""COMPUTED_VALUE"""),"Johnslon")</f>
        <v>Johnslon</v>
      </c>
      <c r="BW139" s="46">
        <f t="shared" si="13"/>
        <v>500</v>
      </c>
      <c r="BX139" s="47">
        <f t="shared" ref="BX139:CA139" si="528">AX139-$BU139</f>
        <v>-500</v>
      </c>
      <c r="BY139" s="47">
        <f t="shared" si="528"/>
        <v>-1000</v>
      </c>
      <c r="BZ139" s="47">
        <f t="shared" si="528"/>
        <v>-1000</v>
      </c>
      <c r="CA139" s="47">
        <f t="shared" si="528"/>
        <v>-1000</v>
      </c>
      <c r="CB139" s="47">
        <f t="shared" si="15"/>
        <v>-10000</v>
      </c>
      <c r="CC139" s="47">
        <f t="shared" ref="CC139:CQ139" si="529">BC139-$BU139</f>
        <v>-1000</v>
      </c>
      <c r="CD139" s="47">
        <f t="shared" si="529"/>
        <v>-1000</v>
      </c>
      <c r="CE139" s="47">
        <f t="shared" si="529"/>
        <v>-1000</v>
      </c>
      <c r="CF139" s="47">
        <f t="shared" si="529"/>
        <v>-1000</v>
      </c>
      <c r="CG139" s="47">
        <f t="shared" si="529"/>
        <v>-1000</v>
      </c>
      <c r="CH139" s="47">
        <f t="shared" si="529"/>
        <v>-1000</v>
      </c>
      <c r="CI139" s="47">
        <f t="shared" si="529"/>
        <v>-1000</v>
      </c>
      <c r="CJ139" s="47">
        <f t="shared" si="529"/>
        <v>-1000</v>
      </c>
      <c r="CK139" s="47">
        <f t="shared" si="529"/>
        <v>-1000</v>
      </c>
      <c r="CL139" s="47">
        <f t="shared" si="529"/>
        <v>-1000</v>
      </c>
      <c r="CM139" s="47">
        <f t="shared" si="529"/>
        <v>-1000</v>
      </c>
      <c r="CN139" s="47">
        <f t="shared" si="529"/>
        <v>-1000</v>
      </c>
      <c r="CO139" s="47">
        <f t="shared" si="529"/>
        <v>-1000</v>
      </c>
      <c r="CP139" s="47">
        <f t="shared" si="529"/>
        <v>-1000</v>
      </c>
      <c r="CQ139" s="47">
        <f t="shared" si="529"/>
        <v>-1000</v>
      </c>
      <c r="CR139" s="47"/>
      <c r="CS139" s="47"/>
      <c r="CT139" s="47"/>
      <c r="CU139" s="50" t="str">
        <f>IFERROR(__xludf.DUMMYFUNCTION("""COMPUTED_VALUE"""),"2010 Autumn Meadow Trail
Dallas, TX 75232-3704         ")</f>
        <v>2010 Autumn Meadow Trail
Dallas, TX 75232-3704         </v>
      </c>
      <c r="CV139" s="51">
        <f>IFERROR(__xludf.DUMMYFUNCTION("IF(REGEXMATCH(UPPER(CU139), ""TX""),0,1)"),0.0)</f>
        <v>0</v>
      </c>
      <c r="CW139" s="51">
        <f>IFERROR(__xludf.DUMMYFUNCTION("IF(REGEXMATCH(UPPER(CU139), ""DALLAS""),0,1)"),0.0)</f>
        <v>0</v>
      </c>
      <c r="CX139" s="51">
        <f t="shared" si="17"/>
        <v>0</v>
      </c>
      <c r="CY139" s="51">
        <f t="shared" si="18"/>
        <v>0</v>
      </c>
      <c r="CZ139" s="52" t="str">
        <f t="shared" si="19"/>
        <v/>
      </c>
      <c r="DA139" s="58"/>
      <c r="DB139" s="52"/>
      <c r="DC139" s="52"/>
      <c r="DD139" s="52"/>
      <c r="DE139" s="52"/>
      <c r="DF139" s="52"/>
      <c r="DG139" s="52"/>
      <c r="DH139" s="52"/>
      <c r="DI139" s="52"/>
      <c r="DJ139" s="52"/>
      <c r="DK139" s="52"/>
      <c r="DL139" s="52"/>
      <c r="DM139" s="52"/>
      <c r="DN139" s="52"/>
      <c r="DO139" s="52"/>
      <c r="DP139" s="52"/>
      <c r="DQ139" s="52"/>
      <c r="DR139" s="52"/>
      <c r="DS139" s="52"/>
      <c r="DT139" s="52"/>
      <c r="DU139" s="52"/>
      <c r="DV139" s="52"/>
      <c r="DW139" s="52"/>
    </row>
    <row r="140">
      <c r="A140" s="23" t="s">
        <v>64</v>
      </c>
      <c r="B140" s="23" t="s">
        <v>56</v>
      </c>
      <c r="C140" s="31" t="s">
        <v>414</v>
      </c>
      <c r="D140" s="25" t="str">
        <f>IFERROR(__xludf.DUMMYFUNCTION("SPLIT(C140,"" "")"),"Bibcom,")</f>
        <v>Bibcom,</v>
      </c>
      <c r="E140" s="22" t="str">
        <f>IFERROR(__xludf.DUMMYFUNCTION("""COMPUTED_VALUE"""),"Jody
12201")</f>
        <v>Jody
12201</v>
      </c>
      <c r="F140" s="22" t="str">
        <f>IFERROR(__xludf.DUMMYFUNCTION("""COMPUTED_VALUE"""),"Wightman
Dallas,")</f>
        <v>Wightman
Dallas,</v>
      </c>
      <c r="G140" s="22" t="str">
        <f>IFERROR(__xludf.DUMMYFUNCTION("""COMPUTED_VALUE"""),"TX")</f>
        <v>TX</v>
      </c>
      <c r="H140" s="22">
        <f>IFERROR(__xludf.DUMMYFUNCTION("""COMPUTED_VALUE"""),75243.0)</f>
        <v>75243</v>
      </c>
      <c r="I140" s="22"/>
      <c r="J140" s="22"/>
      <c r="K140" s="22"/>
      <c r="L140" s="22"/>
      <c r="M140" s="22"/>
      <c r="N140" s="22"/>
      <c r="O140" s="22"/>
      <c r="P140" s="22"/>
      <c r="Q140" s="22"/>
      <c r="R140" s="22"/>
      <c r="S140" s="22"/>
      <c r="T140" s="22"/>
      <c r="U140" s="24" t="str">
        <f>IFERROR(__xludf.DUMMYFUNCTION("SPLIT(E140,""01234567890"")"),"Jody
")</f>
        <v>Jody
</v>
      </c>
      <c r="V140" s="24" t="str">
        <f>IFERROR(__xludf.DUMMYFUNCTION("SPLIT(D140,"","")"),"Bibcom")</f>
        <v>Bibcom</v>
      </c>
      <c r="W140" s="25" t="str">
        <f t="shared" si="1"/>
        <v>JODY
 BIBCOM</v>
      </c>
      <c r="X140" s="25" t="s">
        <v>415</v>
      </c>
      <c r="Y140" s="25">
        <v>75243.0</v>
      </c>
      <c r="Z140" s="25" t="str">
        <f>IFERROR(__xludf.DUMMYFUNCTION("SPLIT(C140,""
"")"),"Bibcom, Jody")</f>
        <v>Bibcom, Jody</v>
      </c>
      <c r="AA140" s="25" t="str">
        <f>IFERROR(__xludf.DUMMYFUNCTION("""COMPUTED_VALUE"""),"12201 Wightman")</f>
        <v>12201 Wightman</v>
      </c>
      <c r="AB140" s="25" t="str">
        <f>IFERROR(__xludf.DUMMYFUNCTION("""COMPUTED_VALUE"""),"Dallas, TX 75243")</f>
        <v>Dallas, TX 75243</v>
      </c>
      <c r="AC140" s="24" t="s">
        <v>416</v>
      </c>
      <c r="AD140" s="25"/>
      <c r="AE140" s="25"/>
      <c r="AF140" s="25"/>
      <c r="AG140" s="22" t="s">
        <v>60</v>
      </c>
      <c r="AH140" s="54">
        <v>2440.0</v>
      </c>
      <c r="AI140" s="22" t="s">
        <v>61</v>
      </c>
      <c r="AJ140" s="27">
        <v>100.0</v>
      </c>
      <c r="AK140" s="31" t="s">
        <v>35</v>
      </c>
      <c r="AL140" s="28">
        <v>44707.0</v>
      </c>
      <c r="AM140" s="29">
        <v>44757.38489583333</v>
      </c>
      <c r="AN140" s="30">
        <v>2.0</v>
      </c>
      <c r="AO140" s="22"/>
      <c r="AP140" s="22"/>
      <c r="AQ140" s="22"/>
      <c r="AR140" s="22"/>
      <c r="AS140" s="31">
        <f>IFERROR(__xludf.DUMMYFUNCTION("""COMPUTED_VALUE"""),75009.0)</f>
        <v>75009</v>
      </c>
      <c r="AT140" s="45">
        <f t="shared" si="6"/>
        <v>100</v>
      </c>
      <c r="AU140" s="22"/>
      <c r="AV140" s="57" t="str">
        <f>IFERROR(__xludf.DUMMYFUNCTION("""COMPUTED_VALUE"""),"Parker")</f>
        <v>Parker</v>
      </c>
      <c r="AW140" s="46">
        <f t="shared" si="7"/>
        <v>600</v>
      </c>
      <c r="AX140" s="47">
        <f t="shared" ref="AX140:BQ140" si="530">SUMIFS($AJ:$AJ,$V:$V,$AV140,$AK:$AK,AX$2)</f>
        <v>500</v>
      </c>
      <c r="AY140" s="48">
        <f t="shared" si="530"/>
        <v>0</v>
      </c>
      <c r="AZ140" s="48">
        <f t="shared" si="530"/>
        <v>0</v>
      </c>
      <c r="BA140" s="48">
        <f t="shared" si="530"/>
        <v>0</v>
      </c>
      <c r="BB140" s="48">
        <f t="shared" si="530"/>
        <v>100</v>
      </c>
      <c r="BC140" s="48">
        <f t="shared" si="530"/>
        <v>0</v>
      </c>
      <c r="BD140" s="48">
        <f t="shared" si="530"/>
        <v>0</v>
      </c>
      <c r="BE140" s="48">
        <f t="shared" si="530"/>
        <v>0</v>
      </c>
      <c r="BF140" s="48">
        <f t="shared" si="530"/>
        <v>0</v>
      </c>
      <c r="BG140" s="48">
        <f t="shared" si="530"/>
        <v>0</v>
      </c>
      <c r="BH140" s="48">
        <f t="shared" si="530"/>
        <v>0</v>
      </c>
      <c r="BI140" s="48">
        <f t="shared" si="530"/>
        <v>0</v>
      </c>
      <c r="BJ140" s="48">
        <f t="shared" si="530"/>
        <v>0</v>
      </c>
      <c r="BK140" s="48">
        <f t="shared" si="530"/>
        <v>0</v>
      </c>
      <c r="BL140" s="48">
        <f t="shared" si="530"/>
        <v>0</v>
      </c>
      <c r="BM140" s="48">
        <f t="shared" si="530"/>
        <v>0</v>
      </c>
      <c r="BN140" s="48">
        <f t="shared" si="530"/>
        <v>0</v>
      </c>
      <c r="BO140" s="48">
        <f t="shared" si="530"/>
        <v>0</v>
      </c>
      <c r="BP140" s="48">
        <f t="shared" si="530"/>
        <v>0</v>
      </c>
      <c r="BQ140" s="48">
        <f t="shared" si="530"/>
        <v>0</v>
      </c>
      <c r="BR140" s="36">
        <f t="shared" si="9"/>
        <v>1</v>
      </c>
      <c r="BS140" s="38">
        <f t="shared" si="10"/>
        <v>2</v>
      </c>
      <c r="BT140" s="49">
        <f t="shared" si="11"/>
        <v>0</v>
      </c>
      <c r="BU140" s="38">
        <f t="shared" si="12"/>
        <v>2000</v>
      </c>
      <c r="BV140" s="57" t="str">
        <f>IFERROR(__xludf.DUMMYFUNCTION("""COMPUTED_VALUE"""),"Parker")</f>
        <v>Parker</v>
      </c>
      <c r="BW140" s="46">
        <f t="shared" si="13"/>
        <v>600</v>
      </c>
      <c r="BX140" s="47">
        <f t="shared" ref="BX140:CA140" si="531">AX140-$BU140</f>
        <v>-1500</v>
      </c>
      <c r="BY140" s="47">
        <f t="shared" si="531"/>
        <v>-2000</v>
      </c>
      <c r="BZ140" s="47">
        <f t="shared" si="531"/>
        <v>-2000</v>
      </c>
      <c r="CA140" s="47">
        <f t="shared" si="531"/>
        <v>-2000</v>
      </c>
      <c r="CB140" s="47">
        <f t="shared" si="15"/>
        <v>-19900</v>
      </c>
      <c r="CC140" s="47">
        <f t="shared" ref="CC140:CQ140" si="532">BC140-$BU140</f>
        <v>-2000</v>
      </c>
      <c r="CD140" s="47">
        <f t="shared" si="532"/>
        <v>-2000</v>
      </c>
      <c r="CE140" s="47">
        <f t="shared" si="532"/>
        <v>-2000</v>
      </c>
      <c r="CF140" s="47">
        <f t="shared" si="532"/>
        <v>-2000</v>
      </c>
      <c r="CG140" s="47">
        <f t="shared" si="532"/>
        <v>-2000</v>
      </c>
      <c r="CH140" s="47">
        <f t="shared" si="532"/>
        <v>-2000</v>
      </c>
      <c r="CI140" s="47">
        <f t="shared" si="532"/>
        <v>-2000</v>
      </c>
      <c r="CJ140" s="47">
        <f t="shared" si="532"/>
        <v>-2000</v>
      </c>
      <c r="CK140" s="47">
        <f t="shared" si="532"/>
        <v>-2000</v>
      </c>
      <c r="CL140" s="47">
        <f t="shared" si="532"/>
        <v>-2000</v>
      </c>
      <c r="CM140" s="47">
        <f t="shared" si="532"/>
        <v>-2000</v>
      </c>
      <c r="CN140" s="47">
        <f t="shared" si="532"/>
        <v>-2000</v>
      </c>
      <c r="CO140" s="47">
        <f t="shared" si="532"/>
        <v>-2000</v>
      </c>
      <c r="CP140" s="47">
        <f t="shared" si="532"/>
        <v>-2000</v>
      </c>
      <c r="CQ140" s="47">
        <f t="shared" si="532"/>
        <v>-2000</v>
      </c>
      <c r="CR140" s="47"/>
      <c r="CS140" s="47"/>
      <c r="CT140" s="47"/>
      <c r="CU140" s="50" t="str">
        <f>IFERROR(__xludf.DUMMYFUNCTION("""COMPUTED_VALUE"""),"419 S Garrett Ave
Dallas, TX 75223         ")</f>
        <v>419 S Garrett Ave
Dallas, TX 75223         </v>
      </c>
      <c r="CV140" s="51">
        <f>IFERROR(__xludf.DUMMYFUNCTION("IF(REGEXMATCH(UPPER(CU140), ""TX""),0,1)"),0.0)</f>
        <v>0</v>
      </c>
      <c r="CW140" s="51">
        <f>IFERROR(__xludf.DUMMYFUNCTION("IF(REGEXMATCH(UPPER(CU140), ""DALLAS""),0,1)"),0.0)</f>
        <v>0</v>
      </c>
      <c r="CX140" s="51">
        <f t="shared" si="17"/>
        <v>0</v>
      </c>
      <c r="CY140" s="51">
        <f t="shared" si="18"/>
        <v>0</v>
      </c>
      <c r="CZ140" s="52" t="str">
        <f t="shared" si="19"/>
        <v/>
      </c>
      <c r="DA140" s="58"/>
      <c r="DB140" s="52"/>
      <c r="DC140" s="52"/>
      <c r="DD140" s="52"/>
      <c r="DE140" s="52"/>
      <c r="DF140" s="52"/>
      <c r="DG140" s="52"/>
      <c r="DH140" s="52"/>
      <c r="DI140" s="52"/>
      <c r="DJ140" s="52"/>
      <c r="DK140" s="52"/>
      <c r="DL140" s="52"/>
      <c r="DM140" s="52"/>
      <c r="DN140" s="52"/>
      <c r="DO140" s="52"/>
      <c r="DP140" s="52"/>
      <c r="DQ140" s="52"/>
      <c r="DR140" s="52"/>
      <c r="DS140" s="52"/>
      <c r="DT140" s="52"/>
      <c r="DU140" s="52"/>
      <c r="DV140" s="52"/>
      <c r="DW140" s="52"/>
    </row>
    <row r="141">
      <c r="A141" s="40" t="s">
        <v>55</v>
      </c>
      <c r="B141" s="41" t="s">
        <v>56</v>
      </c>
      <c r="C141" s="31" t="s">
        <v>417</v>
      </c>
      <c r="D141" s="25" t="str">
        <f>IFERROR(__xludf.DUMMYFUNCTION("SPLIT(C141,"" "")"),"BILLINGSLEY,")</f>
        <v>BILLINGSLEY,</v>
      </c>
      <c r="E141" s="40" t="str">
        <f>IFERROR(__xludf.DUMMYFUNCTION("""COMPUTED_VALUE"""),"HENRY
1722")</f>
        <v>HENRY
1722</v>
      </c>
      <c r="F141" s="40" t="str">
        <f>IFERROR(__xludf.DUMMYFUNCTION("""COMPUTED_VALUE"""),"ROUTH")</f>
        <v>ROUTH</v>
      </c>
      <c r="G141" s="40" t="str">
        <f>IFERROR(__xludf.DUMMYFUNCTION("""COMPUTED_VALUE"""),"ST
DALLAS,")</f>
        <v>ST
DALLAS,</v>
      </c>
      <c r="H141" s="40" t="str">
        <f>IFERROR(__xludf.DUMMYFUNCTION("""COMPUTED_VALUE"""),"TX")</f>
        <v>TX</v>
      </c>
      <c r="I141" s="40">
        <f>IFERROR(__xludf.DUMMYFUNCTION("""COMPUTED_VALUE"""),75201.0)</f>
        <v>75201</v>
      </c>
      <c r="J141" s="40"/>
      <c r="K141" s="40"/>
      <c r="L141" s="40"/>
      <c r="M141" s="40"/>
      <c r="N141" s="40"/>
      <c r="O141" s="40"/>
      <c r="P141" s="40"/>
      <c r="Q141" s="40"/>
      <c r="R141" s="40"/>
      <c r="S141" s="40"/>
      <c r="T141" s="40"/>
      <c r="U141" s="24" t="str">
        <f>IFERROR(__xludf.DUMMYFUNCTION("SPLIT(E141,""01234567890"")"),"HENRY
")</f>
        <v>HENRY
</v>
      </c>
      <c r="V141" s="24" t="str">
        <f>IFERROR(__xludf.DUMMYFUNCTION("SPLIT(D141,"","")"),"BILLINGSLEY")</f>
        <v>BILLINGSLEY</v>
      </c>
      <c r="W141" s="25" t="str">
        <f t="shared" si="1"/>
        <v>HENRY
 BILLINGSLEY</v>
      </c>
      <c r="X141" s="25" t="s">
        <v>418</v>
      </c>
      <c r="Y141" s="25">
        <v>75201.0</v>
      </c>
      <c r="Z141" s="25" t="str">
        <f>IFERROR(__xludf.DUMMYFUNCTION("SPLIT(C141,""
"")"),"BILLINGSLEY, HENRY")</f>
        <v>BILLINGSLEY, HENRY</v>
      </c>
      <c r="AA141" s="25" t="str">
        <f>IFERROR(__xludf.DUMMYFUNCTION("""COMPUTED_VALUE"""),"1722 ROUTH ST")</f>
        <v>1722 ROUTH ST</v>
      </c>
      <c r="AB141" s="25" t="str">
        <f>IFERROR(__xludf.DUMMYFUNCTION("""COMPUTED_VALUE"""),"DALLAS, TX 75201")</f>
        <v>DALLAS, TX 75201</v>
      </c>
      <c r="AC141" s="24" t="s">
        <v>419</v>
      </c>
      <c r="AD141" s="25"/>
      <c r="AE141" s="25"/>
      <c r="AF141" s="25"/>
      <c r="AG141" s="40" t="s">
        <v>60</v>
      </c>
      <c r="AH141" s="42">
        <v>2503.0</v>
      </c>
      <c r="AI141" s="40" t="s">
        <v>68</v>
      </c>
      <c r="AJ141" s="27">
        <v>1000.0</v>
      </c>
      <c r="AK141" s="31" t="s">
        <v>29</v>
      </c>
      <c r="AL141" s="43">
        <v>44901.0</v>
      </c>
      <c r="AM141" s="44">
        <v>44943.523877314816</v>
      </c>
      <c r="AN141" s="30">
        <v>2.0</v>
      </c>
      <c r="AO141" s="40"/>
      <c r="AP141" s="40"/>
      <c r="AQ141" s="40"/>
      <c r="AR141" s="40"/>
      <c r="AS141" s="31">
        <f>IFERROR(__xludf.DUMMYFUNCTION("""COMPUTED_VALUE"""),76225.0)</f>
        <v>76225</v>
      </c>
      <c r="AT141" s="45">
        <f t="shared" si="6"/>
        <v>1000</v>
      </c>
      <c r="AU141" s="40"/>
      <c r="AV141" s="46" t="str">
        <f>IFERROR(__xludf.DUMMYFUNCTION("""COMPUTED_VALUE"""),"Johnson")</f>
        <v>Johnson</v>
      </c>
      <c r="AW141" s="46">
        <f t="shared" si="7"/>
        <v>12950</v>
      </c>
      <c r="AX141" s="47">
        <f t="shared" ref="AX141:BQ141" si="533">SUMIFS($AJ:$AJ,$V:$V,$AV141,$AK:$AK,AX$2)</f>
        <v>1000</v>
      </c>
      <c r="AY141" s="48">
        <f t="shared" si="533"/>
        <v>0</v>
      </c>
      <c r="AZ141" s="48">
        <f t="shared" si="533"/>
        <v>250</v>
      </c>
      <c r="BA141" s="48">
        <f t="shared" si="533"/>
        <v>500</v>
      </c>
      <c r="BB141" s="48">
        <f t="shared" si="533"/>
        <v>7700</v>
      </c>
      <c r="BC141" s="48">
        <f t="shared" si="533"/>
        <v>0</v>
      </c>
      <c r="BD141" s="48">
        <f t="shared" si="533"/>
        <v>500</v>
      </c>
      <c r="BE141" s="48">
        <f t="shared" si="533"/>
        <v>1000</v>
      </c>
      <c r="BF141" s="48">
        <f t="shared" si="533"/>
        <v>1000</v>
      </c>
      <c r="BG141" s="48">
        <f t="shared" si="533"/>
        <v>500</v>
      </c>
      <c r="BH141" s="48">
        <f t="shared" si="533"/>
        <v>500</v>
      </c>
      <c r="BI141" s="48">
        <f t="shared" si="533"/>
        <v>0</v>
      </c>
      <c r="BJ141" s="48">
        <f t="shared" si="533"/>
        <v>0</v>
      </c>
      <c r="BK141" s="48">
        <f t="shared" si="533"/>
        <v>0</v>
      </c>
      <c r="BL141" s="48">
        <f t="shared" si="533"/>
        <v>0</v>
      </c>
      <c r="BM141" s="48">
        <f t="shared" si="533"/>
        <v>0</v>
      </c>
      <c r="BN141" s="48">
        <f t="shared" si="533"/>
        <v>0</v>
      </c>
      <c r="BO141" s="48">
        <f t="shared" si="533"/>
        <v>0</v>
      </c>
      <c r="BP141" s="48">
        <f t="shared" si="533"/>
        <v>0</v>
      </c>
      <c r="BQ141" s="48">
        <f t="shared" si="533"/>
        <v>0</v>
      </c>
      <c r="BR141" s="36">
        <f t="shared" si="9"/>
        <v>1</v>
      </c>
      <c r="BS141" s="38">
        <f t="shared" si="10"/>
        <v>6</v>
      </c>
      <c r="BT141" s="49">
        <f t="shared" si="11"/>
        <v>0</v>
      </c>
      <c r="BU141" s="38">
        <f t="shared" si="12"/>
        <v>6000</v>
      </c>
      <c r="BV141" s="46" t="str">
        <f>IFERROR(__xludf.DUMMYFUNCTION("""COMPUTED_VALUE"""),"Johnson")</f>
        <v>Johnson</v>
      </c>
      <c r="BW141" s="46">
        <f t="shared" si="13"/>
        <v>12950</v>
      </c>
      <c r="BX141" s="47">
        <f t="shared" ref="BX141:CA141" si="534">AX141-$BU141</f>
        <v>-5000</v>
      </c>
      <c r="BY141" s="47">
        <f t="shared" si="534"/>
        <v>-6000</v>
      </c>
      <c r="BZ141" s="47">
        <f t="shared" si="534"/>
        <v>-5750</v>
      </c>
      <c r="CA141" s="47">
        <f t="shared" si="534"/>
        <v>-5500</v>
      </c>
      <c r="CB141" s="47">
        <f t="shared" si="15"/>
        <v>-52300</v>
      </c>
      <c r="CC141" s="47">
        <f t="shared" ref="CC141:CQ141" si="535">BC141-$BU141</f>
        <v>-6000</v>
      </c>
      <c r="CD141" s="47">
        <f t="shared" si="535"/>
        <v>-5500</v>
      </c>
      <c r="CE141" s="47">
        <f t="shared" si="535"/>
        <v>-5000</v>
      </c>
      <c r="CF141" s="47">
        <f t="shared" si="535"/>
        <v>-5000</v>
      </c>
      <c r="CG141" s="47">
        <f t="shared" si="535"/>
        <v>-5500</v>
      </c>
      <c r="CH141" s="47">
        <f t="shared" si="535"/>
        <v>-5500</v>
      </c>
      <c r="CI141" s="47">
        <f t="shared" si="535"/>
        <v>-6000</v>
      </c>
      <c r="CJ141" s="47">
        <f t="shared" si="535"/>
        <v>-6000</v>
      </c>
      <c r="CK141" s="47">
        <f t="shared" si="535"/>
        <v>-6000</v>
      </c>
      <c r="CL141" s="47">
        <f t="shared" si="535"/>
        <v>-6000</v>
      </c>
      <c r="CM141" s="47">
        <f t="shared" si="535"/>
        <v>-6000</v>
      </c>
      <c r="CN141" s="47">
        <f t="shared" si="535"/>
        <v>-6000</v>
      </c>
      <c r="CO141" s="47">
        <f t="shared" si="535"/>
        <v>-6000</v>
      </c>
      <c r="CP141" s="47">
        <f t="shared" si="535"/>
        <v>-6000</v>
      </c>
      <c r="CQ141" s="47">
        <f t="shared" si="535"/>
        <v>-6000</v>
      </c>
      <c r="CR141" s="47"/>
      <c r="CS141" s="47"/>
      <c r="CT141" s="47"/>
      <c r="CU141" s="50" t="str">
        <f>IFERROR(__xludf.DUMMYFUNCTION("""COMPUTED_VALUE"""),"8235 Douglas Ave
Dallas, TX 75225          ")</f>
        <v>8235 Douglas Ave
Dallas, TX 75225          </v>
      </c>
      <c r="CV141" s="51">
        <f>IFERROR(__xludf.DUMMYFUNCTION("IF(REGEXMATCH(UPPER(CU141), ""TX""),0,1)"),0.0)</f>
        <v>0</v>
      </c>
      <c r="CW141" s="51">
        <f>IFERROR(__xludf.DUMMYFUNCTION("IF(REGEXMATCH(UPPER(CU141), ""DALLAS""),0,1)"),0.0)</f>
        <v>0</v>
      </c>
      <c r="CX141" s="51">
        <f t="shared" si="17"/>
        <v>0</v>
      </c>
      <c r="CY141" s="51">
        <f t="shared" si="18"/>
        <v>0</v>
      </c>
      <c r="CZ141" s="52" t="str">
        <f t="shared" si="19"/>
        <v/>
      </c>
      <c r="DA141" s="58"/>
      <c r="DB141" s="52"/>
      <c r="DC141" s="52"/>
      <c r="DD141" s="52"/>
      <c r="DE141" s="52"/>
      <c r="DF141" s="52"/>
      <c r="DG141" s="52"/>
      <c r="DH141" s="52"/>
      <c r="DI141" s="52"/>
      <c r="DJ141" s="52"/>
      <c r="DK141" s="52"/>
      <c r="DL141" s="52"/>
      <c r="DM141" s="52"/>
      <c r="DN141" s="52"/>
      <c r="DO141" s="52"/>
      <c r="DP141" s="52"/>
      <c r="DQ141" s="52"/>
      <c r="DR141" s="52"/>
      <c r="DS141" s="52"/>
      <c r="DT141" s="52"/>
      <c r="DU141" s="52"/>
      <c r="DV141" s="52"/>
      <c r="DW141" s="52"/>
    </row>
    <row r="142">
      <c r="A142" s="23" t="s">
        <v>64</v>
      </c>
      <c r="B142" s="23" t="s">
        <v>56</v>
      </c>
      <c r="C142" s="31" t="s">
        <v>420</v>
      </c>
      <c r="D142" s="25" t="str">
        <f>IFERROR(__xludf.DUMMYFUNCTION("SPLIT(C142,"" "")"),"Billingsley,")</f>
        <v>Billingsley,</v>
      </c>
      <c r="E142" s="22" t="str">
        <f>IFERROR(__xludf.DUMMYFUNCTION("""COMPUTED_VALUE"""),"Lindsay
5369")</f>
        <v>Lindsay
5369</v>
      </c>
      <c r="F142" s="22" t="str">
        <f>IFERROR(__xludf.DUMMYFUNCTION("""COMPUTED_VALUE"""),"Nakoma")</f>
        <v>Nakoma</v>
      </c>
      <c r="G142" s="22" t="str">
        <f>IFERROR(__xludf.DUMMYFUNCTION("""COMPUTED_VALUE"""),"Dr
Dallas,")</f>
        <v>Dr
Dallas,</v>
      </c>
      <c r="H142" s="22" t="str">
        <f>IFERROR(__xludf.DUMMYFUNCTION("""COMPUTED_VALUE"""),"TX")</f>
        <v>TX</v>
      </c>
      <c r="I142" s="22">
        <f>IFERROR(__xludf.DUMMYFUNCTION("""COMPUTED_VALUE"""),75209.0)</f>
        <v>75209</v>
      </c>
      <c r="J142" s="22"/>
      <c r="K142" s="22"/>
      <c r="L142" s="22"/>
      <c r="M142" s="22"/>
      <c r="N142" s="22"/>
      <c r="O142" s="22"/>
      <c r="P142" s="22"/>
      <c r="Q142" s="22"/>
      <c r="R142" s="22"/>
      <c r="S142" s="22"/>
      <c r="T142" s="22"/>
      <c r="U142" s="24" t="str">
        <f>IFERROR(__xludf.DUMMYFUNCTION("SPLIT(E142,""01234567890"")"),"Lindsay
")</f>
        <v>Lindsay
</v>
      </c>
      <c r="V142" s="24" t="str">
        <f>IFERROR(__xludf.DUMMYFUNCTION("SPLIT(D142,"","")"),"Billingsley")</f>
        <v>Billingsley</v>
      </c>
      <c r="W142" s="25" t="str">
        <f t="shared" si="1"/>
        <v>LINDSAY
 BILLINGSLEY</v>
      </c>
      <c r="X142" s="25" t="s">
        <v>421</v>
      </c>
      <c r="Y142" s="25">
        <v>75209.0</v>
      </c>
      <c r="Z142" s="25" t="str">
        <f>IFERROR(__xludf.DUMMYFUNCTION("SPLIT(C142,""
"")"),"Billingsley, Lindsay")</f>
        <v>Billingsley, Lindsay</v>
      </c>
      <c r="AA142" s="25" t="str">
        <f>IFERROR(__xludf.DUMMYFUNCTION("""COMPUTED_VALUE"""),"5369 Nakoma Dr")</f>
        <v>5369 Nakoma Dr</v>
      </c>
      <c r="AB142" s="25" t="str">
        <f>IFERROR(__xludf.DUMMYFUNCTION("""COMPUTED_VALUE"""),"Dallas, TX 75209")</f>
        <v>Dallas, TX 75209</v>
      </c>
      <c r="AC142" s="24" t="s">
        <v>422</v>
      </c>
      <c r="AD142" s="25"/>
      <c r="AE142" s="25"/>
      <c r="AF142" s="25"/>
      <c r="AG142" s="22" t="s">
        <v>60</v>
      </c>
      <c r="AH142" s="54">
        <v>2481.0</v>
      </c>
      <c r="AI142" s="22" t="s">
        <v>68</v>
      </c>
      <c r="AJ142" s="27">
        <v>2500.0</v>
      </c>
      <c r="AK142" s="31" t="s">
        <v>25</v>
      </c>
      <c r="AL142" s="28">
        <v>44838.0</v>
      </c>
      <c r="AM142" s="29">
        <v>44937.81995370371</v>
      </c>
      <c r="AN142" s="30">
        <v>2.0</v>
      </c>
      <c r="AO142" s="22"/>
      <c r="AP142" s="22"/>
      <c r="AQ142" s="22"/>
      <c r="AR142" s="22"/>
      <c r="AS142" s="31" t="str">
        <f>IFERROR(__xludf.DUMMYFUNCTION("""COMPUTED_VALUE"""),"/")</f>
        <v>/</v>
      </c>
      <c r="AT142" s="45">
        <f t="shared" si="6"/>
        <v>100</v>
      </c>
      <c r="AU142" s="22"/>
      <c r="AV142" s="57" t="str">
        <f>IFERROR(__xludf.DUMMYFUNCTION("""COMPUTED_VALUE"""),"Galvan")</f>
        <v>Galvan</v>
      </c>
      <c r="AW142" s="46">
        <f t="shared" si="7"/>
        <v>50</v>
      </c>
      <c r="AX142" s="47">
        <f t="shared" ref="AX142:BQ142" si="536">SUMIFS($AJ:$AJ,$V:$V,$AV142,$AK:$AK,AX$2)</f>
        <v>50</v>
      </c>
      <c r="AY142" s="48">
        <f t="shared" si="536"/>
        <v>0</v>
      </c>
      <c r="AZ142" s="48">
        <f t="shared" si="536"/>
        <v>0</v>
      </c>
      <c r="BA142" s="48">
        <f t="shared" si="536"/>
        <v>0</v>
      </c>
      <c r="BB142" s="48">
        <f t="shared" si="536"/>
        <v>0</v>
      </c>
      <c r="BC142" s="48">
        <f t="shared" si="536"/>
        <v>0</v>
      </c>
      <c r="BD142" s="48">
        <f t="shared" si="536"/>
        <v>0</v>
      </c>
      <c r="BE142" s="48">
        <f t="shared" si="536"/>
        <v>0</v>
      </c>
      <c r="BF142" s="48">
        <f t="shared" si="536"/>
        <v>0</v>
      </c>
      <c r="BG142" s="48">
        <f t="shared" si="536"/>
        <v>0</v>
      </c>
      <c r="BH142" s="48">
        <f t="shared" si="536"/>
        <v>0</v>
      </c>
      <c r="BI142" s="48">
        <f t="shared" si="536"/>
        <v>0</v>
      </c>
      <c r="BJ142" s="48">
        <f t="shared" si="536"/>
        <v>0</v>
      </c>
      <c r="BK142" s="48">
        <f t="shared" si="536"/>
        <v>0</v>
      </c>
      <c r="BL142" s="48">
        <f t="shared" si="536"/>
        <v>0</v>
      </c>
      <c r="BM142" s="48">
        <f t="shared" si="536"/>
        <v>0</v>
      </c>
      <c r="BN142" s="48">
        <f t="shared" si="536"/>
        <v>0</v>
      </c>
      <c r="BO142" s="48">
        <f t="shared" si="536"/>
        <v>0</v>
      </c>
      <c r="BP142" s="48">
        <f t="shared" si="536"/>
        <v>0</v>
      </c>
      <c r="BQ142" s="48">
        <f t="shared" si="536"/>
        <v>0</v>
      </c>
      <c r="BR142" s="36">
        <f t="shared" si="9"/>
        <v>0</v>
      </c>
      <c r="BS142" s="38">
        <f t="shared" si="10"/>
        <v>1</v>
      </c>
      <c r="BT142" s="49">
        <f t="shared" si="11"/>
        <v>0</v>
      </c>
      <c r="BU142" s="38">
        <f t="shared" si="12"/>
        <v>1000</v>
      </c>
      <c r="BV142" s="57" t="str">
        <f>IFERROR(__xludf.DUMMYFUNCTION("""COMPUTED_VALUE"""),"Galvan")</f>
        <v>Galvan</v>
      </c>
      <c r="BW142" s="46">
        <f t="shared" si="13"/>
        <v>50</v>
      </c>
      <c r="BX142" s="47">
        <f t="shared" ref="BX142:CA142" si="537">AX142-$BU142</f>
        <v>-950</v>
      </c>
      <c r="BY142" s="47">
        <f t="shared" si="537"/>
        <v>-1000</v>
      </c>
      <c r="BZ142" s="47">
        <f t="shared" si="537"/>
        <v>-1000</v>
      </c>
      <c r="CA142" s="47">
        <f t="shared" si="537"/>
        <v>-1000</v>
      </c>
      <c r="CB142" s="47">
        <f t="shared" si="15"/>
        <v>-10000</v>
      </c>
      <c r="CC142" s="47">
        <f t="shared" ref="CC142:CQ142" si="538">BC142-$BU142</f>
        <v>-1000</v>
      </c>
      <c r="CD142" s="47">
        <f t="shared" si="538"/>
        <v>-1000</v>
      </c>
      <c r="CE142" s="47">
        <f t="shared" si="538"/>
        <v>-1000</v>
      </c>
      <c r="CF142" s="47">
        <f t="shared" si="538"/>
        <v>-1000</v>
      </c>
      <c r="CG142" s="47">
        <f t="shared" si="538"/>
        <v>-1000</v>
      </c>
      <c r="CH142" s="47">
        <f t="shared" si="538"/>
        <v>-1000</v>
      </c>
      <c r="CI142" s="47">
        <f t="shared" si="538"/>
        <v>-1000</v>
      </c>
      <c r="CJ142" s="47">
        <f t="shared" si="538"/>
        <v>-1000</v>
      </c>
      <c r="CK142" s="47">
        <f t="shared" si="538"/>
        <v>-1000</v>
      </c>
      <c r="CL142" s="47">
        <f t="shared" si="538"/>
        <v>-1000</v>
      </c>
      <c r="CM142" s="47">
        <f t="shared" si="538"/>
        <v>-1000</v>
      </c>
      <c r="CN142" s="47">
        <f t="shared" si="538"/>
        <v>-1000</v>
      </c>
      <c r="CO142" s="47">
        <f t="shared" si="538"/>
        <v>-1000</v>
      </c>
      <c r="CP142" s="47">
        <f t="shared" si="538"/>
        <v>-1000</v>
      </c>
      <c r="CQ142" s="47">
        <f t="shared" si="538"/>
        <v>-1000</v>
      </c>
      <c r="CR142" s="47"/>
      <c r="CS142" s="47"/>
      <c r="CT142" s="47"/>
      <c r="CU142" s="50" t="str">
        <f>IFERROR(__xludf.DUMMYFUNCTION("""COMPUTED_VALUE"""),"6228 Vickery Blvd.
Dallas, TX 75214          ")</f>
        <v>6228 Vickery Blvd.
Dallas, TX 75214          </v>
      </c>
      <c r="CV142" s="51">
        <f>IFERROR(__xludf.DUMMYFUNCTION("IF(REGEXMATCH(UPPER(CU142), ""TX""),0,1)"),0.0)</f>
        <v>0</v>
      </c>
      <c r="CW142" s="51">
        <f>IFERROR(__xludf.DUMMYFUNCTION("IF(REGEXMATCH(UPPER(CU142), ""DALLAS""),0,1)"),0.0)</f>
        <v>0</v>
      </c>
      <c r="CX142" s="51">
        <f t="shared" si="17"/>
        <v>0</v>
      </c>
      <c r="CY142" s="51">
        <f t="shared" si="18"/>
        <v>0</v>
      </c>
      <c r="CZ142" s="52" t="str">
        <f t="shared" si="19"/>
        <v/>
      </c>
      <c r="DA142" s="58"/>
      <c r="DB142" s="52"/>
      <c r="DC142" s="52"/>
      <c r="DD142" s="52"/>
      <c r="DE142" s="52"/>
      <c r="DF142" s="52"/>
      <c r="DG142" s="52"/>
      <c r="DH142" s="52"/>
      <c r="DI142" s="52"/>
      <c r="DJ142" s="52"/>
      <c r="DK142" s="52"/>
      <c r="DL142" s="52"/>
      <c r="DM142" s="52"/>
      <c r="DN142" s="52"/>
      <c r="DO142" s="52"/>
      <c r="DP142" s="52"/>
      <c r="DQ142" s="52"/>
      <c r="DR142" s="52"/>
      <c r="DS142" s="52"/>
      <c r="DT142" s="52"/>
      <c r="DU142" s="52"/>
      <c r="DV142" s="52"/>
      <c r="DW142" s="52"/>
    </row>
    <row r="143">
      <c r="A143" s="41" t="s">
        <v>64</v>
      </c>
      <c r="B143" s="41" t="s">
        <v>56</v>
      </c>
      <c r="C143" s="31" t="s">
        <v>423</v>
      </c>
      <c r="D143" s="25" t="str">
        <f>IFERROR(__xludf.DUMMYFUNCTION("SPLIT(C143,"" "")"),"Billingsley,")</f>
        <v>Billingsley,</v>
      </c>
      <c r="E143" s="40" t="str">
        <f>IFERROR(__xludf.DUMMYFUNCTION("""COMPUTED_VALUE"""),"Lucy
1722")</f>
        <v>Lucy
1722</v>
      </c>
      <c r="F143" s="40" t="str">
        <f>IFERROR(__xludf.DUMMYFUNCTION("""COMPUTED_VALUE"""),"Routh")</f>
        <v>Routh</v>
      </c>
      <c r="G143" s="40" t="str">
        <f>IFERROR(__xludf.DUMMYFUNCTION("""COMPUTED_VALUE"""),"St.
Dallas,")</f>
        <v>St.
Dallas,</v>
      </c>
      <c r="H143" s="40" t="str">
        <f>IFERROR(__xludf.DUMMYFUNCTION("""COMPUTED_VALUE"""),"TX")</f>
        <v>TX</v>
      </c>
      <c r="I143" s="40">
        <f>IFERROR(__xludf.DUMMYFUNCTION("""COMPUTED_VALUE"""),75201.0)</f>
        <v>75201</v>
      </c>
      <c r="J143" s="40"/>
      <c r="K143" s="40"/>
      <c r="L143" s="40"/>
      <c r="M143" s="40"/>
      <c r="N143" s="40"/>
      <c r="O143" s="40"/>
      <c r="P143" s="40"/>
      <c r="Q143" s="40"/>
      <c r="R143" s="40"/>
      <c r="S143" s="40"/>
      <c r="T143" s="40"/>
      <c r="U143" s="24" t="str">
        <f>IFERROR(__xludf.DUMMYFUNCTION("SPLIT(E143,""01234567890"")"),"Lucy
")</f>
        <v>Lucy
</v>
      </c>
      <c r="V143" s="24" t="str">
        <f>IFERROR(__xludf.DUMMYFUNCTION("SPLIT(D143,"","")"),"Billingsley")</f>
        <v>Billingsley</v>
      </c>
      <c r="W143" s="25" t="str">
        <f t="shared" si="1"/>
        <v>LUCY
 BILLINGSLEY</v>
      </c>
      <c r="X143" s="25" t="s">
        <v>424</v>
      </c>
      <c r="Y143" s="25">
        <v>75201.0</v>
      </c>
      <c r="Z143" s="25" t="str">
        <f>IFERROR(__xludf.DUMMYFUNCTION("SPLIT(C143,""
"")"),"Billingsley, Lucy")</f>
        <v>Billingsley, Lucy</v>
      </c>
      <c r="AA143" s="25" t="str">
        <f>IFERROR(__xludf.DUMMYFUNCTION("""COMPUTED_VALUE"""),"1722 Routh St.")</f>
        <v>1722 Routh St.</v>
      </c>
      <c r="AB143" s="25" t="str">
        <f>IFERROR(__xludf.DUMMYFUNCTION("""COMPUTED_VALUE"""),"Dallas, TX 75201")</f>
        <v>Dallas, TX 75201</v>
      </c>
      <c r="AC143" s="24" t="s">
        <v>425</v>
      </c>
      <c r="AD143" s="25"/>
      <c r="AE143" s="25"/>
      <c r="AF143" s="25"/>
      <c r="AG143" s="40" t="s">
        <v>60</v>
      </c>
      <c r="AH143" s="42">
        <v>2501.0</v>
      </c>
      <c r="AI143" s="40" t="s">
        <v>68</v>
      </c>
      <c r="AJ143" s="27">
        <v>950.0</v>
      </c>
      <c r="AK143" s="31" t="s">
        <v>21</v>
      </c>
      <c r="AL143" s="43">
        <v>44902.0</v>
      </c>
      <c r="AM143" s="44">
        <v>44943.63122685185</v>
      </c>
      <c r="AN143" s="30">
        <v>2.0</v>
      </c>
      <c r="AO143" s="40"/>
      <c r="AP143" s="40"/>
      <c r="AQ143" s="40"/>
      <c r="AR143" s="40"/>
      <c r="AS143" s="31">
        <f>IFERROR(__xludf.DUMMYFUNCTION("""COMPUTED_VALUE"""),78756.0)</f>
        <v>78756</v>
      </c>
      <c r="AT143" s="45">
        <f t="shared" si="6"/>
        <v>1000</v>
      </c>
      <c r="AU143" s="40"/>
      <c r="AV143" s="46" t="str">
        <f>IFERROR(__xludf.DUMMYFUNCTION("""COMPUTED_VALUE"""),"Nuchereno")</f>
        <v>Nuchereno</v>
      </c>
      <c r="AW143" s="46">
        <f t="shared" si="7"/>
        <v>1000</v>
      </c>
      <c r="AX143" s="47">
        <f t="shared" ref="AX143:BQ143" si="539">SUMIFS($AJ:$AJ,$V:$V,$AV143,$AK:$AK,AX$2)</f>
        <v>1000</v>
      </c>
      <c r="AY143" s="48">
        <f t="shared" si="539"/>
        <v>0</v>
      </c>
      <c r="AZ143" s="48">
        <f t="shared" si="539"/>
        <v>0</v>
      </c>
      <c r="BA143" s="48">
        <f t="shared" si="539"/>
        <v>0</v>
      </c>
      <c r="BB143" s="48">
        <f t="shared" si="539"/>
        <v>0</v>
      </c>
      <c r="BC143" s="48">
        <f t="shared" si="539"/>
        <v>0</v>
      </c>
      <c r="BD143" s="48">
        <f t="shared" si="539"/>
        <v>0</v>
      </c>
      <c r="BE143" s="48">
        <f t="shared" si="539"/>
        <v>0</v>
      </c>
      <c r="BF143" s="48">
        <f t="shared" si="539"/>
        <v>0</v>
      </c>
      <c r="BG143" s="48">
        <f t="shared" si="539"/>
        <v>0</v>
      </c>
      <c r="BH143" s="48">
        <f t="shared" si="539"/>
        <v>0</v>
      </c>
      <c r="BI143" s="48">
        <f t="shared" si="539"/>
        <v>0</v>
      </c>
      <c r="BJ143" s="48">
        <f t="shared" si="539"/>
        <v>0</v>
      </c>
      <c r="BK143" s="48">
        <f t="shared" si="539"/>
        <v>0</v>
      </c>
      <c r="BL143" s="48">
        <f t="shared" si="539"/>
        <v>0</v>
      </c>
      <c r="BM143" s="48">
        <f t="shared" si="539"/>
        <v>0</v>
      </c>
      <c r="BN143" s="48">
        <f t="shared" si="539"/>
        <v>0</v>
      </c>
      <c r="BO143" s="48">
        <f t="shared" si="539"/>
        <v>0</v>
      </c>
      <c r="BP143" s="48">
        <f t="shared" si="539"/>
        <v>0</v>
      </c>
      <c r="BQ143" s="48">
        <f t="shared" si="539"/>
        <v>0</v>
      </c>
      <c r="BR143" s="36">
        <f t="shared" si="9"/>
        <v>0</v>
      </c>
      <c r="BS143" s="38">
        <f t="shared" si="10"/>
        <v>1</v>
      </c>
      <c r="BT143" s="49">
        <f t="shared" si="11"/>
        <v>0</v>
      </c>
      <c r="BU143" s="38">
        <f t="shared" si="12"/>
        <v>1000</v>
      </c>
      <c r="BV143" s="46" t="str">
        <f>IFERROR(__xludf.DUMMYFUNCTION("""COMPUTED_VALUE"""),"Nuchereno")</f>
        <v>Nuchereno</v>
      </c>
      <c r="BW143" s="46">
        <f t="shared" si="13"/>
        <v>1000</v>
      </c>
      <c r="BX143" s="47">
        <f t="shared" ref="BX143:CA143" si="540">AX143-$BU143</f>
        <v>0</v>
      </c>
      <c r="BY143" s="47">
        <f t="shared" si="540"/>
        <v>-1000</v>
      </c>
      <c r="BZ143" s="47">
        <f t="shared" si="540"/>
        <v>-1000</v>
      </c>
      <c r="CA143" s="47">
        <f t="shared" si="540"/>
        <v>-1000</v>
      </c>
      <c r="CB143" s="47">
        <f t="shared" si="15"/>
        <v>-10000</v>
      </c>
      <c r="CC143" s="47">
        <f t="shared" ref="CC143:CQ143" si="541">BC143-$BU143</f>
        <v>-1000</v>
      </c>
      <c r="CD143" s="47">
        <f t="shared" si="541"/>
        <v>-1000</v>
      </c>
      <c r="CE143" s="47">
        <f t="shared" si="541"/>
        <v>-1000</v>
      </c>
      <c r="CF143" s="47">
        <f t="shared" si="541"/>
        <v>-1000</v>
      </c>
      <c r="CG143" s="47">
        <f t="shared" si="541"/>
        <v>-1000</v>
      </c>
      <c r="CH143" s="47">
        <f t="shared" si="541"/>
        <v>-1000</v>
      </c>
      <c r="CI143" s="47">
        <f t="shared" si="541"/>
        <v>-1000</v>
      </c>
      <c r="CJ143" s="47">
        <f t="shared" si="541"/>
        <v>-1000</v>
      </c>
      <c r="CK143" s="47">
        <f t="shared" si="541"/>
        <v>-1000</v>
      </c>
      <c r="CL143" s="47">
        <f t="shared" si="541"/>
        <v>-1000</v>
      </c>
      <c r="CM143" s="47">
        <f t="shared" si="541"/>
        <v>-1000</v>
      </c>
      <c r="CN143" s="47">
        <f t="shared" si="541"/>
        <v>-1000</v>
      </c>
      <c r="CO143" s="47">
        <f t="shared" si="541"/>
        <v>-1000</v>
      </c>
      <c r="CP143" s="47">
        <f t="shared" si="541"/>
        <v>-1000</v>
      </c>
      <c r="CQ143" s="47">
        <f t="shared" si="541"/>
        <v>-1000</v>
      </c>
      <c r="CR143" s="47"/>
      <c r="CS143" s="47"/>
      <c r="CT143" s="47"/>
      <c r="CU143" s="50" t="str">
        <f>IFERROR(__xludf.DUMMYFUNCTION("""COMPUTED_VALUE"""),"14901 Quorum Drive
Dallas, TX 75254          ")</f>
        <v>14901 Quorum Drive
Dallas, TX 75254          </v>
      </c>
      <c r="CV143" s="51">
        <f>IFERROR(__xludf.DUMMYFUNCTION("IF(REGEXMATCH(UPPER(CU143), ""TX""),0,1)"),0.0)</f>
        <v>0</v>
      </c>
      <c r="CW143" s="51">
        <f>IFERROR(__xludf.DUMMYFUNCTION("IF(REGEXMATCH(UPPER(CU143), ""DALLAS""),0,1)"),0.0)</f>
        <v>0</v>
      </c>
      <c r="CX143" s="51">
        <f t="shared" si="17"/>
        <v>0</v>
      </c>
      <c r="CY143" s="51">
        <f t="shared" si="18"/>
        <v>0</v>
      </c>
      <c r="CZ143" s="52" t="str">
        <f t="shared" si="19"/>
        <v/>
      </c>
      <c r="DA143" s="58"/>
      <c r="DB143" s="52"/>
      <c r="DC143" s="52"/>
      <c r="DD143" s="52"/>
      <c r="DE143" s="52"/>
      <c r="DF143" s="52"/>
      <c r="DG143" s="52"/>
      <c r="DH143" s="52"/>
      <c r="DI143" s="52"/>
      <c r="DJ143" s="52"/>
      <c r="DK143" s="52"/>
      <c r="DL143" s="52"/>
      <c r="DM143" s="52"/>
      <c r="DN143" s="52"/>
      <c r="DO143" s="52"/>
      <c r="DP143" s="52"/>
      <c r="DQ143" s="52"/>
      <c r="DR143" s="52"/>
      <c r="DS143" s="52"/>
      <c r="DT143" s="52"/>
      <c r="DU143" s="52"/>
      <c r="DV143" s="52"/>
      <c r="DW143" s="52"/>
    </row>
    <row r="144">
      <c r="A144" s="23" t="s">
        <v>64</v>
      </c>
      <c r="B144" s="23" t="s">
        <v>56</v>
      </c>
      <c r="C144" s="31" t="s">
        <v>426</v>
      </c>
      <c r="D144" s="25" t="str">
        <f>IFERROR(__xludf.DUMMYFUNCTION("SPLIT(C144,"" "")"),"Billingsley,")</f>
        <v>Billingsley,</v>
      </c>
      <c r="E144" s="22" t="str">
        <f>IFERROR(__xludf.DUMMYFUNCTION("""COMPUTED_VALUE"""),"Lucy
1722")</f>
        <v>Lucy
1722</v>
      </c>
      <c r="F144" s="22" t="str">
        <f>IFERROR(__xludf.DUMMYFUNCTION("""COMPUTED_VALUE"""),"Routh")</f>
        <v>Routh</v>
      </c>
      <c r="G144" s="22" t="str">
        <f>IFERROR(__xludf.DUMMYFUNCTION("""COMPUTED_VALUE"""),"St
Dallas,")</f>
        <v>St
Dallas,</v>
      </c>
      <c r="H144" s="22" t="str">
        <f>IFERROR(__xludf.DUMMYFUNCTION("""COMPUTED_VALUE"""),"TX")</f>
        <v>TX</v>
      </c>
      <c r="I144" s="22">
        <f>IFERROR(__xludf.DUMMYFUNCTION("""COMPUTED_VALUE"""),75201.0)</f>
        <v>75201</v>
      </c>
      <c r="J144" s="22"/>
      <c r="K144" s="22"/>
      <c r="L144" s="22"/>
      <c r="M144" s="22"/>
      <c r="N144" s="22"/>
      <c r="O144" s="22"/>
      <c r="P144" s="22"/>
      <c r="Q144" s="22"/>
      <c r="R144" s="22"/>
      <c r="S144" s="22"/>
      <c r="T144" s="22"/>
      <c r="U144" s="24" t="str">
        <f>IFERROR(__xludf.DUMMYFUNCTION("SPLIT(E144,""01234567890"")"),"Lucy
")</f>
        <v>Lucy
</v>
      </c>
      <c r="V144" s="24" t="str">
        <f>IFERROR(__xludf.DUMMYFUNCTION("SPLIT(D144,"","")"),"Billingsley")</f>
        <v>Billingsley</v>
      </c>
      <c r="W144" s="25" t="str">
        <f t="shared" si="1"/>
        <v>LUCY
 BILLINGSLEY</v>
      </c>
      <c r="X144" s="25" t="s">
        <v>427</v>
      </c>
      <c r="Y144" s="25">
        <v>75201.0</v>
      </c>
      <c r="Z144" s="25" t="str">
        <f>IFERROR(__xludf.DUMMYFUNCTION("SPLIT(C144,""
"")"),"Billingsley, Lucy")</f>
        <v>Billingsley, Lucy</v>
      </c>
      <c r="AA144" s="25" t="str">
        <f>IFERROR(__xludf.DUMMYFUNCTION("""COMPUTED_VALUE"""),"1722 Routh St")</f>
        <v>1722 Routh St</v>
      </c>
      <c r="AB144" s="25" t="str">
        <f>IFERROR(__xludf.DUMMYFUNCTION("""COMPUTED_VALUE"""),"Dallas, TX 75201")</f>
        <v>Dallas, TX 75201</v>
      </c>
      <c r="AC144" s="24" t="s">
        <v>425</v>
      </c>
      <c r="AD144" s="25"/>
      <c r="AE144" s="25"/>
      <c r="AF144" s="25"/>
      <c r="AG144" s="22" t="s">
        <v>60</v>
      </c>
      <c r="AH144" s="54">
        <v>2481.0</v>
      </c>
      <c r="AI144" s="22" t="s">
        <v>68</v>
      </c>
      <c r="AJ144" s="27">
        <v>3500.0</v>
      </c>
      <c r="AK144" s="31" t="s">
        <v>25</v>
      </c>
      <c r="AL144" s="28">
        <v>44910.0</v>
      </c>
      <c r="AM144" s="29">
        <v>44937.81995370371</v>
      </c>
      <c r="AN144" s="30">
        <v>2.0</v>
      </c>
      <c r="AO144" s="22"/>
      <c r="AP144" s="22"/>
      <c r="AQ144" s="22"/>
      <c r="AR144" s="22"/>
      <c r="AS144" s="31">
        <f>IFERROR(__xludf.DUMMYFUNCTION("""COMPUTED_VALUE"""),78731.0)</f>
        <v>78731</v>
      </c>
      <c r="AT144" s="45">
        <f t="shared" si="6"/>
        <v>1000</v>
      </c>
      <c r="AU144" s="22"/>
      <c r="AV144" s="57" t="str">
        <f>IFERROR(__xludf.DUMMYFUNCTION("""COMPUTED_VALUE"""),"Keyes")</f>
        <v>Keyes</v>
      </c>
      <c r="AW144" s="46">
        <f t="shared" si="7"/>
        <v>1250</v>
      </c>
      <c r="AX144" s="47">
        <f t="shared" ref="AX144:BQ144" si="542">SUMIFS($AJ:$AJ,$V:$V,$AV144,$AK:$AK,AX$2)</f>
        <v>500</v>
      </c>
      <c r="AY144" s="48">
        <f t="shared" si="542"/>
        <v>0</v>
      </c>
      <c r="AZ144" s="48">
        <f t="shared" si="542"/>
        <v>250</v>
      </c>
      <c r="BA144" s="48">
        <f t="shared" si="542"/>
        <v>0</v>
      </c>
      <c r="BB144" s="48">
        <f t="shared" si="542"/>
        <v>500</v>
      </c>
      <c r="BC144" s="48">
        <f t="shared" si="542"/>
        <v>0</v>
      </c>
      <c r="BD144" s="48">
        <f t="shared" si="542"/>
        <v>0</v>
      </c>
      <c r="BE144" s="48">
        <f t="shared" si="542"/>
        <v>0</v>
      </c>
      <c r="BF144" s="48">
        <f t="shared" si="542"/>
        <v>0</v>
      </c>
      <c r="BG144" s="48">
        <f t="shared" si="542"/>
        <v>0</v>
      </c>
      <c r="BH144" s="48">
        <f t="shared" si="542"/>
        <v>0</v>
      </c>
      <c r="BI144" s="48">
        <f t="shared" si="542"/>
        <v>0</v>
      </c>
      <c r="BJ144" s="48">
        <f t="shared" si="542"/>
        <v>0</v>
      </c>
      <c r="BK144" s="48">
        <f t="shared" si="542"/>
        <v>0</v>
      </c>
      <c r="BL144" s="48">
        <f t="shared" si="542"/>
        <v>0</v>
      </c>
      <c r="BM144" s="48">
        <f t="shared" si="542"/>
        <v>0</v>
      </c>
      <c r="BN144" s="48">
        <f t="shared" si="542"/>
        <v>0</v>
      </c>
      <c r="BO144" s="48">
        <f t="shared" si="542"/>
        <v>0</v>
      </c>
      <c r="BP144" s="48">
        <f t="shared" si="542"/>
        <v>0</v>
      </c>
      <c r="BQ144" s="48">
        <f t="shared" si="542"/>
        <v>0</v>
      </c>
      <c r="BR144" s="36">
        <f t="shared" si="9"/>
        <v>1</v>
      </c>
      <c r="BS144" s="38">
        <f t="shared" si="10"/>
        <v>2</v>
      </c>
      <c r="BT144" s="49">
        <f t="shared" si="11"/>
        <v>0</v>
      </c>
      <c r="BU144" s="38">
        <f t="shared" si="12"/>
        <v>2000</v>
      </c>
      <c r="BV144" s="57" t="str">
        <f>IFERROR(__xludf.DUMMYFUNCTION("""COMPUTED_VALUE"""),"Keyes")</f>
        <v>Keyes</v>
      </c>
      <c r="BW144" s="46">
        <f t="shared" si="13"/>
        <v>1250</v>
      </c>
      <c r="BX144" s="47">
        <f t="shared" ref="BX144:CA144" si="543">AX144-$BU144</f>
        <v>-1500</v>
      </c>
      <c r="BY144" s="47">
        <f t="shared" si="543"/>
        <v>-2000</v>
      </c>
      <c r="BZ144" s="47">
        <f t="shared" si="543"/>
        <v>-1750</v>
      </c>
      <c r="CA144" s="47">
        <f t="shared" si="543"/>
        <v>-2000</v>
      </c>
      <c r="CB144" s="47">
        <f t="shared" si="15"/>
        <v>-19500</v>
      </c>
      <c r="CC144" s="47">
        <f t="shared" ref="CC144:CQ144" si="544">BC144-$BU144</f>
        <v>-2000</v>
      </c>
      <c r="CD144" s="47">
        <f t="shared" si="544"/>
        <v>-2000</v>
      </c>
      <c r="CE144" s="47">
        <f t="shared" si="544"/>
        <v>-2000</v>
      </c>
      <c r="CF144" s="47">
        <f t="shared" si="544"/>
        <v>-2000</v>
      </c>
      <c r="CG144" s="47">
        <f t="shared" si="544"/>
        <v>-2000</v>
      </c>
      <c r="CH144" s="47">
        <f t="shared" si="544"/>
        <v>-2000</v>
      </c>
      <c r="CI144" s="47">
        <f t="shared" si="544"/>
        <v>-2000</v>
      </c>
      <c r="CJ144" s="47">
        <f t="shared" si="544"/>
        <v>-2000</v>
      </c>
      <c r="CK144" s="47">
        <f t="shared" si="544"/>
        <v>-2000</v>
      </c>
      <c r="CL144" s="47">
        <f t="shared" si="544"/>
        <v>-2000</v>
      </c>
      <c r="CM144" s="47">
        <f t="shared" si="544"/>
        <v>-2000</v>
      </c>
      <c r="CN144" s="47">
        <f t="shared" si="544"/>
        <v>-2000</v>
      </c>
      <c r="CO144" s="47">
        <f t="shared" si="544"/>
        <v>-2000</v>
      </c>
      <c r="CP144" s="47">
        <f t="shared" si="544"/>
        <v>-2000</v>
      </c>
      <c r="CQ144" s="47">
        <f t="shared" si="544"/>
        <v>-2000</v>
      </c>
      <c r="CR144" s="47"/>
      <c r="CS144" s="47"/>
      <c r="CT144" s="47"/>
      <c r="CU144" s="50" t="str">
        <f>IFERROR(__xludf.DUMMYFUNCTION("""COMPUTED_VALUE"""),"6330 Northwood Road
Dallas, TX 75225          ")</f>
        <v>6330 Northwood Road
Dallas, TX 75225          </v>
      </c>
      <c r="CV144" s="51">
        <f>IFERROR(__xludf.DUMMYFUNCTION("IF(REGEXMATCH(UPPER(CU144), ""TX""),0,1)"),0.0)</f>
        <v>0</v>
      </c>
      <c r="CW144" s="51">
        <f>IFERROR(__xludf.DUMMYFUNCTION("IF(REGEXMATCH(UPPER(CU144), ""DALLAS""),0,1)"),0.0)</f>
        <v>0</v>
      </c>
      <c r="CX144" s="51">
        <f t="shared" si="17"/>
        <v>0</v>
      </c>
      <c r="CY144" s="51">
        <f t="shared" si="18"/>
        <v>0</v>
      </c>
      <c r="CZ144" s="52" t="str">
        <f t="shared" si="19"/>
        <v/>
      </c>
      <c r="DA144" s="58"/>
      <c r="DB144" s="52"/>
      <c r="DC144" s="52"/>
      <c r="DD144" s="52"/>
      <c r="DE144" s="52"/>
      <c r="DF144" s="52"/>
      <c r="DG144" s="52"/>
      <c r="DH144" s="52"/>
      <c r="DI144" s="52"/>
      <c r="DJ144" s="52"/>
      <c r="DK144" s="52"/>
      <c r="DL144" s="52"/>
      <c r="DM144" s="52"/>
      <c r="DN144" s="52"/>
      <c r="DO144" s="52"/>
      <c r="DP144" s="52"/>
      <c r="DQ144" s="52"/>
      <c r="DR144" s="52"/>
      <c r="DS144" s="52"/>
      <c r="DT144" s="52"/>
      <c r="DU144" s="52"/>
      <c r="DV144" s="52"/>
      <c r="DW144" s="52"/>
    </row>
    <row r="145">
      <c r="A145" s="40" t="s">
        <v>55</v>
      </c>
      <c r="B145" s="41" t="s">
        <v>56</v>
      </c>
      <c r="C145" s="31" t="s">
        <v>428</v>
      </c>
      <c r="D145" s="25" t="str">
        <f>IFERROR(__xludf.DUMMYFUNCTION("SPLIT(C145,"" "")"),"Billingsley,")</f>
        <v>Billingsley,</v>
      </c>
      <c r="E145" s="40" t="str">
        <f>IFERROR(__xludf.DUMMYFUNCTION("""COMPUTED_VALUE"""),"Lucy
1722")</f>
        <v>Lucy
1722</v>
      </c>
      <c r="F145" s="40" t="str">
        <f>IFERROR(__xludf.DUMMYFUNCTION("""COMPUTED_VALUE"""),"Routh")</f>
        <v>Routh</v>
      </c>
      <c r="G145" s="40" t="str">
        <f>IFERROR(__xludf.DUMMYFUNCTION("""COMPUTED_VALUE"""),"Street")</f>
        <v>Street</v>
      </c>
      <c r="H145" s="40" t="str">
        <f>IFERROR(__xludf.DUMMYFUNCTION("""COMPUTED_VALUE"""),"Suite
Dallas,")</f>
        <v>Suite
Dallas,</v>
      </c>
      <c r="I145" s="40" t="str">
        <f>IFERROR(__xludf.DUMMYFUNCTION("""COMPUTED_VALUE"""),"TX")</f>
        <v>TX</v>
      </c>
      <c r="J145" s="40">
        <f>IFERROR(__xludf.DUMMYFUNCTION("""COMPUTED_VALUE"""),75201.0)</f>
        <v>75201</v>
      </c>
      <c r="K145" s="40"/>
      <c r="L145" s="40"/>
      <c r="M145" s="40"/>
      <c r="N145" s="40"/>
      <c r="O145" s="40"/>
      <c r="P145" s="40"/>
      <c r="Q145" s="40"/>
      <c r="R145" s="40"/>
      <c r="S145" s="40"/>
      <c r="T145" s="40"/>
      <c r="U145" s="24" t="str">
        <f>IFERROR(__xludf.DUMMYFUNCTION("SPLIT(E145,""01234567890"")"),"Lucy
")</f>
        <v>Lucy
</v>
      </c>
      <c r="V145" s="24" t="str">
        <f>IFERROR(__xludf.DUMMYFUNCTION("SPLIT(D145,"","")"),"Billingsley")</f>
        <v>Billingsley</v>
      </c>
      <c r="W145" s="25" t="str">
        <f t="shared" si="1"/>
        <v>LUCY
 BILLINGSLEY</v>
      </c>
      <c r="X145" s="25" t="s">
        <v>429</v>
      </c>
      <c r="Y145" s="25">
        <v>75201.0</v>
      </c>
      <c r="Z145" s="25" t="str">
        <f>IFERROR(__xludf.DUMMYFUNCTION("SPLIT(C145,""
"")"),"Billingsley, Lucy")</f>
        <v>Billingsley, Lucy</v>
      </c>
      <c r="AA145" s="25" t="str">
        <f>IFERROR(__xludf.DUMMYFUNCTION("""COMPUTED_VALUE"""),"1722 Routh Street Suite")</f>
        <v>1722 Routh Street Suite</v>
      </c>
      <c r="AB145" s="25" t="str">
        <f>IFERROR(__xludf.DUMMYFUNCTION("""COMPUTED_VALUE"""),"Dallas, TX 75201")</f>
        <v>Dallas, TX 75201</v>
      </c>
      <c r="AC145" s="24" t="s">
        <v>425</v>
      </c>
      <c r="AD145" s="25"/>
      <c r="AE145" s="25"/>
      <c r="AF145" s="25"/>
      <c r="AG145" s="40" t="s">
        <v>60</v>
      </c>
      <c r="AH145" s="42">
        <v>2482.0</v>
      </c>
      <c r="AI145" s="40" t="s">
        <v>68</v>
      </c>
      <c r="AJ145" s="27">
        <v>1000.0</v>
      </c>
      <c r="AK145" s="31" t="s">
        <v>31</v>
      </c>
      <c r="AL145" s="43">
        <v>44783.0</v>
      </c>
      <c r="AM145" s="44">
        <v>44938.558541666665</v>
      </c>
      <c r="AN145" s="30">
        <v>2.0</v>
      </c>
      <c r="AO145" s="40"/>
      <c r="AP145" s="40"/>
      <c r="AQ145" s="40"/>
      <c r="AR145" s="40"/>
      <c r="AS145" s="31">
        <f>IFERROR(__xludf.DUMMYFUNCTION("""COMPUTED_VALUE"""),78616.0)</f>
        <v>78616</v>
      </c>
      <c r="AT145" s="45">
        <f t="shared" si="6"/>
        <v>100</v>
      </c>
      <c r="AU145" s="40"/>
      <c r="AV145" s="46" t="str">
        <f>IFERROR(__xludf.DUMMYFUNCTION("""COMPUTED_VALUE"""),"Lutz")</f>
        <v>Lutz</v>
      </c>
      <c r="AW145" s="46">
        <f t="shared" si="7"/>
        <v>25</v>
      </c>
      <c r="AX145" s="47">
        <f t="shared" ref="AX145:BQ145" si="545">SUMIFS($AJ:$AJ,$V:$V,$AV145,$AK:$AK,AX$2)</f>
        <v>25</v>
      </c>
      <c r="AY145" s="48">
        <f t="shared" si="545"/>
        <v>0</v>
      </c>
      <c r="AZ145" s="48">
        <f t="shared" si="545"/>
        <v>0</v>
      </c>
      <c r="BA145" s="48">
        <f t="shared" si="545"/>
        <v>0</v>
      </c>
      <c r="BB145" s="48">
        <f t="shared" si="545"/>
        <v>0</v>
      </c>
      <c r="BC145" s="48">
        <f t="shared" si="545"/>
        <v>0</v>
      </c>
      <c r="BD145" s="48">
        <f t="shared" si="545"/>
        <v>0</v>
      </c>
      <c r="BE145" s="48">
        <f t="shared" si="545"/>
        <v>0</v>
      </c>
      <c r="BF145" s="48">
        <f t="shared" si="545"/>
        <v>0</v>
      </c>
      <c r="BG145" s="48">
        <f t="shared" si="545"/>
        <v>0</v>
      </c>
      <c r="BH145" s="48">
        <f t="shared" si="545"/>
        <v>0</v>
      </c>
      <c r="BI145" s="48">
        <f t="shared" si="545"/>
        <v>0</v>
      </c>
      <c r="BJ145" s="48">
        <f t="shared" si="545"/>
        <v>0</v>
      </c>
      <c r="BK145" s="48">
        <f t="shared" si="545"/>
        <v>0</v>
      </c>
      <c r="BL145" s="48">
        <f t="shared" si="545"/>
        <v>0</v>
      </c>
      <c r="BM145" s="48">
        <f t="shared" si="545"/>
        <v>0</v>
      </c>
      <c r="BN145" s="48">
        <f t="shared" si="545"/>
        <v>0</v>
      </c>
      <c r="BO145" s="48">
        <f t="shared" si="545"/>
        <v>0</v>
      </c>
      <c r="BP145" s="48">
        <f t="shared" si="545"/>
        <v>0</v>
      </c>
      <c r="BQ145" s="48">
        <f t="shared" si="545"/>
        <v>0</v>
      </c>
      <c r="BR145" s="36">
        <f t="shared" si="9"/>
        <v>0</v>
      </c>
      <c r="BS145" s="38">
        <f t="shared" si="10"/>
        <v>1</v>
      </c>
      <c r="BT145" s="49">
        <f t="shared" si="11"/>
        <v>0</v>
      </c>
      <c r="BU145" s="38">
        <f t="shared" si="12"/>
        <v>1000</v>
      </c>
      <c r="BV145" s="46" t="str">
        <f>IFERROR(__xludf.DUMMYFUNCTION("""COMPUTED_VALUE"""),"Lutz")</f>
        <v>Lutz</v>
      </c>
      <c r="BW145" s="46">
        <f t="shared" si="13"/>
        <v>25</v>
      </c>
      <c r="BX145" s="47">
        <f t="shared" ref="BX145:CA145" si="546">AX145-$BU145</f>
        <v>-975</v>
      </c>
      <c r="BY145" s="47">
        <f t="shared" si="546"/>
        <v>-1000</v>
      </c>
      <c r="BZ145" s="47">
        <f t="shared" si="546"/>
        <v>-1000</v>
      </c>
      <c r="CA145" s="47">
        <f t="shared" si="546"/>
        <v>-1000</v>
      </c>
      <c r="CB145" s="47">
        <f t="shared" si="15"/>
        <v>-10000</v>
      </c>
      <c r="CC145" s="47">
        <f t="shared" ref="CC145:CQ145" si="547">BC145-$BU145</f>
        <v>-1000</v>
      </c>
      <c r="CD145" s="47">
        <f t="shared" si="547"/>
        <v>-1000</v>
      </c>
      <c r="CE145" s="47">
        <f t="shared" si="547"/>
        <v>-1000</v>
      </c>
      <c r="CF145" s="47">
        <f t="shared" si="547"/>
        <v>-1000</v>
      </c>
      <c r="CG145" s="47">
        <f t="shared" si="547"/>
        <v>-1000</v>
      </c>
      <c r="CH145" s="47">
        <f t="shared" si="547"/>
        <v>-1000</v>
      </c>
      <c r="CI145" s="47">
        <f t="shared" si="547"/>
        <v>-1000</v>
      </c>
      <c r="CJ145" s="47">
        <f t="shared" si="547"/>
        <v>-1000</v>
      </c>
      <c r="CK145" s="47">
        <f t="shared" si="547"/>
        <v>-1000</v>
      </c>
      <c r="CL145" s="47">
        <f t="shared" si="547"/>
        <v>-1000</v>
      </c>
      <c r="CM145" s="47">
        <f t="shared" si="547"/>
        <v>-1000</v>
      </c>
      <c r="CN145" s="47">
        <f t="shared" si="547"/>
        <v>-1000</v>
      </c>
      <c r="CO145" s="47">
        <f t="shared" si="547"/>
        <v>-1000</v>
      </c>
      <c r="CP145" s="47">
        <f t="shared" si="547"/>
        <v>-1000</v>
      </c>
      <c r="CQ145" s="47">
        <f t="shared" si="547"/>
        <v>-1000</v>
      </c>
      <c r="CR145" s="47"/>
      <c r="CS145" s="47"/>
      <c r="CT145" s="47"/>
      <c r="CU145" s="50" t="str">
        <f>IFERROR(__xludf.DUMMYFUNCTION("""COMPUTED_VALUE"""),"4500 Roland Avenue
Dallas, TX 75219          ")</f>
        <v>4500 Roland Avenue
Dallas, TX 75219          </v>
      </c>
      <c r="CV145" s="51">
        <f>IFERROR(__xludf.DUMMYFUNCTION("IF(REGEXMATCH(UPPER(CU145), ""TX""),0,1)"),0.0)</f>
        <v>0</v>
      </c>
      <c r="CW145" s="51">
        <f>IFERROR(__xludf.DUMMYFUNCTION("IF(REGEXMATCH(UPPER(CU145), ""DALLAS""),0,1)"),0.0)</f>
        <v>0</v>
      </c>
      <c r="CX145" s="51">
        <f t="shared" si="17"/>
        <v>0</v>
      </c>
      <c r="CY145" s="51">
        <f t="shared" si="18"/>
        <v>0</v>
      </c>
      <c r="CZ145" s="52" t="str">
        <f t="shared" si="19"/>
        <v/>
      </c>
      <c r="DA145" s="58"/>
      <c r="DB145" s="52"/>
      <c r="DC145" s="52"/>
      <c r="DD145" s="52"/>
      <c r="DE145" s="52"/>
      <c r="DF145" s="52"/>
      <c r="DG145" s="52"/>
      <c r="DH145" s="52"/>
      <c r="DI145" s="52"/>
      <c r="DJ145" s="52"/>
      <c r="DK145" s="52"/>
      <c r="DL145" s="52"/>
      <c r="DM145" s="52"/>
      <c r="DN145" s="52"/>
      <c r="DO145" s="52"/>
      <c r="DP145" s="52"/>
      <c r="DQ145" s="52"/>
      <c r="DR145" s="52"/>
      <c r="DS145" s="52"/>
      <c r="DT145" s="52"/>
      <c r="DU145" s="52"/>
      <c r="DV145" s="52"/>
      <c r="DW145" s="52"/>
    </row>
    <row r="146">
      <c r="A146" s="23" t="s">
        <v>64</v>
      </c>
      <c r="B146" s="23" t="s">
        <v>56</v>
      </c>
      <c r="C146" s="31" t="s">
        <v>430</v>
      </c>
      <c r="D146" s="25" t="str">
        <f>IFERROR(__xludf.DUMMYFUNCTION("SPLIT(C146,"" "")"),"Billingsley,")</f>
        <v>Billingsley,</v>
      </c>
      <c r="E146" s="22" t="str">
        <f>IFERROR(__xludf.DUMMYFUNCTION("""COMPUTED_VALUE"""),"Lucy
1722")</f>
        <v>Lucy
1722</v>
      </c>
      <c r="F146" s="22" t="str">
        <f>IFERROR(__xludf.DUMMYFUNCTION("""COMPUTED_VALUE"""),"Routh")</f>
        <v>Routh</v>
      </c>
      <c r="G146" s="22" t="str">
        <f>IFERROR(__xludf.DUMMYFUNCTION("""COMPUTED_VALUE"""),"Street
Dallas,")</f>
        <v>Street
Dallas,</v>
      </c>
      <c r="H146" s="22" t="str">
        <f>IFERROR(__xludf.DUMMYFUNCTION("""COMPUTED_VALUE"""),"TX")</f>
        <v>TX</v>
      </c>
      <c r="I146" s="22">
        <f>IFERROR(__xludf.DUMMYFUNCTION("""COMPUTED_VALUE"""),75201.0)</f>
        <v>75201</v>
      </c>
      <c r="J146" s="22"/>
      <c r="K146" s="22"/>
      <c r="L146" s="22"/>
      <c r="M146" s="22"/>
      <c r="N146" s="22"/>
      <c r="O146" s="22"/>
      <c r="P146" s="22"/>
      <c r="Q146" s="22"/>
      <c r="R146" s="22"/>
      <c r="S146" s="22"/>
      <c r="T146" s="22"/>
      <c r="U146" s="24" t="str">
        <f>IFERROR(__xludf.DUMMYFUNCTION("SPLIT(E146,""01234567890"")"),"Lucy
")</f>
        <v>Lucy
</v>
      </c>
      <c r="V146" s="24" t="str">
        <f>IFERROR(__xludf.DUMMYFUNCTION("SPLIT(D146,"","")"),"Billingsley")</f>
        <v>Billingsley</v>
      </c>
      <c r="W146" s="25" t="str">
        <f t="shared" si="1"/>
        <v>LUCY
 BILLINGSLEY</v>
      </c>
      <c r="X146" s="25" t="s">
        <v>431</v>
      </c>
      <c r="Y146" s="25">
        <v>75201.0</v>
      </c>
      <c r="Z146" s="25" t="str">
        <f>IFERROR(__xludf.DUMMYFUNCTION("SPLIT(C146,""
"")"),"Billingsley, Lucy")</f>
        <v>Billingsley, Lucy</v>
      </c>
      <c r="AA146" s="25" t="str">
        <f>IFERROR(__xludf.DUMMYFUNCTION("""COMPUTED_VALUE"""),"1722 Routh Street")</f>
        <v>1722 Routh Street</v>
      </c>
      <c r="AB146" s="25" t="str">
        <f>IFERROR(__xludf.DUMMYFUNCTION("""COMPUTED_VALUE"""),"Dallas, TX 75201")</f>
        <v>Dallas, TX 75201</v>
      </c>
      <c r="AC146" s="24" t="s">
        <v>425</v>
      </c>
      <c r="AD146" s="25"/>
      <c r="AE146" s="25"/>
      <c r="AF146" s="25"/>
      <c r="AG146" s="22" t="s">
        <v>60</v>
      </c>
      <c r="AH146" s="54">
        <v>2437.0</v>
      </c>
      <c r="AI146" s="22" t="s">
        <v>61</v>
      </c>
      <c r="AJ146" s="27">
        <v>1000.0</v>
      </c>
      <c r="AK146" s="31" t="s">
        <v>25</v>
      </c>
      <c r="AL146" s="28">
        <v>44701.0</v>
      </c>
      <c r="AM146" s="29">
        <v>44754.83237268519</v>
      </c>
      <c r="AN146" s="30">
        <v>2.0</v>
      </c>
      <c r="AO146" s="22"/>
      <c r="AP146" s="22"/>
      <c r="AQ146" s="22"/>
      <c r="AR146" s="22"/>
      <c r="AS146" s="31">
        <f>IFERROR(__xludf.DUMMYFUNCTION("""COMPUTED_VALUE"""),6060.0)</f>
        <v>6060</v>
      </c>
      <c r="AT146" s="45">
        <f t="shared" si="6"/>
        <v>1000</v>
      </c>
      <c r="AU146" s="22"/>
      <c r="AV146" s="57" t="str">
        <f>IFERROR(__xludf.DUMMYFUNCTION("""COMPUTED_VALUE"""),"Littlefield")</f>
        <v>Littlefield</v>
      </c>
      <c r="AW146" s="46">
        <f t="shared" si="7"/>
        <v>25</v>
      </c>
      <c r="AX146" s="47">
        <f t="shared" ref="AX146:BQ146" si="548">SUMIFS($AJ:$AJ,$V:$V,$AV146,$AK:$AK,AX$2)</f>
        <v>25</v>
      </c>
      <c r="AY146" s="48">
        <f t="shared" si="548"/>
        <v>0</v>
      </c>
      <c r="AZ146" s="48">
        <f t="shared" si="548"/>
        <v>0</v>
      </c>
      <c r="BA146" s="48">
        <f t="shared" si="548"/>
        <v>0</v>
      </c>
      <c r="BB146" s="48">
        <f t="shared" si="548"/>
        <v>0</v>
      </c>
      <c r="BC146" s="48">
        <f t="shared" si="548"/>
        <v>0</v>
      </c>
      <c r="BD146" s="48">
        <f t="shared" si="548"/>
        <v>0</v>
      </c>
      <c r="BE146" s="48">
        <f t="shared" si="548"/>
        <v>0</v>
      </c>
      <c r="BF146" s="48">
        <f t="shared" si="548"/>
        <v>0</v>
      </c>
      <c r="BG146" s="48">
        <f t="shared" si="548"/>
        <v>0</v>
      </c>
      <c r="BH146" s="48">
        <f t="shared" si="548"/>
        <v>0</v>
      </c>
      <c r="BI146" s="48">
        <f t="shared" si="548"/>
        <v>0</v>
      </c>
      <c r="BJ146" s="48">
        <f t="shared" si="548"/>
        <v>0</v>
      </c>
      <c r="BK146" s="48">
        <f t="shared" si="548"/>
        <v>0</v>
      </c>
      <c r="BL146" s="48">
        <f t="shared" si="548"/>
        <v>0</v>
      </c>
      <c r="BM146" s="48">
        <f t="shared" si="548"/>
        <v>0</v>
      </c>
      <c r="BN146" s="48">
        <f t="shared" si="548"/>
        <v>0</v>
      </c>
      <c r="BO146" s="48">
        <f t="shared" si="548"/>
        <v>0</v>
      </c>
      <c r="BP146" s="48">
        <f t="shared" si="548"/>
        <v>0</v>
      </c>
      <c r="BQ146" s="48">
        <f t="shared" si="548"/>
        <v>0</v>
      </c>
      <c r="BR146" s="36">
        <f t="shared" si="9"/>
        <v>0</v>
      </c>
      <c r="BS146" s="38">
        <f t="shared" si="10"/>
        <v>1</v>
      </c>
      <c r="BT146" s="49">
        <f t="shared" si="11"/>
        <v>0</v>
      </c>
      <c r="BU146" s="38">
        <f t="shared" si="12"/>
        <v>1000</v>
      </c>
      <c r="BV146" s="57" t="str">
        <f>IFERROR(__xludf.DUMMYFUNCTION("""COMPUTED_VALUE"""),"Littlefield")</f>
        <v>Littlefield</v>
      </c>
      <c r="BW146" s="46">
        <f t="shared" si="13"/>
        <v>25</v>
      </c>
      <c r="BX146" s="47">
        <f t="shared" ref="BX146:CA146" si="549">AX146-$BU146</f>
        <v>-975</v>
      </c>
      <c r="BY146" s="47">
        <f t="shared" si="549"/>
        <v>-1000</v>
      </c>
      <c r="BZ146" s="47">
        <f t="shared" si="549"/>
        <v>-1000</v>
      </c>
      <c r="CA146" s="47">
        <f t="shared" si="549"/>
        <v>-1000</v>
      </c>
      <c r="CB146" s="47">
        <f t="shared" si="15"/>
        <v>-10000</v>
      </c>
      <c r="CC146" s="47">
        <f t="shared" ref="CC146:CQ146" si="550">BC146-$BU146</f>
        <v>-1000</v>
      </c>
      <c r="CD146" s="47">
        <f t="shared" si="550"/>
        <v>-1000</v>
      </c>
      <c r="CE146" s="47">
        <f t="shared" si="550"/>
        <v>-1000</v>
      </c>
      <c r="CF146" s="47">
        <f t="shared" si="550"/>
        <v>-1000</v>
      </c>
      <c r="CG146" s="47">
        <f t="shared" si="550"/>
        <v>-1000</v>
      </c>
      <c r="CH146" s="47">
        <f t="shared" si="550"/>
        <v>-1000</v>
      </c>
      <c r="CI146" s="47">
        <f t="shared" si="550"/>
        <v>-1000</v>
      </c>
      <c r="CJ146" s="47">
        <f t="shared" si="550"/>
        <v>-1000</v>
      </c>
      <c r="CK146" s="47">
        <f t="shared" si="550"/>
        <v>-1000</v>
      </c>
      <c r="CL146" s="47">
        <f t="shared" si="550"/>
        <v>-1000</v>
      </c>
      <c r="CM146" s="47">
        <f t="shared" si="550"/>
        <v>-1000</v>
      </c>
      <c r="CN146" s="47">
        <f t="shared" si="550"/>
        <v>-1000</v>
      </c>
      <c r="CO146" s="47">
        <f t="shared" si="550"/>
        <v>-1000</v>
      </c>
      <c r="CP146" s="47">
        <f t="shared" si="550"/>
        <v>-1000</v>
      </c>
      <c r="CQ146" s="47">
        <f t="shared" si="550"/>
        <v>-1000</v>
      </c>
      <c r="CR146" s="47"/>
      <c r="CS146" s="47"/>
      <c r="CT146" s="47"/>
      <c r="CU146" s="50" t="str">
        <f>IFERROR(__xludf.DUMMYFUNCTION("""COMPUTED_VALUE"""),"6823 La Vista Dr.
Dallas, TX 75214         ")</f>
        <v>6823 La Vista Dr.
Dallas, TX 75214         </v>
      </c>
      <c r="CV146" s="51">
        <f>IFERROR(__xludf.DUMMYFUNCTION("IF(REGEXMATCH(UPPER(CU146), ""TX""),0,1)"),0.0)</f>
        <v>0</v>
      </c>
      <c r="CW146" s="51">
        <f>IFERROR(__xludf.DUMMYFUNCTION("IF(REGEXMATCH(UPPER(CU146), ""DALLAS""),0,1)"),0.0)</f>
        <v>0</v>
      </c>
      <c r="CX146" s="51">
        <f t="shared" si="17"/>
        <v>0</v>
      </c>
      <c r="CY146" s="51">
        <f t="shared" si="18"/>
        <v>0</v>
      </c>
      <c r="CZ146" s="52" t="str">
        <f t="shared" si="19"/>
        <v/>
      </c>
      <c r="DA146" s="58"/>
      <c r="DB146" s="52"/>
      <c r="DC146" s="52"/>
      <c r="DD146" s="52"/>
      <c r="DE146" s="52"/>
      <c r="DF146" s="52"/>
      <c r="DG146" s="52"/>
      <c r="DH146" s="52"/>
      <c r="DI146" s="52"/>
      <c r="DJ146" s="52"/>
      <c r="DK146" s="52"/>
      <c r="DL146" s="52"/>
      <c r="DM146" s="52"/>
      <c r="DN146" s="52"/>
      <c r="DO146" s="52"/>
      <c r="DP146" s="52"/>
      <c r="DQ146" s="52"/>
      <c r="DR146" s="52"/>
      <c r="DS146" s="52"/>
      <c r="DT146" s="52"/>
      <c r="DU146" s="52"/>
      <c r="DV146" s="52"/>
      <c r="DW146" s="52"/>
    </row>
    <row r="147">
      <c r="A147" s="41" t="s">
        <v>64</v>
      </c>
      <c r="B147" s="41" t="s">
        <v>56</v>
      </c>
      <c r="C147" s="31" t="s">
        <v>430</v>
      </c>
      <c r="D147" s="25" t="str">
        <f>IFERROR(__xludf.DUMMYFUNCTION("SPLIT(C147,"" "")"),"Billingsley,")</f>
        <v>Billingsley,</v>
      </c>
      <c r="E147" s="40" t="str">
        <f>IFERROR(__xludf.DUMMYFUNCTION("""COMPUTED_VALUE"""),"Lucy
1722")</f>
        <v>Lucy
1722</v>
      </c>
      <c r="F147" s="40" t="str">
        <f>IFERROR(__xludf.DUMMYFUNCTION("""COMPUTED_VALUE"""),"Routh")</f>
        <v>Routh</v>
      </c>
      <c r="G147" s="40" t="str">
        <f>IFERROR(__xludf.DUMMYFUNCTION("""COMPUTED_VALUE"""),"Street
Dallas,")</f>
        <v>Street
Dallas,</v>
      </c>
      <c r="H147" s="40" t="str">
        <f>IFERROR(__xludf.DUMMYFUNCTION("""COMPUTED_VALUE"""),"TX")</f>
        <v>TX</v>
      </c>
      <c r="I147" s="40">
        <f>IFERROR(__xludf.DUMMYFUNCTION("""COMPUTED_VALUE"""),75201.0)</f>
        <v>75201</v>
      </c>
      <c r="J147" s="40"/>
      <c r="K147" s="40"/>
      <c r="L147" s="40"/>
      <c r="M147" s="40"/>
      <c r="N147" s="40"/>
      <c r="O147" s="40"/>
      <c r="P147" s="40"/>
      <c r="Q147" s="40"/>
      <c r="R147" s="40"/>
      <c r="S147" s="40"/>
      <c r="T147" s="40"/>
      <c r="U147" s="24" t="str">
        <f>IFERROR(__xludf.DUMMYFUNCTION("SPLIT(E147,""01234567890"")"),"Lucy
")</f>
        <v>Lucy
</v>
      </c>
      <c r="V147" s="24" t="str">
        <f>IFERROR(__xludf.DUMMYFUNCTION("SPLIT(D147,"","")"),"Billingsley")</f>
        <v>Billingsley</v>
      </c>
      <c r="W147" s="25" t="str">
        <f t="shared" si="1"/>
        <v>LUCY
 BILLINGSLEY</v>
      </c>
      <c r="X147" s="25" t="s">
        <v>431</v>
      </c>
      <c r="Y147" s="25">
        <v>75201.0</v>
      </c>
      <c r="Z147" s="25" t="str">
        <f>IFERROR(__xludf.DUMMYFUNCTION("SPLIT(C147,""
"")"),"Billingsley, Lucy")</f>
        <v>Billingsley, Lucy</v>
      </c>
      <c r="AA147" s="25" t="str">
        <f>IFERROR(__xludf.DUMMYFUNCTION("""COMPUTED_VALUE"""),"1722 Routh Street")</f>
        <v>1722 Routh Street</v>
      </c>
      <c r="AB147" s="25" t="str">
        <f>IFERROR(__xludf.DUMMYFUNCTION("""COMPUTED_VALUE"""),"Dallas, TX 75201")</f>
        <v>Dallas, TX 75201</v>
      </c>
      <c r="AC147" s="24" t="s">
        <v>425</v>
      </c>
      <c r="AD147" s="25"/>
      <c r="AE147" s="25"/>
      <c r="AF147" s="25"/>
      <c r="AG147" s="40" t="s">
        <v>60</v>
      </c>
      <c r="AH147" s="42">
        <v>2481.0</v>
      </c>
      <c r="AI147" s="40" t="s">
        <v>68</v>
      </c>
      <c r="AJ147" s="27">
        <v>500.0</v>
      </c>
      <c r="AK147" s="31" t="s">
        <v>25</v>
      </c>
      <c r="AL147" s="43">
        <v>44826.0</v>
      </c>
      <c r="AM147" s="44">
        <v>44937.81995370371</v>
      </c>
      <c r="AN147" s="30">
        <v>2.0</v>
      </c>
      <c r="AO147" s="40"/>
      <c r="AP147" s="40"/>
      <c r="AQ147" s="40"/>
      <c r="AR147" s="40"/>
      <c r="AS147" s="31" t="str">
        <f>IFERROR(__xludf.DUMMYFUNCTION("""COMPUTED_VALUE"""),"75237-2702")</f>
        <v>75237-2702</v>
      </c>
      <c r="AT147" s="45">
        <f t="shared" si="6"/>
        <v>1000</v>
      </c>
      <c r="AU147" s="40"/>
      <c r="AV147" s="46" t="str">
        <f>IFERROR(__xludf.DUMMYFUNCTION("""COMPUTED_VALUE"""),"Venton")</f>
        <v>Venton</v>
      </c>
      <c r="AW147" s="46">
        <f t="shared" si="7"/>
        <v>237</v>
      </c>
      <c r="AX147" s="47">
        <f t="shared" ref="AX147:BQ147" si="551">SUMIFS($AJ:$AJ,$V:$V,$AV147,$AK:$AK,AX$2)</f>
        <v>237</v>
      </c>
      <c r="AY147" s="48">
        <f t="shared" si="551"/>
        <v>0</v>
      </c>
      <c r="AZ147" s="48">
        <f t="shared" si="551"/>
        <v>0</v>
      </c>
      <c r="BA147" s="48">
        <f t="shared" si="551"/>
        <v>0</v>
      </c>
      <c r="BB147" s="48">
        <f t="shared" si="551"/>
        <v>0</v>
      </c>
      <c r="BC147" s="48">
        <f t="shared" si="551"/>
        <v>0</v>
      </c>
      <c r="BD147" s="48">
        <f t="shared" si="551"/>
        <v>0</v>
      </c>
      <c r="BE147" s="48">
        <f t="shared" si="551"/>
        <v>0</v>
      </c>
      <c r="BF147" s="48">
        <f t="shared" si="551"/>
        <v>0</v>
      </c>
      <c r="BG147" s="48">
        <f t="shared" si="551"/>
        <v>0</v>
      </c>
      <c r="BH147" s="48">
        <f t="shared" si="551"/>
        <v>0</v>
      </c>
      <c r="BI147" s="48">
        <f t="shared" si="551"/>
        <v>0</v>
      </c>
      <c r="BJ147" s="48">
        <f t="shared" si="551"/>
        <v>0</v>
      </c>
      <c r="BK147" s="48">
        <f t="shared" si="551"/>
        <v>0</v>
      </c>
      <c r="BL147" s="48">
        <f t="shared" si="551"/>
        <v>0</v>
      </c>
      <c r="BM147" s="48">
        <f t="shared" si="551"/>
        <v>0</v>
      </c>
      <c r="BN147" s="48">
        <f t="shared" si="551"/>
        <v>0</v>
      </c>
      <c r="BO147" s="48">
        <f t="shared" si="551"/>
        <v>0</v>
      </c>
      <c r="BP147" s="48">
        <f t="shared" si="551"/>
        <v>0</v>
      </c>
      <c r="BQ147" s="48">
        <f t="shared" si="551"/>
        <v>0</v>
      </c>
      <c r="BR147" s="36">
        <f t="shared" si="9"/>
        <v>0</v>
      </c>
      <c r="BS147" s="38">
        <f t="shared" si="10"/>
        <v>1</v>
      </c>
      <c r="BT147" s="49">
        <f t="shared" si="11"/>
        <v>0</v>
      </c>
      <c r="BU147" s="38">
        <f t="shared" si="12"/>
        <v>1000</v>
      </c>
      <c r="BV147" s="46" t="str">
        <f>IFERROR(__xludf.DUMMYFUNCTION("""COMPUTED_VALUE"""),"Venton")</f>
        <v>Venton</v>
      </c>
      <c r="BW147" s="46">
        <f t="shared" si="13"/>
        <v>237</v>
      </c>
      <c r="BX147" s="47">
        <f t="shared" ref="BX147:CA147" si="552">AX147-$BU147</f>
        <v>-763</v>
      </c>
      <c r="BY147" s="47">
        <f t="shared" si="552"/>
        <v>-1000</v>
      </c>
      <c r="BZ147" s="47">
        <f t="shared" si="552"/>
        <v>-1000</v>
      </c>
      <c r="CA147" s="47">
        <f t="shared" si="552"/>
        <v>-1000</v>
      </c>
      <c r="CB147" s="47">
        <f t="shared" si="15"/>
        <v>-10000</v>
      </c>
      <c r="CC147" s="47">
        <f t="shared" ref="CC147:CQ147" si="553">BC147-$BU147</f>
        <v>-1000</v>
      </c>
      <c r="CD147" s="47">
        <f t="shared" si="553"/>
        <v>-1000</v>
      </c>
      <c r="CE147" s="47">
        <f t="shared" si="553"/>
        <v>-1000</v>
      </c>
      <c r="CF147" s="47">
        <f t="shared" si="553"/>
        <v>-1000</v>
      </c>
      <c r="CG147" s="47">
        <f t="shared" si="553"/>
        <v>-1000</v>
      </c>
      <c r="CH147" s="47">
        <f t="shared" si="553"/>
        <v>-1000</v>
      </c>
      <c r="CI147" s="47">
        <f t="shared" si="553"/>
        <v>-1000</v>
      </c>
      <c r="CJ147" s="47">
        <f t="shared" si="553"/>
        <v>-1000</v>
      </c>
      <c r="CK147" s="47">
        <f t="shared" si="553"/>
        <v>-1000</v>
      </c>
      <c r="CL147" s="47">
        <f t="shared" si="553"/>
        <v>-1000</v>
      </c>
      <c r="CM147" s="47">
        <f t="shared" si="553"/>
        <v>-1000</v>
      </c>
      <c r="CN147" s="47">
        <f t="shared" si="553"/>
        <v>-1000</v>
      </c>
      <c r="CO147" s="47">
        <f t="shared" si="553"/>
        <v>-1000</v>
      </c>
      <c r="CP147" s="47">
        <f t="shared" si="553"/>
        <v>-1000</v>
      </c>
      <c r="CQ147" s="47">
        <f t="shared" si="553"/>
        <v>-1000</v>
      </c>
      <c r="CR147" s="47"/>
      <c r="CS147" s="47"/>
      <c r="CT147" s="47"/>
      <c r="CU147" s="50" t="str">
        <f>IFERROR(__xludf.DUMMYFUNCTION("""COMPUTED_VALUE"""),"6823 La Vista Dr
Dallas, TX 75214         ")</f>
        <v>6823 La Vista Dr
Dallas, TX 75214         </v>
      </c>
      <c r="CV147" s="51">
        <f>IFERROR(__xludf.DUMMYFUNCTION("IF(REGEXMATCH(UPPER(CU147), ""TX""),0,1)"),0.0)</f>
        <v>0</v>
      </c>
      <c r="CW147" s="51">
        <f>IFERROR(__xludf.DUMMYFUNCTION("IF(REGEXMATCH(UPPER(CU147), ""DALLAS""),0,1)"),0.0)</f>
        <v>0</v>
      </c>
      <c r="CX147" s="51">
        <f t="shared" si="17"/>
        <v>0</v>
      </c>
      <c r="CY147" s="51">
        <f t="shared" si="18"/>
        <v>0</v>
      </c>
      <c r="CZ147" s="52" t="str">
        <f t="shared" si="19"/>
        <v/>
      </c>
      <c r="DA147" s="58"/>
      <c r="DB147" s="52"/>
      <c r="DC147" s="52"/>
      <c r="DD147" s="52"/>
      <c r="DE147" s="52"/>
      <c r="DF147" s="52"/>
      <c r="DG147" s="52"/>
      <c r="DH147" s="52"/>
      <c r="DI147" s="52"/>
      <c r="DJ147" s="52"/>
      <c r="DK147" s="52"/>
      <c r="DL147" s="52"/>
      <c r="DM147" s="52"/>
      <c r="DN147" s="52"/>
      <c r="DO147" s="52"/>
      <c r="DP147" s="52"/>
      <c r="DQ147" s="52"/>
      <c r="DR147" s="52"/>
      <c r="DS147" s="52"/>
      <c r="DT147" s="52"/>
      <c r="DU147" s="52"/>
      <c r="DV147" s="52"/>
      <c r="DW147" s="52"/>
    </row>
    <row r="148">
      <c r="A148" s="23" t="s">
        <v>64</v>
      </c>
      <c r="B148" s="23" t="s">
        <v>56</v>
      </c>
      <c r="C148" s="31" t="s">
        <v>430</v>
      </c>
      <c r="D148" s="25" t="str">
        <f>IFERROR(__xludf.DUMMYFUNCTION("SPLIT(C148,"" "")"),"Billingsley,")</f>
        <v>Billingsley,</v>
      </c>
      <c r="E148" s="22" t="str">
        <f>IFERROR(__xludf.DUMMYFUNCTION("""COMPUTED_VALUE"""),"Lucy
1722")</f>
        <v>Lucy
1722</v>
      </c>
      <c r="F148" s="22" t="str">
        <f>IFERROR(__xludf.DUMMYFUNCTION("""COMPUTED_VALUE"""),"Routh")</f>
        <v>Routh</v>
      </c>
      <c r="G148" s="22" t="str">
        <f>IFERROR(__xludf.DUMMYFUNCTION("""COMPUTED_VALUE"""),"Street
Dallas,")</f>
        <v>Street
Dallas,</v>
      </c>
      <c r="H148" s="22" t="str">
        <f>IFERROR(__xludf.DUMMYFUNCTION("""COMPUTED_VALUE"""),"TX")</f>
        <v>TX</v>
      </c>
      <c r="I148" s="22">
        <f>IFERROR(__xludf.DUMMYFUNCTION("""COMPUTED_VALUE"""),75201.0)</f>
        <v>75201</v>
      </c>
      <c r="J148" s="22"/>
      <c r="K148" s="22"/>
      <c r="L148" s="22"/>
      <c r="M148" s="22"/>
      <c r="N148" s="22"/>
      <c r="O148" s="22"/>
      <c r="P148" s="22"/>
      <c r="Q148" s="22"/>
      <c r="R148" s="22"/>
      <c r="S148" s="22"/>
      <c r="T148" s="22"/>
      <c r="U148" s="24" t="str">
        <f>IFERROR(__xludf.DUMMYFUNCTION("SPLIT(E148,""01234567890"")"),"Lucy
")</f>
        <v>Lucy
</v>
      </c>
      <c r="V148" s="24" t="str">
        <f>IFERROR(__xludf.DUMMYFUNCTION("SPLIT(D148,"","")"),"Billingsley")</f>
        <v>Billingsley</v>
      </c>
      <c r="W148" s="25" t="str">
        <f t="shared" si="1"/>
        <v>LUCY
 BILLINGSLEY</v>
      </c>
      <c r="X148" s="25" t="s">
        <v>431</v>
      </c>
      <c r="Y148" s="25">
        <v>75201.0</v>
      </c>
      <c r="Z148" s="25" t="str">
        <f>IFERROR(__xludf.DUMMYFUNCTION("SPLIT(C148,""
"")"),"Billingsley, Lucy")</f>
        <v>Billingsley, Lucy</v>
      </c>
      <c r="AA148" s="25" t="str">
        <f>IFERROR(__xludf.DUMMYFUNCTION("""COMPUTED_VALUE"""),"1722 Routh Street")</f>
        <v>1722 Routh Street</v>
      </c>
      <c r="AB148" s="25" t="str">
        <f>IFERROR(__xludf.DUMMYFUNCTION("""COMPUTED_VALUE"""),"Dallas, TX 75201")</f>
        <v>Dallas, TX 75201</v>
      </c>
      <c r="AC148" s="24" t="s">
        <v>425</v>
      </c>
      <c r="AD148" s="25"/>
      <c r="AE148" s="25"/>
      <c r="AF148" s="25"/>
      <c r="AG148" s="22" t="s">
        <v>60</v>
      </c>
      <c r="AH148" s="54">
        <v>2486.0</v>
      </c>
      <c r="AI148" s="22" t="s">
        <v>68</v>
      </c>
      <c r="AJ148" s="27">
        <v>500.0</v>
      </c>
      <c r="AK148" s="31" t="s">
        <v>24</v>
      </c>
      <c r="AL148" s="28">
        <v>44848.0</v>
      </c>
      <c r="AM148" s="29">
        <v>44942.42989583333</v>
      </c>
      <c r="AN148" s="30">
        <v>2.0</v>
      </c>
      <c r="AO148" s="22"/>
      <c r="AP148" s="22"/>
      <c r="AQ148" s="22"/>
      <c r="AR148" s="22"/>
      <c r="AS148" s="31">
        <f>IFERROR(__xludf.DUMMYFUNCTION("""COMPUTED_VALUE"""),76264.0)</f>
        <v>76264</v>
      </c>
      <c r="AT148" s="45">
        <f t="shared" si="6"/>
        <v>1000</v>
      </c>
      <c r="AU148" s="22"/>
      <c r="AV148" s="57" t="str">
        <f>IFERROR(__xludf.DUMMYFUNCTION("""COMPUTED_VALUE"""),"Page")</f>
        <v>Page</v>
      </c>
      <c r="AW148" s="46">
        <f t="shared" si="7"/>
        <v>1600</v>
      </c>
      <c r="AX148" s="47">
        <f t="shared" ref="AX148:BQ148" si="554">SUMIFS($AJ:$AJ,$V:$V,$AV148,$AK:$AK,AX$2)</f>
        <v>250</v>
      </c>
      <c r="AY148" s="48">
        <f t="shared" si="554"/>
        <v>0</v>
      </c>
      <c r="AZ148" s="48">
        <f t="shared" si="554"/>
        <v>0</v>
      </c>
      <c r="BA148" s="48">
        <f t="shared" si="554"/>
        <v>250</v>
      </c>
      <c r="BB148" s="48">
        <f t="shared" si="554"/>
        <v>100</v>
      </c>
      <c r="BC148" s="48">
        <f t="shared" si="554"/>
        <v>0</v>
      </c>
      <c r="BD148" s="48">
        <f t="shared" si="554"/>
        <v>0</v>
      </c>
      <c r="BE148" s="48">
        <f t="shared" si="554"/>
        <v>0</v>
      </c>
      <c r="BF148" s="48">
        <f t="shared" si="554"/>
        <v>0</v>
      </c>
      <c r="BG148" s="48">
        <f t="shared" si="554"/>
        <v>0</v>
      </c>
      <c r="BH148" s="48">
        <f t="shared" si="554"/>
        <v>0</v>
      </c>
      <c r="BI148" s="48">
        <f t="shared" si="554"/>
        <v>0</v>
      </c>
      <c r="BJ148" s="48">
        <f t="shared" si="554"/>
        <v>0</v>
      </c>
      <c r="BK148" s="48">
        <f t="shared" si="554"/>
        <v>1000</v>
      </c>
      <c r="BL148" s="48">
        <f t="shared" si="554"/>
        <v>0</v>
      </c>
      <c r="BM148" s="48">
        <f t="shared" si="554"/>
        <v>0</v>
      </c>
      <c r="BN148" s="48">
        <f t="shared" si="554"/>
        <v>0</v>
      </c>
      <c r="BO148" s="48">
        <f t="shared" si="554"/>
        <v>0</v>
      </c>
      <c r="BP148" s="48">
        <f t="shared" si="554"/>
        <v>0</v>
      </c>
      <c r="BQ148" s="48">
        <f t="shared" si="554"/>
        <v>0</v>
      </c>
      <c r="BR148" s="36">
        <f t="shared" si="9"/>
        <v>1</v>
      </c>
      <c r="BS148" s="38">
        <f t="shared" si="10"/>
        <v>3</v>
      </c>
      <c r="BT148" s="49">
        <f t="shared" si="11"/>
        <v>0</v>
      </c>
      <c r="BU148" s="38">
        <f t="shared" si="12"/>
        <v>3000</v>
      </c>
      <c r="BV148" s="57" t="str">
        <f>IFERROR(__xludf.DUMMYFUNCTION("""COMPUTED_VALUE"""),"Page")</f>
        <v>Page</v>
      </c>
      <c r="BW148" s="46">
        <f t="shared" si="13"/>
        <v>1600</v>
      </c>
      <c r="BX148" s="47">
        <f t="shared" ref="BX148:CA148" si="555">AX148-$BU148</f>
        <v>-2750</v>
      </c>
      <c r="BY148" s="47">
        <f t="shared" si="555"/>
        <v>-3000</v>
      </c>
      <c r="BZ148" s="47">
        <f t="shared" si="555"/>
        <v>-3000</v>
      </c>
      <c r="CA148" s="47">
        <f t="shared" si="555"/>
        <v>-2750</v>
      </c>
      <c r="CB148" s="47">
        <f t="shared" si="15"/>
        <v>-29900</v>
      </c>
      <c r="CC148" s="47">
        <f t="shared" ref="CC148:CQ148" si="556">BC148-$BU148</f>
        <v>-3000</v>
      </c>
      <c r="CD148" s="47">
        <f t="shared" si="556"/>
        <v>-3000</v>
      </c>
      <c r="CE148" s="47">
        <f t="shared" si="556"/>
        <v>-3000</v>
      </c>
      <c r="CF148" s="47">
        <f t="shared" si="556"/>
        <v>-3000</v>
      </c>
      <c r="CG148" s="47">
        <f t="shared" si="556"/>
        <v>-3000</v>
      </c>
      <c r="CH148" s="47">
        <f t="shared" si="556"/>
        <v>-3000</v>
      </c>
      <c r="CI148" s="47">
        <f t="shared" si="556"/>
        <v>-3000</v>
      </c>
      <c r="CJ148" s="47">
        <f t="shared" si="556"/>
        <v>-3000</v>
      </c>
      <c r="CK148" s="47">
        <f t="shared" si="556"/>
        <v>-2000</v>
      </c>
      <c r="CL148" s="47">
        <f t="shared" si="556"/>
        <v>-3000</v>
      </c>
      <c r="CM148" s="47">
        <f t="shared" si="556"/>
        <v>-3000</v>
      </c>
      <c r="CN148" s="47">
        <f t="shared" si="556"/>
        <v>-3000</v>
      </c>
      <c r="CO148" s="47">
        <f t="shared" si="556"/>
        <v>-3000</v>
      </c>
      <c r="CP148" s="47">
        <f t="shared" si="556"/>
        <v>-3000</v>
      </c>
      <c r="CQ148" s="47">
        <f t="shared" si="556"/>
        <v>-3000</v>
      </c>
      <c r="CR148" s="47"/>
      <c r="CS148" s="47"/>
      <c r="CT148" s="47"/>
      <c r="CU148" s="50" t="str">
        <f>IFERROR(__xludf.DUMMYFUNCTION("""COMPUTED_VALUE"""),"12032 Excelsior Way
Dallas, TX 75230          ")</f>
        <v>12032 Excelsior Way
Dallas, TX 75230          </v>
      </c>
      <c r="CV148" s="51">
        <f>IFERROR(__xludf.DUMMYFUNCTION("IF(REGEXMATCH(UPPER(CU148), ""TX""),0,1)"),0.0)</f>
        <v>0</v>
      </c>
      <c r="CW148" s="51">
        <f>IFERROR(__xludf.DUMMYFUNCTION("IF(REGEXMATCH(UPPER(CU148), ""DALLAS""),0,1)"),0.0)</f>
        <v>0</v>
      </c>
      <c r="CX148" s="51">
        <f t="shared" si="17"/>
        <v>0</v>
      </c>
      <c r="CY148" s="51">
        <f t="shared" si="18"/>
        <v>0</v>
      </c>
      <c r="CZ148" s="52" t="str">
        <f t="shared" si="19"/>
        <v/>
      </c>
      <c r="DA148" s="58"/>
      <c r="DB148" s="52"/>
      <c r="DC148" s="52"/>
      <c r="DD148" s="52"/>
      <c r="DE148" s="52"/>
      <c r="DF148" s="52"/>
      <c r="DG148" s="52"/>
      <c r="DH148" s="52"/>
      <c r="DI148" s="52"/>
      <c r="DJ148" s="52"/>
      <c r="DK148" s="52"/>
      <c r="DL148" s="52"/>
      <c r="DM148" s="52"/>
      <c r="DN148" s="52"/>
      <c r="DO148" s="52"/>
      <c r="DP148" s="52"/>
      <c r="DQ148" s="52"/>
      <c r="DR148" s="52"/>
      <c r="DS148" s="52"/>
      <c r="DT148" s="52"/>
      <c r="DU148" s="52"/>
      <c r="DV148" s="52"/>
      <c r="DW148" s="52"/>
    </row>
    <row r="149">
      <c r="A149" s="41" t="s">
        <v>64</v>
      </c>
      <c r="B149" s="41" t="s">
        <v>56</v>
      </c>
      <c r="C149" s="31" t="s">
        <v>432</v>
      </c>
      <c r="D149" s="25" t="str">
        <f>IFERROR(__xludf.DUMMYFUNCTION("SPLIT(C149,"" "")"),"Billingsley,")</f>
        <v>Billingsley,</v>
      </c>
      <c r="E149" s="40" t="str">
        <f>IFERROR(__xludf.DUMMYFUNCTION("""COMPUTED_VALUE"""),"Lucy
1723")</f>
        <v>Lucy
1723</v>
      </c>
      <c r="F149" s="40" t="str">
        <f>IFERROR(__xludf.DUMMYFUNCTION("""COMPUTED_VALUE"""),"Routh")</f>
        <v>Routh</v>
      </c>
      <c r="G149" s="40" t="str">
        <f>IFERROR(__xludf.DUMMYFUNCTION("""COMPUTED_VALUE"""),"Street
Dallas,")</f>
        <v>Street
Dallas,</v>
      </c>
      <c r="H149" s="40" t="str">
        <f>IFERROR(__xludf.DUMMYFUNCTION("""COMPUTED_VALUE"""),"TX")</f>
        <v>TX</v>
      </c>
      <c r="I149" s="40">
        <f>IFERROR(__xludf.DUMMYFUNCTION("""COMPUTED_VALUE"""),75201.0)</f>
        <v>75201</v>
      </c>
      <c r="J149" s="40"/>
      <c r="K149" s="40"/>
      <c r="L149" s="40"/>
      <c r="M149" s="40"/>
      <c r="N149" s="40"/>
      <c r="O149" s="40"/>
      <c r="P149" s="40"/>
      <c r="Q149" s="40"/>
      <c r="R149" s="40"/>
      <c r="S149" s="40"/>
      <c r="T149" s="40"/>
      <c r="U149" s="24" t="str">
        <f>IFERROR(__xludf.DUMMYFUNCTION("SPLIT(E149,""01234567890"")"),"Lucy
")</f>
        <v>Lucy
</v>
      </c>
      <c r="V149" s="24" t="str">
        <f>IFERROR(__xludf.DUMMYFUNCTION("SPLIT(D149,"","")"),"Billingsley")</f>
        <v>Billingsley</v>
      </c>
      <c r="W149" s="25" t="str">
        <f t="shared" si="1"/>
        <v>LUCY
 BILLINGSLEY</v>
      </c>
      <c r="X149" s="25" t="s">
        <v>433</v>
      </c>
      <c r="Y149" s="25">
        <v>75201.0</v>
      </c>
      <c r="Z149" s="25" t="str">
        <f>IFERROR(__xludf.DUMMYFUNCTION("SPLIT(C149,""
"")"),"Billingsley, Lucy")</f>
        <v>Billingsley, Lucy</v>
      </c>
      <c r="AA149" s="25" t="str">
        <f>IFERROR(__xludf.DUMMYFUNCTION("""COMPUTED_VALUE"""),"1723 Routh Street")</f>
        <v>1723 Routh Street</v>
      </c>
      <c r="AB149" s="25" t="str">
        <f>IFERROR(__xludf.DUMMYFUNCTION("""COMPUTED_VALUE"""),"Dallas, TX 75201")</f>
        <v>Dallas, TX 75201</v>
      </c>
      <c r="AC149" s="24" t="s">
        <v>425</v>
      </c>
      <c r="AD149" s="25"/>
      <c r="AE149" s="25"/>
      <c r="AF149" s="25"/>
      <c r="AG149" s="40" t="s">
        <v>60</v>
      </c>
      <c r="AH149" s="42">
        <v>2481.0</v>
      </c>
      <c r="AI149" s="40" t="s">
        <v>68</v>
      </c>
      <c r="AJ149" s="27">
        <v>1000.0</v>
      </c>
      <c r="AK149" s="31" t="s">
        <v>25</v>
      </c>
      <c r="AL149" s="43">
        <v>44902.0</v>
      </c>
      <c r="AM149" s="44">
        <v>44937.81995370371</v>
      </c>
      <c r="AN149" s="30">
        <v>2.0</v>
      </c>
      <c r="AO149" s="40"/>
      <c r="AP149" s="40"/>
      <c r="AQ149" s="40"/>
      <c r="AR149" s="40"/>
      <c r="AS149" s="31">
        <f>IFERROR(__xludf.DUMMYFUNCTION("""COMPUTED_VALUE"""),75116.0)</f>
        <v>75116</v>
      </c>
      <c r="AT149" s="45">
        <f t="shared" si="6"/>
        <v>1000</v>
      </c>
      <c r="AU149" s="40"/>
      <c r="AV149" s="46" t="str">
        <f>IFERROR(__xludf.DUMMYFUNCTION("""COMPUTED_VALUE"""),"Gates")</f>
        <v>Gates</v>
      </c>
      <c r="AW149" s="46">
        <f t="shared" si="7"/>
        <v>3500</v>
      </c>
      <c r="AX149" s="47">
        <f t="shared" ref="AX149:BQ149" si="557">SUMIFS($AJ:$AJ,$V:$V,$AV149,$AK:$AK,AX$2)</f>
        <v>500</v>
      </c>
      <c r="AY149" s="48">
        <f t="shared" si="557"/>
        <v>0</v>
      </c>
      <c r="AZ149" s="48">
        <f t="shared" si="557"/>
        <v>0</v>
      </c>
      <c r="BA149" s="48">
        <f t="shared" si="557"/>
        <v>1000</v>
      </c>
      <c r="BB149" s="48">
        <f t="shared" si="557"/>
        <v>2000</v>
      </c>
      <c r="BC149" s="48">
        <f t="shared" si="557"/>
        <v>0</v>
      </c>
      <c r="BD149" s="48">
        <f t="shared" si="557"/>
        <v>0</v>
      </c>
      <c r="BE149" s="48">
        <f t="shared" si="557"/>
        <v>0</v>
      </c>
      <c r="BF149" s="48">
        <f t="shared" si="557"/>
        <v>0</v>
      </c>
      <c r="BG149" s="48">
        <f t="shared" si="557"/>
        <v>0</v>
      </c>
      <c r="BH149" s="48">
        <f t="shared" si="557"/>
        <v>0</v>
      </c>
      <c r="BI149" s="48">
        <f t="shared" si="557"/>
        <v>0</v>
      </c>
      <c r="BJ149" s="48">
        <f t="shared" si="557"/>
        <v>0</v>
      </c>
      <c r="BK149" s="48">
        <f t="shared" si="557"/>
        <v>0</v>
      </c>
      <c r="BL149" s="48">
        <f t="shared" si="557"/>
        <v>0</v>
      </c>
      <c r="BM149" s="48">
        <f t="shared" si="557"/>
        <v>0</v>
      </c>
      <c r="BN149" s="48">
        <f t="shared" si="557"/>
        <v>0</v>
      </c>
      <c r="BO149" s="48">
        <f t="shared" si="557"/>
        <v>0</v>
      </c>
      <c r="BP149" s="48">
        <f t="shared" si="557"/>
        <v>0</v>
      </c>
      <c r="BQ149" s="48">
        <f t="shared" si="557"/>
        <v>0</v>
      </c>
      <c r="BR149" s="36">
        <f t="shared" si="9"/>
        <v>1</v>
      </c>
      <c r="BS149" s="38">
        <f t="shared" si="10"/>
        <v>2</v>
      </c>
      <c r="BT149" s="49">
        <f t="shared" si="11"/>
        <v>0</v>
      </c>
      <c r="BU149" s="38">
        <f t="shared" si="12"/>
        <v>2000</v>
      </c>
      <c r="BV149" s="46" t="str">
        <f>IFERROR(__xludf.DUMMYFUNCTION("""COMPUTED_VALUE"""),"Gates")</f>
        <v>Gates</v>
      </c>
      <c r="BW149" s="46">
        <f t="shared" si="13"/>
        <v>3500</v>
      </c>
      <c r="BX149" s="47">
        <f t="shared" ref="BX149:CA149" si="558">AX149-$BU149</f>
        <v>-1500</v>
      </c>
      <c r="BY149" s="47">
        <f t="shared" si="558"/>
        <v>-2000</v>
      </c>
      <c r="BZ149" s="47">
        <f t="shared" si="558"/>
        <v>-2000</v>
      </c>
      <c r="CA149" s="47">
        <f t="shared" si="558"/>
        <v>-1000</v>
      </c>
      <c r="CB149" s="47">
        <f t="shared" si="15"/>
        <v>-18000</v>
      </c>
      <c r="CC149" s="47">
        <f t="shared" ref="CC149:CQ149" si="559">BC149-$BU149</f>
        <v>-2000</v>
      </c>
      <c r="CD149" s="47">
        <f t="shared" si="559"/>
        <v>-2000</v>
      </c>
      <c r="CE149" s="47">
        <f t="shared" si="559"/>
        <v>-2000</v>
      </c>
      <c r="CF149" s="47">
        <f t="shared" si="559"/>
        <v>-2000</v>
      </c>
      <c r="CG149" s="47">
        <f t="shared" si="559"/>
        <v>-2000</v>
      </c>
      <c r="CH149" s="47">
        <f t="shared" si="559"/>
        <v>-2000</v>
      </c>
      <c r="CI149" s="47">
        <f t="shared" si="559"/>
        <v>-2000</v>
      </c>
      <c r="CJ149" s="47">
        <f t="shared" si="559"/>
        <v>-2000</v>
      </c>
      <c r="CK149" s="47">
        <f t="shared" si="559"/>
        <v>-2000</v>
      </c>
      <c r="CL149" s="47">
        <f t="shared" si="559"/>
        <v>-2000</v>
      </c>
      <c r="CM149" s="47">
        <f t="shared" si="559"/>
        <v>-2000</v>
      </c>
      <c r="CN149" s="47">
        <f t="shared" si="559"/>
        <v>-2000</v>
      </c>
      <c r="CO149" s="47">
        <f t="shared" si="559"/>
        <v>-2000</v>
      </c>
      <c r="CP149" s="47">
        <f t="shared" si="559"/>
        <v>-2000</v>
      </c>
      <c r="CQ149" s="47">
        <f t="shared" si="559"/>
        <v>-2000</v>
      </c>
      <c r="CR149" s="47"/>
      <c r="CS149" s="47"/>
      <c r="CT149" s="47"/>
      <c r="CU149" s="50" t="str">
        <f>IFERROR(__xludf.DUMMYFUNCTION("""COMPUTED_VALUE"""),"9332 Mercer Dr.
Dallas, TX 75228          ")</f>
        <v>9332 Mercer Dr.
Dallas, TX 75228          </v>
      </c>
      <c r="CV149" s="51">
        <f>IFERROR(__xludf.DUMMYFUNCTION("IF(REGEXMATCH(UPPER(CU149), ""TX""),0,1)"),0.0)</f>
        <v>0</v>
      </c>
      <c r="CW149" s="51">
        <f>IFERROR(__xludf.DUMMYFUNCTION("IF(REGEXMATCH(UPPER(CU149), ""DALLAS""),0,1)"),0.0)</f>
        <v>0</v>
      </c>
      <c r="CX149" s="51">
        <f t="shared" si="17"/>
        <v>0</v>
      </c>
      <c r="CY149" s="51">
        <f t="shared" si="18"/>
        <v>0</v>
      </c>
      <c r="CZ149" s="52" t="str">
        <f t="shared" si="19"/>
        <v/>
      </c>
      <c r="DA149" s="58"/>
      <c r="DB149" s="52"/>
      <c r="DC149" s="52"/>
      <c r="DD149" s="52"/>
      <c r="DE149" s="52"/>
      <c r="DF149" s="52"/>
      <c r="DG149" s="52"/>
      <c r="DH149" s="52"/>
      <c r="DI149" s="52"/>
      <c r="DJ149" s="52"/>
      <c r="DK149" s="52"/>
      <c r="DL149" s="52"/>
      <c r="DM149" s="52"/>
      <c r="DN149" s="52"/>
      <c r="DO149" s="52"/>
      <c r="DP149" s="52"/>
      <c r="DQ149" s="52"/>
      <c r="DR149" s="52"/>
      <c r="DS149" s="52"/>
      <c r="DT149" s="52"/>
      <c r="DU149" s="52"/>
      <c r="DV149" s="52"/>
      <c r="DW149" s="52"/>
    </row>
    <row r="150">
      <c r="A150" s="23" t="s">
        <v>64</v>
      </c>
      <c r="B150" s="23" t="s">
        <v>56</v>
      </c>
      <c r="C150" s="31" t="s">
        <v>434</v>
      </c>
      <c r="D150" s="25" t="str">
        <f>IFERROR(__xludf.DUMMYFUNCTION("SPLIT(C150,"" "")"),"Bird,")</f>
        <v>Bird,</v>
      </c>
      <c r="E150" s="22" t="str">
        <f>IFERROR(__xludf.DUMMYFUNCTION("""COMPUTED_VALUE"""),"Brandi
9710")</f>
        <v>Brandi
9710</v>
      </c>
      <c r="F150" s="22" t="str">
        <f>IFERROR(__xludf.DUMMYFUNCTION("""COMPUTED_VALUE"""),"Blanco")</f>
        <v>Blanco</v>
      </c>
      <c r="G150" s="22" t="str">
        <f>IFERROR(__xludf.DUMMYFUNCTION("""COMPUTED_VALUE"""),"dr
Lantana,")</f>
        <v>dr
Lantana,</v>
      </c>
      <c r="H150" s="22" t="str">
        <f>IFERROR(__xludf.DUMMYFUNCTION("""COMPUTED_VALUE"""),"TX")</f>
        <v>TX</v>
      </c>
      <c r="I150" s="22">
        <f>IFERROR(__xludf.DUMMYFUNCTION("""COMPUTED_VALUE"""),76226.0)</f>
        <v>76226</v>
      </c>
      <c r="J150" s="22"/>
      <c r="K150" s="22"/>
      <c r="L150" s="22"/>
      <c r="M150" s="22"/>
      <c r="N150" s="22"/>
      <c r="O150" s="22"/>
      <c r="P150" s="22"/>
      <c r="Q150" s="22"/>
      <c r="R150" s="22"/>
      <c r="S150" s="22"/>
      <c r="T150" s="22"/>
      <c r="U150" s="24" t="str">
        <f>IFERROR(__xludf.DUMMYFUNCTION("SPLIT(E150,""01234567890"")"),"Brandi
")</f>
        <v>Brandi
</v>
      </c>
      <c r="V150" s="24" t="str">
        <f>IFERROR(__xludf.DUMMYFUNCTION("SPLIT(D150,"","")"),"Bird")</f>
        <v>Bird</v>
      </c>
      <c r="W150" s="25" t="str">
        <f t="shared" si="1"/>
        <v>BRANDI
 BIRD</v>
      </c>
      <c r="X150" s="25" t="s">
        <v>435</v>
      </c>
      <c r="Y150" s="25">
        <v>76226.0</v>
      </c>
      <c r="Z150" s="25" t="str">
        <f>IFERROR(__xludf.DUMMYFUNCTION("SPLIT(C150,""
"")"),"Bird, Brandi")</f>
        <v>Bird, Brandi</v>
      </c>
      <c r="AA150" s="25" t="str">
        <f>IFERROR(__xludf.DUMMYFUNCTION("""COMPUTED_VALUE"""),"9710 Blanco dr")</f>
        <v>9710 Blanco dr</v>
      </c>
      <c r="AB150" s="25" t="str">
        <f>IFERROR(__xludf.DUMMYFUNCTION("""COMPUTED_VALUE"""),"Lantana, TX 76226")</f>
        <v>Lantana, TX 76226</v>
      </c>
      <c r="AC150" s="24" t="s">
        <v>436</v>
      </c>
      <c r="AD150" s="25"/>
      <c r="AE150" s="25"/>
      <c r="AF150" s="25"/>
      <c r="AG150" s="22" t="s">
        <v>60</v>
      </c>
      <c r="AH150" s="54">
        <v>2448.0</v>
      </c>
      <c r="AI150" s="22" t="s">
        <v>61</v>
      </c>
      <c r="AJ150" s="27">
        <v>1000.0</v>
      </c>
      <c r="AK150" s="31" t="s">
        <v>24</v>
      </c>
      <c r="AL150" s="28">
        <v>44712.0</v>
      </c>
      <c r="AM150" s="29">
        <v>44757.44018518519</v>
      </c>
      <c r="AN150" s="30">
        <v>2.0</v>
      </c>
      <c r="AO150" s="22"/>
      <c r="AP150" s="22"/>
      <c r="AQ150" s="22"/>
      <c r="AR150" s="22"/>
      <c r="AS150" s="31">
        <f>IFERROR(__xludf.DUMMYFUNCTION("""COMPUTED_VALUE"""),76011.0)</f>
        <v>76011</v>
      </c>
      <c r="AT150" s="45">
        <f t="shared" si="6"/>
        <v>1000</v>
      </c>
      <c r="AU150" s="22"/>
      <c r="AV150" s="57" t="str">
        <f>IFERROR(__xludf.DUMMYFUNCTION("""COMPUTED_VALUE"""),"Wallace")</f>
        <v>Wallace</v>
      </c>
      <c r="AW150" s="46">
        <f t="shared" si="7"/>
        <v>1400</v>
      </c>
      <c r="AX150" s="47">
        <f t="shared" ref="AX150:BQ150" si="560">SUMIFS($AJ:$AJ,$V:$V,$AV150,$AK:$AK,AX$2)</f>
        <v>950</v>
      </c>
      <c r="AY150" s="48">
        <f t="shared" si="560"/>
        <v>0</v>
      </c>
      <c r="AZ150" s="48">
        <f t="shared" si="560"/>
        <v>0</v>
      </c>
      <c r="BA150" s="48">
        <f t="shared" si="560"/>
        <v>350</v>
      </c>
      <c r="BB150" s="48">
        <f t="shared" si="560"/>
        <v>0</v>
      </c>
      <c r="BC150" s="48">
        <f t="shared" si="560"/>
        <v>0</v>
      </c>
      <c r="BD150" s="48">
        <f t="shared" si="560"/>
        <v>0</v>
      </c>
      <c r="BE150" s="48">
        <f t="shared" si="560"/>
        <v>0</v>
      </c>
      <c r="BF150" s="48">
        <f t="shared" si="560"/>
        <v>0</v>
      </c>
      <c r="BG150" s="48">
        <f t="shared" si="560"/>
        <v>100</v>
      </c>
      <c r="BH150" s="48">
        <f t="shared" si="560"/>
        <v>0</v>
      </c>
      <c r="BI150" s="48">
        <f t="shared" si="560"/>
        <v>0</v>
      </c>
      <c r="BJ150" s="48">
        <f t="shared" si="560"/>
        <v>0</v>
      </c>
      <c r="BK150" s="48">
        <f t="shared" si="560"/>
        <v>0</v>
      </c>
      <c r="BL150" s="48">
        <f t="shared" si="560"/>
        <v>0</v>
      </c>
      <c r="BM150" s="48">
        <f t="shared" si="560"/>
        <v>0</v>
      </c>
      <c r="BN150" s="48">
        <f t="shared" si="560"/>
        <v>0</v>
      </c>
      <c r="BO150" s="48">
        <f t="shared" si="560"/>
        <v>0</v>
      </c>
      <c r="BP150" s="48">
        <f t="shared" si="560"/>
        <v>0</v>
      </c>
      <c r="BQ150" s="48">
        <f t="shared" si="560"/>
        <v>0</v>
      </c>
      <c r="BR150" s="36">
        <f t="shared" si="9"/>
        <v>1</v>
      </c>
      <c r="BS150" s="38">
        <f t="shared" si="10"/>
        <v>2</v>
      </c>
      <c r="BT150" s="49">
        <f t="shared" si="11"/>
        <v>0</v>
      </c>
      <c r="BU150" s="38">
        <f t="shared" si="12"/>
        <v>2000</v>
      </c>
      <c r="BV150" s="57" t="str">
        <f>IFERROR(__xludf.DUMMYFUNCTION("""COMPUTED_VALUE"""),"Wallace")</f>
        <v>Wallace</v>
      </c>
      <c r="BW150" s="46">
        <f t="shared" si="13"/>
        <v>1400</v>
      </c>
      <c r="BX150" s="47">
        <f t="shared" ref="BX150:CA150" si="561">AX150-$BU150</f>
        <v>-1050</v>
      </c>
      <c r="BY150" s="47">
        <f t="shared" si="561"/>
        <v>-2000</v>
      </c>
      <c r="BZ150" s="47">
        <f t="shared" si="561"/>
        <v>-2000</v>
      </c>
      <c r="CA150" s="47">
        <f t="shared" si="561"/>
        <v>-1650</v>
      </c>
      <c r="CB150" s="47">
        <f t="shared" si="15"/>
        <v>-20000</v>
      </c>
      <c r="CC150" s="47">
        <f t="shared" ref="CC150:CQ150" si="562">BC150-$BU150</f>
        <v>-2000</v>
      </c>
      <c r="CD150" s="47">
        <f t="shared" si="562"/>
        <v>-2000</v>
      </c>
      <c r="CE150" s="47">
        <f t="shared" si="562"/>
        <v>-2000</v>
      </c>
      <c r="CF150" s="47">
        <f t="shared" si="562"/>
        <v>-2000</v>
      </c>
      <c r="CG150" s="47">
        <f t="shared" si="562"/>
        <v>-1900</v>
      </c>
      <c r="CH150" s="47">
        <f t="shared" si="562"/>
        <v>-2000</v>
      </c>
      <c r="CI150" s="47">
        <f t="shared" si="562"/>
        <v>-2000</v>
      </c>
      <c r="CJ150" s="47">
        <f t="shared" si="562"/>
        <v>-2000</v>
      </c>
      <c r="CK150" s="47">
        <f t="shared" si="562"/>
        <v>-2000</v>
      </c>
      <c r="CL150" s="47">
        <f t="shared" si="562"/>
        <v>-2000</v>
      </c>
      <c r="CM150" s="47">
        <f t="shared" si="562"/>
        <v>-2000</v>
      </c>
      <c r="CN150" s="47">
        <f t="shared" si="562"/>
        <v>-2000</v>
      </c>
      <c r="CO150" s="47">
        <f t="shared" si="562"/>
        <v>-2000</v>
      </c>
      <c r="CP150" s="47">
        <f t="shared" si="562"/>
        <v>-2000</v>
      </c>
      <c r="CQ150" s="47">
        <f t="shared" si="562"/>
        <v>-2000</v>
      </c>
      <c r="CR150" s="47"/>
      <c r="CS150" s="47"/>
      <c r="CT150" s="47"/>
      <c r="CU150" s="50" t="str">
        <f>IFERROR(__xludf.DUMMYFUNCTION("""COMPUTED_VALUE"""),"727 N. Oak Cliff Blvd.
Dallas, TX 75208        ")</f>
        <v>727 N. Oak Cliff Blvd.
Dallas, TX 75208        </v>
      </c>
      <c r="CV150" s="51">
        <f>IFERROR(__xludf.DUMMYFUNCTION("IF(REGEXMATCH(UPPER(CU150), ""TX""),0,1)"),0.0)</f>
        <v>0</v>
      </c>
      <c r="CW150" s="51">
        <f>IFERROR(__xludf.DUMMYFUNCTION("IF(REGEXMATCH(UPPER(CU150), ""DALLAS""),0,1)"),0.0)</f>
        <v>0</v>
      </c>
      <c r="CX150" s="51">
        <f t="shared" si="17"/>
        <v>0</v>
      </c>
      <c r="CY150" s="51">
        <f t="shared" si="18"/>
        <v>0</v>
      </c>
      <c r="CZ150" s="52" t="str">
        <f t="shared" si="19"/>
        <v/>
      </c>
      <c r="DA150" s="58"/>
      <c r="DB150" s="52"/>
      <c r="DC150" s="52"/>
      <c r="DD150" s="52"/>
      <c r="DE150" s="52"/>
      <c r="DF150" s="52"/>
      <c r="DG150" s="52"/>
      <c r="DH150" s="52"/>
      <c r="DI150" s="52"/>
      <c r="DJ150" s="52"/>
      <c r="DK150" s="52"/>
      <c r="DL150" s="52"/>
      <c r="DM150" s="52"/>
      <c r="DN150" s="52"/>
      <c r="DO150" s="52"/>
      <c r="DP150" s="52"/>
      <c r="DQ150" s="52"/>
      <c r="DR150" s="52"/>
      <c r="DS150" s="52"/>
      <c r="DT150" s="52"/>
      <c r="DU150" s="52"/>
      <c r="DV150" s="52"/>
      <c r="DW150" s="52"/>
    </row>
    <row r="151">
      <c r="A151" s="40" t="s">
        <v>55</v>
      </c>
      <c r="B151" s="41" t="s">
        <v>56</v>
      </c>
      <c r="C151" s="31" t="s">
        <v>437</v>
      </c>
      <c r="D151" s="25" t="str">
        <f>IFERROR(__xludf.DUMMYFUNCTION("SPLIT(C151,"" "")"),"Bischoff,")</f>
        <v>Bischoff,</v>
      </c>
      <c r="E151" s="40" t="str">
        <f>IFERROR(__xludf.DUMMYFUNCTION("""COMPUTED_VALUE"""),"Brian
3417")</f>
        <v>Brian
3417</v>
      </c>
      <c r="F151" s="40" t="str">
        <f>IFERROR(__xludf.DUMMYFUNCTION("""COMPUTED_VALUE"""),"Princeton")</f>
        <v>Princeton</v>
      </c>
      <c r="G151" s="40" t="str">
        <f>IFERROR(__xludf.DUMMYFUNCTION("""COMPUTED_VALUE"""),"Ave.
Dallas,")</f>
        <v>Ave.
Dallas,</v>
      </c>
      <c r="H151" s="40" t="str">
        <f>IFERROR(__xludf.DUMMYFUNCTION("""COMPUTED_VALUE"""),"TX")</f>
        <v>TX</v>
      </c>
      <c r="I151" s="40">
        <f>IFERROR(__xludf.DUMMYFUNCTION("""COMPUTED_VALUE"""),75205.0)</f>
        <v>75205</v>
      </c>
      <c r="J151" s="40"/>
      <c r="K151" s="40"/>
      <c r="L151" s="40"/>
      <c r="M151" s="40"/>
      <c r="N151" s="40"/>
      <c r="O151" s="40"/>
      <c r="P151" s="40"/>
      <c r="Q151" s="40"/>
      <c r="R151" s="40"/>
      <c r="S151" s="40"/>
      <c r="T151" s="40"/>
      <c r="U151" s="24" t="str">
        <f>IFERROR(__xludf.DUMMYFUNCTION("SPLIT(E151,""01234567890"")"),"Brian
")</f>
        <v>Brian
</v>
      </c>
      <c r="V151" s="24" t="str">
        <f>IFERROR(__xludf.DUMMYFUNCTION("SPLIT(D151,"","")"),"Bischoff")</f>
        <v>Bischoff</v>
      </c>
      <c r="W151" s="25" t="str">
        <f t="shared" si="1"/>
        <v>BRIAN
 BISCHOFF</v>
      </c>
      <c r="X151" s="25" t="s">
        <v>438</v>
      </c>
      <c r="Y151" s="25">
        <v>75205.0</v>
      </c>
      <c r="Z151" s="25" t="str">
        <f>IFERROR(__xludf.DUMMYFUNCTION("SPLIT(C151,""
"")"),"Bischoff, Brian")</f>
        <v>Bischoff, Brian</v>
      </c>
      <c r="AA151" s="25" t="str">
        <f>IFERROR(__xludf.DUMMYFUNCTION("""COMPUTED_VALUE"""),"3417 Princeton Ave.")</f>
        <v>3417 Princeton Ave.</v>
      </c>
      <c r="AB151" s="25" t="str">
        <f>IFERROR(__xludf.DUMMYFUNCTION("""COMPUTED_VALUE"""),"Dallas, TX 75205")</f>
        <v>Dallas, TX 75205</v>
      </c>
      <c r="AC151" s="24" t="s">
        <v>439</v>
      </c>
      <c r="AD151" s="25"/>
      <c r="AE151" s="25"/>
      <c r="AF151" s="25"/>
      <c r="AG151" s="40" t="s">
        <v>60</v>
      </c>
      <c r="AH151" s="42">
        <v>2441.0</v>
      </c>
      <c r="AI151" s="40" t="s">
        <v>61</v>
      </c>
      <c r="AJ151" s="27">
        <v>500.0</v>
      </c>
      <c r="AK151" s="31" t="s">
        <v>21</v>
      </c>
      <c r="AL151" s="43">
        <v>44713.0</v>
      </c>
      <c r="AM151" s="44">
        <v>44756.4640625</v>
      </c>
      <c r="AN151" s="30">
        <v>2.0</v>
      </c>
      <c r="AO151" s="40"/>
      <c r="AP151" s="40"/>
      <c r="AQ151" s="40"/>
      <c r="AR151" s="40"/>
      <c r="AS151" s="31">
        <f>IFERROR(__xludf.DUMMYFUNCTION("""COMPUTED_VALUE"""),75078.0)</f>
        <v>75078</v>
      </c>
      <c r="AT151" s="45">
        <f t="shared" si="6"/>
        <v>100</v>
      </c>
      <c r="AU151" s="40"/>
      <c r="AV151" s="46" t="str">
        <f>IFERROR(__xludf.DUMMYFUNCTION("""COMPUTED_VALUE"""),"Connatser")</f>
        <v>Connatser</v>
      </c>
      <c r="AW151" s="46">
        <f t="shared" si="7"/>
        <v>100</v>
      </c>
      <c r="AX151" s="47">
        <f t="shared" ref="AX151:BQ151" si="563">SUMIFS($AJ:$AJ,$V:$V,$AV151,$AK:$AK,AX$2)</f>
        <v>100</v>
      </c>
      <c r="AY151" s="48">
        <f t="shared" si="563"/>
        <v>0</v>
      </c>
      <c r="AZ151" s="48">
        <f t="shared" si="563"/>
        <v>0</v>
      </c>
      <c r="BA151" s="48">
        <f t="shared" si="563"/>
        <v>0</v>
      </c>
      <c r="BB151" s="48">
        <f t="shared" si="563"/>
        <v>0</v>
      </c>
      <c r="BC151" s="48">
        <f t="shared" si="563"/>
        <v>0</v>
      </c>
      <c r="BD151" s="48">
        <f t="shared" si="563"/>
        <v>0</v>
      </c>
      <c r="BE151" s="48">
        <f t="shared" si="563"/>
        <v>0</v>
      </c>
      <c r="BF151" s="48">
        <f t="shared" si="563"/>
        <v>0</v>
      </c>
      <c r="BG151" s="48">
        <f t="shared" si="563"/>
        <v>0</v>
      </c>
      <c r="BH151" s="48">
        <f t="shared" si="563"/>
        <v>0</v>
      </c>
      <c r="BI151" s="48">
        <f t="shared" si="563"/>
        <v>0</v>
      </c>
      <c r="BJ151" s="48">
        <f t="shared" si="563"/>
        <v>0</v>
      </c>
      <c r="BK151" s="48">
        <f t="shared" si="563"/>
        <v>0</v>
      </c>
      <c r="BL151" s="48">
        <f t="shared" si="563"/>
        <v>0</v>
      </c>
      <c r="BM151" s="48">
        <f t="shared" si="563"/>
        <v>0</v>
      </c>
      <c r="BN151" s="48">
        <f t="shared" si="563"/>
        <v>0</v>
      </c>
      <c r="BO151" s="48">
        <f t="shared" si="563"/>
        <v>0</v>
      </c>
      <c r="BP151" s="48">
        <f t="shared" si="563"/>
        <v>0</v>
      </c>
      <c r="BQ151" s="48">
        <f t="shared" si="563"/>
        <v>0</v>
      </c>
      <c r="BR151" s="36">
        <f t="shared" si="9"/>
        <v>0</v>
      </c>
      <c r="BS151" s="38">
        <f t="shared" si="10"/>
        <v>1</v>
      </c>
      <c r="BT151" s="49">
        <f t="shared" si="11"/>
        <v>0</v>
      </c>
      <c r="BU151" s="38">
        <f t="shared" si="12"/>
        <v>1000</v>
      </c>
      <c r="BV151" s="46" t="str">
        <f>IFERROR(__xludf.DUMMYFUNCTION("""COMPUTED_VALUE"""),"Connatser")</f>
        <v>Connatser</v>
      </c>
      <c r="BW151" s="46">
        <f t="shared" si="13"/>
        <v>100</v>
      </c>
      <c r="BX151" s="47">
        <f t="shared" ref="BX151:CA151" si="564">AX151-$BU151</f>
        <v>-900</v>
      </c>
      <c r="BY151" s="47">
        <f t="shared" si="564"/>
        <v>-1000</v>
      </c>
      <c r="BZ151" s="47">
        <f t="shared" si="564"/>
        <v>-1000</v>
      </c>
      <c r="CA151" s="47">
        <f t="shared" si="564"/>
        <v>-1000</v>
      </c>
      <c r="CB151" s="47">
        <f t="shared" si="15"/>
        <v>-10000</v>
      </c>
      <c r="CC151" s="47">
        <f t="shared" ref="CC151:CQ151" si="565">BC151-$BU151</f>
        <v>-1000</v>
      </c>
      <c r="CD151" s="47">
        <f t="shared" si="565"/>
        <v>-1000</v>
      </c>
      <c r="CE151" s="47">
        <f t="shared" si="565"/>
        <v>-1000</v>
      </c>
      <c r="CF151" s="47">
        <f t="shared" si="565"/>
        <v>-1000</v>
      </c>
      <c r="CG151" s="47">
        <f t="shared" si="565"/>
        <v>-1000</v>
      </c>
      <c r="CH151" s="47">
        <f t="shared" si="565"/>
        <v>-1000</v>
      </c>
      <c r="CI151" s="47">
        <f t="shared" si="565"/>
        <v>-1000</v>
      </c>
      <c r="CJ151" s="47">
        <f t="shared" si="565"/>
        <v>-1000</v>
      </c>
      <c r="CK151" s="47">
        <f t="shared" si="565"/>
        <v>-1000</v>
      </c>
      <c r="CL151" s="47">
        <f t="shared" si="565"/>
        <v>-1000</v>
      </c>
      <c r="CM151" s="47">
        <f t="shared" si="565"/>
        <v>-1000</v>
      </c>
      <c r="CN151" s="47">
        <f t="shared" si="565"/>
        <v>-1000</v>
      </c>
      <c r="CO151" s="47">
        <f t="shared" si="565"/>
        <v>-1000</v>
      </c>
      <c r="CP151" s="47">
        <f t="shared" si="565"/>
        <v>-1000</v>
      </c>
      <c r="CQ151" s="47">
        <f t="shared" si="565"/>
        <v>-1000</v>
      </c>
      <c r="CR151" s="47"/>
      <c r="CS151" s="47"/>
      <c r="CT151" s="47"/>
      <c r="CU151" s="50" t="str">
        <f>IFERROR(__xludf.DUMMYFUNCTION("""COMPUTED_VALUE"""),"2, Katherine
1629 Handley Dr.
Dallas, TX 75208         ")</f>
        <v>2, Katherine
1629 Handley Dr.
Dallas, TX 75208         </v>
      </c>
      <c r="CV151" s="51">
        <f>IFERROR(__xludf.DUMMYFUNCTION("IF(REGEXMATCH(UPPER(CU151), ""TX""),0,1)"),0.0)</f>
        <v>0</v>
      </c>
      <c r="CW151" s="51">
        <f>IFERROR(__xludf.DUMMYFUNCTION("IF(REGEXMATCH(UPPER(CU151), ""DALLAS""),0,1)"),0.0)</f>
        <v>0</v>
      </c>
      <c r="CX151" s="51">
        <f t="shared" si="17"/>
        <v>0</v>
      </c>
      <c r="CY151" s="51">
        <f t="shared" si="18"/>
        <v>0</v>
      </c>
      <c r="CZ151" s="52" t="str">
        <f t="shared" si="19"/>
        <v/>
      </c>
      <c r="DA151" s="58"/>
      <c r="DB151" s="52"/>
      <c r="DC151" s="52"/>
      <c r="DD151" s="52"/>
      <c r="DE151" s="52"/>
      <c r="DF151" s="52"/>
      <c r="DG151" s="52"/>
      <c r="DH151" s="52"/>
      <c r="DI151" s="52"/>
      <c r="DJ151" s="52"/>
      <c r="DK151" s="52"/>
      <c r="DL151" s="52"/>
      <c r="DM151" s="52"/>
      <c r="DN151" s="52"/>
      <c r="DO151" s="52"/>
      <c r="DP151" s="52"/>
      <c r="DQ151" s="52"/>
      <c r="DR151" s="52"/>
      <c r="DS151" s="52"/>
      <c r="DT151" s="52"/>
      <c r="DU151" s="52"/>
      <c r="DV151" s="52"/>
      <c r="DW151" s="52"/>
    </row>
    <row r="152">
      <c r="A152" s="22" t="s">
        <v>55</v>
      </c>
      <c r="B152" s="23" t="s">
        <v>56</v>
      </c>
      <c r="C152" s="31" t="s">
        <v>440</v>
      </c>
      <c r="D152" s="25" t="str">
        <f>IFERROR(__xludf.DUMMYFUNCTION("SPLIT(C152,"" "")"),"Bischoff,")</f>
        <v>Bischoff,</v>
      </c>
      <c r="E152" s="22" t="str">
        <f>IFERROR(__xludf.DUMMYFUNCTION("""COMPUTED_VALUE"""),"Kasey
3417")</f>
        <v>Kasey
3417</v>
      </c>
      <c r="F152" s="22" t="str">
        <f>IFERROR(__xludf.DUMMYFUNCTION("""COMPUTED_VALUE"""),"Princeton")</f>
        <v>Princeton</v>
      </c>
      <c r="G152" s="22" t="str">
        <f>IFERROR(__xludf.DUMMYFUNCTION("""COMPUTED_VALUE"""),"Ave.
Dallas,")</f>
        <v>Ave.
Dallas,</v>
      </c>
      <c r="H152" s="22" t="str">
        <f>IFERROR(__xludf.DUMMYFUNCTION("""COMPUTED_VALUE"""),"TX")</f>
        <v>TX</v>
      </c>
      <c r="I152" s="22">
        <f>IFERROR(__xludf.DUMMYFUNCTION("""COMPUTED_VALUE"""),75205.0)</f>
        <v>75205</v>
      </c>
      <c r="J152" s="22"/>
      <c r="K152" s="22"/>
      <c r="L152" s="22"/>
      <c r="M152" s="22"/>
      <c r="N152" s="22"/>
      <c r="O152" s="22"/>
      <c r="P152" s="22"/>
      <c r="Q152" s="22"/>
      <c r="R152" s="22"/>
      <c r="S152" s="22"/>
      <c r="T152" s="22"/>
      <c r="U152" s="24" t="str">
        <f>IFERROR(__xludf.DUMMYFUNCTION("SPLIT(E152,""01234567890"")"),"Kasey
")</f>
        <v>Kasey
</v>
      </c>
      <c r="V152" s="24" t="str">
        <f>IFERROR(__xludf.DUMMYFUNCTION("SPLIT(D152,"","")"),"Bischoff")</f>
        <v>Bischoff</v>
      </c>
      <c r="W152" s="25" t="str">
        <f t="shared" si="1"/>
        <v>KASEY
 BISCHOFF</v>
      </c>
      <c r="X152" s="25" t="s">
        <v>438</v>
      </c>
      <c r="Y152" s="25">
        <v>75205.0</v>
      </c>
      <c r="Z152" s="25" t="str">
        <f>IFERROR(__xludf.DUMMYFUNCTION("SPLIT(C152,""
"")"),"Bischoff, Kasey")</f>
        <v>Bischoff, Kasey</v>
      </c>
      <c r="AA152" s="25" t="str">
        <f>IFERROR(__xludf.DUMMYFUNCTION("""COMPUTED_VALUE"""),"3417 Princeton Ave.")</f>
        <v>3417 Princeton Ave.</v>
      </c>
      <c r="AB152" s="25" t="str">
        <f>IFERROR(__xludf.DUMMYFUNCTION("""COMPUTED_VALUE"""),"Dallas, TX 75205")</f>
        <v>Dallas, TX 75205</v>
      </c>
      <c r="AC152" s="24" t="s">
        <v>441</v>
      </c>
      <c r="AD152" s="25"/>
      <c r="AE152" s="25"/>
      <c r="AF152" s="25"/>
      <c r="AG152" s="22" t="s">
        <v>60</v>
      </c>
      <c r="AH152" s="54">
        <v>2441.0</v>
      </c>
      <c r="AI152" s="22" t="s">
        <v>61</v>
      </c>
      <c r="AJ152" s="27">
        <v>500.0</v>
      </c>
      <c r="AK152" s="31" t="s">
        <v>21</v>
      </c>
      <c r="AL152" s="28">
        <v>44713.0</v>
      </c>
      <c r="AM152" s="29">
        <v>44756.4640625</v>
      </c>
      <c r="AN152" s="30">
        <v>2.0</v>
      </c>
      <c r="AO152" s="22"/>
      <c r="AP152" s="22"/>
      <c r="AQ152" s="22"/>
      <c r="AR152" s="22"/>
      <c r="AS152" s="31">
        <f>IFERROR(__xludf.DUMMYFUNCTION("""COMPUTED_VALUE"""),77434.0)</f>
        <v>77434</v>
      </c>
      <c r="AT152" s="45">
        <f t="shared" si="6"/>
        <v>500</v>
      </c>
      <c r="AU152" s="22"/>
      <c r="AV152" s="57" t="str">
        <f>IFERROR(__xludf.DUMMYFUNCTION("""COMPUTED_VALUE"""),"Howell")</f>
        <v>Howell</v>
      </c>
      <c r="AW152" s="46">
        <f t="shared" si="7"/>
        <v>550</v>
      </c>
      <c r="AX152" s="47">
        <f t="shared" ref="AX152:BQ152" si="566">SUMIFS($AJ:$AJ,$V:$V,$AV152,$AK:$AK,AX$2)</f>
        <v>50</v>
      </c>
      <c r="AY152" s="48">
        <f t="shared" si="566"/>
        <v>0</v>
      </c>
      <c r="AZ152" s="48">
        <f t="shared" si="566"/>
        <v>0</v>
      </c>
      <c r="BA152" s="48">
        <f t="shared" si="566"/>
        <v>0</v>
      </c>
      <c r="BB152" s="48">
        <f t="shared" si="566"/>
        <v>0</v>
      </c>
      <c r="BC152" s="48">
        <f t="shared" si="566"/>
        <v>0</v>
      </c>
      <c r="BD152" s="48">
        <f t="shared" si="566"/>
        <v>0</v>
      </c>
      <c r="BE152" s="48">
        <f t="shared" si="566"/>
        <v>0</v>
      </c>
      <c r="BF152" s="48">
        <f t="shared" si="566"/>
        <v>0</v>
      </c>
      <c r="BG152" s="48">
        <f t="shared" si="566"/>
        <v>500</v>
      </c>
      <c r="BH152" s="48">
        <f t="shared" si="566"/>
        <v>0</v>
      </c>
      <c r="BI152" s="48">
        <f t="shared" si="566"/>
        <v>0</v>
      </c>
      <c r="BJ152" s="48">
        <f t="shared" si="566"/>
        <v>0</v>
      </c>
      <c r="BK152" s="48">
        <f t="shared" si="566"/>
        <v>0</v>
      </c>
      <c r="BL152" s="48">
        <f t="shared" si="566"/>
        <v>0</v>
      </c>
      <c r="BM152" s="48">
        <f t="shared" si="566"/>
        <v>0</v>
      </c>
      <c r="BN152" s="48">
        <f t="shared" si="566"/>
        <v>0</v>
      </c>
      <c r="BO152" s="48">
        <f t="shared" si="566"/>
        <v>0</v>
      </c>
      <c r="BP152" s="48">
        <f t="shared" si="566"/>
        <v>0</v>
      </c>
      <c r="BQ152" s="48">
        <f t="shared" si="566"/>
        <v>0</v>
      </c>
      <c r="BR152" s="36">
        <f t="shared" si="9"/>
        <v>1</v>
      </c>
      <c r="BS152" s="38">
        <f t="shared" si="10"/>
        <v>2</v>
      </c>
      <c r="BT152" s="49">
        <f t="shared" si="11"/>
        <v>0</v>
      </c>
      <c r="BU152" s="38">
        <f t="shared" si="12"/>
        <v>2000</v>
      </c>
      <c r="BV152" s="57" t="str">
        <f>IFERROR(__xludf.DUMMYFUNCTION("""COMPUTED_VALUE"""),"Howell")</f>
        <v>Howell</v>
      </c>
      <c r="BW152" s="46">
        <f t="shared" si="13"/>
        <v>550</v>
      </c>
      <c r="BX152" s="47">
        <f t="shared" ref="BX152:CA152" si="567">AX152-$BU152</f>
        <v>-1950</v>
      </c>
      <c r="BY152" s="47">
        <f t="shared" si="567"/>
        <v>-2000</v>
      </c>
      <c r="BZ152" s="47">
        <f t="shared" si="567"/>
        <v>-2000</v>
      </c>
      <c r="CA152" s="47">
        <f t="shared" si="567"/>
        <v>-2000</v>
      </c>
      <c r="CB152" s="47">
        <f t="shared" si="15"/>
        <v>-20000</v>
      </c>
      <c r="CC152" s="47">
        <f t="shared" ref="CC152:CQ152" si="568">BC152-$BU152</f>
        <v>-2000</v>
      </c>
      <c r="CD152" s="47">
        <f t="shared" si="568"/>
        <v>-2000</v>
      </c>
      <c r="CE152" s="47">
        <f t="shared" si="568"/>
        <v>-2000</v>
      </c>
      <c r="CF152" s="47">
        <f t="shared" si="568"/>
        <v>-2000</v>
      </c>
      <c r="CG152" s="47">
        <f t="shared" si="568"/>
        <v>-1500</v>
      </c>
      <c r="CH152" s="47">
        <f t="shared" si="568"/>
        <v>-2000</v>
      </c>
      <c r="CI152" s="47">
        <f t="shared" si="568"/>
        <v>-2000</v>
      </c>
      <c r="CJ152" s="47">
        <f t="shared" si="568"/>
        <v>-2000</v>
      </c>
      <c r="CK152" s="47">
        <f t="shared" si="568"/>
        <v>-2000</v>
      </c>
      <c r="CL152" s="47">
        <f t="shared" si="568"/>
        <v>-2000</v>
      </c>
      <c r="CM152" s="47">
        <f t="shared" si="568"/>
        <v>-2000</v>
      </c>
      <c r="CN152" s="47">
        <f t="shared" si="568"/>
        <v>-2000</v>
      </c>
      <c r="CO152" s="47">
        <f t="shared" si="568"/>
        <v>-2000</v>
      </c>
      <c r="CP152" s="47">
        <f t="shared" si="568"/>
        <v>-2000</v>
      </c>
      <c r="CQ152" s="47">
        <f t="shared" si="568"/>
        <v>-2000</v>
      </c>
      <c r="CR152" s="47"/>
      <c r="CS152" s="47"/>
      <c r="CT152" s="47"/>
      <c r="CU152" s="50" t="str">
        <f>IFERROR(__xludf.DUMMYFUNCTION("""COMPUTED_VALUE"""),"506 Woolsey Dr.
Dallas, TX 75224          ")</f>
        <v>506 Woolsey Dr.
Dallas, TX 75224          </v>
      </c>
      <c r="CV152" s="51">
        <f>IFERROR(__xludf.DUMMYFUNCTION("IF(REGEXMATCH(UPPER(CU152), ""TX""),0,1)"),0.0)</f>
        <v>0</v>
      </c>
      <c r="CW152" s="51">
        <f>IFERROR(__xludf.DUMMYFUNCTION("IF(REGEXMATCH(UPPER(CU152), ""DALLAS""),0,1)"),0.0)</f>
        <v>0</v>
      </c>
      <c r="CX152" s="51">
        <f t="shared" si="17"/>
        <v>0</v>
      </c>
      <c r="CY152" s="51">
        <f t="shared" si="18"/>
        <v>0</v>
      </c>
      <c r="CZ152" s="52" t="str">
        <f t="shared" si="19"/>
        <v/>
      </c>
      <c r="DA152" s="58"/>
      <c r="DB152" s="52"/>
      <c r="DC152" s="52"/>
      <c r="DD152" s="52"/>
      <c r="DE152" s="52"/>
      <c r="DF152" s="52"/>
      <c r="DG152" s="52"/>
      <c r="DH152" s="52"/>
      <c r="DI152" s="52"/>
      <c r="DJ152" s="52"/>
      <c r="DK152" s="52"/>
      <c r="DL152" s="52"/>
      <c r="DM152" s="52"/>
      <c r="DN152" s="52"/>
      <c r="DO152" s="52"/>
      <c r="DP152" s="52"/>
      <c r="DQ152" s="52"/>
      <c r="DR152" s="52"/>
      <c r="DS152" s="52"/>
      <c r="DT152" s="52"/>
      <c r="DU152" s="52"/>
      <c r="DV152" s="52"/>
      <c r="DW152" s="52"/>
    </row>
    <row r="153">
      <c r="A153" s="40" t="s">
        <v>55</v>
      </c>
      <c r="B153" s="41" t="s">
        <v>56</v>
      </c>
      <c r="C153" s="31" t="s">
        <v>442</v>
      </c>
      <c r="D153" s="25" t="str">
        <f>IFERROR(__xludf.DUMMYFUNCTION("SPLIT(C153,"" "")"),"Bishop")</f>
        <v>Bishop</v>
      </c>
      <c r="E153" s="40" t="str">
        <f>IFERROR(__xludf.DUMMYFUNCTION("""COMPUTED_VALUE"""),"LeMelle,")</f>
        <v>LeMelle,</v>
      </c>
      <c r="F153" s="40" t="str">
        <f>IFERROR(__xludf.DUMMYFUNCTION("""COMPUTED_VALUE"""),"Janice
813")</f>
        <v>Janice
813</v>
      </c>
      <c r="G153" s="40" t="str">
        <f>IFERROR(__xludf.DUMMYFUNCTION("""COMPUTED_VALUE"""),"Rainbow")</f>
        <v>Rainbow</v>
      </c>
      <c r="H153" s="40" t="str">
        <f>IFERROR(__xludf.DUMMYFUNCTION("""COMPUTED_VALUE"""),"Ln
Cedar")</f>
        <v>Ln
Cedar</v>
      </c>
      <c r="I153" s="40" t="str">
        <f>IFERROR(__xludf.DUMMYFUNCTION("""COMPUTED_VALUE"""),"Hill,")</f>
        <v>Hill,</v>
      </c>
      <c r="J153" s="40" t="str">
        <f>IFERROR(__xludf.DUMMYFUNCTION("""COMPUTED_VALUE"""),"TX")</f>
        <v>TX</v>
      </c>
      <c r="K153" s="40">
        <f>IFERROR(__xludf.DUMMYFUNCTION("""COMPUTED_VALUE"""),75104.0)</f>
        <v>75104</v>
      </c>
      <c r="L153" s="40"/>
      <c r="M153" s="40"/>
      <c r="N153" s="40"/>
      <c r="O153" s="40"/>
      <c r="P153" s="40"/>
      <c r="Q153" s="40"/>
      <c r="R153" s="40"/>
      <c r="S153" s="40"/>
      <c r="T153" s="40"/>
      <c r="U153" s="24" t="str">
        <f>IFERROR(__xludf.DUMMYFUNCTION("SPLIT(E153,""01234567890"")"),"LeMelle,")</f>
        <v>LeMelle,</v>
      </c>
      <c r="V153" s="24" t="str">
        <f>IFERROR(__xludf.DUMMYFUNCTION("SPLIT(D153,"","")"),"Bishop")</f>
        <v>Bishop</v>
      </c>
      <c r="W153" s="25" t="str">
        <f t="shared" si="1"/>
        <v>LEMELLE, BISHOP</v>
      </c>
      <c r="X153" s="25" t="s">
        <v>443</v>
      </c>
      <c r="Y153" s="25">
        <v>75104.0</v>
      </c>
      <c r="Z153" s="25" t="str">
        <f>IFERROR(__xludf.DUMMYFUNCTION("SPLIT(C153,""
"")"),"Bishop LeMelle, Janice")</f>
        <v>Bishop LeMelle, Janice</v>
      </c>
      <c r="AA153" s="25" t="str">
        <f>IFERROR(__xludf.DUMMYFUNCTION("""COMPUTED_VALUE"""),"813 Rainbow Ln")</f>
        <v>813 Rainbow Ln</v>
      </c>
      <c r="AB153" s="25" t="str">
        <f>IFERROR(__xludf.DUMMYFUNCTION("""COMPUTED_VALUE"""),"Cedar Hill, TX 75104")</f>
        <v>Cedar Hill, TX 75104</v>
      </c>
      <c r="AC153" s="24" t="s">
        <v>444</v>
      </c>
      <c r="AD153" s="25"/>
      <c r="AE153" s="25"/>
      <c r="AF153" s="25"/>
      <c r="AG153" s="40" t="s">
        <v>60</v>
      </c>
      <c r="AH153" s="42">
        <v>2481.0</v>
      </c>
      <c r="AI153" s="40" t="s">
        <v>68</v>
      </c>
      <c r="AJ153" s="27">
        <v>50.0</v>
      </c>
      <c r="AK153" s="31" t="s">
        <v>25</v>
      </c>
      <c r="AL153" s="43">
        <v>44838.0</v>
      </c>
      <c r="AM153" s="44">
        <v>44937.81995370371</v>
      </c>
      <c r="AN153" s="30">
        <v>2.0</v>
      </c>
      <c r="AO153" s="40"/>
      <c r="AP153" s="40"/>
      <c r="AQ153" s="40"/>
      <c r="AR153" s="40"/>
      <c r="AS153" s="31">
        <f>IFERROR(__xludf.DUMMYFUNCTION("""COMPUTED_VALUE"""),77019.0)</f>
        <v>77019</v>
      </c>
      <c r="AT153" s="45">
        <f t="shared" si="6"/>
        <v>750</v>
      </c>
      <c r="AU153" s="40"/>
      <c r="AV153" s="46" t="str">
        <f>IFERROR(__xludf.DUMMYFUNCTION("""COMPUTED_VALUE"""),"Collins-Bratton")</f>
        <v>Collins-Bratton</v>
      </c>
      <c r="AW153" s="46">
        <f t="shared" si="7"/>
        <v>500</v>
      </c>
      <c r="AX153" s="47">
        <f t="shared" ref="AX153:BQ153" si="569">SUMIFS($AJ:$AJ,$V:$V,$AV153,$AK:$AK,AX$2)</f>
        <v>500</v>
      </c>
      <c r="AY153" s="48">
        <f t="shared" si="569"/>
        <v>0</v>
      </c>
      <c r="AZ153" s="48">
        <f t="shared" si="569"/>
        <v>0</v>
      </c>
      <c r="BA153" s="48">
        <f t="shared" si="569"/>
        <v>0</v>
      </c>
      <c r="BB153" s="48">
        <f t="shared" si="569"/>
        <v>0</v>
      </c>
      <c r="BC153" s="48">
        <f t="shared" si="569"/>
        <v>0</v>
      </c>
      <c r="BD153" s="48">
        <f t="shared" si="569"/>
        <v>0</v>
      </c>
      <c r="BE153" s="48">
        <f t="shared" si="569"/>
        <v>0</v>
      </c>
      <c r="BF153" s="48">
        <f t="shared" si="569"/>
        <v>0</v>
      </c>
      <c r="BG153" s="48">
        <f t="shared" si="569"/>
        <v>0</v>
      </c>
      <c r="BH153" s="48">
        <f t="shared" si="569"/>
        <v>0</v>
      </c>
      <c r="BI153" s="48">
        <f t="shared" si="569"/>
        <v>0</v>
      </c>
      <c r="BJ153" s="48">
        <f t="shared" si="569"/>
        <v>0</v>
      </c>
      <c r="BK153" s="48">
        <f t="shared" si="569"/>
        <v>0</v>
      </c>
      <c r="BL153" s="48">
        <f t="shared" si="569"/>
        <v>0</v>
      </c>
      <c r="BM153" s="48">
        <f t="shared" si="569"/>
        <v>0</v>
      </c>
      <c r="BN153" s="48">
        <f t="shared" si="569"/>
        <v>0</v>
      </c>
      <c r="BO153" s="48">
        <f t="shared" si="569"/>
        <v>0</v>
      </c>
      <c r="BP153" s="48">
        <f t="shared" si="569"/>
        <v>0</v>
      </c>
      <c r="BQ153" s="48">
        <f t="shared" si="569"/>
        <v>0</v>
      </c>
      <c r="BR153" s="36">
        <f t="shared" si="9"/>
        <v>0</v>
      </c>
      <c r="BS153" s="38">
        <f t="shared" si="10"/>
        <v>1</v>
      </c>
      <c r="BT153" s="49">
        <f t="shared" si="11"/>
        <v>0</v>
      </c>
      <c r="BU153" s="38">
        <f t="shared" si="12"/>
        <v>1000</v>
      </c>
      <c r="BV153" s="46" t="str">
        <f>IFERROR(__xludf.DUMMYFUNCTION("""COMPUTED_VALUE"""),"Collins-Bratton")</f>
        <v>Collins-Bratton</v>
      </c>
      <c r="BW153" s="46">
        <f t="shared" si="13"/>
        <v>500</v>
      </c>
      <c r="BX153" s="47">
        <f t="shared" ref="BX153:CA153" si="570">AX153-$BU153</f>
        <v>-500</v>
      </c>
      <c r="BY153" s="47">
        <f t="shared" si="570"/>
        <v>-1000</v>
      </c>
      <c r="BZ153" s="47">
        <f t="shared" si="570"/>
        <v>-1000</v>
      </c>
      <c r="CA153" s="47">
        <f t="shared" si="570"/>
        <v>-1000</v>
      </c>
      <c r="CB153" s="47">
        <f t="shared" si="15"/>
        <v>-10000</v>
      </c>
      <c r="CC153" s="47">
        <f t="shared" ref="CC153:CQ153" si="571">BC153-$BU153</f>
        <v>-1000</v>
      </c>
      <c r="CD153" s="47">
        <f t="shared" si="571"/>
        <v>-1000</v>
      </c>
      <c r="CE153" s="47">
        <f t="shared" si="571"/>
        <v>-1000</v>
      </c>
      <c r="CF153" s="47">
        <f t="shared" si="571"/>
        <v>-1000</v>
      </c>
      <c r="CG153" s="47">
        <f t="shared" si="571"/>
        <v>-1000</v>
      </c>
      <c r="CH153" s="47">
        <f t="shared" si="571"/>
        <v>-1000</v>
      </c>
      <c r="CI153" s="47">
        <f t="shared" si="571"/>
        <v>-1000</v>
      </c>
      <c r="CJ153" s="47">
        <f t="shared" si="571"/>
        <v>-1000</v>
      </c>
      <c r="CK153" s="47">
        <f t="shared" si="571"/>
        <v>-1000</v>
      </c>
      <c r="CL153" s="47">
        <f t="shared" si="571"/>
        <v>-1000</v>
      </c>
      <c r="CM153" s="47">
        <f t="shared" si="571"/>
        <v>-1000</v>
      </c>
      <c r="CN153" s="47">
        <f t="shared" si="571"/>
        <v>-1000</v>
      </c>
      <c r="CO153" s="47">
        <f t="shared" si="571"/>
        <v>-1000</v>
      </c>
      <c r="CP153" s="47">
        <f t="shared" si="571"/>
        <v>-1000</v>
      </c>
      <c r="CQ153" s="47">
        <f t="shared" si="571"/>
        <v>-1000</v>
      </c>
      <c r="CR153" s="47"/>
      <c r="CS153" s="47"/>
      <c r="CT153" s="47"/>
      <c r="CU153" s="50" t="str">
        <f>IFERROR(__xludf.DUMMYFUNCTION("""COMPUTED_VALUE"""),"3804 Immel Dr.
Flower Mound, TX 75022         ")</f>
        <v>3804 Immel Dr.
Flower Mound, TX 75022         </v>
      </c>
      <c r="CV153" s="51">
        <f>IFERROR(__xludf.DUMMYFUNCTION("IF(REGEXMATCH(UPPER(CU153), ""TX""),0,1)"),0.0)</f>
        <v>0</v>
      </c>
      <c r="CW153" s="51">
        <f>IFERROR(__xludf.DUMMYFUNCTION("IF(REGEXMATCH(UPPER(CU153), ""DALLAS""),0,1)"),1.0)</f>
        <v>1</v>
      </c>
      <c r="CX153" s="51">
        <f t="shared" si="17"/>
        <v>0</v>
      </c>
      <c r="CY153" s="51">
        <f t="shared" si="18"/>
        <v>500</v>
      </c>
      <c r="CZ153" s="52" t="str">
        <f t="shared" si="19"/>
        <v>3804 Immel Dr.
Flower Mound, TX 75022         </v>
      </c>
      <c r="DA153" s="58"/>
      <c r="DB153" s="52"/>
      <c r="DC153" s="52"/>
      <c r="DD153" s="52"/>
      <c r="DE153" s="52"/>
      <c r="DF153" s="52"/>
      <c r="DG153" s="52"/>
      <c r="DH153" s="52"/>
      <c r="DI153" s="52"/>
      <c r="DJ153" s="52"/>
      <c r="DK153" s="52"/>
      <c r="DL153" s="52"/>
      <c r="DM153" s="52"/>
      <c r="DN153" s="52"/>
      <c r="DO153" s="52"/>
      <c r="DP153" s="52"/>
      <c r="DQ153" s="52"/>
      <c r="DR153" s="52"/>
      <c r="DS153" s="52"/>
      <c r="DT153" s="52"/>
      <c r="DU153" s="52"/>
      <c r="DV153" s="52"/>
      <c r="DW153" s="52"/>
    </row>
    <row r="154">
      <c r="A154" s="22" t="s">
        <v>55</v>
      </c>
      <c r="B154" s="23" t="s">
        <v>56</v>
      </c>
      <c r="C154" s="31" t="s">
        <v>445</v>
      </c>
      <c r="D154" s="25" t="str">
        <f>IFERROR(__xludf.DUMMYFUNCTION("SPLIT(C154,"" "")"),"Bisor,")</f>
        <v>Bisor,</v>
      </c>
      <c r="E154" s="22" t="str">
        <f>IFERROR(__xludf.DUMMYFUNCTION("""COMPUTED_VALUE"""),"Robert
4327")</f>
        <v>Robert
4327</v>
      </c>
      <c r="F154" s="22" t="str">
        <f>IFERROR(__xludf.DUMMYFUNCTION("""COMPUTED_VALUE"""),"Travis")</f>
        <v>Travis</v>
      </c>
      <c r="G154" s="22" t="str">
        <f>IFERROR(__xludf.DUMMYFUNCTION("""COMPUTED_VALUE"""),"Street
Dallas,")</f>
        <v>Street
Dallas,</v>
      </c>
      <c r="H154" s="22" t="str">
        <f>IFERROR(__xludf.DUMMYFUNCTION("""COMPUTED_VALUE"""),"TX")</f>
        <v>TX</v>
      </c>
      <c r="I154" s="22">
        <f>IFERROR(__xludf.DUMMYFUNCTION("""COMPUTED_VALUE"""),75205.0)</f>
        <v>75205</v>
      </c>
      <c r="J154" s="22"/>
      <c r="K154" s="22"/>
      <c r="L154" s="22"/>
      <c r="M154" s="22"/>
      <c r="N154" s="22"/>
      <c r="O154" s="22"/>
      <c r="P154" s="22"/>
      <c r="Q154" s="22"/>
      <c r="R154" s="22"/>
      <c r="S154" s="22"/>
      <c r="T154" s="22"/>
      <c r="U154" s="24" t="str">
        <f>IFERROR(__xludf.DUMMYFUNCTION("SPLIT(E154,""01234567890"")"),"Robert
")</f>
        <v>Robert
</v>
      </c>
      <c r="V154" s="24" t="str">
        <f>IFERROR(__xludf.DUMMYFUNCTION("SPLIT(D154,"","")"),"Bisor")</f>
        <v>Bisor</v>
      </c>
      <c r="W154" s="25" t="str">
        <f t="shared" si="1"/>
        <v>ROBERT
 BISOR</v>
      </c>
      <c r="X154" s="25" t="s">
        <v>446</v>
      </c>
      <c r="Y154" s="25">
        <v>75205.0</v>
      </c>
      <c r="Z154" s="25" t="str">
        <f>IFERROR(__xludf.DUMMYFUNCTION("SPLIT(C154,""
"")"),"Bisor, Robert")</f>
        <v>Bisor, Robert</v>
      </c>
      <c r="AA154" s="25" t="str">
        <f>IFERROR(__xludf.DUMMYFUNCTION("""COMPUTED_VALUE"""),"4327 Travis Street")</f>
        <v>4327 Travis Street</v>
      </c>
      <c r="AB154" s="25" t="str">
        <f>IFERROR(__xludf.DUMMYFUNCTION("""COMPUTED_VALUE"""),"Dallas, TX 75205")</f>
        <v>Dallas, TX 75205</v>
      </c>
      <c r="AC154" s="24" t="s">
        <v>447</v>
      </c>
      <c r="AD154" s="25"/>
      <c r="AE154" s="25"/>
      <c r="AF154" s="25"/>
      <c r="AG154" s="22" t="s">
        <v>60</v>
      </c>
      <c r="AH154" s="54">
        <v>2437.0</v>
      </c>
      <c r="AI154" s="22" t="s">
        <v>61</v>
      </c>
      <c r="AJ154" s="27">
        <v>2500.0</v>
      </c>
      <c r="AK154" s="31" t="s">
        <v>25</v>
      </c>
      <c r="AL154" s="28">
        <v>44579.0</v>
      </c>
      <c r="AM154" s="29">
        <v>44754.83237268519</v>
      </c>
      <c r="AN154" s="30">
        <v>2.0</v>
      </c>
      <c r="AO154" s="22"/>
      <c r="AP154" s="22"/>
      <c r="AQ154" s="22"/>
      <c r="AR154" s="22"/>
      <c r="AS154" s="40"/>
      <c r="AT154" s="47"/>
      <c r="AU154" s="22"/>
      <c r="AV154" s="57" t="str">
        <f>IFERROR(__xludf.DUMMYFUNCTION("""COMPUTED_VALUE"""),"Urano")</f>
        <v>Urano</v>
      </c>
      <c r="AW154" s="46">
        <f t="shared" si="7"/>
        <v>250</v>
      </c>
      <c r="AX154" s="47">
        <f t="shared" ref="AX154:BQ154" si="572">SUMIFS($AJ:$AJ,$V:$V,$AV154,$AK:$AK,AX$2)</f>
        <v>250</v>
      </c>
      <c r="AY154" s="48">
        <f t="shared" si="572"/>
        <v>0</v>
      </c>
      <c r="AZ154" s="48">
        <f t="shared" si="572"/>
        <v>0</v>
      </c>
      <c r="BA154" s="48">
        <f t="shared" si="572"/>
        <v>0</v>
      </c>
      <c r="BB154" s="48">
        <f t="shared" si="572"/>
        <v>0</v>
      </c>
      <c r="BC154" s="48">
        <f t="shared" si="572"/>
        <v>0</v>
      </c>
      <c r="BD154" s="48">
        <f t="shared" si="572"/>
        <v>0</v>
      </c>
      <c r="BE154" s="48">
        <f t="shared" si="572"/>
        <v>0</v>
      </c>
      <c r="BF154" s="48">
        <f t="shared" si="572"/>
        <v>0</v>
      </c>
      <c r="BG154" s="48">
        <f t="shared" si="572"/>
        <v>0</v>
      </c>
      <c r="BH154" s="48">
        <f t="shared" si="572"/>
        <v>0</v>
      </c>
      <c r="BI154" s="48">
        <f t="shared" si="572"/>
        <v>0</v>
      </c>
      <c r="BJ154" s="48">
        <f t="shared" si="572"/>
        <v>0</v>
      </c>
      <c r="BK154" s="48">
        <f t="shared" si="572"/>
        <v>0</v>
      </c>
      <c r="BL154" s="48">
        <f t="shared" si="572"/>
        <v>0</v>
      </c>
      <c r="BM154" s="48">
        <f t="shared" si="572"/>
        <v>0</v>
      </c>
      <c r="BN154" s="48">
        <f t="shared" si="572"/>
        <v>0</v>
      </c>
      <c r="BO154" s="48">
        <f t="shared" si="572"/>
        <v>0</v>
      </c>
      <c r="BP154" s="48">
        <f t="shared" si="572"/>
        <v>0</v>
      </c>
      <c r="BQ154" s="48">
        <f t="shared" si="572"/>
        <v>0</v>
      </c>
      <c r="BR154" s="36">
        <f t="shared" si="9"/>
        <v>0</v>
      </c>
      <c r="BS154" s="38">
        <f t="shared" si="10"/>
        <v>1</v>
      </c>
      <c r="BT154" s="49">
        <f t="shared" si="11"/>
        <v>0</v>
      </c>
      <c r="BU154" s="38">
        <f t="shared" si="12"/>
        <v>1000</v>
      </c>
      <c r="BV154" s="57" t="str">
        <f>IFERROR(__xludf.DUMMYFUNCTION("""COMPUTED_VALUE"""),"Urano")</f>
        <v>Urano</v>
      </c>
      <c r="BW154" s="46">
        <f t="shared" si="13"/>
        <v>250</v>
      </c>
      <c r="BX154" s="47">
        <f t="shared" ref="BX154:CA154" si="573">AX154-$BU154</f>
        <v>-750</v>
      </c>
      <c r="BY154" s="47">
        <f t="shared" si="573"/>
        <v>-1000</v>
      </c>
      <c r="BZ154" s="47">
        <f t="shared" si="573"/>
        <v>-1000</v>
      </c>
      <c r="CA154" s="47">
        <f t="shared" si="573"/>
        <v>-1000</v>
      </c>
      <c r="CB154" s="47">
        <f t="shared" si="15"/>
        <v>-10000</v>
      </c>
      <c r="CC154" s="47">
        <f t="shared" ref="CC154:CQ154" si="574">BC154-$BU154</f>
        <v>-1000</v>
      </c>
      <c r="CD154" s="47">
        <f t="shared" si="574"/>
        <v>-1000</v>
      </c>
      <c r="CE154" s="47">
        <f t="shared" si="574"/>
        <v>-1000</v>
      </c>
      <c r="CF154" s="47">
        <f t="shared" si="574"/>
        <v>-1000</v>
      </c>
      <c r="CG154" s="47">
        <f t="shared" si="574"/>
        <v>-1000</v>
      </c>
      <c r="CH154" s="47">
        <f t="shared" si="574"/>
        <v>-1000</v>
      </c>
      <c r="CI154" s="47">
        <f t="shared" si="574"/>
        <v>-1000</v>
      </c>
      <c r="CJ154" s="47">
        <f t="shared" si="574"/>
        <v>-1000</v>
      </c>
      <c r="CK154" s="47">
        <f t="shared" si="574"/>
        <v>-1000</v>
      </c>
      <c r="CL154" s="47">
        <f t="shared" si="574"/>
        <v>-1000</v>
      </c>
      <c r="CM154" s="47">
        <f t="shared" si="574"/>
        <v>-1000</v>
      </c>
      <c r="CN154" s="47">
        <f t="shared" si="574"/>
        <v>-1000</v>
      </c>
      <c r="CO154" s="47">
        <f t="shared" si="574"/>
        <v>-1000</v>
      </c>
      <c r="CP154" s="47">
        <f t="shared" si="574"/>
        <v>-1000</v>
      </c>
      <c r="CQ154" s="47">
        <f t="shared" si="574"/>
        <v>-1000</v>
      </c>
      <c r="CR154" s="47"/>
      <c r="CS154" s="47"/>
      <c r="CT154" s="47"/>
      <c r="CU154" s="50" t="str">
        <f>IFERROR(__xludf.DUMMYFUNCTION("""COMPUTED_VALUE"""),"1610 Cascade Ave.
Dallas, TX 75224          ")</f>
        <v>1610 Cascade Ave.
Dallas, TX 75224          </v>
      </c>
      <c r="CV154" s="51">
        <f>IFERROR(__xludf.DUMMYFUNCTION("IF(REGEXMATCH(UPPER(CU154), ""TX""),0,1)"),0.0)</f>
        <v>0</v>
      </c>
      <c r="CW154" s="51">
        <f>IFERROR(__xludf.DUMMYFUNCTION("IF(REGEXMATCH(UPPER(CU154), ""DALLAS""),0,1)"),0.0)</f>
        <v>0</v>
      </c>
      <c r="CX154" s="51">
        <f t="shared" si="17"/>
        <v>0</v>
      </c>
      <c r="CY154" s="51">
        <f t="shared" si="18"/>
        <v>0</v>
      </c>
      <c r="CZ154" s="52" t="str">
        <f t="shared" si="19"/>
        <v/>
      </c>
      <c r="DA154" s="58"/>
      <c r="DB154" s="52"/>
      <c r="DC154" s="52"/>
      <c r="DD154" s="52"/>
      <c r="DE154" s="52"/>
      <c r="DF154" s="52"/>
      <c r="DG154" s="52"/>
      <c r="DH154" s="52"/>
      <c r="DI154" s="52"/>
      <c r="DJ154" s="52"/>
      <c r="DK154" s="52"/>
      <c r="DL154" s="52"/>
      <c r="DM154" s="52"/>
      <c r="DN154" s="52"/>
      <c r="DO154" s="52"/>
      <c r="DP154" s="52"/>
      <c r="DQ154" s="52"/>
      <c r="DR154" s="52"/>
      <c r="DS154" s="52"/>
      <c r="DT154" s="52"/>
      <c r="DU154" s="52"/>
      <c r="DV154" s="52"/>
      <c r="DW154" s="52"/>
    </row>
    <row r="155">
      <c r="A155" s="41" t="s">
        <v>64</v>
      </c>
      <c r="B155" s="41" t="s">
        <v>56</v>
      </c>
      <c r="C155" s="31" t="s">
        <v>448</v>
      </c>
      <c r="D155" s="25" t="str">
        <f>IFERROR(__xludf.DUMMYFUNCTION("SPLIT(C155,"" "")"),"Black,")</f>
        <v>Black,</v>
      </c>
      <c r="E155" s="40" t="str">
        <f>IFERROR(__xludf.DUMMYFUNCTION("""COMPUTED_VALUE"""),"Jan")</f>
        <v>Jan</v>
      </c>
      <c r="F155" s="40" t="str">
        <f>IFERROR(__xludf.DUMMYFUNCTION("""COMPUTED_VALUE"""),"Hart
4563")</f>
        <v>Hart
4563</v>
      </c>
      <c r="G155" s="40" t="str">
        <f>IFERROR(__xludf.DUMMYFUNCTION("""COMPUTED_VALUE"""),"Isabella
Dallas,")</f>
        <v>Isabella
Dallas,</v>
      </c>
      <c r="H155" s="40" t="str">
        <f>IFERROR(__xludf.DUMMYFUNCTION("""COMPUTED_VALUE"""),"TX")</f>
        <v>TX</v>
      </c>
      <c r="I155" s="40">
        <f>IFERROR(__xludf.DUMMYFUNCTION("""COMPUTED_VALUE"""),75229.0)</f>
        <v>75229</v>
      </c>
      <c r="J155" s="40"/>
      <c r="K155" s="40"/>
      <c r="L155" s="40"/>
      <c r="M155" s="40"/>
      <c r="N155" s="40"/>
      <c r="O155" s="40"/>
      <c r="P155" s="40"/>
      <c r="Q155" s="40"/>
      <c r="R155" s="40"/>
      <c r="S155" s="40"/>
      <c r="T155" s="40"/>
      <c r="U155" s="24" t="str">
        <f>IFERROR(__xludf.DUMMYFUNCTION("SPLIT(E155,""01234567890"")"),"Jan")</f>
        <v>Jan</v>
      </c>
      <c r="V155" s="24" t="str">
        <f>IFERROR(__xludf.DUMMYFUNCTION("SPLIT(D155,"","")"),"Black")</f>
        <v>Black</v>
      </c>
      <c r="W155" s="25" t="str">
        <f t="shared" si="1"/>
        <v>JAN BLACK</v>
      </c>
      <c r="X155" s="25" t="s">
        <v>449</v>
      </c>
      <c r="Y155" s="25">
        <v>75229.0</v>
      </c>
      <c r="Z155" s="25" t="str">
        <f>IFERROR(__xludf.DUMMYFUNCTION("SPLIT(C155,""
"")"),"Black, Jan Hart")</f>
        <v>Black, Jan Hart</v>
      </c>
      <c r="AA155" s="25" t="str">
        <f>IFERROR(__xludf.DUMMYFUNCTION("""COMPUTED_VALUE"""),"4563 Isabella")</f>
        <v>4563 Isabella</v>
      </c>
      <c r="AB155" s="25" t="str">
        <f>IFERROR(__xludf.DUMMYFUNCTION("""COMPUTED_VALUE"""),"Dallas, TX 75229")</f>
        <v>Dallas, TX 75229</v>
      </c>
      <c r="AC155" s="24" t="s">
        <v>450</v>
      </c>
      <c r="AD155" s="25"/>
      <c r="AE155" s="25"/>
      <c r="AF155" s="25"/>
      <c r="AG155" s="40" t="s">
        <v>60</v>
      </c>
      <c r="AH155" s="42">
        <v>2486.0</v>
      </c>
      <c r="AI155" s="40" t="s">
        <v>68</v>
      </c>
      <c r="AJ155" s="27">
        <v>100.0</v>
      </c>
      <c r="AK155" s="31" t="s">
        <v>24</v>
      </c>
      <c r="AL155" s="43">
        <v>44748.0</v>
      </c>
      <c r="AM155" s="44">
        <v>44942.42989583333</v>
      </c>
      <c r="AN155" s="30">
        <v>2.0</v>
      </c>
      <c r="AO155" s="40"/>
      <c r="AP155" s="40"/>
      <c r="AQ155" s="40"/>
      <c r="AR155" s="40"/>
      <c r="AS155" s="22"/>
      <c r="AT155" s="70"/>
      <c r="AU155" s="40"/>
      <c r="AV155" s="46" t="str">
        <f>IFERROR(__xludf.DUMMYFUNCTION("""COMPUTED_VALUE"""),"Dolezal")</f>
        <v>Dolezal</v>
      </c>
      <c r="AW155" s="46">
        <f t="shared" si="7"/>
        <v>250</v>
      </c>
      <c r="AX155" s="47">
        <f t="shared" ref="AX155:BQ155" si="575">SUMIFS($AJ:$AJ,$V:$V,$AV155,$AK:$AK,AX$2)</f>
        <v>250</v>
      </c>
      <c r="AY155" s="48">
        <f t="shared" si="575"/>
        <v>0</v>
      </c>
      <c r="AZ155" s="48">
        <f t="shared" si="575"/>
        <v>0</v>
      </c>
      <c r="BA155" s="48">
        <f t="shared" si="575"/>
        <v>0</v>
      </c>
      <c r="BB155" s="48">
        <f t="shared" si="575"/>
        <v>0</v>
      </c>
      <c r="BC155" s="48">
        <f t="shared" si="575"/>
        <v>0</v>
      </c>
      <c r="BD155" s="48">
        <f t="shared" si="575"/>
        <v>0</v>
      </c>
      <c r="BE155" s="48">
        <f t="shared" si="575"/>
        <v>0</v>
      </c>
      <c r="BF155" s="48">
        <f t="shared" si="575"/>
        <v>0</v>
      </c>
      <c r="BG155" s="48">
        <f t="shared" si="575"/>
        <v>0</v>
      </c>
      <c r="BH155" s="48">
        <f t="shared" si="575"/>
        <v>0</v>
      </c>
      <c r="BI155" s="48">
        <f t="shared" si="575"/>
        <v>0</v>
      </c>
      <c r="BJ155" s="48">
        <f t="shared" si="575"/>
        <v>0</v>
      </c>
      <c r="BK155" s="48">
        <f t="shared" si="575"/>
        <v>0</v>
      </c>
      <c r="BL155" s="48">
        <f t="shared" si="575"/>
        <v>0</v>
      </c>
      <c r="BM155" s="48">
        <f t="shared" si="575"/>
        <v>0</v>
      </c>
      <c r="BN155" s="48">
        <f t="shared" si="575"/>
        <v>0</v>
      </c>
      <c r="BO155" s="48">
        <f t="shared" si="575"/>
        <v>0</v>
      </c>
      <c r="BP155" s="48">
        <f t="shared" si="575"/>
        <v>0</v>
      </c>
      <c r="BQ155" s="48">
        <f t="shared" si="575"/>
        <v>0</v>
      </c>
      <c r="BR155" s="36">
        <f t="shared" si="9"/>
        <v>0</v>
      </c>
      <c r="BS155" s="38">
        <f t="shared" si="10"/>
        <v>1</v>
      </c>
      <c r="BT155" s="49">
        <f t="shared" si="11"/>
        <v>0</v>
      </c>
      <c r="BU155" s="38">
        <f t="shared" si="12"/>
        <v>1000</v>
      </c>
      <c r="BV155" s="46" t="str">
        <f>IFERROR(__xludf.DUMMYFUNCTION("""COMPUTED_VALUE"""),"Dolezal")</f>
        <v>Dolezal</v>
      </c>
      <c r="BW155" s="46">
        <f t="shared" si="13"/>
        <v>250</v>
      </c>
      <c r="BX155" s="47">
        <f t="shared" ref="BX155:CA155" si="576">AX155-$BU155</f>
        <v>-750</v>
      </c>
      <c r="BY155" s="47">
        <f t="shared" si="576"/>
        <v>-1000</v>
      </c>
      <c r="BZ155" s="47">
        <f t="shared" si="576"/>
        <v>-1000</v>
      </c>
      <c r="CA155" s="47">
        <f t="shared" si="576"/>
        <v>-1000</v>
      </c>
      <c r="CB155" s="47">
        <f t="shared" si="15"/>
        <v>-10000</v>
      </c>
      <c r="CC155" s="47">
        <f t="shared" ref="CC155:CQ155" si="577">BC155-$BU155</f>
        <v>-1000</v>
      </c>
      <c r="CD155" s="47">
        <f t="shared" si="577"/>
        <v>-1000</v>
      </c>
      <c r="CE155" s="47">
        <f t="shared" si="577"/>
        <v>-1000</v>
      </c>
      <c r="CF155" s="47">
        <f t="shared" si="577"/>
        <v>-1000</v>
      </c>
      <c r="CG155" s="47">
        <f t="shared" si="577"/>
        <v>-1000</v>
      </c>
      <c r="CH155" s="47">
        <f t="shared" si="577"/>
        <v>-1000</v>
      </c>
      <c r="CI155" s="47">
        <f t="shared" si="577"/>
        <v>-1000</v>
      </c>
      <c r="CJ155" s="47">
        <f t="shared" si="577"/>
        <v>-1000</v>
      </c>
      <c r="CK155" s="47">
        <f t="shared" si="577"/>
        <v>-1000</v>
      </c>
      <c r="CL155" s="47">
        <f t="shared" si="577"/>
        <v>-1000</v>
      </c>
      <c r="CM155" s="47">
        <f t="shared" si="577"/>
        <v>-1000</v>
      </c>
      <c r="CN155" s="47">
        <f t="shared" si="577"/>
        <v>-1000</v>
      </c>
      <c r="CO155" s="47">
        <f t="shared" si="577"/>
        <v>-1000</v>
      </c>
      <c r="CP155" s="47">
        <f t="shared" si="577"/>
        <v>-1000</v>
      </c>
      <c r="CQ155" s="47">
        <f t="shared" si="577"/>
        <v>-1000</v>
      </c>
      <c r="CR155" s="47"/>
      <c r="CS155" s="47"/>
      <c r="CT155" s="47"/>
      <c r="CU155" s="50" t="str">
        <f>IFERROR(__xludf.DUMMYFUNCTION("""COMPUTED_VALUE"""),"107 N. Clinton Ave.
Dallas, TX 75208         ")</f>
        <v>107 N. Clinton Ave.
Dallas, TX 75208         </v>
      </c>
      <c r="CV155" s="51">
        <f>IFERROR(__xludf.DUMMYFUNCTION("IF(REGEXMATCH(UPPER(CU155), ""TX""),0,1)"),0.0)</f>
        <v>0</v>
      </c>
      <c r="CW155" s="51">
        <f>IFERROR(__xludf.DUMMYFUNCTION("IF(REGEXMATCH(UPPER(CU155), ""DALLAS""),0,1)"),0.0)</f>
        <v>0</v>
      </c>
      <c r="CX155" s="51">
        <f t="shared" si="17"/>
        <v>0</v>
      </c>
      <c r="CY155" s="51">
        <f t="shared" si="18"/>
        <v>0</v>
      </c>
      <c r="CZ155" s="52" t="str">
        <f t="shared" si="19"/>
        <v/>
      </c>
      <c r="DA155" s="58"/>
      <c r="DB155" s="52"/>
      <c r="DC155" s="52"/>
      <c r="DD155" s="52"/>
      <c r="DE155" s="52"/>
      <c r="DF155" s="52"/>
      <c r="DG155" s="52"/>
      <c r="DH155" s="52"/>
      <c r="DI155" s="52"/>
      <c r="DJ155" s="52"/>
      <c r="DK155" s="52"/>
      <c r="DL155" s="52"/>
      <c r="DM155" s="52"/>
      <c r="DN155" s="52"/>
      <c r="DO155" s="52"/>
      <c r="DP155" s="52"/>
      <c r="DQ155" s="52"/>
      <c r="DR155" s="52"/>
      <c r="DS155" s="52"/>
      <c r="DT155" s="52"/>
      <c r="DU155" s="52"/>
      <c r="DV155" s="52"/>
      <c r="DW155" s="52"/>
    </row>
    <row r="156">
      <c r="A156" s="23" t="s">
        <v>64</v>
      </c>
      <c r="B156" s="23" t="s">
        <v>56</v>
      </c>
      <c r="C156" s="31" t="s">
        <v>451</v>
      </c>
      <c r="D156" s="25" t="str">
        <f>IFERROR(__xludf.DUMMYFUNCTION("SPLIT(C156,"" "")"),"Black,")</f>
        <v>Black,</v>
      </c>
      <c r="E156" s="22" t="str">
        <f>IFERROR(__xludf.DUMMYFUNCTION("""COMPUTED_VALUE"""),"Tre
751")</f>
        <v>Tre
751</v>
      </c>
      <c r="F156" s="22" t="str">
        <f>IFERROR(__xludf.DUMMYFUNCTION("""COMPUTED_VALUE"""),"
Dallas,")</f>
        <v>
Dallas,</v>
      </c>
      <c r="G156" s="22" t="str">
        <f>IFERROR(__xludf.DUMMYFUNCTION("""COMPUTED_VALUE"""),"TX")</f>
        <v>TX</v>
      </c>
      <c r="H156" s="22">
        <f>IFERROR(__xludf.DUMMYFUNCTION("""COMPUTED_VALUE"""),75208.0)</f>
        <v>75208</v>
      </c>
      <c r="I156" s="22"/>
      <c r="J156" s="22"/>
      <c r="K156" s="22"/>
      <c r="L156" s="22"/>
      <c r="M156" s="22"/>
      <c r="N156" s="22"/>
      <c r="O156" s="22"/>
      <c r="P156" s="22"/>
      <c r="Q156" s="22"/>
      <c r="R156" s="22"/>
      <c r="S156" s="22"/>
      <c r="T156" s="22"/>
      <c r="U156" s="24" t="str">
        <f>IFERROR(__xludf.DUMMYFUNCTION("SPLIT(E156,""01234567890"")"),"Tre
")</f>
        <v>Tre
</v>
      </c>
      <c r="V156" s="24" t="str">
        <f>IFERROR(__xludf.DUMMYFUNCTION("SPLIT(D156,"","")"),"Black")</f>
        <v>Black</v>
      </c>
      <c r="W156" s="25" t="str">
        <f t="shared" si="1"/>
        <v>TRE
 BLACK</v>
      </c>
      <c r="X156" s="25" t="s">
        <v>452</v>
      </c>
      <c r="Y156" s="25">
        <v>75208.0</v>
      </c>
      <c r="Z156" s="25" t="str">
        <f>IFERROR(__xludf.DUMMYFUNCTION("SPLIT(C156,""
"")"),"Black, Tre")</f>
        <v>Black, Tre</v>
      </c>
      <c r="AA156" s="25">
        <f>IFERROR(__xludf.DUMMYFUNCTION("""COMPUTED_VALUE"""),751.0)</f>
        <v>751</v>
      </c>
      <c r="AB156" s="25" t="str">
        <f>IFERROR(__xludf.DUMMYFUNCTION("""COMPUTED_VALUE"""),"Dallas, TX 75208")</f>
        <v>Dallas, TX 75208</v>
      </c>
      <c r="AC156" s="24" t="s">
        <v>453</v>
      </c>
      <c r="AD156" s="25"/>
      <c r="AE156" s="25"/>
      <c r="AF156" s="25"/>
      <c r="AG156" s="22" t="s">
        <v>60</v>
      </c>
      <c r="AH156" s="54">
        <v>2500.0</v>
      </c>
      <c r="AI156" s="22" t="s">
        <v>68</v>
      </c>
      <c r="AJ156" s="27">
        <v>1000.0</v>
      </c>
      <c r="AK156" s="31" t="s">
        <v>23</v>
      </c>
      <c r="AL156" s="28">
        <v>44820.0</v>
      </c>
      <c r="AM156" s="29">
        <v>44941.874814814815</v>
      </c>
      <c r="AN156" s="30">
        <v>2.0</v>
      </c>
      <c r="AO156" s="22"/>
      <c r="AP156" s="22"/>
      <c r="AQ156" s="22"/>
      <c r="AR156" s="22"/>
      <c r="AS156" s="40"/>
      <c r="AT156" s="47"/>
      <c r="AU156" s="22"/>
      <c r="AV156" s="57" t="str">
        <f>IFERROR(__xludf.DUMMYFUNCTION("""COMPUTED_VALUE"""),"Pope")</f>
        <v>Pope</v>
      </c>
      <c r="AW156" s="46">
        <f t="shared" si="7"/>
        <v>950</v>
      </c>
      <c r="AX156" s="47">
        <f t="shared" ref="AX156:BQ156" si="578">SUMIFS($AJ:$AJ,$V:$V,$AV156,$AK:$AK,AX$2)</f>
        <v>950</v>
      </c>
      <c r="AY156" s="48">
        <f t="shared" si="578"/>
        <v>0</v>
      </c>
      <c r="AZ156" s="48">
        <f t="shared" si="578"/>
        <v>0</v>
      </c>
      <c r="BA156" s="48">
        <f t="shared" si="578"/>
        <v>0</v>
      </c>
      <c r="BB156" s="48">
        <f t="shared" si="578"/>
        <v>0</v>
      </c>
      <c r="BC156" s="48">
        <f t="shared" si="578"/>
        <v>0</v>
      </c>
      <c r="BD156" s="48">
        <f t="shared" si="578"/>
        <v>0</v>
      </c>
      <c r="BE156" s="48">
        <f t="shared" si="578"/>
        <v>0</v>
      </c>
      <c r="BF156" s="48">
        <f t="shared" si="578"/>
        <v>0</v>
      </c>
      <c r="BG156" s="48">
        <f t="shared" si="578"/>
        <v>0</v>
      </c>
      <c r="BH156" s="48">
        <f t="shared" si="578"/>
        <v>0</v>
      </c>
      <c r="BI156" s="48">
        <f t="shared" si="578"/>
        <v>0</v>
      </c>
      <c r="BJ156" s="48">
        <f t="shared" si="578"/>
        <v>0</v>
      </c>
      <c r="BK156" s="48">
        <f t="shared" si="578"/>
        <v>0</v>
      </c>
      <c r="BL156" s="48">
        <f t="shared" si="578"/>
        <v>0</v>
      </c>
      <c r="BM156" s="48">
        <f t="shared" si="578"/>
        <v>0</v>
      </c>
      <c r="BN156" s="48">
        <f t="shared" si="578"/>
        <v>0</v>
      </c>
      <c r="BO156" s="48">
        <f t="shared" si="578"/>
        <v>0</v>
      </c>
      <c r="BP156" s="48">
        <f t="shared" si="578"/>
        <v>0</v>
      </c>
      <c r="BQ156" s="48">
        <f t="shared" si="578"/>
        <v>0</v>
      </c>
      <c r="BR156" s="36">
        <f t="shared" si="9"/>
        <v>0</v>
      </c>
      <c r="BS156" s="38">
        <f t="shared" si="10"/>
        <v>1</v>
      </c>
      <c r="BT156" s="49">
        <f t="shared" si="11"/>
        <v>0</v>
      </c>
      <c r="BU156" s="38">
        <f t="shared" si="12"/>
        <v>1000</v>
      </c>
      <c r="BV156" s="57" t="str">
        <f>IFERROR(__xludf.DUMMYFUNCTION("""COMPUTED_VALUE"""),"Pope")</f>
        <v>Pope</v>
      </c>
      <c r="BW156" s="46">
        <f t="shared" si="13"/>
        <v>950</v>
      </c>
      <c r="BX156" s="47">
        <f t="shared" ref="BX156:CA156" si="579">AX156-$BU156</f>
        <v>-50</v>
      </c>
      <c r="BY156" s="47">
        <f t="shared" si="579"/>
        <v>-1000</v>
      </c>
      <c r="BZ156" s="47">
        <f t="shared" si="579"/>
        <v>-1000</v>
      </c>
      <c r="CA156" s="47">
        <f t="shared" si="579"/>
        <v>-1000</v>
      </c>
      <c r="CB156" s="47">
        <f t="shared" si="15"/>
        <v>-10000</v>
      </c>
      <c r="CC156" s="47">
        <f t="shared" ref="CC156:CQ156" si="580">BC156-$BU156</f>
        <v>-1000</v>
      </c>
      <c r="CD156" s="47">
        <f t="shared" si="580"/>
        <v>-1000</v>
      </c>
      <c r="CE156" s="47">
        <f t="shared" si="580"/>
        <v>-1000</v>
      </c>
      <c r="CF156" s="47">
        <f t="shared" si="580"/>
        <v>-1000</v>
      </c>
      <c r="CG156" s="47">
        <f t="shared" si="580"/>
        <v>-1000</v>
      </c>
      <c r="CH156" s="47">
        <f t="shared" si="580"/>
        <v>-1000</v>
      </c>
      <c r="CI156" s="47">
        <f t="shared" si="580"/>
        <v>-1000</v>
      </c>
      <c r="CJ156" s="47">
        <f t="shared" si="580"/>
        <v>-1000</v>
      </c>
      <c r="CK156" s="47">
        <f t="shared" si="580"/>
        <v>-1000</v>
      </c>
      <c r="CL156" s="47">
        <f t="shared" si="580"/>
        <v>-1000</v>
      </c>
      <c r="CM156" s="47">
        <f t="shared" si="580"/>
        <v>-1000</v>
      </c>
      <c r="CN156" s="47">
        <f t="shared" si="580"/>
        <v>-1000</v>
      </c>
      <c r="CO156" s="47">
        <f t="shared" si="580"/>
        <v>-1000</v>
      </c>
      <c r="CP156" s="47">
        <f t="shared" si="580"/>
        <v>-1000</v>
      </c>
      <c r="CQ156" s="47">
        <f t="shared" si="580"/>
        <v>-1000</v>
      </c>
      <c r="CR156" s="47"/>
      <c r="CS156" s="47"/>
      <c r="CT156" s="47"/>
      <c r="CU156" s="50" t="str">
        <f>IFERROR(__xludf.DUMMYFUNCTION("""COMPUTED_VALUE"""),"2301 Flora St.
Dallas, TX 75201          ")</f>
        <v>2301 Flora St.
Dallas, TX 75201          </v>
      </c>
      <c r="CV156" s="51">
        <f>IFERROR(__xludf.DUMMYFUNCTION("IF(REGEXMATCH(UPPER(CU156), ""TX""),0,1)"),0.0)</f>
        <v>0</v>
      </c>
      <c r="CW156" s="51">
        <f>IFERROR(__xludf.DUMMYFUNCTION("IF(REGEXMATCH(UPPER(CU156), ""DALLAS""),0,1)"),0.0)</f>
        <v>0</v>
      </c>
      <c r="CX156" s="51">
        <f t="shared" si="17"/>
        <v>0</v>
      </c>
      <c r="CY156" s="51">
        <f t="shared" si="18"/>
        <v>0</v>
      </c>
      <c r="CZ156" s="52" t="str">
        <f t="shared" si="19"/>
        <v/>
      </c>
      <c r="DA156" s="58"/>
      <c r="DB156" s="52"/>
      <c r="DC156" s="52"/>
      <c r="DD156" s="52"/>
      <c r="DE156" s="52"/>
      <c r="DF156" s="52"/>
      <c r="DG156" s="52"/>
      <c r="DH156" s="52"/>
      <c r="DI156" s="52"/>
      <c r="DJ156" s="52"/>
      <c r="DK156" s="52"/>
      <c r="DL156" s="52"/>
      <c r="DM156" s="52"/>
      <c r="DN156" s="52"/>
      <c r="DO156" s="52"/>
      <c r="DP156" s="52"/>
      <c r="DQ156" s="52"/>
      <c r="DR156" s="52"/>
      <c r="DS156" s="52"/>
      <c r="DT156" s="52"/>
      <c r="DU156" s="52"/>
      <c r="DV156" s="52"/>
      <c r="DW156" s="52"/>
    </row>
    <row r="157">
      <c r="A157" s="41" t="s">
        <v>64</v>
      </c>
      <c r="B157" s="41" t="s">
        <v>56</v>
      </c>
      <c r="C157" s="31" t="s">
        <v>454</v>
      </c>
      <c r="D157" s="25" t="str">
        <f>IFERROR(__xludf.DUMMYFUNCTION("SPLIT(C157,"" "")"),"Black,")</f>
        <v>Black,</v>
      </c>
      <c r="E157" s="40" t="str">
        <f>IFERROR(__xludf.DUMMYFUNCTION("""COMPUTED_VALUE"""),"Tre
751")</f>
        <v>Tre
751</v>
      </c>
      <c r="F157" s="40" t="str">
        <f>IFERROR(__xludf.DUMMYFUNCTION("""COMPUTED_VALUE"""),"Kessler")</f>
        <v>Kessler</v>
      </c>
      <c r="G157" s="40" t="str">
        <f>IFERROR(__xludf.DUMMYFUNCTION("""COMPUTED_VALUE"""),"Lake")</f>
        <v>Lake</v>
      </c>
      <c r="H157" s="40" t="str">
        <f>IFERROR(__xludf.DUMMYFUNCTION("""COMPUTED_VALUE"""),"Dr.
Dallas,")</f>
        <v>Dr.
Dallas,</v>
      </c>
      <c r="I157" s="40" t="str">
        <f>IFERROR(__xludf.DUMMYFUNCTION("""COMPUTED_VALUE"""),"TX")</f>
        <v>TX</v>
      </c>
      <c r="J157" s="40">
        <f>IFERROR(__xludf.DUMMYFUNCTION("""COMPUTED_VALUE"""),75208.0)</f>
        <v>75208</v>
      </c>
      <c r="K157" s="40"/>
      <c r="L157" s="40"/>
      <c r="M157" s="40"/>
      <c r="N157" s="40"/>
      <c r="O157" s="40"/>
      <c r="P157" s="40"/>
      <c r="Q157" s="40"/>
      <c r="R157" s="40"/>
      <c r="S157" s="40"/>
      <c r="T157" s="40"/>
      <c r="U157" s="24" t="str">
        <f>IFERROR(__xludf.DUMMYFUNCTION("SPLIT(E157,""01234567890"")"),"Tre
")</f>
        <v>Tre
</v>
      </c>
      <c r="V157" s="24" t="str">
        <f>IFERROR(__xludf.DUMMYFUNCTION("SPLIT(D157,"","")"),"Black")</f>
        <v>Black</v>
      </c>
      <c r="W157" s="25" t="str">
        <f t="shared" si="1"/>
        <v>TRE
 BLACK</v>
      </c>
      <c r="X157" s="25" t="s">
        <v>455</v>
      </c>
      <c r="Y157" s="25">
        <v>75208.0</v>
      </c>
      <c r="Z157" s="25" t="str">
        <f>IFERROR(__xludf.DUMMYFUNCTION("SPLIT(C157,""
"")"),"Black, Tre")</f>
        <v>Black, Tre</v>
      </c>
      <c r="AA157" s="25" t="str">
        <f>IFERROR(__xludf.DUMMYFUNCTION("""COMPUTED_VALUE"""),"751 Kessler Lake Dr.")</f>
        <v>751 Kessler Lake Dr.</v>
      </c>
      <c r="AB157" s="25" t="str">
        <f>IFERROR(__xludf.DUMMYFUNCTION("""COMPUTED_VALUE"""),"Dallas, TX 75208")</f>
        <v>Dallas, TX 75208</v>
      </c>
      <c r="AC157" s="24" t="s">
        <v>453</v>
      </c>
      <c r="AD157" s="25"/>
      <c r="AE157" s="25"/>
      <c r="AF157" s="25"/>
      <c r="AG157" s="40" t="s">
        <v>60</v>
      </c>
      <c r="AH157" s="42">
        <v>2441.0</v>
      </c>
      <c r="AI157" s="40" t="s">
        <v>61</v>
      </c>
      <c r="AJ157" s="27">
        <v>950.0</v>
      </c>
      <c r="AK157" s="31" t="s">
        <v>21</v>
      </c>
      <c r="AL157" s="43">
        <v>44742.0</v>
      </c>
      <c r="AM157" s="44">
        <v>44756.4640625</v>
      </c>
      <c r="AN157" s="30">
        <v>2.0</v>
      </c>
      <c r="AO157" s="40"/>
      <c r="AP157" s="40"/>
      <c r="AQ157" s="40"/>
      <c r="AR157" s="40"/>
      <c r="AS157" s="22"/>
      <c r="AT157" s="70"/>
      <c r="AU157" s="40"/>
      <c r="AV157" s="46" t="str">
        <f>IFERROR(__xludf.DUMMYFUNCTION("""COMPUTED_VALUE"""),"Huerta")</f>
        <v>Huerta</v>
      </c>
      <c r="AW157" s="46">
        <f t="shared" si="7"/>
        <v>300</v>
      </c>
      <c r="AX157" s="47">
        <f t="shared" ref="AX157:BQ157" si="581">SUMIFS($AJ:$AJ,$V:$V,$AV157,$AK:$AK,AX$2)</f>
        <v>200</v>
      </c>
      <c r="AY157" s="48">
        <f t="shared" si="581"/>
        <v>0</v>
      </c>
      <c r="AZ157" s="48">
        <f t="shared" si="581"/>
        <v>0</v>
      </c>
      <c r="BA157" s="48">
        <f t="shared" si="581"/>
        <v>0</v>
      </c>
      <c r="BB157" s="48">
        <f t="shared" si="581"/>
        <v>100</v>
      </c>
      <c r="BC157" s="48">
        <f t="shared" si="581"/>
        <v>0</v>
      </c>
      <c r="BD157" s="48">
        <f t="shared" si="581"/>
        <v>0</v>
      </c>
      <c r="BE157" s="48">
        <f t="shared" si="581"/>
        <v>0</v>
      </c>
      <c r="BF157" s="48">
        <f t="shared" si="581"/>
        <v>0</v>
      </c>
      <c r="BG157" s="48">
        <f t="shared" si="581"/>
        <v>0</v>
      </c>
      <c r="BH157" s="48">
        <f t="shared" si="581"/>
        <v>0</v>
      </c>
      <c r="BI157" s="48">
        <f t="shared" si="581"/>
        <v>0</v>
      </c>
      <c r="BJ157" s="48">
        <f t="shared" si="581"/>
        <v>0</v>
      </c>
      <c r="BK157" s="48">
        <f t="shared" si="581"/>
        <v>0</v>
      </c>
      <c r="BL157" s="48">
        <f t="shared" si="581"/>
        <v>0</v>
      </c>
      <c r="BM157" s="48">
        <f t="shared" si="581"/>
        <v>0</v>
      </c>
      <c r="BN157" s="48">
        <f t="shared" si="581"/>
        <v>0</v>
      </c>
      <c r="BO157" s="48">
        <f t="shared" si="581"/>
        <v>0</v>
      </c>
      <c r="BP157" s="48">
        <f t="shared" si="581"/>
        <v>0</v>
      </c>
      <c r="BQ157" s="48">
        <f t="shared" si="581"/>
        <v>0</v>
      </c>
      <c r="BR157" s="36">
        <f t="shared" si="9"/>
        <v>0</v>
      </c>
      <c r="BS157" s="38">
        <f t="shared" si="10"/>
        <v>1</v>
      </c>
      <c r="BT157" s="49">
        <f t="shared" si="11"/>
        <v>0</v>
      </c>
      <c r="BU157" s="38">
        <f t="shared" si="12"/>
        <v>1000</v>
      </c>
      <c r="BV157" s="46" t="str">
        <f>IFERROR(__xludf.DUMMYFUNCTION("""COMPUTED_VALUE"""),"Huerta")</f>
        <v>Huerta</v>
      </c>
      <c r="BW157" s="46">
        <f t="shared" si="13"/>
        <v>300</v>
      </c>
      <c r="BX157" s="47">
        <f t="shared" ref="BX157:CA157" si="582">AX157-$BU157</f>
        <v>-800</v>
      </c>
      <c r="BY157" s="47">
        <f t="shared" si="582"/>
        <v>-1000</v>
      </c>
      <c r="BZ157" s="47">
        <f t="shared" si="582"/>
        <v>-1000</v>
      </c>
      <c r="CA157" s="47">
        <f t="shared" si="582"/>
        <v>-1000</v>
      </c>
      <c r="CB157" s="47">
        <f t="shared" si="15"/>
        <v>-9900</v>
      </c>
      <c r="CC157" s="47">
        <f t="shared" ref="CC157:CQ157" si="583">BC157-$BU157</f>
        <v>-1000</v>
      </c>
      <c r="CD157" s="47">
        <f t="shared" si="583"/>
        <v>-1000</v>
      </c>
      <c r="CE157" s="47">
        <f t="shared" si="583"/>
        <v>-1000</v>
      </c>
      <c r="CF157" s="47">
        <f t="shared" si="583"/>
        <v>-1000</v>
      </c>
      <c r="CG157" s="47">
        <f t="shared" si="583"/>
        <v>-1000</v>
      </c>
      <c r="CH157" s="47">
        <f t="shared" si="583"/>
        <v>-1000</v>
      </c>
      <c r="CI157" s="47">
        <f t="shared" si="583"/>
        <v>-1000</v>
      </c>
      <c r="CJ157" s="47">
        <f t="shared" si="583"/>
        <v>-1000</v>
      </c>
      <c r="CK157" s="47">
        <f t="shared" si="583"/>
        <v>-1000</v>
      </c>
      <c r="CL157" s="47">
        <f t="shared" si="583"/>
        <v>-1000</v>
      </c>
      <c r="CM157" s="47">
        <f t="shared" si="583"/>
        <v>-1000</v>
      </c>
      <c r="CN157" s="47">
        <f t="shared" si="583"/>
        <v>-1000</v>
      </c>
      <c r="CO157" s="47">
        <f t="shared" si="583"/>
        <v>-1000</v>
      </c>
      <c r="CP157" s="47">
        <f t="shared" si="583"/>
        <v>-1000</v>
      </c>
      <c r="CQ157" s="47">
        <f t="shared" si="583"/>
        <v>-1000</v>
      </c>
      <c r="CR157" s="47"/>
      <c r="CS157" s="47"/>
      <c r="CT157" s="47"/>
      <c r="CU157" s="50" t="str">
        <f>IFERROR(__xludf.DUMMYFUNCTION("""COMPUTED_VALUE"""),"653 Culpepper Place
Dallas, TX 75208          ")</f>
        <v>653 Culpepper Place
Dallas, TX 75208          </v>
      </c>
      <c r="CV157" s="51">
        <f>IFERROR(__xludf.DUMMYFUNCTION("IF(REGEXMATCH(UPPER(CU157), ""TX""),0,1)"),0.0)</f>
        <v>0</v>
      </c>
      <c r="CW157" s="51">
        <f>IFERROR(__xludf.DUMMYFUNCTION("IF(REGEXMATCH(UPPER(CU157), ""DALLAS""),0,1)"),0.0)</f>
        <v>0</v>
      </c>
      <c r="CX157" s="51">
        <f t="shared" si="17"/>
        <v>0</v>
      </c>
      <c r="CY157" s="51">
        <f t="shared" si="18"/>
        <v>0</v>
      </c>
      <c r="CZ157" s="52" t="str">
        <f t="shared" si="19"/>
        <v/>
      </c>
      <c r="DA157" s="58"/>
      <c r="DB157" s="52"/>
      <c r="DC157" s="52"/>
      <c r="DD157" s="52"/>
      <c r="DE157" s="52"/>
      <c r="DF157" s="52"/>
      <c r="DG157" s="52"/>
      <c r="DH157" s="52"/>
      <c r="DI157" s="52"/>
      <c r="DJ157" s="52"/>
      <c r="DK157" s="52"/>
      <c r="DL157" s="52"/>
      <c r="DM157" s="52"/>
      <c r="DN157" s="52"/>
      <c r="DO157" s="52"/>
      <c r="DP157" s="52"/>
      <c r="DQ157" s="52"/>
      <c r="DR157" s="52"/>
      <c r="DS157" s="52"/>
      <c r="DT157" s="52"/>
      <c r="DU157" s="52"/>
      <c r="DV157" s="52"/>
      <c r="DW157" s="52"/>
    </row>
    <row r="158">
      <c r="A158" s="23" t="s">
        <v>64</v>
      </c>
      <c r="B158" s="23" t="s">
        <v>56</v>
      </c>
      <c r="C158" s="31" t="s">
        <v>456</v>
      </c>
      <c r="D158" s="25" t="str">
        <f>IFERROR(__xludf.DUMMYFUNCTION("SPLIT(C158,"" "")"),"Black,")</f>
        <v>Black,</v>
      </c>
      <c r="E158" s="22" t="str">
        <f>IFERROR(__xludf.DUMMYFUNCTION("""COMPUTED_VALUE"""),"Tre
751")</f>
        <v>Tre
751</v>
      </c>
      <c r="F158" s="22" t="str">
        <f>IFERROR(__xludf.DUMMYFUNCTION("""COMPUTED_VALUE"""),"Kessler")</f>
        <v>Kessler</v>
      </c>
      <c r="G158" s="22" t="str">
        <f>IFERROR(__xludf.DUMMYFUNCTION("""COMPUTED_VALUE"""),"Lake")</f>
        <v>Lake</v>
      </c>
      <c r="H158" s="22" t="str">
        <f>IFERROR(__xludf.DUMMYFUNCTION("""COMPUTED_VALUE"""),"Dr
Dallas,")</f>
        <v>Dr
Dallas,</v>
      </c>
      <c r="I158" s="22" t="str">
        <f>IFERROR(__xludf.DUMMYFUNCTION("""COMPUTED_VALUE"""),"TX")</f>
        <v>TX</v>
      </c>
      <c r="J158" s="22">
        <f>IFERROR(__xludf.DUMMYFUNCTION("""COMPUTED_VALUE"""),75208.0)</f>
        <v>75208</v>
      </c>
      <c r="K158" s="22"/>
      <c r="L158" s="22"/>
      <c r="M158" s="22"/>
      <c r="N158" s="22"/>
      <c r="O158" s="22"/>
      <c r="P158" s="22"/>
      <c r="Q158" s="22"/>
      <c r="R158" s="22"/>
      <c r="S158" s="22"/>
      <c r="T158" s="22"/>
      <c r="U158" s="24" t="str">
        <f>IFERROR(__xludf.DUMMYFUNCTION("SPLIT(E158,""01234567890"")"),"Tre
")</f>
        <v>Tre
</v>
      </c>
      <c r="V158" s="24" t="str">
        <f>IFERROR(__xludf.DUMMYFUNCTION("SPLIT(D158,"","")"),"Black")</f>
        <v>Black</v>
      </c>
      <c r="W158" s="25" t="str">
        <f t="shared" si="1"/>
        <v>TRE
 BLACK</v>
      </c>
      <c r="X158" s="25" t="s">
        <v>457</v>
      </c>
      <c r="Y158" s="25">
        <v>75208.0</v>
      </c>
      <c r="Z158" s="25" t="str">
        <f>IFERROR(__xludf.DUMMYFUNCTION("SPLIT(C158,""
"")"),"Black, Tre")</f>
        <v>Black, Tre</v>
      </c>
      <c r="AA158" s="25" t="str">
        <f>IFERROR(__xludf.DUMMYFUNCTION("""COMPUTED_VALUE"""),"751 Kessler Lake Dr")</f>
        <v>751 Kessler Lake Dr</v>
      </c>
      <c r="AB158" s="25" t="str">
        <f>IFERROR(__xludf.DUMMYFUNCTION("""COMPUTED_VALUE"""),"Dallas, TX 75208")</f>
        <v>Dallas, TX 75208</v>
      </c>
      <c r="AC158" s="24" t="s">
        <v>453</v>
      </c>
      <c r="AD158" s="25"/>
      <c r="AE158" s="25"/>
      <c r="AF158" s="25"/>
      <c r="AG158" s="22" t="s">
        <v>60</v>
      </c>
      <c r="AH158" s="54">
        <v>2481.0</v>
      </c>
      <c r="AI158" s="22" t="s">
        <v>68</v>
      </c>
      <c r="AJ158" s="27">
        <v>1000.0</v>
      </c>
      <c r="AK158" s="31" t="s">
        <v>25</v>
      </c>
      <c r="AL158" s="28">
        <v>44839.0</v>
      </c>
      <c r="AM158" s="29">
        <v>44937.81995370371</v>
      </c>
      <c r="AN158" s="30">
        <v>2.0</v>
      </c>
      <c r="AO158" s="22"/>
      <c r="AP158" s="22"/>
      <c r="AQ158" s="22"/>
      <c r="AR158" s="22"/>
      <c r="AS158" s="40"/>
      <c r="AT158" s="47"/>
      <c r="AU158" s="22"/>
      <c r="AV158" s="57" t="str">
        <f>IFERROR(__xludf.DUMMYFUNCTION("""COMPUTED_VALUE"""),"Neurohr")</f>
        <v>Neurohr</v>
      </c>
      <c r="AW158" s="46">
        <f t="shared" si="7"/>
        <v>950</v>
      </c>
      <c r="AX158" s="47">
        <f t="shared" ref="AX158:BQ158" si="584">SUMIFS($AJ:$AJ,$V:$V,$AV158,$AK:$AK,AX$2)</f>
        <v>950</v>
      </c>
      <c r="AY158" s="48">
        <f t="shared" si="584"/>
        <v>0</v>
      </c>
      <c r="AZ158" s="48">
        <f t="shared" si="584"/>
        <v>0</v>
      </c>
      <c r="BA158" s="48">
        <f t="shared" si="584"/>
        <v>0</v>
      </c>
      <c r="BB158" s="48">
        <f t="shared" si="584"/>
        <v>0</v>
      </c>
      <c r="BC158" s="48">
        <f t="shared" si="584"/>
        <v>0</v>
      </c>
      <c r="BD158" s="48">
        <f t="shared" si="584"/>
        <v>0</v>
      </c>
      <c r="BE158" s="48">
        <f t="shared" si="584"/>
        <v>0</v>
      </c>
      <c r="BF158" s="48">
        <f t="shared" si="584"/>
        <v>0</v>
      </c>
      <c r="BG158" s="48">
        <f t="shared" si="584"/>
        <v>0</v>
      </c>
      <c r="BH158" s="48">
        <f t="shared" si="584"/>
        <v>0</v>
      </c>
      <c r="BI158" s="48">
        <f t="shared" si="584"/>
        <v>0</v>
      </c>
      <c r="BJ158" s="48">
        <f t="shared" si="584"/>
        <v>0</v>
      </c>
      <c r="BK158" s="48">
        <f t="shared" si="584"/>
        <v>0</v>
      </c>
      <c r="BL158" s="48">
        <f t="shared" si="584"/>
        <v>0</v>
      </c>
      <c r="BM158" s="48">
        <f t="shared" si="584"/>
        <v>0</v>
      </c>
      <c r="BN158" s="48">
        <f t="shared" si="584"/>
        <v>0</v>
      </c>
      <c r="BO158" s="48">
        <f t="shared" si="584"/>
        <v>0</v>
      </c>
      <c r="BP158" s="48">
        <f t="shared" si="584"/>
        <v>0</v>
      </c>
      <c r="BQ158" s="48">
        <f t="shared" si="584"/>
        <v>0</v>
      </c>
      <c r="BR158" s="36">
        <f t="shared" si="9"/>
        <v>0</v>
      </c>
      <c r="BS158" s="38">
        <f t="shared" si="10"/>
        <v>1</v>
      </c>
      <c r="BT158" s="49">
        <f t="shared" si="11"/>
        <v>0</v>
      </c>
      <c r="BU158" s="38">
        <f t="shared" si="12"/>
        <v>1000</v>
      </c>
      <c r="BV158" s="57" t="str">
        <f>IFERROR(__xludf.DUMMYFUNCTION("""COMPUTED_VALUE"""),"Neurohr")</f>
        <v>Neurohr</v>
      </c>
      <c r="BW158" s="46">
        <f t="shared" si="13"/>
        <v>950</v>
      </c>
      <c r="BX158" s="47">
        <f t="shared" ref="BX158:CA158" si="585">AX158-$BU158</f>
        <v>-50</v>
      </c>
      <c r="BY158" s="47">
        <f t="shared" si="585"/>
        <v>-1000</v>
      </c>
      <c r="BZ158" s="47">
        <f t="shared" si="585"/>
        <v>-1000</v>
      </c>
      <c r="CA158" s="47">
        <f t="shared" si="585"/>
        <v>-1000</v>
      </c>
      <c r="CB158" s="47">
        <f t="shared" si="15"/>
        <v>-10000</v>
      </c>
      <c r="CC158" s="47">
        <f t="shared" ref="CC158:CQ158" si="586">BC158-$BU158</f>
        <v>-1000</v>
      </c>
      <c r="CD158" s="47">
        <f t="shared" si="586"/>
        <v>-1000</v>
      </c>
      <c r="CE158" s="47">
        <f t="shared" si="586"/>
        <v>-1000</v>
      </c>
      <c r="CF158" s="47">
        <f t="shared" si="586"/>
        <v>-1000</v>
      </c>
      <c r="CG158" s="47">
        <f t="shared" si="586"/>
        <v>-1000</v>
      </c>
      <c r="CH158" s="47">
        <f t="shared" si="586"/>
        <v>-1000</v>
      </c>
      <c r="CI158" s="47">
        <f t="shared" si="586"/>
        <v>-1000</v>
      </c>
      <c r="CJ158" s="47">
        <f t="shared" si="586"/>
        <v>-1000</v>
      </c>
      <c r="CK158" s="47">
        <f t="shared" si="586"/>
        <v>-1000</v>
      </c>
      <c r="CL158" s="47">
        <f t="shared" si="586"/>
        <v>-1000</v>
      </c>
      <c r="CM158" s="47">
        <f t="shared" si="586"/>
        <v>-1000</v>
      </c>
      <c r="CN158" s="47">
        <f t="shared" si="586"/>
        <v>-1000</v>
      </c>
      <c r="CO158" s="47">
        <f t="shared" si="586"/>
        <v>-1000</v>
      </c>
      <c r="CP158" s="47">
        <f t="shared" si="586"/>
        <v>-1000</v>
      </c>
      <c r="CQ158" s="47">
        <f t="shared" si="586"/>
        <v>-1000</v>
      </c>
      <c r="CR158" s="47"/>
      <c r="CS158" s="47"/>
      <c r="CT158" s="47"/>
      <c r="CU158" s="50" t="str">
        <f>IFERROR(__xludf.DUMMYFUNCTION("""COMPUTED_VALUE"""),"1801 W. 10th St.
Dallas, TX 75208         ")</f>
        <v>1801 W. 10th St.
Dallas, TX 75208         </v>
      </c>
      <c r="CV158" s="51">
        <f>IFERROR(__xludf.DUMMYFUNCTION("IF(REGEXMATCH(UPPER(CU158), ""TX""),0,1)"),0.0)</f>
        <v>0</v>
      </c>
      <c r="CW158" s="51">
        <f>IFERROR(__xludf.DUMMYFUNCTION("IF(REGEXMATCH(UPPER(CU158), ""DALLAS""),0,1)"),0.0)</f>
        <v>0</v>
      </c>
      <c r="CX158" s="51">
        <f t="shared" si="17"/>
        <v>0</v>
      </c>
      <c r="CY158" s="51">
        <f t="shared" si="18"/>
        <v>0</v>
      </c>
      <c r="CZ158" s="52" t="str">
        <f t="shared" si="19"/>
        <v/>
      </c>
      <c r="DA158" s="58"/>
      <c r="DB158" s="52"/>
      <c r="DC158" s="52"/>
      <c r="DD158" s="52"/>
      <c r="DE158" s="52"/>
      <c r="DF158" s="52"/>
      <c r="DG158" s="52"/>
      <c r="DH158" s="52"/>
      <c r="DI158" s="52"/>
      <c r="DJ158" s="52"/>
      <c r="DK158" s="52"/>
      <c r="DL158" s="52"/>
      <c r="DM158" s="52"/>
      <c r="DN158" s="52"/>
      <c r="DO158" s="52"/>
      <c r="DP158" s="52"/>
      <c r="DQ158" s="52"/>
      <c r="DR158" s="52"/>
      <c r="DS158" s="52"/>
      <c r="DT158" s="52"/>
      <c r="DU158" s="52"/>
      <c r="DV158" s="52"/>
      <c r="DW158" s="52"/>
    </row>
    <row r="159">
      <c r="A159" s="40" t="s">
        <v>55</v>
      </c>
      <c r="B159" s="41" t="s">
        <v>56</v>
      </c>
      <c r="C159" s="31" t="s">
        <v>458</v>
      </c>
      <c r="D159" s="25" t="str">
        <f>IFERROR(__xludf.DUMMYFUNCTION("SPLIT(C159,"" "")"),"Blair,")</f>
        <v>Blair,</v>
      </c>
      <c r="E159" s="40" t="str">
        <f>IFERROR(__xludf.DUMMYFUNCTION("""COMPUTED_VALUE"""),"Lorie
2010")</f>
        <v>Lorie
2010</v>
      </c>
      <c r="F159" s="40" t="str">
        <f>IFERROR(__xludf.DUMMYFUNCTION("""COMPUTED_VALUE"""),"Autumn")</f>
        <v>Autumn</v>
      </c>
      <c r="G159" s="40" t="str">
        <f>IFERROR(__xludf.DUMMYFUNCTION("""COMPUTED_VALUE"""),"Meadow")</f>
        <v>Meadow</v>
      </c>
      <c r="H159" s="40" t="str">
        <f>IFERROR(__xludf.DUMMYFUNCTION("""COMPUTED_VALUE"""),"Trail
Dallas,")</f>
        <v>Trail
Dallas,</v>
      </c>
      <c r="I159" s="40" t="str">
        <f>IFERROR(__xludf.DUMMYFUNCTION("""COMPUTED_VALUE"""),"TX")</f>
        <v>TX</v>
      </c>
      <c r="J159" s="40" t="str">
        <f>IFERROR(__xludf.DUMMYFUNCTION("""COMPUTED_VALUE"""),"75232-3704")</f>
        <v>75232-3704</v>
      </c>
      <c r="K159" s="40"/>
      <c r="L159" s="40"/>
      <c r="M159" s="40"/>
      <c r="N159" s="40"/>
      <c r="O159" s="40"/>
      <c r="P159" s="40"/>
      <c r="Q159" s="40"/>
      <c r="R159" s="40"/>
      <c r="S159" s="40"/>
      <c r="T159" s="40"/>
      <c r="U159" s="24" t="str">
        <f>IFERROR(__xludf.DUMMYFUNCTION("SPLIT(E159,""01234567890"")"),"Lorie
")</f>
        <v>Lorie
</v>
      </c>
      <c r="V159" s="24" t="str">
        <f>IFERROR(__xludf.DUMMYFUNCTION("SPLIT(D159,"","")"),"Blair")</f>
        <v>Blair</v>
      </c>
      <c r="W159" s="25" t="str">
        <f t="shared" si="1"/>
        <v>LORIE
 BLAIR</v>
      </c>
      <c r="X159" s="25" t="s">
        <v>459</v>
      </c>
      <c r="Y159" s="25" t="s">
        <v>460</v>
      </c>
      <c r="Z159" s="25" t="str">
        <f>IFERROR(__xludf.DUMMYFUNCTION("SPLIT(C159,""
"")"),"Blair, Lorie")</f>
        <v>Blair, Lorie</v>
      </c>
      <c r="AA159" s="25" t="str">
        <f>IFERROR(__xludf.DUMMYFUNCTION("""COMPUTED_VALUE"""),"2010 Autumn Meadow Trail")</f>
        <v>2010 Autumn Meadow Trail</v>
      </c>
      <c r="AB159" s="25" t="str">
        <f>IFERROR(__xludf.DUMMYFUNCTION("""COMPUTED_VALUE"""),"Dallas, TX 75232-3704")</f>
        <v>Dallas, TX 75232-3704</v>
      </c>
      <c r="AC159" s="24" t="s">
        <v>461</v>
      </c>
      <c r="AD159" s="25"/>
      <c r="AE159" s="25"/>
      <c r="AF159" s="25"/>
      <c r="AG159" s="40" t="s">
        <v>60</v>
      </c>
      <c r="AH159" s="42">
        <v>2433.0</v>
      </c>
      <c r="AI159" s="40" t="s">
        <v>61</v>
      </c>
      <c r="AJ159" s="27">
        <v>150.0</v>
      </c>
      <c r="AK159" s="31" t="s">
        <v>22</v>
      </c>
      <c r="AL159" s="43">
        <v>44735.0</v>
      </c>
      <c r="AM159" s="44">
        <v>44756.690254629626</v>
      </c>
      <c r="AN159" s="30">
        <v>2.0</v>
      </c>
      <c r="AO159" s="40"/>
      <c r="AP159" s="40"/>
      <c r="AQ159" s="40"/>
      <c r="AR159" s="40"/>
      <c r="AS159" s="22"/>
      <c r="AT159" s="70"/>
      <c r="AU159" s="40"/>
      <c r="AV159" s="46" t="str">
        <f>IFERROR(__xludf.DUMMYFUNCTION("""COMPUTED_VALUE"""),"Donathan")</f>
        <v>Donathan</v>
      </c>
      <c r="AW159" s="46">
        <f t="shared" si="7"/>
        <v>500</v>
      </c>
      <c r="AX159" s="47">
        <f t="shared" ref="AX159:BQ159" si="587">SUMIFS($AJ:$AJ,$V:$V,$AV159,$AK:$AK,AX$2)</f>
        <v>500</v>
      </c>
      <c r="AY159" s="48">
        <f t="shared" si="587"/>
        <v>0</v>
      </c>
      <c r="AZ159" s="48">
        <f t="shared" si="587"/>
        <v>0</v>
      </c>
      <c r="BA159" s="48">
        <f t="shared" si="587"/>
        <v>0</v>
      </c>
      <c r="BB159" s="48">
        <f t="shared" si="587"/>
        <v>0</v>
      </c>
      <c r="BC159" s="48">
        <f t="shared" si="587"/>
        <v>0</v>
      </c>
      <c r="BD159" s="48">
        <f t="shared" si="587"/>
        <v>0</v>
      </c>
      <c r="BE159" s="48">
        <f t="shared" si="587"/>
        <v>0</v>
      </c>
      <c r="BF159" s="48">
        <f t="shared" si="587"/>
        <v>0</v>
      </c>
      <c r="BG159" s="48">
        <f t="shared" si="587"/>
        <v>0</v>
      </c>
      <c r="BH159" s="48">
        <f t="shared" si="587"/>
        <v>0</v>
      </c>
      <c r="BI159" s="48">
        <f t="shared" si="587"/>
        <v>0</v>
      </c>
      <c r="BJ159" s="48">
        <f t="shared" si="587"/>
        <v>0</v>
      </c>
      <c r="BK159" s="48">
        <f t="shared" si="587"/>
        <v>0</v>
      </c>
      <c r="BL159" s="48">
        <f t="shared" si="587"/>
        <v>0</v>
      </c>
      <c r="BM159" s="48">
        <f t="shared" si="587"/>
        <v>0</v>
      </c>
      <c r="BN159" s="48">
        <f t="shared" si="587"/>
        <v>0</v>
      </c>
      <c r="BO159" s="48">
        <f t="shared" si="587"/>
        <v>0</v>
      </c>
      <c r="BP159" s="48">
        <f t="shared" si="587"/>
        <v>0</v>
      </c>
      <c r="BQ159" s="48">
        <f t="shared" si="587"/>
        <v>0</v>
      </c>
      <c r="BR159" s="36">
        <f t="shared" si="9"/>
        <v>0</v>
      </c>
      <c r="BS159" s="38">
        <f t="shared" si="10"/>
        <v>1</v>
      </c>
      <c r="BT159" s="49">
        <f t="shared" si="11"/>
        <v>0</v>
      </c>
      <c r="BU159" s="38">
        <f t="shared" si="12"/>
        <v>1000</v>
      </c>
      <c r="BV159" s="46" t="str">
        <f>IFERROR(__xludf.DUMMYFUNCTION("""COMPUTED_VALUE"""),"Donathan")</f>
        <v>Donathan</v>
      </c>
      <c r="BW159" s="46">
        <f t="shared" si="13"/>
        <v>500</v>
      </c>
      <c r="BX159" s="47">
        <f t="shared" ref="BX159:CA159" si="588">AX159-$BU159</f>
        <v>-500</v>
      </c>
      <c r="BY159" s="47">
        <f t="shared" si="588"/>
        <v>-1000</v>
      </c>
      <c r="BZ159" s="47">
        <f t="shared" si="588"/>
        <v>-1000</v>
      </c>
      <c r="CA159" s="47">
        <f t="shared" si="588"/>
        <v>-1000</v>
      </c>
      <c r="CB159" s="47">
        <f t="shared" si="15"/>
        <v>-10000</v>
      </c>
      <c r="CC159" s="47">
        <f t="shared" ref="CC159:CQ159" si="589">BC159-$BU159</f>
        <v>-1000</v>
      </c>
      <c r="CD159" s="47">
        <f t="shared" si="589"/>
        <v>-1000</v>
      </c>
      <c r="CE159" s="47">
        <f t="shared" si="589"/>
        <v>-1000</v>
      </c>
      <c r="CF159" s="47">
        <f t="shared" si="589"/>
        <v>-1000</v>
      </c>
      <c r="CG159" s="47">
        <f t="shared" si="589"/>
        <v>-1000</v>
      </c>
      <c r="CH159" s="47">
        <f t="shared" si="589"/>
        <v>-1000</v>
      </c>
      <c r="CI159" s="47">
        <f t="shared" si="589"/>
        <v>-1000</v>
      </c>
      <c r="CJ159" s="47">
        <f t="shared" si="589"/>
        <v>-1000</v>
      </c>
      <c r="CK159" s="47">
        <f t="shared" si="589"/>
        <v>-1000</v>
      </c>
      <c r="CL159" s="47">
        <f t="shared" si="589"/>
        <v>-1000</v>
      </c>
      <c r="CM159" s="47">
        <f t="shared" si="589"/>
        <v>-1000</v>
      </c>
      <c r="CN159" s="47">
        <f t="shared" si="589"/>
        <v>-1000</v>
      </c>
      <c r="CO159" s="47">
        <f t="shared" si="589"/>
        <v>-1000</v>
      </c>
      <c r="CP159" s="47">
        <f t="shared" si="589"/>
        <v>-1000</v>
      </c>
      <c r="CQ159" s="47">
        <f t="shared" si="589"/>
        <v>-1000</v>
      </c>
      <c r="CR159" s="47"/>
      <c r="CS159" s="47"/>
      <c r="CT159" s="47"/>
      <c r="CU159" s="50" t="str">
        <f>IFERROR(__xludf.DUMMYFUNCTION("""COMPUTED_VALUE"""),"1611 Rio Vista Dr.
Dallas, TX 75208         ")</f>
        <v>1611 Rio Vista Dr.
Dallas, TX 75208         </v>
      </c>
      <c r="CV159" s="51">
        <f>IFERROR(__xludf.DUMMYFUNCTION("IF(REGEXMATCH(UPPER(CU159), ""TX""),0,1)"),0.0)</f>
        <v>0</v>
      </c>
      <c r="CW159" s="51">
        <f>IFERROR(__xludf.DUMMYFUNCTION("IF(REGEXMATCH(UPPER(CU159), ""DALLAS""),0,1)"),0.0)</f>
        <v>0</v>
      </c>
      <c r="CX159" s="51">
        <f t="shared" si="17"/>
        <v>0</v>
      </c>
      <c r="CY159" s="51">
        <f t="shared" si="18"/>
        <v>0</v>
      </c>
      <c r="CZ159" s="52" t="str">
        <f t="shared" si="19"/>
        <v/>
      </c>
      <c r="DA159" s="58"/>
      <c r="DB159" s="52"/>
      <c r="DC159" s="52"/>
      <c r="DD159" s="52"/>
      <c r="DE159" s="52"/>
      <c r="DF159" s="52"/>
      <c r="DG159" s="52"/>
      <c r="DH159" s="52"/>
      <c r="DI159" s="52"/>
      <c r="DJ159" s="52"/>
      <c r="DK159" s="52"/>
      <c r="DL159" s="52"/>
      <c r="DM159" s="52"/>
      <c r="DN159" s="52"/>
      <c r="DO159" s="52"/>
      <c r="DP159" s="52"/>
      <c r="DQ159" s="52"/>
      <c r="DR159" s="52"/>
      <c r="DS159" s="52"/>
      <c r="DT159" s="52"/>
      <c r="DU159" s="52"/>
      <c r="DV159" s="52"/>
      <c r="DW159" s="52"/>
    </row>
    <row r="160">
      <c r="A160" s="23" t="s">
        <v>64</v>
      </c>
      <c r="B160" s="23" t="s">
        <v>56</v>
      </c>
      <c r="C160" s="31" t="s">
        <v>462</v>
      </c>
      <c r="D160" s="25" t="str">
        <f>IFERROR(__xludf.DUMMYFUNCTION("SPLIT(C160,"" "")"),"Blanco,")</f>
        <v>Blanco,</v>
      </c>
      <c r="E160" s="22" t="str">
        <f>IFERROR(__xludf.DUMMYFUNCTION("""COMPUTED_VALUE"""),"Erica
419")</f>
        <v>Erica
419</v>
      </c>
      <c r="F160" s="22" t="str">
        <f>IFERROR(__xludf.DUMMYFUNCTION("""COMPUTED_VALUE"""),"S")</f>
        <v>S</v>
      </c>
      <c r="G160" s="22" t="str">
        <f>IFERROR(__xludf.DUMMYFUNCTION("""COMPUTED_VALUE"""),"Garrett")</f>
        <v>Garrett</v>
      </c>
      <c r="H160" s="22" t="str">
        <f>IFERROR(__xludf.DUMMYFUNCTION("""COMPUTED_VALUE"""),"Ave
Dallas,")</f>
        <v>Ave
Dallas,</v>
      </c>
      <c r="I160" s="22" t="str">
        <f>IFERROR(__xludf.DUMMYFUNCTION("""COMPUTED_VALUE"""),"TX")</f>
        <v>TX</v>
      </c>
      <c r="J160" s="22">
        <f>IFERROR(__xludf.DUMMYFUNCTION("""COMPUTED_VALUE"""),75223.0)</f>
        <v>75223</v>
      </c>
      <c r="K160" s="22"/>
      <c r="L160" s="22"/>
      <c r="M160" s="22"/>
      <c r="N160" s="22"/>
      <c r="O160" s="22"/>
      <c r="P160" s="22"/>
      <c r="Q160" s="22"/>
      <c r="R160" s="22"/>
      <c r="S160" s="22"/>
      <c r="T160" s="22"/>
      <c r="U160" s="24" t="str">
        <f>IFERROR(__xludf.DUMMYFUNCTION("SPLIT(E160,""01234567890"")"),"Erica
")</f>
        <v>Erica
</v>
      </c>
      <c r="V160" s="24" t="str">
        <f>IFERROR(__xludf.DUMMYFUNCTION("SPLIT(D160,"","")"),"Blanco")</f>
        <v>Blanco</v>
      </c>
      <c r="W160" s="25" t="str">
        <f t="shared" si="1"/>
        <v>ERICA
 BLANCO</v>
      </c>
      <c r="X160" s="25" t="s">
        <v>463</v>
      </c>
      <c r="Y160" s="25">
        <v>75223.0</v>
      </c>
      <c r="Z160" s="25" t="str">
        <f>IFERROR(__xludf.DUMMYFUNCTION("SPLIT(C160,""
"")"),"Blanco, Erica")</f>
        <v>Blanco, Erica</v>
      </c>
      <c r="AA160" s="25" t="str">
        <f>IFERROR(__xludf.DUMMYFUNCTION("""COMPUTED_VALUE"""),"419 S Garrett Ave")</f>
        <v>419 S Garrett Ave</v>
      </c>
      <c r="AB160" s="25" t="str">
        <f>IFERROR(__xludf.DUMMYFUNCTION("""COMPUTED_VALUE"""),"Dallas, TX 75223")</f>
        <v>Dallas, TX 75223</v>
      </c>
      <c r="AC160" s="24" t="s">
        <v>464</v>
      </c>
      <c r="AD160" s="25"/>
      <c r="AE160" s="25"/>
      <c r="AF160" s="25"/>
      <c r="AG160" s="22" t="s">
        <v>60</v>
      </c>
      <c r="AH160" s="54">
        <v>2515.0</v>
      </c>
      <c r="AI160" s="22" t="s">
        <v>68</v>
      </c>
      <c r="AJ160" s="27">
        <v>50.0</v>
      </c>
      <c r="AK160" s="31" t="s">
        <v>27</v>
      </c>
      <c r="AL160" s="28">
        <v>44926.0</v>
      </c>
      <c r="AM160" s="29">
        <v>44943.69443287037</v>
      </c>
      <c r="AN160" s="30">
        <v>2.0</v>
      </c>
      <c r="AO160" s="22"/>
      <c r="AP160" s="22"/>
      <c r="AQ160" s="22"/>
      <c r="AR160" s="22"/>
      <c r="AS160" s="40"/>
      <c r="AT160" s="47"/>
      <c r="AU160" s="22"/>
      <c r="AV160" s="57" t="str">
        <f>IFERROR(__xludf.DUMMYFUNCTION("""COMPUTED_VALUE"""),"Hunt")</f>
        <v>Hunt</v>
      </c>
      <c r="AW160" s="46">
        <f t="shared" si="7"/>
        <v>36150</v>
      </c>
      <c r="AX160" s="47">
        <f t="shared" ref="AX160:BQ160" si="590">SUMIFS($AJ:$AJ,$V:$V,$AV160,$AK:$AK,AX$2)</f>
        <v>1250</v>
      </c>
      <c r="AY160" s="48">
        <f t="shared" si="590"/>
        <v>1000</v>
      </c>
      <c r="AZ160" s="48">
        <f t="shared" si="590"/>
        <v>1000</v>
      </c>
      <c r="BA160" s="48">
        <f t="shared" si="590"/>
        <v>1250</v>
      </c>
      <c r="BB160" s="48">
        <f t="shared" si="590"/>
        <v>22500</v>
      </c>
      <c r="BC160" s="48">
        <f t="shared" si="590"/>
        <v>0</v>
      </c>
      <c r="BD160" s="48">
        <f t="shared" si="590"/>
        <v>1000</v>
      </c>
      <c r="BE160" s="48">
        <f t="shared" si="590"/>
        <v>2000</v>
      </c>
      <c r="BF160" s="48">
        <f t="shared" si="590"/>
        <v>0</v>
      </c>
      <c r="BG160" s="48">
        <f t="shared" si="590"/>
        <v>1150</v>
      </c>
      <c r="BH160" s="48">
        <f t="shared" si="590"/>
        <v>1000</v>
      </c>
      <c r="BI160" s="48">
        <f t="shared" si="590"/>
        <v>0</v>
      </c>
      <c r="BJ160" s="48">
        <f t="shared" si="590"/>
        <v>1000</v>
      </c>
      <c r="BK160" s="48">
        <f t="shared" si="590"/>
        <v>1000</v>
      </c>
      <c r="BL160" s="48">
        <f t="shared" si="590"/>
        <v>2000</v>
      </c>
      <c r="BM160" s="48">
        <f t="shared" si="590"/>
        <v>0</v>
      </c>
      <c r="BN160" s="48">
        <f t="shared" si="590"/>
        <v>0</v>
      </c>
      <c r="BO160" s="48">
        <f t="shared" si="590"/>
        <v>0</v>
      </c>
      <c r="BP160" s="48">
        <f t="shared" si="590"/>
        <v>0</v>
      </c>
      <c r="BQ160" s="48">
        <f t="shared" si="590"/>
        <v>0</v>
      </c>
      <c r="BR160" s="36">
        <f t="shared" si="9"/>
        <v>1</v>
      </c>
      <c r="BS160" s="38">
        <f t="shared" si="10"/>
        <v>7</v>
      </c>
      <c r="BT160" s="49">
        <f t="shared" si="11"/>
        <v>0</v>
      </c>
      <c r="BU160" s="38">
        <f t="shared" si="12"/>
        <v>7000</v>
      </c>
      <c r="BV160" s="57" t="str">
        <f>IFERROR(__xludf.DUMMYFUNCTION("""COMPUTED_VALUE"""),"Hunt")</f>
        <v>Hunt</v>
      </c>
      <c r="BW160" s="46">
        <f t="shared" si="13"/>
        <v>36150</v>
      </c>
      <c r="BX160" s="47">
        <f t="shared" ref="BX160:CA160" si="591">AX160-$BU160</f>
        <v>-5750</v>
      </c>
      <c r="BY160" s="47">
        <f t="shared" si="591"/>
        <v>-6000</v>
      </c>
      <c r="BZ160" s="47">
        <f t="shared" si="591"/>
        <v>-6000</v>
      </c>
      <c r="CA160" s="47">
        <f t="shared" si="591"/>
        <v>-5750</v>
      </c>
      <c r="CB160" s="47">
        <f t="shared" si="15"/>
        <v>-47500</v>
      </c>
      <c r="CC160" s="47">
        <f t="shared" ref="CC160:CQ160" si="592">BC160-$BU160</f>
        <v>-7000</v>
      </c>
      <c r="CD160" s="47">
        <f t="shared" si="592"/>
        <v>-6000</v>
      </c>
      <c r="CE160" s="47">
        <f t="shared" si="592"/>
        <v>-5000</v>
      </c>
      <c r="CF160" s="47">
        <f t="shared" si="592"/>
        <v>-7000</v>
      </c>
      <c r="CG160" s="47">
        <f t="shared" si="592"/>
        <v>-5850</v>
      </c>
      <c r="CH160" s="47">
        <f t="shared" si="592"/>
        <v>-6000</v>
      </c>
      <c r="CI160" s="47">
        <f t="shared" si="592"/>
        <v>-7000</v>
      </c>
      <c r="CJ160" s="47">
        <f t="shared" si="592"/>
        <v>-6000</v>
      </c>
      <c r="CK160" s="47">
        <f t="shared" si="592"/>
        <v>-6000</v>
      </c>
      <c r="CL160" s="47">
        <f t="shared" si="592"/>
        <v>-5000</v>
      </c>
      <c r="CM160" s="47">
        <f t="shared" si="592"/>
        <v>-7000</v>
      </c>
      <c r="CN160" s="47">
        <f t="shared" si="592"/>
        <v>-7000</v>
      </c>
      <c r="CO160" s="47">
        <f t="shared" si="592"/>
        <v>-7000</v>
      </c>
      <c r="CP160" s="47">
        <f t="shared" si="592"/>
        <v>-7000</v>
      </c>
      <c r="CQ160" s="47">
        <f t="shared" si="592"/>
        <v>-7000</v>
      </c>
      <c r="CR160" s="47"/>
      <c r="CS160" s="47"/>
      <c r="CT160" s="47"/>
      <c r="CU160" s="50" t="str">
        <f>IFERROR(__xludf.DUMMYFUNCTION("""COMPUTED_VALUE"""),"eliseo (Lee)
214 S. Willomet Ave.
Dallas, TX 75208        ")</f>
        <v>eliseo (Lee)
214 S. Willomet Ave.
Dallas, TX 75208        </v>
      </c>
      <c r="CV160" s="51">
        <f>IFERROR(__xludf.DUMMYFUNCTION("IF(REGEXMATCH(UPPER(CU160), ""TX""),0,1)"),0.0)</f>
        <v>0</v>
      </c>
      <c r="CW160" s="51">
        <f>IFERROR(__xludf.DUMMYFUNCTION("IF(REGEXMATCH(UPPER(CU160), ""DALLAS""),0,1)"),0.0)</f>
        <v>0</v>
      </c>
      <c r="CX160" s="51">
        <f t="shared" si="17"/>
        <v>0</v>
      </c>
      <c r="CY160" s="51">
        <f t="shared" si="18"/>
        <v>0</v>
      </c>
      <c r="CZ160" s="52" t="str">
        <f t="shared" si="19"/>
        <v/>
      </c>
      <c r="DA160" s="58"/>
      <c r="DB160" s="52"/>
      <c r="DC160" s="52"/>
      <c r="DD160" s="52"/>
      <c r="DE160" s="52"/>
      <c r="DF160" s="52"/>
      <c r="DG160" s="52"/>
      <c r="DH160" s="52"/>
      <c r="DI160" s="52"/>
      <c r="DJ160" s="52"/>
      <c r="DK160" s="52"/>
      <c r="DL160" s="52"/>
      <c r="DM160" s="52"/>
      <c r="DN160" s="52"/>
      <c r="DO160" s="52"/>
      <c r="DP160" s="52"/>
      <c r="DQ160" s="52"/>
      <c r="DR160" s="52"/>
      <c r="DS160" s="52"/>
      <c r="DT160" s="52"/>
      <c r="DU160" s="52"/>
      <c r="DV160" s="52"/>
      <c r="DW160" s="52"/>
    </row>
    <row r="161">
      <c r="A161" s="40" t="s">
        <v>55</v>
      </c>
      <c r="B161" s="41" t="s">
        <v>56</v>
      </c>
      <c r="C161" s="31" t="s">
        <v>465</v>
      </c>
      <c r="D161" s="25" t="str">
        <f>IFERROR(__xludf.DUMMYFUNCTION("SPLIT(C161,"" "")"),"Blessing,")</f>
        <v>Blessing,</v>
      </c>
      <c r="E161" s="40" t="str">
        <f>IFERROR(__xludf.DUMMYFUNCTION("""COMPUTED_VALUE"""),"Edward
8235")</f>
        <v>Edward
8235</v>
      </c>
      <c r="F161" s="40" t="str">
        <f>IFERROR(__xludf.DUMMYFUNCTION("""COMPUTED_VALUE"""),"Douglas")</f>
        <v>Douglas</v>
      </c>
      <c r="G161" s="40" t="str">
        <f>IFERROR(__xludf.DUMMYFUNCTION("""COMPUTED_VALUE"""),"Ave
Dallas,")</f>
        <v>Ave
Dallas,</v>
      </c>
      <c r="H161" s="40" t="str">
        <f>IFERROR(__xludf.DUMMYFUNCTION("""COMPUTED_VALUE"""),"TX")</f>
        <v>TX</v>
      </c>
      <c r="I161" s="40">
        <f>IFERROR(__xludf.DUMMYFUNCTION("""COMPUTED_VALUE"""),75225.0)</f>
        <v>75225</v>
      </c>
      <c r="J161" s="40"/>
      <c r="K161" s="40"/>
      <c r="L161" s="40"/>
      <c r="M161" s="40"/>
      <c r="N161" s="40"/>
      <c r="O161" s="40"/>
      <c r="P161" s="40"/>
      <c r="Q161" s="40"/>
      <c r="R161" s="40"/>
      <c r="S161" s="40"/>
      <c r="T161" s="40"/>
      <c r="U161" s="24" t="str">
        <f>IFERROR(__xludf.DUMMYFUNCTION("SPLIT(E161,""01234567890"")"),"Edward
")</f>
        <v>Edward
</v>
      </c>
      <c r="V161" s="24" t="str">
        <f>IFERROR(__xludf.DUMMYFUNCTION("SPLIT(D161,"","")"),"Blessing")</f>
        <v>Blessing</v>
      </c>
      <c r="W161" s="25" t="str">
        <f t="shared" si="1"/>
        <v>EDWARD
 BLESSING</v>
      </c>
      <c r="X161" s="25" t="s">
        <v>466</v>
      </c>
      <c r="Y161" s="25">
        <v>75225.0</v>
      </c>
      <c r="Z161" s="25" t="str">
        <f>IFERROR(__xludf.DUMMYFUNCTION("SPLIT(C161,""
"")"),"Blessing, Edward")</f>
        <v>Blessing, Edward</v>
      </c>
      <c r="AA161" s="25" t="str">
        <f>IFERROR(__xludf.DUMMYFUNCTION("""COMPUTED_VALUE"""),"8235 Douglas Ave")</f>
        <v>8235 Douglas Ave</v>
      </c>
      <c r="AB161" s="25" t="str">
        <f>IFERROR(__xludf.DUMMYFUNCTION("""COMPUTED_VALUE"""),"Dallas, TX 75225")</f>
        <v>Dallas, TX 75225</v>
      </c>
      <c r="AC161" s="24" t="s">
        <v>467</v>
      </c>
      <c r="AD161" s="25"/>
      <c r="AE161" s="25"/>
      <c r="AF161" s="25"/>
      <c r="AG161" s="40" t="s">
        <v>60</v>
      </c>
      <c r="AH161" s="42">
        <v>2437.0</v>
      </c>
      <c r="AI161" s="40" t="s">
        <v>61</v>
      </c>
      <c r="AJ161" s="27">
        <v>1000.0</v>
      </c>
      <c r="AK161" s="31" t="s">
        <v>25</v>
      </c>
      <c r="AL161" s="43">
        <v>44712.0</v>
      </c>
      <c r="AM161" s="44">
        <v>44754.83237268519</v>
      </c>
      <c r="AN161" s="30">
        <v>2.0</v>
      </c>
      <c r="AO161" s="40"/>
      <c r="AP161" s="40"/>
      <c r="AQ161" s="40"/>
      <c r="AR161" s="40"/>
      <c r="AS161" s="22"/>
      <c r="AT161" s="70"/>
      <c r="AU161" s="40"/>
      <c r="AV161" s="46" t="str">
        <f>IFERROR(__xludf.DUMMYFUNCTION("""COMPUTED_VALUE"""),"Holloway")</f>
        <v>Holloway</v>
      </c>
      <c r="AW161" s="46">
        <f t="shared" si="7"/>
        <v>150</v>
      </c>
      <c r="AX161" s="47">
        <f t="shared" ref="AX161:BQ161" si="593">SUMIFS($AJ:$AJ,$V:$V,$AV161,$AK:$AK,AX$2)</f>
        <v>100</v>
      </c>
      <c r="AY161" s="48">
        <f t="shared" si="593"/>
        <v>0</v>
      </c>
      <c r="AZ161" s="48">
        <f t="shared" si="593"/>
        <v>0</v>
      </c>
      <c r="BA161" s="48">
        <f t="shared" si="593"/>
        <v>50</v>
      </c>
      <c r="BB161" s="48">
        <f t="shared" si="593"/>
        <v>0</v>
      </c>
      <c r="BC161" s="48">
        <f t="shared" si="593"/>
        <v>0</v>
      </c>
      <c r="BD161" s="48">
        <f t="shared" si="593"/>
        <v>0</v>
      </c>
      <c r="BE161" s="48">
        <f t="shared" si="593"/>
        <v>0</v>
      </c>
      <c r="BF161" s="48">
        <f t="shared" si="593"/>
        <v>0</v>
      </c>
      <c r="BG161" s="48">
        <f t="shared" si="593"/>
        <v>0</v>
      </c>
      <c r="BH161" s="48">
        <f t="shared" si="593"/>
        <v>0</v>
      </c>
      <c r="BI161" s="48">
        <f t="shared" si="593"/>
        <v>0</v>
      </c>
      <c r="BJ161" s="48">
        <f t="shared" si="593"/>
        <v>0</v>
      </c>
      <c r="BK161" s="48">
        <f t="shared" si="593"/>
        <v>0</v>
      </c>
      <c r="BL161" s="48">
        <f t="shared" si="593"/>
        <v>0</v>
      </c>
      <c r="BM161" s="48">
        <f t="shared" si="593"/>
        <v>0</v>
      </c>
      <c r="BN161" s="48">
        <f t="shared" si="593"/>
        <v>0</v>
      </c>
      <c r="BO161" s="48">
        <f t="shared" si="593"/>
        <v>0</v>
      </c>
      <c r="BP161" s="48">
        <f t="shared" si="593"/>
        <v>0</v>
      </c>
      <c r="BQ161" s="48">
        <f t="shared" si="593"/>
        <v>0</v>
      </c>
      <c r="BR161" s="36">
        <f t="shared" si="9"/>
        <v>1</v>
      </c>
      <c r="BS161" s="38">
        <f t="shared" si="10"/>
        <v>2</v>
      </c>
      <c r="BT161" s="49">
        <f t="shared" si="11"/>
        <v>0</v>
      </c>
      <c r="BU161" s="38">
        <f t="shared" si="12"/>
        <v>2000</v>
      </c>
      <c r="BV161" s="46" t="str">
        <f>IFERROR(__xludf.DUMMYFUNCTION("""COMPUTED_VALUE"""),"Holloway")</f>
        <v>Holloway</v>
      </c>
      <c r="BW161" s="46">
        <f t="shared" si="13"/>
        <v>150</v>
      </c>
      <c r="BX161" s="47">
        <f t="shared" ref="BX161:CA161" si="594">AX161-$BU161</f>
        <v>-1900</v>
      </c>
      <c r="BY161" s="47">
        <f t="shared" si="594"/>
        <v>-2000</v>
      </c>
      <c r="BZ161" s="47">
        <f t="shared" si="594"/>
        <v>-2000</v>
      </c>
      <c r="CA161" s="47">
        <f t="shared" si="594"/>
        <v>-1950</v>
      </c>
      <c r="CB161" s="47">
        <f t="shared" si="15"/>
        <v>-20000</v>
      </c>
      <c r="CC161" s="47">
        <f t="shared" ref="CC161:CQ161" si="595">BC161-$BU161</f>
        <v>-2000</v>
      </c>
      <c r="CD161" s="47">
        <f t="shared" si="595"/>
        <v>-2000</v>
      </c>
      <c r="CE161" s="47">
        <f t="shared" si="595"/>
        <v>-2000</v>
      </c>
      <c r="CF161" s="47">
        <f t="shared" si="595"/>
        <v>-2000</v>
      </c>
      <c r="CG161" s="47">
        <f t="shared" si="595"/>
        <v>-2000</v>
      </c>
      <c r="CH161" s="47">
        <f t="shared" si="595"/>
        <v>-2000</v>
      </c>
      <c r="CI161" s="47">
        <f t="shared" si="595"/>
        <v>-2000</v>
      </c>
      <c r="CJ161" s="47">
        <f t="shared" si="595"/>
        <v>-2000</v>
      </c>
      <c r="CK161" s="47">
        <f t="shared" si="595"/>
        <v>-2000</v>
      </c>
      <c r="CL161" s="47">
        <f t="shared" si="595"/>
        <v>-2000</v>
      </c>
      <c r="CM161" s="47">
        <f t="shared" si="595"/>
        <v>-2000</v>
      </c>
      <c r="CN161" s="47">
        <f t="shared" si="595"/>
        <v>-2000</v>
      </c>
      <c r="CO161" s="47">
        <f t="shared" si="595"/>
        <v>-2000</v>
      </c>
      <c r="CP161" s="47">
        <f t="shared" si="595"/>
        <v>-2000</v>
      </c>
      <c r="CQ161" s="47">
        <f t="shared" si="595"/>
        <v>-2000</v>
      </c>
      <c r="CR161" s="47"/>
      <c r="CS161" s="47"/>
      <c r="CT161" s="47"/>
      <c r="CU161" s="50" t="str">
        <f>IFERROR(__xludf.DUMMYFUNCTION("""COMPUTED_VALUE"""),"2803 Mayfair Ln.
McKinney, TX 75071          ")</f>
        <v>2803 Mayfair Ln.
McKinney, TX 75071          </v>
      </c>
      <c r="CV161" s="51">
        <f>IFERROR(__xludf.DUMMYFUNCTION("IF(REGEXMATCH(UPPER(CU161), ""TX""),0,1)"),0.0)</f>
        <v>0</v>
      </c>
      <c r="CW161" s="51">
        <f>IFERROR(__xludf.DUMMYFUNCTION("IF(REGEXMATCH(UPPER(CU161), ""DALLAS""),0,1)"),1.0)</f>
        <v>1</v>
      </c>
      <c r="CX161" s="51">
        <f t="shared" si="17"/>
        <v>0</v>
      </c>
      <c r="CY161" s="51">
        <f t="shared" si="18"/>
        <v>950</v>
      </c>
      <c r="CZ161" s="52" t="str">
        <f t="shared" si="19"/>
        <v>2803 Mayfair Ln.
McKinney, TX 75071          </v>
      </c>
      <c r="DA161" s="58"/>
      <c r="DB161" s="52"/>
      <c r="DC161" s="52"/>
      <c r="DD161" s="52"/>
      <c r="DE161" s="52"/>
      <c r="DF161" s="52"/>
      <c r="DG161" s="52"/>
      <c r="DH161" s="52"/>
      <c r="DI161" s="52"/>
      <c r="DJ161" s="52"/>
      <c r="DK161" s="52"/>
      <c r="DL161" s="52"/>
      <c r="DM161" s="52"/>
      <c r="DN161" s="52"/>
      <c r="DO161" s="52"/>
      <c r="DP161" s="52"/>
      <c r="DQ161" s="52"/>
      <c r="DR161" s="52"/>
      <c r="DS161" s="52"/>
      <c r="DT161" s="52"/>
      <c r="DU161" s="52"/>
      <c r="DV161" s="52"/>
      <c r="DW161" s="52"/>
    </row>
    <row r="162">
      <c r="A162" s="23" t="s">
        <v>64</v>
      </c>
      <c r="B162" s="23" t="s">
        <v>56</v>
      </c>
      <c r="C162" s="31" t="s">
        <v>468</v>
      </c>
      <c r="D162" s="25" t="str">
        <f>IFERROR(__xludf.DUMMYFUNCTION("SPLIT(C162,"" "")"),"Blewett,")</f>
        <v>Blewett,</v>
      </c>
      <c r="E162" s="22" t="str">
        <f>IFERROR(__xludf.DUMMYFUNCTION("""COMPUTED_VALUE"""),"David
6228")</f>
        <v>David
6228</v>
      </c>
      <c r="F162" s="22" t="str">
        <f>IFERROR(__xludf.DUMMYFUNCTION("""COMPUTED_VALUE"""),"Vickery")</f>
        <v>Vickery</v>
      </c>
      <c r="G162" s="22" t="str">
        <f>IFERROR(__xludf.DUMMYFUNCTION("""COMPUTED_VALUE"""),"Blvd.
Dallas,")</f>
        <v>Blvd.
Dallas,</v>
      </c>
      <c r="H162" s="22" t="str">
        <f>IFERROR(__xludf.DUMMYFUNCTION("""COMPUTED_VALUE"""),"TX")</f>
        <v>TX</v>
      </c>
      <c r="I162" s="22">
        <f>IFERROR(__xludf.DUMMYFUNCTION("""COMPUTED_VALUE"""),75214.0)</f>
        <v>75214</v>
      </c>
      <c r="J162" s="22"/>
      <c r="K162" s="22"/>
      <c r="L162" s="22"/>
      <c r="M162" s="22"/>
      <c r="N162" s="22"/>
      <c r="O162" s="22"/>
      <c r="P162" s="22"/>
      <c r="Q162" s="22"/>
      <c r="R162" s="22"/>
      <c r="S162" s="22"/>
      <c r="T162" s="22"/>
      <c r="U162" s="24" t="str">
        <f>IFERROR(__xludf.DUMMYFUNCTION("SPLIT(E162,""01234567890"")"),"David
")</f>
        <v>David
</v>
      </c>
      <c r="V162" s="24" t="str">
        <f>IFERROR(__xludf.DUMMYFUNCTION("SPLIT(D162,"","")"),"Blewett")</f>
        <v>Blewett</v>
      </c>
      <c r="W162" s="25" t="str">
        <f t="shared" si="1"/>
        <v>DAVID
 BLEWETT</v>
      </c>
      <c r="X162" s="25" t="s">
        <v>469</v>
      </c>
      <c r="Y162" s="25">
        <v>75214.0</v>
      </c>
      <c r="Z162" s="25" t="str">
        <f>IFERROR(__xludf.DUMMYFUNCTION("SPLIT(C162,""
"")"),"Blewett, David")</f>
        <v>Blewett, David</v>
      </c>
      <c r="AA162" s="25" t="str">
        <f>IFERROR(__xludf.DUMMYFUNCTION("""COMPUTED_VALUE"""),"6228 Vickery Blvd.")</f>
        <v>6228 Vickery Blvd.</v>
      </c>
      <c r="AB162" s="25" t="str">
        <f>IFERROR(__xludf.DUMMYFUNCTION("""COMPUTED_VALUE"""),"Dallas, TX 75214")</f>
        <v>Dallas, TX 75214</v>
      </c>
      <c r="AC162" s="24" t="s">
        <v>470</v>
      </c>
      <c r="AD162" s="25"/>
      <c r="AE162" s="25"/>
      <c r="AF162" s="25"/>
      <c r="AG162" s="22" t="s">
        <v>60</v>
      </c>
      <c r="AH162" s="54">
        <v>2441.0</v>
      </c>
      <c r="AI162" s="22" t="s">
        <v>61</v>
      </c>
      <c r="AJ162" s="27">
        <v>950.0</v>
      </c>
      <c r="AK162" s="31" t="s">
        <v>21</v>
      </c>
      <c r="AL162" s="28">
        <v>44742.0</v>
      </c>
      <c r="AM162" s="29">
        <v>44756.4640625</v>
      </c>
      <c r="AN162" s="30">
        <v>2.0</v>
      </c>
      <c r="AO162" s="22"/>
      <c r="AP162" s="22"/>
      <c r="AQ162" s="22"/>
      <c r="AR162" s="22"/>
      <c r="AS162" s="40"/>
      <c r="AT162" s="47"/>
      <c r="AU162" s="22"/>
      <c r="AV162" s="57" t="str">
        <f>IFERROR(__xludf.DUMMYFUNCTION("""COMPUTED_VALUE"""),"McDonald")</f>
        <v>McDonald</v>
      </c>
      <c r="AW162" s="46">
        <f t="shared" si="7"/>
        <v>50</v>
      </c>
      <c r="AX162" s="47">
        <f t="shared" ref="AX162:BQ162" si="596">SUMIFS($AJ:$AJ,$V:$V,$AV162,$AK:$AK,AX$2)</f>
        <v>50</v>
      </c>
      <c r="AY162" s="48">
        <f t="shared" si="596"/>
        <v>0</v>
      </c>
      <c r="AZ162" s="48">
        <f t="shared" si="596"/>
        <v>0</v>
      </c>
      <c r="BA162" s="48">
        <f t="shared" si="596"/>
        <v>0</v>
      </c>
      <c r="BB162" s="48">
        <f t="shared" si="596"/>
        <v>0</v>
      </c>
      <c r="BC162" s="48">
        <f t="shared" si="596"/>
        <v>0</v>
      </c>
      <c r="BD162" s="48">
        <f t="shared" si="596"/>
        <v>0</v>
      </c>
      <c r="BE162" s="48">
        <f t="shared" si="596"/>
        <v>0</v>
      </c>
      <c r="BF162" s="48">
        <f t="shared" si="596"/>
        <v>0</v>
      </c>
      <c r="BG162" s="48">
        <f t="shared" si="596"/>
        <v>0</v>
      </c>
      <c r="BH162" s="48">
        <f t="shared" si="596"/>
        <v>0</v>
      </c>
      <c r="BI162" s="48">
        <f t="shared" si="596"/>
        <v>0</v>
      </c>
      <c r="BJ162" s="48">
        <f t="shared" si="596"/>
        <v>0</v>
      </c>
      <c r="BK162" s="48">
        <f t="shared" si="596"/>
        <v>0</v>
      </c>
      <c r="BL162" s="48">
        <f t="shared" si="596"/>
        <v>0</v>
      </c>
      <c r="BM162" s="48">
        <f t="shared" si="596"/>
        <v>0</v>
      </c>
      <c r="BN162" s="48">
        <f t="shared" si="596"/>
        <v>0</v>
      </c>
      <c r="BO162" s="48">
        <f t="shared" si="596"/>
        <v>0</v>
      </c>
      <c r="BP162" s="48">
        <f t="shared" si="596"/>
        <v>0</v>
      </c>
      <c r="BQ162" s="48">
        <f t="shared" si="596"/>
        <v>0</v>
      </c>
      <c r="BR162" s="36">
        <f t="shared" si="9"/>
        <v>0</v>
      </c>
      <c r="BS162" s="38">
        <f t="shared" si="10"/>
        <v>1</v>
      </c>
      <c r="BT162" s="49">
        <f t="shared" si="11"/>
        <v>0</v>
      </c>
      <c r="BU162" s="38">
        <f t="shared" si="12"/>
        <v>1000</v>
      </c>
      <c r="BV162" s="57" t="str">
        <f>IFERROR(__xludf.DUMMYFUNCTION("""COMPUTED_VALUE"""),"McDonald")</f>
        <v>McDonald</v>
      </c>
      <c r="BW162" s="46">
        <f t="shared" si="13"/>
        <v>50</v>
      </c>
      <c r="BX162" s="47">
        <f t="shared" ref="BX162:CA162" si="597">AX162-$BU162</f>
        <v>-950</v>
      </c>
      <c r="BY162" s="47">
        <f t="shared" si="597"/>
        <v>-1000</v>
      </c>
      <c r="BZ162" s="47">
        <f t="shared" si="597"/>
        <v>-1000</v>
      </c>
      <c r="CA162" s="47">
        <f t="shared" si="597"/>
        <v>-1000</v>
      </c>
      <c r="CB162" s="47">
        <f t="shared" si="15"/>
        <v>-10000</v>
      </c>
      <c r="CC162" s="47">
        <f t="shared" ref="CC162:CQ162" si="598">BC162-$BU162</f>
        <v>-1000</v>
      </c>
      <c r="CD162" s="47">
        <f t="shared" si="598"/>
        <v>-1000</v>
      </c>
      <c r="CE162" s="47">
        <f t="shared" si="598"/>
        <v>-1000</v>
      </c>
      <c r="CF162" s="47">
        <f t="shared" si="598"/>
        <v>-1000</v>
      </c>
      <c r="CG162" s="47">
        <f t="shared" si="598"/>
        <v>-1000</v>
      </c>
      <c r="CH162" s="47">
        <f t="shared" si="598"/>
        <v>-1000</v>
      </c>
      <c r="CI162" s="47">
        <f t="shared" si="598"/>
        <v>-1000</v>
      </c>
      <c r="CJ162" s="47">
        <f t="shared" si="598"/>
        <v>-1000</v>
      </c>
      <c r="CK162" s="47">
        <f t="shared" si="598"/>
        <v>-1000</v>
      </c>
      <c r="CL162" s="47">
        <f t="shared" si="598"/>
        <v>-1000</v>
      </c>
      <c r="CM162" s="47">
        <f t="shared" si="598"/>
        <v>-1000</v>
      </c>
      <c r="CN162" s="47">
        <f t="shared" si="598"/>
        <v>-1000</v>
      </c>
      <c r="CO162" s="47">
        <f t="shared" si="598"/>
        <v>-1000</v>
      </c>
      <c r="CP162" s="47">
        <f t="shared" si="598"/>
        <v>-1000</v>
      </c>
      <c r="CQ162" s="47">
        <f t="shared" si="598"/>
        <v>-1000</v>
      </c>
      <c r="CR162" s="47"/>
      <c r="CS162" s="47"/>
      <c r="CT162" s="47"/>
      <c r="CU162" s="50" t="str">
        <f>IFERROR(__xludf.DUMMYFUNCTION("""COMPUTED_VALUE"""),"204 S. Willomet Ave.
Dallas, TX 75208         ")</f>
        <v>204 S. Willomet Ave.
Dallas, TX 75208         </v>
      </c>
      <c r="CV162" s="51">
        <f>IFERROR(__xludf.DUMMYFUNCTION("IF(REGEXMATCH(UPPER(CU162), ""TX""),0,1)"),0.0)</f>
        <v>0</v>
      </c>
      <c r="CW162" s="51">
        <f>IFERROR(__xludf.DUMMYFUNCTION("IF(REGEXMATCH(UPPER(CU162), ""DALLAS""),0,1)"),0.0)</f>
        <v>0</v>
      </c>
      <c r="CX162" s="51">
        <f t="shared" si="17"/>
        <v>0</v>
      </c>
      <c r="CY162" s="51">
        <f t="shared" si="18"/>
        <v>0</v>
      </c>
      <c r="CZ162" s="52" t="str">
        <f t="shared" si="19"/>
        <v/>
      </c>
      <c r="DA162" s="58"/>
      <c r="DB162" s="52"/>
      <c r="DC162" s="52"/>
      <c r="DD162" s="52"/>
      <c r="DE162" s="52"/>
      <c r="DF162" s="52"/>
      <c r="DG162" s="52"/>
      <c r="DH162" s="52"/>
      <c r="DI162" s="52"/>
      <c r="DJ162" s="52"/>
      <c r="DK162" s="52"/>
      <c r="DL162" s="52"/>
      <c r="DM162" s="52"/>
      <c r="DN162" s="52"/>
      <c r="DO162" s="52"/>
      <c r="DP162" s="52"/>
      <c r="DQ162" s="52"/>
      <c r="DR162" s="52"/>
      <c r="DS162" s="52"/>
      <c r="DT162" s="52"/>
      <c r="DU162" s="52"/>
      <c r="DV162" s="52"/>
      <c r="DW162" s="52"/>
    </row>
    <row r="163">
      <c r="A163" s="41" t="s">
        <v>64</v>
      </c>
      <c r="B163" s="41" t="s">
        <v>56</v>
      </c>
      <c r="C163" s="31" t="s">
        <v>471</v>
      </c>
      <c r="D163" s="25" t="str">
        <f>IFERROR(__xludf.DUMMYFUNCTION("SPLIT(C163,"" "")"),"Bloch,")</f>
        <v>Bloch,</v>
      </c>
      <c r="E163" s="40" t="str">
        <f>IFERROR(__xludf.DUMMYFUNCTION("""COMPUTED_VALUE"""),"Michael
14901")</f>
        <v>Michael
14901</v>
      </c>
      <c r="F163" s="40" t="str">
        <f>IFERROR(__xludf.DUMMYFUNCTION("""COMPUTED_VALUE"""),"Quorum")</f>
        <v>Quorum</v>
      </c>
      <c r="G163" s="40" t="str">
        <f>IFERROR(__xludf.DUMMYFUNCTION("""COMPUTED_VALUE"""),"Drive
Dallas,")</f>
        <v>Drive
Dallas,</v>
      </c>
      <c r="H163" s="40" t="str">
        <f>IFERROR(__xludf.DUMMYFUNCTION("""COMPUTED_VALUE"""),"TX")</f>
        <v>TX</v>
      </c>
      <c r="I163" s="40">
        <f>IFERROR(__xludf.DUMMYFUNCTION("""COMPUTED_VALUE"""),75254.0)</f>
        <v>75254</v>
      </c>
      <c r="J163" s="40"/>
      <c r="K163" s="40"/>
      <c r="L163" s="40"/>
      <c r="M163" s="40"/>
      <c r="N163" s="40"/>
      <c r="O163" s="40"/>
      <c r="P163" s="40"/>
      <c r="Q163" s="40"/>
      <c r="R163" s="40"/>
      <c r="S163" s="40"/>
      <c r="T163" s="40"/>
      <c r="U163" s="24" t="str">
        <f>IFERROR(__xludf.DUMMYFUNCTION("SPLIT(E163,""01234567890"")"),"Michael
")</f>
        <v>Michael
</v>
      </c>
      <c r="V163" s="24" t="str">
        <f>IFERROR(__xludf.DUMMYFUNCTION("SPLIT(D163,"","")"),"Bloch")</f>
        <v>Bloch</v>
      </c>
      <c r="W163" s="25" t="str">
        <f t="shared" si="1"/>
        <v>MICHAEL
 BLOCH</v>
      </c>
      <c r="X163" s="25" t="s">
        <v>472</v>
      </c>
      <c r="Y163" s="25">
        <v>75254.0</v>
      </c>
      <c r="Z163" s="25" t="str">
        <f>IFERROR(__xludf.DUMMYFUNCTION("SPLIT(C163,""
"")"),"Bloch, Michael")</f>
        <v>Bloch, Michael</v>
      </c>
      <c r="AA163" s="25" t="str">
        <f>IFERROR(__xludf.DUMMYFUNCTION("""COMPUTED_VALUE"""),"14901 Quorum Drive")</f>
        <v>14901 Quorum Drive</v>
      </c>
      <c r="AB163" s="25" t="str">
        <f>IFERROR(__xludf.DUMMYFUNCTION("""COMPUTED_VALUE"""),"Dallas, TX 75254")</f>
        <v>Dallas, TX 75254</v>
      </c>
      <c r="AC163" s="24" t="s">
        <v>473</v>
      </c>
      <c r="AD163" s="25"/>
      <c r="AE163" s="25"/>
      <c r="AF163" s="25"/>
      <c r="AG163" s="40" t="s">
        <v>60</v>
      </c>
      <c r="AH163" s="42">
        <v>2482.0</v>
      </c>
      <c r="AI163" s="40" t="s">
        <v>68</v>
      </c>
      <c r="AJ163" s="27">
        <v>1000.0</v>
      </c>
      <c r="AK163" s="31" t="s">
        <v>31</v>
      </c>
      <c r="AL163" s="43">
        <v>44783.0</v>
      </c>
      <c r="AM163" s="44">
        <v>44938.558541666665</v>
      </c>
      <c r="AN163" s="30">
        <v>2.0</v>
      </c>
      <c r="AO163" s="40"/>
      <c r="AP163" s="40"/>
      <c r="AQ163" s="40"/>
      <c r="AR163" s="40"/>
      <c r="AS163" s="22"/>
      <c r="AT163" s="70"/>
      <c r="AU163" s="40"/>
      <c r="AV163" s="46" t="str">
        <f>IFERROR(__xludf.DUMMYFUNCTION("""COMPUTED_VALUE"""),"Engwall")</f>
        <v>Engwall</v>
      </c>
      <c r="AW163" s="46">
        <f t="shared" si="7"/>
        <v>50</v>
      </c>
      <c r="AX163" s="47">
        <f t="shared" ref="AX163:BQ163" si="599">SUMIFS($AJ:$AJ,$V:$V,$AV163,$AK:$AK,AX$2)</f>
        <v>50</v>
      </c>
      <c r="AY163" s="48">
        <f t="shared" si="599"/>
        <v>0</v>
      </c>
      <c r="AZ163" s="48">
        <f t="shared" si="599"/>
        <v>0</v>
      </c>
      <c r="BA163" s="48">
        <f t="shared" si="599"/>
        <v>0</v>
      </c>
      <c r="BB163" s="48">
        <f t="shared" si="599"/>
        <v>0</v>
      </c>
      <c r="BC163" s="48">
        <f t="shared" si="599"/>
        <v>0</v>
      </c>
      <c r="BD163" s="48">
        <f t="shared" si="599"/>
        <v>0</v>
      </c>
      <c r="BE163" s="48">
        <f t="shared" si="599"/>
        <v>0</v>
      </c>
      <c r="BF163" s="48">
        <f t="shared" si="599"/>
        <v>0</v>
      </c>
      <c r="BG163" s="48">
        <f t="shared" si="599"/>
        <v>0</v>
      </c>
      <c r="BH163" s="48">
        <f t="shared" si="599"/>
        <v>0</v>
      </c>
      <c r="BI163" s="48">
        <f t="shared" si="599"/>
        <v>0</v>
      </c>
      <c r="BJ163" s="48">
        <f t="shared" si="599"/>
        <v>0</v>
      </c>
      <c r="BK163" s="48">
        <f t="shared" si="599"/>
        <v>0</v>
      </c>
      <c r="BL163" s="48">
        <f t="shared" si="599"/>
        <v>0</v>
      </c>
      <c r="BM163" s="48">
        <f t="shared" si="599"/>
        <v>0</v>
      </c>
      <c r="BN163" s="48">
        <f t="shared" si="599"/>
        <v>0</v>
      </c>
      <c r="BO163" s="48">
        <f t="shared" si="599"/>
        <v>0</v>
      </c>
      <c r="BP163" s="48">
        <f t="shared" si="599"/>
        <v>0</v>
      </c>
      <c r="BQ163" s="48">
        <f t="shared" si="599"/>
        <v>0</v>
      </c>
      <c r="BR163" s="36">
        <f t="shared" si="9"/>
        <v>0</v>
      </c>
      <c r="BS163" s="38">
        <f t="shared" si="10"/>
        <v>1</v>
      </c>
      <c r="BT163" s="49">
        <f t="shared" si="11"/>
        <v>0</v>
      </c>
      <c r="BU163" s="38">
        <f t="shared" si="12"/>
        <v>1000</v>
      </c>
      <c r="BV163" s="46" t="str">
        <f>IFERROR(__xludf.DUMMYFUNCTION("""COMPUTED_VALUE"""),"Engwall")</f>
        <v>Engwall</v>
      </c>
      <c r="BW163" s="46">
        <f t="shared" si="13"/>
        <v>50</v>
      </c>
      <c r="BX163" s="47">
        <f t="shared" ref="BX163:CA163" si="600">AX163-$BU163</f>
        <v>-950</v>
      </c>
      <c r="BY163" s="47">
        <f t="shared" si="600"/>
        <v>-1000</v>
      </c>
      <c r="BZ163" s="47">
        <f t="shared" si="600"/>
        <v>-1000</v>
      </c>
      <c r="CA163" s="47">
        <f t="shared" si="600"/>
        <v>-1000</v>
      </c>
      <c r="CB163" s="47">
        <f t="shared" si="15"/>
        <v>-10000</v>
      </c>
      <c r="CC163" s="47">
        <f t="shared" ref="CC163:CQ163" si="601">BC163-$BU163</f>
        <v>-1000</v>
      </c>
      <c r="CD163" s="47">
        <f t="shared" si="601"/>
        <v>-1000</v>
      </c>
      <c r="CE163" s="47">
        <f t="shared" si="601"/>
        <v>-1000</v>
      </c>
      <c r="CF163" s="47">
        <f t="shared" si="601"/>
        <v>-1000</v>
      </c>
      <c r="CG163" s="47">
        <f t="shared" si="601"/>
        <v>-1000</v>
      </c>
      <c r="CH163" s="47">
        <f t="shared" si="601"/>
        <v>-1000</v>
      </c>
      <c r="CI163" s="47">
        <f t="shared" si="601"/>
        <v>-1000</v>
      </c>
      <c r="CJ163" s="47">
        <f t="shared" si="601"/>
        <v>-1000</v>
      </c>
      <c r="CK163" s="47">
        <f t="shared" si="601"/>
        <v>-1000</v>
      </c>
      <c r="CL163" s="47">
        <f t="shared" si="601"/>
        <v>-1000</v>
      </c>
      <c r="CM163" s="47">
        <f t="shared" si="601"/>
        <v>-1000</v>
      </c>
      <c r="CN163" s="47">
        <f t="shared" si="601"/>
        <v>-1000</v>
      </c>
      <c r="CO163" s="47">
        <f t="shared" si="601"/>
        <v>-1000</v>
      </c>
      <c r="CP163" s="47">
        <f t="shared" si="601"/>
        <v>-1000</v>
      </c>
      <c r="CQ163" s="47">
        <f t="shared" si="601"/>
        <v>-1000</v>
      </c>
      <c r="CR163" s="47"/>
      <c r="CS163" s="47"/>
      <c r="CT163" s="47"/>
      <c r="CU163" s="50" t="str">
        <f>IFERROR(__xludf.DUMMYFUNCTION("""COMPUTED_VALUE"""),"2102 Sharon Ln.
Austin, TX 78703          ")</f>
        <v>2102 Sharon Ln.
Austin, TX 78703          </v>
      </c>
      <c r="CV163" s="51">
        <f>IFERROR(__xludf.DUMMYFUNCTION("IF(REGEXMATCH(UPPER(CU163), ""TX""),0,1)"),0.0)</f>
        <v>0</v>
      </c>
      <c r="CW163" s="51">
        <f>IFERROR(__xludf.DUMMYFUNCTION("IF(REGEXMATCH(UPPER(CU163), ""DALLAS""),0,1)"),1.0)</f>
        <v>1</v>
      </c>
      <c r="CX163" s="51">
        <f t="shared" si="17"/>
        <v>0</v>
      </c>
      <c r="CY163" s="51">
        <f t="shared" si="18"/>
        <v>250</v>
      </c>
      <c r="CZ163" s="52" t="str">
        <f t="shared" si="19"/>
        <v>2102 Sharon Ln.
Austin, TX 78703          </v>
      </c>
      <c r="DA163" s="58"/>
      <c r="DB163" s="52"/>
      <c r="DC163" s="52"/>
      <c r="DD163" s="52"/>
      <c r="DE163" s="52"/>
      <c r="DF163" s="52"/>
      <c r="DG163" s="52"/>
      <c r="DH163" s="52"/>
      <c r="DI163" s="52"/>
      <c r="DJ163" s="52"/>
      <c r="DK163" s="52"/>
      <c r="DL163" s="52"/>
      <c r="DM163" s="52"/>
      <c r="DN163" s="52"/>
      <c r="DO163" s="52"/>
      <c r="DP163" s="52"/>
      <c r="DQ163" s="52"/>
      <c r="DR163" s="52"/>
      <c r="DS163" s="52"/>
      <c r="DT163" s="52"/>
      <c r="DU163" s="52"/>
      <c r="DV163" s="52"/>
      <c r="DW163" s="52"/>
    </row>
    <row r="164">
      <c r="A164" s="23" t="s">
        <v>64</v>
      </c>
      <c r="B164" s="23" t="s">
        <v>56</v>
      </c>
      <c r="C164" s="31" t="s">
        <v>474</v>
      </c>
      <c r="D164" s="25" t="str">
        <f>IFERROR(__xludf.DUMMYFUNCTION("SPLIT(C164,"" "")"),"Bloom,")</f>
        <v>Bloom,</v>
      </c>
      <c r="E164" s="22" t="str">
        <f>IFERROR(__xludf.DUMMYFUNCTION("""COMPUTED_VALUE"""),"Brian
6330")</f>
        <v>Brian
6330</v>
      </c>
      <c r="F164" s="22" t="str">
        <f>IFERROR(__xludf.DUMMYFUNCTION("""COMPUTED_VALUE"""),"Northwood")</f>
        <v>Northwood</v>
      </c>
      <c r="G164" s="22" t="str">
        <f>IFERROR(__xludf.DUMMYFUNCTION("""COMPUTED_VALUE"""),"Road
Dallas,")</f>
        <v>Road
Dallas,</v>
      </c>
      <c r="H164" s="22" t="str">
        <f>IFERROR(__xludf.DUMMYFUNCTION("""COMPUTED_VALUE"""),"TX")</f>
        <v>TX</v>
      </c>
      <c r="I164" s="22">
        <f>IFERROR(__xludf.DUMMYFUNCTION("""COMPUTED_VALUE"""),75225.0)</f>
        <v>75225</v>
      </c>
      <c r="J164" s="22"/>
      <c r="K164" s="22"/>
      <c r="L164" s="22"/>
      <c r="M164" s="22"/>
      <c r="N164" s="22"/>
      <c r="O164" s="22"/>
      <c r="P164" s="22"/>
      <c r="Q164" s="22"/>
      <c r="R164" s="22"/>
      <c r="S164" s="22"/>
      <c r="T164" s="22"/>
      <c r="U164" s="24" t="str">
        <f>IFERROR(__xludf.DUMMYFUNCTION("SPLIT(E164,""01234567890"")"),"Brian
")</f>
        <v>Brian
</v>
      </c>
      <c r="V164" s="24" t="str">
        <f>IFERROR(__xludf.DUMMYFUNCTION("SPLIT(D164,"","")"),"Bloom")</f>
        <v>Bloom</v>
      </c>
      <c r="W164" s="25" t="str">
        <f t="shared" si="1"/>
        <v>BRIAN
 BLOOM</v>
      </c>
      <c r="X164" s="25" t="s">
        <v>475</v>
      </c>
      <c r="Y164" s="25">
        <v>75225.0</v>
      </c>
      <c r="Z164" s="25" t="str">
        <f>IFERROR(__xludf.DUMMYFUNCTION("SPLIT(C164,""
"")"),"Bloom, Brian")</f>
        <v>Bloom, Brian</v>
      </c>
      <c r="AA164" s="25" t="str">
        <f>IFERROR(__xludf.DUMMYFUNCTION("""COMPUTED_VALUE"""),"6330 Northwood Road")</f>
        <v>6330 Northwood Road</v>
      </c>
      <c r="AB164" s="25" t="str">
        <f>IFERROR(__xludf.DUMMYFUNCTION("""COMPUTED_VALUE"""),"Dallas, TX 75225")</f>
        <v>Dallas, TX 75225</v>
      </c>
      <c r="AC164" s="24" t="s">
        <v>476</v>
      </c>
      <c r="AD164" s="25"/>
      <c r="AE164" s="25"/>
      <c r="AF164" s="25"/>
      <c r="AG164" s="22" t="s">
        <v>60</v>
      </c>
      <c r="AH164" s="54">
        <v>2445.0</v>
      </c>
      <c r="AI164" s="22" t="s">
        <v>61</v>
      </c>
      <c r="AJ164" s="27">
        <v>500.0</v>
      </c>
      <c r="AK164" s="31" t="s">
        <v>30</v>
      </c>
      <c r="AL164" s="28">
        <v>44741.0</v>
      </c>
      <c r="AM164" s="29">
        <v>44755.778402777774</v>
      </c>
      <c r="AN164" s="30">
        <v>2.0</v>
      </c>
      <c r="AO164" s="22"/>
      <c r="AP164" s="22"/>
      <c r="AQ164" s="22"/>
      <c r="AR164" s="22"/>
      <c r="AS164" s="40"/>
      <c r="AT164" s="47"/>
      <c r="AU164" s="22"/>
      <c r="AV164" s="57" t="str">
        <f>IFERROR(__xludf.DUMMYFUNCTION("""COMPUTED_VALUE"""),"HBA")</f>
        <v>HBA</v>
      </c>
      <c r="AW164" s="46">
        <f t="shared" si="7"/>
        <v>10000</v>
      </c>
      <c r="AX164" s="47">
        <f t="shared" ref="AX164:BQ164" si="602">SUMIFS($AJ:$AJ,$V:$V,$AV164,$AK:$AK,AX$2)</f>
        <v>2500</v>
      </c>
      <c r="AY164" s="48">
        <f t="shared" si="602"/>
        <v>0</v>
      </c>
      <c r="AZ164" s="48">
        <f t="shared" si="602"/>
        <v>0</v>
      </c>
      <c r="BA164" s="48">
        <f t="shared" si="602"/>
        <v>2500</v>
      </c>
      <c r="BB164" s="48">
        <f t="shared" si="602"/>
        <v>0</v>
      </c>
      <c r="BC164" s="48">
        <f t="shared" si="602"/>
        <v>0</v>
      </c>
      <c r="BD164" s="48">
        <f t="shared" si="602"/>
        <v>0</v>
      </c>
      <c r="BE164" s="48">
        <f t="shared" si="602"/>
        <v>5000</v>
      </c>
      <c r="BF164" s="48">
        <f t="shared" si="602"/>
        <v>0</v>
      </c>
      <c r="BG164" s="48">
        <f t="shared" si="602"/>
        <v>0</v>
      </c>
      <c r="BH164" s="48">
        <f t="shared" si="602"/>
        <v>0</v>
      </c>
      <c r="BI164" s="48">
        <f t="shared" si="602"/>
        <v>0</v>
      </c>
      <c r="BJ164" s="48">
        <f t="shared" si="602"/>
        <v>0</v>
      </c>
      <c r="BK164" s="48">
        <f t="shared" si="602"/>
        <v>0</v>
      </c>
      <c r="BL164" s="48">
        <f t="shared" si="602"/>
        <v>0</v>
      </c>
      <c r="BM164" s="48">
        <f t="shared" si="602"/>
        <v>0</v>
      </c>
      <c r="BN164" s="48">
        <f t="shared" si="602"/>
        <v>0</v>
      </c>
      <c r="BO164" s="48">
        <f t="shared" si="602"/>
        <v>0</v>
      </c>
      <c r="BP164" s="48">
        <f t="shared" si="602"/>
        <v>0</v>
      </c>
      <c r="BQ164" s="48">
        <f t="shared" si="602"/>
        <v>0</v>
      </c>
      <c r="BR164" s="36">
        <f t="shared" si="9"/>
        <v>1</v>
      </c>
      <c r="BS164" s="38">
        <f t="shared" si="10"/>
        <v>2</v>
      </c>
      <c r="BT164" s="49">
        <f t="shared" si="11"/>
        <v>0</v>
      </c>
      <c r="BU164" s="38">
        <f t="shared" si="12"/>
        <v>2000</v>
      </c>
      <c r="BV164" s="57" t="str">
        <f>IFERROR(__xludf.DUMMYFUNCTION("""COMPUTED_VALUE"""),"HBA")</f>
        <v>HBA</v>
      </c>
      <c r="BW164" s="46">
        <f t="shared" si="13"/>
        <v>10000</v>
      </c>
      <c r="BX164" s="47">
        <f t="shared" ref="BX164:CA164" si="603">AX164-$BU164</f>
        <v>500</v>
      </c>
      <c r="BY164" s="47">
        <f t="shared" si="603"/>
        <v>-2000</v>
      </c>
      <c r="BZ164" s="47">
        <f t="shared" si="603"/>
        <v>-2000</v>
      </c>
      <c r="CA164" s="47">
        <f t="shared" si="603"/>
        <v>500</v>
      </c>
      <c r="CB164" s="47">
        <f t="shared" si="15"/>
        <v>-20000</v>
      </c>
      <c r="CC164" s="47">
        <f t="shared" ref="CC164:CQ164" si="604">BC164-$BU164</f>
        <v>-2000</v>
      </c>
      <c r="CD164" s="47">
        <f t="shared" si="604"/>
        <v>-2000</v>
      </c>
      <c r="CE164" s="47">
        <f t="shared" si="604"/>
        <v>3000</v>
      </c>
      <c r="CF164" s="47">
        <f t="shared" si="604"/>
        <v>-2000</v>
      </c>
      <c r="CG164" s="47">
        <f t="shared" si="604"/>
        <v>-2000</v>
      </c>
      <c r="CH164" s="47">
        <f t="shared" si="604"/>
        <v>-2000</v>
      </c>
      <c r="CI164" s="47">
        <f t="shared" si="604"/>
        <v>-2000</v>
      </c>
      <c r="CJ164" s="47">
        <f t="shared" si="604"/>
        <v>-2000</v>
      </c>
      <c r="CK164" s="47">
        <f t="shared" si="604"/>
        <v>-2000</v>
      </c>
      <c r="CL164" s="47">
        <f t="shared" si="604"/>
        <v>-2000</v>
      </c>
      <c r="CM164" s="47">
        <f t="shared" si="604"/>
        <v>-2000</v>
      </c>
      <c r="CN164" s="47">
        <f t="shared" si="604"/>
        <v>-2000</v>
      </c>
      <c r="CO164" s="47">
        <f t="shared" si="604"/>
        <v>-2000</v>
      </c>
      <c r="CP164" s="47">
        <f t="shared" si="604"/>
        <v>-2000</v>
      </c>
      <c r="CQ164" s="47">
        <f t="shared" si="604"/>
        <v>-2000</v>
      </c>
      <c r="CR164" s="47"/>
      <c r="CS164" s="47"/>
      <c r="CT164" s="47"/>
      <c r="CU164" s="50" t="str">
        <f>IFERROR(__xludf.DUMMYFUNCTION("""COMPUTED_VALUE"""),"., George
309 Monssen Dr
Dallas, TX 75224         ")</f>
        <v>., George
309 Monssen Dr
Dallas, TX 75224         </v>
      </c>
      <c r="CV164" s="51">
        <f>IFERROR(__xludf.DUMMYFUNCTION("IF(REGEXMATCH(UPPER(CU164), ""TX""),0,1)"),0.0)</f>
        <v>0</v>
      </c>
      <c r="CW164" s="51">
        <f>IFERROR(__xludf.DUMMYFUNCTION("IF(REGEXMATCH(UPPER(CU164), ""DALLAS""),0,1)"),0.0)</f>
        <v>0</v>
      </c>
      <c r="CX164" s="51">
        <f t="shared" si="17"/>
        <v>0</v>
      </c>
      <c r="CY164" s="51">
        <f t="shared" si="18"/>
        <v>0</v>
      </c>
      <c r="CZ164" s="52" t="str">
        <f t="shared" si="19"/>
        <v/>
      </c>
      <c r="DA164" s="58"/>
      <c r="DB164" s="52"/>
      <c r="DC164" s="52"/>
      <c r="DD164" s="52"/>
      <c r="DE164" s="52"/>
      <c r="DF164" s="52"/>
      <c r="DG164" s="52"/>
      <c r="DH164" s="52"/>
      <c r="DI164" s="52"/>
      <c r="DJ164" s="52"/>
      <c r="DK164" s="52"/>
      <c r="DL164" s="52"/>
      <c r="DM164" s="52"/>
      <c r="DN164" s="52"/>
      <c r="DO164" s="52"/>
      <c r="DP164" s="52"/>
      <c r="DQ164" s="52"/>
      <c r="DR164" s="52"/>
      <c r="DS164" s="52"/>
      <c r="DT164" s="52"/>
      <c r="DU164" s="52"/>
      <c r="DV164" s="52"/>
      <c r="DW164" s="52"/>
    </row>
    <row r="165">
      <c r="A165" s="40" t="s">
        <v>55</v>
      </c>
      <c r="B165" s="41" t="s">
        <v>56</v>
      </c>
      <c r="C165" s="31" t="s">
        <v>477</v>
      </c>
      <c r="D165" s="25" t="str">
        <f>IFERROR(__xludf.DUMMYFUNCTION("SPLIT(C165,"" "")"),"Bobbitt,")</f>
        <v>Bobbitt,</v>
      </c>
      <c r="E165" s="40" t="str">
        <f>IFERROR(__xludf.DUMMYFUNCTION("""COMPUTED_VALUE"""),"Jeanne
4500")</f>
        <v>Jeanne
4500</v>
      </c>
      <c r="F165" s="40" t="str">
        <f>IFERROR(__xludf.DUMMYFUNCTION("""COMPUTED_VALUE"""),"Roland")</f>
        <v>Roland</v>
      </c>
      <c r="G165" s="40" t="str">
        <f>IFERROR(__xludf.DUMMYFUNCTION("""COMPUTED_VALUE"""),"Avenue
Dallas,")</f>
        <v>Avenue
Dallas,</v>
      </c>
      <c r="H165" s="40" t="str">
        <f>IFERROR(__xludf.DUMMYFUNCTION("""COMPUTED_VALUE"""),"TX")</f>
        <v>TX</v>
      </c>
      <c r="I165" s="40">
        <f>IFERROR(__xludf.DUMMYFUNCTION("""COMPUTED_VALUE"""),75219.0)</f>
        <v>75219</v>
      </c>
      <c r="J165" s="40"/>
      <c r="K165" s="40"/>
      <c r="L165" s="40"/>
      <c r="M165" s="40"/>
      <c r="N165" s="40"/>
      <c r="O165" s="40"/>
      <c r="P165" s="40"/>
      <c r="Q165" s="40"/>
      <c r="R165" s="40"/>
      <c r="S165" s="40"/>
      <c r="T165" s="40"/>
      <c r="U165" s="24" t="str">
        <f>IFERROR(__xludf.DUMMYFUNCTION("SPLIT(E165,""01234567890"")"),"Jeanne
")</f>
        <v>Jeanne
</v>
      </c>
      <c r="V165" s="24" t="str">
        <f>IFERROR(__xludf.DUMMYFUNCTION("SPLIT(D165,"","")"),"Bobbitt")</f>
        <v>Bobbitt</v>
      </c>
      <c r="W165" s="25" t="str">
        <f t="shared" si="1"/>
        <v>JEANNE
 BOBBITT</v>
      </c>
      <c r="X165" s="25" t="s">
        <v>478</v>
      </c>
      <c r="Y165" s="25">
        <v>75219.0</v>
      </c>
      <c r="Z165" s="25" t="str">
        <f>IFERROR(__xludf.DUMMYFUNCTION("SPLIT(C165,""
"")"),"Bobbitt, Jeanne")</f>
        <v>Bobbitt, Jeanne</v>
      </c>
      <c r="AA165" s="25" t="str">
        <f>IFERROR(__xludf.DUMMYFUNCTION("""COMPUTED_VALUE"""),"4500 Roland Avenue")</f>
        <v>4500 Roland Avenue</v>
      </c>
      <c r="AB165" s="25" t="str">
        <f>IFERROR(__xludf.DUMMYFUNCTION("""COMPUTED_VALUE"""),"Dallas, TX 75219")</f>
        <v>Dallas, TX 75219</v>
      </c>
      <c r="AC165" s="24" t="s">
        <v>479</v>
      </c>
      <c r="AD165" s="25"/>
      <c r="AE165" s="25"/>
      <c r="AF165" s="25"/>
      <c r="AG165" s="40" t="s">
        <v>60</v>
      </c>
      <c r="AH165" s="42">
        <v>2482.0</v>
      </c>
      <c r="AI165" s="40" t="s">
        <v>68</v>
      </c>
      <c r="AJ165" s="27">
        <v>250.0</v>
      </c>
      <c r="AK165" s="31" t="s">
        <v>31</v>
      </c>
      <c r="AL165" s="43">
        <v>44812.0</v>
      </c>
      <c r="AM165" s="44">
        <v>44938.558541666665</v>
      </c>
      <c r="AN165" s="30">
        <v>2.0</v>
      </c>
      <c r="AO165" s="40"/>
      <c r="AP165" s="40"/>
      <c r="AQ165" s="40"/>
      <c r="AR165" s="40"/>
      <c r="AS165" s="22"/>
      <c r="AT165" s="70"/>
      <c r="AU165" s="40"/>
      <c r="AV165" s="46" t="str">
        <f>IFERROR(__xludf.DUMMYFUNCTION("""COMPUTED_VALUE"""),"Stonewall")</f>
        <v>Stonewall</v>
      </c>
      <c r="AW165" s="46">
        <f t="shared" si="7"/>
        <v>500</v>
      </c>
      <c r="AX165" s="47">
        <f t="shared" ref="AX165:BQ165" si="605">SUMIFS($AJ:$AJ,$V:$V,$AV165,$AK:$AK,AX$2)</f>
        <v>500</v>
      </c>
      <c r="AY165" s="48">
        <f t="shared" si="605"/>
        <v>0</v>
      </c>
      <c r="AZ165" s="48">
        <f t="shared" si="605"/>
        <v>0</v>
      </c>
      <c r="BA165" s="48">
        <f t="shared" si="605"/>
        <v>0</v>
      </c>
      <c r="BB165" s="48">
        <f t="shared" si="605"/>
        <v>0</v>
      </c>
      <c r="BC165" s="48">
        <f t="shared" si="605"/>
        <v>0</v>
      </c>
      <c r="BD165" s="48">
        <f t="shared" si="605"/>
        <v>0</v>
      </c>
      <c r="BE165" s="48">
        <f t="shared" si="605"/>
        <v>0</v>
      </c>
      <c r="BF165" s="48">
        <f t="shared" si="605"/>
        <v>0</v>
      </c>
      <c r="BG165" s="48">
        <f t="shared" si="605"/>
        <v>0</v>
      </c>
      <c r="BH165" s="48">
        <f t="shared" si="605"/>
        <v>0</v>
      </c>
      <c r="BI165" s="48">
        <f t="shared" si="605"/>
        <v>0</v>
      </c>
      <c r="BJ165" s="48">
        <f t="shared" si="605"/>
        <v>0</v>
      </c>
      <c r="BK165" s="48">
        <f t="shared" si="605"/>
        <v>0</v>
      </c>
      <c r="BL165" s="48">
        <f t="shared" si="605"/>
        <v>0</v>
      </c>
      <c r="BM165" s="48">
        <f t="shared" si="605"/>
        <v>0</v>
      </c>
      <c r="BN165" s="48">
        <f t="shared" si="605"/>
        <v>0</v>
      </c>
      <c r="BO165" s="48">
        <f t="shared" si="605"/>
        <v>0</v>
      </c>
      <c r="BP165" s="48">
        <f t="shared" si="605"/>
        <v>0</v>
      </c>
      <c r="BQ165" s="48">
        <f t="shared" si="605"/>
        <v>0</v>
      </c>
      <c r="BR165" s="36">
        <f t="shared" si="9"/>
        <v>0</v>
      </c>
      <c r="BS165" s="38">
        <f t="shared" si="10"/>
        <v>1</v>
      </c>
      <c r="BT165" s="49">
        <f t="shared" si="11"/>
        <v>0</v>
      </c>
      <c r="BU165" s="38">
        <f t="shared" si="12"/>
        <v>1000</v>
      </c>
      <c r="BV165" s="46" t="str">
        <f>IFERROR(__xludf.DUMMYFUNCTION("""COMPUTED_VALUE"""),"Stonewall")</f>
        <v>Stonewall</v>
      </c>
      <c r="BW165" s="46">
        <f t="shared" si="13"/>
        <v>500</v>
      </c>
      <c r="BX165" s="47">
        <f t="shared" ref="BX165:CA165" si="606">AX165-$BU165</f>
        <v>-500</v>
      </c>
      <c r="BY165" s="47">
        <f t="shared" si="606"/>
        <v>-1000</v>
      </c>
      <c r="BZ165" s="47">
        <f t="shared" si="606"/>
        <v>-1000</v>
      </c>
      <c r="CA165" s="47">
        <f t="shared" si="606"/>
        <v>-1000</v>
      </c>
      <c r="CB165" s="47">
        <f t="shared" si="15"/>
        <v>-10000</v>
      </c>
      <c r="CC165" s="47">
        <f t="shared" ref="CC165:CQ165" si="607">BC165-$BU165</f>
        <v>-1000</v>
      </c>
      <c r="CD165" s="47">
        <f t="shared" si="607"/>
        <v>-1000</v>
      </c>
      <c r="CE165" s="47">
        <f t="shared" si="607"/>
        <v>-1000</v>
      </c>
      <c r="CF165" s="47">
        <f t="shared" si="607"/>
        <v>-1000</v>
      </c>
      <c r="CG165" s="47">
        <f t="shared" si="607"/>
        <v>-1000</v>
      </c>
      <c r="CH165" s="47">
        <f t="shared" si="607"/>
        <v>-1000</v>
      </c>
      <c r="CI165" s="47">
        <f t="shared" si="607"/>
        <v>-1000</v>
      </c>
      <c r="CJ165" s="47">
        <f t="shared" si="607"/>
        <v>-1000</v>
      </c>
      <c r="CK165" s="47">
        <f t="shared" si="607"/>
        <v>-1000</v>
      </c>
      <c r="CL165" s="47">
        <f t="shared" si="607"/>
        <v>-1000</v>
      </c>
      <c r="CM165" s="47">
        <f t="shared" si="607"/>
        <v>-1000</v>
      </c>
      <c r="CN165" s="47">
        <f t="shared" si="607"/>
        <v>-1000</v>
      </c>
      <c r="CO165" s="47">
        <f t="shared" si="607"/>
        <v>-1000</v>
      </c>
      <c r="CP165" s="47">
        <f t="shared" si="607"/>
        <v>-1000</v>
      </c>
      <c r="CQ165" s="47">
        <f t="shared" si="607"/>
        <v>-1000</v>
      </c>
      <c r="CR165" s="47"/>
      <c r="CS165" s="47"/>
      <c r="CT165" s="47"/>
      <c r="CU165" s="50" t="str">
        <f>IFERROR(__xludf.DUMMYFUNCTION("""COMPUTED_VALUE"""),"307 N. Polk St.
Dallas, TX 75208         ")</f>
        <v>307 N. Polk St.
Dallas, TX 75208         </v>
      </c>
      <c r="CV165" s="51">
        <f>IFERROR(__xludf.DUMMYFUNCTION("IF(REGEXMATCH(UPPER(CU165), ""TX""),0,1)"),0.0)</f>
        <v>0</v>
      </c>
      <c r="CW165" s="51">
        <f>IFERROR(__xludf.DUMMYFUNCTION("IF(REGEXMATCH(UPPER(CU165), ""DALLAS""),0,1)"),0.0)</f>
        <v>0</v>
      </c>
      <c r="CX165" s="51">
        <f t="shared" si="17"/>
        <v>0</v>
      </c>
      <c r="CY165" s="51">
        <f t="shared" si="18"/>
        <v>0</v>
      </c>
      <c r="CZ165" s="52" t="str">
        <f t="shared" si="19"/>
        <v/>
      </c>
      <c r="DA165" s="58"/>
      <c r="DB165" s="52"/>
      <c r="DC165" s="52"/>
      <c r="DD165" s="52"/>
      <c r="DE165" s="52"/>
      <c r="DF165" s="52"/>
      <c r="DG165" s="52"/>
      <c r="DH165" s="52"/>
      <c r="DI165" s="52"/>
      <c r="DJ165" s="52"/>
      <c r="DK165" s="52"/>
      <c r="DL165" s="52"/>
      <c r="DM165" s="52"/>
      <c r="DN165" s="52"/>
      <c r="DO165" s="52"/>
      <c r="DP165" s="52"/>
      <c r="DQ165" s="52"/>
      <c r="DR165" s="52"/>
      <c r="DS165" s="52"/>
      <c r="DT165" s="52"/>
      <c r="DU165" s="52"/>
      <c r="DV165" s="52"/>
      <c r="DW165" s="52"/>
    </row>
    <row r="166">
      <c r="A166" s="23" t="s">
        <v>64</v>
      </c>
      <c r="B166" s="23" t="s">
        <v>56</v>
      </c>
      <c r="C166" s="31" t="s">
        <v>480</v>
      </c>
      <c r="D166" s="25" t="str">
        <f>IFERROR(__xludf.DUMMYFUNCTION("SPLIT(C166,"" "")"),"Bobosky,")</f>
        <v>Bobosky,</v>
      </c>
      <c r="E166" s="22" t="str">
        <f>IFERROR(__xludf.DUMMYFUNCTION("""COMPUTED_VALUE"""),"Shelby
6823")</f>
        <v>Shelby
6823</v>
      </c>
      <c r="F166" s="22" t="str">
        <f>IFERROR(__xludf.DUMMYFUNCTION("""COMPUTED_VALUE"""),"La")</f>
        <v>La</v>
      </c>
      <c r="G166" s="22" t="str">
        <f>IFERROR(__xludf.DUMMYFUNCTION("""COMPUTED_VALUE"""),"Vista")</f>
        <v>Vista</v>
      </c>
      <c r="H166" s="22" t="str">
        <f>IFERROR(__xludf.DUMMYFUNCTION("""COMPUTED_VALUE"""),"Dr.
Dallas,")</f>
        <v>Dr.
Dallas,</v>
      </c>
      <c r="I166" s="22" t="str">
        <f>IFERROR(__xludf.DUMMYFUNCTION("""COMPUTED_VALUE"""),"TX")</f>
        <v>TX</v>
      </c>
      <c r="J166" s="22">
        <f>IFERROR(__xludf.DUMMYFUNCTION("""COMPUTED_VALUE"""),75214.0)</f>
        <v>75214</v>
      </c>
      <c r="K166" s="22"/>
      <c r="L166" s="22"/>
      <c r="M166" s="22"/>
      <c r="N166" s="22"/>
      <c r="O166" s="22"/>
      <c r="P166" s="22"/>
      <c r="Q166" s="22"/>
      <c r="R166" s="22"/>
      <c r="S166" s="22"/>
      <c r="T166" s="22"/>
      <c r="U166" s="24" t="str">
        <f>IFERROR(__xludf.DUMMYFUNCTION("SPLIT(E166,""01234567890"")"),"Shelby
")</f>
        <v>Shelby
</v>
      </c>
      <c r="V166" s="24" t="str">
        <f>IFERROR(__xludf.DUMMYFUNCTION("SPLIT(D166,"","")"),"Bobosky")</f>
        <v>Bobosky</v>
      </c>
      <c r="W166" s="25" t="str">
        <f t="shared" si="1"/>
        <v>SHELBY
 BOBOSKY</v>
      </c>
      <c r="X166" s="25" t="s">
        <v>481</v>
      </c>
      <c r="Y166" s="25">
        <v>75214.0</v>
      </c>
      <c r="Z166" s="25" t="str">
        <f>IFERROR(__xludf.DUMMYFUNCTION("SPLIT(C166,""
"")"),"Bobosky, Shelby")</f>
        <v>Bobosky, Shelby</v>
      </c>
      <c r="AA166" s="25" t="str">
        <f>IFERROR(__xludf.DUMMYFUNCTION("""COMPUTED_VALUE"""),"6823 La Vista Dr.")</f>
        <v>6823 La Vista Dr.</v>
      </c>
      <c r="AB166" s="25" t="str">
        <f>IFERROR(__xludf.DUMMYFUNCTION("""COMPUTED_VALUE"""),"Dallas, TX 75214")</f>
        <v>Dallas, TX 75214</v>
      </c>
      <c r="AC166" s="24" t="s">
        <v>482</v>
      </c>
      <c r="AD166" s="25"/>
      <c r="AE166" s="25"/>
      <c r="AF166" s="25"/>
      <c r="AG166" s="22" t="s">
        <v>60</v>
      </c>
      <c r="AH166" s="54">
        <v>2448.0</v>
      </c>
      <c r="AI166" s="22" t="s">
        <v>61</v>
      </c>
      <c r="AJ166" s="27">
        <v>500.0</v>
      </c>
      <c r="AK166" s="31" t="s">
        <v>24</v>
      </c>
      <c r="AL166" s="28">
        <v>44726.0</v>
      </c>
      <c r="AM166" s="29">
        <v>44757.44018518519</v>
      </c>
      <c r="AN166" s="30">
        <v>2.0</v>
      </c>
      <c r="AO166" s="22"/>
      <c r="AP166" s="22"/>
      <c r="AQ166" s="22"/>
      <c r="AR166" s="22"/>
      <c r="AS166" s="40"/>
      <c r="AT166" s="47"/>
      <c r="AU166" s="22"/>
      <c r="AV166" s="57" t="str">
        <f>IFERROR(__xludf.DUMMYFUNCTION("""COMPUTED_VALUE"""),"TREPAC
PO")</f>
        <v>TREPAC
PO</v>
      </c>
      <c r="AW166" s="46">
        <f t="shared" si="7"/>
        <v>5000</v>
      </c>
      <c r="AX166" s="47">
        <f t="shared" ref="AX166:BQ166" si="608">SUMIFS($AJ:$AJ,$V:$V,$AV166,$AK:$AK,AX$2)</f>
        <v>2500</v>
      </c>
      <c r="AY166" s="48">
        <f t="shared" si="608"/>
        <v>0</v>
      </c>
      <c r="AZ166" s="48">
        <f t="shared" si="608"/>
        <v>0</v>
      </c>
      <c r="BA166" s="48">
        <f t="shared" si="608"/>
        <v>2500</v>
      </c>
      <c r="BB166" s="48">
        <f t="shared" si="608"/>
        <v>0</v>
      </c>
      <c r="BC166" s="48">
        <f t="shared" si="608"/>
        <v>0</v>
      </c>
      <c r="BD166" s="48">
        <f t="shared" si="608"/>
        <v>0</v>
      </c>
      <c r="BE166" s="48">
        <f t="shared" si="608"/>
        <v>0</v>
      </c>
      <c r="BF166" s="48">
        <f t="shared" si="608"/>
        <v>0</v>
      </c>
      <c r="BG166" s="48">
        <f t="shared" si="608"/>
        <v>0</v>
      </c>
      <c r="BH166" s="48">
        <f t="shared" si="608"/>
        <v>0</v>
      </c>
      <c r="BI166" s="48">
        <f t="shared" si="608"/>
        <v>0</v>
      </c>
      <c r="BJ166" s="48">
        <f t="shared" si="608"/>
        <v>0</v>
      </c>
      <c r="BK166" s="48">
        <f t="shared" si="608"/>
        <v>0</v>
      </c>
      <c r="BL166" s="48">
        <f t="shared" si="608"/>
        <v>0</v>
      </c>
      <c r="BM166" s="48">
        <f t="shared" si="608"/>
        <v>0</v>
      </c>
      <c r="BN166" s="48">
        <f t="shared" si="608"/>
        <v>0</v>
      </c>
      <c r="BO166" s="48">
        <f t="shared" si="608"/>
        <v>0</v>
      </c>
      <c r="BP166" s="48">
        <f t="shared" si="608"/>
        <v>0</v>
      </c>
      <c r="BQ166" s="48">
        <f t="shared" si="608"/>
        <v>0</v>
      </c>
      <c r="BR166" s="36">
        <f t="shared" si="9"/>
        <v>0</v>
      </c>
      <c r="BS166" s="38">
        <f t="shared" si="10"/>
        <v>1</v>
      </c>
      <c r="BT166" s="49">
        <f t="shared" si="11"/>
        <v>0</v>
      </c>
      <c r="BU166" s="38">
        <f t="shared" si="12"/>
        <v>1000</v>
      </c>
      <c r="BV166" s="57" t="str">
        <f>IFERROR(__xludf.DUMMYFUNCTION("""COMPUTED_VALUE"""),"TREPAC
PO")</f>
        <v>TREPAC
PO</v>
      </c>
      <c r="BW166" s="46">
        <f t="shared" si="13"/>
        <v>5000</v>
      </c>
      <c r="BX166" s="47">
        <f t="shared" ref="BX166:CA166" si="609">AX166-$BU166</f>
        <v>1500</v>
      </c>
      <c r="BY166" s="47">
        <f t="shared" si="609"/>
        <v>-1000</v>
      </c>
      <c r="BZ166" s="47">
        <f t="shared" si="609"/>
        <v>-1000</v>
      </c>
      <c r="CA166" s="47">
        <f t="shared" si="609"/>
        <v>1500</v>
      </c>
      <c r="CB166" s="47">
        <f t="shared" si="15"/>
        <v>-10000</v>
      </c>
      <c r="CC166" s="47">
        <f t="shared" ref="CC166:CQ166" si="610">BC166-$BU166</f>
        <v>-1000</v>
      </c>
      <c r="CD166" s="47">
        <f t="shared" si="610"/>
        <v>-1000</v>
      </c>
      <c r="CE166" s="47">
        <f t="shared" si="610"/>
        <v>-1000</v>
      </c>
      <c r="CF166" s="47">
        <f t="shared" si="610"/>
        <v>-1000</v>
      </c>
      <c r="CG166" s="47">
        <f t="shared" si="610"/>
        <v>-1000</v>
      </c>
      <c r="CH166" s="47">
        <f t="shared" si="610"/>
        <v>-1000</v>
      </c>
      <c r="CI166" s="47">
        <f t="shared" si="610"/>
        <v>-1000</v>
      </c>
      <c r="CJ166" s="47">
        <f t="shared" si="610"/>
        <v>-1000</v>
      </c>
      <c r="CK166" s="47">
        <f t="shared" si="610"/>
        <v>-1000</v>
      </c>
      <c r="CL166" s="47">
        <f t="shared" si="610"/>
        <v>-1000</v>
      </c>
      <c r="CM166" s="47">
        <f t="shared" si="610"/>
        <v>-1000</v>
      </c>
      <c r="CN166" s="47">
        <f t="shared" si="610"/>
        <v>-1000</v>
      </c>
      <c r="CO166" s="47">
        <f t="shared" si="610"/>
        <v>-1000</v>
      </c>
      <c r="CP166" s="47">
        <f t="shared" si="610"/>
        <v>-1000</v>
      </c>
      <c r="CQ166" s="47">
        <f t="shared" si="610"/>
        <v>-1000</v>
      </c>
      <c r="CR166" s="47"/>
      <c r="CS166" s="47"/>
      <c r="CT166" s="47"/>
      <c r="CU166" s="50" t="str">
        <f>IFERROR(__xludf.DUMMYFUNCTION("""COMPUTED_VALUE"""),"john G.
1900 N. Pearl St.
Dallas, TX 75201        ")</f>
        <v>john G.
1900 N. Pearl St.
Dallas, TX 75201        </v>
      </c>
      <c r="CV166" s="51">
        <f>IFERROR(__xludf.DUMMYFUNCTION("IF(REGEXMATCH(UPPER(CU166), ""TX""),0,1)"),0.0)</f>
        <v>0</v>
      </c>
      <c r="CW166" s="51">
        <f>IFERROR(__xludf.DUMMYFUNCTION("IF(REGEXMATCH(UPPER(CU166), ""DALLAS""),0,1)"),0.0)</f>
        <v>0</v>
      </c>
      <c r="CX166" s="51">
        <f t="shared" si="17"/>
        <v>0</v>
      </c>
      <c r="CY166" s="51">
        <f t="shared" si="18"/>
        <v>0</v>
      </c>
      <c r="CZ166" s="52" t="str">
        <f t="shared" si="19"/>
        <v/>
      </c>
      <c r="DA166" s="58"/>
      <c r="DB166" s="52"/>
      <c r="DC166" s="52"/>
      <c r="DD166" s="52"/>
      <c r="DE166" s="52"/>
      <c r="DF166" s="52"/>
      <c r="DG166" s="52"/>
      <c r="DH166" s="52"/>
      <c r="DI166" s="52"/>
      <c r="DJ166" s="52"/>
      <c r="DK166" s="52"/>
      <c r="DL166" s="52"/>
      <c r="DM166" s="52"/>
      <c r="DN166" s="52"/>
      <c r="DO166" s="52"/>
      <c r="DP166" s="52"/>
      <c r="DQ166" s="52"/>
      <c r="DR166" s="52"/>
      <c r="DS166" s="52"/>
      <c r="DT166" s="52"/>
      <c r="DU166" s="52"/>
      <c r="DV166" s="52"/>
      <c r="DW166" s="52"/>
    </row>
    <row r="167">
      <c r="A167" s="41" t="s">
        <v>64</v>
      </c>
      <c r="B167" s="41" t="s">
        <v>56</v>
      </c>
      <c r="C167" s="31" t="s">
        <v>483</v>
      </c>
      <c r="D167" s="25" t="str">
        <f>IFERROR(__xludf.DUMMYFUNCTION("SPLIT(C167,"" "")"),"Bobosky,")</f>
        <v>Bobosky,</v>
      </c>
      <c r="E167" s="40" t="str">
        <f>IFERROR(__xludf.DUMMYFUNCTION("""COMPUTED_VALUE"""),"Shelby
6823")</f>
        <v>Shelby
6823</v>
      </c>
      <c r="F167" s="40" t="str">
        <f>IFERROR(__xludf.DUMMYFUNCTION("""COMPUTED_VALUE"""),"La")</f>
        <v>La</v>
      </c>
      <c r="G167" s="40" t="str">
        <f>IFERROR(__xludf.DUMMYFUNCTION("""COMPUTED_VALUE"""),"Vista")</f>
        <v>Vista</v>
      </c>
      <c r="H167" s="40" t="str">
        <f>IFERROR(__xludf.DUMMYFUNCTION("""COMPUTED_VALUE"""),"Dr
Dallas,")</f>
        <v>Dr
Dallas,</v>
      </c>
      <c r="I167" s="40" t="str">
        <f>IFERROR(__xludf.DUMMYFUNCTION("""COMPUTED_VALUE"""),"TX")</f>
        <v>TX</v>
      </c>
      <c r="J167" s="40">
        <f>IFERROR(__xludf.DUMMYFUNCTION("""COMPUTED_VALUE"""),75214.0)</f>
        <v>75214</v>
      </c>
      <c r="K167" s="40"/>
      <c r="L167" s="40"/>
      <c r="M167" s="40"/>
      <c r="N167" s="40"/>
      <c r="O167" s="40"/>
      <c r="P167" s="40"/>
      <c r="Q167" s="40"/>
      <c r="R167" s="40"/>
      <c r="S167" s="40"/>
      <c r="T167" s="40"/>
      <c r="U167" s="24" t="str">
        <f>IFERROR(__xludf.DUMMYFUNCTION("SPLIT(E167,""01234567890"")"),"Shelby
")</f>
        <v>Shelby
</v>
      </c>
      <c r="V167" s="24" t="str">
        <f>IFERROR(__xludf.DUMMYFUNCTION("SPLIT(D167,"","")"),"Bobosky")</f>
        <v>Bobosky</v>
      </c>
      <c r="W167" s="25" t="str">
        <f t="shared" si="1"/>
        <v>SHELBY
 BOBOSKY</v>
      </c>
      <c r="X167" s="25" t="s">
        <v>484</v>
      </c>
      <c r="Y167" s="25">
        <v>75214.0</v>
      </c>
      <c r="Z167" s="25" t="str">
        <f>IFERROR(__xludf.DUMMYFUNCTION("SPLIT(C167,""
"")"),"Bobosky, Shelby")</f>
        <v>Bobosky, Shelby</v>
      </c>
      <c r="AA167" s="25" t="str">
        <f>IFERROR(__xludf.DUMMYFUNCTION("""COMPUTED_VALUE"""),"6823 La Vista Dr")</f>
        <v>6823 La Vista Dr</v>
      </c>
      <c r="AB167" s="25" t="str">
        <f>IFERROR(__xludf.DUMMYFUNCTION("""COMPUTED_VALUE"""),"Dallas, TX 75214")</f>
        <v>Dallas, TX 75214</v>
      </c>
      <c r="AC167" s="24" t="s">
        <v>482</v>
      </c>
      <c r="AD167" s="25"/>
      <c r="AE167" s="25"/>
      <c r="AF167" s="25"/>
      <c r="AG167" s="40" t="s">
        <v>60</v>
      </c>
      <c r="AH167" s="42">
        <v>2437.0</v>
      </c>
      <c r="AI167" s="40" t="s">
        <v>61</v>
      </c>
      <c r="AJ167" s="27">
        <v>250.0</v>
      </c>
      <c r="AK167" s="31" t="s">
        <v>25</v>
      </c>
      <c r="AL167" s="43">
        <v>44726.0</v>
      </c>
      <c r="AM167" s="44">
        <v>44754.83237268519</v>
      </c>
      <c r="AN167" s="30">
        <v>2.0</v>
      </c>
      <c r="AO167" s="40"/>
      <c r="AP167" s="40"/>
      <c r="AQ167" s="40"/>
      <c r="AR167" s="40"/>
      <c r="AS167" s="22"/>
      <c r="AT167" s="70"/>
      <c r="AU167" s="40"/>
      <c r="AV167" s="46" t="str">
        <f>IFERROR(__xludf.DUMMYFUNCTION("""COMPUTED_VALUE"""),"Crow")</f>
        <v>Crow</v>
      </c>
      <c r="AW167" s="46">
        <f t="shared" si="7"/>
        <v>30000</v>
      </c>
      <c r="AX167" s="47">
        <f t="shared" ref="AX167:BQ167" si="611">SUMIFS($AJ:$AJ,$V:$V,$AV167,$AK:$AK,AX$2)</f>
        <v>1000</v>
      </c>
      <c r="AY167" s="48">
        <f t="shared" si="611"/>
        <v>3000</v>
      </c>
      <c r="AZ167" s="48">
        <f t="shared" si="611"/>
        <v>2000</v>
      </c>
      <c r="BA167" s="48">
        <f t="shared" si="611"/>
        <v>3500</v>
      </c>
      <c r="BB167" s="48">
        <f t="shared" si="611"/>
        <v>15000</v>
      </c>
      <c r="BC167" s="48">
        <f t="shared" si="611"/>
        <v>0</v>
      </c>
      <c r="BD167" s="48">
        <f t="shared" si="611"/>
        <v>3500</v>
      </c>
      <c r="BE167" s="48">
        <f t="shared" si="611"/>
        <v>0</v>
      </c>
      <c r="BF167" s="48">
        <f t="shared" si="611"/>
        <v>0</v>
      </c>
      <c r="BG167" s="48">
        <f t="shared" si="611"/>
        <v>2000</v>
      </c>
      <c r="BH167" s="48">
        <f t="shared" si="611"/>
        <v>0</v>
      </c>
      <c r="BI167" s="48">
        <f t="shared" si="611"/>
        <v>0</v>
      </c>
      <c r="BJ167" s="48">
        <f t="shared" si="611"/>
        <v>0</v>
      </c>
      <c r="BK167" s="48">
        <f t="shared" si="611"/>
        <v>0</v>
      </c>
      <c r="BL167" s="48">
        <f t="shared" si="611"/>
        <v>0</v>
      </c>
      <c r="BM167" s="48">
        <f t="shared" si="611"/>
        <v>0</v>
      </c>
      <c r="BN167" s="48">
        <f t="shared" si="611"/>
        <v>0</v>
      </c>
      <c r="BO167" s="48">
        <f t="shared" si="611"/>
        <v>0</v>
      </c>
      <c r="BP167" s="48">
        <f t="shared" si="611"/>
        <v>0</v>
      </c>
      <c r="BQ167" s="48">
        <f t="shared" si="611"/>
        <v>0</v>
      </c>
      <c r="BR167" s="36">
        <f t="shared" si="9"/>
        <v>1</v>
      </c>
      <c r="BS167" s="38">
        <f t="shared" si="10"/>
        <v>6</v>
      </c>
      <c r="BT167" s="49">
        <f t="shared" si="11"/>
        <v>0</v>
      </c>
      <c r="BU167" s="38">
        <f t="shared" si="12"/>
        <v>6000</v>
      </c>
      <c r="BV167" s="46" t="str">
        <f>IFERROR(__xludf.DUMMYFUNCTION("""COMPUTED_VALUE"""),"Crow")</f>
        <v>Crow</v>
      </c>
      <c r="BW167" s="46">
        <f t="shared" si="13"/>
        <v>30000</v>
      </c>
      <c r="BX167" s="47">
        <f t="shared" ref="BX167:CA167" si="612">AX167-$BU167</f>
        <v>-5000</v>
      </c>
      <c r="BY167" s="47">
        <f t="shared" si="612"/>
        <v>-3000</v>
      </c>
      <c r="BZ167" s="47">
        <f t="shared" si="612"/>
        <v>-4000</v>
      </c>
      <c r="CA167" s="47">
        <f t="shared" si="612"/>
        <v>-2500</v>
      </c>
      <c r="CB167" s="47">
        <f t="shared" si="15"/>
        <v>-45000</v>
      </c>
      <c r="CC167" s="47">
        <f t="shared" ref="CC167:CQ167" si="613">BC167-$BU167</f>
        <v>-6000</v>
      </c>
      <c r="CD167" s="47">
        <f t="shared" si="613"/>
        <v>-2500</v>
      </c>
      <c r="CE167" s="47">
        <f t="shared" si="613"/>
        <v>-6000</v>
      </c>
      <c r="CF167" s="47">
        <f t="shared" si="613"/>
        <v>-6000</v>
      </c>
      <c r="CG167" s="47">
        <f t="shared" si="613"/>
        <v>-4000</v>
      </c>
      <c r="CH167" s="47">
        <f t="shared" si="613"/>
        <v>-6000</v>
      </c>
      <c r="CI167" s="47">
        <f t="shared" si="613"/>
        <v>-6000</v>
      </c>
      <c r="CJ167" s="47">
        <f t="shared" si="613"/>
        <v>-6000</v>
      </c>
      <c r="CK167" s="47">
        <f t="shared" si="613"/>
        <v>-6000</v>
      </c>
      <c r="CL167" s="47">
        <f t="shared" si="613"/>
        <v>-6000</v>
      </c>
      <c r="CM167" s="47">
        <f t="shared" si="613"/>
        <v>-6000</v>
      </c>
      <c r="CN167" s="47">
        <f t="shared" si="613"/>
        <v>-6000</v>
      </c>
      <c r="CO167" s="47">
        <f t="shared" si="613"/>
        <v>-6000</v>
      </c>
      <c r="CP167" s="47">
        <f t="shared" si="613"/>
        <v>-6000</v>
      </c>
      <c r="CQ167" s="47">
        <f t="shared" si="613"/>
        <v>-6000</v>
      </c>
      <c r="CR167" s="47"/>
      <c r="CS167" s="47"/>
      <c r="CT167" s="47"/>
      <c r="CU167" s="50" t="str">
        <f>IFERROR(__xludf.DUMMYFUNCTION("""COMPUTED_VALUE"""),"2229 Lawndale Dr.
Dallas, TX 75211          ")</f>
        <v>2229 Lawndale Dr.
Dallas, TX 75211          </v>
      </c>
      <c r="CV167" s="51">
        <f>IFERROR(__xludf.DUMMYFUNCTION("IF(REGEXMATCH(UPPER(CU167), ""TX""),0,1)"),0.0)</f>
        <v>0</v>
      </c>
      <c r="CW167" s="51">
        <f>IFERROR(__xludf.DUMMYFUNCTION("IF(REGEXMATCH(UPPER(CU167), ""DALLAS""),0,1)"),0.0)</f>
        <v>0</v>
      </c>
      <c r="CX167" s="51">
        <f t="shared" si="17"/>
        <v>0</v>
      </c>
      <c r="CY167" s="51">
        <f t="shared" si="18"/>
        <v>0</v>
      </c>
      <c r="CZ167" s="52" t="str">
        <f t="shared" si="19"/>
        <v/>
      </c>
      <c r="DA167" s="58"/>
      <c r="DB167" s="52"/>
      <c r="DC167" s="52"/>
      <c r="DD167" s="52"/>
      <c r="DE167" s="52"/>
      <c r="DF167" s="52"/>
      <c r="DG167" s="52"/>
      <c r="DH167" s="52"/>
      <c r="DI167" s="52"/>
      <c r="DJ167" s="52"/>
      <c r="DK167" s="52"/>
      <c r="DL167" s="52"/>
      <c r="DM167" s="52"/>
      <c r="DN167" s="52"/>
      <c r="DO167" s="52"/>
      <c r="DP167" s="52"/>
      <c r="DQ167" s="52"/>
      <c r="DR167" s="52"/>
      <c r="DS167" s="52"/>
      <c r="DT167" s="52"/>
      <c r="DU167" s="52"/>
      <c r="DV167" s="52"/>
      <c r="DW167" s="52"/>
    </row>
    <row r="168">
      <c r="A168" s="22" t="s">
        <v>55</v>
      </c>
      <c r="B168" s="23" t="s">
        <v>56</v>
      </c>
      <c r="C168" s="31" t="s">
        <v>485</v>
      </c>
      <c r="D168" s="25" t="str">
        <f>IFERROR(__xludf.DUMMYFUNCTION("SPLIT(C168,"" "")"),"Bogen,")</f>
        <v>Bogen,</v>
      </c>
      <c r="E168" s="22" t="str">
        <f>IFERROR(__xludf.DUMMYFUNCTION("""COMPUTED_VALUE"""),"Sheryl
12032")</f>
        <v>Sheryl
12032</v>
      </c>
      <c r="F168" s="22" t="str">
        <f>IFERROR(__xludf.DUMMYFUNCTION("""COMPUTED_VALUE"""),"Excelsior")</f>
        <v>Excelsior</v>
      </c>
      <c r="G168" s="22" t="str">
        <f>IFERROR(__xludf.DUMMYFUNCTION("""COMPUTED_VALUE"""),"Way
Dallas,")</f>
        <v>Way
Dallas,</v>
      </c>
      <c r="H168" s="22" t="str">
        <f>IFERROR(__xludf.DUMMYFUNCTION("""COMPUTED_VALUE"""),"TX")</f>
        <v>TX</v>
      </c>
      <c r="I168" s="22">
        <f>IFERROR(__xludf.DUMMYFUNCTION("""COMPUTED_VALUE"""),75230.0)</f>
        <v>75230</v>
      </c>
      <c r="J168" s="22"/>
      <c r="K168" s="22"/>
      <c r="L168" s="22"/>
      <c r="M168" s="22"/>
      <c r="N168" s="22"/>
      <c r="O168" s="22"/>
      <c r="P168" s="22"/>
      <c r="Q168" s="22"/>
      <c r="R168" s="22"/>
      <c r="S168" s="22"/>
      <c r="T168" s="22"/>
      <c r="U168" s="24" t="str">
        <f>IFERROR(__xludf.DUMMYFUNCTION("SPLIT(E168,""01234567890"")"),"Sheryl
")</f>
        <v>Sheryl
</v>
      </c>
      <c r="V168" s="24" t="str">
        <f>IFERROR(__xludf.DUMMYFUNCTION("SPLIT(D168,"","")"),"Bogen")</f>
        <v>Bogen</v>
      </c>
      <c r="W168" s="25" t="str">
        <f t="shared" si="1"/>
        <v>SHERYL
 BOGEN</v>
      </c>
      <c r="X168" s="25" t="s">
        <v>486</v>
      </c>
      <c r="Y168" s="25">
        <v>75230.0</v>
      </c>
      <c r="Z168" s="25" t="str">
        <f>IFERROR(__xludf.DUMMYFUNCTION("SPLIT(C168,""
"")"),"Bogen, Sheryl")</f>
        <v>Bogen, Sheryl</v>
      </c>
      <c r="AA168" s="25" t="str">
        <f>IFERROR(__xludf.DUMMYFUNCTION("""COMPUTED_VALUE"""),"12032 Excelsior Way")</f>
        <v>12032 Excelsior Way</v>
      </c>
      <c r="AB168" s="25" t="str">
        <f>IFERROR(__xludf.DUMMYFUNCTION("""COMPUTED_VALUE"""),"Dallas, TX 75230")</f>
        <v>Dallas, TX 75230</v>
      </c>
      <c r="AC168" s="24" t="s">
        <v>487</v>
      </c>
      <c r="AD168" s="25"/>
      <c r="AE168" s="25"/>
      <c r="AF168" s="25"/>
      <c r="AG168" s="22" t="s">
        <v>60</v>
      </c>
      <c r="AH168" s="54">
        <v>2436.0</v>
      </c>
      <c r="AI168" s="22" t="s">
        <v>61</v>
      </c>
      <c r="AJ168" s="27">
        <v>500.0</v>
      </c>
      <c r="AK168" s="31" t="s">
        <v>31</v>
      </c>
      <c r="AL168" s="28">
        <v>44677.0</v>
      </c>
      <c r="AM168" s="29">
        <v>44748.433599537035</v>
      </c>
      <c r="AN168" s="30">
        <v>2.0</v>
      </c>
      <c r="AO168" s="22"/>
      <c r="AP168" s="22"/>
      <c r="AQ168" s="22"/>
      <c r="AR168" s="22"/>
      <c r="AS168" s="40"/>
      <c r="AT168" s="47"/>
      <c r="AU168" s="22"/>
      <c r="AV168" s="57" t="str">
        <f>IFERROR(__xludf.DUMMYFUNCTION("""COMPUTED_VALUE"""),"Gerber")</f>
        <v>Gerber</v>
      </c>
      <c r="AW168" s="46">
        <f t="shared" si="7"/>
        <v>1750</v>
      </c>
      <c r="AX168" s="47">
        <f t="shared" ref="AX168:BQ168" si="614">SUMIFS($AJ:$AJ,$V:$V,$AV168,$AK:$AK,AX$2)</f>
        <v>0</v>
      </c>
      <c r="AY168" s="48">
        <f t="shared" si="614"/>
        <v>0</v>
      </c>
      <c r="AZ168" s="48">
        <f t="shared" si="614"/>
        <v>0</v>
      </c>
      <c r="BA168" s="48">
        <f t="shared" si="614"/>
        <v>1000</v>
      </c>
      <c r="BB168" s="48">
        <f t="shared" si="614"/>
        <v>0</v>
      </c>
      <c r="BC168" s="48">
        <f t="shared" si="614"/>
        <v>0</v>
      </c>
      <c r="BD168" s="48">
        <f t="shared" si="614"/>
        <v>250</v>
      </c>
      <c r="BE168" s="48">
        <f t="shared" si="614"/>
        <v>0</v>
      </c>
      <c r="BF168" s="48">
        <f t="shared" si="614"/>
        <v>0</v>
      </c>
      <c r="BG168" s="48">
        <f t="shared" si="614"/>
        <v>0</v>
      </c>
      <c r="BH168" s="48">
        <f t="shared" si="614"/>
        <v>0</v>
      </c>
      <c r="BI168" s="48">
        <f t="shared" si="614"/>
        <v>0</v>
      </c>
      <c r="BJ168" s="48">
        <f t="shared" si="614"/>
        <v>0</v>
      </c>
      <c r="BK168" s="48">
        <f t="shared" si="614"/>
        <v>500</v>
      </c>
      <c r="BL168" s="48">
        <f t="shared" si="614"/>
        <v>0</v>
      </c>
      <c r="BM168" s="48">
        <f t="shared" si="614"/>
        <v>0</v>
      </c>
      <c r="BN168" s="48">
        <f t="shared" si="614"/>
        <v>0</v>
      </c>
      <c r="BO168" s="48">
        <f t="shared" si="614"/>
        <v>0</v>
      </c>
      <c r="BP168" s="48">
        <f t="shared" si="614"/>
        <v>0</v>
      </c>
      <c r="BQ168" s="48">
        <f t="shared" si="614"/>
        <v>0</v>
      </c>
      <c r="BR168" s="36">
        <f t="shared" si="9"/>
        <v>1</v>
      </c>
      <c r="BS168" s="38">
        <f t="shared" si="10"/>
        <v>2</v>
      </c>
      <c r="BT168" s="49">
        <f t="shared" si="11"/>
        <v>0</v>
      </c>
      <c r="BU168" s="38">
        <f t="shared" si="12"/>
        <v>2000</v>
      </c>
      <c r="BV168" s="57" t="str">
        <f>IFERROR(__xludf.DUMMYFUNCTION("""COMPUTED_VALUE"""),"Gerber")</f>
        <v>Gerber</v>
      </c>
      <c r="BW168" s="46">
        <f t="shared" si="13"/>
        <v>1750</v>
      </c>
      <c r="BX168" s="47">
        <f t="shared" ref="BX168:CA168" si="615">AX168-$BU168</f>
        <v>-2000</v>
      </c>
      <c r="BY168" s="47">
        <f t="shared" si="615"/>
        <v>-2000</v>
      </c>
      <c r="BZ168" s="47">
        <f t="shared" si="615"/>
        <v>-2000</v>
      </c>
      <c r="CA168" s="47">
        <f t="shared" si="615"/>
        <v>-1000</v>
      </c>
      <c r="CB168" s="47">
        <f t="shared" si="15"/>
        <v>-20000</v>
      </c>
      <c r="CC168" s="47">
        <f t="shared" ref="CC168:CQ168" si="616">BC168-$BU168</f>
        <v>-2000</v>
      </c>
      <c r="CD168" s="47">
        <f t="shared" si="616"/>
        <v>-1750</v>
      </c>
      <c r="CE168" s="47">
        <f t="shared" si="616"/>
        <v>-2000</v>
      </c>
      <c r="CF168" s="47">
        <f t="shared" si="616"/>
        <v>-2000</v>
      </c>
      <c r="CG168" s="47">
        <f t="shared" si="616"/>
        <v>-2000</v>
      </c>
      <c r="CH168" s="47">
        <f t="shared" si="616"/>
        <v>-2000</v>
      </c>
      <c r="CI168" s="47">
        <f t="shared" si="616"/>
        <v>-2000</v>
      </c>
      <c r="CJ168" s="47">
        <f t="shared" si="616"/>
        <v>-2000</v>
      </c>
      <c r="CK168" s="47">
        <f t="shared" si="616"/>
        <v>-1500</v>
      </c>
      <c r="CL168" s="47">
        <f t="shared" si="616"/>
        <v>-2000</v>
      </c>
      <c r="CM168" s="47">
        <f t="shared" si="616"/>
        <v>-2000</v>
      </c>
      <c r="CN168" s="47">
        <f t="shared" si="616"/>
        <v>-2000</v>
      </c>
      <c r="CO168" s="47">
        <f t="shared" si="616"/>
        <v>-2000</v>
      </c>
      <c r="CP168" s="47">
        <f t="shared" si="616"/>
        <v>-2000</v>
      </c>
      <c r="CQ168" s="47">
        <f t="shared" si="616"/>
        <v>-2000</v>
      </c>
      <c r="CR168" s="47"/>
      <c r="CS168" s="47"/>
      <c r="CT168" s="47"/>
      <c r="CU168" s="50" t="str">
        <f>IFERROR(__xludf.DUMMYFUNCTION("""COMPUTED_VALUE"""),"4713 Clydesdale Dr.
Flower Mound, TX 75028         ")</f>
        <v>4713 Clydesdale Dr.
Flower Mound, TX 75028         </v>
      </c>
      <c r="CV168" s="51">
        <f>IFERROR(__xludf.DUMMYFUNCTION("IF(REGEXMATCH(UPPER(CU168), ""TX""),0,1)"),0.0)</f>
        <v>0</v>
      </c>
      <c r="CW168" s="51">
        <f>IFERROR(__xludf.DUMMYFUNCTION("IF(REGEXMATCH(UPPER(CU168), ""DALLAS""),0,1)"),1.0)</f>
        <v>1</v>
      </c>
      <c r="CX168" s="51">
        <f t="shared" si="17"/>
        <v>0</v>
      </c>
      <c r="CY168" s="51">
        <f t="shared" si="18"/>
        <v>500</v>
      </c>
      <c r="CZ168" s="52" t="str">
        <f t="shared" si="19"/>
        <v>4713 Clydesdale Dr.
Flower Mound, TX 75028         </v>
      </c>
      <c r="DA168" s="58"/>
      <c r="DB168" s="52"/>
      <c r="DC168" s="52"/>
      <c r="DD168" s="52"/>
      <c r="DE168" s="52"/>
      <c r="DF168" s="52"/>
      <c r="DG168" s="52"/>
      <c r="DH168" s="52"/>
      <c r="DI168" s="52"/>
      <c r="DJ168" s="52"/>
      <c r="DK168" s="52"/>
      <c r="DL168" s="52"/>
      <c r="DM168" s="52"/>
      <c r="DN168" s="52"/>
      <c r="DO168" s="52"/>
      <c r="DP168" s="52"/>
      <c r="DQ168" s="52"/>
      <c r="DR168" s="52"/>
      <c r="DS168" s="52"/>
      <c r="DT168" s="52"/>
      <c r="DU168" s="52"/>
      <c r="DV168" s="52"/>
      <c r="DW168" s="52"/>
    </row>
    <row r="169">
      <c r="A169" s="40" t="s">
        <v>55</v>
      </c>
      <c r="B169" s="41" t="s">
        <v>56</v>
      </c>
      <c r="C169" s="31" t="s">
        <v>488</v>
      </c>
      <c r="D169" s="25" t="str">
        <f>IFERROR(__xludf.DUMMYFUNCTION("SPLIT(C169,"" "")"),"Gearing,")</f>
        <v>Gearing,</v>
      </c>
      <c r="E169" s="40" t="str">
        <f>IFERROR(__xludf.DUMMYFUNCTION("""COMPUTED_VALUE"""),"Charles
9332")</f>
        <v>Charles
9332</v>
      </c>
      <c r="F169" s="40" t="str">
        <f>IFERROR(__xludf.DUMMYFUNCTION("""COMPUTED_VALUE"""),"Mercer")</f>
        <v>Mercer</v>
      </c>
      <c r="G169" s="40" t="str">
        <f>IFERROR(__xludf.DUMMYFUNCTION("""COMPUTED_VALUE"""),"Dr.
Dallas,")</f>
        <v>Dr.
Dallas,</v>
      </c>
      <c r="H169" s="40" t="str">
        <f>IFERROR(__xludf.DUMMYFUNCTION("""COMPUTED_VALUE"""),"TX")</f>
        <v>TX</v>
      </c>
      <c r="I169" s="40">
        <f>IFERROR(__xludf.DUMMYFUNCTION("""COMPUTED_VALUE"""),75228.0)</f>
        <v>75228</v>
      </c>
      <c r="J169" s="40"/>
      <c r="K169" s="40"/>
      <c r="L169" s="40"/>
      <c r="M169" s="40"/>
      <c r="N169" s="40"/>
      <c r="O169" s="40"/>
      <c r="P169" s="40"/>
      <c r="Q169" s="40"/>
      <c r="R169" s="40"/>
      <c r="S169" s="40"/>
      <c r="T169" s="40"/>
      <c r="U169" s="24" t="str">
        <f>IFERROR(__xludf.DUMMYFUNCTION("SPLIT(E169,""01234567890"")"),"Charles
")</f>
        <v>Charles
</v>
      </c>
      <c r="V169" s="24" t="str">
        <f>IFERROR(__xludf.DUMMYFUNCTION("SPLIT(D169,"","")"),"Gearing")</f>
        <v>Gearing</v>
      </c>
      <c r="W169" s="25" t="str">
        <f t="shared" si="1"/>
        <v>CHARLES
 GEARING</v>
      </c>
      <c r="X169" s="25" t="s">
        <v>489</v>
      </c>
      <c r="Y169" s="25">
        <v>75228.0</v>
      </c>
      <c r="Z169" s="25" t="str">
        <f>IFERROR(__xludf.DUMMYFUNCTION("SPLIT(C169,""
"")"),"Gearing, Charles")</f>
        <v>Gearing, Charles</v>
      </c>
      <c r="AA169" s="25" t="str">
        <f>IFERROR(__xludf.DUMMYFUNCTION("""COMPUTED_VALUE"""),"9332 Mercer Dr.")</f>
        <v>9332 Mercer Dr.</v>
      </c>
      <c r="AB169" s="25" t="str">
        <f>IFERROR(__xludf.DUMMYFUNCTION("""COMPUTED_VALUE"""),"Dallas, TX 75228")</f>
        <v>Dallas, TX 75228</v>
      </c>
      <c r="AC169" s="24" t="s">
        <v>490</v>
      </c>
      <c r="AD169" s="25"/>
      <c r="AE169" s="25"/>
      <c r="AF169" s="25"/>
      <c r="AG169" s="40" t="s">
        <v>60</v>
      </c>
      <c r="AH169" s="42">
        <v>2441.0</v>
      </c>
      <c r="AI169" s="40" t="s">
        <v>61</v>
      </c>
      <c r="AJ169" s="27">
        <v>500.0</v>
      </c>
      <c r="AK169" s="31" t="s">
        <v>21</v>
      </c>
      <c r="AL169" s="43">
        <v>44721.0</v>
      </c>
      <c r="AM169" s="44">
        <v>44756.4640625</v>
      </c>
      <c r="AN169" s="30">
        <v>2.0</v>
      </c>
      <c r="AO169" s="40"/>
      <c r="AP169" s="40"/>
      <c r="AQ169" s="40"/>
      <c r="AR169" s="40"/>
      <c r="AS169" s="22"/>
      <c r="AT169" s="70"/>
      <c r="AU169" s="40"/>
      <c r="AV169" s="46" t="str">
        <f>IFERROR(__xludf.DUMMYFUNCTION("""COMPUTED_VALUE"""),"Schenkkel")</f>
        <v>Schenkkel</v>
      </c>
      <c r="AW169" s="46">
        <f t="shared" si="7"/>
        <v>500</v>
      </c>
      <c r="AX169" s="47">
        <f t="shared" ref="AX169:BQ169" si="617">SUMIFS($AJ:$AJ,$V:$V,$AV169,$AK:$AK,AX$2)</f>
        <v>0</v>
      </c>
      <c r="AY169" s="48">
        <f t="shared" si="617"/>
        <v>0</v>
      </c>
      <c r="AZ169" s="48">
        <f t="shared" si="617"/>
        <v>0</v>
      </c>
      <c r="BA169" s="48">
        <f t="shared" si="617"/>
        <v>0</v>
      </c>
      <c r="BB169" s="48">
        <f t="shared" si="617"/>
        <v>0</v>
      </c>
      <c r="BC169" s="48">
        <f t="shared" si="617"/>
        <v>0</v>
      </c>
      <c r="BD169" s="48">
        <f t="shared" si="617"/>
        <v>500</v>
      </c>
      <c r="BE169" s="48">
        <f t="shared" si="617"/>
        <v>0</v>
      </c>
      <c r="BF169" s="48">
        <f t="shared" si="617"/>
        <v>0</v>
      </c>
      <c r="BG169" s="48">
        <f t="shared" si="617"/>
        <v>0</v>
      </c>
      <c r="BH169" s="48">
        <f t="shared" si="617"/>
        <v>0</v>
      </c>
      <c r="BI169" s="48">
        <f t="shared" si="617"/>
        <v>0</v>
      </c>
      <c r="BJ169" s="48">
        <f t="shared" si="617"/>
        <v>0</v>
      </c>
      <c r="BK169" s="48">
        <f t="shared" si="617"/>
        <v>0</v>
      </c>
      <c r="BL169" s="48">
        <f t="shared" si="617"/>
        <v>0</v>
      </c>
      <c r="BM169" s="48">
        <f t="shared" si="617"/>
        <v>0</v>
      </c>
      <c r="BN169" s="48">
        <f t="shared" si="617"/>
        <v>0</v>
      </c>
      <c r="BO169" s="48">
        <f t="shared" si="617"/>
        <v>0</v>
      </c>
      <c r="BP169" s="48">
        <f t="shared" si="617"/>
        <v>0</v>
      </c>
      <c r="BQ169" s="48">
        <f t="shared" si="617"/>
        <v>0</v>
      </c>
      <c r="BR169" s="36">
        <f t="shared" si="9"/>
        <v>0</v>
      </c>
      <c r="BS169" s="38">
        <f t="shared" si="10"/>
        <v>1</v>
      </c>
      <c r="BT169" s="49">
        <f t="shared" si="11"/>
        <v>0</v>
      </c>
      <c r="BU169" s="38">
        <f t="shared" si="12"/>
        <v>1000</v>
      </c>
      <c r="BV169" s="46" t="str">
        <f>IFERROR(__xludf.DUMMYFUNCTION("""COMPUTED_VALUE"""),"Schenkkel")</f>
        <v>Schenkkel</v>
      </c>
      <c r="BW169" s="46">
        <f t="shared" si="13"/>
        <v>500</v>
      </c>
      <c r="BX169" s="47">
        <f t="shared" ref="BX169:CA169" si="618">AX169-$BU169</f>
        <v>-1000</v>
      </c>
      <c r="BY169" s="47">
        <f t="shared" si="618"/>
        <v>-1000</v>
      </c>
      <c r="BZ169" s="47">
        <f t="shared" si="618"/>
        <v>-1000</v>
      </c>
      <c r="CA169" s="47">
        <f t="shared" si="618"/>
        <v>-1000</v>
      </c>
      <c r="CB169" s="47">
        <f t="shared" si="15"/>
        <v>-10000</v>
      </c>
      <c r="CC169" s="47">
        <f t="shared" ref="CC169:CQ169" si="619">BC169-$BU169</f>
        <v>-1000</v>
      </c>
      <c r="CD169" s="47">
        <f t="shared" si="619"/>
        <v>-500</v>
      </c>
      <c r="CE169" s="47">
        <f t="shared" si="619"/>
        <v>-1000</v>
      </c>
      <c r="CF169" s="47">
        <f t="shared" si="619"/>
        <v>-1000</v>
      </c>
      <c r="CG169" s="47">
        <f t="shared" si="619"/>
        <v>-1000</v>
      </c>
      <c r="CH169" s="47">
        <f t="shared" si="619"/>
        <v>-1000</v>
      </c>
      <c r="CI169" s="47">
        <f t="shared" si="619"/>
        <v>-1000</v>
      </c>
      <c r="CJ169" s="47">
        <f t="shared" si="619"/>
        <v>-1000</v>
      </c>
      <c r="CK169" s="47">
        <f t="shared" si="619"/>
        <v>-1000</v>
      </c>
      <c r="CL169" s="47">
        <f t="shared" si="619"/>
        <v>-1000</v>
      </c>
      <c r="CM169" s="47">
        <f t="shared" si="619"/>
        <v>-1000</v>
      </c>
      <c r="CN169" s="47">
        <f t="shared" si="619"/>
        <v>-1000</v>
      </c>
      <c r="CO169" s="47">
        <f t="shared" si="619"/>
        <v>-1000</v>
      </c>
      <c r="CP169" s="47">
        <f t="shared" si="619"/>
        <v>-1000</v>
      </c>
      <c r="CQ169" s="47">
        <f t="shared" si="619"/>
        <v>-1000</v>
      </c>
      <c r="CR169" s="47"/>
      <c r="CS169" s="47"/>
      <c r="CT169" s="47"/>
      <c r="CU169" s="50" t="str">
        <f>IFERROR(__xludf.DUMMYFUNCTION("""COMPUTED_VALUE"""),"914 Stevens Woods Ct.
Dallas, TX 75208         ")</f>
        <v>914 Stevens Woods Ct.
Dallas, TX 75208         </v>
      </c>
      <c r="CV169" s="51">
        <f>IFERROR(__xludf.DUMMYFUNCTION("IF(REGEXMATCH(UPPER(CU169), ""TX""),0,1)"),0.0)</f>
        <v>0</v>
      </c>
      <c r="CW169" s="51">
        <f>IFERROR(__xludf.DUMMYFUNCTION("IF(REGEXMATCH(UPPER(CU169), ""DALLAS""),0,1)"),0.0)</f>
        <v>0</v>
      </c>
      <c r="CX169" s="51">
        <f t="shared" si="17"/>
        <v>0</v>
      </c>
      <c r="CY169" s="51">
        <f t="shared" si="18"/>
        <v>0</v>
      </c>
      <c r="CZ169" s="52" t="str">
        <f t="shared" si="19"/>
        <v/>
      </c>
      <c r="DA169" s="58"/>
      <c r="DB169" s="52"/>
      <c r="DC169" s="52"/>
      <c r="DD169" s="52"/>
      <c r="DE169" s="52"/>
      <c r="DF169" s="52"/>
      <c r="DG169" s="52"/>
      <c r="DH169" s="52"/>
      <c r="DI169" s="52"/>
      <c r="DJ169" s="52"/>
      <c r="DK169" s="52"/>
      <c r="DL169" s="52"/>
      <c r="DM169" s="52"/>
      <c r="DN169" s="52"/>
      <c r="DO169" s="52"/>
      <c r="DP169" s="52"/>
      <c r="DQ169" s="52"/>
      <c r="DR169" s="52"/>
      <c r="DS169" s="52"/>
      <c r="DT169" s="52"/>
      <c r="DU169" s="52"/>
      <c r="DV169" s="52"/>
      <c r="DW169" s="52"/>
    </row>
    <row r="170">
      <c r="A170" s="22" t="s">
        <v>55</v>
      </c>
      <c r="B170" s="23" t="s">
        <v>56</v>
      </c>
      <c r="C170" s="31" t="s">
        <v>491</v>
      </c>
      <c r="D170" s="25" t="str">
        <f>IFERROR(__xludf.DUMMYFUNCTION("SPLIT(C170,"" "")"),"Saxer,")</f>
        <v>Saxer,</v>
      </c>
      <c r="E170" s="22" t="str">
        <f>IFERROR(__xludf.DUMMYFUNCTION("""COMPUTED_VALUE"""),"Jonathan
727")</f>
        <v>Jonathan
727</v>
      </c>
      <c r="F170" s="22" t="str">
        <f>IFERROR(__xludf.DUMMYFUNCTION("""COMPUTED_VALUE"""),"N.")</f>
        <v>N.</v>
      </c>
      <c r="G170" s="22" t="str">
        <f>IFERROR(__xludf.DUMMYFUNCTION("""COMPUTED_VALUE"""),"Oak")</f>
        <v>Oak</v>
      </c>
      <c r="H170" s="22" t="str">
        <f>IFERROR(__xludf.DUMMYFUNCTION("""COMPUTED_VALUE"""),"Cliff")</f>
        <v>Cliff</v>
      </c>
      <c r="I170" s="22" t="str">
        <f>IFERROR(__xludf.DUMMYFUNCTION("""COMPUTED_VALUE"""),"Blvd.
Dallas,")</f>
        <v>Blvd.
Dallas,</v>
      </c>
      <c r="J170" s="22" t="str">
        <f>IFERROR(__xludf.DUMMYFUNCTION("""COMPUTED_VALUE"""),"TX")</f>
        <v>TX</v>
      </c>
      <c r="K170" s="22">
        <f>IFERROR(__xludf.DUMMYFUNCTION("""COMPUTED_VALUE"""),75208.0)</f>
        <v>75208</v>
      </c>
      <c r="L170" s="22"/>
      <c r="M170" s="22"/>
      <c r="N170" s="22"/>
      <c r="O170" s="22"/>
      <c r="P170" s="22"/>
      <c r="Q170" s="22"/>
      <c r="R170" s="22"/>
      <c r="S170" s="22"/>
      <c r="T170" s="22"/>
      <c r="U170" s="24" t="str">
        <f>IFERROR(__xludf.DUMMYFUNCTION("SPLIT(E170,""01234567890"")"),"Jonathan
")</f>
        <v>Jonathan
</v>
      </c>
      <c r="V170" s="24" t="str">
        <f>IFERROR(__xludf.DUMMYFUNCTION("SPLIT(D170,"","")"),"Saxer")</f>
        <v>Saxer</v>
      </c>
      <c r="W170" s="25" t="str">
        <f t="shared" si="1"/>
        <v>JONATHAN
 SAXER</v>
      </c>
      <c r="X170" s="25" t="s">
        <v>492</v>
      </c>
      <c r="Y170" s="25">
        <v>75208.0</v>
      </c>
      <c r="Z170" s="25" t="str">
        <f>IFERROR(__xludf.DUMMYFUNCTION("SPLIT(C170,""
"")"),"Saxer, Jonathan")</f>
        <v>Saxer, Jonathan</v>
      </c>
      <c r="AA170" s="25" t="str">
        <f>IFERROR(__xludf.DUMMYFUNCTION("""COMPUTED_VALUE"""),"727 N. Oak Cliff Blvd.")</f>
        <v>727 N. Oak Cliff Blvd.</v>
      </c>
      <c r="AB170" s="25" t="str">
        <f>IFERROR(__xludf.DUMMYFUNCTION("""COMPUTED_VALUE"""),"Dallas, TX 75208")</f>
        <v>Dallas, TX 75208</v>
      </c>
      <c r="AC170" s="24" t="s">
        <v>493</v>
      </c>
      <c r="AD170" s="25"/>
      <c r="AE170" s="25"/>
      <c r="AF170" s="25"/>
      <c r="AG170" s="22" t="s">
        <v>60</v>
      </c>
      <c r="AH170" s="54">
        <v>2441.0</v>
      </c>
      <c r="AI170" s="22" t="s">
        <v>61</v>
      </c>
      <c r="AJ170" s="27">
        <v>100.0</v>
      </c>
      <c r="AK170" s="31" t="s">
        <v>21</v>
      </c>
      <c r="AL170" s="28">
        <v>44721.0</v>
      </c>
      <c r="AM170" s="29">
        <v>44756.4640625</v>
      </c>
      <c r="AN170" s="30">
        <v>2.0</v>
      </c>
      <c r="AO170" s="22"/>
      <c r="AP170" s="22"/>
      <c r="AQ170" s="22"/>
      <c r="AR170" s="22"/>
      <c r="AS170" s="40"/>
      <c r="AT170" s="47"/>
      <c r="AU170" s="22"/>
      <c r="AV170" s="57" t="str">
        <f>IFERROR(__xludf.DUMMYFUNCTION("""COMPUTED_VALUE"""),"Assanie")</f>
        <v>Assanie</v>
      </c>
      <c r="AW170" s="46">
        <f t="shared" si="7"/>
        <v>250</v>
      </c>
      <c r="AX170" s="47">
        <f t="shared" ref="AX170:BQ170" si="620">SUMIFS($AJ:$AJ,$V:$V,$AV170,$AK:$AK,AX$2)</f>
        <v>0</v>
      </c>
      <c r="AY170" s="48">
        <f t="shared" si="620"/>
        <v>0</v>
      </c>
      <c r="AZ170" s="48">
        <f t="shared" si="620"/>
        <v>0</v>
      </c>
      <c r="BA170" s="48">
        <f t="shared" si="620"/>
        <v>0</v>
      </c>
      <c r="BB170" s="48">
        <f t="shared" si="620"/>
        <v>250</v>
      </c>
      <c r="BC170" s="48">
        <f t="shared" si="620"/>
        <v>0</v>
      </c>
      <c r="BD170" s="48">
        <f t="shared" si="620"/>
        <v>0</v>
      </c>
      <c r="BE170" s="48">
        <f t="shared" si="620"/>
        <v>0</v>
      </c>
      <c r="BF170" s="48">
        <f t="shared" si="620"/>
        <v>0</v>
      </c>
      <c r="BG170" s="48">
        <f t="shared" si="620"/>
        <v>0</v>
      </c>
      <c r="BH170" s="48">
        <f t="shared" si="620"/>
        <v>0</v>
      </c>
      <c r="BI170" s="48">
        <f t="shared" si="620"/>
        <v>0</v>
      </c>
      <c r="BJ170" s="48">
        <f t="shared" si="620"/>
        <v>0</v>
      </c>
      <c r="BK170" s="48">
        <f t="shared" si="620"/>
        <v>0</v>
      </c>
      <c r="BL170" s="48">
        <f t="shared" si="620"/>
        <v>0</v>
      </c>
      <c r="BM170" s="48">
        <f t="shared" si="620"/>
        <v>0</v>
      </c>
      <c r="BN170" s="48">
        <f t="shared" si="620"/>
        <v>0</v>
      </c>
      <c r="BO170" s="48">
        <f t="shared" si="620"/>
        <v>0</v>
      </c>
      <c r="BP170" s="48">
        <f t="shared" si="620"/>
        <v>0</v>
      </c>
      <c r="BQ170" s="48">
        <f t="shared" si="620"/>
        <v>0</v>
      </c>
      <c r="BR170" s="36">
        <f t="shared" si="9"/>
        <v>0</v>
      </c>
      <c r="BS170" s="38">
        <f t="shared" si="10"/>
        <v>1</v>
      </c>
      <c r="BT170" s="49">
        <f t="shared" si="11"/>
        <v>0</v>
      </c>
      <c r="BU170" s="38">
        <f t="shared" si="12"/>
        <v>1000</v>
      </c>
      <c r="BV170" s="57" t="str">
        <f>IFERROR(__xludf.DUMMYFUNCTION("""COMPUTED_VALUE"""),"Assanie")</f>
        <v>Assanie</v>
      </c>
      <c r="BW170" s="46">
        <f t="shared" si="13"/>
        <v>250</v>
      </c>
      <c r="BX170" s="47">
        <f t="shared" ref="BX170:CA170" si="621">AX170-$BU170</f>
        <v>-1000</v>
      </c>
      <c r="BY170" s="47">
        <f t="shared" si="621"/>
        <v>-1000</v>
      </c>
      <c r="BZ170" s="47">
        <f t="shared" si="621"/>
        <v>-1000</v>
      </c>
      <c r="CA170" s="47">
        <f t="shared" si="621"/>
        <v>-1000</v>
      </c>
      <c r="CB170" s="47">
        <f t="shared" si="15"/>
        <v>-9750</v>
      </c>
      <c r="CC170" s="47">
        <f t="shared" ref="CC170:CQ170" si="622">BC170-$BU170</f>
        <v>-1000</v>
      </c>
      <c r="CD170" s="47">
        <f t="shared" si="622"/>
        <v>-1000</v>
      </c>
      <c r="CE170" s="47">
        <f t="shared" si="622"/>
        <v>-1000</v>
      </c>
      <c r="CF170" s="47">
        <f t="shared" si="622"/>
        <v>-1000</v>
      </c>
      <c r="CG170" s="47">
        <f t="shared" si="622"/>
        <v>-1000</v>
      </c>
      <c r="CH170" s="47">
        <f t="shared" si="622"/>
        <v>-1000</v>
      </c>
      <c r="CI170" s="47">
        <f t="shared" si="622"/>
        <v>-1000</v>
      </c>
      <c r="CJ170" s="47">
        <f t="shared" si="622"/>
        <v>-1000</v>
      </c>
      <c r="CK170" s="47">
        <f t="shared" si="622"/>
        <v>-1000</v>
      </c>
      <c r="CL170" s="47">
        <f t="shared" si="622"/>
        <v>-1000</v>
      </c>
      <c r="CM170" s="47">
        <f t="shared" si="622"/>
        <v>-1000</v>
      </c>
      <c r="CN170" s="47">
        <f t="shared" si="622"/>
        <v>-1000</v>
      </c>
      <c r="CO170" s="47">
        <f t="shared" si="622"/>
        <v>-1000</v>
      </c>
      <c r="CP170" s="47">
        <f t="shared" si="622"/>
        <v>-1000</v>
      </c>
      <c r="CQ170" s="47">
        <f t="shared" si="622"/>
        <v>-1000</v>
      </c>
      <c r="CR170" s="47"/>
      <c r="CS170" s="47"/>
      <c r="CT170" s="47"/>
      <c r="CU170" s="50" t="str">
        <f>IFERROR(__xludf.DUMMYFUNCTION("""COMPUTED_VALUE"""),"1860 Masters Dr.
Desoto, TX 75115          ")</f>
        <v>1860 Masters Dr.
Desoto, TX 75115          </v>
      </c>
      <c r="CV170" s="51">
        <f>IFERROR(__xludf.DUMMYFUNCTION("IF(REGEXMATCH(UPPER(CU170), ""TX""),0,1)"),0.0)</f>
        <v>0</v>
      </c>
      <c r="CW170" s="51">
        <f>IFERROR(__xludf.DUMMYFUNCTION("IF(REGEXMATCH(UPPER(CU170), ""DALLAS""),0,1)"),1.0)</f>
        <v>1</v>
      </c>
      <c r="CX170" s="51">
        <f t="shared" si="17"/>
        <v>0</v>
      </c>
      <c r="CY170" s="51">
        <f t="shared" si="18"/>
        <v>1000</v>
      </c>
      <c r="CZ170" s="52" t="str">
        <f t="shared" si="19"/>
        <v>1860 Masters Dr.
Desoto, TX 75115          </v>
      </c>
      <c r="DA170" s="58"/>
      <c r="DB170" s="52"/>
      <c r="DC170" s="52"/>
      <c r="DD170" s="52"/>
      <c r="DE170" s="52"/>
      <c r="DF170" s="52"/>
      <c r="DG170" s="52"/>
      <c r="DH170" s="52"/>
      <c r="DI170" s="52"/>
      <c r="DJ170" s="52"/>
      <c r="DK170" s="52"/>
      <c r="DL170" s="52"/>
      <c r="DM170" s="52"/>
      <c r="DN170" s="52"/>
      <c r="DO170" s="52"/>
      <c r="DP170" s="52"/>
      <c r="DQ170" s="52"/>
      <c r="DR170" s="52"/>
      <c r="DS170" s="52"/>
      <c r="DT170" s="52"/>
      <c r="DU170" s="52"/>
      <c r="DV170" s="52"/>
      <c r="DW170" s="52"/>
    </row>
    <row r="171">
      <c r="A171" s="40" t="s">
        <v>55</v>
      </c>
      <c r="B171" s="41" t="s">
        <v>56</v>
      </c>
      <c r="C171" s="31" t="s">
        <v>494</v>
      </c>
      <c r="D171" s="25" t="str">
        <f>IFERROR(__xludf.DUMMYFUNCTION("SPLIT(C171,"" "")"),"Homan")</f>
        <v>Homan</v>
      </c>
      <c r="E171" s="40" t="str">
        <f>IFERROR(__xludf.DUMMYFUNCTION("""COMPUTED_VALUE"""),"2,")</f>
        <v>2,</v>
      </c>
      <c r="F171" s="40" t="str">
        <f>IFERROR(__xludf.DUMMYFUNCTION("""COMPUTED_VALUE"""),"Katherine
1629")</f>
        <v>Katherine
1629</v>
      </c>
      <c r="G171" s="40" t="str">
        <f>IFERROR(__xludf.DUMMYFUNCTION("""COMPUTED_VALUE"""),"Handley")</f>
        <v>Handley</v>
      </c>
      <c r="H171" s="40" t="str">
        <f>IFERROR(__xludf.DUMMYFUNCTION("""COMPUTED_VALUE"""),"Dr.
Dallas,")</f>
        <v>Dr.
Dallas,</v>
      </c>
      <c r="I171" s="40" t="str">
        <f>IFERROR(__xludf.DUMMYFUNCTION("""COMPUTED_VALUE"""),"TX")</f>
        <v>TX</v>
      </c>
      <c r="J171" s="40">
        <f>IFERROR(__xludf.DUMMYFUNCTION("""COMPUTED_VALUE"""),75208.0)</f>
        <v>75208</v>
      </c>
      <c r="K171" s="40"/>
      <c r="L171" s="40"/>
      <c r="M171" s="40"/>
      <c r="N171" s="40"/>
      <c r="O171" s="40"/>
      <c r="P171" s="40"/>
      <c r="Q171" s="40"/>
      <c r="R171" s="40"/>
      <c r="S171" s="40"/>
      <c r="T171" s="40"/>
      <c r="U171" s="24" t="str">
        <f>IFERROR(__xludf.DUMMYFUNCTION("SPLIT(E171,""01234567890"")"),",")</f>
        <v>,</v>
      </c>
      <c r="V171" s="24" t="str">
        <f>IFERROR(__xludf.DUMMYFUNCTION("SPLIT(D171,"","")"),"Homan")</f>
        <v>Homan</v>
      </c>
      <c r="W171" s="25" t="str">
        <f t="shared" si="1"/>
        <v>, HOMAN</v>
      </c>
      <c r="X171" s="25" t="s">
        <v>495</v>
      </c>
      <c r="Y171" s="25">
        <v>1629.0</v>
      </c>
      <c r="Z171" s="25" t="str">
        <f>IFERROR(__xludf.DUMMYFUNCTION("SPLIT(C171,""
"")"),"Homan 2, Katherine")</f>
        <v>Homan 2, Katherine</v>
      </c>
      <c r="AA171" s="25" t="str">
        <f>IFERROR(__xludf.DUMMYFUNCTION("""COMPUTED_VALUE"""),"1629 Handley Dr.")</f>
        <v>1629 Handley Dr.</v>
      </c>
      <c r="AB171" s="25" t="str">
        <f>IFERROR(__xludf.DUMMYFUNCTION("""COMPUTED_VALUE"""),"Dallas, TX 75208")</f>
        <v>Dallas, TX 75208</v>
      </c>
      <c r="AC171" s="24" t="s">
        <v>496</v>
      </c>
      <c r="AD171" s="25"/>
      <c r="AE171" s="25"/>
      <c r="AF171" s="25"/>
      <c r="AG171" s="40" t="s">
        <v>60</v>
      </c>
      <c r="AH171" s="42">
        <v>2441.0</v>
      </c>
      <c r="AI171" s="40" t="s">
        <v>61</v>
      </c>
      <c r="AJ171" s="27">
        <v>500.0</v>
      </c>
      <c r="AK171" s="31" t="s">
        <v>21</v>
      </c>
      <c r="AL171" s="43">
        <v>44721.0</v>
      </c>
      <c r="AM171" s="44">
        <v>44756.4640625</v>
      </c>
      <c r="AN171" s="30">
        <v>2.0</v>
      </c>
      <c r="AO171" s="40"/>
      <c r="AP171" s="40"/>
      <c r="AQ171" s="40"/>
      <c r="AR171" s="40"/>
      <c r="AS171" s="22"/>
      <c r="AT171" s="70"/>
      <c r="AU171" s="40"/>
      <c r="AV171" s="46" t="str">
        <f>IFERROR(__xludf.DUMMYFUNCTION("""COMPUTED_VALUE"""),"HealthPAC
PO")</f>
        <v>HealthPAC
PO</v>
      </c>
      <c r="AW171" s="46">
        <f t="shared" si="7"/>
        <v>500</v>
      </c>
      <c r="AX171" s="47">
        <f t="shared" ref="AX171:BQ171" si="623">SUMIFS($AJ:$AJ,$V:$V,$AV171,$AK:$AK,AX$2)</f>
        <v>0</v>
      </c>
      <c r="AY171" s="48">
        <f t="shared" si="623"/>
        <v>0</v>
      </c>
      <c r="AZ171" s="48">
        <f t="shared" si="623"/>
        <v>0</v>
      </c>
      <c r="BA171" s="48">
        <f t="shared" si="623"/>
        <v>0</v>
      </c>
      <c r="BB171" s="48">
        <f t="shared" si="623"/>
        <v>500</v>
      </c>
      <c r="BC171" s="48">
        <f t="shared" si="623"/>
        <v>0</v>
      </c>
      <c r="BD171" s="48">
        <f t="shared" si="623"/>
        <v>0</v>
      </c>
      <c r="BE171" s="48">
        <f t="shared" si="623"/>
        <v>0</v>
      </c>
      <c r="BF171" s="48">
        <f t="shared" si="623"/>
        <v>0</v>
      </c>
      <c r="BG171" s="48">
        <f t="shared" si="623"/>
        <v>0</v>
      </c>
      <c r="BH171" s="48">
        <f t="shared" si="623"/>
        <v>0</v>
      </c>
      <c r="BI171" s="48">
        <f t="shared" si="623"/>
        <v>0</v>
      </c>
      <c r="BJ171" s="48">
        <f t="shared" si="623"/>
        <v>0</v>
      </c>
      <c r="BK171" s="48">
        <f t="shared" si="623"/>
        <v>0</v>
      </c>
      <c r="BL171" s="48">
        <f t="shared" si="623"/>
        <v>0</v>
      </c>
      <c r="BM171" s="48">
        <f t="shared" si="623"/>
        <v>0</v>
      </c>
      <c r="BN171" s="48">
        <f t="shared" si="623"/>
        <v>0</v>
      </c>
      <c r="BO171" s="48">
        <f t="shared" si="623"/>
        <v>0</v>
      </c>
      <c r="BP171" s="48">
        <f t="shared" si="623"/>
        <v>0</v>
      </c>
      <c r="BQ171" s="48">
        <f t="shared" si="623"/>
        <v>0</v>
      </c>
      <c r="BR171" s="36">
        <f t="shared" si="9"/>
        <v>0</v>
      </c>
      <c r="BS171" s="38">
        <f t="shared" si="10"/>
        <v>1</v>
      </c>
      <c r="BT171" s="49">
        <f t="shared" si="11"/>
        <v>0</v>
      </c>
      <c r="BU171" s="38">
        <f t="shared" si="12"/>
        <v>1000</v>
      </c>
      <c r="BV171" s="46" t="str">
        <f>IFERROR(__xludf.DUMMYFUNCTION("""COMPUTED_VALUE"""),"HealthPAC
PO")</f>
        <v>HealthPAC
PO</v>
      </c>
      <c r="BW171" s="46">
        <f t="shared" si="13"/>
        <v>500</v>
      </c>
      <c r="BX171" s="47">
        <f t="shared" ref="BX171:CA171" si="624">AX171-$BU171</f>
        <v>-1000</v>
      </c>
      <c r="BY171" s="47">
        <f t="shared" si="624"/>
        <v>-1000</v>
      </c>
      <c r="BZ171" s="47">
        <f t="shared" si="624"/>
        <v>-1000</v>
      </c>
      <c r="CA171" s="47">
        <f t="shared" si="624"/>
        <v>-1000</v>
      </c>
      <c r="CB171" s="47">
        <f t="shared" si="15"/>
        <v>-9500</v>
      </c>
      <c r="CC171" s="47">
        <f t="shared" ref="CC171:CQ171" si="625">BC171-$BU171</f>
        <v>-1000</v>
      </c>
      <c r="CD171" s="47">
        <f t="shared" si="625"/>
        <v>-1000</v>
      </c>
      <c r="CE171" s="47">
        <f t="shared" si="625"/>
        <v>-1000</v>
      </c>
      <c r="CF171" s="47">
        <f t="shared" si="625"/>
        <v>-1000</v>
      </c>
      <c r="CG171" s="47">
        <f t="shared" si="625"/>
        <v>-1000</v>
      </c>
      <c r="CH171" s="47">
        <f t="shared" si="625"/>
        <v>-1000</v>
      </c>
      <c r="CI171" s="47">
        <f t="shared" si="625"/>
        <v>-1000</v>
      </c>
      <c r="CJ171" s="47">
        <f t="shared" si="625"/>
        <v>-1000</v>
      </c>
      <c r="CK171" s="47">
        <f t="shared" si="625"/>
        <v>-1000</v>
      </c>
      <c r="CL171" s="47">
        <f t="shared" si="625"/>
        <v>-1000</v>
      </c>
      <c r="CM171" s="47">
        <f t="shared" si="625"/>
        <v>-1000</v>
      </c>
      <c r="CN171" s="47">
        <f t="shared" si="625"/>
        <v>-1000</v>
      </c>
      <c r="CO171" s="47">
        <f t="shared" si="625"/>
        <v>-1000</v>
      </c>
      <c r="CP171" s="47">
        <f t="shared" si="625"/>
        <v>-1000</v>
      </c>
      <c r="CQ171" s="47">
        <f t="shared" si="625"/>
        <v>-1000</v>
      </c>
      <c r="CR171" s="47"/>
      <c r="CS171" s="47"/>
      <c r="CT171" s="47"/>
      <c r="CU171" s="50" t="str">
        <f>IFERROR(__xludf.DUMMYFUNCTION("""COMPUTED_VALUE"""),"6909 Tokalon Dr.
Dallas, TX 75214          ")</f>
        <v>6909 Tokalon Dr.
Dallas, TX 75214          </v>
      </c>
      <c r="CV171" s="51">
        <f>IFERROR(__xludf.DUMMYFUNCTION("IF(REGEXMATCH(UPPER(CU171), ""TX""),0,1)"),0.0)</f>
        <v>0</v>
      </c>
      <c r="CW171" s="51">
        <f>IFERROR(__xludf.DUMMYFUNCTION("IF(REGEXMATCH(UPPER(CU171), ""DALLAS""),0,1)"),0.0)</f>
        <v>0</v>
      </c>
      <c r="CX171" s="51">
        <f t="shared" si="17"/>
        <v>0</v>
      </c>
      <c r="CY171" s="51">
        <f t="shared" si="18"/>
        <v>0</v>
      </c>
      <c r="CZ171" s="52" t="str">
        <f t="shared" si="19"/>
        <v/>
      </c>
      <c r="DA171" s="58"/>
      <c r="DB171" s="52"/>
      <c r="DC171" s="52"/>
      <c r="DD171" s="52"/>
      <c r="DE171" s="52"/>
      <c r="DF171" s="52"/>
      <c r="DG171" s="52"/>
      <c r="DH171" s="52"/>
      <c r="DI171" s="52"/>
      <c r="DJ171" s="52"/>
      <c r="DK171" s="52"/>
      <c r="DL171" s="52"/>
      <c r="DM171" s="52"/>
      <c r="DN171" s="52"/>
      <c r="DO171" s="52"/>
      <c r="DP171" s="52"/>
      <c r="DQ171" s="52"/>
      <c r="DR171" s="52"/>
      <c r="DS171" s="52"/>
      <c r="DT171" s="52"/>
      <c r="DU171" s="52"/>
      <c r="DV171" s="52"/>
      <c r="DW171" s="52"/>
    </row>
    <row r="172">
      <c r="A172" s="22" t="s">
        <v>55</v>
      </c>
      <c r="B172" s="23" t="s">
        <v>56</v>
      </c>
      <c r="C172" s="31" t="s">
        <v>497</v>
      </c>
      <c r="D172" s="25" t="str">
        <f>IFERROR(__xludf.DUMMYFUNCTION("SPLIT(C172,"" "")"),"Norcross,")</f>
        <v>Norcross,</v>
      </c>
      <c r="E172" s="22" t="str">
        <f>IFERROR(__xludf.DUMMYFUNCTION("""COMPUTED_VALUE"""),"Chuck
506")</f>
        <v>Chuck
506</v>
      </c>
      <c r="F172" s="22" t="str">
        <f>IFERROR(__xludf.DUMMYFUNCTION("""COMPUTED_VALUE"""),"Woolsey")</f>
        <v>Woolsey</v>
      </c>
      <c r="G172" s="22" t="str">
        <f>IFERROR(__xludf.DUMMYFUNCTION("""COMPUTED_VALUE"""),"Dr.
Dallas,")</f>
        <v>Dr.
Dallas,</v>
      </c>
      <c r="H172" s="22" t="str">
        <f>IFERROR(__xludf.DUMMYFUNCTION("""COMPUTED_VALUE"""),"TX")</f>
        <v>TX</v>
      </c>
      <c r="I172" s="22">
        <f>IFERROR(__xludf.DUMMYFUNCTION("""COMPUTED_VALUE"""),75224.0)</f>
        <v>75224</v>
      </c>
      <c r="J172" s="22"/>
      <c r="K172" s="22"/>
      <c r="L172" s="22"/>
      <c r="M172" s="22"/>
      <c r="N172" s="22"/>
      <c r="O172" s="22"/>
      <c r="P172" s="22"/>
      <c r="Q172" s="22"/>
      <c r="R172" s="22"/>
      <c r="S172" s="22"/>
      <c r="T172" s="22"/>
      <c r="U172" s="24" t="str">
        <f>IFERROR(__xludf.DUMMYFUNCTION("SPLIT(E172,""01234567890"")"),"Chuck
")</f>
        <v>Chuck
</v>
      </c>
      <c r="V172" s="24" t="str">
        <f>IFERROR(__xludf.DUMMYFUNCTION("SPLIT(D172,"","")"),"Norcross")</f>
        <v>Norcross</v>
      </c>
      <c r="W172" s="25" t="str">
        <f t="shared" si="1"/>
        <v>CHUCK
 NORCROSS</v>
      </c>
      <c r="X172" s="25" t="s">
        <v>498</v>
      </c>
      <c r="Y172" s="25">
        <v>75224.0</v>
      </c>
      <c r="Z172" s="25" t="str">
        <f>IFERROR(__xludf.DUMMYFUNCTION("SPLIT(C172,""
"")"),"Norcross, Chuck")</f>
        <v>Norcross, Chuck</v>
      </c>
      <c r="AA172" s="25" t="str">
        <f>IFERROR(__xludf.DUMMYFUNCTION("""COMPUTED_VALUE"""),"506 Woolsey Dr.")</f>
        <v>506 Woolsey Dr.</v>
      </c>
      <c r="AB172" s="25" t="str">
        <f>IFERROR(__xludf.DUMMYFUNCTION("""COMPUTED_VALUE"""),"Dallas, TX 75224")</f>
        <v>Dallas, TX 75224</v>
      </c>
      <c r="AC172" s="24" t="s">
        <v>499</v>
      </c>
      <c r="AD172" s="25"/>
      <c r="AE172" s="25"/>
      <c r="AF172" s="25"/>
      <c r="AG172" s="22" t="s">
        <v>60</v>
      </c>
      <c r="AH172" s="54">
        <v>2441.0</v>
      </c>
      <c r="AI172" s="22" t="s">
        <v>61</v>
      </c>
      <c r="AJ172" s="27">
        <v>500.0</v>
      </c>
      <c r="AK172" s="31" t="s">
        <v>21</v>
      </c>
      <c r="AL172" s="28">
        <v>44722.0</v>
      </c>
      <c r="AM172" s="29">
        <v>44756.4640625</v>
      </c>
      <c r="AN172" s="30">
        <v>2.0</v>
      </c>
      <c r="AO172" s="22"/>
      <c r="AP172" s="22"/>
      <c r="AQ172" s="22"/>
      <c r="AR172" s="22"/>
      <c r="AS172" s="40"/>
      <c r="AT172" s="47"/>
      <c r="AU172" s="22"/>
      <c r="AV172" s="57" t="str">
        <f>IFERROR(__xludf.DUMMYFUNCTION("""COMPUTED_VALUE"""),"Deason")</f>
        <v>Deason</v>
      </c>
      <c r="AW172" s="46">
        <f t="shared" si="7"/>
        <v>20000</v>
      </c>
      <c r="AX172" s="47">
        <f t="shared" ref="AX172:BQ172" si="626">SUMIFS($AJ:$AJ,$V:$V,$AV172,$AK:$AK,AX$2)</f>
        <v>0</v>
      </c>
      <c r="AY172" s="48">
        <f t="shared" si="626"/>
        <v>0</v>
      </c>
      <c r="AZ172" s="48">
        <f t="shared" si="626"/>
        <v>0</v>
      </c>
      <c r="BA172" s="48">
        <f t="shared" si="626"/>
        <v>0</v>
      </c>
      <c r="BB172" s="48">
        <f t="shared" si="626"/>
        <v>20000</v>
      </c>
      <c r="BC172" s="48">
        <f t="shared" si="626"/>
        <v>0</v>
      </c>
      <c r="BD172" s="48">
        <f t="shared" si="626"/>
        <v>0</v>
      </c>
      <c r="BE172" s="48">
        <f t="shared" si="626"/>
        <v>0</v>
      </c>
      <c r="BF172" s="48">
        <f t="shared" si="626"/>
        <v>0</v>
      </c>
      <c r="BG172" s="48">
        <f t="shared" si="626"/>
        <v>0</v>
      </c>
      <c r="BH172" s="48">
        <f t="shared" si="626"/>
        <v>0</v>
      </c>
      <c r="BI172" s="48">
        <f t="shared" si="626"/>
        <v>0</v>
      </c>
      <c r="BJ172" s="48">
        <f t="shared" si="626"/>
        <v>0</v>
      </c>
      <c r="BK172" s="48">
        <f t="shared" si="626"/>
        <v>0</v>
      </c>
      <c r="BL172" s="48">
        <f t="shared" si="626"/>
        <v>0</v>
      </c>
      <c r="BM172" s="48">
        <f t="shared" si="626"/>
        <v>0</v>
      </c>
      <c r="BN172" s="48">
        <f t="shared" si="626"/>
        <v>0</v>
      </c>
      <c r="BO172" s="48">
        <f t="shared" si="626"/>
        <v>0</v>
      </c>
      <c r="BP172" s="48">
        <f t="shared" si="626"/>
        <v>0</v>
      </c>
      <c r="BQ172" s="48">
        <f t="shared" si="626"/>
        <v>0</v>
      </c>
      <c r="BR172" s="36">
        <f t="shared" si="9"/>
        <v>1</v>
      </c>
      <c r="BS172" s="38">
        <f t="shared" si="10"/>
        <v>3</v>
      </c>
      <c r="BT172" s="49">
        <f t="shared" si="11"/>
        <v>0</v>
      </c>
      <c r="BU172" s="38">
        <f t="shared" si="12"/>
        <v>3000</v>
      </c>
      <c r="BV172" s="57" t="str">
        <f>IFERROR(__xludf.DUMMYFUNCTION("""COMPUTED_VALUE"""),"Deason")</f>
        <v>Deason</v>
      </c>
      <c r="BW172" s="46">
        <f t="shared" si="13"/>
        <v>20000</v>
      </c>
      <c r="BX172" s="47">
        <f t="shared" ref="BX172:CA172" si="627">AX172-$BU172</f>
        <v>-3000</v>
      </c>
      <c r="BY172" s="47">
        <f t="shared" si="627"/>
        <v>-3000</v>
      </c>
      <c r="BZ172" s="47">
        <f t="shared" si="627"/>
        <v>-3000</v>
      </c>
      <c r="CA172" s="47">
        <f t="shared" si="627"/>
        <v>-3000</v>
      </c>
      <c r="CB172" s="47">
        <f t="shared" si="15"/>
        <v>-10000</v>
      </c>
      <c r="CC172" s="47">
        <f t="shared" ref="CC172:CQ172" si="628">BC172-$BU172</f>
        <v>-3000</v>
      </c>
      <c r="CD172" s="47">
        <f t="shared" si="628"/>
        <v>-3000</v>
      </c>
      <c r="CE172" s="47">
        <f t="shared" si="628"/>
        <v>-3000</v>
      </c>
      <c r="CF172" s="47">
        <f t="shared" si="628"/>
        <v>-3000</v>
      </c>
      <c r="CG172" s="47">
        <f t="shared" si="628"/>
        <v>-3000</v>
      </c>
      <c r="CH172" s="47">
        <f t="shared" si="628"/>
        <v>-3000</v>
      </c>
      <c r="CI172" s="47">
        <f t="shared" si="628"/>
        <v>-3000</v>
      </c>
      <c r="CJ172" s="47">
        <f t="shared" si="628"/>
        <v>-3000</v>
      </c>
      <c r="CK172" s="47">
        <f t="shared" si="628"/>
        <v>-3000</v>
      </c>
      <c r="CL172" s="47">
        <f t="shared" si="628"/>
        <v>-3000</v>
      </c>
      <c r="CM172" s="47">
        <f t="shared" si="628"/>
        <v>-3000</v>
      </c>
      <c r="CN172" s="47">
        <f t="shared" si="628"/>
        <v>-3000</v>
      </c>
      <c r="CO172" s="47">
        <f t="shared" si="628"/>
        <v>-3000</v>
      </c>
      <c r="CP172" s="47">
        <f t="shared" si="628"/>
        <v>-3000</v>
      </c>
      <c r="CQ172" s="47">
        <f t="shared" si="628"/>
        <v>-3000</v>
      </c>
      <c r="CR172" s="47"/>
      <c r="CS172" s="47"/>
      <c r="CT172" s="47"/>
      <c r="CU172" s="50" t="str">
        <f>IFERROR(__xludf.DUMMYFUNCTION("""COMPUTED_VALUE"""),"1650 Oak Knoll St.
Dallas, TX 75208         ")</f>
        <v>1650 Oak Knoll St.
Dallas, TX 75208         </v>
      </c>
      <c r="CV172" s="51">
        <f>IFERROR(__xludf.DUMMYFUNCTION("IF(REGEXMATCH(UPPER(CU172), ""TX""),0,1)"),0.0)</f>
        <v>0</v>
      </c>
      <c r="CW172" s="51">
        <f>IFERROR(__xludf.DUMMYFUNCTION("IF(REGEXMATCH(UPPER(CU172), ""DALLAS""),0,1)"),0.0)</f>
        <v>0</v>
      </c>
      <c r="CX172" s="51">
        <f t="shared" si="17"/>
        <v>0</v>
      </c>
      <c r="CY172" s="51">
        <f t="shared" si="18"/>
        <v>0</v>
      </c>
      <c r="CZ172" s="52" t="str">
        <f t="shared" si="19"/>
        <v/>
      </c>
      <c r="DA172" s="58"/>
      <c r="DB172" s="52"/>
      <c r="DC172" s="52"/>
      <c r="DD172" s="52"/>
      <c r="DE172" s="52"/>
      <c r="DF172" s="52"/>
      <c r="DG172" s="52"/>
      <c r="DH172" s="52"/>
      <c r="DI172" s="52"/>
      <c r="DJ172" s="52"/>
      <c r="DK172" s="52"/>
      <c r="DL172" s="52"/>
      <c r="DM172" s="52"/>
      <c r="DN172" s="52"/>
      <c r="DO172" s="52"/>
      <c r="DP172" s="52"/>
      <c r="DQ172" s="52"/>
      <c r="DR172" s="52"/>
      <c r="DS172" s="52"/>
      <c r="DT172" s="52"/>
      <c r="DU172" s="52"/>
      <c r="DV172" s="52"/>
      <c r="DW172" s="52"/>
    </row>
    <row r="173">
      <c r="A173" s="40" t="s">
        <v>55</v>
      </c>
      <c r="B173" s="41" t="s">
        <v>56</v>
      </c>
      <c r="C173" s="31" t="s">
        <v>500</v>
      </c>
      <c r="D173" s="25" t="str">
        <f>IFERROR(__xludf.DUMMYFUNCTION("SPLIT(C173,"" "")"),"Melton,")</f>
        <v>Melton,</v>
      </c>
      <c r="E173" s="40" t="str">
        <f>IFERROR(__xludf.DUMMYFUNCTION("""COMPUTED_VALUE"""),"Michael
3804")</f>
        <v>Michael
3804</v>
      </c>
      <c r="F173" s="40" t="str">
        <f>IFERROR(__xludf.DUMMYFUNCTION("""COMPUTED_VALUE"""),"Immel")</f>
        <v>Immel</v>
      </c>
      <c r="G173" s="40" t="str">
        <f>IFERROR(__xludf.DUMMYFUNCTION("""COMPUTED_VALUE"""),"Dr.
Flower")</f>
        <v>Dr.
Flower</v>
      </c>
      <c r="H173" s="40" t="str">
        <f>IFERROR(__xludf.DUMMYFUNCTION("""COMPUTED_VALUE"""),"Mound,")</f>
        <v>Mound,</v>
      </c>
      <c r="I173" s="40" t="str">
        <f>IFERROR(__xludf.DUMMYFUNCTION("""COMPUTED_VALUE"""),"TX")</f>
        <v>TX</v>
      </c>
      <c r="J173" s="40">
        <f>IFERROR(__xludf.DUMMYFUNCTION("""COMPUTED_VALUE"""),75022.0)</f>
        <v>75022</v>
      </c>
      <c r="K173" s="40"/>
      <c r="L173" s="40"/>
      <c r="M173" s="40"/>
      <c r="N173" s="40"/>
      <c r="O173" s="40"/>
      <c r="P173" s="40"/>
      <c r="Q173" s="40"/>
      <c r="R173" s="40"/>
      <c r="S173" s="40"/>
      <c r="T173" s="40"/>
      <c r="U173" s="24" t="str">
        <f>IFERROR(__xludf.DUMMYFUNCTION("SPLIT(E173,""01234567890"")"),"Michael
")</f>
        <v>Michael
</v>
      </c>
      <c r="V173" s="24" t="str">
        <f>IFERROR(__xludf.DUMMYFUNCTION("SPLIT(D173,"","")"),"Melton")</f>
        <v>Melton</v>
      </c>
      <c r="W173" s="25" t="str">
        <f t="shared" si="1"/>
        <v>MICHAEL
 MELTON</v>
      </c>
      <c r="X173" s="25" t="s">
        <v>501</v>
      </c>
      <c r="Y173" s="25">
        <v>75022.0</v>
      </c>
      <c r="Z173" s="25" t="str">
        <f>IFERROR(__xludf.DUMMYFUNCTION("SPLIT(C173,""
"")"),"Melton, Michael")</f>
        <v>Melton, Michael</v>
      </c>
      <c r="AA173" s="25" t="str">
        <f>IFERROR(__xludf.DUMMYFUNCTION("""COMPUTED_VALUE"""),"3804 Immel Dr.")</f>
        <v>3804 Immel Dr.</v>
      </c>
      <c r="AB173" s="25" t="str">
        <f>IFERROR(__xludf.DUMMYFUNCTION("""COMPUTED_VALUE"""),"Flower Mound, TX 75022")</f>
        <v>Flower Mound, TX 75022</v>
      </c>
      <c r="AC173" s="24" t="s">
        <v>502</v>
      </c>
      <c r="AD173" s="25"/>
      <c r="AE173" s="25"/>
      <c r="AF173" s="25"/>
      <c r="AG173" s="40" t="s">
        <v>60</v>
      </c>
      <c r="AH173" s="42">
        <v>2441.0</v>
      </c>
      <c r="AI173" s="40" t="s">
        <v>61</v>
      </c>
      <c r="AJ173" s="27">
        <v>500.0</v>
      </c>
      <c r="AK173" s="31" t="s">
        <v>21</v>
      </c>
      <c r="AL173" s="43">
        <v>44722.0</v>
      </c>
      <c r="AM173" s="44">
        <v>44756.4640625</v>
      </c>
      <c r="AN173" s="30">
        <v>2.0</v>
      </c>
      <c r="AO173" s="40"/>
      <c r="AP173" s="40"/>
      <c r="AQ173" s="40"/>
      <c r="AR173" s="40"/>
      <c r="AU173" s="40"/>
      <c r="AV173" s="46" t="str">
        <f>IFERROR(__xludf.DUMMYFUNCTION("""COMPUTED_VALUE"""),"Elk")</f>
        <v>Elk</v>
      </c>
      <c r="AW173" s="46">
        <f t="shared" si="7"/>
        <v>1000</v>
      </c>
      <c r="AX173" s="47">
        <f t="shared" ref="AX173:BQ173" si="629">SUMIFS($AJ:$AJ,$V:$V,$AV173,$AK:$AK,AX$2)</f>
        <v>0</v>
      </c>
      <c r="AY173" s="48">
        <f t="shared" si="629"/>
        <v>0</v>
      </c>
      <c r="AZ173" s="48">
        <f t="shared" si="629"/>
        <v>0</v>
      </c>
      <c r="BA173" s="48">
        <f t="shared" si="629"/>
        <v>0</v>
      </c>
      <c r="BB173" s="48">
        <f t="shared" si="629"/>
        <v>1000</v>
      </c>
      <c r="BC173" s="48">
        <f t="shared" si="629"/>
        <v>0</v>
      </c>
      <c r="BD173" s="48">
        <f t="shared" si="629"/>
        <v>0</v>
      </c>
      <c r="BE173" s="48">
        <f t="shared" si="629"/>
        <v>0</v>
      </c>
      <c r="BF173" s="48">
        <f t="shared" si="629"/>
        <v>0</v>
      </c>
      <c r="BG173" s="48">
        <f t="shared" si="629"/>
        <v>0</v>
      </c>
      <c r="BH173" s="48">
        <f t="shared" si="629"/>
        <v>0</v>
      </c>
      <c r="BI173" s="48">
        <f t="shared" si="629"/>
        <v>0</v>
      </c>
      <c r="BJ173" s="48">
        <f t="shared" si="629"/>
        <v>0</v>
      </c>
      <c r="BK173" s="48">
        <f t="shared" si="629"/>
        <v>0</v>
      </c>
      <c r="BL173" s="48">
        <f t="shared" si="629"/>
        <v>0</v>
      </c>
      <c r="BM173" s="48">
        <f t="shared" si="629"/>
        <v>0</v>
      </c>
      <c r="BN173" s="48">
        <f t="shared" si="629"/>
        <v>0</v>
      </c>
      <c r="BO173" s="48">
        <f t="shared" si="629"/>
        <v>0</v>
      </c>
      <c r="BP173" s="48">
        <f t="shared" si="629"/>
        <v>0</v>
      </c>
      <c r="BQ173" s="48">
        <f t="shared" si="629"/>
        <v>0</v>
      </c>
      <c r="BR173" s="36">
        <f t="shared" si="9"/>
        <v>0</v>
      </c>
      <c r="BS173" s="38">
        <f t="shared" si="10"/>
        <v>1</v>
      </c>
      <c r="BT173" s="49">
        <f t="shared" si="11"/>
        <v>0</v>
      </c>
      <c r="BU173" s="38">
        <f t="shared" si="12"/>
        <v>1000</v>
      </c>
      <c r="BV173" s="46" t="str">
        <f>IFERROR(__xludf.DUMMYFUNCTION("""COMPUTED_VALUE"""),"Elk")</f>
        <v>Elk</v>
      </c>
      <c r="BW173" s="46">
        <f t="shared" si="13"/>
        <v>1000</v>
      </c>
      <c r="BX173" s="47">
        <f t="shared" ref="BX173:CA173" si="630">AX173-$BU173</f>
        <v>-1000</v>
      </c>
      <c r="BY173" s="47">
        <f t="shared" si="630"/>
        <v>-1000</v>
      </c>
      <c r="BZ173" s="47">
        <f t="shared" si="630"/>
        <v>-1000</v>
      </c>
      <c r="CA173" s="47">
        <f t="shared" si="630"/>
        <v>-1000</v>
      </c>
      <c r="CB173" s="47">
        <f t="shared" si="15"/>
        <v>-9000</v>
      </c>
      <c r="CC173" s="47">
        <f t="shared" ref="CC173:CQ173" si="631">BC173-$BU173</f>
        <v>-1000</v>
      </c>
      <c r="CD173" s="47">
        <f t="shared" si="631"/>
        <v>-1000</v>
      </c>
      <c r="CE173" s="47">
        <f t="shared" si="631"/>
        <v>-1000</v>
      </c>
      <c r="CF173" s="47">
        <f t="shared" si="631"/>
        <v>-1000</v>
      </c>
      <c r="CG173" s="47">
        <f t="shared" si="631"/>
        <v>-1000</v>
      </c>
      <c r="CH173" s="47">
        <f t="shared" si="631"/>
        <v>-1000</v>
      </c>
      <c r="CI173" s="47">
        <f t="shared" si="631"/>
        <v>-1000</v>
      </c>
      <c r="CJ173" s="47">
        <f t="shared" si="631"/>
        <v>-1000</v>
      </c>
      <c r="CK173" s="47">
        <f t="shared" si="631"/>
        <v>-1000</v>
      </c>
      <c r="CL173" s="47">
        <f t="shared" si="631"/>
        <v>-1000</v>
      </c>
      <c r="CM173" s="47">
        <f t="shared" si="631"/>
        <v>-1000</v>
      </c>
      <c r="CN173" s="47">
        <f t="shared" si="631"/>
        <v>-1000</v>
      </c>
      <c r="CO173" s="47">
        <f t="shared" si="631"/>
        <v>-1000</v>
      </c>
      <c r="CP173" s="47">
        <f t="shared" si="631"/>
        <v>-1000</v>
      </c>
      <c r="CQ173" s="47">
        <f t="shared" si="631"/>
        <v>-1000</v>
      </c>
      <c r="CR173" s="47"/>
      <c r="CS173" s="47"/>
      <c r="CT173" s="47"/>
      <c r="CU173" s="50" t="str">
        <f>IFERROR(__xludf.DUMMYFUNCTION("""COMPUTED_VALUE"""),"300 E. Round Grove Rd.
Lewisville, TX 75067        ")</f>
        <v>300 E. Round Grove Rd.
Lewisville, TX 75067        </v>
      </c>
      <c r="CV173" s="51">
        <f>IFERROR(__xludf.DUMMYFUNCTION("IF(REGEXMATCH(UPPER(CU173), ""TX""),0,1)"),0.0)</f>
        <v>0</v>
      </c>
      <c r="CW173" s="51">
        <f>IFERROR(__xludf.DUMMYFUNCTION("IF(REGEXMATCH(UPPER(CU173), ""DALLAS""),0,1)"),1.0)</f>
        <v>1</v>
      </c>
      <c r="CX173" s="51">
        <f t="shared" si="17"/>
        <v>0</v>
      </c>
      <c r="CY173" s="51">
        <f t="shared" si="18"/>
        <v>950</v>
      </c>
      <c r="CZ173" s="52" t="str">
        <f t="shared" si="19"/>
        <v>300 E. Round Grove Rd.
Lewisville, TX 75067        </v>
      </c>
      <c r="DA173" s="58"/>
      <c r="DB173" s="52"/>
      <c r="DC173" s="52"/>
      <c r="DD173" s="52"/>
      <c r="DE173" s="52"/>
      <c r="DF173" s="52"/>
      <c r="DG173" s="52"/>
      <c r="DH173" s="52"/>
      <c r="DI173" s="52"/>
      <c r="DJ173" s="52"/>
      <c r="DK173" s="52"/>
      <c r="DL173" s="52"/>
      <c r="DM173" s="52"/>
      <c r="DN173" s="52"/>
      <c r="DO173" s="52"/>
      <c r="DP173" s="52"/>
      <c r="DQ173" s="52"/>
      <c r="DR173" s="52"/>
      <c r="DS173" s="52"/>
      <c r="DT173" s="52"/>
      <c r="DU173" s="52"/>
      <c r="DV173" s="52"/>
      <c r="DW173" s="52"/>
    </row>
    <row r="174">
      <c r="A174" s="22" t="s">
        <v>55</v>
      </c>
      <c r="B174" s="23" t="s">
        <v>56</v>
      </c>
      <c r="C174" s="31" t="s">
        <v>503</v>
      </c>
      <c r="D174" s="25" t="str">
        <f>IFERROR(__xludf.DUMMYFUNCTION("SPLIT(C174,"" "")"),"Marsh,")</f>
        <v>Marsh,</v>
      </c>
      <c r="E174" s="22" t="str">
        <f>IFERROR(__xludf.DUMMYFUNCTION("""COMPUTED_VALUE"""),"Whitney
1610")</f>
        <v>Whitney
1610</v>
      </c>
      <c r="F174" s="22" t="str">
        <f>IFERROR(__xludf.DUMMYFUNCTION("""COMPUTED_VALUE"""),"Cascade")</f>
        <v>Cascade</v>
      </c>
      <c r="G174" s="22" t="str">
        <f>IFERROR(__xludf.DUMMYFUNCTION("""COMPUTED_VALUE"""),"Ave.
Dallas,")</f>
        <v>Ave.
Dallas,</v>
      </c>
      <c r="H174" s="22" t="str">
        <f>IFERROR(__xludf.DUMMYFUNCTION("""COMPUTED_VALUE"""),"TX")</f>
        <v>TX</v>
      </c>
      <c r="I174" s="22">
        <f>IFERROR(__xludf.DUMMYFUNCTION("""COMPUTED_VALUE"""),75224.0)</f>
        <v>75224</v>
      </c>
      <c r="J174" s="22"/>
      <c r="K174" s="22"/>
      <c r="L174" s="22"/>
      <c r="M174" s="22"/>
      <c r="N174" s="22"/>
      <c r="O174" s="22"/>
      <c r="P174" s="22"/>
      <c r="Q174" s="22"/>
      <c r="R174" s="22"/>
      <c r="S174" s="22"/>
      <c r="T174" s="22"/>
      <c r="U174" s="24" t="str">
        <f>IFERROR(__xludf.DUMMYFUNCTION("SPLIT(E174,""01234567890"")"),"Whitney
")</f>
        <v>Whitney
</v>
      </c>
      <c r="V174" s="24" t="str">
        <f>IFERROR(__xludf.DUMMYFUNCTION("SPLIT(D174,"","")"),"Marsh")</f>
        <v>Marsh</v>
      </c>
      <c r="W174" s="25" t="str">
        <f t="shared" si="1"/>
        <v>WHITNEY
 MARSH</v>
      </c>
      <c r="X174" s="25" t="s">
        <v>504</v>
      </c>
      <c r="Y174" s="25">
        <v>75224.0</v>
      </c>
      <c r="Z174" s="25" t="str">
        <f>IFERROR(__xludf.DUMMYFUNCTION("SPLIT(C174,""
"")"),"Marsh, Whitney")</f>
        <v>Marsh, Whitney</v>
      </c>
      <c r="AA174" s="25" t="str">
        <f>IFERROR(__xludf.DUMMYFUNCTION("""COMPUTED_VALUE"""),"1610 Cascade Ave.")</f>
        <v>1610 Cascade Ave.</v>
      </c>
      <c r="AB174" s="25" t="str">
        <f>IFERROR(__xludf.DUMMYFUNCTION("""COMPUTED_VALUE"""),"Dallas, TX 75224")</f>
        <v>Dallas, TX 75224</v>
      </c>
      <c r="AC174" s="24" t="s">
        <v>505</v>
      </c>
      <c r="AD174" s="25"/>
      <c r="AE174" s="25"/>
      <c r="AF174" s="25"/>
      <c r="AG174" s="22" t="s">
        <v>60</v>
      </c>
      <c r="AH174" s="54">
        <v>2441.0</v>
      </c>
      <c r="AI174" s="22" t="s">
        <v>61</v>
      </c>
      <c r="AJ174" s="27">
        <v>500.0</v>
      </c>
      <c r="AK174" s="31" t="s">
        <v>21</v>
      </c>
      <c r="AL174" s="28">
        <v>44722.0</v>
      </c>
      <c r="AM174" s="29">
        <v>44756.4640625</v>
      </c>
      <c r="AN174" s="30">
        <v>2.0</v>
      </c>
      <c r="AO174" s="22"/>
      <c r="AP174" s="22"/>
      <c r="AQ174" s="22"/>
      <c r="AR174" s="22"/>
      <c r="AS174" s="22"/>
      <c r="AT174" s="70"/>
      <c r="AU174" s="22"/>
      <c r="AV174" s="57" t="str">
        <f>IFERROR(__xludf.DUMMYFUNCTION("""COMPUTED_VALUE"""),"Feyer")</f>
        <v>Feyer</v>
      </c>
      <c r="AW174" s="46">
        <f t="shared" si="7"/>
        <v>100</v>
      </c>
      <c r="AX174" s="47">
        <f t="shared" ref="AX174:BQ174" si="632">SUMIFS($AJ:$AJ,$V:$V,$AV174,$AK:$AK,AX$2)</f>
        <v>0</v>
      </c>
      <c r="AY174" s="48">
        <f t="shared" si="632"/>
        <v>0</v>
      </c>
      <c r="AZ174" s="48">
        <f t="shared" si="632"/>
        <v>0</v>
      </c>
      <c r="BA174" s="48">
        <f t="shared" si="632"/>
        <v>0</v>
      </c>
      <c r="BB174" s="48">
        <f t="shared" si="632"/>
        <v>100</v>
      </c>
      <c r="BC174" s="48">
        <f t="shared" si="632"/>
        <v>0</v>
      </c>
      <c r="BD174" s="48">
        <f t="shared" si="632"/>
        <v>0</v>
      </c>
      <c r="BE174" s="48">
        <f t="shared" si="632"/>
        <v>0</v>
      </c>
      <c r="BF174" s="48">
        <f t="shared" si="632"/>
        <v>0</v>
      </c>
      <c r="BG174" s="48">
        <f t="shared" si="632"/>
        <v>0</v>
      </c>
      <c r="BH174" s="48">
        <f t="shared" si="632"/>
        <v>0</v>
      </c>
      <c r="BI174" s="48">
        <f t="shared" si="632"/>
        <v>0</v>
      </c>
      <c r="BJ174" s="48">
        <f t="shared" si="632"/>
        <v>0</v>
      </c>
      <c r="BK174" s="48">
        <f t="shared" si="632"/>
        <v>0</v>
      </c>
      <c r="BL174" s="48">
        <f t="shared" si="632"/>
        <v>0</v>
      </c>
      <c r="BM174" s="48">
        <f t="shared" si="632"/>
        <v>0</v>
      </c>
      <c r="BN174" s="48">
        <f t="shared" si="632"/>
        <v>0</v>
      </c>
      <c r="BO174" s="48">
        <f t="shared" si="632"/>
        <v>0</v>
      </c>
      <c r="BP174" s="48">
        <f t="shared" si="632"/>
        <v>0</v>
      </c>
      <c r="BQ174" s="48">
        <f t="shared" si="632"/>
        <v>0</v>
      </c>
      <c r="BR174" s="36">
        <f t="shared" si="9"/>
        <v>0</v>
      </c>
      <c r="BS174" s="38">
        <f t="shared" si="10"/>
        <v>1</v>
      </c>
      <c r="BT174" s="49">
        <f t="shared" si="11"/>
        <v>0</v>
      </c>
      <c r="BU174" s="38">
        <f t="shared" si="12"/>
        <v>1000</v>
      </c>
      <c r="BV174" s="57" t="str">
        <f>IFERROR(__xludf.DUMMYFUNCTION("""COMPUTED_VALUE"""),"Feyer")</f>
        <v>Feyer</v>
      </c>
      <c r="BW174" s="46">
        <f t="shared" si="13"/>
        <v>100</v>
      </c>
      <c r="BX174" s="47">
        <f t="shared" ref="BX174:CA174" si="633">AX174-$BU174</f>
        <v>-1000</v>
      </c>
      <c r="BY174" s="47">
        <f t="shared" si="633"/>
        <v>-1000</v>
      </c>
      <c r="BZ174" s="47">
        <f t="shared" si="633"/>
        <v>-1000</v>
      </c>
      <c r="CA174" s="47">
        <f t="shared" si="633"/>
        <v>-1000</v>
      </c>
      <c r="CB174" s="47">
        <f t="shared" si="15"/>
        <v>-9900</v>
      </c>
      <c r="CC174" s="47">
        <f t="shared" ref="CC174:CQ174" si="634">BC174-$BU174</f>
        <v>-1000</v>
      </c>
      <c r="CD174" s="47">
        <f t="shared" si="634"/>
        <v>-1000</v>
      </c>
      <c r="CE174" s="47">
        <f t="shared" si="634"/>
        <v>-1000</v>
      </c>
      <c r="CF174" s="47">
        <f t="shared" si="634"/>
        <v>-1000</v>
      </c>
      <c r="CG174" s="47">
        <f t="shared" si="634"/>
        <v>-1000</v>
      </c>
      <c r="CH174" s="47">
        <f t="shared" si="634"/>
        <v>-1000</v>
      </c>
      <c r="CI174" s="47">
        <f t="shared" si="634"/>
        <v>-1000</v>
      </c>
      <c r="CJ174" s="47">
        <f t="shared" si="634"/>
        <v>-1000</v>
      </c>
      <c r="CK174" s="47">
        <f t="shared" si="634"/>
        <v>-1000</v>
      </c>
      <c r="CL174" s="47">
        <f t="shared" si="634"/>
        <v>-1000</v>
      </c>
      <c r="CM174" s="47">
        <f t="shared" si="634"/>
        <v>-1000</v>
      </c>
      <c r="CN174" s="47">
        <f t="shared" si="634"/>
        <v>-1000</v>
      </c>
      <c r="CO174" s="47">
        <f t="shared" si="634"/>
        <v>-1000</v>
      </c>
      <c r="CP174" s="47">
        <f t="shared" si="634"/>
        <v>-1000</v>
      </c>
      <c r="CQ174" s="47">
        <f t="shared" si="634"/>
        <v>-1000</v>
      </c>
      <c r="CR174" s="47"/>
      <c r="CS174" s="47"/>
      <c r="CT174" s="47"/>
      <c r="CU174" s="50" t="str">
        <f>IFERROR(__xludf.DUMMYFUNCTION("""COMPUTED_VALUE"""),"907 Stevens Woods Ct.
Dallas, TX 75208         ")</f>
        <v>907 Stevens Woods Ct.
Dallas, TX 75208         </v>
      </c>
      <c r="CV174" s="51">
        <f>IFERROR(__xludf.DUMMYFUNCTION("IF(REGEXMATCH(UPPER(CU174), ""TX""),0,1)"),0.0)</f>
        <v>0</v>
      </c>
      <c r="CW174" s="51">
        <f>IFERROR(__xludf.DUMMYFUNCTION("IF(REGEXMATCH(UPPER(CU174), ""DALLAS""),0,1)"),0.0)</f>
        <v>0</v>
      </c>
      <c r="CX174" s="51">
        <f t="shared" si="17"/>
        <v>0</v>
      </c>
      <c r="CY174" s="51">
        <f t="shared" si="18"/>
        <v>0</v>
      </c>
      <c r="CZ174" s="52" t="str">
        <f t="shared" si="19"/>
        <v/>
      </c>
      <c r="DA174" s="58"/>
      <c r="DB174" s="52"/>
      <c r="DC174" s="52"/>
      <c r="DD174" s="52"/>
      <c r="DE174" s="52"/>
      <c r="DF174" s="52"/>
      <c r="DG174" s="52"/>
      <c r="DH174" s="52"/>
      <c r="DI174" s="52"/>
      <c r="DJ174" s="52"/>
      <c r="DK174" s="52"/>
      <c r="DL174" s="52"/>
      <c r="DM174" s="52"/>
      <c r="DN174" s="52"/>
      <c r="DO174" s="52"/>
      <c r="DP174" s="52"/>
      <c r="DQ174" s="52"/>
      <c r="DR174" s="52"/>
      <c r="DS174" s="52"/>
      <c r="DT174" s="52"/>
      <c r="DU174" s="52"/>
      <c r="DV174" s="52"/>
      <c r="DW174" s="52"/>
    </row>
    <row r="175">
      <c r="A175" s="40" t="s">
        <v>55</v>
      </c>
      <c r="B175" s="41" t="s">
        <v>56</v>
      </c>
      <c r="C175" s="31" t="s">
        <v>506</v>
      </c>
      <c r="D175" s="25" t="str">
        <f>IFERROR(__xludf.DUMMYFUNCTION("SPLIT(C175,"" "")"),"Sherman,")</f>
        <v>Sherman,</v>
      </c>
      <c r="E175" s="40" t="str">
        <f>IFERROR(__xludf.DUMMYFUNCTION("""COMPUTED_VALUE"""),"Diane
107")</f>
        <v>Diane
107</v>
      </c>
      <c r="F175" s="40" t="str">
        <f>IFERROR(__xludf.DUMMYFUNCTION("""COMPUTED_VALUE"""),"N.")</f>
        <v>N.</v>
      </c>
      <c r="G175" s="40" t="str">
        <f>IFERROR(__xludf.DUMMYFUNCTION("""COMPUTED_VALUE"""),"Clinton")</f>
        <v>Clinton</v>
      </c>
      <c r="H175" s="40" t="str">
        <f>IFERROR(__xludf.DUMMYFUNCTION("""COMPUTED_VALUE"""),"Ave.
Dallas,")</f>
        <v>Ave.
Dallas,</v>
      </c>
      <c r="I175" s="40" t="str">
        <f>IFERROR(__xludf.DUMMYFUNCTION("""COMPUTED_VALUE"""),"TX")</f>
        <v>TX</v>
      </c>
      <c r="J175" s="40">
        <f>IFERROR(__xludf.DUMMYFUNCTION("""COMPUTED_VALUE"""),75208.0)</f>
        <v>75208</v>
      </c>
      <c r="K175" s="40"/>
      <c r="L175" s="40"/>
      <c r="M175" s="40"/>
      <c r="N175" s="40"/>
      <c r="O175" s="40"/>
      <c r="P175" s="40"/>
      <c r="Q175" s="40"/>
      <c r="R175" s="40"/>
      <c r="S175" s="40"/>
      <c r="T175" s="40"/>
      <c r="U175" s="24" t="str">
        <f>IFERROR(__xludf.DUMMYFUNCTION("SPLIT(E175,""01234567890"")"),"Diane
")</f>
        <v>Diane
</v>
      </c>
      <c r="V175" s="24" t="str">
        <f>IFERROR(__xludf.DUMMYFUNCTION("SPLIT(D175,"","")"),"Sherman")</f>
        <v>Sherman</v>
      </c>
      <c r="W175" s="25" t="str">
        <f t="shared" si="1"/>
        <v>DIANE
 SHERMAN</v>
      </c>
      <c r="X175" s="25" t="s">
        <v>507</v>
      </c>
      <c r="Y175" s="25">
        <v>75208.0</v>
      </c>
      <c r="Z175" s="25" t="str">
        <f>IFERROR(__xludf.DUMMYFUNCTION("SPLIT(C175,""
"")"),"Sherman, Diane")</f>
        <v>Sherman, Diane</v>
      </c>
      <c r="AA175" s="25" t="str">
        <f>IFERROR(__xludf.DUMMYFUNCTION("""COMPUTED_VALUE"""),"107 N. Clinton Ave.")</f>
        <v>107 N. Clinton Ave.</v>
      </c>
      <c r="AB175" s="25" t="str">
        <f>IFERROR(__xludf.DUMMYFUNCTION("""COMPUTED_VALUE"""),"Dallas, TX 75208")</f>
        <v>Dallas, TX 75208</v>
      </c>
      <c r="AC175" s="24" t="s">
        <v>508</v>
      </c>
      <c r="AD175" s="25"/>
      <c r="AE175" s="25"/>
      <c r="AF175" s="25"/>
      <c r="AG175" s="40" t="s">
        <v>60</v>
      </c>
      <c r="AH175" s="42">
        <v>2441.0</v>
      </c>
      <c r="AI175" s="40" t="s">
        <v>61</v>
      </c>
      <c r="AJ175" s="27">
        <v>500.0</v>
      </c>
      <c r="AK175" s="31" t="s">
        <v>21</v>
      </c>
      <c r="AL175" s="43">
        <v>44723.0</v>
      </c>
      <c r="AM175" s="44">
        <v>44756.4640625</v>
      </c>
      <c r="AN175" s="30">
        <v>2.0</v>
      </c>
      <c r="AO175" s="40"/>
      <c r="AP175" s="40"/>
      <c r="AQ175" s="40"/>
      <c r="AR175" s="40"/>
      <c r="AS175" s="40"/>
      <c r="AT175" s="47"/>
      <c r="AU175" s="40"/>
      <c r="AV175" s="46" t="str">
        <f>IFERROR(__xludf.DUMMYFUNCTION("""COMPUTED_VALUE"""),"Garraway")</f>
        <v>Garraway</v>
      </c>
      <c r="AW175" s="46">
        <f t="shared" si="7"/>
        <v>200</v>
      </c>
      <c r="AX175" s="47">
        <f t="shared" ref="AX175:BQ175" si="635">SUMIFS($AJ:$AJ,$V:$V,$AV175,$AK:$AK,AX$2)</f>
        <v>0</v>
      </c>
      <c r="AY175" s="48">
        <f t="shared" si="635"/>
        <v>0</v>
      </c>
      <c r="AZ175" s="48">
        <f t="shared" si="635"/>
        <v>0</v>
      </c>
      <c r="BA175" s="48">
        <f t="shared" si="635"/>
        <v>0</v>
      </c>
      <c r="BB175" s="48">
        <f t="shared" si="635"/>
        <v>200</v>
      </c>
      <c r="BC175" s="48">
        <f t="shared" si="635"/>
        <v>0</v>
      </c>
      <c r="BD175" s="48">
        <f t="shared" si="635"/>
        <v>0</v>
      </c>
      <c r="BE175" s="48">
        <f t="shared" si="635"/>
        <v>0</v>
      </c>
      <c r="BF175" s="48">
        <f t="shared" si="635"/>
        <v>0</v>
      </c>
      <c r="BG175" s="48">
        <f t="shared" si="635"/>
        <v>0</v>
      </c>
      <c r="BH175" s="48">
        <f t="shared" si="635"/>
        <v>0</v>
      </c>
      <c r="BI175" s="48">
        <f t="shared" si="635"/>
        <v>0</v>
      </c>
      <c r="BJ175" s="48">
        <f t="shared" si="635"/>
        <v>0</v>
      </c>
      <c r="BK175" s="48">
        <f t="shared" si="635"/>
        <v>0</v>
      </c>
      <c r="BL175" s="48">
        <f t="shared" si="635"/>
        <v>0</v>
      </c>
      <c r="BM175" s="48">
        <f t="shared" si="635"/>
        <v>0</v>
      </c>
      <c r="BN175" s="48">
        <f t="shared" si="635"/>
        <v>0</v>
      </c>
      <c r="BO175" s="48">
        <f t="shared" si="635"/>
        <v>0</v>
      </c>
      <c r="BP175" s="48">
        <f t="shared" si="635"/>
        <v>0</v>
      </c>
      <c r="BQ175" s="48">
        <f t="shared" si="635"/>
        <v>0</v>
      </c>
      <c r="BR175" s="36">
        <f t="shared" si="9"/>
        <v>0</v>
      </c>
      <c r="BS175" s="38">
        <f t="shared" si="10"/>
        <v>1</v>
      </c>
      <c r="BT175" s="49">
        <f t="shared" si="11"/>
        <v>0</v>
      </c>
      <c r="BU175" s="38">
        <f t="shared" si="12"/>
        <v>1000</v>
      </c>
      <c r="BV175" s="46" t="str">
        <f>IFERROR(__xludf.DUMMYFUNCTION("""COMPUTED_VALUE"""),"Garraway")</f>
        <v>Garraway</v>
      </c>
      <c r="BW175" s="46">
        <f t="shared" si="13"/>
        <v>200</v>
      </c>
      <c r="BX175" s="47">
        <f t="shared" ref="BX175:CA175" si="636">AX175-$BU175</f>
        <v>-1000</v>
      </c>
      <c r="BY175" s="47">
        <f t="shared" si="636"/>
        <v>-1000</v>
      </c>
      <c r="BZ175" s="47">
        <f t="shared" si="636"/>
        <v>-1000</v>
      </c>
      <c r="CA175" s="47">
        <f t="shared" si="636"/>
        <v>-1000</v>
      </c>
      <c r="CB175" s="47">
        <f t="shared" si="15"/>
        <v>-9800</v>
      </c>
      <c r="CC175" s="47">
        <f t="shared" ref="CC175:CQ175" si="637">BC175-$BU175</f>
        <v>-1000</v>
      </c>
      <c r="CD175" s="47">
        <f t="shared" si="637"/>
        <v>-1000</v>
      </c>
      <c r="CE175" s="47">
        <f t="shared" si="637"/>
        <v>-1000</v>
      </c>
      <c r="CF175" s="47">
        <f t="shared" si="637"/>
        <v>-1000</v>
      </c>
      <c r="CG175" s="47">
        <f t="shared" si="637"/>
        <v>-1000</v>
      </c>
      <c r="CH175" s="47">
        <f t="shared" si="637"/>
        <v>-1000</v>
      </c>
      <c r="CI175" s="47">
        <f t="shared" si="637"/>
        <v>-1000</v>
      </c>
      <c r="CJ175" s="47">
        <f t="shared" si="637"/>
        <v>-1000</v>
      </c>
      <c r="CK175" s="47">
        <f t="shared" si="637"/>
        <v>-1000</v>
      </c>
      <c r="CL175" s="47">
        <f t="shared" si="637"/>
        <v>-1000</v>
      </c>
      <c r="CM175" s="47">
        <f t="shared" si="637"/>
        <v>-1000</v>
      </c>
      <c r="CN175" s="47">
        <f t="shared" si="637"/>
        <v>-1000</v>
      </c>
      <c r="CO175" s="47">
        <f t="shared" si="637"/>
        <v>-1000</v>
      </c>
      <c r="CP175" s="47">
        <f t="shared" si="637"/>
        <v>-1000</v>
      </c>
      <c r="CQ175" s="47">
        <f t="shared" si="637"/>
        <v>-1000</v>
      </c>
      <c r="CR175" s="47"/>
      <c r="CS175" s="47"/>
      <c r="CT175" s="47"/>
      <c r="CU175" s="50" t="str">
        <f>IFERROR(__xludf.DUMMYFUNCTION("""COMPUTED_VALUE"""),"850 N. Clinton Ave
Dallas, TX 75208         ")</f>
        <v>850 N. Clinton Ave
Dallas, TX 75208         </v>
      </c>
      <c r="CV175" s="51">
        <f>IFERROR(__xludf.DUMMYFUNCTION("IF(REGEXMATCH(UPPER(CU175), ""TX""),0,1)"),0.0)</f>
        <v>0</v>
      </c>
      <c r="CW175" s="51">
        <f>IFERROR(__xludf.DUMMYFUNCTION("IF(REGEXMATCH(UPPER(CU175), ""DALLAS""),0,1)"),0.0)</f>
        <v>0</v>
      </c>
      <c r="CX175" s="51">
        <f t="shared" si="17"/>
        <v>0</v>
      </c>
      <c r="CY175" s="51">
        <f t="shared" si="18"/>
        <v>0</v>
      </c>
      <c r="CZ175" s="52" t="str">
        <f t="shared" si="19"/>
        <v/>
      </c>
      <c r="DA175" s="58"/>
      <c r="DB175" s="52"/>
      <c r="DC175" s="52"/>
      <c r="DD175" s="52"/>
      <c r="DE175" s="52"/>
      <c r="DF175" s="52"/>
      <c r="DG175" s="52"/>
      <c r="DH175" s="52"/>
      <c r="DI175" s="52"/>
      <c r="DJ175" s="52"/>
      <c r="DK175" s="52"/>
      <c r="DL175" s="52"/>
      <c r="DM175" s="52"/>
      <c r="DN175" s="52"/>
      <c r="DO175" s="52"/>
      <c r="DP175" s="52"/>
      <c r="DQ175" s="52"/>
      <c r="DR175" s="52"/>
      <c r="DS175" s="52"/>
      <c r="DT175" s="52"/>
      <c r="DU175" s="52"/>
      <c r="DV175" s="52"/>
      <c r="DW175" s="52"/>
    </row>
    <row r="176">
      <c r="A176" s="22" t="s">
        <v>55</v>
      </c>
      <c r="B176" s="23" t="s">
        <v>56</v>
      </c>
      <c r="C176" s="31" t="s">
        <v>509</v>
      </c>
      <c r="D176" s="25" t="str">
        <f>IFERROR(__xludf.DUMMYFUNCTION("SPLIT(C176,"" "")"),"Noltemy,")</f>
        <v>Noltemy,</v>
      </c>
      <c r="E176" s="22" t="str">
        <f>IFERROR(__xludf.DUMMYFUNCTION("""COMPUTED_VALUE"""),"Kim
2301")</f>
        <v>Kim
2301</v>
      </c>
      <c r="F176" s="22" t="str">
        <f>IFERROR(__xludf.DUMMYFUNCTION("""COMPUTED_VALUE"""),"Flora")</f>
        <v>Flora</v>
      </c>
      <c r="G176" s="22" t="str">
        <f>IFERROR(__xludf.DUMMYFUNCTION("""COMPUTED_VALUE"""),"St.
Dallas,")</f>
        <v>St.
Dallas,</v>
      </c>
      <c r="H176" s="22" t="str">
        <f>IFERROR(__xludf.DUMMYFUNCTION("""COMPUTED_VALUE"""),"TX")</f>
        <v>TX</v>
      </c>
      <c r="I176" s="22">
        <f>IFERROR(__xludf.DUMMYFUNCTION("""COMPUTED_VALUE"""),75201.0)</f>
        <v>75201</v>
      </c>
      <c r="J176" s="22"/>
      <c r="K176" s="22"/>
      <c r="L176" s="22"/>
      <c r="M176" s="22"/>
      <c r="N176" s="22"/>
      <c r="O176" s="22"/>
      <c r="P176" s="22"/>
      <c r="Q176" s="22"/>
      <c r="R176" s="22"/>
      <c r="S176" s="22"/>
      <c r="T176" s="22"/>
      <c r="U176" s="24" t="str">
        <f>IFERROR(__xludf.DUMMYFUNCTION("SPLIT(E176,""01234567890"")"),"Kim
")</f>
        <v>Kim
</v>
      </c>
      <c r="V176" s="24" t="str">
        <f>IFERROR(__xludf.DUMMYFUNCTION("SPLIT(D176,"","")"),"Noltemy")</f>
        <v>Noltemy</v>
      </c>
      <c r="W176" s="25" t="str">
        <f t="shared" si="1"/>
        <v>KIM
 NOLTEMY</v>
      </c>
      <c r="X176" s="25" t="s">
        <v>510</v>
      </c>
      <c r="Y176" s="25">
        <v>75201.0</v>
      </c>
      <c r="Z176" s="25" t="str">
        <f>IFERROR(__xludf.DUMMYFUNCTION("SPLIT(C176,""
"")"),"Noltemy, Kim")</f>
        <v>Noltemy, Kim</v>
      </c>
      <c r="AA176" s="25" t="str">
        <f>IFERROR(__xludf.DUMMYFUNCTION("""COMPUTED_VALUE"""),"2301 Flora St.")</f>
        <v>2301 Flora St.</v>
      </c>
      <c r="AB176" s="25" t="str">
        <f>IFERROR(__xludf.DUMMYFUNCTION("""COMPUTED_VALUE"""),"Dallas, TX 75201")</f>
        <v>Dallas, TX 75201</v>
      </c>
      <c r="AC176" s="24" t="s">
        <v>511</v>
      </c>
      <c r="AD176" s="25"/>
      <c r="AE176" s="25"/>
      <c r="AF176" s="25"/>
      <c r="AG176" s="22" t="s">
        <v>60</v>
      </c>
      <c r="AH176" s="54">
        <v>2441.0</v>
      </c>
      <c r="AI176" s="22" t="s">
        <v>61</v>
      </c>
      <c r="AJ176" s="27">
        <v>250.0</v>
      </c>
      <c r="AK176" s="31" t="s">
        <v>21</v>
      </c>
      <c r="AL176" s="28">
        <v>44723.0</v>
      </c>
      <c r="AM176" s="29">
        <v>44756.4640625</v>
      </c>
      <c r="AN176" s="30">
        <v>2.0</v>
      </c>
      <c r="AO176" s="22"/>
      <c r="AP176" s="22"/>
      <c r="AQ176" s="22"/>
      <c r="AR176" s="22"/>
      <c r="AS176" s="22"/>
      <c r="AT176" s="70"/>
      <c r="AU176" s="22"/>
      <c r="AV176" s="57" t="str">
        <f>IFERROR(__xludf.DUMMYFUNCTION("""COMPUTED_VALUE"""),"Glendenning")</f>
        <v>Glendenning</v>
      </c>
      <c r="AW176" s="46">
        <f t="shared" si="7"/>
        <v>4500</v>
      </c>
      <c r="AX176" s="47">
        <f t="shared" ref="AX176:BQ176" si="638">SUMIFS($AJ:$AJ,$V:$V,$AV176,$AK:$AK,AX$2)</f>
        <v>0</v>
      </c>
      <c r="AY176" s="48">
        <f t="shared" si="638"/>
        <v>0</v>
      </c>
      <c r="AZ176" s="48">
        <f t="shared" si="638"/>
        <v>0</v>
      </c>
      <c r="BA176" s="48">
        <f t="shared" si="638"/>
        <v>0</v>
      </c>
      <c r="BB176" s="48">
        <f t="shared" si="638"/>
        <v>3500</v>
      </c>
      <c r="BC176" s="48">
        <f t="shared" si="638"/>
        <v>1000</v>
      </c>
      <c r="BD176" s="48">
        <f t="shared" si="638"/>
        <v>0</v>
      </c>
      <c r="BE176" s="48">
        <f t="shared" si="638"/>
        <v>0</v>
      </c>
      <c r="BF176" s="48">
        <f t="shared" si="638"/>
        <v>0</v>
      </c>
      <c r="BG176" s="48">
        <f t="shared" si="638"/>
        <v>0</v>
      </c>
      <c r="BH176" s="48">
        <f t="shared" si="638"/>
        <v>0</v>
      </c>
      <c r="BI176" s="48">
        <f t="shared" si="638"/>
        <v>0</v>
      </c>
      <c r="BJ176" s="48">
        <f t="shared" si="638"/>
        <v>0</v>
      </c>
      <c r="BK176" s="48">
        <f t="shared" si="638"/>
        <v>0</v>
      </c>
      <c r="BL176" s="48">
        <f t="shared" si="638"/>
        <v>0</v>
      </c>
      <c r="BM176" s="48">
        <f t="shared" si="638"/>
        <v>0</v>
      </c>
      <c r="BN176" s="48">
        <f t="shared" si="638"/>
        <v>0</v>
      </c>
      <c r="BO176" s="48">
        <f t="shared" si="638"/>
        <v>0</v>
      </c>
      <c r="BP176" s="48">
        <f t="shared" si="638"/>
        <v>0</v>
      </c>
      <c r="BQ176" s="48">
        <f t="shared" si="638"/>
        <v>0</v>
      </c>
      <c r="BR176" s="36">
        <f t="shared" si="9"/>
        <v>0</v>
      </c>
      <c r="BS176" s="38">
        <f t="shared" si="10"/>
        <v>1</v>
      </c>
      <c r="BT176" s="49">
        <f t="shared" si="11"/>
        <v>0</v>
      </c>
      <c r="BU176" s="38">
        <f t="shared" si="12"/>
        <v>1000</v>
      </c>
      <c r="BV176" s="57" t="str">
        <f>IFERROR(__xludf.DUMMYFUNCTION("""COMPUTED_VALUE"""),"Glendenning")</f>
        <v>Glendenning</v>
      </c>
      <c r="BW176" s="46">
        <f t="shared" si="13"/>
        <v>4500</v>
      </c>
      <c r="BX176" s="47">
        <f t="shared" ref="BX176:CA176" si="639">AX176-$BU176</f>
        <v>-1000</v>
      </c>
      <c r="BY176" s="47">
        <f t="shared" si="639"/>
        <v>-1000</v>
      </c>
      <c r="BZ176" s="47">
        <f t="shared" si="639"/>
        <v>-1000</v>
      </c>
      <c r="CA176" s="47">
        <f t="shared" si="639"/>
        <v>-1000</v>
      </c>
      <c r="CB176" s="47">
        <f t="shared" si="15"/>
        <v>-6500</v>
      </c>
      <c r="CC176" s="47">
        <f t="shared" ref="CC176:CQ176" si="640">BC176-$BU176</f>
        <v>0</v>
      </c>
      <c r="CD176" s="47">
        <f t="shared" si="640"/>
        <v>-1000</v>
      </c>
      <c r="CE176" s="47">
        <f t="shared" si="640"/>
        <v>-1000</v>
      </c>
      <c r="CF176" s="47">
        <f t="shared" si="640"/>
        <v>-1000</v>
      </c>
      <c r="CG176" s="47">
        <f t="shared" si="640"/>
        <v>-1000</v>
      </c>
      <c r="CH176" s="47">
        <f t="shared" si="640"/>
        <v>-1000</v>
      </c>
      <c r="CI176" s="47">
        <f t="shared" si="640"/>
        <v>-1000</v>
      </c>
      <c r="CJ176" s="47">
        <f t="shared" si="640"/>
        <v>-1000</v>
      </c>
      <c r="CK176" s="47">
        <f t="shared" si="640"/>
        <v>-1000</v>
      </c>
      <c r="CL176" s="47">
        <f t="shared" si="640"/>
        <v>-1000</v>
      </c>
      <c r="CM176" s="47">
        <f t="shared" si="640"/>
        <v>-1000</v>
      </c>
      <c r="CN176" s="47">
        <f t="shared" si="640"/>
        <v>-1000</v>
      </c>
      <c r="CO176" s="47">
        <f t="shared" si="640"/>
        <v>-1000</v>
      </c>
      <c r="CP176" s="47">
        <f t="shared" si="640"/>
        <v>-1000</v>
      </c>
      <c r="CQ176" s="47">
        <f t="shared" si="640"/>
        <v>-1000</v>
      </c>
      <c r="CR176" s="47"/>
      <c r="CS176" s="47"/>
      <c r="CT176" s="47"/>
      <c r="CU176" s="50" t="str">
        <f>IFERROR(__xludf.DUMMYFUNCTION("""COMPUTED_VALUE"""),"619 Kessler Spgs. Ave.
Dallas, TX 75208         ")</f>
        <v>619 Kessler Spgs. Ave.
Dallas, TX 75208         </v>
      </c>
      <c r="CV176" s="51">
        <f>IFERROR(__xludf.DUMMYFUNCTION("IF(REGEXMATCH(UPPER(CU176), ""TX""),0,1)"),0.0)</f>
        <v>0</v>
      </c>
      <c r="CW176" s="51">
        <f>IFERROR(__xludf.DUMMYFUNCTION("IF(REGEXMATCH(UPPER(CU176), ""DALLAS""),0,1)"),0.0)</f>
        <v>0</v>
      </c>
      <c r="CX176" s="51">
        <f t="shared" si="17"/>
        <v>0</v>
      </c>
      <c r="CY176" s="51">
        <f t="shared" si="18"/>
        <v>0</v>
      </c>
      <c r="CZ176" s="52" t="str">
        <f t="shared" si="19"/>
        <v/>
      </c>
      <c r="DA176" s="58"/>
      <c r="DB176" s="52"/>
      <c r="DC176" s="52"/>
      <c r="DD176" s="52"/>
      <c r="DE176" s="52"/>
      <c r="DF176" s="52"/>
      <c r="DG176" s="52"/>
      <c r="DH176" s="52"/>
      <c r="DI176" s="52"/>
      <c r="DJ176" s="52"/>
      <c r="DK176" s="52"/>
      <c r="DL176" s="52"/>
      <c r="DM176" s="52"/>
      <c r="DN176" s="52"/>
      <c r="DO176" s="52"/>
      <c r="DP176" s="52"/>
      <c r="DQ176" s="52"/>
      <c r="DR176" s="52"/>
      <c r="DS176" s="52"/>
      <c r="DT176" s="52"/>
      <c r="DU176" s="52"/>
      <c r="DV176" s="52"/>
      <c r="DW176" s="52"/>
    </row>
    <row r="177">
      <c r="A177" s="40" t="s">
        <v>55</v>
      </c>
      <c r="B177" s="41" t="s">
        <v>56</v>
      </c>
      <c r="C177" s="31" t="s">
        <v>512</v>
      </c>
      <c r="D177" s="25" t="str">
        <f>IFERROR(__xludf.DUMMYFUNCTION("SPLIT(C177,"" "")"),"Buss,")</f>
        <v>Buss,</v>
      </c>
      <c r="E177" s="40" t="str">
        <f>IFERROR(__xludf.DUMMYFUNCTION("""COMPUTED_VALUE"""),"Suzanne
653")</f>
        <v>Suzanne
653</v>
      </c>
      <c r="F177" s="40" t="str">
        <f>IFERROR(__xludf.DUMMYFUNCTION("""COMPUTED_VALUE"""),"Culpepper")</f>
        <v>Culpepper</v>
      </c>
      <c r="G177" s="40" t="str">
        <f>IFERROR(__xludf.DUMMYFUNCTION("""COMPUTED_VALUE"""),"Place
Dallas,")</f>
        <v>Place
Dallas,</v>
      </c>
      <c r="H177" s="40" t="str">
        <f>IFERROR(__xludf.DUMMYFUNCTION("""COMPUTED_VALUE"""),"TX")</f>
        <v>TX</v>
      </c>
      <c r="I177" s="40">
        <f>IFERROR(__xludf.DUMMYFUNCTION("""COMPUTED_VALUE"""),75208.0)</f>
        <v>75208</v>
      </c>
      <c r="J177" s="40"/>
      <c r="K177" s="40"/>
      <c r="L177" s="40"/>
      <c r="M177" s="40"/>
      <c r="N177" s="40"/>
      <c r="O177" s="40"/>
      <c r="P177" s="40"/>
      <c r="Q177" s="40"/>
      <c r="R177" s="40"/>
      <c r="S177" s="40"/>
      <c r="T177" s="40"/>
      <c r="U177" s="24" t="str">
        <f>IFERROR(__xludf.DUMMYFUNCTION("SPLIT(E177,""01234567890"")"),"Suzanne
")</f>
        <v>Suzanne
</v>
      </c>
      <c r="V177" s="24" t="str">
        <f>IFERROR(__xludf.DUMMYFUNCTION("SPLIT(D177,"","")"),"Buss")</f>
        <v>Buss</v>
      </c>
      <c r="W177" s="25" t="str">
        <f t="shared" si="1"/>
        <v>SUZANNE
 BUSS</v>
      </c>
      <c r="X177" s="25" t="s">
        <v>513</v>
      </c>
      <c r="Y177" s="25">
        <v>75208.0</v>
      </c>
      <c r="Z177" s="25" t="str">
        <f>IFERROR(__xludf.DUMMYFUNCTION("SPLIT(C177,""
"")"),"Buss, Suzanne")</f>
        <v>Buss, Suzanne</v>
      </c>
      <c r="AA177" s="25" t="str">
        <f>IFERROR(__xludf.DUMMYFUNCTION("""COMPUTED_VALUE"""),"653 Culpepper Place")</f>
        <v>653 Culpepper Place</v>
      </c>
      <c r="AB177" s="25" t="str">
        <f>IFERROR(__xludf.DUMMYFUNCTION("""COMPUTED_VALUE"""),"Dallas, TX 75208")</f>
        <v>Dallas, TX 75208</v>
      </c>
      <c r="AC177" s="24" t="s">
        <v>514</v>
      </c>
      <c r="AD177" s="25"/>
      <c r="AE177" s="25"/>
      <c r="AF177" s="25"/>
      <c r="AG177" s="40" t="s">
        <v>60</v>
      </c>
      <c r="AH177" s="42">
        <v>2441.0</v>
      </c>
      <c r="AI177" s="40" t="s">
        <v>61</v>
      </c>
      <c r="AJ177" s="27">
        <v>100.0</v>
      </c>
      <c r="AK177" s="31" t="s">
        <v>21</v>
      </c>
      <c r="AL177" s="43">
        <v>44723.0</v>
      </c>
      <c r="AM177" s="44">
        <v>44756.4640625</v>
      </c>
      <c r="AN177" s="30">
        <v>2.0</v>
      </c>
      <c r="AO177" s="40"/>
      <c r="AP177" s="40"/>
      <c r="AQ177" s="40"/>
      <c r="AR177" s="40"/>
      <c r="AS177" s="40"/>
      <c r="AT177" s="47"/>
      <c r="AU177" s="40"/>
      <c r="AV177" s="46" t="str">
        <f>IFERROR(__xludf.DUMMYFUNCTION("""COMPUTED_VALUE"""),"Hall")</f>
        <v>Hall</v>
      </c>
      <c r="AW177" s="46">
        <f t="shared" si="7"/>
        <v>20000</v>
      </c>
      <c r="AX177" s="47">
        <f t="shared" ref="AX177:BQ177" si="641">SUMIFS($AJ:$AJ,$V:$V,$AV177,$AK:$AK,AX$2)</f>
        <v>0</v>
      </c>
      <c r="AY177" s="48">
        <f t="shared" si="641"/>
        <v>0</v>
      </c>
      <c r="AZ177" s="48">
        <f t="shared" si="641"/>
        <v>0</v>
      </c>
      <c r="BA177" s="48">
        <f t="shared" si="641"/>
        <v>0</v>
      </c>
      <c r="BB177" s="48">
        <f t="shared" si="641"/>
        <v>20000</v>
      </c>
      <c r="BC177" s="48">
        <f t="shared" si="641"/>
        <v>0</v>
      </c>
      <c r="BD177" s="48">
        <f t="shared" si="641"/>
        <v>0</v>
      </c>
      <c r="BE177" s="48">
        <f t="shared" si="641"/>
        <v>0</v>
      </c>
      <c r="BF177" s="48">
        <f t="shared" si="641"/>
        <v>0</v>
      </c>
      <c r="BG177" s="48">
        <f t="shared" si="641"/>
        <v>0</v>
      </c>
      <c r="BH177" s="48">
        <f t="shared" si="641"/>
        <v>0</v>
      </c>
      <c r="BI177" s="48">
        <f t="shared" si="641"/>
        <v>0</v>
      </c>
      <c r="BJ177" s="48">
        <f t="shared" si="641"/>
        <v>0</v>
      </c>
      <c r="BK177" s="48">
        <f t="shared" si="641"/>
        <v>0</v>
      </c>
      <c r="BL177" s="48">
        <f t="shared" si="641"/>
        <v>0</v>
      </c>
      <c r="BM177" s="48">
        <f t="shared" si="641"/>
        <v>0</v>
      </c>
      <c r="BN177" s="48">
        <f t="shared" si="641"/>
        <v>0</v>
      </c>
      <c r="BO177" s="48">
        <f t="shared" si="641"/>
        <v>0</v>
      </c>
      <c r="BP177" s="48">
        <f t="shared" si="641"/>
        <v>0</v>
      </c>
      <c r="BQ177" s="48">
        <f t="shared" si="641"/>
        <v>0</v>
      </c>
      <c r="BR177" s="36">
        <f t="shared" si="9"/>
        <v>1</v>
      </c>
      <c r="BS177" s="38">
        <f t="shared" si="10"/>
        <v>2</v>
      </c>
      <c r="BT177" s="49">
        <f t="shared" si="11"/>
        <v>0</v>
      </c>
      <c r="BU177" s="38">
        <f t="shared" si="12"/>
        <v>2000</v>
      </c>
      <c r="BV177" s="46" t="str">
        <f>IFERROR(__xludf.DUMMYFUNCTION("""COMPUTED_VALUE"""),"Hall")</f>
        <v>Hall</v>
      </c>
      <c r="BW177" s="46">
        <f t="shared" si="13"/>
        <v>20000</v>
      </c>
      <c r="BX177" s="47">
        <f t="shared" ref="BX177:CA177" si="642">AX177-$BU177</f>
        <v>-2000</v>
      </c>
      <c r="BY177" s="47">
        <f t="shared" si="642"/>
        <v>-2000</v>
      </c>
      <c r="BZ177" s="47">
        <f t="shared" si="642"/>
        <v>-2000</v>
      </c>
      <c r="CA177" s="47">
        <f t="shared" si="642"/>
        <v>-2000</v>
      </c>
      <c r="CB177" s="47">
        <f t="shared" si="15"/>
        <v>0</v>
      </c>
      <c r="CC177" s="47">
        <f t="shared" ref="CC177:CQ177" si="643">BC177-$BU177</f>
        <v>-2000</v>
      </c>
      <c r="CD177" s="47">
        <f t="shared" si="643"/>
        <v>-2000</v>
      </c>
      <c r="CE177" s="47">
        <f t="shared" si="643"/>
        <v>-2000</v>
      </c>
      <c r="CF177" s="47">
        <f t="shared" si="643"/>
        <v>-2000</v>
      </c>
      <c r="CG177" s="47">
        <f t="shared" si="643"/>
        <v>-2000</v>
      </c>
      <c r="CH177" s="47">
        <f t="shared" si="643"/>
        <v>-2000</v>
      </c>
      <c r="CI177" s="47">
        <f t="shared" si="643"/>
        <v>-2000</v>
      </c>
      <c r="CJ177" s="47">
        <f t="shared" si="643"/>
        <v>-2000</v>
      </c>
      <c r="CK177" s="47">
        <f t="shared" si="643"/>
        <v>-2000</v>
      </c>
      <c r="CL177" s="47">
        <f t="shared" si="643"/>
        <v>-2000</v>
      </c>
      <c r="CM177" s="47">
        <f t="shared" si="643"/>
        <v>-2000</v>
      </c>
      <c r="CN177" s="47">
        <f t="shared" si="643"/>
        <v>-2000</v>
      </c>
      <c r="CO177" s="47">
        <f t="shared" si="643"/>
        <v>-2000</v>
      </c>
      <c r="CP177" s="47">
        <f t="shared" si="643"/>
        <v>-2000</v>
      </c>
      <c r="CQ177" s="47">
        <f t="shared" si="643"/>
        <v>-2000</v>
      </c>
      <c r="CR177" s="47"/>
      <c r="CS177" s="47"/>
      <c r="CT177" s="47"/>
      <c r="CU177" s="50" t="str">
        <f>IFERROR(__xludf.DUMMYFUNCTION("""COMPUTED_VALUE"""),"2310 Broken Point
McKinney, TX 75702          ")</f>
        <v>2310 Broken Point
McKinney, TX 75702          </v>
      </c>
      <c r="CV177" s="51">
        <f>IFERROR(__xludf.DUMMYFUNCTION("IF(REGEXMATCH(UPPER(CU177), ""TX""),0,1)"),0.0)</f>
        <v>0</v>
      </c>
      <c r="CW177" s="51">
        <f>IFERROR(__xludf.DUMMYFUNCTION("IF(REGEXMATCH(UPPER(CU177), ""DALLAS""),0,1)"),1.0)</f>
        <v>1</v>
      </c>
      <c r="CX177" s="51">
        <f t="shared" si="17"/>
        <v>0</v>
      </c>
      <c r="CY177" s="51">
        <f t="shared" si="18"/>
        <v>95</v>
      </c>
      <c r="CZ177" s="52" t="str">
        <f t="shared" si="19"/>
        <v>2310 Broken Point
McKinney, TX 75702          </v>
      </c>
      <c r="DA177" s="58"/>
      <c r="DB177" s="52"/>
      <c r="DC177" s="52"/>
      <c r="DD177" s="52"/>
      <c r="DE177" s="52"/>
      <c r="DF177" s="52"/>
      <c r="DG177" s="52"/>
      <c r="DH177" s="52"/>
      <c r="DI177" s="52"/>
      <c r="DJ177" s="52"/>
      <c r="DK177" s="52"/>
      <c r="DL177" s="52"/>
      <c r="DM177" s="52"/>
      <c r="DN177" s="52"/>
      <c r="DO177" s="52"/>
      <c r="DP177" s="52"/>
      <c r="DQ177" s="52"/>
      <c r="DR177" s="52"/>
      <c r="DS177" s="52"/>
      <c r="DT177" s="52"/>
      <c r="DU177" s="52"/>
      <c r="DV177" s="52"/>
      <c r="DW177" s="52"/>
    </row>
    <row r="178">
      <c r="A178" s="22" t="s">
        <v>55</v>
      </c>
      <c r="B178" s="23" t="s">
        <v>56</v>
      </c>
      <c r="C178" s="31" t="s">
        <v>515</v>
      </c>
      <c r="D178" s="25" t="str">
        <f>IFERROR(__xludf.DUMMYFUNCTION("SPLIT(C178,"" "")"),"Ellis,")</f>
        <v>Ellis,</v>
      </c>
      <c r="E178" s="22" t="str">
        <f>IFERROR(__xludf.DUMMYFUNCTION("""COMPUTED_VALUE"""),"Zandra
1801")</f>
        <v>Zandra
1801</v>
      </c>
      <c r="F178" s="22" t="str">
        <f>IFERROR(__xludf.DUMMYFUNCTION("""COMPUTED_VALUE"""),"W.")</f>
        <v>W.</v>
      </c>
      <c r="G178" s="22" t="str">
        <f>IFERROR(__xludf.DUMMYFUNCTION("""COMPUTED_VALUE"""),"10th")</f>
        <v>10th</v>
      </c>
      <c r="H178" s="22" t="str">
        <f>IFERROR(__xludf.DUMMYFUNCTION("""COMPUTED_VALUE"""),"St.
Dallas,")</f>
        <v>St.
Dallas,</v>
      </c>
      <c r="I178" s="22" t="str">
        <f>IFERROR(__xludf.DUMMYFUNCTION("""COMPUTED_VALUE"""),"TX")</f>
        <v>TX</v>
      </c>
      <c r="J178" s="22">
        <f>IFERROR(__xludf.DUMMYFUNCTION("""COMPUTED_VALUE"""),75208.0)</f>
        <v>75208</v>
      </c>
      <c r="K178" s="22"/>
      <c r="L178" s="22"/>
      <c r="M178" s="22"/>
      <c r="N178" s="22"/>
      <c r="O178" s="22"/>
      <c r="P178" s="22"/>
      <c r="Q178" s="22"/>
      <c r="R178" s="22"/>
      <c r="S178" s="22"/>
      <c r="T178" s="22"/>
      <c r="U178" s="24" t="str">
        <f>IFERROR(__xludf.DUMMYFUNCTION("SPLIT(E178,""01234567890"")"),"Zandra
")</f>
        <v>Zandra
</v>
      </c>
      <c r="V178" s="24" t="str">
        <f>IFERROR(__xludf.DUMMYFUNCTION("SPLIT(D178,"","")"),"Ellis")</f>
        <v>Ellis</v>
      </c>
      <c r="W178" s="25" t="str">
        <f t="shared" si="1"/>
        <v>ZANDRA
 ELLIS</v>
      </c>
      <c r="X178" s="25" t="s">
        <v>516</v>
      </c>
      <c r="Y178" s="25">
        <v>10.0</v>
      </c>
      <c r="Z178" s="25" t="str">
        <f>IFERROR(__xludf.DUMMYFUNCTION("SPLIT(C178,""
"")"),"Ellis, Zandra")</f>
        <v>Ellis, Zandra</v>
      </c>
      <c r="AA178" s="25" t="str">
        <f>IFERROR(__xludf.DUMMYFUNCTION("""COMPUTED_VALUE"""),"1801 W. 10th St.")</f>
        <v>1801 W. 10th St.</v>
      </c>
      <c r="AB178" s="25" t="str">
        <f>IFERROR(__xludf.DUMMYFUNCTION("""COMPUTED_VALUE"""),"Dallas, TX 75208")</f>
        <v>Dallas, TX 75208</v>
      </c>
      <c r="AC178" s="24" t="s">
        <v>517</v>
      </c>
      <c r="AD178" s="25"/>
      <c r="AE178" s="25"/>
      <c r="AF178" s="25"/>
      <c r="AG178" s="22" t="s">
        <v>60</v>
      </c>
      <c r="AH178" s="54">
        <v>2441.0</v>
      </c>
      <c r="AI178" s="22" t="s">
        <v>61</v>
      </c>
      <c r="AJ178" s="27">
        <v>100.0</v>
      </c>
      <c r="AK178" s="31" t="s">
        <v>21</v>
      </c>
      <c r="AL178" s="28">
        <v>44723.0</v>
      </c>
      <c r="AM178" s="29">
        <v>44756.4640625</v>
      </c>
      <c r="AN178" s="30">
        <v>2.0</v>
      </c>
      <c r="AO178" s="22"/>
      <c r="AP178" s="22"/>
      <c r="AQ178" s="22"/>
      <c r="AR178" s="22"/>
      <c r="AS178" s="22"/>
      <c r="AT178" s="70"/>
      <c r="AU178" s="22"/>
      <c r="AV178" s="57" t="str">
        <f>IFERROR(__xludf.DUMMYFUNCTION("""COMPUTED_VALUE"""),"Hasty")</f>
        <v>Hasty</v>
      </c>
      <c r="AW178" s="46">
        <f t="shared" si="7"/>
        <v>1000</v>
      </c>
      <c r="AX178" s="47">
        <f t="shared" ref="AX178:BQ178" si="644">SUMIFS($AJ:$AJ,$V:$V,$AV178,$AK:$AK,AX$2)</f>
        <v>0</v>
      </c>
      <c r="AY178" s="48">
        <f t="shared" si="644"/>
        <v>0</v>
      </c>
      <c r="AZ178" s="48">
        <f t="shared" si="644"/>
        <v>0</v>
      </c>
      <c r="BA178" s="48">
        <f t="shared" si="644"/>
        <v>0</v>
      </c>
      <c r="BB178" s="48">
        <f t="shared" si="644"/>
        <v>1000</v>
      </c>
      <c r="BC178" s="48">
        <f t="shared" si="644"/>
        <v>0</v>
      </c>
      <c r="BD178" s="48">
        <f t="shared" si="644"/>
        <v>0</v>
      </c>
      <c r="BE178" s="48">
        <f t="shared" si="644"/>
        <v>0</v>
      </c>
      <c r="BF178" s="48">
        <f t="shared" si="644"/>
        <v>0</v>
      </c>
      <c r="BG178" s="48">
        <f t="shared" si="644"/>
        <v>0</v>
      </c>
      <c r="BH178" s="48">
        <f t="shared" si="644"/>
        <v>0</v>
      </c>
      <c r="BI178" s="48">
        <f t="shared" si="644"/>
        <v>0</v>
      </c>
      <c r="BJ178" s="48">
        <f t="shared" si="644"/>
        <v>0</v>
      </c>
      <c r="BK178" s="48">
        <f t="shared" si="644"/>
        <v>0</v>
      </c>
      <c r="BL178" s="48">
        <f t="shared" si="644"/>
        <v>0</v>
      </c>
      <c r="BM178" s="48">
        <f t="shared" si="644"/>
        <v>0</v>
      </c>
      <c r="BN178" s="48">
        <f t="shared" si="644"/>
        <v>0</v>
      </c>
      <c r="BO178" s="48">
        <f t="shared" si="644"/>
        <v>0</v>
      </c>
      <c r="BP178" s="48">
        <f t="shared" si="644"/>
        <v>0</v>
      </c>
      <c r="BQ178" s="48">
        <f t="shared" si="644"/>
        <v>0</v>
      </c>
      <c r="BR178" s="36">
        <f t="shared" si="9"/>
        <v>0</v>
      </c>
      <c r="BS178" s="38">
        <f t="shared" si="10"/>
        <v>1</v>
      </c>
      <c r="BT178" s="49">
        <f t="shared" si="11"/>
        <v>0</v>
      </c>
      <c r="BU178" s="38">
        <f t="shared" si="12"/>
        <v>1000</v>
      </c>
      <c r="BV178" s="57" t="str">
        <f>IFERROR(__xludf.DUMMYFUNCTION("""COMPUTED_VALUE"""),"Hasty")</f>
        <v>Hasty</v>
      </c>
      <c r="BW178" s="46">
        <f t="shared" si="13"/>
        <v>1000</v>
      </c>
      <c r="BX178" s="47">
        <f t="shared" ref="BX178:CA178" si="645">AX178-$BU178</f>
        <v>-1000</v>
      </c>
      <c r="BY178" s="47">
        <f t="shared" si="645"/>
        <v>-1000</v>
      </c>
      <c r="BZ178" s="47">
        <f t="shared" si="645"/>
        <v>-1000</v>
      </c>
      <c r="CA178" s="47">
        <f t="shared" si="645"/>
        <v>-1000</v>
      </c>
      <c r="CB178" s="47">
        <f t="shared" si="15"/>
        <v>-9000</v>
      </c>
      <c r="CC178" s="47">
        <f t="shared" ref="CC178:CQ178" si="646">BC178-$BU178</f>
        <v>-1000</v>
      </c>
      <c r="CD178" s="47">
        <f t="shared" si="646"/>
        <v>-1000</v>
      </c>
      <c r="CE178" s="47">
        <f t="shared" si="646"/>
        <v>-1000</v>
      </c>
      <c r="CF178" s="47">
        <f t="shared" si="646"/>
        <v>-1000</v>
      </c>
      <c r="CG178" s="47">
        <f t="shared" si="646"/>
        <v>-1000</v>
      </c>
      <c r="CH178" s="47">
        <f t="shared" si="646"/>
        <v>-1000</v>
      </c>
      <c r="CI178" s="47">
        <f t="shared" si="646"/>
        <v>-1000</v>
      </c>
      <c r="CJ178" s="47">
        <f t="shared" si="646"/>
        <v>-1000</v>
      </c>
      <c r="CK178" s="47">
        <f t="shared" si="646"/>
        <v>-1000</v>
      </c>
      <c r="CL178" s="47">
        <f t="shared" si="646"/>
        <v>-1000</v>
      </c>
      <c r="CM178" s="47">
        <f t="shared" si="646"/>
        <v>-1000</v>
      </c>
      <c r="CN178" s="47">
        <f t="shared" si="646"/>
        <v>-1000</v>
      </c>
      <c r="CO178" s="47">
        <f t="shared" si="646"/>
        <v>-1000</v>
      </c>
      <c r="CP178" s="47">
        <f t="shared" si="646"/>
        <v>-1000</v>
      </c>
      <c r="CQ178" s="47">
        <f t="shared" si="646"/>
        <v>-1000</v>
      </c>
      <c r="CR178" s="47"/>
      <c r="CS178" s="47"/>
      <c r="CT178" s="47"/>
      <c r="CU178" s="50" t="str">
        <f>IFERROR(__xludf.DUMMYFUNCTION("""COMPUTED_VALUE"""),"2145 Kessler Ct.
Dallas, TX 75208          ")</f>
        <v>2145 Kessler Ct.
Dallas, TX 75208          </v>
      </c>
      <c r="CV178" s="51">
        <f>IFERROR(__xludf.DUMMYFUNCTION("IF(REGEXMATCH(UPPER(CU178), ""TX""),0,1)"),0.0)</f>
        <v>0</v>
      </c>
      <c r="CW178" s="51">
        <f>IFERROR(__xludf.DUMMYFUNCTION("IF(REGEXMATCH(UPPER(CU178), ""DALLAS""),0,1)"),0.0)</f>
        <v>0</v>
      </c>
      <c r="CX178" s="51">
        <f t="shared" si="17"/>
        <v>0</v>
      </c>
      <c r="CY178" s="51">
        <f t="shared" si="18"/>
        <v>0</v>
      </c>
      <c r="CZ178" s="52" t="str">
        <f t="shared" si="19"/>
        <v/>
      </c>
      <c r="DA178" s="58"/>
      <c r="DB178" s="52"/>
      <c r="DC178" s="52"/>
      <c r="DD178" s="52"/>
      <c r="DE178" s="52"/>
      <c r="DF178" s="52"/>
      <c r="DG178" s="52"/>
      <c r="DH178" s="52"/>
      <c r="DI178" s="52"/>
      <c r="DJ178" s="52"/>
      <c r="DK178" s="52"/>
      <c r="DL178" s="52"/>
      <c r="DM178" s="52"/>
      <c r="DN178" s="52"/>
      <c r="DO178" s="52"/>
      <c r="DP178" s="52"/>
      <c r="DQ178" s="52"/>
      <c r="DR178" s="52"/>
      <c r="DS178" s="52"/>
      <c r="DT178" s="52"/>
      <c r="DU178" s="52"/>
      <c r="DV178" s="52"/>
      <c r="DW178" s="52"/>
    </row>
    <row r="179">
      <c r="A179" s="40" t="s">
        <v>55</v>
      </c>
      <c r="B179" s="41" t="s">
        <v>56</v>
      </c>
      <c r="C179" s="31" t="s">
        <v>518</v>
      </c>
      <c r="D179" s="25" t="str">
        <f>IFERROR(__xludf.DUMMYFUNCTION("SPLIT(C179,"" "")"),"Chernock,")</f>
        <v>Chernock,</v>
      </c>
      <c r="E179" s="40" t="str">
        <f>IFERROR(__xludf.DUMMYFUNCTION("""COMPUTED_VALUE"""),"Christian
1611")</f>
        <v>Christian
1611</v>
      </c>
      <c r="F179" s="40" t="str">
        <f>IFERROR(__xludf.DUMMYFUNCTION("""COMPUTED_VALUE"""),"Rio")</f>
        <v>Rio</v>
      </c>
      <c r="G179" s="40" t="str">
        <f>IFERROR(__xludf.DUMMYFUNCTION("""COMPUTED_VALUE"""),"Vista")</f>
        <v>Vista</v>
      </c>
      <c r="H179" s="40" t="str">
        <f>IFERROR(__xludf.DUMMYFUNCTION("""COMPUTED_VALUE"""),"Dr.
Dallas,")</f>
        <v>Dr.
Dallas,</v>
      </c>
      <c r="I179" s="40" t="str">
        <f>IFERROR(__xludf.DUMMYFUNCTION("""COMPUTED_VALUE"""),"TX")</f>
        <v>TX</v>
      </c>
      <c r="J179" s="40">
        <f>IFERROR(__xludf.DUMMYFUNCTION("""COMPUTED_VALUE"""),75208.0)</f>
        <v>75208</v>
      </c>
      <c r="K179" s="40"/>
      <c r="L179" s="40"/>
      <c r="M179" s="40"/>
      <c r="N179" s="40"/>
      <c r="O179" s="40"/>
      <c r="P179" s="40"/>
      <c r="Q179" s="40"/>
      <c r="R179" s="40"/>
      <c r="S179" s="40"/>
      <c r="T179" s="40"/>
      <c r="U179" s="24" t="str">
        <f>IFERROR(__xludf.DUMMYFUNCTION("SPLIT(E179,""01234567890"")"),"Christian
")</f>
        <v>Christian
</v>
      </c>
      <c r="V179" s="24" t="str">
        <f>IFERROR(__xludf.DUMMYFUNCTION("SPLIT(D179,"","")"),"Chernock")</f>
        <v>Chernock</v>
      </c>
      <c r="W179" s="25" t="str">
        <f t="shared" si="1"/>
        <v>CHRISTIAN
 CHERNOCK</v>
      </c>
      <c r="X179" s="25" t="s">
        <v>519</v>
      </c>
      <c r="Y179" s="25">
        <v>75208.0</v>
      </c>
      <c r="Z179" s="25" t="str">
        <f>IFERROR(__xludf.DUMMYFUNCTION("SPLIT(C179,""
"")"),"Chernock, Christian")</f>
        <v>Chernock, Christian</v>
      </c>
      <c r="AA179" s="25" t="str">
        <f>IFERROR(__xludf.DUMMYFUNCTION("""COMPUTED_VALUE"""),"1611 Rio Vista Dr.")</f>
        <v>1611 Rio Vista Dr.</v>
      </c>
      <c r="AB179" s="25" t="str">
        <f>IFERROR(__xludf.DUMMYFUNCTION("""COMPUTED_VALUE"""),"Dallas, TX 75208")</f>
        <v>Dallas, TX 75208</v>
      </c>
      <c r="AC179" s="24" t="s">
        <v>520</v>
      </c>
      <c r="AD179" s="25"/>
      <c r="AE179" s="25"/>
      <c r="AF179" s="25"/>
      <c r="AG179" s="40" t="s">
        <v>60</v>
      </c>
      <c r="AH179" s="42">
        <v>2441.0</v>
      </c>
      <c r="AI179" s="40" t="s">
        <v>61</v>
      </c>
      <c r="AJ179" s="27">
        <v>950.0</v>
      </c>
      <c r="AK179" s="31" t="s">
        <v>21</v>
      </c>
      <c r="AL179" s="43">
        <v>44724.0</v>
      </c>
      <c r="AM179" s="44">
        <v>44756.4640625</v>
      </c>
      <c r="AN179" s="30">
        <v>2.0</v>
      </c>
      <c r="AO179" s="40"/>
      <c r="AP179" s="40"/>
      <c r="AQ179" s="40"/>
      <c r="AR179" s="40"/>
      <c r="AS179" s="40"/>
      <c r="AT179" s="47"/>
      <c r="AU179" s="40"/>
      <c r="AV179" s="46" t="str">
        <f>IFERROR(__xludf.DUMMYFUNCTION("""COMPUTED_VALUE"""),"Hutchison")</f>
        <v>Hutchison</v>
      </c>
      <c r="AW179" s="46">
        <f t="shared" si="7"/>
        <v>250</v>
      </c>
      <c r="AX179" s="47">
        <f t="shared" ref="AX179:BQ179" si="647">SUMIFS($AJ:$AJ,$V:$V,$AV179,$AK:$AK,AX$2)</f>
        <v>0</v>
      </c>
      <c r="AY179" s="48">
        <f t="shared" si="647"/>
        <v>0</v>
      </c>
      <c r="AZ179" s="48">
        <f t="shared" si="647"/>
        <v>0</v>
      </c>
      <c r="BA179" s="48">
        <f t="shared" si="647"/>
        <v>0</v>
      </c>
      <c r="BB179" s="48">
        <f t="shared" si="647"/>
        <v>250</v>
      </c>
      <c r="BC179" s="48">
        <f t="shared" si="647"/>
        <v>0</v>
      </c>
      <c r="BD179" s="48">
        <f t="shared" si="647"/>
        <v>0</v>
      </c>
      <c r="BE179" s="48">
        <f t="shared" si="647"/>
        <v>0</v>
      </c>
      <c r="BF179" s="48">
        <f t="shared" si="647"/>
        <v>0</v>
      </c>
      <c r="BG179" s="48">
        <f t="shared" si="647"/>
        <v>0</v>
      </c>
      <c r="BH179" s="48">
        <f t="shared" si="647"/>
        <v>0</v>
      </c>
      <c r="BI179" s="48">
        <f t="shared" si="647"/>
        <v>0</v>
      </c>
      <c r="BJ179" s="48">
        <f t="shared" si="647"/>
        <v>0</v>
      </c>
      <c r="BK179" s="48">
        <f t="shared" si="647"/>
        <v>0</v>
      </c>
      <c r="BL179" s="48">
        <f t="shared" si="647"/>
        <v>0</v>
      </c>
      <c r="BM179" s="48">
        <f t="shared" si="647"/>
        <v>0</v>
      </c>
      <c r="BN179" s="48">
        <f t="shared" si="647"/>
        <v>0</v>
      </c>
      <c r="BO179" s="48">
        <f t="shared" si="647"/>
        <v>0</v>
      </c>
      <c r="BP179" s="48">
        <f t="shared" si="647"/>
        <v>0</v>
      </c>
      <c r="BQ179" s="48">
        <f t="shared" si="647"/>
        <v>0</v>
      </c>
      <c r="BR179" s="36">
        <f t="shared" si="9"/>
        <v>0</v>
      </c>
      <c r="BS179" s="38">
        <f t="shared" si="10"/>
        <v>1</v>
      </c>
      <c r="BT179" s="49">
        <f t="shared" si="11"/>
        <v>0</v>
      </c>
      <c r="BU179" s="38">
        <f t="shared" si="12"/>
        <v>1000</v>
      </c>
      <c r="BV179" s="46" t="str">
        <f>IFERROR(__xludf.DUMMYFUNCTION("""COMPUTED_VALUE"""),"Hutchison")</f>
        <v>Hutchison</v>
      </c>
      <c r="BW179" s="46">
        <f t="shared" si="13"/>
        <v>250</v>
      </c>
      <c r="BX179" s="47">
        <f t="shared" ref="BX179:CA179" si="648">AX179-$BU179</f>
        <v>-1000</v>
      </c>
      <c r="BY179" s="47">
        <f t="shared" si="648"/>
        <v>-1000</v>
      </c>
      <c r="BZ179" s="47">
        <f t="shared" si="648"/>
        <v>-1000</v>
      </c>
      <c r="CA179" s="47">
        <f t="shared" si="648"/>
        <v>-1000</v>
      </c>
      <c r="CB179" s="47">
        <f t="shared" si="15"/>
        <v>-9750</v>
      </c>
      <c r="CC179" s="47">
        <f t="shared" ref="CC179:CQ179" si="649">BC179-$BU179</f>
        <v>-1000</v>
      </c>
      <c r="CD179" s="47">
        <f t="shared" si="649"/>
        <v>-1000</v>
      </c>
      <c r="CE179" s="47">
        <f t="shared" si="649"/>
        <v>-1000</v>
      </c>
      <c r="CF179" s="47">
        <f t="shared" si="649"/>
        <v>-1000</v>
      </c>
      <c r="CG179" s="47">
        <f t="shared" si="649"/>
        <v>-1000</v>
      </c>
      <c r="CH179" s="47">
        <f t="shared" si="649"/>
        <v>-1000</v>
      </c>
      <c r="CI179" s="47">
        <f t="shared" si="649"/>
        <v>-1000</v>
      </c>
      <c r="CJ179" s="47">
        <f t="shared" si="649"/>
        <v>-1000</v>
      </c>
      <c r="CK179" s="47">
        <f t="shared" si="649"/>
        <v>-1000</v>
      </c>
      <c r="CL179" s="47">
        <f t="shared" si="649"/>
        <v>-1000</v>
      </c>
      <c r="CM179" s="47">
        <f t="shared" si="649"/>
        <v>-1000</v>
      </c>
      <c r="CN179" s="47">
        <f t="shared" si="649"/>
        <v>-1000</v>
      </c>
      <c r="CO179" s="47">
        <f t="shared" si="649"/>
        <v>-1000</v>
      </c>
      <c r="CP179" s="47">
        <f t="shared" si="649"/>
        <v>-1000</v>
      </c>
      <c r="CQ179" s="47">
        <f t="shared" si="649"/>
        <v>-1000</v>
      </c>
      <c r="CR179" s="47"/>
      <c r="CS179" s="47"/>
      <c r="CT179" s="47"/>
      <c r="CU179" s="50" t="str">
        <f>IFERROR(__xludf.DUMMYFUNCTION("""COMPUTED_VALUE"""),"2, Augustine
607 W. Canty St.
Dallas, TX 75208        ")</f>
        <v>2, Augustine
607 W. Canty St.
Dallas, TX 75208        </v>
      </c>
      <c r="CV179" s="51">
        <f>IFERROR(__xludf.DUMMYFUNCTION("IF(REGEXMATCH(UPPER(CU179), ""TX""),0,1)"),0.0)</f>
        <v>0</v>
      </c>
      <c r="CW179" s="51">
        <f>IFERROR(__xludf.DUMMYFUNCTION("IF(REGEXMATCH(UPPER(CU179), ""DALLAS""),0,1)"),0.0)</f>
        <v>0</v>
      </c>
      <c r="CX179" s="51">
        <f t="shared" si="17"/>
        <v>0</v>
      </c>
      <c r="CY179" s="51">
        <f t="shared" si="18"/>
        <v>0</v>
      </c>
      <c r="CZ179" s="52" t="str">
        <f t="shared" si="19"/>
        <v/>
      </c>
      <c r="DA179" s="58"/>
      <c r="DB179" s="52"/>
      <c r="DC179" s="52"/>
      <c r="DD179" s="52"/>
      <c r="DE179" s="52"/>
      <c r="DF179" s="52"/>
      <c r="DG179" s="52"/>
      <c r="DH179" s="52"/>
      <c r="DI179" s="52"/>
      <c r="DJ179" s="52"/>
      <c r="DK179" s="52"/>
      <c r="DL179" s="52"/>
      <c r="DM179" s="52"/>
      <c r="DN179" s="52"/>
      <c r="DO179" s="52"/>
      <c r="DP179" s="52"/>
      <c r="DQ179" s="52"/>
      <c r="DR179" s="52"/>
      <c r="DS179" s="52"/>
      <c r="DT179" s="52"/>
      <c r="DU179" s="52"/>
      <c r="DV179" s="52"/>
      <c r="DW179" s="52"/>
    </row>
    <row r="180">
      <c r="A180" s="22" t="s">
        <v>55</v>
      </c>
      <c r="B180" s="23" t="s">
        <v>56</v>
      </c>
      <c r="C180" s="31" t="s">
        <v>521</v>
      </c>
      <c r="D180" s="25" t="str">
        <f>IFERROR(__xludf.DUMMYFUNCTION("SPLIT(C180,"" "")"),"Ruiz,")</f>
        <v>Ruiz,</v>
      </c>
      <c r="E180" s="22" t="str">
        <f>IFERROR(__xludf.DUMMYFUNCTION("""COMPUTED_VALUE"""),"Eliseo")</f>
        <v>Eliseo</v>
      </c>
      <c r="F180" s="22" t="str">
        <f>IFERROR(__xludf.DUMMYFUNCTION("""COMPUTED_VALUE"""),"(Lee)
214")</f>
        <v>(Lee)
214</v>
      </c>
      <c r="G180" s="22" t="str">
        <f>IFERROR(__xludf.DUMMYFUNCTION("""COMPUTED_VALUE"""),"S.")</f>
        <v>S.</v>
      </c>
      <c r="H180" s="22" t="str">
        <f>IFERROR(__xludf.DUMMYFUNCTION("""COMPUTED_VALUE"""),"Willomet")</f>
        <v>Willomet</v>
      </c>
      <c r="I180" s="22" t="str">
        <f>IFERROR(__xludf.DUMMYFUNCTION("""COMPUTED_VALUE"""),"Ave.
Dallas,")</f>
        <v>Ave.
Dallas,</v>
      </c>
      <c r="J180" s="22" t="str">
        <f>IFERROR(__xludf.DUMMYFUNCTION("""COMPUTED_VALUE"""),"TX")</f>
        <v>TX</v>
      </c>
      <c r="K180" s="22">
        <f>IFERROR(__xludf.DUMMYFUNCTION("""COMPUTED_VALUE"""),75208.0)</f>
        <v>75208</v>
      </c>
      <c r="L180" s="22"/>
      <c r="M180" s="22"/>
      <c r="N180" s="22"/>
      <c r="O180" s="22"/>
      <c r="P180" s="22"/>
      <c r="Q180" s="22"/>
      <c r="R180" s="22"/>
      <c r="S180" s="22"/>
      <c r="T180" s="22"/>
      <c r="U180" s="24" t="str">
        <f>IFERROR(__xludf.DUMMYFUNCTION("SPLIT(E180,""01234567890"")"),"Eliseo")</f>
        <v>Eliseo</v>
      </c>
      <c r="V180" s="24" t="str">
        <f>IFERROR(__xludf.DUMMYFUNCTION("SPLIT(D180,"","")"),"Ruiz")</f>
        <v>Ruiz</v>
      </c>
      <c r="W180" s="25" t="str">
        <f t="shared" si="1"/>
        <v>ELISEO RUIZ</v>
      </c>
      <c r="X180" s="25" t="s">
        <v>522</v>
      </c>
      <c r="Y180" s="25" t="s">
        <v>523</v>
      </c>
      <c r="Z180" s="25" t="str">
        <f>IFERROR(__xludf.DUMMYFUNCTION("SPLIT(C180,""
"")"),"Ruiz, Eliseo (Lee)")</f>
        <v>Ruiz, Eliseo (Lee)</v>
      </c>
      <c r="AA180" s="25" t="str">
        <f>IFERROR(__xludf.DUMMYFUNCTION("""COMPUTED_VALUE"""),"214 S. Willomet Ave.")</f>
        <v>214 S. Willomet Ave.</v>
      </c>
      <c r="AB180" s="25" t="str">
        <f>IFERROR(__xludf.DUMMYFUNCTION("""COMPUTED_VALUE"""),"Dallas, TX 75208")</f>
        <v>Dallas, TX 75208</v>
      </c>
      <c r="AC180" s="24" t="s">
        <v>524</v>
      </c>
      <c r="AD180" s="25"/>
      <c r="AE180" s="25"/>
      <c r="AF180" s="25"/>
      <c r="AG180" s="22" t="s">
        <v>60</v>
      </c>
      <c r="AH180" s="54">
        <v>2441.0</v>
      </c>
      <c r="AI180" s="22" t="s">
        <v>61</v>
      </c>
      <c r="AJ180" s="27">
        <v>500.0</v>
      </c>
      <c r="AK180" s="31" t="s">
        <v>21</v>
      </c>
      <c r="AL180" s="28">
        <v>44724.0</v>
      </c>
      <c r="AM180" s="29">
        <v>44756.4640625</v>
      </c>
      <c r="AN180" s="30">
        <v>2.0</v>
      </c>
      <c r="AO180" s="22"/>
      <c r="AP180" s="22"/>
      <c r="AQ180" s="22"/>
      <c r="AR180" s="22"/>
      <c r="AS180" s="22"/>
      <c r="AT180" s="70"/>
      <c r="AU180" s="22"/>
      <c r="AV180" s="57" t="str">
        <f>IFERROR(__xludf.DUMMYFUNCTION("""COMPUTED_VALUE"""),"Jones")</f>
        <v>Jones</v>
      </c>
      <c r="AW180" s="46">
        <f t="shared" si="7"/>
        <v>4100</v>
      </c>
      <c r="AX180" s="47">
        <f t="shared" ref="AX180:BQ180" si="650">SUMIFS($AJ:$AJ,$V:$V,$AV180,$AK:$AK,AX$2)</f>
        <v>0</v>
      </c>
      <c r="AY180" s="48">
        <f t="shared" si="650"/>
        <v>1000</v>
      </c>
      <c r="AZ180" s="48">
        <f t="shared" si="650"/>
        <v>0</v>
      </c>
      <c r="BA180" s="48">
        <f t="shared" si="650"/>
        <v>0</v>
      </c>
      <c r="BB180" s="48">
        <f t="shared" si="650"/>
        <v>2550</v>
      </c>
      <c r="BC180" s="48">
        <f t="shared" si="650"/>
        <v>500</v>
      </c>
      <c r="BD180" s="48">
        <f t="shared" si="650"/>
        <v>0</v>
      </c>
      <c r="BE180" s="48">
        <f t="shared" si="650"/>
        <v>0</v>
      </c>
      <c r="BF180" s="48">
        <f t="shared" si="650"/>
        <v>0</v>
      </c>
      <c r="BG180" s="48">
        <f t="shared" si="650"/>
        <v>50</v>
      </c>
      <c r="BH180" s="48">
        <f t="shared" si="650"/>
        <v>0</v>
      </c>
      <c r="BI180" s="48">
        <f t="shared" si="650"/>
        <v>0</v>
      </c>
      <c r="BJ180" s="48">
        <f t="shared" si="650"/>
        <v>0</v>
      </c>
      <c r="BK180" s="48">
        <f t="shared" si="650"/>
        <v>0</v>
      </c>
      <c r="BL180" s="48">
        <f t="shared" si="650"/>
        <v>0</v>
      </c>
      <c r="BM180" s="48">
        <f t="shared" si="650"/>
        <v>0</v>
      </c>
      <c r="BN180" s="48">
        <f t="shared" si="650"/>
        <v>0</v>
      </c>
      <c r="BO180" s="48">
        <f t="shared" si="650"/>
        <v>0</v>
      </c>
      <c r="BP180" s="48">
        <f t="shared" si="650"/>
        <v>0</v>
      </c>
      <c r="BQ180" s="48">
        <f t="shared" si="650"/>
        <v>0</v>
      </c>
      <c r="BR180" s="36">
        <f t="shared" si="9"/>
        <v>1</v>
      </c>
      <c r="BS180" s="38">
        <f t="shared" si="10"/>
        <v>8</v>
      </c>
      <c r="BT180" s="49">
        <f t="shared" si="11"/>
        <v>0</v>
      </c>
      <c r="BU180" s="38">
        <f t="shared" si="12"/>
        <v>8000</v>
      </c>
      <c r="BV180" s="57" t="str">
        <f>IFERROR(__xludf.DUMMYFUNCTION("""COMPUTED_VALUE"""),"Jones")</f>
        <v>Jones</v>
      </c>
      <c r="BW180" s="46">
        <f t="shared" si="13"/>
        <v>4100</v>
      </c>
      <c r="BX180" s="47">
        <f t="shared" ref="BX180:CA180" si="651">AX180-$BU180</f>
        <v>-8000</v>
      </c>
      <c r="BY180" s="47">
        <f t="shared" si="651"/>
        <v>-7000</v>
      </c>
      <c r="BZ180" s="47">
        <f t="shared" si="651"/>
        <v>-8000</v>
      </c>
      <c r="CA180" s="47">
        <f t="shared" si="651"/>
        <v>-8000</v>
      </c>
      <c r="CB180" s="47">
        <f t="shared" si="15"/>
        <v>-77450</v>
      </c>
      <c r="CC180" s="47">
        <f t="shared" ref="CC180:CQ180" si="652">BC180-$BU180</f>
        <v>-7500</v>
      </c>
      <c r="CD180" s="47">
        <f t="shared" si="652"/>
        <v>-8000</v>
      </c>
      <c r="CE180" s="47">
        <f t="shared" si="652"/>
        <v>-8000</v>
      </c>
      <c r="CF180" s="47">
        <f t="shared" si="652"/>
        <v>-8000</v>
      </c>
      <c r="CG180" s="47">
        <f t="shared" si="652"/>
        <v>-7950</v>
      </c>
      <c r="CH180" s="47">
        <f t="shared" si="652"/>
        <v>-8000</v>
      </c>
      <c r="CI180" s="47">
        <f t="shared" si="652"/>
        <v>-8000</v>
      </c>
      <c r="CJ180" s="47">
        <f t="shared" si="652"/>
        <v>-8000</v>
      </c>
      <c r="CK180" s="47">
        <f t="shared" si="652"/>
        <v>-8000</v>
      </c>
      <c r="CL180" s="47">
        <f t="shared" si="652"/>
        <v>-8000</v>
      </c>
      <c r="CM180" s="47">
        <f t="shared" si="652"/>
        <v>-8000</v>
      </c>
      <c r="CN180" s="47">
        <f t="shared" si="652"/>
        <v>-8000</v>
      </c>
      <c r="CO180" s="47">
        <f t="shared" si="652"/>
        <v>-8000</v>
      </c>
      <c r="CP180" s="47">
        <f t="shared" si="652"/>
        <v>-8000</v>
      </c>
      <c r="CQ180" s="47">
        <f t="shared" si="652"/>
        <v>-8000</v>
      </c>
      <c r="CR180" s="47"/>
      <c r="CS180" s="47"/>
      <c r="CT180" s="47"/>
      <c r="CU180" s="50" t="str">
        <f>IFERROR(__xludf.DUMMYFUNCTION("""COMPUTED_VALUE"""),"518 N. Manus Dr.
Dallas, TX 75222         ")</f>
        <v>518 N. Manus Dr.
Dallas, TX 75222         </v>
      </c>
      <c r="CV180" s="51">
        <f>IFERROR(__xludf.DUMMYFUNCTION("IF(REGEXMATCH(UPPER(CU180), ""TX""),0,1)"),0.0)</f>
        <v>0</v>
      </c>
      <c r="CW180" s="51">
        <f>IFERROR(__xludf.DUMMYFUNCTION("IF(REGEXMATCH(UPPER(CU180), ""DALLAS""),0,1)"),0.0)</f>
        <v>0</v>
      </c>
      <c r="CX180" s="51">
        <f t="shared" si="17"/>
        <v>0</v>
      </c>
      <c r="CY180" s="51">
        <f t="shared" si="18"/>
        <v>0</v>
      </c>
      <c r="CZ180" s="52" t="str">
        <f t="shared" si="19"/>
        <v/>
      </c>
      <c r="DA180" s="58"/>
      <c r="DB180" s="52"/>
      <c r="DC180" s="52"/>
      <c r="DD180" s="52"/>
      <c r="DE180" s="52"/>
      <c r="DF180" s="52"/>
      <c r="DG180" s="52"/>
      <c r="DH180" s="52"/>
      <c r="DI180" s="52"/>
      <c r="DJ180" s="52"/>
      <c r="DK180" s="52"/>
      <c r="DL180" s="52"/>
      <c r="DM180" s="52"/>
      <c r="DN180" s="52"/>
      <c r="DO180" s="52"/>
      <c r="DP180" s="52"/>
      <c r="DQ180" s="52"/>
      <c r="DR180" s="52"/>
      <c r="DS180" s="52"/>
      <c r="DT180" s="52"/>
      <c r="DU180" s="52"/>
      <c r="DV180" s="52"/>
      <c r="DW180" s="52"/>
    </row>
    <row r="181">
      <c r="A181" s="40" t="s">
        <v>55</v>
      </c>
      <c r="B181" s="41" t="s">
        <v>56</v>
      </c>
      <c r="C181" s="31" t="s">
        <v>525</v>
      </c>
      <c r="D181" s="25" t="str">
        <f>IFERROR(__xludf.DUMMYFUNCTION("SPLIT(C181,"" "")"),"Cole,")</f>
        <v>Cole,</v>
      </c>
      <c r="E181" s="40" t="str">
        <f>IFERROR(__xludf.DUMMYFUNCTION("""COMPUTED_VALUE"""),"Harry
2803")</f>
        <v>Harry
2803</v>
      </c>
      <c r="F181" s="40" t="str">
        <f>IFERROR(__xludf.DUMMYFUNCTION("""COMPUTED_VALUE"""),"Mayfair")</f>
        <v>Mayfair</v>
      </c>
      <c r="G181" s="40" t="str">
        <f>IFERROR(__xludf.DUMMYFUNCTION("""COMPUTED_VALUE"""),"Ln.
McKinney,")</f>
        <v>Ln.
McKinney,</v>
      </c>
      <c r="H181" s="40" t="str">
        <f>IFERROR(__xludf.DUMMYFUNCTION("""COMPUTED_VALUE"""),"TX")</f>
        <v>TX</v>
      </c>
      <c r="I181" s="40">
        <f>IFERROR(__xludf.DUMMYFUNCTION("""COMPUTED_VALUE"""),75071.0)</f>
        <v>75071</v>
      </c>
      <c r="J181" s="40"/>
      <c r="K181" s="40"/>
      <c r="L181" s="40"/>
      <c r="M181" s="40"/>
      <c r="N181" s="40"/>
      <c r="O181" s="40"/>
      <c r="P181" s="40"/>
      <c r="Q181" s="40"/>
      <c r="R181" s="40"/>
      <c r="S181" s="40"/>
      <c r="T181" s="40"/>
      <c r="U181" s="24" t="str">
        <f>IFERROR(__xludf.DUMMYFUNCTION("SPLIT(E181,""01234567890"")"),"Harry
")</f>
        <v>Harry
</v>
      </c>
      <c r="V181" s="24" t="str">
        <f>IFERROR(__xludf.DUMMYFUNCTION("SPLIT(D181,"","")"),"Cole")</f>
        <v>Cole</v>
      </c>
      <c r="W181" s="25" t="str">
        <f t="shared" si="1"/>
        <v>HARRY
 COLE</v>
      </c>
      <c r="X181" s="25" t="s">
        <v>526</v>
      </c>
      <c r="Y181" s="25">
        <v>75071.0</v>
      </c>
      <c r="Z181" s="25" t="str">
        <f>IFERROR(__xludf.DUMMYFUNCTION("SPLIT(C181,""
"")"),"Cole, Harry")</f>
        <v>Cole, Harry</v>
      </c>
      <c r="AA181" s="25" t="str">
        <f>IFERROR(__xludf.DUMMYFUNCTION("""COMPUTED_VALUE"""),"2803 Mayfair Ln.")</f>
        <v>2803 Mayfair Ln.</v>
      </c>
      <c r="AB181" s="25" t="str">
        <f>IFERROR(__xludf.DUMMYFUNCTION("""COMPUTED_VALUE"""),"McKinney, TX 75071")</f>
        <v>McKinney, TX 75071</v>
      </c>
      <c r="AC181" s="24" t="s">
        <v>527</v>
      </c>
      <c r="AD181" s="25"/>
      <c r="AE181" s="25"/>
      <c r="AF181" s="25"/>
      <c r="AG181" s="40" t="s">
        <v>60</v>
      </c>
      <c r="AH181" s="42">
        <v>2441.0</v>
      </c>
      <c r="AI181" s="40" t="s">
        <v>61</v>
      </c>
      <c r="AJ181" s="27">
        <v>950.0</v>
      </c>
      <c r="AK181" s="31" t="s">
        <v>21</v>
      </c>
      <c r="AL181" s="43">
        <v>44724.0</v>
      </c>
      <c r="AM181" s="44">
        <v>44756.4640625</v>
      </c>
      <c r="AN181" s="30">
        <v>2.0</v>
      </c>
      <c r="AO181" s="40"/>
      <c r="AP181" s="40"/>
      <c r="AQ181" s="40"/>
      <c r="AR181" s="40"/>
      <c r="AS181" s="40"/>
      <c r="AT181" s="47"/>
      <c r="AU181" s="40"/>
      <c r="AV181" s="46" t="str">
        <f>IFERROR(__xludf.DUMMYFUNCTION("""COMPUTED_VALUE"""),"Kumar")</f>
        <v>Kumar</v>
      </c>
      <c r="AW181" s="46">
        <f t="shared" si="7"/>
        <v>1000</v>
      </c>
      <c r="AX181" s="47">
        <f t="shared" ref="AX181:BQ181" si="653">SUMIFS($AJ:$AJ,$V:$V,$AV181,$AK:$AK,AX$2)</f>
        <v>0</v>
      </c>
      <c r="AY181" s="48">
        <f t="shared" si="653"/>
        <v>0</v>
      </c>
      <c r="AZ181" s="48">
        <f t="shared" si="653"/>
        <v>0</v>
      </c>
      <c r="BA181" s="48">
        <f t="shared" si="653"/>
        <v>0</v>
      </c>
      <c r="BB181" s="48">
        <f t="shared" si="653"/>
        <v>1000</v>
      </c>
      <c r="BC181" s="48">
        <f t="shared" si="653"/>
        <v>0</v>
      </c>
      <c r="BD181" s="48">
        <f t="shared" si="653"/>
        <v>0</v>
      </c>
      <c r="BE181" s="48">
        <f t="shared" si="653"/>
        <v>0</v>
      </c>
      <c r="BF181" s="48">
        <f t="shared" si="653"/>
        <v>0</v>
      </c>
      <c r="BG181" s="48">
        <f t="shared" si="653"/>
        <v>0</v>
      </c>
      <c r="BH181" s="48">
        <f t="shared" si="653"/>
        <v>0</v>
      </c>
      <c r="BI181" s="48">
        <f t="shared" si="653"/>
        <v>0</v>
      </c>
      <c r="BJ181" s="48">
        <f t="shared" si="653"/>
        <v>0</v>
      </c>
      <c r="BK181" s="48">
        <f t="shared" si="653"/>
        <v>0</v>
      </c>
      <c r="BL181" s="48">
        <f t="shared" si="653"/>
        <v>0</v>
      </c>
      <c r="BM181" s="48">
        <f t="shared" si="653"/>
        <v>0</v>
      </c>
      <c r="BN181" s="48">
        <f t="shared" si="653"/>
        <v>0</v>
      </c>
      <c r="BO181" s="48">
        <f t="shared" si="653"/>
        <v>0</v>
      </c>
      <c r="BP181" s="48">
        <f t="shared" si="653"/>
        <v>0</v>
      </c>
      <c r="BQ181" s="48">
        <f t="shared" si="653"/>
        <v>0</v>
      </c>
      <c r="BR181" s="36">
        <f t="shared" si="9"/>
        <v>0</v>
      </c>
      <c r="BS181" s="38">
        <f t="shared" si="10"/>
        <v>1</v>
      </c>
      <c r="BT181" s="49">
        <f t="shared" si="11"/>
        <v>0</v>
      </c>
      <c r="BU181" s="38">
        <f t="shared" si="12"/>
        <v>1000</v>
      </c>
      <c r="BV181" s="46" t="str">
        <f>IFERROR(__xludf.DUMMYFUNCTION("""COMPUTED_VALUE"""),"Kumar")</f>
        <v>Kumar</v>
      </c>
      <c r="BW181" s="46">
        <f t="shared" si="13"/>
        <v>1000</v>
      </c>
      <c r="BX181" s="47">
        <f t="shared" ref="BX181:CA181" si="654">AX181-$BU181</f>
        <v>-1000</v>
      </c>
      <c r="BY181" s="47">
        <f t="shared" si="654"/>
        <v>-1000</v>
      </c>
      <c r="BZ181" s="47">
        <f t="shared" si="654"/>
        <v>-1000</v>
      </c>
      <c r="CA181" s="47">
        <f t="shared" si="654"/>
        <v>-1000</v>
      </c>
      <c r="CB181" s="47">
        <f t="shared" si="15"/>
        <v>-9000</v>
      </c>
      <c r="CC181" s="47">
        <f t="shared" ref="CC181:CQ181" si="655">BC181-$BU181</f>
        <v>-1000</v>
      </c>
      <c r="CD181" s="47">
        <f t="shared" si="655"/>
        <v>-1000</v>
      </c>
      <c r="CE181" s="47">
        <f t="shared" si="655"/>
        <v>-1000</v>
      </c>
      <c r="CF181" s="47">
        <f t="shared" si="655"/>
        <v>-1000</v>
      </c>
      <c r="CG181" s="47">
        <f t="shared" si="655"/>
        <v>-1000</v>
      </c>
      <c r="CH181" s="47">
        <f t="shared" si="655"/>
        <v>-1000</v>
      </c>
      <c r="CI181" s="47">
        <f t="shared" si="655"/>
        <v>-1000</v>
      </c>
      <c r="CJ181" s="47">
        <f t="shared" si="655"/>
        <v>-1000</v>
      </c>
      <c r="CK181" s="47">
        <f t="shared" si="655"/>
        <v>-1000</v>
      </c>
      <c r="CL181" s="47">
        <f t="shared" si="655"/>
        <v>-1000</v>
      </c>
      <c r="CM181" s="47">
        <f t="shared" si="655"/>
        <v>-1000</v>
      </c>
      <c r="CN181" s="47">
        <f t="shared" si="655"/>
        <v>-1000</v>
      </c>
      <c r="CO181" s="47">
        <f t="shared" si="655"/>
        <v>-1000</v>
      </c>
      <c r="CP181" s="47">
        <f t="shared" si="655"/>
        <v>-1000</v>
      </c>
      <c r="CQ181" s="47">
        <f t="shared" si="655"/>
        <v>-1000</v>
      </c>
      <c r="CR181" s="47"/>
      <c r="CS181" s="47"/>
      <c r="CT181" s="47"/>
      <c r="CU181" s="50" t="str">
        <f>IFERROR(__xludf.DUMMYFUNCTION("""COMPUTED_VALUE"""),"2116 Kessler Ct.
Dallas, TX 75208          ")</f>
        <v>2116 Kessler Ct.
Dallas, TX 75208          </v>
      </c>
      <c r="CV181" s="51">
        <f>IFERROR(__xludf.DUMMYFUNCTION("IF(REGEXMATCH(UPPER(CU181), ""TX""),0,1)"),0.0)</f>
        <v>0</v>
      </c>
      <c r="CW181" s="51">
        <f>IFERROR(__xludf.DUMMYFUNCTION("IF(REGEXMATCH(UPPER(CU181), ""DALLAS""),0,1)"),0.0)</f>
        <v>0</v>
      </c>
      <c r="CX181" s="51">
        <f t="shared" si="17"/>
        <v>0</v>
      </c>
      <c r="CY181" s="51">
        <f t="shared" si="18"/>
        <v>0</v>
      </c>
      <c r="CZ181" s="52" t="str">
        <f t="shared" si="19"/>
        <v/>
      </c>
      <c r="DA181" s="58"/>
      <c r="DB181" s="52"/>
      <c r="DC181" s="52"/>
      <c r="DD181" s="52"/>
      <c r="DE181" s="52"/>
      <c r="DF181" s="52"/>
      <c r="DG181" s="52"/>
      <c r="DH181" s="52"/>
      <c r="DI181" s="52"/>
      <c r="DJ181" s="52"/>
      <c r="DK181" s="52"/>
      <c r="DL181" s="52"/>
      <c r="DM181" s="52"/>
      <c r="DN181" s="52"/>
      <c r="DO181" s="52"/>
      <c r="DP181" s="52"/>
      <c r="DQ181" s="52"/>
      <c r="DR181" s="52"/>
      <c r="DS181" s="52"/>
      <c r="DT181" s="52"/>
      <c r="DU181" s="52"/>
      <c r="DV181" s="52"/>
      <c r="DW181" s="52"/>
    </row>
    <row r="182">
      <c r="A182" s="22" t="s">
        <v>55</v>
      </c>
      <c r="B182" s="23" t="s">
        <v>56</v>
      </c>
      <c r="C182" s="31" t="s">
        <v>528</v>
      </c>
      <c r="D182" s="25" t="str">
        <f>IFERROR(__xludf.DUMMYFUNCTION("SPLIT(C182,"" "")"),"Hagan,")</f>
        <v>Hagan,</v>
      </c>
      <c r="E182" s="22" t="str">
        <f>IFERROR(__xludf.DUMMYFUNCTION("""COMPUTED_VALUE"""),"Anne
204")</f>
        <v>Anne
204</v>
      </c>
      <c r="F182" s="22" t="str">
        <f>IFERROR(__xludf.DUMMYFUNCTION("""COMPUTED_VALUE"""),"S.")</f>
        <v>S.</v>
      </c>
      <c r="G182" s="22" t="str">
        <f>IFERROR(__xludf.DUMMYFUNCTION("""COMPUTED_VALUE"""),"Willomet")</f>
        <v>Willomet</v>
      </c>
      <c r="H182" s="22" t="str">
        <f>IFERROR(__xludf.DUMMYFUNCTION("""COMPUTED_VALUE"""),"Ave.
Dallas,")</f>
        <v>Ave.
Dallas,</v>
      </c>
      <c r="I182" s="22" t="str">
        <f>IFERROR(__xludf.DUMMYFUNCTION("""COMPUTED_VALUE"""),"TX")</f>
        <v>TX</v>
      </c>
      <c r="J182" s="22">
        <f>IFERROR(__xludf.DUMMYFUNCTION("""COMPUTED_VALUE"""),75208.0)</f>
        <v>75208</v>
      </c>
      <c r="K182" s="22"/>
      <c r="L182" s="22"/>
      <c r="M182" s="22"/>
      <c r="N182" s="22"/>
      <c r="O182" s="22"/>
      <c r="P182" s="22"/>
      <c r="Q182" s="22"/>
      <c r="R182" s="22"/>
      <c r="S182" s="22"/>
      <c r="T182" s="22"/>
      <c r="U182" s="24" t="str">
        <f>IFERROR(__xludf.DUMMYFUNCTION("SPLIT(E182,""01234567890"")"),"Anne
")</f>
        <v>Anne
</v>
      </c>
      <c r="V182" s="24" t="str">
        <f>IFERROR(__xludf.DUMMYFUNCTION("SPLIT(D182,"","")"),"Hagan")</f>
        <v>Hagan</v>
      </c>
      <c r="W182" s="25" t="str">
        <f t="shared" si="1"/>
        <v>ANNE
 HAGAN</v>
      </c>
      <c r="X182" s="25" t="s">
        <v>529</v>
      </c>
      <c r="Y182" s="25">
        <v>75208.0</v>
      </c>
      <c r="Z182" s="25" t="str">
        <f>IFERROR(__xludf.DUMMYFUNCTION("SPLIT(C182,""
"")"),"Hagan, Anne")</f>
        <v>Hagan, Anne</v>
      </c>
      <c r="AA182" s="25" t="str">
        <f>IFERROR(__xludf.DUMMYFUNCTION("""COMPUTED_VALUE"""),"204 S. Willomet Ave.")</f>
        <v>204 S. Willomet Ave.</v>
      </c>
      <c r="AB182" s="25" t="str">
        <f>IFERROR(__xludf.DUMMYFUNCTION("""COMPUTED_VALUE"""),"Dallas, TX 75208")</f>
        <v>Dallas, TX 75208</v>
      </c>
      <c r="AC182" s="24" t="s">
        <v>530</v>
      </c>
      <c r="AD182" s="25"/>
      <c r="AE182" s="25"/>
      <c r="AF182" s="25"/>
      <c r="AG182" s="22" t="s">
        <v>60</v>
      </c>
      <c r="AH182" s="54">
        <v>2441.0</v>
      </c>
      <c r="AI182" s="22" t="s">
        <v>61</v>
      </c>
      <c r="AJ182" s="27">
        <v>500.0</v>
      </c>
      <c r="AK182" s="31" t="s">
        <v>21</v>
      </c>
      <c r="AL182" s="28">
        <v>44725.0</v>
      </c>
      <c r="AM182" s="29">
        <v>44756.4640625</v>
      </c>
      <c r="AN182" s="30">
        <v>2.0</v>
      </c>
      <c r="AO182" s="22"/>
      <c r="AP182" s="22"/>
      <c r="AQ182" s="22"/>
      <c r="AR182" s="22"/>
      <c r="AS182" s="22"/>
      <c r="AT182" s="70"/>
      <c r="AU182" s="22"/>
      <c r="AV182" s="57" t="str">
        <f>IFERROR(__xludf.DUMMYFUNCTION("""COMPUTED_VALUE"""),"McCants")</f>
        <v>McCants</v>
      </c>
      <c r="AW182" s="46">
        <f t="shared" si="7"/>
        <v>250</v>
      </c>
      <c r="AX182" s="47">
        <f t="shared" ref="AX182:BQ182" si="656">SUMIFS($AJ:$AJ,$V:$V,$AV182,$AK:$AK,AX$2)</f>
        <v>0</v>
      </c>
      <c r="AY182" s="48">
        <f t="shared" si="656"/>
        <v>0</v>
      </c>
      <c r="AZ182" s="48">
        <f t="shared" si="656"/>
        <v>0</v>
      </c>
      <c r="BA182" s="48">
        <f t="shared" si="656"/>
        <v>0</v>
      </c>
      <c r="BB182" s="48">
        <f t="shared" si="656"/>
        <v>250</v>
      </c>
      <c r="BC182" s="48">
        <f t="shared" si="656"/>
        <v>0</v>
      </c>
      <c r="BD182" s="48">
        <f t="shared" si="656"/>
        <v>0</v>
      </c>
      <c r="BE182" s="48">
        <f t="shared" si="656"/>
        <v>0</v>
      </c>
      <c r="BF182" s="48">
        <f t="shared" si="656"/>
        <v>0</v>
      </c>
      <c r="BG182" s="48">
        <f t="shared" si="656"/>
        <v>0</v>
      </c>
      <c r="BH182" s="48">
        <f t="shared" si="656"/>
        <v>0</v>
      </c>
      <c r="BI182" s="48">
        <f t="shared" si="656"/>
        <v>0</v>
      </c>
      <c r="BJ182" s="48">
        <f t="shared" si="656"/>
        <v>0</v>
      </c>
      <c r="BK182" s="48">
        <f t="shared" si="656"/>
        <v>0</v>
      </c>
      <c r="BL182" s="48">
        <f t="shared" si="656"/>
        <v>0</v>
      </c>
      <c r="BM182" s="48">
        <f t="shared" si="656"/>
        <v>0</v>
      </c>
      <c r="BN182" s="48">
        <f t="shared" si="656"/>
        <v>0</v>
      </c>
      <c r="BO182" s="48">
        <f t="shared" si="656"/>
        <v>0</v>
      </c>
      <c r="BP182" s="48">
        <f t="shared" si="656"/>
        <v>0</v>
      </c>
      <c r="BQ182" s="48">
        <f t="shared" si="656"/>
        <v>0</v>
      </c>
      <c r="BR182" s="36">
        <f t="shared" si="9"/>
        <v>0</v>
      </c>
      <c r="BS182" s="38">
        <f t="shared" si="10"/>
        <v>1</v>
      </c>
      <c r="BT182" s="49">
        <f t="shared" si="11"/>
        <v>0</v>
      </c>
      <c r="BU182" s="38">
        <f t="shared" si="12"/>
        <v>1000</v>
      </c>
      <c r="BV182" s="57" t="str">
        <f>IFERROR(__xludf.DUMMYFUNCTION("""COMPUTED_VALUE"""),"McCants")</f>
        <v>McCants</v>
      </c>
      <c r="BW182" s="46">
        <f t="shared" si="13"/>
        <v>250</v>
      </c>
      <c r="BX182" s="47">
        <f t="shared" ref="BX182:CA182" si="657">AX182-$BU182</f>
        <v>-1000</v>
      </c>
      <c r="BY182" s="47">
        <f t="shared" si="657"/>
        <v>-1000</v>
      </c>
      <c r="BZ182" s="47">
        <f t="shared" si="657"/>
        <v>-1000</v>
      </c>
      <c r="CA182" s="47">
        <f t="shared" si="657"/>
        <v>-1000</v>
      </c>
      <c r="CB182" s="47">
        <f t="shared" si="15"/>
        <v>-9750</v>
      </c>
      <c r="CC182" s="47">
        <f t="shared" ref="CC182:CQ182" si="658">BC182-$BU182</f>
        <v>-1000</v>
      </c>
      <c r="CD182" s="47">
        <f t="shared" si="658"/>
        <v>-1000</v>
      </c>
      <c r="CE182" s="47">
        <f t="shared" si="658"/>
        <v>-1000</v>
      </c>
      <c r="CF182" s="47">
        <f t="shared" si="658"/>
        <v>-1000</v>
      </c>
      <c r="CG182" s="47">
        <f t="shared" si="658"/>
        <v>-1000</v>
      </c>
      <c r="CH182" s="47">
        <f t="shared" si="658"/>
        <v>-1000</v>
      </c>
      <c r="CI182" s="47">
        <f t="shared" si="658"/>
        <v>-1000</v>
      </c>
      <c r="CJ182" s="47">
        <f t="shared" si="658"/>
        <v>-1000</v>
      </c>
      <c r="CK182" s="47">
        <f t="shared" si="658"/>
        <v>-1000</v>
      </c>
      <c r="CL182" s="47">
        <f t="shared" si="658"/>
        <v>-1000</v>
      </c>
      <c r="CM182" s="47">
        <f t="shared" si="658"/>
        <v>-1000</v>
      </c>
      <c r="CN182" s="47">
        <f t="shared" si="658"/>
        <v>-1000</v>
      </c>
      <c r="CO182" s="47">
        <f t="shared" si="658"/>
        <v>-1000</v>
      </c>
      <c r="CP182" s="47">
        <f t="shared" si="658"/>
        <v>-1000</v>
      </c>
      <c r="CQ182" s="47">
        <f t="shared" si="658"/>
        <v>-1000</v>
      </c>
      <c r="CR182" s="47"/>
      <c r="CS182" s="47"/>
      <c r="CT182" s="47"/>
      <c r="CU182" s="50" t="str">
        <f>IFERROR(__xludf.DUMMYFUNCTION("""COMPUTED_VALUE"""),"1655 Kessler Canyon Dr.
Dallas, TX 75208         ")</f>
        <v>1655 Kessler Canyon Dr.
Dallas, TX 75208         </v>
      </c>
      <c r="CV182" s="51">
        <f>IFERROR(__xludf.DUMMYFUNCTION("IF(REGEXMATCH(UPPER(CU182), ""TX""),0,1)"),0.0)</f>
        <v>0</v>
      </c>
      <c r="CW182" s="51">
        <f>IFERROR(__xludf.DUMMYFUNCTION("IF(REGEXMATCH(UPPER(CU182), ""DALLAS""),0,1)"),0.0)</f>
        <v>0</v>
      </c>
      <c r="CX182" s="51">
        <f t="shared" si="17"/>
        <v>0</v>
      </c>
      <c r="CY182" s="51">
        <f t="shared" si="18"/>
        <v>0</v>
      </c>
      <c r="CZ182" s="52" t="str">
        <f t="shared" si="19"/>
        <v/>
      </c>
      <c r="DA182" s="58"/>
      <c r="DB182" s="52"/>
      <c r="DC182" s="52"/>
      <c r="DD182" s="52"/>
      <c r="DE182" s="52"/>
      <c r="DF182" s="52"/>
      <c r="DG182" s="52"/>
      <c r="DH182" s="52"/>
      <c r="DI182" s="52"/>
      <c r="DJ182" s="52"/>
      <c r="DK182" s="52"/>
      <c r="DL182" s="52"/>
      <c r="DM182" s="52"/>
      <c r="DN182" s="52"/>
      <c r="DO182" s="52"/>
      <c r="DP182" s="52"/>
      <c r="DQ182" s="52"/>
      <c r="DR182" s="52"/>
      <c r="DS182" s="52"/>
      <c r="DT182" s="52"/>
      <c r="DU182" s="52"/>
      <c r="DV182" s="52"/>
      <c r="DW182" s="52"/>
    </row>
    <row r="183">
      <c r="A183" s="40" t="s">
        <v>55</v>
      </c>
      <c r="B183" s="41" t="s">
        <v>56</v>
      </c>
      <c r="C183" s="31" t="s">
        <v>531</v>
      </c>
      <c r="D183" s="25" t="str">
        <f>IFERROR(__xludf.DUMMYFUNCTION("SPLIT(C183,"" "")"),"Gilbreath,")</f>
        <v>Gilbreath,</v>
      </c>
      <c r="E183" s="40" t="str">
        <f>IFERROR(__xludf.DUMMYFUNCTION("""COMPUTED_VALUE"""),"Jake
2102")</f>
        <v>Jake
2102</v>
      </c>
      <c r="F183" s="40" t="str">
        <f>IFERROR(__xludf.DUMMYFUNCTION("""COMPUTED_VALUE"""),"Sharon")</f>
        <v>Sharon</v>
      </c>
      <c r="G183" s="40" t="str">
        <f>IFERROR(__xludf.DUMMYFUNCTION("""COMPUTED_VALUE"""),"Ln.
Austin,")</f>
        <v>Ln.
Austin,</v>
      </c>
      <c r="H183" s="40" t="str">
        <f>IFERROR(__xludf.DUMMYFUNCTION("""COMPUTED_VALUE"""),"TX")</f>
        <v>TX</v>
      </c>
      <c r="I183" s="40">
        <f>IFERROR(__xludf.DUMMYFUNCTION("""COMPUTED_VALUE"""),78703.0)</f>
        <v>78703</v>
      </c>
      <c r="J183" s="40"/>
      <c r="K183" s="40"/>
      <c r="L183" s="40"/>
      <c r="M183" s="40"/>
      <c r="N183" s="40"/>
      <c r="O183" s="40"/>
      <c r="P183" s="40"/>
      <c r="Q183" s="40"/>
      <c r="R183" s="40"/>
      <c r="S183" s="40"/>
      <c r="T183" s="40"/>
      <c r="U183" s="24" t="str">
        <f>IFERROR(__xludf.DUMMYFUNCTION("SPLIT(E183,""01234567890"")"),"Jake
")</f>
        <v>Jake
</v>
      </c>
      <c r="V183" s="24" t="str">
        <f>IFERROR(__xludf.DUMMYFUNCTION("SPLIT(D183,"","")"),"Gilbreath")</f>
        <v>Gilbreath</v>
      </c>
      <c r="W183" s="25" t="str">
        <f t="shared" si="1"/>
        <v>JAKE
 GILBREATH</v>
      </c>
      <c r="X183" s="25" t="s">
        <v>532</v>
      </c>
      <c r="Y183" s="25">
        <v>78703.0</v>
      </c>
      <c r="Z183" s="25" t="str">
        <f>IFERROR(__xludf.DUMMYFUNCTION("SPLIT(C183,""
"")"),"Gilbreath, Jake")</f>
        <v>Gilbreath, Jake</v>
      </c>
      <c r="AA183" s="25" t="str">
        <f>IFERROR(__xludf.DUMMYFUNCTION("""COMPUTED_VALUE"""),"2102 Sharon Ln.")</f>
        <v>2102 Sharon Ln.</v>
      </c>
      <c r="AB183" s="25" t="str">
        <f>IFERROR(__xludf.DUMMYFUNCTION("""COMPUTED_VALUE"""),"Austin, TX 78703")</f>
        <v>Austin, TX 78703</v>
      </c>
      <c r="AC183" s="24" t="s">
        <v>533</v>
      </c>
      <c r="AD183" s="25"/>
      <c r="AE183" s="25"/>
      <c r="AF183" s="25"/>
      <c r="AG183" s="40" t="s">
        <v>60</v>
      </c>
      <c r="AH183" s="42">
        <v>2441.0</v>
      </c>
      <c r="AI183" s="40" t="s">
        <v>61</v>
      </c>
      <c r="AJ183" s="27">
        <v>250.0</v>
      </c>
      <c r="AK183" s="31" t="s">
        <v>21</v>
      </c>
      <c r="AL183" s="43">
        <v>44725.0</v>
      </c>
      <c r="AM183" s="44">
        <v>44756.4640625</v>
      </c>
      <c r="AN183" s="30">
        <v>2.0</v>
      </c>
      <c r="AO183" s="40"/>
      <c r="AP183" s="40"/>
      <c r="AQ183" s="40"/>
      <c r="AR183" s="40"/>
      <c r="AS183" s="40"/>
      <c r="AT183" s="47"/>
      <c r="AU183" s="40"/>
      <c r="AV183" s="46" t="str">
        <f>IFERROR(__xludf.DUMMYFUNCTION("""COMPUTED_VALUE"""),"Mihalopoulos")</f>
        <v>Mihalopoulos</v>
      </c>
      <c r="AW183" s="46">
        <f t="shared" si="7"/>
        <v>2500</v>
      </c>
      <c r="AX183" s="47">
        <f t="shared" ref="AX183:BQ183" si="659">SUMIFS($AJ:$AJ,$V:$V,$AV183,$AK:$AK,AX$2)</f>
        <v>0</v>
      </c>
      <c r="AY183" s="48">
        <f t="shared" si="659"/>
        <v>0</v>
      </c>
      <c r="AZ183" s="48">
        <f t="shared" si="659"/>
        <v>500</v>
      </c>
      <c r="BA183" s="48">
        <f t="shared" si="659"/>
        <v>0</v>
      </c>
      <c r="BB183" s="48">
        <f t="shared" si="659"/>
        <v>2000</v>
      </c>
      <c r="BC183" s="48">
        <f t="shared" si="659"/>
        <v>0</v>
      </c>
      <c r="BD183" s="48">
        <f t="shared" si="659"/>
        <v>0</v>
      </c>
      <c r="BE183" s="48">
        <f t="shared" si="659"/>
        <v>0</v>
      </c>
      <c r="BF183" s="48">
        <f t="shared" si="659"/>
        <v>0</v>
      </c>
      <c r="BG183" s="48">
        <f t="shared" si="659"/>
        <v>0</v>
      </c>
      <c r="BH183" s="48">
        <f t="shared" si="659"/>
        <v>0</v>
      </c>
      <c r="BI183" s="48">
        <f t="shared" si="659"/>
        <v>0</v>
      </c>
      <c r="BJ183" s="48">
        <f t="shared" si="659"/>
        <v>0</v>
      </c>
      <c r="BK183" s="48">
        <f t="shared" si="659"/>
        <v>0</v>
      </c>
      <c r="BL183" s="48">
        <f t="shared" si="659"/>
        <v>0</v>
      </c>
      <c r="BM183" s="48">
        <f t="shared" si="659"/>
        <v>0</v>
      </c>
      <c r="BN183" s="48">
        <f t="shared" si="659"/>
        <v>0</v>
      </c>
      <c r="BO183" s="48">
        <f t="shared" si="659"/>
        <v>0</v>
      </c>
      <c r="BP183" s="48">
        <f t="shared" si="659"/>
        <v>0</v>
      </c>
      <c r="BQ183" s="48">
        <f t="shared" si="659"/>
        <v>0</v>
      </c>
      <c r="BR183" s="36">
        <f t="shared" si="9"/>
        <v>0</v>
      </c>
      <c r="BS183" s="38">
        <f t="shared" si="10"/>
        <v>1</v>
      </c>
      <c r="BT183" s="49">
        <f t="shared" si="11"/>
        <v>0</v>
      </c>
      <c r="BU183" s="38">
        <f t="shared" si="12"/>
        <v>1000</v>
      </c>
      <c r="BV183" s="46" t="str">
        <f>IFERROR(__xludf.DUMMYFUNCTION("""COMPUTED_VALUE"""),"Mihalopoulos")</f>
        <v>Mihalopoulos</v>
      </c>
      <c r="BW183" s="46">
        <f t="shared" si="13"/>
        <v>2500</v>
      </c>
      <c r="BX183" s="47">
        <f t="shared" ref="BX183:CA183" si="660">AX183-$BU183</f>
        <v>-1000</v>
      </c>
      <c r="BY183" s="47">
        <f t="shared" si="660"/>
        <v>-1000</v>
      </c>
      <c r="BZ183" s="47">
        <f t="shared" si="660"/>
        <v>-500</v>
      </c>
      <c r="CA183" s="47">
        <f t="shared" si="660"/>
        <v>-1000</v>
      </c>
      <c r="CB183" s="47">
        <f t="shared" si="15"/>
        <v>-8000</v>
      </c>
      <c r="CC183" s="47">
        <f t="shared" ref="CC183:CQ183" si="661">BC183-$BU183</f>
        <v>-1000</v>
      </c>
      <c r="CD183" s="47">
        <f t="shared" si="661"/>
        <v>-1000</v>
      </c>
      <c r="CE183" s="47">
        <f t="shared" si="661"/>
        <v>-1000</v>
      </c>
      <c r="CF183" s="47">
        <f t="shared" si="661"/>
        <v>-1000</v>
      </c>
      <c r="CG183" s="47">
        <f t="shared" si="661"/>
        <v>-1000</v>
      </c>
      <c r="CH183" s="47">
        <f t="shared" si="661"/>
        <v>-1000</v>
      </c>
      <c r="CI183" s="47">
        <f t="shared" si="661"/>
        <v>-1000</v>
      </c>
      <c r="CJ183" s="47">
        <f t="shared" si="661"/>
        <v>-1000</v>
      </c>
      <c r="CK183" s="47">
        <f t="shared" si="661"/>
        <v>-1000</v>
      </c>
      <c r="CL183" s="47">
        <f t="shared" si="661"/>
        <v>-1000</v>
      </c>
      <c r="CM183" s="47">
        <f t="shared" si="661"/>
        <v>-1000</v>
      </c>
      <c r="CN183" s="47">
        <f t="shared" si="661"/>
        <v>-1000</v>
      </c>
      <c r="CO183" s="47">
        <f t="shared" si="661"/>
        <v>-1000</v>
      </c>
      <c r="CP183" s="47">
        <f t="shared" si="661"/>
        <v>-1000</v>
      </c>
      <c r="CQ183" s="47">
        <f t="shared" si="661"/>
        <v>-1000</v>
      </c>
      <c r="CR183" s="47"/>
      <c r="CS183" s="47"/>
      <c r="CT183" s="47"/>
      <c r="CU183" s="50" t="str">
        <f>IFERROR(__xludf.DUMMYFUNCTION("""COMPUTED_VALUE"""),"303 W. Davis St.
Dallas, TX 75208         ")</f>
        <v>303 W. Davis St.
Dallas, TX 75208         </v>
      </c>
      <c r="CV183" s="51">
        <f>IFERROR(__xludf.DUMMYFUNCTION("IF(REGEXMATCH(UPPER(CU183), ""TX""),0,1)"),0.0)</f>
        <v>0</v>
      </c>
      <c r="CW183" s="51">
        <f>IFERROR(__xludf.DUMMYFUNCTION("IF(REGEXMATCH(UPPER(CU183), ""DALLAS""),0,1)"),0.0)</f>
        <v>0</v>
      </c>
      <c r="CX183" s="51">
        <f t="shared" si="17"/>
        <v>0</v>
      </c>
      <c r="CY183" s="51">
        <f t="shared" si="18"/>
        <v>0</v>
      </c>
      <c r="CZ183" s="52" t="str">
        <f t="shared" si="19"/>
        <v/>
      </c>
      <c r="DA183" s="58"/>
      <c r="DB183" s="52"/>
      <c r="DC183" s="52"/>
      <c r="DD183" s="52"/>
      <c r="DE183" s="52"/>
      <c r="DF183" s="52"/>
      <c r="DG183" s="52"/>
      <c r="DH183" s="52"/>
      <c r="DI183" s="52"/>
      <c r="DJ183" s="52"/>
      <c r="DK183" s="52"/>
      <c r="DL183" s="52"/>
      <c r="DM183" s="52"/>
      <c r="DN183" s="52"/>
      <c r="DO183" s="52"/>
      <c r="DP183" s="52"/>
      <c r="DQ183" s="52"/>
      <c r="DR183" s="52"/>
      <c r="DS183" s="52"/>
      <c r="DT183" s="52"/>
      <c r="DU183" s="52"/>
      <c r="DV183" s="52"/>
      <c r="DW183" s="52"/>
    </row>
    <row r="184">
      <c r="A184" s="22" t="s">
        <v>55</v>
      </c>
      <c r="B184" s="23" t="s">
        <v>56</v>
      </c>
      <c r="C184" s="31" t="s">
        <v>534</v>
      </c>
      <c r="D184" s="25" t="str">
        <f>IFERROR(__xludf.DUMMYFUNCTION("SPLIT(C184,"" "")"),"Roberts,")</f>
        <v>Roberts,</v>
      </c>
      <c r="E184" s="22" t="str">
        <f>IFERROR(__xludf.DUMMYFUNCTION("""COMPUTED_VALUE"""),"Jr.,")</f>
        <v>Jr.,</v>
      </c>
      <c r="F184" s="22" t="str">
        <f>IFERROR(__xludf.DUMMYFUNCTION("""COMPUTED_VALUE"""),"George
309")</f>
        <v>George
309</v>
      </c>
      <c r="G184" s="22" t="str">
        <f>IFERROR(__xludf.DUMMYFUNCTION("""COMPUTED_VALUE"""),"Monssen")</f>
        <v>Monssen</v>
      </c>
      <c r="H184" s="22" t="str">
        <f>IFERROR(__xludf.DUMMYFUNCTION("""COMPUTED_VALUE"""),"Dr
Dallas,")</f>
        <v>Dr
Dallas,</v>
      </c>
      <c r="I184" s="22" t="str">
        <f>IFERROR(__xludf.DUMMYFUNCTION("""COMPUTED_VALUE"""),"TX")</f>
        <v>TX</v>
      </c>
      <c r="J184" s="22">
        <f>IFERROR(__xludf.DUMMYFUNCTION("""COMPUTED_VALUE"""),75224.0)</f>
        <v>75224</v>
      </c>
      <c r="K184" s="22"/>
      <c r="L184" s="22"/>
      <c r="M184" s="22"/>
      <c r="N184" s="22"/>
      <c r="O184" s="22"/>
      <c r="P184" s="22"/>
      <c r="Q184" s="22"/>
      <c r="R184" s="22"/>
      <c r="S184" s="22"/>
      <c r="T184" s="22"/>
      <c r="U184" s="24" t="str">
        <f>IFERROR(__xludf.DUMMYFUNCTION("SPLIT(E184,""01234567890"")"),"Jr.,")</f>
        <v>Jr.,</v>
      </c>
      <c r="V184" s="24" t="str">
        <f>IFERROR(__xludf.DUMMYFUNCTION("SPLIT(D184,"","")"),"Roberts")</f>
        <v>Roberts</v>
      </c>
      <c r="W184" s="25" t="str">
        <f t="shared" si="1"/>
        <v>JR., ROBERTS</v>
      </c>
      <c r="X184" s="25" t="s">
        <v>535</v>
      </c>
      <c r="Y184" s="25">
        <v>75224.0</v>
      </c>
      <c r="Z184" s="25" t="str">
        <f>IFERROR(__xludf.DUMMYFUNCTION("SPLIT(C184,""
"")"),"Roberts, Jr., George")</f>
        <v>Roberts, Jr., George</v>
      </c>
      <c r="AA184" s="25" t="str">
        <f>IFERROR(__xludf.DUMMYFUNCTION("""COMPUTED_VALUE"""),"309 Monssen Dr")</f>
        <v>309 Monssen Dr</v>
      </c>
      <c r="AB184" s="25" t="str">
        <f>IFERROR(__xludf.DUMMYFUNCTION("""COMPUTED_VALUE"""),"Dallas, TX 75224")</f>
        <v>Dallas, TX 75224</v>
      </c>
      <c r="AC184" s="24" t="s">
        <v>536</v>
      </c>
      <c r="AD184" s="25"/>
      <c r="AE184" s="25"/>
      <c r="AF184" s="25"/>
      <c r="AG184" s="22" t="s">
        <v>60</v>
      </c>
      <c r="AH184" s="54">
        <v>2441.0</v>
      </c>
      <c r="AI184" s="22" t="s">
        <v>61</v>
      </c>
      <c r="AJ184" s="27">
        <v>500.0</v>
      </c>
      <c r="AK184" s="31" t="s">
        <v>21</v>
      </c>
      <c r="AL184" s="28">
        <v>44726.0</v>
      </c>
      <c r="AM184" s="29">
        <v>44756.4640625</v>
      </c>
      <c r="AN184" s="30">
        <v>2.0</v>
      </c>
      <c r="AO184" s="22"/>
      <c r="AP184" s="22"/>
      <c r="AQ184" s="22"/>
      <c r="AR184" s="22"/>
      <c r="AS184" s="22"/>
      <c r="AT184" s="70"/>
      <c r="AU184" s="22"/>
      <c r="AV184" s="57" t="str">
        <f>IFERROR(__xludf.DUMMYFUNCTION("""COMPUTED_VALUE"""),"Murphy")</f>
        <v>Murphy</v>
      </c>
      <c r="AW184" s="46">
        <f t="shared" si="7"/>
        <v>100</v>
      </c>
      <c r="AX184" s="47">
        <f t="shared" ref="AX184:BQ184" si="662">SUMIFS($AJ:$AJ,$V:$V,$AV184,$AK:$AK,AX$2)</f>
        <v>0</v>
      </c>
      <c r="AY184" s="48">
        <f t="shared" si="662"/>
        <v>0</v>
      </c>
      <c r="AZ184" s="48">
        <f t="shared" si="662"/>
        <v>0</v>
      </c>
      <c r="BA184" s="48">
        <f t="shared" si="662"/>
        <v>0</v>
      </c>
      <c r="BB184" s="48">
        <f t="shared" si="662"/>
        <v>100</v>
      </c>
      <c r="BC184" s="48">
        <f t="shared" si="662"/>
        <v>0</v>
      </c>
      <c r="BD184" s="48">
        <f t="shared" si="662"/>
        <v>0</v>
      </c>
      <c r="BE184" s="48">
        <f t="shared" si="662"/>
        <v>0</v>
      </c>
      <c r="BF184" s="48">
        <f t="shared" si="662"/>
        <v>0</v>
      </c>
      <c r="BG184" s="48">
        <f t="shared" si="662"/>
        <v>0</v>
      </c>
      <c r="BH184" s="48">
        <f t="shared" si="662"/>
        <v>0</v>
      </c>
      <c r="BI184" s="48">
        <f t="shared" si="662"/>
        <v>0</v>
      </c>
      <c r="BJ184" s="48">
        <f t="shared" si="662"/>
        <v>0</v>
      </c>
      <c r="BK184" s="48">
        <f t="shared" si="662"/>
        <v>0</v>
      </c>
      <c r="BL184" s="48">
        <f t="shared" si="662"/>
        <v>0</v>
      </c>
      <c r="BM184" s="48">
        <f t="shared" si="662"/>
        <v>0</v>
      </c>
      <c r="BN184" s="48">
        <f t="shared" si="662"/>
        <v>0</v>
      </c>
      <c r="BO184" s="48">
        <f t="shared" si="662"/>
        <v>0</v>
      </c>
      <c r="BP184" s="48">
        <f t="shared" si="662"/>
        <v>0</v>
      </c>
      <c r="BQ184" s="48">
        <f t="shared" si="662"/>
        <v>0</v>
      </c>
      <c r="BR184" s="36">
        <f t="shared" si="9"/>
        <v>0</v>
      </c>
      <c r="BS184" s="38">
        <f t="shared" si="10"/>
        <v>1</v>
      </c>
      <c r="BT184" s="49">
        <f t="shared" si="11"/>
        <v>0</v>
      </c>
      <c r="BU184" s="38">
        <f t="shared" si="12"/>
        <v>1000</v>
      </c>
      <c r="BV184" s="57" t="str">
        <f>IFERROR(__xludf.DUMMYFUNCTION("""COMPUTED_VALUE"""),"Murphy")</f>
        <v>Murphy</v>
      </c>
      <c r="BW184" s="46">
        <f t="shared" si="13"/>
        <v>100</v>
      </c>
      <c r="BX184" s="47">
        <f t="shared" ref="BX184:CA184" si="663">AX184-$BU184</f>
        <v>-1000</v>
      </c>
      <c r="BY184" s="47">
        <f t="shared" si="663"/>
        <v>-1000</v>
      </c>
      <c r="BZ184" s="47">
        <f t="shared" si="663"/>
        <v>-1000</v>
      </c>
      <c r="CA184" s="47">
        <f t="shared" si="663"/>
        <v>-1000</v>
      </c>
      <c r="CB184" s="47">
        <f t="shared" si="15"/>
        <v>-9900</v>
      </c>
      <c r="CC184" s="47">
        <f t="shared" ref="CC184:CQ184" si="664">BC184-$BU184</f>
        <v>-1000</v>
      </c>
      <c r="CD184" s="47">
        <f t="shared" si="664"/>
        <v>-1000</v>
      </c>
      <c r="CE184" s="47">
        <f t="shared" si="664"/>
        <v>-1000</v>
      </c>
      <c r="CF184" s="47">
        <f t="shared" si="664"/>
        <v>-1000</v>
      </c>
      <c r="CG184" s="47">
        <f t="shared" si="664"/>
        <v>-1000</v>
      </c>
      <c r="CH184" s="47">
        <f t="shared" si="664"/>
        <v>-1000</v>
      </c>
      <c r="CI184" s="47">
        <f t="shared" si="664"/>
        <v>-1000</v>
      </c>
      <c r="CJ184" s="47">
        <f t="shared" si="664"/>
        <v>-1000</v>
      </c>
      <c r="CK184" s="47">
        <f t="shared" si="664"/>
        <v>-1000</v>
      </c>
      <c r="CL184" s="47">
        <f t="shared" si="664"/>
        <v>-1000</v>
      </c>
      <c r="CM184" s="47">
        <f t="shared" si="664"/>
        <v>-1000</v>
      </c>
      <c r="CN184" s="47">
        <f t="shared" si="664"/>
        <v>-1000</v>
      </c>
      <c r="CO184" s="47">
        <f t="shared" si="664"/>
        <v>-1000</v>
      </c>
      <c r="CP184" s="47">
        <f t="shared" si="664"/>
        <v>-1000</v>
      </c>
      <c r="CQ184" s="47">
        <f t="shared" si="664"/>
        <v>-1000</v>
      </c>
      <c r="CR184" s="47"/>
      <c r="CS184" s="47"/>
      <c r="CT184" s="47"/>
      <c r="CU184" s="50" t="str">
        <f>IFERROR(__xludf.DUMMYFUNCTION("""COMPUTED_VALUE"""),"2029 W. Colorado Blvd.
Dallas, TX 75208         ")</f>
        <v>2029 W. Colorado Blvd.
Dallas, TX 75208         </v>
      </c>
      <c r="CV184" s="51">
        <f>IFERROR(__xludf.DUMMYFUNCTION("IF(REGEXMATCH(UPPER(CU184), ""TX""),0,1)"),0.0)</f>
        <v>0</v>
      </c>
      <c r="CW184" s="51">
        <f>IFERROR(__xludf.DUMMYFUNCTION("IF(REGEXMATCH(UPPER(CU184), ""DALLAS""),0,1)"),0.0)</f>
        <v>0</v>
      </c>
      <c r="CX184" s="51">
        <f t="shared" si="17"/>
        <v>0</v>
      </c>
      <c r="CY184" s="51">
        <f t="shared" si="18"/>
        <v>0</v>
      </c>
      <c r="CZ184" s="52" t="str">
        <f t="shared" si="19"/>
        <v/>
      </c>
      <c r="DA184" s="58"/>
      <c r="DB184" s="52"/>
      <c r="DC184" s="52"/>
      <c r="DD184" s="52"/>
      <c r="DE184" s="52"/>
      <c r="DF184" s="52"/>
      <c r="DG184" s="52"/>
      <c r="DH184" s="52"/>
      <c r="DI184" s="52"/>
      <c r="DJ184" s="52"/>
      <c r="DK184" s="52"/>
      <c r="DL184" s="52"/>
      <c r="DM184" s="52"/>
      <c r="DN184" s="52"/>
      <c r="DO184" s="52"/>
      <c r="DP184" s="52"/>
      <c r="DQ184" s="52"/>
      <c r="DR184" s="52"/>
      <c r="DS184" s="52"/>
      <c r="DT184" s="52"/>
      <c r="DU184" s="52"/>
      <c r="DV184" s="52"/>
      <c r="DW184" s="52"/>
    </row>
    <row r="185">
      <c r="A185" s="40" t="s">
        <v>55</v>
      </c>
      <c r="B185" s="41" t="s">
        <v>56</v>
      </c>
      <c r="C185" s="31" t="s">
        <v>537</v>
      </c>
      <c r="D185" s="25" t="str">
        <f>IFERROR(__xludf.DUMMYFUNCTION("SPLIT(C185,"" "")"),"Mackey,")</f>
        <v>Mackey,</v>
      </c>
      <c r="E185" s="40" t="str">
        <f>IFERROR(__xludf.DUMMYFUNCTION("""COMPUTED_VALUE"""),"Ben
307")</f>
        <v>Ben
307</v>
      </c>
      <c r="F185" s="40" t="str">
        <f>IFERROR(__xludf.DUMMYFUNCTION("""COMPUTED_VALUE"""),"N.")</f>
        <v>N.</v>
      </c>
      <c r="G185" s="40" t="str">
        <f>IFERROR(__xludf.DUMMYFUNCTION("""COMPUTED_VALUE"""),"Polk")</f>
        <v>Polk</v>
      </c>
      <c r="H185" s="40" t="str">
        <f>IFERROR(__xludf.DUMMYFUNCTION("""COMPUTED_VALUE"""),"St.
Dallas,")</f>
        <v>St.
Dallas,</v>
      </c>
      <c r="I185" s="40" t="str">
        <f>IFERROR(__xludf.DUMMYFUNCTION("""COMPUTED_VALUE"""),"TX")</f>
        <v>TX</v>
      </c>
      <c r="J185" s="40">
        <f>IFERROR(__xludf.DUMMYFUNCTION("""COMPUTED_VALUE"""),75208.0)</f>
        <v>75208</v>
      </c>
      <c r="K185" s="40"/>
      <c r="L185" s="40"/>
      <c r="M185" s="40"/>
      <c r="N185" s="40"/>
      <c r="O185" s="40"/>
      <c r="P185" s="40"/>
      <c r="Q185" s="40"/>
      <c r="R185" s="40"/>
      <c r="S185" s="40"/>
      <c r="T185" s="40"/>
      <c r="U185" s="24" t="str">
        <f>IFERROR(__xludf.DUMMYFUNCTION("SPLIT(E185,""01234567890"")"),"Ben
")</f>
        <v>Ben
</v>
      </c>
      <c r="V185" s="24" t="str">
        <f>IFERROR(__xludf.DUMMYFUNCTION("SPLIT(D185,"","")"),"Mackey")</f>
        <v>Mackey</v>
      </c>
      <c r="W185" s="25" t="str">
        <f t="shared" si="1"/>
        <v>BEN
 MACKEY</v>
      </c>
      <c r="X185" s="25" t="s">
        <v>538</v>
      </c>
      <c r="Y185" s="25">
        <v>75208.0</v>
      </c>
      <c r="Z185" s="25" t="str">
        <f>IFERROR(__xludf.DUMMYFUNCTION("SPLIT(C185,""
"")"),"Mackey, Ben")</f>
        <v>Mackey, Ben</v>
      </c>
      <c r="AA185" s="25" t="str">
        <f>IFERROR(__xludf.DUMMYFUNCTION("""COMPUTED_VALUE"""),"307 N. Polk St.")</f>
        <v>307 N. Polk St.</v>
      </c>
      <c r="AB185" s="25" t="str">
        <f>IFERROR(__xludf.DUMMYFUNCTION("""COMPUTED_VALUE"""),"Dallas, TX 75208")</f>
        <v>Dallas, TX 75208</v>
      </c>
      <c r="AC185" s="24" t="s">
        <v>539</v>
      </c>
      <c r="AD185" s="25"/>
      <c r="AE185" s="25"/>
      <c r="AF185" s="25"/>
      <c r="AG185" s="40" t="s">
        <v>60</v>
      </c>
      <c r="AH185" s="42">
        <v>2441.0</v>
      </c>
      <c r="AI185" s="40" t="s">
        <v>61</v>
      </c>
      <c r="AJ185" s="27">
        <v>250.0</v>
      </c>
      <c r="AK185" s="31" t="s">
        <v>21</v>
      </c>
      <c r="AL185" s="43">
        <v>44727.0</v>
      </c>
      <c r="AM185" s="44">
        <v>44756.4640625</v>
      </c>
      <c r="AN185" s="30">
        <v>2.0</v>
      </c>
      <c r="AO185" s="40"/>
      <c r="AP185" s="40"/>
      <c r="AQ185" s="40"/>
      <c r="AR185" s="40"/>
      <c r="AS185" s="40"/>
      <c r="AT185" s="47"/>
      <c r="AU185" s="40"/>
      <c r="AV185" s="46" t="str">
        <f>IFERROR(__xludf.DUMMYFUNCTION("""COMPUTED_VALUE"""),"Myers")</f>
        <v>Myers</v>
      </c>
      <c r="AW185" s="46">
        <f t="shared" si="7"/>
        <v>7000</v>
      </c>
      <c r="AX185" s="47">
        <f t="shared" ref="AX185:BQ185" si="665">SUMIFS($AJ:$AJ,$V:$V,$AV185,$AK:$AK,AX$2)</f>
        <v>0</v>
      </c>
      <c r="AY185" s="48">
        <f t="shared" si="665"/>
        <v>0</v>
      </c>
      <c r="AZ185" s="48">
        <f t="shared" si="665"/>
        <v>1000</v>
      </c>
      <c r="BA185" s="48">
        <f t="shared" si="665"/>
        <v>0</v>
      </c>
      <c r="BB185" s="48">
        <f t="shared" si="665"/>
        <v>5000</v>
      </c>
      <c r="BC185" s="48">
        <f t="shared" si="665"/>
        <v>0</v>
      </c>
      <c r="BD185" s="48">
        <f t="shared" si="665"/>
        <v>0</v>
      </c>
      <c r="BE185" s="48">
        <f t="shared" si="665"/>
        <v>0</v>
      </c>
      <c r="BF185" s="48">
        <f t="shared" si="665"/>
        <v>1000</v>
      </c>
      <c r="BG185" s="48">
        <f t="shared" si="665"/>
        <v>0</v>
      </c>
      <c r="BH185" s="48">
        <f t="shared" si="665"/>
        <v>0</v>
      </c>
      <c r="BI185" s="48">
        <f t="shared" si="665"/>
        <v>0</v>
      </c>
      <c r="BJ185" s="48">
        <f t="shared" si="665"/>
        <v>0</v>
      </c>
      <c r="BK185" s="48">
        <f t="shared" si="665"/>
        <v>0</v>
      </c>
      <c r="BL185" s="48">
        <f t="shared" si="665"/>
        <v>0</v>
      </c>
      <c r="BM185" s="48">
        <f t="shared" si="665"/>
        <v>0</v>
      </c>
      <c r="BN185" s="48">
        <f t="shared" si="665"/>
        <v>0</v>
      </c>
      <c r="BO185" s="48">
        <f t="shared" si="665"/>
        <v>0</v>
      </c>
      <c r="BP185" s="48">
        <f t="shared" si="665"/>
        <v>0</v>
      </c>
      <c r="BQ185" s="48">
        <f t="shared" si="665"/>
        <v>0</v>
      </c>
      <c r="BR185" s="36">
        <f t="shared" si="9"/>
        <v>1</v>
      </c>
      <c r="BS185" s="38">
        <f t="shared" si="10"/>
        <v>3</v>
      </c>
      <c r="BT185" s="49">
        <f t="shared" si="11"/>
        <v>0</v>
      </c>
      <c r="BU185" s="38">
        <f t="shared" si="12"/>
        <v>3000</v>
      </c>
      <c r="BV185" s="46" t="str">
        <f>IFERROR(__xludf.DUMMYFUNCTION("""COMPUTED_VALUE"""),"Myers")</f>
        <v>Myers</v>
      </c>
      <c r="BW185" s="46">
        <f t="shared" si="13"/>
        <v>7000</v>
      </c>
      <c r="BX185" s="47">
        <f t="shared" ref="BX185:CA185" si="666">AX185-$BU185</f>
        <v>-3000</v>
      </c>
      <c r="BY185" s="47">
        <f t="shared" si="666"/>
        <v>-3000</v>
      </c>
      <c r="BZ185" s="47">
        <f t="shared" si="666"/>
        <v>-2000</v>
      </c>
      <c r="CA185" s="47">
        <f t="shared" si="666"/>
        <v>-3000</v>
      </c>
      <c r="CB185" s="47">
        <f t="shared" si="15"/>
        <v>-25000</v>
      </c>
      <c r="CC185" s="47">
        <f t="shared" ref="CC185:CQ185" si="667">BC185-$BU185</f>
        <v>-3000</v>
      </c>
      <c r="CD185" s="47">
        <f t="shared" si="667"/>
        <v>-3000</v>
      </c>
      <c r="CE185" s="47">
        <f t="shared" si="667"/>
        <v>-3000</v>
      </c>
      <c r="CF185" s="47">
        <f t="shared" si="667"/>
        <v>-2000</v>
      </c>
      <c r="CG185" s="47">
        <f t="shared" si="667"/>
        <v>-3000</v>
      </c>
      <c r="CH185" s="47">
        <f t="shared" si="667"/>
        <v>-3000</v>
      </c>
      <c r="CI185" s="47">
        <f t="shared" si="667"/>
        <v>-3000</v>
      </c>
      <c r="CJ185" s="47">
        <f t="shared" si="667"/>
        <v>-3000</v>
      </c>
      <c r="CK185" s="47">
        <f t="shared" si="667"/>
        <v>-3000</v>
      </c>
      <c r="CL185" s="47">
        <f t="shared" si="667"/>
        <v>-3000</v>
      </c>
      <c r="CM185" s="47">
        <f t="shared" si="667"/>
        <v>-3000</v>
      </c>
      <c r="CN185" s="47">
        <f t="shared" si="667"/>
        <v>-3000</v>
      </c>
      <c r="CO185" s="47">
        <f t="shared" si="667"/>
        <v>-3000</v>
      </c>
      <c r="CP185" s="47">
        <f t="shared" si="667"/>
        <v>-3000</v>
      </c>
      <c r="CQ185" s="47">
        <f t="shared" si="667"/>
        <v>-3000</v>
      </c>
      <c r="CR185" s="47"/>
      <c r="CS185" s="47"/>
      <c r="CT185" s="47"/>
      <c r="CU185" s="50" t="str">
        <f>IFERROR(__xludf.DUMMYFUNCTION("""COMPUTED_VALUE"""),"
 Box 223932
Dallas, TX 75222          ")</f>
        <v>
 Box 223932
Dallas, TX 75222          </v>
      </c>
      <c r="CV185" s="51">
        <f>IFERROR(__xludf.DUMMYFUNCTION("IF(REGEXMATCH(UPPER(CU185), ""TX""),0,1)"),0.0)</f>
        <v>0</v>
      </c>
      <c r="CW185" s="51">
        <f>IFERROR(__xludf.DUMMYFUNCTION("IF(REGEXMATCH(UPPER(CU185), ""DALLAS""),0,1)"),0.0)</f>
        <v>0</v>
      </c>
      <c r="CX185" s="51">
        <f t="shared" si="17"/>
        <v>0</v>
      </c>
      <c r="CY185" s="51">
        <f t="shared" si="18"/>
        <v>0</v>
      </c>
      <c r="CZ185" s="52" t="str">
        <f t="shared" si="19"/>
        <v/>
      </c>
      <c r="DA185" s="58"/>
      <c r="DB185" s="52"/>
      <c r="DC185" s="52"/>
      <c r="DD185" s="52"/>
      <c r="DE185" s="52"/>
      <c r="DF185" s="52"/>
      <c r="DG185" s="52"/>
      <c r="DH185" s="52"/>
      <c r="DI185" s="52"/>
      <c r="DJ185" s="52"/>
      <c r="DK185" s="52"/>
      <c r="DL185" s="52"/>
      <c r="DM185" s="52"/>
      <c r="DN185" s="52"/>
      <c r="DO185" s="52"/>
      <c r="DP185" s="52"/>
      <c r="DQ185" s="52"/>
      <c r="DR185" s="52"/>
      <c r="DS185" s="52"/>
      <c r="DT185" s="52"/>
      <c r="DU185" s="52"/>
      <c r="DV185" s="52"/>
      <c r="DW185" s="52"/>
    </row>
    <row r="186">
      <c r="A186" s="22" t="s">
        <v>55</v>
      </c>
      <c r="B186" s="23" t="s">
        <v>56</v>
      </c>
      <c r="C186" s="31" t="s">
        <v>540</v>
      </c>
      <c r="D186" s="25" t="str">
        <f>IFERROR(__xludf.DUMMYFUNCTION("SPLIT(C186,"" "")"),"Flaim,")</f>
        <v>Flaim,</v>
      </c>
      <c r="E186" s="22" t="str">
        <f>IFERROR(__xludf.DUMMYFUNCTION("""COMPUTED_VALUE"""),"John")</f>
        <v>John</v>
      </c>
      <c r="F186" s="22" t="str">
        <f>IFERROR(__xludf.DUMMYFUNCTION("""COMPUTED_VALUE"""),"G.
1900")</f>
        <v>G.
1900</v>
      </c>
      <c r="G186" s="22" t="str">
        <f>IFERROR(__xludf.DUMMYFUNCTION("""COMPUTED_VALUE"""),"N.")</f>
        <v>N.</v>
      </c>
      <c r="H186" s="22" t="str">
        <f>IFERROR(__xludf.DUMMYFUNCTION("""COMPUTED_VALUE"""),"Pearl")</f>
        <v>Pearl</v>
      </c>
      <c r="I186" s="22" t="str">
        <f>IFERROR(__xludf.DUMMYFUNCTION("""COMPUTED_VALUE"""),"St.
Dallas,")</f>
        <v>St.
Dallas,</v>
      </c>
      <c r="J186" s="22" t="str">
        <f>IFERROR(__xludf.DUMMYFUNCTION("""COMPUTED_VALUE"""),"TX")</f>
        <v>TX</v>
      </c>
      <c r="K186" s="22">
        <f>IFERROR(__xludf.DUMMYFUNCTION("""COMPUTED_VALUE"""),75201.0)</f>
        <v>75201</v>
      </c>
      <c r="L186" s="22"/>
      <c r="M186" s="22"/>
      <c r="N186" s="22"/>
      <c r="O186" s="22"/>
      <c r="P186" s="22"/>
      <c r="Q186" s="22"/>
      <c r="R186" s="22"/>
      <c r="S186" s="22"/>
      <c r="T186" s="22"/>
      <c r="U186" s="24" t="str">
        <f>IFERROR(__xludf.DUMMYFUNCTION("SPLIT(E186,""01234567890"")"),"John")</f>
        <v>John</v>
      </c>
      <c r="V186" s="24" t="str">
        <f>IFERROR(__xludf.DUMMYFUNCTION("SPLIT(D186,"","")"),"Flaim")</f>
        <v>Flaim</v>
      </c>
      <c r="W186" s="25" t="str">
        <f t="shared" si="1"/>
        <v>JOHN FLAIM</v>
      </c>
      <c r="X186" s="25" t="s">
        <v>541</v>
      </c>
      <c r="Y186" s="25">
        <v>75201.0</v>
      </c>
      <c r="Z186" s="25" t="str">
        <f>IFERROR(__xludf.DUMMYFUNCTION("SPLIT(C186,""
"")"),"Flaim, John G.")</f>
        <v>Flaim, John G.</v>
      </c>
      <c r="AA186" s="25" t="str">
        <f>IFERROR(__xludf.DUMMYFUNCTION("""COMPUTED_VALUE"""),"1900 N. Pearl St.")</f>
        <v>1900 N. Pearl St.</v>
      </c>
      <c r="AB186" s="25" t="str">
        <f>IFERROR(__xludf.DUMMYFUNCTION("""COMPUTED_VALUE"""),"Dallas, TX 75201")</f>
        <v>Dallas, TX 75201</v>
      </c>
      <c r="AC186" s="24" t="s">
        <v>542</v>
      </c>
      <c r="AD186" s="25"/>
      <c r="AE186" s="25"/>
      <c r="AF186" s="25"/>
      <c r="AG186" s="22" t="s">
        <v>60</v>
      </c>
      <c r="AH186" s="54">
        <v>2441.0</v>
      </c>
      <c r="AI186" s="22" t="s">
        <v>61</v>
      </c>
      <c r="AJ186" s="27">
        <v>500.0</v>
      </c>
      <c r="AK186" s="31" t="s">
        <v>21</v>
      </c>
      <c r="AL186" s="28">
        <v>44727.0</v>
      </c>
      <c r="AM186" s="29">
        <v>44756.4640625</v>
      </c>
      <c r="AN186" s="30">
        <v>2.0</v>
      </c>
      <c r="AO186" s="22"/>
      <c r="AP186" s="22"/>
      <c r="AQ186" s="22"/>
      <c r="AR186" s="22"/>
      <c r="AS186" s="22"/>
      <c r="AT186" s="70"/>
      <c r="AU186" s="22"/>
      <c r="AV186" s="57" t="str">
        <f>IFERROR(__xludf.DUMMYFUNCTION("""COMPUTED_VALUE"""),"Norris")</f>
        <v>Norris</v>
      </c>
      <c r="AW186" s="46">
        <f t="shared" si="7"/>
        <v>750</v>
      </c>
      <c r="AX186" s="47">
        <f t="shared" ref="AX186:BQ186" si="668">SUMIFS($AJ:$AJ,$V:$V,$AV186,$AK:$AK,AX$2)</f>
        <v>0</v>
      </c>
      <c r="AY186" s="48">
        <f t="shared" si="668"/>
        <v>0</v>
      </c>
      <c r="AZ186" s="48">
        <f t="shared" si="668"/>
        <v>500</v>
      </c>
      <c r="BA186" s="48">
        <f t="shared" si="668"/>
        <v>0</v>
      </c>
      <c r="BB186" s="48">
        <f t="shared" si="668"/>
        <v>250</v>
      </c>
      <c r="BC186" s="48">
        <f t="shared" si="668"/>
        <v>0</v>
      </c>
      <c r="BD186" s="48">
        <f t="shared" si="668"/>
        <v>0</v>
      </c>
      <c r="BE186" s="48">
        <f t="shared" si="668"/>
        <v>0</v>
      </c>
      <c r="BF186" s="48">
        <f t="shared" si="668"/>
        <v>0</v>
      </c>
      <c r="BG186" s="48">
        <f t="shared" si="668"/>
        <v>0</v>
      </c>
      <c r="BH186" s="48">
        <f t="shared" si="668"/>
        <v>0</v>
      </c>
      <c r="BI186" s="48">
        <f t="shared" si="668"/>
        <v>0</v>
      </c>
      <c r="BJ186" s="48">
        <f t="shared" si="668"/>
        <v>0</v>
      </c>
      <c r="BK186" s="48">
        <f t="shared" si="668"/>
        <v>0</v>
      </c>
      <c r="BL186" s="48">
        <f t="shared" si="668"/>
        <v>0</v>
      </c>
      <c r="BM186" s="48">
        <f t="shared" si="668"/>
        <v>0</v>
      </c>
      <c r="BN186" s="48">
        <f t="shared" si="668"/>
        <v>0</v>
      </c>
      <c r="BO186" s="48">
        <f t="shared" si="668"/>
        <v>0</v>
      </c>
      <c r="BP186" s="48">
        <f t="shared" si="668"/>
        <v>0</v>
      </c>
      <c r="BQ186" s="48">
        <f t="shared" si="668"/>
        <v>0</v>
      </c>
      <c r="BR186" s="36">
        <f t="shared" si="9"/>
        <v>0</v>
      </c>
      <c r="BS186" s="38">
        <f t="shared" si="10"/>
        <v>1</v>
      </c>
      <c r="BT186" s="49">
        <f t="shared" si="11"/>
        <v>0</v>
      </c>
      <c r="BU186" s="38">
        <f t="shared" si="12"/>
        <v>1000</v>
      </c>
      <c r="BV186" s="57" t="str">
        <f>IFERROR(__xludf.DUMMYFUNCTION("""COMPUTED_VALUE"""),"Norris")</f>
        <v>Norris</v>
      </c>
      <c r="BW186" s="46">
        <f t="shared" si="13"/>
        <v>750</v>
      </c>
      <c r="BX186" s="47">
        <f t="shared" ref="BX186:CA186" si="669">AX186-$BU186</f>
        <v>-1000</v>
      </c>
      <c r="BY186" s="47">
        <f t="shared" si="669"/>
        <v>-1000</v>
      </c>
      <c r="BZ186" s="47">
        <f t="shared" si="669"/>
        <v>-500</v>
      </c>
      <c r="CA186" s="47">
        <f t="shared" si="669"/>
        <v>-1000</v>
      </c>
      <c r="CB186" s="47">
        <f t="shared" si="15"/>
        <v>-9750</v>
      </c>
      <c r="CC186" s="47">
        <f t="shared" ref="CC186:CQ186" si="670">BC186-$BU186</f>
        <v>-1000</v>
      </c>
      <c r="CD186" s="47">
        <f t="shared" si="670"/>
        <v>-1000</v>
      </c>
      <c r="CE186" s="47">
        <f t="shared" si="670"/>
        <v>-1000</v>
      </c>
      <c r="CF186" s="47">
        <f t="shared" si="670"/>
        <v>-1000</v>
      </c>
      <c r="CG186" s="47">
        <f t="shared" si="670"/>
        <v>-1000</v>
      </c>
      <c r="CH186" s="47">
        <f t="shared" si="670"/>
        <v>-1000</v>
      </c>
      <c r="CI186" s="47">
        <f t="shared" si="670"/>
        <v>-1000</v>
      </c>
      <c r="CJ186" s="47">
        <f t="shared" si="670"/>
        <v>-1000</v>
      </c>
      <c r="CK186" s="47">
        <f t="shared" si="670"/>
        <v>-1000</v>
      </c>
      <c r="CL186" s="47">
        <f t="shared" si="670"/>
        <v>-1000</v>
      </c>
      <c r="CM186" s="47">
        <f t="shared" si="670"/>
        <v>-1000</v>
      </c>
      <c r="CN186" s="47">
        <f t="shared" si="670"/>
        <v>-1000</v>
      </c>
      <c r="CO186" s="47">
        <f t="shared" si="670"/>
        <v>-1000</v>
      </c>
      <c r="CP186" s="47">
        <f t="shared" si="670"/>
        <v>-1000</v>
      </c>
      <c r="CQ186" s="47">
        <f t="shared" si="670"/>
        <v>-1000</v>
      </c>
      <c r="CR186" s="47"/>
      <c r="CS186" s="47"/>
      <c r="CT186" s="47"/>
      <c r="CU186" s="50" t="str">
        <f>IFERROR(__xludf.DUMMYFUNCTION("""COMPUTED_VALUE"""),"1652 Sylvan Ave.
Dallas, TX 75208          ")</f>
        <v>1652 Sylvan Ave.
Dallas, TX 75208          </v>
      </c>
      <c r="CV186" s="51">
        <f>IFERROR(__xludf.DUMMYFUNCTION("IF(REGEXMATCH(UPPER(CU186), ""TX""),0,1)"),0.0)</f>
        <v>0</v>
      </c>
      <c r="CW186" s="51">
        <f>IFERROR(__xludf.DUMMYFUNCTION("IF(REGEXMATCH(UPPER(CU186), ""DALLAS""),0,1)"),0.0)</f>
        <v>0</v>
      </c>
      <c r="CX186" s="51">
        <f t="shared" si="17"/>
        <v>0</v>
      </c>
      <c r="CY186" s="51">
        <f t="shared" si="18"/>
        <v>0</v>
      </c>
      <c r="CZ186" s="52" t="str">
        <f t="shared" si="19"/>
        <v/>
      </c>
      <c r="DA186" s="58"/>
      <c r="DB186" s="52"/>
      <c r="DC186" s="52"/>
      <c r="DD186" s="52"/>
      <c r="DE186" s="52"/>
      <c r="DF186" s="52"/>
      <c r="DG186" s="52"/>
      <c r="DH186" s="52"/>
      <c r="DI186" s="52"/>
      <c r="DJ186" s="52"/>
      <c r="DK186" s="52"/>
      <c r="DL186" s="52"/>
      <c r="DM186" s="52"/>
      <c r="DN186" s="52"/>
      <c r="DO186" s="52"/>
      <c r="DP186" s="52"/>
      <c r="DQ186" s="52"/>
      <c r="DR186" s="52"/>
      <c r="DS186" s="52"/>
      <c r="DT186" s="52"/>
      <c r="DU186" s="52"/>
      <c r="DV186" s="52"/>
      <c r="DW186" s="52"/>
    </row>
    <row r="187">
      <c r="A187" s="40" t="s">
        <v>55</v>
      </c>
      <c r="B187" s="41" t="s">
        <v>56</v>
      </c>
      <c r="C187" s="31" t="s">
        <v>543</v>
      </c>
      <c r="D187" s="25" t="str">
        <f>IFERROR(__xludf.DUMMYFUNCTION("SPLIT(C187,"" "")"),"Preziosi,")</f>
        <v>Preziosi,</v>
      </c>
      <c r="E187" s="40" t="str">
        <f>IFERROR(__xludf.DUMMYFUNCTION("""COMPUTED_VALUE"""),"David
2229")</f>
        <v>David
2229</v>
      </c>
      <c r="F187" s="40" t="str">
        <f>IFERROR(__xludf.DUMMYFUNCTION("""COMPUTED_VALUE"""),"Lawndale")</f>
        <v>Lawndale</v>
      </c>
      <c r="G187" s="40" t="str">
        <f>IFERROR(__xludf.DUMMYFUNCTION("""COMPUTED_VALUE"""),"Dr.
Dallas,")</f>
        <v>Dr.
Dallas,</v>
      </c>
      <c r="H187" s="40" t="str">
        <f>IFERROR(__xludf.DUMMYFUNCTION("""COMPUTED_VALUE"""),"TX")</f>
        <v>TX</v>
      </c>
      <c r="I187" s="40">
        <f>IFERROR(__xludf.DUMMYFUNCTION("""COMPUTED_VALUE"""),75211.0)</f>
        <v>75211</v>
      </c>
      <c r="J187" s="40"/>
      <c r="K187" s="40"/>
      <c r="L187" s="40"/>
      <c r="M187" s="40"/>
      <c r="N187" s="40"/>
      <c r="O187" s="40"/>
      <c r="P187" s="40"/>
      <c r="Q187" s="40"/>
      <c r="R187" s="40"/>
      <c r="S187" s="40"/>
      <c r="T187" s="40"/>
      <c r="U187" s="24" t="str">
        <f>IFERROR(__xludf.DUMMYFUNCTION("SPLIT(E187,""01234567890"")"),"David
")</f>
        <v>David
</v>
      </c>
      <c r="V187" s="24" t="str">
        <f>IFERROR(__xludf.DUMMYFUNCTION("SPLIT(D187,"","")"),"Preziosi")</f>
        <v>Preziosi</v>
      </c>
      <c r="W187" s="25" t="str">
        <f t="shared" si="1"/>
        <v>DAVID
 PREZIOSI</v>
      </c>
      <c r="X187" s="25" t="s">
        <v>544</v>
      </c>
      <c r="Y187" s="25">
        <v>75211.0</v>
      </c>
      <c r="Z187" s="25" t="str">
        <f>IFERROR(__xludf.DUMMYFUNCTION("SPLIT(C187,""
"")"),"Preziosi, David")</f>
        <v>Preziosi, David</v>
      </c>
      <c r="AA187" s="25" t="str">
        <f>IFERROR(__xludf.DUMMYFUNCTION("""COMPUTED_VALUE"""),"2229 Lawndale Dr.")</f>
        <v>2229 Lawndale Dr.</v>
      </c>
      <c r="AB187" s="25" t="str">
        <f>IFERROR(__xludf.DUMMYFUNCTION("""COMPUTED_VALUE"""),"Dallas, TX 75211")</f>
        <v>Dallas, TX 75211</v>
      </c>
      <c r="AC187" s="24" t="s">
        <v>545</v>
      </c>
      <c r="AD187" s="25"/>
      <c r="AE187" s="25"/>
      <c r="AF187" s="25"/>
      <c r="AG187" s="40" t="s">
        <v>60</v>
      </c>
      <c r="AH187" s="42">
        <v>2441.0</v>
      </c>
      <c r="AI187" s="40" t="s">
        <v>61</v>
      </c>
      <c r="AJ187" s="27">
        <v>250.0</v>
      </c>
      <c r="AK187" s="31" t="s">
        <v>21</v>
      </c>
      <c r="AL187" s="43">
        <v>44728.0</v>
      </c>
      <c r="AM187" s="44">
        <v>44756.4640625</v>
      </c>
      <c r="AN187" s="30">
        <v>2.0</v>
      </c>
      <c r="AO187" s="40"/>
      <c r="AP187" s="40"/>
      <c r="AQ187" s="40"/>
      <c r="AR187" s="40"/>
      <c r="AS187" s="40"/>
      <c r="AT187" s="47"/>
      <c r="AU187" s="40"/>
      <c r="AV187" s="46" t="str">
        <f>IFERROR(__xludf.DUMMYFUNCTION("""COMPUTED_VALUE"""),"Nye")</f>
        <v>Nye</v>
      </c>
      <c r="AW187" s="46">
        <f t="shared" si="7"/>
        <v>1000</v>
      </c>
      <c r="AX187" s="47">
        <f t="shared" ref="AX187:BQ187" si="671">SUMIFS($AJ:$AJ,$V:$V,$AV187,$AK:$AK,AX$2)</f>
        <v>0</v>
      </c>
      <c r="AY187" s="48">
        <f t="shared" si="671"/>
        <v>0</v>
      </c>
      <c r="AZ187" s="48">
        <f t="shared" si="671"/>
        <v>0</v>
      </c>
      <c r="BA187" s="48">
        <f t="shared" si="671"/>
        <v>0</v>
      </c>
      <c r="BB187" s="48">
        <f t="shared" si="671"/>
        <v>1000</v>
      </c>
      <c r="BC187" s="48">
        <f t="shared" si="671"/>
        <v>0</v>
      </c>
      <c r="BD187" s="48">
        <f t="shared" si="671"/>
        <v>0</v>
      </c>
      <c r="BE187" s="48">
        <f t="shared" si="671"/>
        <v>0</v>
      </c>
      <c r="BF187" s="48">
        <f t="shared" si="671"/>
        <v>0</v>
      </c>
      <c r="BG187" s="48">
        <f t="shared" si="671"/>
        <v>0</v>
      </c>
      <c r="BH187" s="48">
        <f t="shared" si="671"/>
        <v>0</v>
      </c>
      <c r="BI187" s="48">
        <f t="shared" si="671"/>
        <v>0</v>
      </c>
      <c r="BJ187" s="48">
        <f t="shared" si="671"/>
        <v>0</v>
      </c>
      <c r="BK187" s="48">
        <f t="shared" si="671"/>
        <v>0</v>
      </c>
      <c r="BL187" s="48">
        <f t="shared" si="671"/>
        <v>0</v>
      </c>
      <c r="BM187" s="48">
        <f t="shared" si="671"/>
        <v>0</v>
      </c>
      <c r="BN187" s="48">
        <f t="shared" si="671"/>
        <v>0</v>
      </c>
      <c r="BO187" s="48">
        <f t="shared" si="671"/>
        <v>0</v>
      </c>
      <c r="BP187" s="48">
        <f t="shared" si="671"/>
        <v>0</v>
      </c>
      <c r="BQ187" s="48">
        <f t="shared" si="671"/>
        <v>0</v>
      </c>
      <c r="BR187" s="36">
        <f t="shared" si="9"/>
        <v>0</v>
      </c>
      <c r="BS187" s="38">
        <f t="shared" si="10"/>
        <v>1</v>
      </c>
      <c r="BT187" s="49">
        <f t="shared" si="11"/>
        <v>0</v>
      </c>
      <c r="BU187" s="38">
        <f t="shared" si="12"/>
        <v>1000</v>
      </c>
      <c r="BV187" s="46" t="str">
        <f>IFERROR(__xludf.DUMMYFUNCTION("""COMPUTED_VALUE"""),"Nye")</f>
        <v>Nye</v>
      </c>
      <c r="BW187" s="46">
        <f t="shared" si="13"/>
        <v>1000</v>
      </c>
      <c r="BX187" s="47">
        <f t="shared" ref="BX187:CA187" si="672">AX187-$BU187</f>
        <v>-1000</v>
      </c>
      <c r="BY187" s="47">
        <f t="shared" si="672"/>
        <v>-1000</v>
      </c>
      <c r="BZ187" s="47">
        <f t="shared" si="672"/>
        <v>-1000</v>
      </c>
      <c r="CA187" s="47">
        <f t="shared" si="672"/>
        <v>-1000</v>
      </c>
      <c r="CB187" s="47">
        <f t="shared" si="15"/>
        <v>-9000</v>
      </c>
      <c r="CC187" s="47">
        <f t="shared" ref="CC187:CQ187" si="673">BC187-$BU187</f>
        <v>-1000</v>
      </c>
      <c r="CD187" s="47">
        <f t="shared" si="673"/>
        <v>-1000</v>
      </c>
      <c r="CE187" s="47">
        <f t="shared" si="673"/>
        <v>-1000</v>
      </c>
      <c r="CF187" s="47">
        <f t="shared" si="673"/>
        <v>-1000</v>
      </c>
      <c r="CG187" s="47">
        <f t="shared" si="673"/>
        <v>-1000</v>
      </c>
      <c r="CH187" s="47">
        <f t="shared" si="673"/>
        <v>-1000</v>
      </c>
      <c r="CI187" s="47">
        <f t="shared" si="673"/>
        <v>-1000</v>
      </c>
      <c r="CJ187" s="47">
        <f t="shared" si="673"/>
        <v>-1000</v>
      </c>
      <c r="CK187" s="47">
        <f t="shared" si="673"/>
        <v>-1000</v>
      </c>
      <c r="CL187" s="47">
        <f t="shared" si="673"/>
        <v>-1000</v>
      </c>
      <c r="CM187" s="47">
        <f t="shared" si="673"/>
        <v>-1000</v>
      </c>
      <c r="CN187" s="47">
        <f t="shared" si="673"/>
        <v>-1000</v>
      </c>
      <c r="CO187" s="47">
        <f t="shared" si="673"/>
        <v>-1000</v>
      </c>
      <c r="CP187" s="47">
        <f t="shared" si="673"/>
        <v>-1000</v>
      </c>
      <c r="CQ187" s="47">
        <f t="shared" si="673"/>
        <v>-1000</v>
      </c>
      <c r="CR187" s="47"/>
      <c r="CS187" s="47"/>
      <c r="CT187" s="47"/>
      <c r="CU187" s="50" t="str">
        <f>IFERROR(__xludf.DUMMYFUNCTION("""COMPUTED_VALUE"""),"3629 Greenbrier Dr.
Dallas, TX 75225          ")</f>
        <v>3629 Greenbrier Dr.
Dallas, TX 75225          </v>
      </c>
      <c r="CV187" s="51">
        <f>IFERROR(__xludf.DUMMYFUNCTION("IF(REGEXMATCH(UPPER(CU187), ""TX""),0,1)"),0.0)</f>
        <v>0</v>
      </c>
      <c r="CW187" s="51">
        <f>IFERROR(__xludf.DUMMYFUNCTION("IF(REGEXMATCH(UPPER(CU187), ""DALLAS""),0,1)"),0.0)</f>
        <v>0</v>
      </c>
      <c r="CX187" s="51">
        <f t="shared" si="17"/>
        <v>0</v>
      </c>
      <c r="CY187" s="51">
        <f t="shared" si="18"/>
        <v>0</v>
      </c>
      <c r="CZ187" s="52" t="str">
        <f t="shared" si="19"/>
        <v/>
      </c>
      <c r="DA187" s="58"/>
      <c r="DB187" s="52"/>
      <c r="DC187" s="52"/>
      <c r="DD187" s="52"/>
      <c r="DE187" s="52"/>
      <c r="DF187" s="52"/>
      <c r="DG187" s="52"/>
      <c r="DH187" s="52"/>
      <c r="DI187" s="52"/>
      <c r="DJ187" s="52"/>
      <c r="DK187" s="52"/>
      <c r="DL187" s="52"/>
      <c r="DM187" s="52"/>
      <c r="DN187" s="52"/>
      <c r="DO187" s="52"/>
      <c r="DP187" s="52"/>
      <c r="DQ187" s="52"/>
      <c r="DR187" s="52"/>
      <c r="DS187" s="52"/>
      <c r="DT187" s="52"/>
      <c r="DU187" s="52"/>
      <c r="DV187" s="52"/>
      <c r="DW187" s="52"/>
    </row>
    <row r="188">
      <c r="A188" s="22" t="s">
        <v>55</v>
      </c>
      <c r="B188" s="23" t="s">
        <v>56</v>
      </c>
      <c r="C188" s="31" t="s">
        <v>171</v>
      </c>
      <c r="D188" s="25" t="str">
        <f>IFERROR(__xludf.DUMMYFUNCTION("SPLIT(C188,"" "")"),"Andersen,")</f>
        <v>Andersen,</v>
      </c>
      <c r="E188" s="22" t="str">
        <f>IFERROR(__xludf.DUMMYFUNCTION("""COMPUTED_VALUE"""),"Jakob
903")</f>
        <v>Jakob
903</v>
      </c>
      <c r="F188" s="22" t="str">
        <f>IFERROR(__xludf.DUMMYFUNCTION("""COMPUTED_VALUE"""),"Stevens")</f>
        <v>Stevens</v>
      </c>
      <c r="G188" s="22" t="str">
        <f>IFERROR(__xludf.DUMMYFUNCTION("""COMPUTED_VALUE"""),"Woods")</f>
        <v>Woods</v>
      </c>
      <c r="H188" s="22" t="str">
        <f>IFERROR(__xludf.DUMMYFUNCTION("""COMPUTED_VALUE"""),"Ct.
Dallas,")</f>
        <v>Ct.
Dallas,</v>
      </c>
      <c r="I188" s="22" t="str">
        <f>IFERROR(__xludf.DUMMYFUNCTION("""COMPUTED_VALUE"""),"TX")</f>
        <v>TX</v>
      </c>
      <c r="J188" s="22">
        <f>IFERROR(__xludf.DUMMYFUNCTION("""COMPUTED_VALUE"""),75208.0)</f>
        <v>75208</v>
      </c>
      <c r="K188" s="22"/>
      <c r="L188" s="22"/>
      <c r="M188" s="22"/>
      <c r="N188" s="22"/>
      <c r="O188" s="22"/>
      <c r="P188" s="22"/>
      <c r="Q188" s="22"/>
      <c r="R188" s="22"/>
      <c r="S188" s="22"/>
      <c r="T188" s="22"/>
      <c r="U188" s="24" t="str">
        <f>IFERROR(__xludf.DUMMYFUNCTION("SPLIT(E188,""01234567890"")"),"Jakob
")</f>
        <v>Jakob
</v>
      </c>
      <c r="V188" s="24" t="str">
        <f>IFERROR(__xludf.DUMMYFUNCTION("SPLIT(D188,"","")"),"Andersen")</f>
        <v>Andersen</v>
      </c>
      <c r="W188" s="25" t="str">
        <f t="shared" si="1"/>
        <v>JAKOB
 ANDERSEN</v>
      </c>
      <c r="X188" s="25" t="s">
        <v>172</v>
      </c>
      <c r="Y188" s="25">
        <v>75208.0</v>
      </c>
      <c r="Z188" s="25" t="str">
        <f>IFERROR(__xludf.DUMMYFUNCTION("SPLIT(C188,""
"")"),"Andersen, Jakob")</f>
        <v>Andersen, Jakob</v>
      </c>
      <c r="AA188" s="25" t="str">
        <f>IFERROR(__xludf.DUMMYFUNCTION("""COMPUTED_VALUE"""),"903 Stevens Woods Ct.")</f>
        <v>903 Stevens Woods Ct.</v>
      </c>
      <c r="AB188" s="25" t="str">
        <f>IFERROR(__xludf.DUMMYFUNCTION("""COMPUTED_VALUE"""),"Dallas, TX 75208")</f>
        <v>Dallas, TX 75208</v>
      </c>
      <c r="AC188" s="24" t="s">
        <v>173</v>
      </c>
      <c r="AD188" s="25"/>
      <c r="AE188" s="25"/>
      <c r="AF188" s="25"/>
      <c r="AG188" s="22" t="s">
        <v>60</v>
      </c>
      <c r="AH188" s="54">
        <v>2441.0</v>
      </c>
      <c r="AI188" s="22" t="s">
        <v>61</v>
      </c>
      <c r="AJ188" s="27">
        <v>833.0</v>
      </c>
      <c r="AK188" s="31" t="s">
        <v>21</v>
      </c>
      <c r="AL188" s="28">
        <v>44728.0</v>
      </c>
      <c r="AM188" s="29">
        <v>44756.4640625</v>
      </c>
      <c r="AN188" s="30">
        <v>2.0</v>
      </c>
      <c r="AO188" s="22"/>
      <c r="AP188" s="22"/>
      <c r="AQ188" s="22"/>
      <c r="AR188" s="22"/>
      <c r="AS188" s="22"/>
      <c r="AT188" s="70"/>
      <c r="AU188" s="22"/>
      <c r="AV188" s="57" t="str">
        <f>IFERROR(__xludf.DUMMYFUNCTION("""COMPUTED_VALUE"""),"Rajani")</f>
        <v>Rajani</v>
      </c>
      <c r="AW188" s="46">
        <f t="shared" si="7"/>
        <v>250</v>
      </c>
      <c r="AX188" s="47">
        <f t="shared" ref="AX188:BQ188" si="674">SUMIFS($AJ:$AJ,$V:$V,$AV188,$AK:$AK,AX$2)</f>
        <v>0</v>
      </c>
      <c r="AY188" s="48">
        <f t="shared" si="674"/>
        <v>0</v>
      </c>
      <c r="AZ188" s="48">
        <f t="shared" si="674"/>
        <v>0</v>
      </c>
      <c r="BA188" s="48">
        <f t="shared" si="674"/>
        <v>0</v>
      </c>
      <c r="BB188" s="48">
        <f t="shared" si="674"/>
        <v>250</v>
      </c>
      <c r="BC188" s="48">
        <f t="shared" si="674"/>
        <v>0</v>
      </c>
      <c r="BD188" s="48">
        <f t="shared" si="674"/>
        <v>0</v>
      </c>
      <c r="BE188" s="48">
        <f t="shared" si="674"/>
        <v>0</v>
      </c>
      <c r="BF188" s="48">
        <f t="shared" si="674"/>
        <v>0</v>
      </c>
      <c r="BG188" s="48">
        <f t="shared" si="674"/>
        <v>0</v>
      </c>
      <c r="BH188" s="48">
        <f t="shared" si="674"/>
        <v>0</v>
      </c>
      <c r="BI188" s="48">
        <f t="shared" si="674"/>
        <v>0</v>
      </c>
      <c r="BJ188" s="48">
        <f t="shared" si="674"/>
        <v>0</v>
      </c>
      <c r="BK188" s="48">
        <f t="shared" si="674"/>
        <v>0</v>
      </c>
      <c r="BL188" s="48">
        <f t="shared" si="674"/>
        <v>0</v>
      </c>
      <c r="BM188" s="48">
        <f t="shared" si="674"/>
        <v>0</v>
      </c>
      <c r="BN188" s="48">
        <f t="shared" si="674"/>
        <v>0</v>
      </c>
      <c r="BO188" s="48">
        <f t="shared" si="674"/>
        <v>0</v>
      </c>
      <c r="BP188" s="48">
        <f t="shared" si="674"/>
        <v>0</v>
      </c>
      <c r="BQ188" s="48">
        <f t="shared" si="674"/>
        <v>0</v>
      </c>
      <c r="BR188" s="36">
        <f t="shared" si="9"/>
        <v>0</v>
      </c>
      <c r="BS188" s="38">
        <f t="shared" si="10"/>
        <v>1</v>
      </c>
      <c r="BT188" s="49">
        <f t="shared" si="11"/>
        <v>0</v>
      </c>
      <c r="BU188" s="38">
        <f t="shared" si="12"/>
        <v>1000</v>
      </c>
      <c r="BV188" s="57" t="str">
        <f>IFERROR(__xludf.DUMMYFUNCTION("""COMPUTED_VALUE"""),"Rajani")</f>
        <v>Rajani</v>
      </c>
      <c r="BW188" s="46">
        <f t="shared" si="13"/>
        <v>250</v>
      </c>
      <c r="BX188" s="47">
        <f t="shared" ref="BX188:CA188" si="675">AX188-$BU188</f>
        <v>-1000</v>
      </c>
      <c r="BY188" s="47">
        <f t="shared" si="675"/>
        <v>-1000</v>
      </c>
      <c r="BZ188" s="47">
        <f t="shared" si="675"/>
        <v>-1000</v>
      </c>
      <c r="CA188" s="47">
        <f t="shared" si="675"/>
        <v>-1000</v>
      </c>
      <c r="CB188" s="47">
        <f t="shared" si="15"/>
        <v>-9750</v>
      </c>
      <c r="CC188" s="47">
        <f t="shared" ref="CC188:CQ188" si="676">BC188-$BU188</f>
        <v>-1000</v>
      </c>
      <c r="CD188" s="47">
        <f t="shared" si="676"/>
        <v>-1000</v>
      </c>
      <c r="CE188" s="47">
        <f t="shared" si="676"/>
        <v>-1000</v>
      </c>
      <c r="CF188" s="47">
        <f t="shared" si="676"/>
        <v>-1000</v>
      </c>
      <c r="CG188" s="47">
        <f t="shared" si="676"/>
        <v>-1000</v>
      </c>
      <c r="CH188" s="47">
        <f t="shared" si="676"/>
        <v>-1000</v>
      </c>
      <c r="CI188" s="47">
        <f t="shared" si="676"/>
        <v>-1000</v>
      </c>
      <c r="CJ188" s="47">
        <f t="shared" si="676"/>
        <v>-1000</v>
      </c>
      <c r="CK188" s="47">
        <f t="shared" si="676"/>
        <v>-1000</v>
      </c>
      <c r="CL188" s="47">
        <f t="shared" si="676"/>
        <v>-1000</v>
      </c>
      <c r="CM188" s="47">
        <f t="shared" si="676"/>
        <v>-1000</v>
      </c>
      <c r="CN188" s="47">
        <f t="shared" si="676"/>
        <v>-1000</v>
      </c>
      <c r="CO188" s="47">
        <f t="shared" si="676"/>
        <v>-1000</v>
      </c>
      <c r="CP188" s="47">
        <f t="shared" si="676"/>
        <v>-1000</v>
      </c>
      <c r="CQ188" s="47">
        <f t="shared" si="676"/>
        <v>-1000</v>
      </c>
      <c r="CR188" s="47"/>
      <c r="CS188" s="47"/>
      <c r="CT188" s="47"/>
      <c r="CU188" s="50" t="str">
        <f>IFERROR(__xludf.DUMMYFUNCTION("""COMPUTED_VALUE"""),"7002 Vivian Ave.
Dallas, TX 75223          ")</f>
        <v>7002 Vivian Ave.
Dallas, TX 75223          </v>
      </c>
      <c r="CV188" s="51">
        <f>IFERROR(__xludf.DUMMYFUNCTION("IF(REGEXMATCH(UPPER(CU188), ""TX""),0,1)"),0.0)</f>
        <v>0</v>
      </c>
      <c r="CW188" s="51">
        <f>IFERROR(__xludf.DUMMYFUNCTION("IF(REGEXMATCH(UPPER(CU188), ""DALLAS""),0,1)"),0.0)</f>
        <v>0</v>
      </c>
      <c r="CX188" s="51">
        <f t="shared" si="17"/>
        <v>0</v>
      </c>
      <c r="CY188" s="51">
        <f t="shared" si="18"/>
        <v>0</v>
      </c>
      <c r="CZ188" s="52" t="str">
        <f t="shared" si="19"/>
        <v/>
      </c>
      <c r="DA188" s="58"/>
      <c r="DB188" s="52"/>
      <c r="DC188" s="52"/>
      <c r="DD188" s="52"/>
      <c r="DE188" s="52"/>
      <c r="DF188" s="52"/>
      <c r="DG188" s="52"/>
      <c r="DH188" s="52"/>
      <c r="DI188" s="52"/>
      <c r="DJ188" s="52"/>
      <c r="DK188" s="52"/>
      <c r="DL188" s="52"/>
      <c r="DM188" s="52"/>
      <c r="DN188" s="52"/>
      <c r="DO188" s="52"/>
      <c r="DP188" s="52"/>
      <c r="DQ188" s="52"/>
      <c r="DR188" s="52"/>
      <c r="DS188" s="52"/>
      <c r="DT188" s="52"/>
      <c r="DU188" s="52"/>
      <c r="DV188" s="52"/>
      <c r="DW188" s="52"/>
    </row>
    <row r="189">
      <c r="A189" s="40" t="s">
        <v>55</v>
      </c>
      <c r="B189" s="41" t="s">
        <v>56</v>
      </c>
      <c r="C189" s="31" t="s">
        <v>546</v>
      </c>
      <c r="D189" s="25" t="str">
        <f>IFERROR(__xludf.DUMMYFUNCTION("SPLIT(C189,"" "")"),"Nasca,")</f>
        <v>Nasca,</v>
      </c>
      <c r="E189" s="40" t="str">
        <f>IFERROR(__xludf.DUMMYFUNCTION("""COMPUTED_VALUE"""),"Ralph
4713")</f>
        <v>Ralph
4713</v>
      </c>
      <c r="F189" s="40" t="str">
        <f>IFERROR(__xludf.DUMMYFUNCTION("""COMPUTED_VALUE"""),"Clydesdale")</f>
        <v>Clydesdale</v>
      </c>
      <c r="G189" s="40" t="str">
        <f>IFERROR(__xludf.DUMMYFUNCTION("""COMPUTED_VALUE"""),"Dr.
Flower")</f>
        <v>Dr.
Flower</v>
      </c>
      <c r="H189" s="40" t="str">
        <f>IFERROR(__xludf.DUMMYFUNCTION("""COMPUTED_VALUE"""),"Mound,")</f>
        <v>Mound,</v>
      </c>
      <c r="I189" s="40" t="str">
        <f>IFERROR(__xludf.DUMMYFUNCTION("""COMPUTED_VALUE"""),"TX")</f>
        <v>TX</v>
      </c>
      <c r="J189" s="40">
        <f>IFERROR(__xludf.DUMMYFUNCTION("""COMPUTED_VALUE"""),75028.0)</f>
        <v>75028</v>
      </c>
      <c r="K189" s="40"/>
      <c r="L189" s="40"/>
      <c r="M189" s="40"/>
      <c r="N189" s="40"/>
      <c r="O189" s="40"/>
      <c r="P189" s="40"/>
      <c r="Q189" s="40"/>
      <c r="R189" s="40"/>
      <c r="S189" s="40"/>
      <c r="T189" s="40"/>
      <c r="U189" s="24" t="str">
        <f>IFERROR(__xludf.DUMMYFUNCTION("SPLIT(E189,""01234567890"")"),"Ralph
")</f>
        <v>Ralph
</v>
      </c>
      <c r="V189" s="24" t="str">
        <f>IFERROR(__xludf.DUMMYFUNCTION("SPLIT(D189,"","")"),"Nasca")</f>
        <v>Nasca</v>
      </c>
      <c r="W189" s="25" t="str">
        <f t="shared" si="1"/>
        <v>RALPH
 NASCA</v>
      </c>
      <c r="X189" s="25" t="s">
        <v>547</v>
      </c>
      <c r="Y189" s="25">
        <v>75028.0</v>
      </c>
      <c r="Z189" s="25" t="str">
        <f>IFERROR(__xludf.DUMMYFUNCTION("SPLIT(C189,""
"")"),"Nasca, Ralph")</f>
        <v>Nasca, Ralph</v>
      </c>
      <c r="AA189" s="25" t="str">
        <f>IFERROR(__xludf.DUMMYFUNCTION("""COMPUTED_VALUE"""),"4713 Clydesdale Dr.")</f>
        <v>4713 Clydesdale Dr.</v>
      </c>
      <c r="AB189" s="25" t="str">
        <f>IFERROR(__xludf.DUMMYFUNCTION("""COMPUTED_VALUE"""),"Flower Mound, TX 75028")</f>
        <v>Flower Mound, TX 75028</v>
      </c>
      <c r="AC189" s="24" t="s">
        <v>548</v>
      </c>
      <c r="AD189" s="25"/>
      <c r="AE189" s="25"/>
      <c r="AF189" s="25"/>
      <c r="AG189" s="40" t="s">
        <v>60</v>
      </c>
      <c r="AH189" s="42">
        <v>2441.0</v>
      </c>
      <c r="AI189" s="40" t="s">
        <v>61</v>
      </c>
      <c r="AJ189" s="27">
        <v>500.0</v>
      </c>
      <c r="AK189" s="31" t="s">
        <v>21</v>
      </c>
      <c r="AL189" s="43">
        <v>44728.0</v>
      </c>
      <c r="AM189" s="44">
        <v>44756.4640625</v>
      </c>
      <c r="AN189" s="30">
        <v>2.0</v>
      </c>
      <c r="AO189" s="40"/>
      <c r="AP189" s="40"/>
      <c r="AQ189" s="40"/>
      <c r="AR189" s="40"/>
      <c r="AS189" s="40"/>
      <c r="AT189" s="47"/>
      <c r="AU189" s="40"/>
      <c r="AV189" s="46" t="str">
        <f>IFERROR(__xludf.DUMMYFUNCTION("""COMPUTED_VALUE"""),"Rose")</f>
        <v>Rose</v>
      </c>
      <c r="AW189" s="46">
        <f t="shared" si="7"/>
        <v>10000</v>
      </c>
      <c r="AX189" s="47">
        <f t="shared" ref="AX189:BQ189" si="677">SUMIFS($AJ:$AJ,$V:$V,$AV189,$AK:$AK,AX$2)</f>
        <v>0</v>
      </c>
      <c r="AY189" s="48">
        <f t="shared" si="677"/>
        <v>0</v>
      </c>
      <c r="AZ189" s="48">
        <f t="shared" si="677"/>
        <v>0</v>
      </c>
      <c r="BA189" s="48">
        <f t="shared" si="677"/>
        <v>0</v>
      </c>
      <c r="BB189" s="48">
        <f t="shared" si="677"/>
        <v>10000</v>
      </c>
      <c r="BC189" s="48">
        <f t="shared" si="677"/>
        <v>0</v>
      </c>
      <c r="BD189" s="48">
        <f t="shared" si="677"/>
        <v>0</v>
      </c>
      <c r="BE189" s="48">
        <f t="shared" si="677"/>
        <v>0</v>
      </c>
      <c r="BF189" s="48">
        <f t="shared" si="677"/>
        <v>0</v>
      </c>
      <c r="BG189" s="48">
        <f t="shared" si="677"/>
        <v>0</v>
      </c>
      <c r="BH189" s="48">
        <f t="shared" si="677"/>
        <v>0</v>
      </c>
      <c r="BI189" s="48">
        <f t="shared" si="677"/>
        <v>0</v>
      </c>
      <c r="BJ189" s="48">
        <f t="shared" si="677"/>
        <v>0</v>
      </c>
      <c r="BK189" s="48">
        <f t="shared" si="677"/>
        <v>0</v>
      </c>
      <c r="BL189" s="48">
        <f t="shared" si="677"/>
        <v>0</v>
      </c>
      <c r="BM189" s="48">
        <f t="shared" si="677"/>
        <v>0</v>
      </c>
      <c r="BN189" s="48">
        <f t="shared" si="677"/>
        <v>0</v>
      </c>
      <c r="BO189" s="48">
        <f t="shared" si="677"/>
        <v>0</v>
      </c>
      <c r="BP189" s="48">
        <f t="shared" si="677"/>
        <v>0</v>
      </c>
      <c r="BQ189" s="48">
        <f t="shared" si="677"/>
        <v>0</v>
      </c>
      <c r="BR189" s="36">
        <f t="shared" si="9"/>
        <v>0</v>
      </c>
      <c r="BS189" s="38">
        <f t="shared" si="10"/>
        <v>1</v>
      </c>
      <c r="BT189" s="49">
        <f t="shared" si="11"/>
        <v>0</v>
      </c>
      <c r="BU189" s="38">
        <f t="shared" si="12"/>
        <v>1000</v>
      </c>
      <c r="BV189" s="46" t="str">
        <f>IFERROR(__xludf.DUMMYFUNCTION("""COMPUTED_VALUE"""),"Rose")</f>
        <v>Rose</v>
      </c>
      <c r="BW189" s="46">
        <f t="shared" si="13"/>
        <v>10000</v>
      </c>
      <c r="BX189" s="47">
        <f t="shared" ref="BX189:CA189" si="678">AX189-$BU189</f>
        <v>-1000</v>
      </c>
      <c r="BY189" s="47">
        <f t="shared" si="678"/>
        <v>-1000</v>
      </c>
      <c r="BZ189" s="47">
        <f t="shared" si="678"/>
        <v>-1000</v>
      </c>
      <c r="CA189" s="47">
        <f t="shared" si="678"/>
        <v>-1000</v>
      </c>
      <c r="CB189" s="47">
        <f t="shared" si="15"/>
        <v>0</v>
      </c>
      <c r="CC189" s="47">
        <f t="shared" ref="CC189:CQ189" si="679">BC189-$BU189</f>
        <v>-1000</v>
      </c>
      <c r="CD189" s="47">
        <f t="shared" si="679"/>
        <v>-1000</v>
      </c>
      <c r="CE189" s="47">
        <f t="shared" si="679"/>
        <v>-1000</v>
      </c>
      <c r="CF189" s="47">
        <f t="shared" si="679"/>
        <v>-1000</v>
      </c>
      <c r="CG189" s="47">
        <f t="shared" si="679"/>
        <v>-1000</v>
      </c>
      <c r="CH189" s="47">
        <f t="shared" si="679"/>
        <v>-1000</v>
      </c>
      <c r="CI189" s="47">
        <f t="shared" si="679"/>
        <v>-1000</v>
      </c>
      <c r="CJ189" s="47">
        <f t="shared" si="679"/>
        <v>-1000</v>
      </c>
      <c r="CK189" s="47">
        <f t="shared" si="679"/>
        <v>-1000</v>
      </c>
      <c r="CL189" s="47">
        <f t="shared" si="679"/>
        <v>-1000</v>
      </c>
      <c r="CM189" s="47">
        <f t="shared" si="679"/>
        <v>-1000</v>
      </c>
      <c r="CN189" s="47">
        <f t="shared" si="679"/>
        <v>-1000</v>
      </c>
      <c r="CO189" s="47">
        <f t="shared" si="679"/>
        <v>-1000</v>
      </c>
      <c r="CP189" s="47">
        <f t="shared" si="679"/>
        <v>-1000</v>
      </c>
      <c r="CQ189" s="47">
        <f t="shared" si="679"/>
        <v>-1000</v>
      </c>
      <c r="CR189" s="47"/>
      <c r="CS189" s="47"/>
      <c r="CT189" s="47"/>
      <c r="CU189" s="50" t="str">
        <f>IFERROR(__xludf.DUMMYFUNCTION("""COMPUTED_VALUE"""),"1001 W. 10th St.
Dallas, TX 75208         ")</f>
        <v>1001 W. 10th St.
Dallas, TX 75208         </v>
      </c>
      <c r="CV189" s="51">
        <f>IFERROR(__xludf.DUMMYFUNCTION("IF(REGEXMATCH(UPPER(CU189), ""TX""),0,1)"),0.0)</f>
        <v>0</v>
      </c>
      <c r="CW189" s="51">
        <f>IFERROR(__xludf.DUMMYFUNCTION("IF(REGEXMATCH(UPPER(CU189), ""DALLAS""),0,1)"),0.0)</f>
        <v>0</v>
      </c>
      <c r="CX189" s="51">
        <f t="shared" si="17"/>
        <v>0</v>
      </c>
      <c r="CY189" s="51">
        <f t="shared" si="18"/>
        <v>0</v>
      </c>
      <c r="CZ189" s="52" t="str">
        <f t="shared" si="19"/>
        <v/>
      </c>
      <c r="DA189" s="58"/>
      <c r="DB189" s="52"/>
      <c r="DC189" s="52"/>
      <c r="DD189" s="52"/>
      <c r="DE189" s="52"/>
      <c r="DF189" s="52"/>
      <c r="DG189" s="52"/>
      <c r="DH189" s="52"/>
      <c r="DI189" s="52"/>
      <c r="DJ189" s="52"/>
      <c r="DK189" s="52"/>
      <c r="DL189" s="52"/>
      <c r="DM189" s="52"/>
      <c r="DN189" s="52"/>
      <c r="DO189" s="52"/>
      <c r="DP189" s="52"/>
      <c r="DQ189" s="52"/>
      <c r="DR189" s="52"/>
      <c r="DS189" s="52"/>
      <c r="DT189" s="52"/>
      <c r="DU189" s="52"/>
      <c r="DV189" s="52"/>
      <c r="DW189" s="52"/>
    </row>
    <row r="190">
      <c r="A190" s="22" t="s">
        <v>55</v>
      </c>
      <c r="B190" s="23" t="s">
        <v>56</v>
      </c>
      <c r="C190" s="31" t="s">
        <v>549</v>
      </c>
      <c r="D190" s="25" t="str">
        <f>IFERROR(__xludf.DUMMYFUNCTION("SPLIT(C190,"" "")"),"Masterman,")</f>
        <v>Masterman,</v>
      </c>
      <c r="E190" s="22" t="str">
        <f>IFERROR(__xludf.DUMMYFUNCTION("""COMPUTED_VALUE"""),"Shane
914")</f>
        <v>Shane
914</v>
      </c>
      <c r="F190" s="22" t="str">
        <f>IFERROR(__xludf.DUMMYFUNCTION("""COMPUTED_VALUE"""),"Stevens")</f>
        <v>Stevens</v>
      </c>
      <c r="G190" s="22" t="str">
        <f>IFERROR(__xludf.DUMMYFUNCTION("""COMPUTED_VALUE"""),"Woods")</f>
        <v>Woods</v>
      </c>
      <c r="H190" s="22" t="str">
        <f>IFERROR(__xludf.DUMMYFUNCTION("""COMPUTED_VALUE"""),"Ct.
Dallas,")</f>
        <v>Ct.
Dallas,</v>
      </c>
      <c r="I190" s="22" t="str">
        <f>IFERROR(__xludf.DUMMYFUNCTION("""COMPUTED_VALUE"""),"TX")</f>
        <v>TX</v>
      </c>
      <c r="J190" s="22">
        <f>IFERROR(__xludf.DUMMYFUNCTION("""COMPUTED_VALUE"""),75208.0)</f>
        <v>75208</v>
      </c>
      <c r="K190" s="22"/>
      <c r="L190" s="22"/>
      <c r="M190" s="22"/>
      <c r="N190" s="22"/>
      <c r="O190" s="22"/>
      <c r="P190" s="22"/>
      <c r="Q190" s="22"/>
      <c r="R190" s="22"/>
      <c r="S190" s="22"/>
      <c r="T190" s="22"/>
      <c r="U190" s="24" t="str">
        <f>IFERROR(__xludf.DUMMYFUNCTION("SPLIT(E190,""01234567890"")"),"Shane
")</f>
        <v>Shane
</v>
      </c>
      <c r="V190" s="24" t="str">
        <f>IFERROR(__xludf.DUMMYFUNCTION("SPLIT(D190,"","")"),"Masterman")</f>
        <v>Masterman</v>
      </c>
      <c r="W190" s="25" t="str">
        <f t="shared" si="1"/>
        <v>SHANE
 MASTERMAN</v>
      </c>
      <c r="X190" s="25" t="s">
        <v>550</v>
      </c>
      <c r="Y190" s="25">
        <v>75208.0</v>
      </c>
      <c r="Z190" s="25" t="str">
        <f>IFERROR(__xludf.DUMMYFUNCTION("SPLIT(C190,""
"")"),"Masterman, Shane")</f>
        <v>Masterman, Shane</v>
      </c>
      <c r="AA190" s="25" t="str">
        <f>IFERROR(__xludf.DUMMYFUNCTION("""COMPUTED_VALUE"""),"914 Stevens Woods Ct.")</f>
        <v>914 Stevens Woods Ct.</v>
      </c>
      <c r="AB190" s="25" t="str">
        <f>IFERROR(__xludf.DUMMYFUNCTION("""COMPUTED_VALUE"""),"Dallas, TX 75208")</f>
        <v>Dallas, TX 75208</v>
      </c>
      <c r="AC190" s="24" t="s">
        <v>551</v>
      </c>
      <c r="AD190" s="25"/>
      <c r="AE190" s="25"/>
      <c r="AF190" s="25"/>
      <c r="AG190" s="22" t="s">
        <v>60</v>
      </c>
      <c r="AH190" s="54">
        <v>2441.0</v>
      </c>
      <c r="AI190" s="22" t="s">
        <v>61</v>
      </c>
      <c r="AJ190" s="27">
        <v>833.0</v>
      </c>
      <c r="AK190" s="31" t="s">
        <v>21</v>
      </c>
      <c r="AL190" s="28">
        <v>44728.0</v>
      </c>
      <c r="AM190" s="29">
        <v>44756.4640625</v>
      </c>
      <c r="AN190" s="30">
        <v>2.0</v>
      </c>
      <c r="AO190" s="22"/>
      <c r="AP190" s="22"/>
      <c r="AQ190" s="22"/>
      <c r="AR190" s="22"/>
      <c r="AS190" s="22"/>
      <c r="AT190" s="70"/>
      <c r="AU190" s="22"/>
      <c r="AV190" s="57" t="str">
        <f>IFERROR(__xludf.DUMMYFUNCTION("""COMPUTED_VALUE"""),"Sampson")</f>
        <v>Sampson</v>
      </c>
      <c r="AW190" s="46">
        <f t="shared" si="7"/>
        <v>7250</v>
      </c>
      <c r="AX190" s="47">
        <f t="shared" ref="AX190:BQ190" si="680">SUMIFS($AJ:$AJ,$V:$V,$AV190,$AK:$AK,AX$2)</f>
        <v>0</v>
      </c>
      <c r="AY190" s="48">
        <f t="shared" si="680"/>
        <v>250</v>
      </c>
      <c r="AZ190" s="48">
        <f t="shared" si="680"/>
        <v>250</v>
      </c>
      <c r="BA190" s="48">
        <f t="shared" si="680"/>
        <v>250</v>
      </c>
      <c r="BB190" s="48">
        <f t="shared" si="680"/>
        <v>6000</v>
      </c>
      <c r="BC190" s="48">
        <f t="shared" si="680"/>
        <v>0</v>
      </c>
      <c r="BD190" s="48">
        <f t="shared" si="680"/>
        <v>0</v>
      </c>
      <c r="BE190" s="48">
        <f t="shared" si="680"/>
        <v>0</v>
      </c>
      <c r="BF190" s="48">
        <f t="shared" si="680"/>
        <v>250</v>
      </c>
      <c r="BG190" s="48">
        <f t="shared" si="680"/>
        <v>250</v>
      </c>
      <c r="BH190" s="48">
        <f t="shared" si="680"/>
        <v>0</v>
      </c>
      <c r="BI190" s="48">
        <f t="shared" si="680"/>
        <v>0</v>
      </c>
      <c r="BJ190" s="48">
        <f t="shared" si="680"/>
        <v>0</v>
      </c>
      <c r="BK190" s="48">
        <f t="shared" si="680"/>
        <v>0</v>
      </c>
      <c r="BL190" s="48">
        <f t="shared" si="680"/>
        <v>0</v>
      </c>
      <c r="BM190" s="48">
        <f t="shared" si="680"/>
        <v>0</v>
      </c>
      <c r="BN190" s="48">
        <f t="shared" si="680"/>
        <v>0</v>
      </c>
      <c r="BO190" s="48">
        <f t="shared" si="680"/>
        <v>0</v>
      </c>
      <c r="BP190" s="48">
        <f t="shared" si="680"/>
        <v>0</v>
      </c>
      <c r="BQ190" s="48">
        <f t="shared" si="680"/>
        <v>0</v>
      </c>
      <c r="BR190" s="36">
        <f t="shared" si="9"/>
        <v>1</v>
      </c>
      <c r="BS190" s="38">
        <f t="shared" si="10"/>
        <v>4</v>
      </c>
      <c r="BT190" s="49">
        <f t="shared" si="11"/>
        <v>0</v>
      </c>
      <c r="BU190" s="38">
        <f t="shared" si="12"/>
        <v>4000</v>
      </c>
      <c r="BV190" s="57" t="str">
        <f>IFERROR(__xludf.DUMMYFUNCTION("""COMPUTED_VALUE"""),"Sampson")</f>
        <v>Sampson</v>
      </c>
      <c r="BW190" s="46">
        <f t="shared" si="13"/>
        <v>7250</v>
      </c>
      <c r="BX190" s="47">
        <f t="shared" ref="BX190:CA190" si="681">AX190-$BU190</f>
        <v>-4000</v>
      </c>
      <c r="BY190" s="47">
        <f t="shared" si="681"/>
        <v>-3750</v>
      </c>
      <c r="BZ190" s="47">
        <f t="shared" si="681"/>
        <v>-3750</v>
      </c>
      <c r="CA190" s="47">
        <f t="shared" si="681"/>
        <v>-3750</v>
      </c>
      <c r="CB190" s="47">
        <f t="shared" si="15"/>
        <v>-34000</v>
      </c>
      <c r="CC190" s="47">
        <f t="shared" ref="CC190:CQ190" si="682">BC190-$BU190</f>
        <v>-4000</v>
      </c>
      <c r="CD190" s="47">
        <f t="shared" si="682"/>
        <v>-4000</v>
      </c>
      <c r="CE190" s="47">
        <f t="shared" si="682"/>
        <v>-4000</v>
      </c>
      <c r="CF190" s="47">
        <f t="shared" si="682"/>
        <v>-3750</v>
      </c>
      <c r="CG190" s="47">
        <f t="shared" si="682"/>
        <v>-3750</v>
      </c>
      <c r="CH190" s="47">
        <f t="shared" si="682"/>
        <v>-4000</v>
      </c>
      <c r="CI190" s="47">
        <f t="shared" si="682"/>
        <v>-4000</v>
      </c>
      <c r="CJ190" s="47">
        <f t="shared" si="682"/>
        <v>-4000</v>
      </c>
      <c r="CK190" s="47">
        <f t="shared" si="682"/>
        <v>-4000</v>
      </c>
      <c r="CL190" s="47">
        <f t="shared" si="682"/>
        <v>-4000</v>
      </c>
      <c r="CM190" s="47">
        <f t="shared" si="682"/>
        <v>-4000</v>
      </c>
      <c r="CN190" s="47">
        <f t="shared" si="682"/>
        <v>-4000</v>
      </c>
      <c r="CO190" s="47">
        <f t="shared" si="682"/>
        <v>-4000</v>
      </c>
      <c r="CP190" s="47">
        <f t="shared" si="682"/>
        <v>-4000</v>
      </c>
      <c r="CQ190" s="47">
        <f t="shared" si="682"/>
        <v>-4000</v>
      </c>
      <c r="CR190" s="47"/>
      <c r="CS190" s="47"/>
      <c r="CT190" s="47"/>
      <c r="CU190" s="50" t="str">
        <f>IFERROR(__xludf.DUMMYFUNCTION("""COMPUTED_VALUE"""),"1642 Kessler Ct.
Dallas, TX 75208          ")</f>
        <v>1642 Kessler Ct.
Dallas, TX 75208          </v>
      </c>
      <c r="CV190" s="51">
        <f>IFERROR(__xludf.DUMMYFUNCTION("IF(REGEXMATCH(UPPER(CU190), ""TX""),0,1)"),0.0)</f>
        <v>0</v>
      </c>
      <c r="CW190" s="51">
        <f>IFERROR(__xludf.DUMMYFUNCTION("IF(REGEXMATCH(UPPER(CU190), ""DALLAS""),0,1)"),0.0)</f>
        <v>0</v>
      </c>
      <c r="CX190" s="51">
        <f t="shared" si="17"/>
        <v>0</v>
      </c>
      <c r="CY190" s="51">
        <f t="shared" si="18"/>
        <v>0</v>
      </c>
      <c r="CZ190" s="52" t="str">
        <f t="shared" si="19"/>
        <v/>
      </c>
      <c r="DA190" s="58"/>
      <c r="DB190" s="52"/>
      <c r="DC190" s="52"/>
      <c r="DD190" s="52"/>
      <c r="DE190" s="52"/>
      <c r="DF190" s="52"/>
      <c r="DG190" s="52"/>
      <c r="DH190" s="52"/>
      <c r="DI190" s="52"/>
      <c r="DJ190" s="52"/>
      <c r="DK190" s="52"/>
      <c r="DL190" s="52"/>
      <c r="DM190" s="52"/>
      <c r="DN190" s="52"/>
      <c r="DO190" s="52"/>
      <c r="DP190" s="52"/>
      <c r="DQ190" s="52"/>
      <c r="DR190" s="52"/>
      <c r="DS190" s="52"/>
      <c r="DT190" s="52"/>
      <c r="DU190" s="52"/>
      <c r="DV190" s="52"/>
      <c r="DW190" s="52"/>
    </row>
    <row r="191">
      <c r="A191" s="40" t="s">
        <v>55</v>
      </c>
      <c r="B191" s="41" t="s">
        <v>56</v>
      </c>
      <c r="C191" s="31" t="s">
        <v>552</v>
      </c>
      <c r="D191" s="25" t="str">
        <f>IFERROR(__xludf.DUMMYFUNCTION("SPLIT(C191,"" "")"),"Herenandez,")</f>
        <v>Herenandez,</v>
      </c>
      <c r="E191" s="40" t="str">
        <f>IFERROR(__xludf.DUMMYFUNCTION("""COMPUTED_VALUE"""),"Socorro
1860")</f>
        <v>Socorro
1860</v>
      </c>
      <c r="F191" s="40" t="str">
        <f>IFERROR(__xludf.DUMMYFUNCTION("""COMPUTED_VALUE"""),"Masters")</f>
        <v>Masters</v>
      </c>
      <c r="G191" s="40" t="str">
        <f>IFERROR(__xludf.DUMMYFUNCTION("""COMPUTED_VALUE"""),"Dr.
Desoto,")</f>
        <v>Dr.
Desoto,</v>
      </c>
      <c r="H191" s="40" t="str">
        <f>IFERROR(__xludf.DUMMYFUNCTION("""COMPUTED_VALUE"""),"TX")</f>
        <v>TX</v>
      </c>
      <c r="I191" s="40">
        <f>IFERROR(__xludf.DUMMYFUNCTION("""COMPUTED_VALUE"""),75115.0)</f>
        <v>75115</v>
      </c>
      <c r="J191" s="40"/>
      <c r="K191" s="40"/>
      <c r="L191" s="40"/>
      <c r="M191" s="40"/>
      <c r="N191" s="40"/>
      <c r="O191" s="40"/>
      <c r="P191" s="40"/>
      <c r="Q191" s="40"/>
      <c r="R191" s="40"/>
      <c r="S191" s="40"/>
      <c r="T191" s="40"/>
      <c r="U191" s="24" t="str">
        <f>IFERROR(__xludf.DUMMYFUNCTION("SPLIT(E191,""01234567890"")"),"Socorro
")</f>
        <v>Socorro
</v>
      </c>
      <c r="V191" s="24" t="str">
        <f>IFERROR(__xludf.DUMMYFUNCTION("SPLIT(D191,"","")"),"Herenandez")</f>
        <v>Herenandez</v>
      </c>
      <c r="W191" s="25" t="str">
        <f t="shared" si="1"/>
        <v>SOCORRO
 HERENANDEZ</v>
      </c>
      <c r="X191" s="25" t="s">
        <v>553</v>
      </c>
      <c r="Y191" s="25">
        <v>75115.0</v>
      </c>
      <c r="Z191" s="25" t="str">
        <f>IFERROR(__xludf.DUMMYFUNCTION("SPLIT(C191,""
"")"),"Herenandez, Socorro")</f>
        <v>Herenandez, Socorro</v>
      </c>
      <c r="AA191" s="25" t="str">
        <f>IFERROR(__xludf.DUMMYFUNCTION("""COMPUTED_VALUE"""),"1860 Masters Dr.")</f>
        <v>1860 Masters Dr.</v>
      </c>
      <c r="AB191" s="25" t="str">
        <f>IFERROR(__xludf.DUMMYFUNCTION("""COMPUTED_VALUE"""),"Desoto, TX 75115")</f>
        <v>Desoto, TX 75115</v>
      </c>
      <c r="AC191" s="24" t="s">
        <v>554</v>
      </c>
      <c r="AD191" s="25"/>
      <c r="AE191" s="25"/>
      <c r="AF191" s="25"/>
      <c r="AG191" s="40" t="s">
        <v>60</v>
      </c>
      <c r="AH191" s="42">
        <v>2441.0</v>
      </c>
      <c r="AI191" s="40" t="s">
        <v>61</v>
      </c>
      <c r="AJ191" s="27">
        <v>1000.0</v>
      </c>
      <c r="AK191" s="31" t="s">
        <v>21</v>
      </c>
      <c r="AL191" s="43">
        <v>44728.0</v>
      </c>
      <c r="AM191" s="44">
        <v>44756.4640625</v>
      </c>
      <c r="AN191" s="30">
        <v>2.0</v>
      </c>
      <c r="AO191" s="40"/>
      <c r="AP191" s="40"/>
      <c r="AQ191" s="40"/>
      <c r="AR191" s="40"/>
      <c r="AS191" s="40"/>
      <c r="AT191" s="47"/>
      <c r="AU191" s="40"/>
      <c r="AV191" s="46" t="str">
        <f>IFERROR(__xludf.DUMMYFUNCTION("""COMPUTED_VALUE"""),"Sewell")</f>
        <v>Sewell</v>
      </c>
      <c r="AW191" s="46">
        <f t="shared" si="7"/>
        <v>30000</v>
      </c>
      <c r="AX191" s="47">
        <f t="shared" ref="AX191:BQ191" si="683">SUMIFS($AJ:$AJ,$V:$V,$AV191,$AK:$AK,AX$2)</f>
        <v>0</v>
      </c>
      <c r="AY191" s="48">
        <f t="shared" si="683"/>
        <v>0</v>
      </c>
      <c r="AZ191" s="48">
        <f t="shared" si="683"/>
        <v>0</v>
      </c>
      <c r="BA191" s="48">
        <f t="shared" si="683"/>
        <v>0</v>
      </c>
      <c r="BB191" s="48">
        <f t="shared" si="683"/>
        <v>30000</v>
      </c>
      <c r="BC191" s="48">
        <f t="shared" si="683"/>
        <v>0</v>
      </c>
      <c r="BD191" s="48">
        <f t="shared" si="683"/>
        <v>0</v>
      </c>
      <c r="BE191" s="48">
        <f t="shared" si="683"/>
        <v>0</v>
      </c>
      <c r="BF191" s="48">
        <f t="shared" si="683"/>
        <v>0</v>
      </c>
      <c r="BG191" s="48">
        <f t="shared" si="683"/>
        <v>0</v>
      </c>
      <c r="BH191" s="48">
        <f t="shared" si="683"/>
        <v>0</v>
      </c>
      <c r="BI191" s="48">
        <f t="shared" si="683"/>
        <v>0</v>
      </c>
      <c r="BJ191" s="48">
        <f t="shared" si="683"/>
        <v>0</v>
      </c>
      <c r="BK191" s="48">
        <f t="shared" si="683"/>
        <v>0</v>
      </c>
      <c r="BL191" s="48">
        <f t="shared" si="683"/>
        <v>0</v>
      </c>
      <c r="BM191" s="48">
        <f t="shared" si="683"/>
        <v>0</v>
      </c>
      <c r="BN191" s="48">
        <f t="shared" si="683"/>
        <v>0</v>
      </c>
      <c r="BO191" s="48">
        <f t="shared" si="683"/>
        <v>0</v>
      </c>
      <c r="BP191" s="48">
        <f t="shared" si="683"/>
        <v>0</v>
      </c>
      <c r="BQ191" s="48">
        <f t="shared" si="683"/>
        <v>0</v>
      </c>
      <c r="BR191" s="36">
        <f t="shared" si="9"/>
        <v>1</v>
      </c>
      <c r="BS191" s="38">
        <f t="shared" si="10"/>
        <v>3</v>
      </c>
      <c r="BT191" s="49">
        <f t="shared" si="11"/>
        <v>0</v>
      </c>
      <c r="BU191" s="38">
        <f t="shared" si="12"/>
        <v>3000</v>
      </c>
      <c r="BV191" s="46" t="str">
        <f>IFERROR(__xludf.DUMMYFUNCTION("""COMPUTED_VALUE"""),"Sewell")</f>
        <v>Sewell</v>
      </c>
      <c r="BW191" s="46">
        <f t="shared" si="13"/>
        <v>30000</v>
      </c>
      <c r="BX191" s="47">
        <f t="shared" ref="BX191:CA191" si="684">AX191-$BU191</f>
        <v>-3000</v>
      </c>
      <c r="BY191" s="47">
        <f t="shared" si="684"/>
        <v>-3000</v>
      </c>
      <c r="BZ191" s="47">
        <f t="shared" si="684"/>
        <v>-3000</v>
      </c>
      <c r="CA191" s="47">
        <f t="shared" si="684"/>
        <v>-3000</v>
      </c>
      <c r="CB191" s="47">
        <f t="shared" si="15"/>
        <v>0</v>
      </c>
      <c r="CC191" s="47">
        <f t="shared" ref="CC191:CQ191" si="685">BC191-$BU191</f>
        <v>-3000</v>
      </c>
      <c r="CD191" s="47">
        <f t="shared" si="685"/>
        <v>-3000</v>
      </c>
      <c r="CE191" s="47">
        <f t="shared" si="685"/>
        <v>-3000</v>
      </c>
      <c r="CF191" s="47">
        <f t="shared" si="685"/>
        <v>-3000</v>
      </c>
      <c r="CG191" s="47">
        <f t="shared" si="685"/>
        <v>-3000</v>
      </c>
      <c r="CH191" s="47">
        <f t="shared" si="685"/>
        <v>-3000</v>
      </c>
      <c r="CI191" s="47">
        <f t="shared" si="685"/>
        <v>-3000</v>
      </c>
      <c r="CJ191" s="47">
        <f t="shared" si="685"/>
        <v>-3000</v>
      </c>
      <c r="CK191" s="47">
        <f t="shared" si="685"/>
        <v>-3000</v>
      </c>
      <c r="CL191" s="47">
        <f t="shared" si="685"/>
        <v>-3000</v>
      </c>
      <c r="CM191" s="47">
        <f t="shared" si="685"/>
        <v>-3000</v>
      </c>
      <c r="CN191" s="47">
        <f t="shared" si="685"/>
        <v>-3000</v>
      </c>
      <c r="CO191" s="47">
        <f t="shared" si="685"/>
        <v>-3000</v>
      </c>
      <c r="CP191" s="47">
        <f t="shared" si="685"/>
        <v>-3000</v>
      </c>
      <c r="CQ191" s="47">
        <f t="shared" si="685"/>
        <v>-3000</v>
      </c>
      <c r="CR191" s="47"/>
      <c r="CS191" s="47"/>
      <c r="CT191" s="47"/>
      <c r="CU191" s="50" t="str">
        <f>IFERROR(__xludf.DUMMYFUNCTION("""COMPUTED_VALUE"""),"11436 Strait Ln.
Dallas, TX 75229          ")</f>
        <v>11436 Strait Ln.
Dallas, TX 75229          </v>
      </c>
      <c r="CV191" s="51">
        <f>IFERROR(__xludf.DUMMYFUNCTION("IF(REGEXMATCH(UPPER(CU191), ""TX""),0,1)"),0.0)</f>
        <v>0</v>
      </c>
      <c r="CW191" s="51">
        <f>IFERROR(__xludf.DUMMYFUNCTION("IF(REGEXMATCH(UPPER(CU191), ""DALLAS""),0,1)"),0.0)</f>
        <v>0</v>
      </c>
      <c r="CX191" s="51">
        <f t="shared" si="17"/>
        <v>0</v>
      </c>
      <c r="CY191" s="51">
        <f t="shared" si="18"/>
        <v>0</v>
      </c>
      <c r="CZ191" s="52" t="str">
        <f t="shared" si="19"/>
        <v/>
      </c>
      <c r="DA191" s="58"/>
      <c r="DB191" s="52"/>
      <c r="DC191" s="52"/>
      <c r="DD191" s="52"/>
      <c r="DE191" s="52"/>
      <c r="DF191" s="52"/>
      <c r="DG191" s="52"/>
      <c r="DH191" s="52"/>
      <c r="DI191" s="52"/>
      <c r="DJ191" s="52"/>
      <c r="DK191" s="52"/>
      <c r="DL191" s="52"/>
      <c r="DM191" s="52"/>
      <c r="DN191" s="52"/>
      <c r="DO191" s="52"/>
      <c r="DP191" s="52"/>
      <c r="DQ191" s="52"/>
      <c r="DR191" s="52"/>
      <c r="DS191" s="52"/>
      <c r="DT191" s="52"/>
      <c r="DU191" s="52"/>
      <c r="DV191" s="52"/>
      <c r="DW191" s="52"/>
    </row>
    <row r="192">
      <c r="A192" s="22" t="s">
        <v>55</v>
      </c>
      <c r="B192" s="23" t="s">
        <v>56</v>
      </c>
      <c r="C192" s="31" t="s">
        <v>555</v>
      </c>
      <c r="D192" s="25" t="str">
        <f>IFERROR(__xludf.DUMMYFUNCTION("SPLIT(C192,"" "")"),"Rudnicki,")</f>
        <v>Rudnicki,</v>
      </c>
      <c r="E192" s="22" t="str">
        <f>IFERROR(__xludf.DUMMYFUNCTION("""COMPUTED_VALUE"""),"Teresa
6909")</f>
        <v>Teresa
6909</v>
      </c>
      <c r="F192" s="22" t="str">
        <f>IFERROR(__xludf.DUMMYFUNCTION("""COMPUTED_VALUE"""),"Tokalon")</f>
        <v>Tokalon</v>
      </c>
      <c r="G192" s="22" t="str">
        <f>IFERROR(__xludf.DUMMYFUNCTION("""COMPUTED_VALUE"""),"Dr.
Dallas,")</f>
        <v>Dr.
Dallas,</v>
      </c>
      <c r="H192" s="22" t="str">
        <f>IFERROR(__xludf.DUMMYFUNCTION("""COMPUTED_VALUE"""),"TX")</f>
        <v>TX</v>
      </c>
      <c r="I192" s="22">
        <f>IFERROR(__xludf.DUMMYFUNCTION("""COMPUTED_VALUE"""),75214.0)</f>
        <v>75214</v>
      </c>
      <c r="J192" s="22"/>
      <c r="K192" s="22"/>
      <c r="L192" s="22"/>
      <c r="M192" s="22"/>
      <c r="N192" s="22"/>
      <c r="O192" s="22"/>
      <c r="P192" s="22"/>
      <c r="Q192" s="22"/>
      <c r="R192" s="22"/>
      <c r="S192" s="22"/>
      <c r="T192" s="22"/>
      <c r="U192" s="24" t="str">
        <f>IFERROR(__xludf.DUMMYFUNCTION("SPLIT(E192,""01234567890"")"),"Teresa
")</f>
        <v>Teresa
</v>
      </c>
      <c r="V192" s="24" t="str">
        <f>IFERROR(__xludf.DUMMYFUNCTION("SPLIT(D192,"","")"),"Rudnicki")</f>
        <v>Rudnicki</v>
      </c>
      <c r="W192" s="25" t="str">
        <f t="shared" si="1"/>
        <v>TERESA
 RUDNICKI</v>
      </c>
      <c r="X192" s="25" t="s">
        <v>556</v>
      </c>
      <c r="Y192" s="25">
        <v>75214.0</v>
      </c>
      <c r="Z192" s="25" t="str">
        <f>IFERROR(__xludf.DUMMYFUNCTION("SPLIT(C192,""
"")"),"Rudnicki, Teresa")</f>
        <v>Rudnicki, Teresa</v>
      </c>
      <c r="AA192" s="25" t="str">
        <f>IFERROR(__xludf.DUMMYFUNCTION("""COMPUTED_VALUE"""),"6909 Tokalon Dr.")</f>
        <v>6909 Tokalon Dr.</v>
      </c>
      <c r="AB192" s="25" t="str">
        <f>IFERROR(__xludf.DUMMYFUNCTION("""COMPUTED_VALUE"""),"Dallas, TX 75214")</f>
        <v>Dallas, TX 75214</v>
      </c>
      <c r="AC192" s="24" t="s">
        <v>557</v>
      </c>
      <c r="AD192" s="25"/>
      <c r="AE192" s="25"/>
      <c r="AF192" s="25"/>
      <c r="AG192" s="22" t="s">
        <v>60</v>
      </c>
      <c r="AH192" s="54">
        <v>2441.0</v>
      </c>
      <c r="AI192" s="22" t="s">
        <v>61</v>
      </c>
      <c r="AJ192" s="27">
        <v>100.0</v>
      </c>
      <c r="AK192" s="31" t="s">
        <v>21</v>
      </c>
      <c r="AL192" s="28">
        <v>44728.0</v>
      </c>
      <c r="AM192" s="29">
        <v>44756.4640625</v>
      </c>
      <c r="AN192" s="30">
        <v>2.0</v>
      </c>
      <c r="AO192" s="22"/>
      <c r="AP192" s="22"/>
      <c r="AQ192" s="22"/>
      <c r="AR192" s="22"/>
      <c r="AS192" s="22"/>
      <c r="AT192" s="70"/>
      <c r="AU192" s="22"/>
      <c r="AV192" s="57" t="str">
        <f>IFERROR(__xludf.DUMMYFUNCTION("""COMPUTED_VALUE"""),"Staubach")</f>
        <v>Staubach</v>
      </c>
      <c r="AW192" s="46">
        <f t="shared" si="7"/>
        <v>5000</v>
      </c>
      <c r="AX192" s="47">
        <f t="shared" ref="AX192:BQ192" si="686">SUMIFS($AJ:$AJ,$V:$V,$AV192,$AK:$AK,AX$2)</f>
        <v>0</v>
      </c>
      <c r="AY192" s="48">
        <f t="shared" si="686"/>
        <v>0</v>
      </c>
      <c r="AZ192" s="48">
        <f t="shared" si="686"/>
        <v>0</v>
      </c>
      <c r="BA192" s="48">
        <f t="shared" si="686"/>
        <v>0</v>
      </c>
      <c r="BB192" s="48">
        <f t="shared" si="686"/>
        <v>5000</v>
      </c>
      <c r="BC192" s="48">
        <f t="shared" si="686"/>
        <v>0</v>
      </c>
      <c r="BD192" s="48">
        <f t="shared" si="686"/>
        <v>0</v>
      </c>
      <c r="BE192" s="48">
        <f t="shared" si="686"/>
        <v>0</v>
      </c>
      <c r="BF192" s="48">
        <f t="shared" si="686"/>
        <v>0</v>
      </c>
      <c r="BG192" s="48">
        <f t="shared" si="686"/>
        <v>0</v>
      </c>
      <c r="BH192" s="48">
        <f t="shared" si="686"/>
        <v>0</v>
      </c>
      <c r="BI192" s="48">
        <f t="shared" si="686"/>
        <v>0</v>
      </c>
      <c r="BJ192" s="48">
        <f t="shared" si="686"/>
        <v>0</v>
      </c>
      <c r="BK192" s="48">
        <f t="shared" si="686"/>
        <v>0</v>
      </c>
      <c r="BL192" s="48">
        <f t="shared" si="686"/>
        <v>0</v>
      </c>
      <c r="BM192" s="48">
        <f t="shared" si="686"/>
        <v>0</v>
      </c>
      <c r="BN192" s="48">
        <f t="shared" si="686"/>
        <v>0</v>
      </c>
      <c r="BO192" s="48">
        <f t="shared" si="686"/>
        <v>0</v>
      </c>
      <c r="BP192" s="48">
        <f t="shared" si="686"/>
        <v>0</v>
      </c>
      <c r="BQ192" s="48">
        <f t="shared" si="686"/>
        <v>0</v>
      </c>
      <c r="BR192" s="36">
        <f t="shared" si="9"/>
        <v>0</v>
      </c>
      <c r="BS192" s="38">
        <f t="shared" si="10"/>
        <v>1</v>
      </c>
      <c r="BT192" s="49">
        <f t="shared" si="11"/>
        <v>0</v>
      </c>
      <c r="BU192" s="38">
        <f t="shared" si="12"/>
        <v>1000</v>
      </c>
      <c r="BV192" s="57" t="str">
        <f>IFERROR(__xludf.DUMMYFUNCTION("""COMPUTED_VALUE"""),"Staubach")</f>
        <v>Staubach</v>
      </c>
      <c r="BW192" s="46">
        <f t="shared" si="13"/>
        <v>5000</v>
      </c>
      <c r="BX192" s="47">
        <f t="shared" ref="BX192:CA192" si="687">AX192-$BU192</f>
        <v>-1000</v>
      </c>
      <c r="BY192" s="47">
        <f t="shared" si="687"/>
        <v>-1000</v>
      </c>
      <c r="BZ192" s="47">
        <f t="shared" si="687"/>
        <v>-1000</v>
      </c>
      <c r="CA192" s="47">
        <f t="shared" si="687"/>
        <v>-1000</v>
      </c>
      <c r="CB192" s="47">
        <f t="shared" si="15"/>
        <v>-5000</v>
      </c>
      <c r="CC192" s="47">
        <f t="shared" ref="CC192:CQ192" si="688">BC192-$BU192</f>
        <v>-1000</v>
      </c>
      <c r="CD192" s="47">
        <f t="shared" si="688"/>
        <v>-1000</v>
      </c>
      <c r="CE192" s="47">
        <f t="shared" si="688"/>
        <v>-1000</v>
      </c>
      <c r="CF192" s="47">
        <f t="shared" si="688"/>
        <v>-1000</v>
      </c>
      <c r="CG192" s="47">
        <f t="shared" si="688"/>
        <v>-1000</v>
      </c>
      <c r="CH192" s="47">
        <f t="shared" si="688"/>
        <v>-1000</v>
      </c>
      <c r="CI192" s="47">
        <f t="shared" si="688"/>
        <v>-1000</v>
      </c>
      <c r="CJ192" s="47">
        <f t="shared" si="688"/>
        <v>-1000</v>
      </c>
      <c r="CK192" s="47">
        <f t="shared" si="688"/>
        <v>-1000</v>
      </c>
      <c r="CL192" s="47">
        <f t="shared" si="688"/>
        <v>-1000</v>
      </c>
      <c r="CM192" s="47">
        <f t="shared" si="688"/>
        <v>-1000</v>
      </c>
      <c r="CN192" s="47">
        <f t="shared" si="688"/>
        <v>-1000</v>
      </c>
      <c r="CO192" s="47">
        <f t="shared" si="688"/>
        <v>-1000</v>
      </c>
      <c r="CP192" s="47">
        <f t="shared" si="688"/>
        <v>-1000</v>
      </c>
      <c r="CQ192" s="47">
        <f t="shared" si="688"/>
        <v>-1000</v>
      </c>
      <c r="CR192" s="47"/>
      <c r="CS192" s="47"/>
      <c r="CT192" s="47"/>
      <c r="CU192" s="50" t="str">
        <f>IFERROR(__xludf.DUMMYFUNCTION("""COMPUTED_VALUE"""),"3 Richmond Ct.
Mansfield, TX 76063          ")</f>
        <v>3 Richmond Ct.
Mansfield, TX 76063          </v>
      </c>
      <c r="CV192" s="51">
        <f>IFERROR(__xludf.DUMMYFUNCTION("IF(REGEXMATCH(UPPER(CU192), ""TX""),0,1)"),0.0)</f>
        <v>0</v>
      </c>
      <c r="CW192" s="51">
        <f>IFERROR(__xludf.DUMMYFUNCTION("IF(REGEXMATCH(UPPER(CU192), ""DALLAS""),0,1)"),1.0)</f>
        <v>1</v>
      </c>
      <c r="CX192" s="51">
        <f t="shared" si="17"/>
        <v>0</v>
      </c>
      <c r="CY192" s="51">
        <f t="shared" si="18"/>
        <v>500</v>
      </c>
      <c r="CZ192" s="52" t="str">
        <f t="shared" si="19"/>
        <v>3 Richmond Ct.
Mansfield, TX 76063          </v>
      </c>
      <c r="DA192" s="58"/>
      <c r="DB192" s="52"/>
      <c r="DC192" s="52"/>
      <c r="DD192" s="52"/>
      <c r="DE192" s="52"/>
      <c r="DF192" s="52"/>
      <c r="DG192" s="52"/>
      <c r="DH192" s="52"/>
      <c r="DI192" s="52"/>
      <c r="DJ192" s="52"/>
      <c r="DK192" s="52"/>
      <c r="DL192" s="52"/>
      <c r="DM192" s="52"/>
      <c r="DN192" s="52"/>
      <c r="DO192" s="52"/>
      <c r="DP192" s="52"/>
      <c r="DQ192" s="52"/>
      <c r="DR192" s="52"/>
      <c r="DS192" s="52"/>
      <c r="DT192" s="52"/>
      <c r="DU192" s="52"/>
      <c r="DV192" s="52"/>
      <c r="DW192" s="52"/>
    </row>
    <row r="193">
      <c r="A193" s="40" t="s">
        <v>55</v>
      </c>
      <c r="B193" s="41" t="s">
        <v>56</v>
      </c>
      <c r="C193" s="31" t="s">
        <v>295</v>
      </c>
      <c r="D193" s="25" t="str">
        <f>IFERROR(__xludf.DUMMYFUNCTION("SPLIT(C193,"" "")"),"Baker,")</f>
        <v>Baker,</v>
      </c>
      <c r="E193" s="40" t="str">
        <f>IFERROR(__xludf.DUMMYFUNCTION("""COMPUTED_VALUE"""),"Thad")</f>
        <v>Thad</v>
      </c>
      <c r="F193" s="40" t="str">
        <f>IFERROR(__xludf.DUMMYFUNCTION("""COMPUTED_VALUE"""),"F.
4011")</f>
        <v>F.
4011</v>
      </c>
      <c r="G193" s="40" t="str">
        <f>IFERROR(__xludf.DUMMYFUNCTION("""COMPUTED_VALUE"""),"Commerce")</f>
        <v>Commerce</v>
      </c>
      <c r="H193" s="40" t="str">
        <f>IFERROR(__xludf.DUMMYFUNCTION("""COMPUTED_VALUE"""),"St.
Dallas,")</f>
        <v>St.
Dallas,</v>
      </c>
      <c r="I193" s="40" t="str">
        <f>IFERROR(__xludf.DUMMYFUNCTION("""COMPUTED_VALUE"""),"TX")</f>
        <v>TX</v>
      </c>
      <c r="J193" s="40">
        <f>IFERROR(__xludf.DUMMYFUNCTION("""COMPUTED_VALUE"""),75226.0)</f>
        <v>75226</v>
      </c>
      <c r="K193" s="40"/>
      <c r="L193" s="40"/>
      <c r="M193" s="40"/>
      <c r="N193" s="40"/>
      <c r="O193" s="40"/>
      <c r="P193" s="40"/>
      <c r="Q193" s="40"/>
      <c r="R193" s="40"/>
      <c r="S193" s="40"/>
      <c r="T193" s="40"/>
      <c r="U193" s="24" t="str">
        <f>IFERROR(__xludf.DUMMYFUNCTION("SPLIT(E193,""01234567890"")"),"Thad")</f>
        <v>Thad</v>
      </c>
      <c r="V193" s="24" t="str">
        <f>IFERROR(__xludf.DUMMYFUNCTION("SPLIT(D193,"","")"),"Baker")</f>
        <v>Baker</v>
      </c>
      <c r="W193" s="25" t="str">
        <f t="shared" si="1"/>
        <v>THAD BAKER</v>
      </c>
      <c r="X193" s="25" t="s">
        <v>296</v>
      </c>
      <c r="Y193" s="25">
        <v>75226.0</v>
      </c>
      <c r="Z193" s="25" t="str">
        <f>IFERROR(__xludf.DUMMYFUNCTION("SPLIT(C193,""
"")"),"Baker, Thad F.")</f>
        <v>Baker, Thad F.</v>
      </c>
      <c r="AA193" s="25" t="str">
        <f>IFERROR(__xludf.DUMMYFUNCTION("""COMPUTED_VALUE"""),"4011 Commerce St.")</f>
        <v>4011 Commerce St.</v>
      </c>
      <c r="AB193" s="25" t="str">
        <f>IFERROR(__xludf.DUMMYFUNCTION("""COMPUTED_VALUE"""),"Dallas, TX 75226")</f>
        <v>Dallas, TX 75226</v>
      </c>
      <c r="AC193" s="24" t="s">
        <v>297</v>
      </c>
      <c r="AD193" s="25"/>
      <c r="AE193" s="25"/>
      <c r="AF193" s="25"/>
      <c r="AG193" s="40" t="s">
        <v>60</v>
      </c>
      <c r="AH193" s="42">
        <v>2441.0</v>
      </c>
      <c r="AI193" s="40" t="s">
        <v>61</v>
      </c>
      <c r="AJ193" s="27">
        <v>500.0</v>
      </c>
      <c r="AK193" s="31" t="s">
        <v>21</v>
      </c>
      <c r="AL193" s="43">
        <v>44728.0</v>
      </c>
      <c r="AM193" s="44">
        <v>44756.4640625</v>
      </c>
      <c r="AN193" s="30">
        <v>2.0</v>
      </c>
      <c r="AO193" s="40"/>
      <c r="AP193" s="40"/>
      <c r="AQ193" s="40"/>
      <c r="AR193" s="40"/>
      <c r="AS193" s="40"/>
      <c r="AT193" s="47"/>
      <c r="AU193" s="40"/>
      <c r="AV193" s="46" t="str">
        <f>IFERROR(__xludf.DUMMYFUNCTION("""COMPUTED_VALUE"""),"Tanner")</f>
        <v>Tanner</v>
      </c>
      <c r="AW193" s="46">
        <f t="shared" si="7"/>
        <v>25</v>
      </c>
      <c r="AX193" s="47">
        <f t="shared" ref="AX193:BQ193" si="689">SUMIFS($AJ:$AJ,$V:$V,$AV193,$AK:$AK,AX$2)</f>
        <v>0</v>
      </c>
      <c r="AY193" s="48">
        <f t="shared" si="689"/>
        <v>0</v>
      </c>
      <c r="AZ193" s="48">
        <f t="shared" si="689"/>
        <v>0</v>
      </c>
      <c r="BA193" s="48">
        <f t="shared" si="689"/>
        <v>0</v>
      </c>
      <c r="BB193" s="48">
        <f t="shared" si="689"/>
        <v>25</v>
      </c>
      <c r="BC193" s="48">
        <f t="shared" si="689"/>
        <v>0</v>
      </c>
      <c r="BD193" s="48">
        <f t="shared" si="689"/>
        <v>0</v>
      </c>
      <c r="BE193" s="48">
        <f t="shared" si="689"/>
        <v>0</v>
      </c>
      <c r="BF193" s="48">
        <f t="shared" si="689"/>
        <v>0</v>
      </c>
      <c r="BG193" s="48">
        <f t="shared" si="689"/>
        <v>0</v>
      </c>
      <c r="BH193" s="48">
        <f t="shared" si="689"/>
        <v>0</v>
      </c>
      <c r="BI193" s="48">
        <f t="shared" si="689"/>
        <v>0</v>
      </c>
      <c r="BJ193" s="48">
        <f t="shared" si="689"/>
        <v>0</v>
      </c>
      <c r="BK193" s="48">
        <f t="shared" si="689"/>
        <v>0</v>
      </c>
      <c r="BL193" s="48">
        <f t="shared" si="689"/>
        <v>0</v>
      </c>
      <c r="BM193" s="48">
        <f t="shared" si="689"/>
        <v>0</v>
      </c>
      <c r="BN193" s="48">
        <f t="shared" si="689"/>
        <v>0</v>
      </c>
      <c r="BO193" s="48">
        <f t="shared" si="689"/>
        <v>0</v>
      </c>
      <c r="BP193" s="48">
        <f t="shared" si="689"/>
        <v>0</v>
      </c>
      <c r="BQ193" s="48">
        <f t="shared" si="689"/>
        <v>0</v>
      </c>
      <c r="BR193" s="36">
        <f t="shared" si="9"/>
        <v>0</v>
      </c>
      <c r="BS193" s="38">
        <f t="shared" si="10"/>
        <v>1</v>
      </c>
      <c r="BT193" s="49">
        <f t="shared" si="11"/>
        <v>0</v>
      </c>
      <c r="BU193" s="38">
        <f t="shared" si="12"/>
        <v>1000</v>
      </c>
      <c r="BV193" s="46" t="str">
        <f>IFERROR(__xludf.DUMMYFUNCTION("""COMPUTED_VALUE"""),"Tanner")</f>
        <v>Tanner</v>
      </c>
      <c r="BW193" s="46">
        <f t="shared" si="13"/>
        <v>25</v>
      </c>
      <c r="BX193" s="47">
        <f t="shared" ref="BX193:CA193" si="690">AX193-$BU193</f>
        <v>-1000</v>
      </c>
      <c r="BY193" s="47">
        <f t="shared" si="690"/>
        <v>-1000</v>
      </c>
      <c r="BZ193" s="47">
        <f t="shared" si="690"/>
        <v>-1000</v>
      </c>
      <c r="CA193" s="47">
        <f t="shared" si="690"/>
        <v>-1000</v>
      </c>
      <c r="CB193" s="47">
        <f t="shared" si="15"/>
        <v>-9975</v>
      </c>
      <c r="CC193" s="47">
        <f t="shared" ref="CC193:CQ193" si="691">BC193-$BU193</f>
        <v>-1000</v>
      </c>
      <c r="CD193" s="47">
        <f t="shared" si="691"/>
        <v>-1000</v>
      </c>
      <c r="CE193" s="47">
        <f t="shared" si="691"/>
        <v>-1000</v>
      </c>
      <c r="CF193" s="47">
        <f t="shared" si="691"/>
        <v>-1000</v>
      </c>
      <c r="CG193" s="47">
        <f t="shared" si="691"/>
        <v>-1000</v>
      </c>
      <c r="CH193" s="47">
        <f t="shared" si="691"/>
        <v>-1000</v>
      </c>
      <c r="CI193" s="47">
        <f t="shared" si="691"/>
        <v>-1000</v>
      </c>
      <c r="CJ193" s="47">
        <f t="shared" si="691"/>
        <v>-1000</v>
      </c>
      <c r="CK193" s="47">
        <f t="shared" si="691"/>
        <v>-1000</v>
      </c>
      <c r="CL193" s="47">
        <f t="shared" si="691"/>
        <v>-1000</v>
      </c>
      <c r="CM193" s="47">
        <f t="shared" si="691"/>
        <v>-1000</v>
      </c>
      <c r="CN193" s="47">
        <f t="shared" si="691"/>
        <v>-1000</v>
      </c>
      <c r="CO193" s="47">
        <f t="shared" si="691"/>
        <v>-1000</v>
      </c>
      <c r="CP193" s="47">
        <f t="shared" si="691"/>
        <v>-1000</v>
      </c>
      <c r="CQ193" s="47">
        <f t="shared" si="691"/>
        <v>-1000</v>
      </c>
      <c r="CR193" s="47"/>
      <c r="CS193" s="47"/>
      <c r="CT193" s="47"/>
      <c r="CU193" s="50" t="str">
        <f>IFERROR(__xludf.DUMMYFUNCTION("""COMPUTED_VALUE"""),"1210 N. Winnetka Ave.
Dallas, TX 75208         ")</f>
        <v>1210 N. Winnetka Ave.
Dallas, TX 75208         </v>
      </c>
      <c r="CV193" s="51">
        <f>IFERROR(__xludf.DUMMYFUNCTION("IF(REGEXMATCH(UPPER(CU193), ""TX""),0,1)"),0.0)</f>
        <v>0</v>
      </c>
      <c r="CW193" s="51">
        <f>IFERROR(__xludf.DUMMYFUNCTION("IF(REGEXMATCH(UPPER(CU193), ""DALLAS""),0,1)"),0.0)</f>
        <v>0</v>
      </c>
      <c r="CX193" s="51">
        <f t="shared" si="17"/>
        <v>0</v>
      </c>
      <c r="CY193" s="51">
        <f t="shared" si="18"/>
        <v>0</v>
      </c>
      <c r="CZ193" s="52" t="str">
        <f t="shared" si="19"/>
        <v/>
      </c>
      <c r="DA193" s="58"/>
      <c r="DB193" s="52"/>
      <c r="DC193" s="52"/>
      <c r="DD193" s="52"/>
      <c r="DE193" s="52"/>
      <c r="DF193" s="52"/>
      <c r="DG193" s="52"/>
      <c r="DH193" s="52"/>
      <c r="DI193" s="52"/>
      <c r="DJ193" s="52"/>
      <c r="DK193" s="52"/>
      <c r="DL193" s="52"/>
      <c r="DM193" s="52"/>
      <c r="DN193" s="52"/>
      <c r="DO193" s="52"/>
      <c r="DP193" s="52"/>
      <c r="DQ193" s="52"/>
      <c r="DR193" s="52"/>
      <c r="DS193" s="52"/>
      <c r="DT193" s="52"/>
      <c r="DU193" s="52"/>
      <c r="DV193" s="52"/>
      <c r="DW193" s="52"/>
    </row>
    <row r="194">
      <c r="A194" s="22" t="s">
        <v>55</v>
      </c>
      <c r="B194" s="23" t="s">
        <v>56</v>
      </c>
      <c r="C194" s="31" t="s">
        <v>558</v>
      </c>
      <c r="D194" s="25" t="str">
        <f>IFERROR(__xludf.DUMMYFUNCTION("SPLIT(C194,"" "")"),"Taylor,")</f>
        <v>Taylor,</v>
      </c>
      <c r="E194" s="22" t="str">
        <f>IFERROR(__xludf.DUMMYFUNCTION("""COMPUTED_VALUE"""),"Victor
1650")</f>
        <v>Victor
1650</v>
      </c>
      <c r="F194" s="22" t="str">
        <f>IFERROR(__xludf.DUMMYFUNCTION("""COMPUTED_VALUE"""),"Oak")</f>
        <v>Oak</v>
      </c>
      <c r="G194" s="22" t="str">
        <f>IFERROR(__xludf.DUMMYFUNCTION("""COMPUTED_VALUE"""),"Knoll")</f>
        <v>Knoll</v>
      </c>
      <c r="H194" s="22" t="str">
        <f>IFERROR(__xludf.DUMMYFUNCTION("""COMPUTED_VALUE"""),"St.
Dallas,")</f>
        <v>St.
Dallas,</v>
      </c>
      <c r="I194" s="22" t="str">
        <f>IFERROR(__xludf.DUMMYFUNCTION("""COMPUTED_VALUE"""),"TX")</f>
        <v>TX</v>
      </c>
      <c r="J194" s="22">
        <f>IFERROR(__xludf.DUMMYFUNCTION("""COMPUTED_VALUE"""),75208.0)</f>
        <v>75208</v>
      </c>
      <c r="K194" s="22"/>
      <c r="L194" s="22"/>
      <c r="M194" s="22"/>
      <c r="N194" s="22"/>
      <c r="O194" s="22"/>
      <c r="P194" s="22"/>
      <c r="Q194" s="22"/>
      <c r="R194" s="22"/>
      <c r="S194" s="22"/>
      <c r="T194" s="22"/>
      <c r="U194" s="24" t="str">
        <f>IFERROR(__xludf.DUMMYFUNCTION("SPLIT(E194,""01234567890"")"),"Victor
")</f>
        <v>Victor
</v>
      </c>
      <c r="V194" s="24" t="str">
        <f>IFERROR(__xludf.DUMMYFUNCTION("SPLIT(D194,"","")"),"Taylor")</f>
        <v>Taylor</v>
      </c>
      <c r="W194" s="25" t="str">
        <f t="shared" si="1"/>
        <v>VICTOR
 TAYLOR</v>
      </c>
      <c r="X194" s="25" t="s">
        <v>559</v>
      </c>
      <c r="Y194" s="25">
        <v>75208.0</v>
      </c>
      <c r="Z194" s="25" t="str">
        <f>IFERROR(__xludf.DUMMYFUNCTION("SPLIT(C194,""
"")"),"Taylor, Victor")</f>
        <v>Taylor, Victor</v>
      </c>
      <c r="AA194" s="25" t="str">
        <f>IFERROR(__xludf.DUMMYFUNCTION("""COMPUTED_VALUE"""),"1650 Oak Knoll St.")</f>
        <v>1650 Oak Knoll St.</v>
      </c>
      <c r="AB194" s="25" t="str">
        <f>IFERROR(__xludf.DUMMYFUNCTION("""COMPUTED_VALUE"""),"Dallas, TX 75208")</f>
        <v>Dallas, TX 75208</v>
      </c>
      <c r="AC194" s="24" t="s">
        <v>560</v>
      </c>
      <c r="AD194" s="25"/>
      <c r="AE194" s="25"/>
      <c r="AF194" s="25"/>
      <c r="AG194" s="22" t="s">
        <v>60</v>
      </c>
      <c r="AH194" s="54">
        <v>2441.0</v>
      </c>
      <c r="AI194" s="22" t="s">
        <v>61</v>
      </c>
      <c r="AJ194" s="27">
        <v>250.0</v>
      </c>
      <c r="AK194" s="31" t="s">
        <v>21</v>
      </c>
      <c r="AL194" s="28">
        <v>44728.0</v>
      </c>
      <c r="AM194" s="29">
        <v>44756.4640625</v>
      </c>
      <c r="AN194" s="30">
        <v>2.0</v>
      </c>
      <c r="AO194" s="22"/>
      <c r="AP194" s="22"/>
      <c r="AQ194" s="22"/>
      <c r="AR194" s="22"/>
      <c r="AS194" s="22"/>
      <c r="AT194" s="70"/>
      <c r="AU194" s="22"/>
      <c r="AV194" s="57" t="str">
        <f>IFERROR(__xludf.DUMMYFUNCTION("""COMPUTED_VALUE"""),"White")</f>
        <v>White</v>
      </c>
      <c r="AW194" s="46">
        <f t="shared" si="7"/>
        <v>5000</v>
      </c>
      <c r="AX194" s="47">
        <f t="shared" ref="AX194:BQ194" si="692">SUMIFS($AJ:$AJ,$V:$V,$AV194,$AK:$AK,AX$2)</f>
        <v>500</v>
      </c>
      <c r="AY194" s="48">
        <f t="shared" si="692"/>
        <v>0</v>
      </c>
      <c r="AZ194" s="48">
        <f t="shared" si="692"/>
        <v>0</v>
      </c>
      <c r="BA194" s="48">
        <f t="shared" si="692"/>
        <v>0</v>
      </c>
      <c r="BB194" s="48">
        <f t="shared" si="692"/>
        <v>4500</v>
      </c>
      <c r="BC194" s="48">
        <f t="shared" si="692"/>
        <v>0</v>
      </c>
      <c r="BD194" s="48">
        <f t="shared" si="692"/>
        <v>0</v>
      </c>
      <c r="BE194" s="48">
        <f t="shared" si="692"/>
        <v>0</v>
      </c>
      <c r="BF194" s="48">
        <f t="shared" si="692"/>
        <v>0</v>
      </c>
      <c r="BG194" s="48">
        <f t="shared" si="692"/>
        <v>0</v>
      </c>
      <c r="BH194" s="48">
        <f t="shared" si="692"/>
        <v>0</v>
      </c>
      <c r="BI194" s="48">
        <f t="shared" si="692"/>
        <v>0</v>
      </c>
      <c r="BJ194" s="48">
        <f t="shared" si="692"/>
        <v>0</v>
      </c>
      <c r="BK194" s="48">
        <f t="shared" si="692"/>
        <v>0</v>
      </c>
      <c r="BL194" s="48">
        <f t="shared" si="692"/>
        <v>0</v>
      </c>
      <c r="BM194" s="48">
        <f t="shared" si="692"/>
        <v>0</v>
      </c>
      <c r="BN194" s="48">
        <f t="shared" si="692"/>
        <v>0</v>
      </c>
      <c r="BO194" s="48">
        <f t="shared" si="692"/>
        <v>0</v>
      </c>
      <c r="BP194" s="48">
        <f t="shared" si="692"/>
        <v>0</v>
      </c>
      <c r="BQ194" s="48">
        <f t="shared" si="692"/>
        <v>0</v>
      </c>
      <c r="BR194" s="36">
        <f t="shared" si="9"/>
        <v>1</v>
      </c>
      <c r="BS194" s="38">
        <f t="shared" si="10"/>
        <v>2</v>
      </c>
      <c r="BT194" s="49">
        <f t="shared" si="11"/>
        <v>0</v>
      </c>
      <c r="BU194" s="38">
        <f t="shared" si="12"/>
        <v>2000</v>
      </c>
      <c r="BV194" s="57" t="str">
        <f>IFERROR(__xludf.DUMMYFUNCTION("""COMPUTED_VALUE"""),"White")</f>
        <v>White</v>
      </c>
      <c r="BW194" s="46">
        <f t="shared" si="13"/>
        <v>5000</v>
      </c>
      <c r="BX194" s="47">
        <f t="shared" ref="BX194:CA194" si="693">AX194-$BU194</f>
        <v>-1500</v>
      </c>
      <c r="BY194" s="47">
        <f t="shared" si="693"/>
        <v>-2000</v>
      </c>
      <c r="BZ194" s="47">
        <f t="shared" si="693"/>
        <v>-2000</v>
      </c>
      <c r="CA194" s="47">
        <f t="shared" si="693"/>
        <v>-2000</v>
      </c>
      <c r="CB194" s="47">
        <f t="shared" si="15"/>
        <v>-15500</v>
      </c>
      <c r="CC194" s="47">
        <f t="shared" ref="CC194:CQ194" si="694">BC194-$BU194</f>
        <v>-2000</v>
      </c>
      <c r="CD194" s="47">
        <f t="shared" si="694"/>
        <v>-2000</v>
      </c>
      <c r="CE194" s="47">
        <f t="shared" si="694"/>
        <v>-2000</v>
      </c>
      <c r="CF194" s="47">
        <f t="shared" si="694"/>
        <v>-2000</v>
      </c>
      <c r="CG194" s="47">
        <f t="shared" si="694"/>
        <v>-2000</v>
      </c>
      <c r="CH194" s="47">
        <f t="shared" si="694"/>
        <v>-2000</v>
      </c>
      <c r="CI194" s="47">
        <f t="shared" si="694"/>
        <v>-2000</v>
      </c>
      <c r="CJ194" s="47">
        <f t="shared" si="694"/>
        <v>-2000</v>
      </c>
      <c r="CK194" s="47">
        <f t="shared" si="694"/>
        <v>-2000</v>
      </c>
      <c r="CL194" s="47">
        <f t="shared" si="694"/>
        <v>-2000</v>
      </c>
      <c r="CM194" s="47">
        <f t="shared" si="694"/>
        <v>-2000</v>
      </c>
      <c r="CN194" s="47">
        <f t="shared" si="694"/>
        <v>-2000</v>
      </c>
      <c r="CO194" s="47">
        <f t="shared" si="694"/>
        <v>-2000</v>
      </c>
      <c r="CP194" s="47">
        <f t="shared" si="694"/>
        <v>-2000</v>
      </c>
      <c r="CQ194" s="47">
        <f t="shared" si="694"/>
        <v>-2000</v>
      </c>
      <c r="CR194" s="47"/>
      <c r="CS194" s="47"/>
      <c r="CT194" s="47"/>
      <c r="CU194" s="50" t="str">
        <f>IFERROR(__xludf.DUMMYFUNCTION("""COMPUTED_VALUE"""),"3301 Hudnall St.
Dallas, TX 75235          ")</f>
        <v>3301 Hudnall St.
Dallas, TX 75235          </v>
      </c>
      <c r="CV194" s="51">
        <f>IFERROR(__xludf.DUMMYFUNCTION("IF(REGEXMATCH(UPPER(CU194), ""TX""),0,1)"),0.0)</f>
        <v>0</v>
      </c>
      <c r="CW194" s="51">
        <f>IFERROR(__xludf.DUMMYFUNCTION("IF(REGEXMATCH(UPPER(CU194), ""DALLAS""),0,1)"),0.0)</f>
        <v>0</v>
      </c>
      <c r="CX194" s="51">
        <f t="shared" si="17"/>
        <v>0</v>
      </c>
      <c r="CY194" s="51">
        <f t="shared" si="18"/>
        <v>0</v>
      </c>
      <c r="CZ194" s="52" t="str">
        <f t="shared" si="19"/>
        <v/>
      </c>
      <c r="DA194" s="58"/>
      <c r="DB194" s="52"/>
      <c r="DC194" s="52"/>
      <c r="DD194" s="52"/>
      <c r="DE194" s="52"/>
      <c r="DF194" s="52"/>
      <c r="DG194" s="52"/>
      <c r="DH194" s="52"/>
      <c r="DI194" s="52"/>
      <c r="DJ194" s="52"/>
      <c r="DK194" s="52"/>
      <c r="DL194" s="52"/>
      <c r="DM194" s="52"/>
      <c r="DN194" s="52"/>
      <c r="DO194" s="52"/>
      <c r="DP194" s="52"/>
      <c r="DQ194" s="52"/>
      <c r="DR194" s="52"/>
      <c r="DS194" s="52"/>
      <c r="DT194" s="52"/>
      <c r="DU194" s="52"/>
      <c r="DV194" s="52"/>
      <c r="DW194" s="52"/>
    </row>
    <row r="195">
      <c r="A195" s="40" t="s">
        <v>55</v>
      </c>
      <c r="B195" s="41" t="s">
        <v>56</v>
      </c>
      <c r="C195" s="31" t="s">
        <v>561</v>
      </c>
      <c r="D195" s="25" t="str">
        <f>IFERROR(__xludf.DUMMYFUNCTION("SPLIT(C195,"" "")"),"Carey,")</f>
        <v>Carey,</v>
      </c>
      <c r="E195" s="40" t="str">
        <f>IFERROR(__xludf.DUMMYFUNCTION("""COMPUTED_VALUE"""),"Jeff
300")</f>
        <v>Jeff
300</v>
      </c>
      <c r="F195" s="40" t="str">
        <f>IFERROR(__xludf.DUMMYFUNCTION("""COMPUTED_VALUE"""),"E.")</f>
        <v>E.</v>
      </c>
      <c r="G195" s="40" t="str">
        <f>IFERROR(__xludf.DUMMYFUNCTION("""COMPUTED_VALUE"""),"Round")</f>
        <v>Round</v>
      </c>
      <c r="H195" s="40" t="str">
        <f>IFERROR(__xludf.DUMMYFUNCTION("""COMPUTED_VALUE"""),"Grove")</f>
        <v>Grove</v>
      </c>
      <c r="I195" s="40" t="str">
        <f>IFERROR(__xludf.DUMMYFUNCTION("""COMPUTED_VALUE"""),"Rd.
Lewisville,")</f>
        <v>Rd.
Lewisville,</v>
      </c>
      <c r="J195" s="40" t="str">
        <f>IFERROR(__xludf.DUMMYFUNCTION("""COMPUTED_VALUE"""),"TX")</f>
        <v>TX</v>
      </c>
      <c r="K195" s="40">
        <f>IFERROR(__xludf.DUMMYFUNCTION("""COMPUTED_VALUE"""),75067.0)</f>
        <v>75067</v>
      </c>
      <c r="L195" s="40"/>
      <c r="M195" s="40"/>
      <c r="N195" s="40"/>
      <c r="O195" s="40"/>
      <c r="P195" s="40"/>
      <c r="Q195" s="40"/>
      <c r="R195" s="40"/>
      <c r="S195" s="40"/>
      <c r="T195" s="40"/>
      <c r="U195" s="24" t="str">
        <f>IFERROR(__xludf.DUMMYFUNCTION("SPLIT(E195,""01234567890"")"),"Jeff
")</f>
        <v>Jeff
</v>
      </c>
      <c r="V195" s="24" t="str">
        <f>IFERROR(__xludf.DUMMYFUNCTION("SPLIT(D195,"","")"),"Carey")</f>
        <v>Carey</v>
      </c>
      <c r="W195" s="25" t="str">
        <f t="shared" si="1"/>
        <v>JEFF
 CAREY</v>
      </c>
      <c r="X195" s="25" t="s">
        <v>562</v>
      </c>
      <c r="Y195" s="25">
        <v>75067.0</v>
      </c>
      <c r="Z195" s="25" t="str">
        <f>IFERROR(__xludf.DUMMYFUNCTION("SPLIT(C195,""
"")"),"Carey, Jeff")</f>
        <v>Carey, Jeff</v>
      </c>
      <c r="AA195" s="25" t="str">
        <f>IFERROR(__xludf.DUMMYFUNCTION("""COMPUTED_VALUE"""),"300 E. Round Grove Rd.")</f>
        <v>300 E. Round Grove Rd.</v>
      </c>
      <c r="AB195" s="25" t="str">
        <f>IFERROR(__xludf.DUMMYFUNCTION("""COMPUTED_VALUE"""),"Lewisville, TX 75067")</f>
        <v>Lewisville, TX 75067</v>
      </c>
      <c r="AC195" s="24" t="s">
        <v>563</v>
      </c>
      <c r="AD195" s="25"/>
      <c r="AE195" s="25"/>
      <c r="AF195" s="25"/>
      <c r="AG195" s="40" t="s">
        <v>60</v>
      </c>
      <c r="AH195" s="42">
        <v>2441.0</v>
      </c>
      <c r="AI195" s="40" t="s">
        <v>61</v>
      </c>
      <c r="AJ195" s="27">
        <v>950.0</v>
      </c>
      <c r="AK195" s="31" t="s">
        <v>21</v>
      </c>
      <c r="AL195" s="43">
        <v>44729.0</v>
      </c>
      <c r="AM195" s="44">
        <v>44756.4640625</v>
      </c>
      <c r="AN195" s="30">
        <v>2.0</v>
      </c>
      <c r="AO195" s="40"/>
      <c r="AP195" s="40"/>
      <c r="AQ195" s="40"/>
      <c r="AR195" s="40"/>
      <c r="AS195" s="40"/>
      <c r="AT195" s="47"/>
      <c r="AU195" s="40"/>
      <c r="AV195" s="46" t="str">
        <f>IFERROR(__xludf.DUMMYFUNCTION("""COMPUTED_VALUE"""),"WSP")</f>
        <v>WSP</v>
      </c>
      <c r="AW195" s="46">
        <f t="shared" si="7"/>
        <v>2000</v>
      </c>
      <c r="AX195" s="47">
        <f t="shared" ref="AX195:BQ195" si="695">SUMIFS($AJ:$AJ,$V:$V,$AV195,$AK:$AK,AX$2)</f>
        <v>0</v>
      </c>
      <c r="AY195" s="48">
        <f t="shared" si="695"/>
        <v>0</v>
      </c>
      <c r="AZ195" s="48">
        <f t="shared" si="695"/>
        <v>0</v>
      </c>
      <c r="BA195" s="48">
        <f t="shared" si="695"/>
        <v>0</v>
      </c>
      <c r="BB195" s="48">
        <f t="shared" si="695"/>
        <v>2000</v>
      </c>
      <c r="BC195" s="48">
        <f t="shared" si="695"/>
        <v>0</v>
      </c>
      <c r="BD195" s="48">
        <f t="shared" si="695"/>
        <v>0</v>
      </c>
      <c r="BE195" s="48">
        <f t="shared" si="695"/>
        <v>0</v>
      </c>
      <c r="BF195" s="48">
        <f t="shared" si="695"/>
        <v>0</v>
      </c>
      <c r="BG195" s="48">
        <f t="shared" si="695"/>
        <v>0</v>
      </c>
      <c r="BH195" s="48">
        <f t="shared" si="695"/>
        <v>0</v>
      </c>
      <c r="BI195" s="48">
        <f t="shared" si="695"/>
        <v>0</v>
      </c>
      <c r="BJ195" s="48">
        <f t="shared" si="695"/>
        <v>0</v>
      </c>
      <c r="BK195" s="48">
        <f t="shared" si="695"/>
        <v>0</v>
      </c>
      <c r="BL195" s="48">
        <f t="shared" si="695"/>
        <v>0</v>
      </c>
      <c r="BM195" s="48">
        <f t="shared" si="695"/>
        <v>0</v>
      </c>
      <c r="BN195" s="48">
        <f t="shared" si="695"/>
        <v>0</v>
      </c>
      <c r="BO195" s="48">
        <f t="shared" si="695"/>
        <v>0</v>
      </c>
      <c r="BP195" s="48">
        <f t="shared" si="695"/>
        <v>0</v>
      </c>
      <c r="BQ195" s="48">
        <f t="shared" si="695"/>
        <v>0</v>
      </c>
      <c r="BR195" s="36">
        <f t="shared" si="9"/>
        <v>0</v>
      </c>
      <c r="BS195" s="38">
        <f t="shared" si="10"/>
        <v>1</v>
      </c>
      <c r="BT195" s="49">
        <f t="shared" si="11"/>
        <v>0</v>
      </c>
      <c r="BU195" s="38">
        <f t="shared" si="12"/>
        <v>1000</v>
      </c>
      <c r="BV195" s="46" t="str">
        <f>IFERROR(__xludf.DUMMYFUNCTION("""COMPUTED_VALUE"""),"WSP")</f>
        <v>WSP</v>
      </c>
      <c r="BW195" s="46">
        <f t="shared" si="13"/>
        <v>2000</v>
      </c>
      <c r="BX195" s="47">
        <f t="shared" ref="BX195:CA195" si="696">AX195-$BU195</f>
        <v>-1000</v>
      </c>
      <c r="BY195" s="47">
        <f t="shared" si="696"/>
        <v>-1000</v>
      </c>
      <c r="BZ195" s="47">
        <f t="shared" si="696"/>
        <v>-1000</v>
      </c>
      <c r="CA195" s="47">
        <f t="shared" si="696"/>
        <v>-1000</v>
      </c>
      <c r="CB195" s="47">
        <f t="shared" si="15"/>
        <v>-8000</v>
      </c>
      <c r="CC195" s="47">
        <f t="shared" ref="CC195:CQ195" si="697">BC195-$BU195</f>
        <v>-1000</v>
      </c>
      <c r="CD195" s="47">
        <f t="shared" si="697"/>
        <v>-1000</v>
      </c>
      <c r="CE195" s="47">
        <f t="shared" si="697"/>
        <v>-1000</v>
      </c>
      <c r="CF195" s="47">
        <f t="shared" si="697"/>
        <v>-1000</v>
      </c>
      <c r="CG195" s="47">
        <f t="shared" si="697"/>
        <v>-1000</v>
      </c>
      <c r="CH195" s="47">
        <f t="shared" si="697"/>
        <v>-1000</v>
      </c>
      <c r="CI195" s="47">
        <f t="shared" si="697"/>
        <v>-1000</v>
      </c>
      <c r="CJ195" s="47">
        <f t="shared" si="697"/>
        <v>-1000</v>
      </c>
      <c r="CK195" s="47">
        <f t="shared" si="697"/>
        <v>-1000</v>
      </c>
      <c r="CL195" s="47">
        <f t="shared" si="697"/>
        <v>-1000</v>
      </c>
      <c r="CM195" s="47">
        <f t="shared" si="697"/>
        <v>-1000</v>
      </c>
      <c r="CN195" s="47">
        <f t="shared" si="697"/>
        <v>-1000</v>
      </c>
      <c r="CO195" s="47">
        <f t="shared" si="697"/>
        <v>-1000</v>
      </c>
      <c r="CP195" s="47">
        <f t="shared" si="697"/>
        <v>-1000</v>
      </c>
      <c r="CQ195" s="47">
        <f t="shared" si="697"/>
        <v>-1000</v>
      </c>
      <c r="CR195" s="47"/>
      <c r="CS195" s="47"/>
      <c r="CT195" s="47"/>
      <c r="CU195" s="50" t="str">
        <f>IFERROR(__xludf.DUMMYFUNCTION("""COMPUTED_VALUE"""),"2207 Kessler Woods Ct.
Dallas, TX 75208         ")</f>
        <v>2207 Kessler Woods Ct.
Dallas, TX 75208         </v>
      </c>
      <c r="CV195" s="51">
        <f>IFERROR(__xludf.DUMMYFUNCTION("IF(REGEXMATCH(UPPER(CU195), ""TX""),0,1)"),0.0)</f>
        <v>0</v>
      </c>
      <c r="CW195" s="51">
        <f>IFERROR(__xludf.DUMMYFUNCTION("IF(REGEXMATCH(UPPER(CU195), ""DALLAS""),0,1)"),0.0)</f>
        <v>0</v>
      </c>
      <c r="CX195" s="51">
        <f t="shared" si="17"/>
        <v>0</v>
      </c>
      <c r="CY195" s="51">
        <f t="shared" si="18"/>
        <v>0</v>
      </c>
      <c r="CZ195" s="52" t="str">
        <f t="shared" si="19"/>
        <v/>
      </c>
      <c r="DA195" s="58"/>
      <c r="DB195" s="52"/>
      <c r="DC195" s="52"/>
      <c r="DD195" s="52"/>
      <c r="DE195" s="52"/>
      <c r="DF195" s="52"/>
      <c r="DG195" s="52"/>
      <c r="DH195" s="52"/>
      <c r="DI195" s="52"/>
      <c r="DJ195" s="52"/>
      <c r="DK195" s="52"/>
      <c r="DL195" s="52"/>
      <c r="DM195" s="52"/>
      <c r="DN195" s="52"/>
      <c r="DO195" s="52"/>
      <c r="DP195" s="52"/>
      <c r="DQ195" s="52"/>
      <c r="DR195" s="52"/>
      <c r="DS195" s="52"/>
      <c r="DT195" s="52"/>
      <c r="DU195" s="52"/>
      <c r="DV195" s="52"/>
      <c r="DW195" s="52"/>
    </row>
    <row r="196">
      <c r="A196" s="22" t="s">
        <v>55</v>
      </c>
      <c r="B196" s="23" t="s">
        <v>56</v>
      </c>
      <c r="C196" s="31" t="s">
        <v>564</v>
      </c>
      <c r="D196" s="25" t="str">
        <f>IFERROR(__xludf.DUMMYFUNCTION("SPLIT(C196,"" "")"),"Suarez,")</f>
        <v>Suarez,</v>
      </c>
      <c r="E196" s="22" t="str">
        <f>IFERROR(__xludf.DUMMYFUNCTION("""COMPUTED_VALUE"""),"Michael
907")</f>
        <v>Michael
907</v>
      </c>
      <c r="F196" s="22" t="str">
        <f>IFERROR(__xludf.DUMMYFUNCTION("""COMPUTED_VALUE"""),"Stevens")</f>
        <v>Stevens</v>
      </c>
      <c r="G196" s="22" t="str">
        <f>IFERROR(__xludf.DUMMYFUNCTION("""COMPUTED_VALUE"""),"Woods")</f>
        <v>Woods</v>
      </c>
      <c r="H196" s="22" t="str">
        <f>IFERROR(__xludf.DUMMYFUNCTION("""COMPUTED_VALUE"""),"Ct.
Dallas,")</f>
        <v>Ct.
Dallas,</v>
      </c>
      <c r="I196" s="22" t="str">
        <f>IFERROR(__xludf.DUMMYFUNCTION("""COMPUTED_VALUE"""),"TX")</f>
        <v>TX</v>
      </c>
      <c r="J196" s="22">
        <f>IFERROR(__xludf.DUMMYFUNCTION("""COMPUTED_VALUE"""),75208.0)</f>
        <v>75208</v>
      </c>
      <c r="K196" s="22"/>
      <c r="L196" s="22"/>
      <c r="M196" s="22"/>
      <c r="N196" s="22"/>
      <c r="O196" s="22"/>
      <c r="P196" s="22"/>
      <c r="Q196" s="22"/>
      <c r="R196" s="22"/>
      <c r="S196" s="22"/>
      <c r="T196" s="22"/>
      <c r="U196" s="24" t="str">
        <f>IFERROR(__xludf.DUMMYFUNCTION("SPLIT(E196,""01234567890"")"),"Michael
")</f>
        <v>Michael
</v>
      </c>
      <c r="V196" s="24" t="str">
        <f>IFERROR(__xludf.DUMMYFUNCTION("SPLIT(D196,"","")"),"Suarez")</f>
        <v>Suarez</v>
      </c>
      <c r="W196" s="25" t="str">
        <f t="shared" si="1"/>
        <v>MICHAEL
 SUAREZ</v>
      </c>
      <c r="X196" s="25" t="s">
        <v>565</v>
      </c>
      <c r="Y196" s="25">
        <v>75208.0</v>
      </c>
      <c r="Z196" s="25" t="str">
        <f>IFERROR(__xludf.DUMMYFUNCTION("SPLIT(C196,""
"")"),"Suarez, Michael")</f>
        <v>Suarez, Michael</v>
      </c>
      <c r="AA196" s="25" t="str">
        <f>IFERROR(__xludf.DUMMYFUNCTION("""COMPUTED_VALUE"""),"907 Stevens Woods Ct.")</f>
        <v>907 Stevens Woods Ct.</v>
      </c>
      <c r="AB196" s="25" t="str">
        <f>IFERROR(__xludf.DUMMYFUNCTION("""COMPUTED_VALUE"""),"Dallas, TX 75208")</f>
        <v>Dallas, TX 75208</v>
      </c>
      <c r="AC196" s="24" t="s">
        <v>566</v>
      </c>
      <c r="AD196" s="25"/>
      <c r="AE196" s="25"/>
      <c r="AF196" s="25"/>
      <c r="AG196" s="22" t="s">
        <v>60</v>
      </c>
      <c r="AH196" s="54">
        <v>2441.0</v>
      </c>
      <c r="AI196" s="22" t="s">
        <v>61</v>
      </c>
      <c r="AJ196" s="27">
        <v>833.0</v>
      </c>
      <c r="AK196" s="31" t="s">
        <v>21</v>
      </c>
      <c r="AL196" s="28">
        <v>44729.0</v>
      </c>
      <c r="AM196" s="29">
        <v>44756.4640625</v>
      </c>
      <c r="AN196" s="30">
        <v>2.0</v>
      </c>
      <c r="AO196" s="22"/>
      <c r="AP196" s="22"/>
      <c r="AQ196" s="22"/>
      <c r="AR196" s="22"/>
      <c r="AS196" s="22"/>
      <c r="AT196" s="70"/>
      <c r="AU196" s="22"/>
      <c r="AV196" s="57" t="str">
        <f>IFERROR(__xludf.DUMMYFUNCTION("""COMPUTED_VALUE"""),"Perot")</f>
        <v>Perot</v>
      </c>
      <c r="AW196" s="46">
        <f t="shared" si="7"/>
        <v>10000</v>
      </c>
      <c r="AX196" s="47">
        <f t="shared" ref="AX196:BQ196" si="698">SUMIFS($AJ:$AJ,$V:$V,$AV196,$AK:$AK,AX$2)</f>
        <v>0</v>
      </c>
      <c r="AY196" s="48">
        <f t="shared" si="698"/>
        <v>0</v>
      </c>
      <c r="AZ196" s="48">
        <f t="shared" si="698"/>
        <v>0</v>
      </c>
      <c r="BA196" s="48">
        <f t="shared" si="698"/>
        <v>0</v>
      </c>
      <c r="BB196" s="48">
        <f t="shared" si="698"/>
        <v>10000</v>
      </c>
      <c r="BC196" s="48">
        <f t="shared" si="698"/>
        <v>0</v>
      </c>
      <c r="BD196" s="48">
        <f t="shared" si="698"/>
        <v>0</v>
      </c>
      <c r="BE196" s="48">
        <f t="shared" si="698"/>
        <v>0</v>
      </c>
      <c r="BF196" s="48">
        <f t="shared" si="698"/>
        <v>0</v>
      </c>
      <c r="BG196" s="48">
        <f t="shared" si="698"/>
        <v>0</v>
      </c>
      <c r="BH196" s="48">
        <f t="shared" si="698"/>
        <v>0</v>
      </c>
      <c r="BI196" s="48">
        <f t="shared" si="698"/>
        <v>0</v>
      </c>
      <c r="BJ196" s="48">
        <f t="shared" si="698"/>
        <v>0</v>
      </c>
      <c r="BK196" s="48">
        <f t="shared" si="698"/>
        <v>0</v>
      </c>
      <c r="BL196" s="48">
        <f t="shared" si="698"/>
        <v>0</v>
      </c>
      <c r="BM196" s="48">
        <f t="shared" si="698"/>
        <v>0</v>
      </c>
      <c r="BN196" s="48">
        <f t="shared" si="698"/>
        <v>0</v>
      </c>
      <c r="BO196" s="48">
        <f t="shared" si="698"/>
        <v>0</v>
      </c>
      <c r="BP196" s="48">
        <f t="shared" si="698"/>
        <v>0</v>
      </c>
      <c r="BQ196" s="48">
        <f t="shared" si="698"/>
        <v>0</v>
      </c>
      <c r="BR196" s="36">
        <f t="shared" si="9"/>
        <v>0</v>
      </c>
      <c r="BS196" s="38">
        <f t="shared" si="10"/>
        <v>1</v>
      </c>
      <c r="BT196" s="49">
        <f t="shared" si="11"/>
        <v>0</v>
      </c>
      <c r="BU196" s="38">
        <f t="shared" si="12"/>
        <v>1000</v>
      </c>
      <c r="BV196" s="57" t="str">
        <f>IFERROR(__xludf.DUMMYFUNCTION("""COMPUTED_VALUE"""),"Perot")</f>
        <v>Perot</v>
      </c>
      <c r="BW196" s="46">
        <f t="shared" si="13"/>
        <v>10000</v>
      </c>
      <c r="BX196" s="47">
        <f t="shared" ref="BX196:CA196" si="699">AX196-$BU196</f>
        <v>-1000</v>
      </c>
      <c r="BY196" s="47">
        <f t="shared" si="699"/>
        <v>-1000</v>
      </c>
      <c r="BZ196" s="47">
        <f t="shared" si="699"/>
        <v>-1000</v>
      </c>
      <c r="CA196" s="47">
        <f t="shared" si="699"/>
        <v>-1000</v>
      </c>
      <c r="CB196" s="47">
        <f t="shared" si="15"/>
        <v>0</v>
      </c>
      <c r="CC196" s="47">
        <f t="shared" ref="CC196:CQ196" si="700">BC196-$BU196</f>
        <v>-1000</v>
      </c>
      <c r="CD196" s="47">
        <f t="shared" si="700"/>
        <v>-1000</v>
      </c>
      <c r="CE196" s="47">
        <f t="shared" si="700"/>
        <v>-1000</v>
      </c>
      <c r="CF196" s="47">
        <f t="shared" si="700"/>
        <v>-1000</v>
      </c>
      <c r="CG196" s="47">
        <f t="shared" si="700"/>
        <v>-1000</v>
      </c>
      <c r="CH196" s="47">
        <f t="shared" si="700"/>
        <v>-1000</v>
      </c>
      <c r="CI196" s="47">
        <f t="shared" si="700"/>
        <v>-1000</v>
      </c>
      <c r="CJ196" s="47">
        <f t="shared" si="700"/>
        <v>-1000</v>
      </c>
      <c r="CK196" s="47">
        <f t="shared" si="700"/>
        <v>-1000</v>
      </c>
      <c r="CL196" s="47">
        <f t="shared" si="700"/>
        <v>-1000</v>
      </c>
      <c r="CM196" s="47">
        <f t="shared" si="700"/>
        <v>-1000</v>
      </c>
      <c r="CN196" s="47">
        <f t="shared" si="700"/>
        <v>-1000</v>
      </c>
      <c r="CO196" s="47">
        <f t="shared" si="700"/>
        <v>-1000</v>
      </c>
      <c r="CP196" s="47">
        <f t="shared" si="700"/>
        <v>-1000</v>
      </c>
      <c r="CQ196" s="47">
        <f t="shared" si="700"/>
        <v>-1000</v>
      </c>
      <c r="CR196" s="47"/>
      <c r="CS196" s="47"/>
      <c r="CT196" s="47"/>
      <c r="CU196" s="50" t="str">
        <f>IFERROR(__xludf.DUMMYFUNCTION("""COMPUTED_VALUE"""),"2929 Wycliff Ave.
Dallas, TX 75219          ")</f>
        <v>2929 Wycliff Ave.
Dallas, TX 75219          </v>
      </c>
      <c r="CV196" s="51">
        <f>IFERROR(__xludf.DUMMYFUNCTION("IF(REGEXMATCH(UPPER(CU196), ""TX""),0,1)"),0.0)</f>
        <v>0</v>
      </c>
      <c r="CW196" s="51">
        <f>IFERROR(__xludf.DUMMYFUNCTION("IF(REGEXMATCH(UPPER(CU196), ""DALLAS""),0,1)"),0.0)</f>
        <v>0</v>
      </c>
      <c r="CX196" s="51">
        <f t="shared" si="17"/>
        <v>0</v>
      </c>
      <c r="CY196" s="51">
        <f t="shared" si="18"/>
        <v>0</v>
      </c>
      <c r="CZ196" s="52" t="str">
        <f t="shared" si="19"/>
        <v/>
      </c>
      <c r="DA196" s="58"/>
      <c r="DB196" s="52"/>
      <c r="DC196" s="52"/>
      <c r="DD196" s="52"/>
      <c r="DE196" s="52"/>
      <c r="DF196" s="52"/>
      <c r="DG196" s="52"/>
      <c r="DH196" s="52"/>
      <c r="DI196" s="52"/>
      <c r="DJ196" s="52"/>
      <c r="DK196" s="52"/>
      <c r="DL196" s="52"/>
      <c r="DM196" s="52"/>
      <c r="DN196" s="52"/>
      <c r="DO196" s="52"/>
      <c r="DP196" s="52"/>
      <c r="DQ196" s="52"/>
      <c r="DR196" s="52"/>
      <c r="DS196" s="52"/>
      <c r="DT196" s="52"/>
      <c r="DU196" s="52"/>
      <c r="DV196" s="52"/>
      <c r="DW196" s="52"/>
    </row>
    <row r="197">
      <c r="A197" s="40" t="s">
        <v>55</v>
      </c>
      <c r="B197" s="41" t="s">
        <v>56</v>
      </c>
      <c r="C197" s="31" t="s">
        <v>567</v>
      </c>
      <c r="D197" s="25" t="str">
        <f>IFERROR(__xludf.DUMMYFUNCTION("SPLIT(C197,"" "")"),"Yancey,")</f>
        <v>Yancey,</v>
      </c>
      <c r="E197" s="40" t="str">
        <f>IFERROR(__xludf.DUMMYFUNCTION("""COMPUTED_VALUE"""),"Jay
850")</f>
        <v>Jay
850</v>
      </c>
      <c r="F197" s="40" t="str">
        <f>IFERROR(__xludf.DUMMYFUNCTION("""COMPUTED_VALUE"""),"N.")</f>
        <v>N.</v>
      </c>
      <c r="G197" s="40" t="str">
        <f>IFERROR(__xludf.DUMMYFUNCTION("""COMPUTED_VALUE"""),"Clinton")</f>
        <v>Clinton</v>
      </c>
      <c r="H197" s="40" t="str">
        <f>IFERROR(__xludf.DUMMYFUNCTION("""COMPUTED_VALUE"""),"Ave
Dallas,")</f>
        <v>Ave
Dallas,</v>
      </c>
      <c r="I197" s="40" t="str">
        <f>IFERROR(__xludf.DUMMYFUNCTION("""COMPUTED_VALUE"""),"TX")</f>
        <v>TX</v>
      </c>
      <c r="J197" s="40">
        <f>IFERROR(__xludf.DUMMYFUNCTION("""COMPUTED_VALUE"""),75208.0)</f>
        <v>75208</v>
      </c>
      <c r="K197" s="40"/>
      <c r="L197" s="40"/>
      <c r="M197" s="40"/>
      <c r="N197" s="40"/>
      <c r="O197" s="40"/>
      <c r="P197" s="40"/>
      <c r="Q197" s="40"/>
      <c r="R197" s="40"/>
      <c r="S197" s="40"/>
      <c r="T197" s="40"/>
      <c r="U197" s="24" t="str">
        <f>IFERROR(__xludf.DUMMYFUNCTION("SPLIT(E197,""01234567890"")"),"Jay
")</f>
        <v>Jay
</v>
      </c>
      <c r="V197" s="24" t="str">
        <f>IFERROR(__xludf.DUMMYFUNCTION("SPLIT(D197,"","")"),"Yancey")</f>
        <v>Yancey</v>
      </c>
      <c r="W197" s="25" t="str">
        <f t="shared" si="1"/>
        <v>JAY
 YANCEY</v>
      </c>
      <c r="X197" s="25" t="s">
        <v>568</v>
      </c>
      <c r="Y197" s="25">
        <v>75208.0</v>
      </c>
      <c r="Z197" s="25" t="str">
        <f>IFERROR(__xludf.DUMMYFUNCTION("SPLIT(C197,""
"")"),"Yancey, Jay")</f>
        <v>Yancey, Jay</v>
      </c>
      <c r="AA197" s="25" t="str">
        <f>IFERROR(__xludf.DUMMYFUNCTION("""COMPUTED_VALUE"""),"850 N. Clinton Ave")</f>
        <v>850 N. Clinton Ave</v>
      </c>
      <c r="AB197" s="25" t="str">
        <f>IFERROR(__xludf.DUMMYFUNCTION("""COMPUTED_VALUE"""),"Dallas, TX 75208")</f>
        <v>Dallas, TX 75208</v>
      </c>
      <c r="AC197" s="24" t="s">
        <v>569</v>
      </c>
      <c r="AD197" s="25"/>
      <c r="AE197" s="25"/>
      <c r="AF197" s="25"/>
      <c r="AG197" s="40" t="s">
        <v>60</v>
      </c>
      <c r="AH197" s="42">
        <v>2441.0</v>
      </c>
      <c r="AI197" s="40" t="s">
        <v>61</v>
      </c>
      <c r="AJ197" s="27">
        <v>237.0</v>
      </c>
      <c r="AK197" s="31" t="s">
        <v>21</v>
      </c>
      <c r="AL197" s="43">
        <v>44730.0</v>
      </c>
      <c r="AM197" s="44">
        <v>44756.4640625</v>
      </c>
      <c r="AN197" s="30">
        <v>2.0</v>
      </c>
      <c r="AO197" s="40"/>
      <c r="AP197" s="40"/>
      <c r="AQ197" s="40"/>
      <c r="AR197" s="40"/>
      <c r="AS197" s="40"/>
      <c r="AT197" s="47"/>
      <c r="AU197" s="40"/>
      <c r="AV197" s="46" t="str">
        <f>IFERROR(__xludf.DUMMYFUNCTION("""COMPUTED_VALUE"""),"Tillotson")</f>
        <v>Tillotson</v>
      </c>
      <c r="AW197" s="46">
        <f t="shared" si="7"/>
        <v>2500</v>
      </c>
      <c r="AX197" s="47">
        <f t="shared" ref="AX197:BQ197" si="701">SUMIFS($AJ:$AJ,$V:$V,$AV197,$AK:$AK,AX$2)</f>
        <v>0</v>
      </c>
      <c r="AY197" s="48">
        <f t="shared" si="701"/>
        <v>0</v>
      </c>
      <c r="AZ197" s="48">
        <f t="shared" si="701"/>
        <v>0</v>
      </c>
      <c r="BA197" s="48">
        <f t="shared" si="701"/>
        <v>0</v>
      </c>
      <c r="BB197" s="48">
        <f t="shared" si="701"/>
        <v>2500</v>
      </c>
      <c r="BC197" s="48">
        <f t="shared" si="701"/>
        <v>0</v>
      </c>
      <c r="BD197" s="48">
        <f t="shared" si="701"/>
        <v>0</v>
      </c>
      <c r="BE197" s="48">
        <f t="shared" si="701"/>
        <v>0</v>
      </c>
      <c r="BF197" s="48">
        <f t="shared" si="701"/>
        <v>0</v>
      </c>
      <c r="BG197" s="48">
        <f t="shared" si="701"/>
        <v>0</v>
      </c>
      <c r="BH197" s="48">
        <f t="shared" si="701"/>
        <v>0</v>
      </c>
      <c r="BI197" s="48">
        <f t="shared" si="701"/>
        <v>0</v>
      </c>
      <c r="BJ197" s="48">
        <f t="shared" si="701"/>
        <v>0</v>
      </c>
      <c r="BK197" s="48">
        <f t="shared" si="701"/>
        <v>0</v>
      </c>
      <c r="BL197" s="48">
        <f t="shared" si="701"/>
        <v>0</v>
      </c>
      <c r="BM197" s="48">
        <f t="shared" si="701"/>
        <v>0</v>
      </c>
      <c r="BN197" s="48">
        <f t="shared" si="701"/>
        <v>0</v>
      </c>
      <c r="BO197" s="48">
        <f t="shared" si="701"/>
        <v>0</v>
      </c>
      <c r="BP197" s="48">
        <f t="shared" si="701"/>
        <v>0</v>
      </c>
      <c r="BQ197" s="48">
        <f t="shared" si="701"/>
        <v>0</v>
      </c>
      <c r="BR197" s="36">
        <f t="shared" si="9"/>
        <v>0</v>
      </c>
      <c r="BS197" s="38">
        <f t="shared" si="10"/>
        <v>1</v>
      </c>
      <c r="BT197" s="49">
        <f t="shared" si="11"/>
        <v>0</v>
      </c>
      <c r="BU197" s="38">
        <f t="shared" si="12"/>
        <v>1000</v>
      </c>
      <c r="BV197" s="46" t="str">
        <f>IFERROR(__xludf.DUMMYFUNCTION("""COMPUTED_VALUE"""),"Tillotson")</f>
        <v>Tillotson</v>
      </c>
      <c r="BW197" s="46">
        <f t="shared" si="13"/>
        <v>2500</v>
      </c>
      <c r="BX197" s="47">
        <f t="shared" ref="BX197:CA197" si="702">AX197-$BU197</f>
        <v>-1000</v>
      </c>
      <c r="BY197" s="47">
        <f t="shared" si="702"/>
        <v>-1000</v>
      </c>
      <c r="BZ197" s="47">
        <f t="shared" si="702"/>
        <v>-1000</v>
      </c>
      <c r="CA197" s="47">
        <f t="shared" si="702"/>
        <v>-1000</v>
      </c>
      <c r="CB197" s="47">
        <f t="shared" si="15"/>
        <v>-7500</v>
      </c>
      <c r="CC197" s="47">
        <f t="shared" ref="CC197:CQ197" si="703">BC197-$BU197</f>
        <v>-1000</v>
      </c>
      <c r="CD197" s="47">
        <f t="shared" si="703"/>
        <v>-1000</v>
      </c>
      <c r="CE197" s="47">
        <f t="shared" si="703"/>
        <v>-1000</v>
      </c>
      <c r="CF197" s="47">
        <f t="shared" si="703"/>
        <v>-1000</v>
      </c>
      <c r="CG197" s="47">
        <f t="shared" si="703"/>
        <v>-1000</v>
      </c>
      <c r="CH197" s="47">
        <f t="shared" si="703"/>
        <v>-1000</v>
      </c>
      <c r="CI197" s="47">
        <f t="shared" si="703"/>
        <v>-1000</v>
      </c>
      <c r="CJ197" s="47">
        <f t="shared" si="703"/>
        <v>-1000</v>
      </c>
      <c r="CK197" s="47">
        <f t="shared" si="703"/>
        <v>-1000</v>
      </c>
      <c r="CL197" s="47">
        <f t="shared" si="703"/>
        <v>-1000</v>
      </c>
      <c r="CM197" s="47">
        <f t="shared" si="703"/>
        <v>-1000</v>
      </c>
      <c r="CN197" s="47">
        <f t="shared" si="703"/>
        <v>-1000</v>
      </c>
      <c r="CO197" s="47">
        <f t="shared" si="703"/>
        <v>-1000</v>
      </c>
      <c r="CP197" s="47">
        <f t="shared" si="703"/>
        <v>-1000</v>
      </c>
      <c r="CQ197" s="47">
        <f t="shared" si="703"/>
        <v>-1000</v>
      </c>
      <c r="CR197" s="47"/>
      <c r="CS197" s="47"/>
      <c r="CT197" s="47"/>
      <c r="CU197" s="50" t="str">
        <f>IFERROR(__xludf.DUMMYFUNCTION("""COMPUTED_VALUE"""),"susan B.
2622 Commerce St.
Dallas, TX 75226         ")</f>
        <v>susan B.
2622 Commerce St.
Dallas, TX 75226         </v>
      </c>
      <c r="CV197" s="51">
        <f>IFERROR(__xludf.DUMMYFUNCTION("IF(REGEXMATCH(UPPER(CU197), ""TX""),0,1)"),0.0)</f>
        <v>0</v>
      </c>
      <c r="CW197" s="51">
        <f>IFERROR(__xludf.DUMMYFUNCTION("IF(REGEXMATCH(UPPER(CU197), ""DALLAS""),0,1)"),0.0)</f>
        <v>0</v>
      </c>
      <c r="CX197" s="51">
        <f t="shared" si="17"/>
        <v>0</v>
      </c>
      <c r="CY197" s="51">
        <f t="shared" si="18"/>
        <v>0</v>
      </c>
      <c r="CZ197" s="52" t="str">
        <f t="shared" si="19"/>
        <v/>
      </c>
      <c r="DA197" s="58"/>
      <c r="DB197" s="52"/>
      <c r="DC197" s="52"/>
      <c r="DD197" s="52"/>
      <c r="DE197" s="52"/>
      <c r="DF197" s="52"/>
      <c r="DG197" s="52"/>
      <c r="DH197" s="52"/>
      <c r="DI197" s="52"/>
      <c r="DJ197" s="52"/>
      <c r="DK197" s="52"/>
      <c r="DL197" s="52"/>
      <c r="DM197" s="52"/>
      <c r="DN197" s="52"/>
      <c r="DO197" s="52"/>
      <c r="DP197" s="52"/>
      <c r="DQ197" s="52"/>
      <c r="DR197" s="52"/>
      <c r="DS197" s="52"/>
      <c r="DT197" s="52"/>
      <c r="DU197" s="52"/>
      <c r="DV197" s="52"/>
      <c r="DW197" s="52"/>
    </row>
    <row r="198">
      <c r="A198" s="22" t="s">
        <v>55</v>
      </c>
      <c r="B198" s="23" t="s">
        <v>56</v>
      </c>
      <c r="C198" s="31" t="s">
        <v>570</v>
      </c>
      <c r="D198" s="25" t="str">
        <f>IFERROR(__xludf.DUMMYFUNCTION("SPLIT(C198,"" "")"),"Luther,")</f>
        <v>Luther,</v>
      </c>
      <c r="E198" s="22" t="str">
        <f>IFERROR(__xludf.DUMMYFUNCTION("""COMPUTED_VALUE"""),"David
619")</f>
        <v>David
619</v>
      </c>
      <c r="F198" s="22" t="str">
        <f>IFERROR(__xludf.DUMMYFUNCTION("""COMPUTED_VALUE"""),"Kessler")</f>
        <v>Kessler</v>
      </c>
      <c r="G198" s="22" t="str">
        <f>IFERROR(__xludf.DUMMYFUNCTION("""COMPUTED_VALUE"""),"Spgs.")</f>
        <v>Spgs.</v>
      </c>
      <c r="H198" s="22" t="str">
        <f>IFERROR(__xludf.DUMMYFUNCTION("""COMPUTED_VALUE"""),"Ave.
Dallas,")</f>
        <v>Ave.
Dallas,</v>
      </c>
      <c r="I198" s="22" t="str">
        <f>IFERROR(__xludf.DUMMYFUNCTION("""COMPUTED_VALUE"""),"TX")</f>
        <v>TX</v>
      </c>
      <c r="J198" s="22">
        <f>IFERROR(__xludf.DUMMYFUNCTION("""COMPUTED_VALUE"""),75208.0)</f>
        <v>75208</v>
      </c>
      <c r="K198" s="22"/>
      <c r="L198" s="22"/>
      <c r="M198" s="22"/>
      <c r="N198" s="22"/>
      <c r="O198" s="22"/>
      <c r="P198" s="22"/>
      <c r="Q198" s="22"/>
      <c r="R198" s="22"/>
      <c r="S198" s="22"/>
      <c r="T198" s="22"/>
      <c r="U198" s="24" t="str">
        <f>IFERROR(__xludf.DUMMYFUNCTION("SPLIT(E198,""01234567890"")"),"David
")</f>
        <v>David
</v>
      </c>
      <c r="V198" s="24" t="str">
        <f>IFERROR(__xludf.DUMMYFUNCTION("SPLIT(D198,"","")"),"Luther")</f>
        <v>Luther</v>
      </c>
      <c r="W198" s="25" t="str">
        <f t="shared" si="1"/>
        <v>DAVID
 LUTHER</v>
      </c>
      <c r="X198" s="25" t="s">
        <v>571</v>
      </c>
      <c r="Y198" s="25">
        <v>75208.0</v>
      </c>
      <c r="Z198" s="25" t="str">
        <f>IFERROR(__xludf.DUMMYFUNCTION("SPLIT(C198,""
"")"),"Luther, David")</f>
        <v>Luther, David</v>
      </c>
      <c r="AA198" s="25" t="str">
        <f>IFERROR(__xludf.DUMMYFUNCTION("""COMPUTED_VALUE"""),"619 Kessler Spgs. Ave.")</f>
        <v>619 Kessler Spgs. Ave.</v>
      </c>
      <c r="AB198" s="25" t="str">
        <f>IFERROR(__xludf.DUMMYFUNCTION("""COMPUTED_VALUE"""),"Dallas, TX 75208")</f>
        <v>Dallas, TX 75208</v>
      </c>
      <c r="AC198" s="24" t="s">
        <v>572</v>
      </c>
      <c r="AD198" s="25"/>
      <c r="AE198" s="25"/>
      <c r="AF198" s="25"/>
      <c r="AG198" s="22" t="s">
        <v>60</v>
      </c>
      <c r="AH198" s="54">
        <v>2441.0</v>
      </c>
      <c r="AI198" s="22" t="s">
        <v>61</v>
      </c>
      <c r="AJ198" s="27">
        <v>75.0</v>
      </c>
      <c r="AK198" s="31" t="s">
        <v>21</v>
      </c>
      <c r="AL198" s="28">
        <v>44731.0</v>
      </c>
      <c r="AM198" s="29">
        <v>44756.4640625</v>
      </c>
      <c r="AN198" s="30">
        <v>2.0</v>
      </c>
      <c r="AO198" s="22"/>
      <c r="AP198" s="22"/>
      <c r="AQ198" s="22"/>
      <c r="AR198" s="22"/>
      <c r="AS198" s="22"/>
      <c r="AT198" s="70"/>
      <c r="AU198" s="22"/>
      <c r="AV198" s="57" t="str">
        <f>IFERROR(__xludf.DUMMYFUNCTION("""COMPUTED_VALUE"""),"Goldberg")</f>
        <v>Goldberg</v>
      </c>
      <c r="AW198" s="46">
        <f t="shared" si="7"/>
        <v>600</v>
      </c>
      <c r="AX198" s="47">
        <f t="shared" ref="AX198:BQ198" si="704">SUMIFS($AJ:$AJ,$V:$V,$AV198,$AK:$AK,AX$2)</f>
        <v>0</v>
      </c>
      <c r="AY198" s="48">
        <f t="shared" si="704"/>
        <v>0</v>
      </c>
      <c r="AZ198" s="48">
        <f t="shared" si="704"/>
        <v>0</v>
      </c>
      <c r="BA198" s="48">
        <f t="shared" si="704"/>
        <v>0</v>
      </c>
      <c r="BB198" s="48">
        <f t="shared" si="704"/>
        <v>500</v>
      </c>
      <c r="BC198" s="48">
        <f t="shared" si="704"/>
        <v>0</v>
      </c>
      <c r="BD198" s="48">
        <f t="shared" si="704"/>
        <v>0</v>
      </c>
      <c r="BE198" s="48">
        <f t="shared" si="704"/>
        <v>0</v>
      </c>
      <c r="BF198" s="48">
        <f t="shared" si="704"/>
        <v>0</v>
      </c>
      <c r="BG198" s="48">
        <f t="shared" si="704"/>
        <v>0</v>
      </c>
      <c r="BH198" s="48">
        <f t="shared" si="704"/>
        <v>100</v>
      </c>
      <c r="BI198" s="48">
        <f t="shared" si="704"/>
        <v>0</v>
      </c>
      <c r="BJ198" s="48">
        <f t="shared" si="704"/>
        <v>0</v>
      </c>
      <c r="BK198" s="48">
        <f t="shared" si="704"/>
        <v>0</v>
      </c>
      <c r="BL198" s="48">
        <f t="shared" si="704"/>
        <v>0</v>
      </c>
      <c r="BM198" s="48">
        <f t="shared" si="704"/>
        <v>0</v>
      </c>
      <c r="BN198" s="48">
        <f t="shared" si="704"/>
        <v>0</v>
      </c>
      <c r="BO198" s="48">
        <f t="shared" si="704"/>
        <v>0</v>
      </c>
      <c r="BP198" s="48">
        <f t="shared" si="704"/>
        <v>0</v>
      </c>
      <c r="BQ198" s="48">
        <f t="shared" si="704"/>
        <v>0</v>
      </c>
      <c r="BR198" s="36">
        <f t="shared" si="9"/>
        <v>1</v>
      </c>
      <c r="BS198" s="38">
        <f t="shared" si="10"/>
        <v>2</v>
      </c>
      <c r="BT198" s="49">
        <f t="shared" si="11"/>
        <v>0</v>
      </c>
      <c r="BU198" s="38">
        <f t="shared" si="12"/>
        <v>2000</v>
      </c>
      <c r="BV198" s="57" t="str">
        <f>IFERROR(__xludf.DUMMYFUNCTION("""COMPUTED_VALUE"""),"Goldberg")</f>
        <v>Goldberg</v>
      </c>
      <c r="BW198" s="46">
        <f t="shared" si="13"/>
        <v>600</v>
      </c>
      <c r="BX198" s="47">
        <f t="shared" ref="BX198:CA198" si="705">AX198-$BU198</f>
        <v>-2000</v>
      </c>
      <c r="BY198" s="47">
        <f t="shared" si="705"/>
        <v>-2000</v>
      </c>
      <c r="BZ198" s="47">
        <f t="shared" si="705"/>
        <v>-2000</v>
      </c>
      <c r="CA198" s="47">
        <f t="shared" si="705"/>
        <v>-2000</v>
      </c>
      <c r="CB198" s="47">
        <f t="shared" si="15"/>
        <v>-19500</v>
      </c>
      <c r="CC198" s="47">
        <f t="shared" ref="CC198:CQ198" si="706">BC198-$BU198</f>
        <v>-2000</v>
      </c>
      <c r="CD198" s="47">
        <f t="shared" si="706"/>
        <v>-2000</v>
      </c>
      <c r="CE198" s="47">
        <f t="shared" si="706"/>
        <v>-2000</v>
      </c>
      <c r="CF198" s="47">
        <f t="shared" si="706"/>
        <v>-2000</v>
      </c>
      <c r="CG198" s="47">
        <f t="shared" si="706"/>
        <v>-2000</v>
      </c>
      <c r="CH198" s="47">
        <f t="shared" si="706"/>
        <v>-1900</v>
      </c>
      <c r="CI198" s="47">
        <f t="shared" si="706"/>
        <v>-2000</v>
      </c>
      <c r="CJ198" s="47">
        <f t="shared" si="706"/>
        <v>-2000</v>
      </c>
      <c r="CK198" s="47">
        <f t="shared" si="706"/>
        <v>-2000</v>
      </c>
      <c r="CL198" s="47">
        <f t="shared" si="706"/>
        <v>-2000</v>
      </c>
      <c r="CM198" s="47">
        <f t="shared" si="706"/>
        <v>-2000</v>
      </c>
      <c r="CN198" s="47">
        <f t="shared" si="706"/>
        <v>-2000</v>
      </c>
      <c r="CO198" s="47">
        <f t="shared" si="706"/>
        <v>-2000</v>
      </c>
      <c r="CP198" s="47">
        <f t="shared" si="706"/>
        <v>-2000</v>
      </c>
      <c r="CQ198" s="47">
        <f t="shared" si="706"/>
        <v>-2000</v>
      </c>
      <c r="CR198" s="47"/>
      <c r="CS198" s="47"/>
      <c r="CT198" s="47"/>
      <c r="CU198" s="50" t="str">
        <f>IFERROR(__xludf.DUMMYFUNCTION("""COMPUTED_VALUE"""),"2295 Sussex Ln.
Allen, TX 75013          ")</f>
        <v>2295 Sussex Ln.
Allen, TX 75013          </v>
      </c>
      <c r="CV198" s="51">
        <f>IFERROR(__xludf.DUMMYFUNCTION("IF(REGEXMATCH(UPPER(CU198), ""TX""),0,1)"),0.0)</f>
        <v>0</v>
      </c>
      <c r="CW198" s="51">
        <f>IFERROR(__xludf.DUMMYFUNCTION("IF(REGEXMATCH(UPPER(CU198), ""DALLAS""),0,1)"),1.0)</f>
        <v>1</v>
      </c>
      <c r="CX198" s="51">
        <f t="shared" si="17"/>
        <v>0</v>
      </c>
      <c r="CY198" s="51">
        <f t="shared" si="18"/>
        <v>1000</v>
      </c>
      <c r="CZ198" s="52" t="str">
        <f t="shared" si="19"/>
        <v>2295 Sussex Ln.
Allen, TX 75013          </v>
      </c>
      <c r="DA198" s="58"/>
      <c r="DB198" s="52"/>
      <c r="DC198" s="52"/>
      <c r="DD198" s="52"/>
      <c r="DE198" s="52"/>
      <c r="DF198" s="52"/>
      <c r="DG198" s="52"/>
      <c r="DH198" s="52"/>
      <c r="DI198" s="52"/>
      <c r="DJ198" s="52"/>
      <c r="DK198" s="52"/>
      <c r="DL198" s="52"/>
      <c r="DM198" s="52"/>
      <c r="DN198" s="52"/>
      <c r="DO198" s="52"/>
      <c r="DP198" s="52"/>
      <c r="DQ198" s="52"/>
      <c r="DR198" s="52"/>
      <c r="DS198" s="52"/>
      <c r="DT198" s="52"/>
      <c r="DU198" s="52"/>
      <c r="DV198" s="52"/>
      <c r="DW198" s="52"/>
    </row>
    <row r="199">
      <c r="A199" s="40" t="s">
        <v>55</v>
      </c>
      <c r="B199" s="41" t="s">
        <v>56</v>
      </c>
      <c r="C199" s="31" t="s">
        <v>573</v>
      </c>
      <c r="D199" s="25" t="str">
        <f>IFERROR(__xludf.DUMMYFUNCTION("SPLIT(C199,"" "")"),"Goodwin,")</f>
        <v>Goodwin,</v>
      </c>
      <c r="E199" s="40" t="str">
        <f>IFERROR(__xludf.DUMMYFUNCTION("""COMPUTED_VALUE"""),"Elisa
2310")</f>
        <v>Elisa
2310</v>
      </c>
      <c r="F199" s="40" t="str">
        <f>IFERROR(__xludf.DUMMYFUNCTION("""COMPUTED_VALUE"""),"Broken")</f>
        <v>Broken</v>
      </c>
      <c r="G199" s="40" t="str">
        <f>IFERROR(__xludf.DUMMYFUNCTION("""COMPUTED_VALUE"""),"Point
McKinney,")</f>
        <v>Point
McKinney,</v>
      </c>
      <c r="H199" s="40" t="str">
        <f>IFERROR(__xludf.DUMMYFUNCTION("""COMPUTED_VALUE"""),"TX")</f>
        <v>TX</v>
      </c>
      <c r="I199" s="40">
        <f>IFERROR(__xludf.DUMMYFUNCTION("""COMPUTED_VALUE"""),75702.0)</f>
        <v>75702</v>
      </c>
      <c r="J199" s="40"/>
      <c r="K199" s="40"/>
      <c r="L199" s="40"/>
      <c r="M199" s="40"/>
      <c r="N199" s="40"/>
      <c r="O199" s="40"/>
      <c r="P199" s="40"/>
      <c r="Q199" s="40"/>
      <c r="R199" s="40"/>
      <c r="S199" s="40"/>
      <c r="T199" s="40"/>
      <c r="U199" s="24" t="str">
        <f>IFERROR(__xludf.DUMMYFUNCTION("SPLIT(E199,""01234567890"")"),"Elisa
")</f>
        <v>Elisa
</v>
      </c>
      <c r="V199" s="24" t="str">
        <f>IFERROR(__xludf.DUMMYFUNCTION("SPLIT(D199,"","")"),"Goodwin")</f>
        <v>Goodwin</v>
      </c>
      <c r="W199" s="25" t="str">
        <f t="shared" si="1"/>
        <v>ELISA
 GOODWIN</v>
      </c>
      <c r="X199" s="25" t="s">
        <v>574</v>
      </c>
      <c r="Y199" s="25">
        <v>75702.0</v>
      </c>
      <c r="Z199" s="25" t="str">
        <f>IFERROR(__xludf.DUMMYFUNCTION("SPLIT(C199,""
"")"),"Goodwin, Elisa")</f>
        <v>Goodwin, Elisa</v>
      </c>
      <c r="AA199" s="25" t="str">
        <f>IFERROR(__xludf.DUMMYFUNCTION("""COMPUTED_VALUE"""),"2310 Broken Point")</f>
        <v>2310 Broken Point</v>
      </c>
      <c r="AB199" s="25" t="str">
        <f>IFERROR(__xludf.DUMMYFUNCTION("""COMPUTED_VALUE"""),"McKinney, TX 75702")</f>
        <v>McKinney, TX 75702</v>
      </c>
      <c r="AC199" s="24" t="s">
        <v>575</v>
      </c>
      <c r="AD199" s="25"/>
      <c r="AE199" s="25"/>
      <c r="AF199" s="25"/>
      <c r="AG199" s="40" t="s">
        <v>60</v>
      </c>
      <c r="AH199" s="42">
        <v>2441.0</v>
      </c>
      <c r="AI199" s="40" t="s">
        <v>61</v>
      </c>
      <c r="AJ199" s="27">
        <v>95.0</v>
      </c>
      <c r="AK199" s="31" t="s">
        <v>21</v>
      </c>
      <c r="AL199" s="43">
        <v>44731.0</v>
      </c>
      <c r="AM199" s="44">
        <v>44756.4640625</v>
      </c>
      <c r="AN199" s="30">
        <v>2.0</v>
      </c>
      <c r="AO199" s="40"/>
      <c r="AP199" s="40"/>
      <c r="AQ199" s="40"/>
      <c r="AR199" s="40"/>
      <c r="AS199" s="40"/>
      <c r="AT199" s="47"/>
      <c r="AU199" s="40"/>
      <c r="AV199" s="46" t="str">
        <f>IFERROR(__xludf.DUMMYFUNCTION("""COMPUTED_VALUE"""),"Drysdale")</f>
        <v>Drysdale</v>
      </c>
      <c r="AW199" s="46">
        <f t="shared" si="7"/>
        <v>2500</v>
      </c>
      <c r="AX199" s="47">
        <f t="shared" ref="AX199:BQ199" si="707">SUMIFS($AJ:$AJ,$V:$V,$AV199,$AK:$AK,AX$2)</f>
        <v>0</v>
      </c>
      <c r="AY199" s="48">
        <f t="shared" si="707"/>
        <v>0</v>
      </c>
      <c r="AZ199" s="48">
        <f t="shared" si="707"/>
        <v>0</v>
      </c>
      <c r="BA199" s="48">
        <f t="shared" si="707"/>
        <v>0</v>
      </c>
      <c r="BB199" s="48">
        <f t="shared" si="707"/>
        <v>2500</v>
      </c>
      <c r="BC199" s="48">
        <f t="shared" si="707"/>
        <v>0</v>
      </c>
      <c r="BD199" s="48">
        <f t="shared" si="707"/>
        <v>0</v>
      </c>
      <c r="BE199" s="48">
        <f t="shared" si="707"/>
        <v>0</v>
      </c>
      <c r="BF199" s="48">
        <f t="shared" si="707"/>
        <v>0</v>
      </c>
      <c r="BG199" s="48">
        <f t="shared" si="707"/>
        <v>0</v>
      </c>
      <c r="BH199" s="48">
        <f t="shared" si="707"/>
        <v>0</v>
      </c>
      <c r="BI199" s="48">
        <f t="shared" si="707"/>
        <v>0</v>
      </c>
      <c r="BJ199" s="48">
        <f t="shared" si="707"/>
        <v>0</v>
      </c>
      <c r="BK199" s="48">
        <f t="shared" si="707"/>
        <v>0</v>
      </c>
      <c r="BL199" s="48">
        <f t="shared" si="707"/>
        <v>0</v>
      </c>
      <c r="BM199" s="48">
        <f t="shared" si="707"/>
        <v>0</v>
      </c>
      <c r="BN199" s="48">
        <f t="shared" si="707"/>
        <v>0</v>
      </c>
      <c r="BO199" s="48">
        <f t="shared" si="707"/>
        <v>0</v>
      </c>
      <c r="BP199" s="48">
        <f t="shared" si="707"/>
        <v>0</v>
      </c>
      <c r="BQ199" s="48">
        <f t="shared" si="707"/>
        <v>0</v>
      </c>
      <c r="BR199" s="36">
        <f t="shared" si="9"/>
        <v>0</v>
      </c>
      <c r="BS199" s="38">
        <f t="shared" si="10"/>
        <v>1</v>
      </c>
      <c r="BT199" s="49">
        <f t="shared" si="11"/>
        <v>0</v>
      </c>
      <c r="BU199" s="38">
        <f t="shared" si="12"/>
        <v>1000</v>
      </c>
      <c r="BV199" s="46" t="str">
        <f>IFERROR(__xludf.DUMMYFUNCTION("""COMPUTED_VALUE"""),"Drysdale")</f>
        <v>Drysdale</v>
      </c>
      <c r="BW199" s="46">
        <f t="shared" si="13"/>
        <v>2500</v>
      </c>
      <c r="BX199" s="47">
        <f t="shared" ref="BX199:CA199" si="708">AX199-$BU199</f>
        <v>-1000</v>
      </c>
      <c r="BY199" s="47">
        <f t="shared" si="708"/>
        <v>-1000</v>
      </c>
      <c r="BZ199" s="47">
        <f t="shared" si="708"/>
        <v>-1000</v>
      </c>
      <c r="CA199" s="47">
        <f t="shared" si="708"/>
        <v>-1000</v>
      </c>
      <c r="CB199" s="47">
        <f t="shared" si="15"/>
        <v>-7500</v>
      </c>
      <c r="CC199" s="47">
        <f t="shared" ref="CC199:CQ199" si="709">BC199-$BU199</f>
        <v>-1000</v>
      </c>
      <c r="CD199" s="47">
        <f t="shared" si="709"/>
        <v>-1000</v>
      </c>
      <c r="CE199" s="47">
        <f t="shared" si="709"/>
        <v>-1000</v>
      </c>
      <c r="CF199" s="47">
        <f t="shared" si="709"/>
        <v>-1000</v>
      </c>
      <c r="CG199" s="47">
        <f t="shared" si="709"/>
        <v>-1000</v>
      </c>
      <c r="CH199" s="47">
        <f t="shared" si="709"/>
        <v>-1000</v>
      </c>
      <c r="CI199" s="47">
        <f t="shared" si="709"/>
        <v>-1000</v>
      </c>
      <c r="CJ199" s="47">
        <f t="shared" si="709"/>
        <v>-1000</v>
      </c>
      <c r="CK199" s="47">
        <f t="shared" si="709"/>
        <v>-1000</v>
      </c>
      <c r="CL199" s="47">
        <f t="shared" si="709"/>
        <v>-1000</v>
      </c>
      <c r="CM199" s="47">
        <f t="shared" si="709"/>
        <v>-1000</v>
      </c>
      <c r="CN199" s="47">
        <f t="shared" si="709"/>
        <v>-1000</v>
      </c>
      <c r="CO199" s="47">
        <f t="shared" si="709"/>
        <v>-1000</v>
      </c>
      <c r="CP199" s="47">
        <f t="shared" si="709"/>
        <v>-1000</v>
      </c>
      <c r="CQ199" s="47">
        <f t="shared" si="709"/>
        <v>-1000</v>
      </c>
      <c r="CR199" s="47"/>
      <c r="CS199" s="47"/>
      <c r="CT199" s="47"/>
      <c r="CU199" s="50" t="str">
        <f>IFERROR(__xludf.DUMMYFUNCTION("""COMPUTED_VALUE"""),"105 S. Willomet Ave.
Dallas, TX 75208         ")</f>
        <v>105 S. Willomet Ave.
Dallas, TX 75208         </v>
      </c>
      <c r="CV199" s="51">
        <f>IFERROR(__xludf.DUMMYFUNCTION("IF(REGEXMATCH(UPPER(CU199), ""TX""),0,1)"),0.0)</f>
        <v>0</v>
      </c>
      <c r="CW199" s="51">
        <f>IFERROR(__xludf.DUMMYFUNCTION("IF(REGEXMATCH(UPPER(CU199), ""DALLAS""),0,1)"),0.0)</f>
        <v>0</v>
      </c>
      <c r="CX199" s="51">
        <f t="shared" si="17"/>
        <v>0</v>
      </c>
      <c r="CY199" s="51">
        <f t="shared" si="18"/>
        <v>0</v>
      </c>
      <c r="CZ199" s="52" t="str">
        <f t="shared" si="19"/>
        <v/>
      </c>
      <c r="DA199" s="58"/>
      <c r="DB199" s="52"/>
      <c r="DC199" s="52"/>
      <c r="DD199" s="52"/>
      <c r="DE199" s="52"/>
      <c r="DF199" s="52"/>
      <c r="DG199" s="52"/>
      <c r="DH199" s="52"/>
      <c r="DI199" s="52"/>
      <c r="DJ199" s="52"/>
      <c r="DK199" s="52"/>
      <c r="DL199" s="52"/>
      <c r="DM199" s="52"/>
      <c r="DN199" s="52"/>
      <c r="DO199" s="52"/>
      <c r="DP199" s="52"/>
      <c r="DQ199" s="52"/>
      <c r="DR199" s="52"/>
      <c r="DS199" s="52"/>
      <c r="DT199" s="52"/>
      <c r="DU199" s="52"/>
      <c r="DV199" s="52"/>
      <c r="DW199" s="52"/>
    </row>
    <row r="200">
      <c r="A200" s="22" t="s">
        <v>55</v>
      </c>
      <c r="B200" s="23" t="s">
        <v>56</v>
      </c>
      <c r="C200" s="31" t="s">
        <v>576</v>
      </c>
      <c r="D200" s="25" t="str">
        <f>IFERROR(__xludf.DUMMYFUNCTION("SPLIT(C200,"" "")"),"Fay,")</f>
        <v>Fay,</v>
      </c>
      <c r="E200" s="22" t="str">
        <f>IFERROR(__xludf.DUMMYFUNCTION("""COMPUTED_VALUE"""),"Anne
2145")</f>
        <v>Anne
2145</v>
      </c>
      <c r="F200" s="22" t="str">
        <f>IFERROR(__xludf.DUMMYFUNCTION("""COMPUTED_VALUE"""),"Kessler")</f>
        <v>Kessler</v>
      </c>
      <c r="G200" s="22" t="str">
        <f>IFERROR(__xludf.DUMMYFUNCTION("""COMPUTED_VALUE"""),"Ct.
Dallas,")</f>
        <v>Ct.
Dallas,</v>
      </c>
      <c r="H200" s="22" t="str">
        <f>IFERROR(__xludf.DUMMYFUNCTION("""COMPUTED_VALUE"""),"TX")</f>
        <v>TX</v>
      </c>
      <c r="I200" s="22">
        <f>IFERROR(__xludf.DUMMYFUNCTION("""COMPUTED_VALUE"""),75208.0)</f>
        <v>75208</v>
      </c>
      <c r="J200" s="22"/>
      <c r="K200" s="22"/>
      <c r="L200" s="22"/>
      <c r="M200" s="22"/>
      <c r="N200" s="22"/>
      <c r="O200" s="22"/>
      <c r="P200" s="22"/>
      <c r="Q200" s="22"/>
      <c r="R200" s="22"/>
      <c r="S200" s="22"/>
      <c r="T200" s="22"/>
      <c r="U200" s="24" t="str">
        <f>IFERROR(__xludf.DUMMYFUNCTION("SPLIT(E200,""01234567890"")"),"Anne
")</f>
        <v>Anne
</v>
      </c>
      <c r="V200" s="24" t="str">
        <f>IFERROR(__xludf.DUMMYFUNCTION("SPLIT(D200,"","")"),"Fay")</f>
        <v>Fay</v>
      </c>
      <c r="W200" s="25" t="str">
        <f t="shared" si="1"/>
        <v>ANNE
 FAY</v>
      </c>
      <c r="X200" s="25" t="s">
        <v>577</v>
      </c>
      <c r="Y200" s="25">
        <v>75208.0</v>
      </c>
      <c r="Z200" s="25" t="str">
        <f>IFERROR(__xludf.DUMMYFUNCTION("SPLIT(C200,""
"")"),"Fay, Anne")</f>
        <v>Fay, Anne</v>
      </c>
      <c r="AA200" s="25" t="str">
        <f>IFERROR(__xludf.DUMMYFUNCTION("""COMPUTED_VALUE"""),"2145 Kessler Ct.")</f>
        <v>2145 Kessler Ct.</v>
      </c>
      <c r="AB200" s="25" t="str">
        <f>IFERROR(__xludf.DUMMYFUNCTION("""COMPUTED_VALUE"""),"Dallas, TX 75208")</f>
        <v>Dallas, TX 75208</v>
      </c>
      <c r="AC200" s="24" t="s">
        <v>578</v>
      </c>
      <c r="AD200" s="25"/>
      <c r="AE200" s="25"/>
      <c r="AF200" s="25"/>
      <c r="AG200" s="22" t="s">
        <v>60</v>
      </c>
      <c r="AH200" s="54">
        <v>2441.0</v>
      </c>
      <c r="AI200" s="22" t="s">
        <v>61</v>
      </c>
      <c r="AJ200" s="27">
        <v>1000.0</v>
      </c>
      <c r="AK200" s="31" t="s">
        <v>21</v>
      </c>
      <c r="AL200" s="28">
        <v>44732.0</v>
      </c>
      <c r="AM200" s="29">
        <v>44756.4640625</v>
      </c>
      <c r="AN200" s="30">
        <v>2.0</v>
      </c>
      <c r="AO200" s="22"/>
      <c r="AP200" s="22"/>
      <c r="AQ200" s="22"/>
      <c r="AR200" s="22"/>
      <c r="AS200" s="22"/>
      <c r="AT200" s="70"/>
      <c r="AU200" s="22"/>
      <c r="AV200" s="57" t="str">
        <f>IFERROR(__xludf.DUMMYFUNCTION("""COMPUTED_VALUE"""),"Welsh")</f>
        <v>Welsh</v>
      </c>
      <c r="AW200" s="46">
        <f t="shared" si="7"/>
        <v>250</v>
      </c>
      <c r="AX200" s="47">
        <f t="shared" ref="AX200:BQ200" si="710">SUMIFS($AJ:$AJ,$V:$V,$AV200,$AK:$AK,AX$2)</f>
        <v>0</v>
      </c>
      <c r="AY200" s="48">
        <f t="shared" si="710"/>
        <v>0</v>
      </c>
      <c r="AZ200" s="48">
        <f t="shared" si="710"/>
        <v>0</v>
      </c>
      <c r="BA200" s="48">
        <f t="shared" si="710"/>
        <v>0</v>
      </c>
      <c r="BB200" s="48">
        <f t="shared" si="710"/>
        <v>250</v>
      </c>
      <c r="BC200" s="48">
        <f t="shared" si="710"/>
        <v>0</v>
      </c>
      <c r="BD200" s="48">
        <f t="shared" si="710"/>
        <v>0</v>
      </c>
      <c r="BE200" s="48">
        <f t="shared" si="710"/>
        <v>0</v>
      </c>
      <c r="BF200" s="48">
        <f t="shared" si="710"/>
        <v>0</v>
      </c>
      <c r="BG200" s="48">
        <f t="shared" si="710"/>
        <v>0</v>
      </c>
      <c r="BH200" s="48">
        <f t="shared" si="710"/>
        <v>0</v>
      </c>
      <c r="BI200" s="48">
        <f t="shared" si="710"/>
        <v>0</v>
      </c>
      <c r="BJ200" s="48">
        <f t="shared" si="710"/>
        <v>0</v>
      </c>
      <c r="BK200" s="48">
        <f t="shared" si="710"/>
        <v>0</v>
      </c>
      <c r="BL200" s="48">
        <f t="shared" si="710"/>
        <v>0</v>
      </c>
      <c r="BM200" s="48">
        <f t="shared" si="710"/>
        <v>0</v>
      </c>
      <c r="BN200" s="48">
        <f t="shared" si="710"/>
        <v>0</v>
      </c>
      <c r="BO200" s="48">
        <f t="shared" si="710"/>
        <v>0</v>
      </c>
      <c r="BP200" s="48">
        <f t="shared" si="710"/>
        <v>0</v>
      </c>
      <c r="BQ200" s="48">
        <f t="shared" si="710"/>
        <v>0</v>
      </c>
      <c r="BR200" s="36">
        <f t="shared" si="9"/>
        <v>0</v>
      </c>
      <c r="BS200" s="38">
        <f t="shared" si="10"/>
        <v>1</v>
      </c>
      <c r="BT200" s="49">
        <f t="shared" si="11"/>
        <v>0</v>
      </c>
      <c r="BU200" s="38">
        <f t="shared" si="12"/>
        <v>1000</v>
      </c>
      <c r="BV200" s="57" t="str">
        <f>IFERROR(__xludf.DUMMYFUNCTION("""COMPUTED_VALUE"""),"Welsh")</f>
        <v>Welsh</v>
      </c>
      <c r="BW200" s="46">
        <f t="shared" si="13"/>
        <v>250</v>
      </c>
      <c r="BX200" s="47">
        <f t="shared" ref="BX200:CA200" si="711">AX200-$BU200</f>
        <v>-1000</v>
      </c>
      <c r="BY200" s="47">
        <f t="shared" si="711"/>
        <v>-1000</v>
      </c>
      <c r="BZ200" s="47">
        <f t="shared" si="711"/>
        <v>-1000</v>
      </c>
      <c r="CA200" s="47">
        <f t="shared" si="711"/>
        <v>-1000</v>
      </c>
      <c r="CB200" s="47">
        <f t="shared" si="15"/>
        <v>-9750</v>
      </c>
      <c r="CC200" s="47">
        <f t="shared" ref="CC200:CQ200" si="712">BC200-$BU200</f>
        <v>-1000</v>
      </c>
      <c r="CD200" s="47">
        <f t="shared" si="712"/>
        <v>-1000</v>
      </c>
      <c r="CE200" s="47">
        <f t="shared" si="712"/>
        <v>-1000</v>
      </c>
      <c r="CF200" s="47">
        <f t="shared" si="712"/>
        <v>-1000</v>
      </c>
      <c r="CG200" s="47">
        <f t="shared" si="712"/>
        <v>-1000</v>
      </c>
      <c r="CH200" s="47">
        <f t="shared" si="712"/>
        <v>-1000</v>
      </c>
      <c r="CI200" s="47">
        <f t="shared" si="712"/>
        <v>-1000</v>
      </c>
      <c r="CJ200" s="47">
        <f t="shared" si="712"/>
        <v>-1000</v>
      </c>
      <c r="CK200" s="47">
        <f t="shared" si="712"/>
        <v>-1000</v>
      </c>
      <c r="CL200" s="47">
        <f t="shared" si="712"/>
        <v>-1000</v>
      </c>
      <c r="CM200" s="47">
        <f t="shared" si="712"/>
        <v>-1000</v>
      </c>
      <c r="CN200" s="47">
        <f t="shared" si="712"/>
        <v>-1000</v>
      </c>
      <c r="CO200" s="47">
        <f t="shared" si="712"/>
        <v>-1000</v>
      </c>
      <c r="CP200" s="47">
        <f t="shared" si="712"/>
        <v>-1000</v>
      </c>
      <c r="CQ200" s="47">
        <f t="shared" si="712"/>
        <v>-1000</v>
      </c>
      <c r="CR200" s="47"/>
      <c r="CS200" s="47"/>
      <c r="CT200" s="47"/>
      <c r="CU200" s="50" t="str">
        <f>IFERROR(__xludf.DUMMYFUNCTION("""COMPUTED_VALUE"""),"1001 Belleview St.
Dallas, TX 75215          ")</f>
        <v>1001 Belleview St.
Dallas, TX 75215          </v>
      </c>
      <c r="CV200" s="51">
        <f>IFERROR(__xludf.DUMMYFUNCTION("IF(REGEXMATCH(UPPER(CU200), ""TX""),0,1)"),0.0)</f>
        <v>0</v>
      </c>
      <c r="CW200" s="51">
        <f>IFERROR(__xludf.DUMMYFUNCTION("IF(REGEXMATCH(UPPER(CU200), ""DALLAS""),0,1)"),0.0)</f>
        <v>0</v>
      </c>
      <c r="CX200" s="51">
        <f t="shared" si="17"/>
        <v>0</v>
      </c>
      <c r="CY200" s="51">
        <f t="shared" si="18"/>
        <v>0</v>
      </c>
      <c r="CZ200" s="52" t="str">
        <f t="shared" si="19"/>
        <v/>
      </c>
      <c r="DA200" s="58"/>
      <c r="DB200" s="52"/>
      <c r="DC200" s="52"/>
      <c r="DD200" s="52"/>
      <c r="DE200" s="52"/>
      <c r="DF200" s="52"/>
      <c r="DG200" s="52"/>
      <c r="DH200" s="52"/>
      <c r="DI200" s="52"/>
      <c r="DJ200" s="52"/>
      <c r="DK200" s="52"/>
      <c r="DL200" s="52"/>
      <c r="DM200" s="52"/>
      <c r="DN200" s="52"/>
      <c r="DO200" s="52"/>
      <c r="DP200" s="52"/>
      <c r="DQ200" s="52"/>
      <c r="DR200" s="52"/>
      <c r="DS200" s="52"/>
      <c r="DT200" s="52"/>
      <c r="DU200" s="52"/>
      <c r="DV200" s="52"/>
      <c r="DW200" s="52"/>
    </row>
    <row r="201">
      <c r="A201" s="40" t="s">
        <v>55</v>
      </c>
      <c r="B201" s="41" t="s">
        <v>56</v>
      </c>
      <c r="C201" s="31" t="s">
        <v>579</v>
      </c>
      <c r="D201" s="25" t="str">
        <f>IFERROR(__xludf.DUMMYFUNCTION("SPLIT(C201,"" "")"),"Jalomo")</f>
        <v>Jalomo</v>
      </c>
      <c r="E201" s="40" t="str">
        <f>IFERROR(__xludf.DUMMYFUNCTION("""COMPUTED_VALUE"""),"2,")</f>
        <v>2,</v>
      </c>
      <c r="F201" s="40" t="str">
        <f>IFERROR(__xludf.DUMMYFUNCTION("""COMPUTED_VALUE"""),"Augustine
607")</f>
        <v>Augustine
607</v>
      </c>
      <c r="G201" s="40" t="str">
        <f>IFERROR(__xludf.DUMMYFUNCTION("""COMPUTED_VALUE"""),"W.")</f>
        <v>W.</v>
      </c>
      <c r="H201" s="40" t="str">
        <f>IFERROR(__xludf.DUMMYFUNCTION("""COMPUTED_VALUE"""),"Canty")</f>
        <v>Canty</v>
      </c>
      <c r="I201" s="40" t="str">
        <f>IFERROR(__xludf.DUMMYFUNCTION("""COMPUTED_VALUE"""),"St.
Dallas,")</f>
        <v>St.
Dallas,</v>
      </c>
      <c r="J201" s="40" t="str">
        <f>IFERROR(__xludf.DUMMYFUNCTION("""COMPUTED_VALUE"""),"TX")</f>
        <v>TX</v>
      </c>
      <c r="K201" s="40">
        <f>IFERROR(__xludf.DUMMYFUNCTION("""COMPUTED_VALUE"""),75208.0)</f>
        <v>75208</v>
      </c>
      <c r="L201" s="40"/>
      <c r="M201" s="40"/>
      <c r="N201" s="40"/>
      <c r="O201" s="40"/>
      <c r="P201" s="40"/>
      <c r="Q201" s="40"/>
      <c r="R201" s="40"/>
      <c r="S201" s="40"/>
      <c r="T201" s="40"/>
      <c r="U201" s="24" t="str">
        <f>IFERROR(__xludf.DUMMYFUNCTION("SPLIT(E201,""01234567890"")"),",")</f>
        <v>,</v>
      </c>
      <c r="V201" s="24" t="str">
        <f>IFERROR(__xludf.DUMMYFUNCTION("SPLIT(D201,"","")"),"Jalomo")</f>
        <v>Jalomo</v>
      </c>
      <c r="W201" s="25" t="str">
        <f t="shared" si="1"/>
        <v>, JALOMO</v>
      </c>
      <c r="X201" s="25" t="s">
        <v>580</v>
      </c>
      <c r="Y201" s="25">
        <v>607.0</v>
      </c>
      <c r="Z201" s="25" t="str">
        <f>IFERROR(__xludf.DUMMYFUNCTION("SPLIT(C201,""
"")"),"Jalomo 2, Augustine")</f>
        <v>Jalomo 2, Augustine</v>
      </c>
      <c r="AA201" s="25" t="str">
        <f>IFERROR(__xludf.DUMMYFUNCTION("""COMPUTED_VALUE"""),"607 W. Canty St.")</f>
        <v>607 W. Canty St.</v>
      </c>
      <c r="AB201" s="25" t="str">
        <f>IFERROR(__xludf.DUMMYFUNCTION("""COMPUTED_VALUE"""),"Dallas, TX 75208")</f>
        <v>Dallas, TX 75208</v>
      </c>
      <c r="AC201" s="24" t="s">
        <v>581</v>
      </c>
      <c r="AD201" s="25"/>
      <c r="AE201" s="25"/>
      <c r="AF201" s="25"/>
      <c r="AG201" s="40" t="s">
        <v>60</v>
      </c>
      <c r="AH201" s="42">
        <v>2441.0</v>
      </c>
      <c r="AI201" s="40" t="s">
        <v>61</v>
      </c>
      <c r="AJ201" s="27">
        <v>250.0</v>
      </c>
      <c r="AK201" s="31" t="s">
        <v>21</v>
      </c>
      <c r="AL201" s="43">
        <v>44732.0</v>
      </c>
      <c r="AM201" s="44">
        <v>44756.4640625</v>
      </c>
      <c r="AN201" s="30">
        <v>2.0</v>
      </c>
      <c r="AO201" s="40"/>
      <c r="AP201" s="40"/>
      <c r="AQ201" s="40"/>
      <c r="AR201" s="40"/>
      <c r="AS201" s="40"/>
      <c r="AT201" s="47"/>
      <c r="AU201" s="40"/>
      <c r="AV201" s="46" t="str">
        <f>IFERROR(__xludf.DUMMYFUNCTION("""COMPUTED_VALUE"""),"Nambiar")</f>
        <v>Nambiar</v>
      </c>
      <c r="AW201" s="46">
        <f t="shared" si="7"/>
        <v>10000</v>
      </c>
      <c r="AX201" s="47">
        <f t="shared" ref="AX201:BQ201" si="713">SUMIFS($AJ:$AJ,$V:$V,$AV201,$AK:$AK,AX$2)</f>
        <v>0</v>
      </c>
      <c r="AY201" s="48">
        <f t="shared" si="713"/>
        <v>0</v>
      </c>
      <c r="AZ201" s="48">
        <f t="shared" si="713"/>
        <v>0</v>
      </c>
      <c r="BA201" s="48">
        <f t="shared" si="713"/>
        <v>0</v>
      </c>
      <c r="BB201" s="48">
        <f t="shared" si="713"/>
        <v>10000</v>
      </c>
      <c r="BC201" s="48">
        <f t="shared" si="713"/>
        <v>0</v>
      </c>
      <c r="BD201" s="48">
        <f t="shared" si="713"/>
        <v>0</v>
      </c>
      <c r="BE201" s="48">
        <f t="shared" si="713"/>
        <v>0</v>
      </c>
      <c r="BF201" s="48">
        <f t="shared" si="713"/>
        <v>0</v>
      </c>
      <c r="BG201" s="48">
        <f t="shared" si="713"/>
        <v>0</v>
      </c>
      <c r="BH201" s="48">
        <f t="shared" si="713"/>
        <v>0</v>
      </c>
      <c r="BI201" s="48">
        <f t="shared" si="713"/>
        <v>0</v>
      </c>
      <c r="BJ201" s="48">
        <f t="shared" si="713"/>
        <v>0</v>
      </c>
      <c r="BK201" s="48">
        <f t="shared" si="713"/>
        <v>0</v>
      </c>
      <c r="BL201" s="48">
        <f t="shared" si="713"/>
        <v>0</v>
      </c>
      <c r="BM201" s="48">
        <f t="shared" si="713"/>
        <v>0</v>
      </c>
      <c r="BN201" s="48">
        <f t="shared" si="713"/>
        <v>0</v>
      </c>
      <c r="BO201" s="48">
        <f t="shared" si="713"/>
        <v>0</v>
      </c>
      <c r="BP201" s="48">
        <f t="shared" si="713"/>
        <v>0</v>
      </c>
      <c r="BQ201" s="48">
        <f t="shared" si="713"/>
        <v>0</v>
      </c>
      <c r="BR201" s="36">
        <f t="shared" si="9"/>
        <v>0</v>
      </c>
      <c r="BS201" s="38">
        <f t="shared" si="10"/>
        <v>1</v>
      </c>
      <c r="BT201" s="49">
        <f t="shared" si="11"/>
        <v>0</v>
      </c>
      <c r="BU201" s="38">
        <f t="shared" si="12"/>
        <v>1000</v>
      </c>
      <c r="BV201" s="46" t="str">
        <f>IFERROR(__xludf.DUMMYFUNCTION("""COMPUTED_VALUE"""),"Nambiar")</f>
        <v>Nambiar</v>
      </c>
      <c r="BW201" s="46">
        <f t="shared" si="13"/>
        <v>10000</v>
      </c>
      <c r="BX201" s="47">
        <f t="shared" ref="BX201:CA201" si="714">AX201-$BU201</f>
        <v>-1000</v>
      </c>
      <c r="BY201" s="47">
        <f t="shared" si="714"/>
        <v>-1000</v>
      </c>
      <c r="BZ201" s="47">
        <f t="shared" si="714"/>
        <v>-1000</v>
      </c>
      <c r="CA201" s="47">
        <f t="shared" si="714"/>
        <v>-1000</v>
      </c>
      <c r="CB201" s="47">
        <f t="shared" si="15"/>
        <v>0</v>
      </c>
      <c r="CC201" s="47">
        <f t="shared" ref="CC201:CQ201" si="715">BC201-$BU201</f>
        <v>-1000</v>
      </c>
      <c r="CD201" s="47">
        <f t="shared" si="715"/>
        <v>-1000</v>
      </c>
      <c r="CE201" s="47">
        <f t="shared" si="715"/>
        <v>-1000</v>
      </c>
      <c r="CF201" s="47">
        <f t="shared" si="715"/>
        <v>-1000</v>
      </c>
      <c r="CG201" s="47">
        <f t="shared" si="715"/>
        <v>-1000</v>
      </c>
      <c r="CH201" s="47">
        <f t="shared" si="715"/>
        <v>-1000</v>
      </c>
      <c r="CI201" s="47">
        <f t="shared" si="715"/>
        <v>-1000</v>
      </c>
      <c r="CJ201" s="47">
        <f t="shared" si="715"/>
        <v>-1000</v>
      </c>
      <c r="CK201" s="47">
        <f t="shared" si="715"/>
        <v>-1000</v>
      </c>
      <c r="CL201" s="47">
        <f t="shared" si="715"/>
        <v>-1000</v>
      </c>
      <c r="CM201" s="47">
        <f t="shared" si="715"/>
        <v>-1000</v>
      </c>
      <c r="CN201" s="47">
        <f t="shared" si="715"/>
        <v>-1000</v>
      </c>
      <c r="CO201" s="47">
        <f t="shared" si="715"/>
        <v>-1000</v>
      </c>
      <c r="CP201" s="47">
        <f t="shared" si="715"/>
        <v>-1000</v>
      </c>
      <c r="CQ201" s="47">
        <f t="shared" si="715"/>
        <v>-1000</v>
      </c>
      <c r="CR201" s="47"/>
      <c r="CS201" s="47"/>
      <c r="CT201" s="47"/>
      <c r="CU201" s="50" t="str">
        <f>IFERROR(__xludf.DUMMYFUNCTION("""COMPUTED_VALUE"""),". Mark
3606 S. Tyler St.
Dallas, TX 75224        ")</f>
        <v>. Mark
3606 S. Tyler St.
Dallas, TX 75224        </v>
      </c>
      <c r="CV201" s="51">
        <f>IFERROR(__xludf.DUMMYFUNCTION("IF(REGEXMATCH(UPPER(CU201), ""TX""),0,1)"),0.0)</f>
        <v>0</v>
      </c>
      <c r="CW201" s="51">
        <f>IFERROR(__xludf.DUMMYFUNCTION("IF(REGEXMATCH(UPPER(CU201), ""DALLAS""),0,1)"),0.0)</f>
        <v>0</v>
      </c>
      <c r="CX201" s="51">
        <f t="shared" si="17"/>
        <v>0</v>
      </c>
      <c r="CY201" s="51">
        <f t="shared" si="18"/>
        <v>0</v>
      </c>
      <c r="CZ201" s="52" t="str">
        <f t="shared" si="19"/>
        <v/>
      </c>
      <c r="DA201" s="58"/>
      <c r="DB201" s="52"/>
      <c r="DC201" s="52"/>
      <c r="DD201" s="52"/>
      <c r="DE201" s="52"/>
      <c r="DF201" s="52"/>
      <c r="DG201" s="52"/>
      <c r="DH201" s="52"/>
      <c r="DI201" s="52"/>
      <c r="DJ201" s="52"/>
      <c r="DK201" s="52"/>
      <c r="DL201" s="52"/>
      <c r="DM201" s="52"/>
      <c r="DN201" s="52"/>
      <c r="DO201" s="52"/>
      <c r="DP201" s="52"/>
      <c r="DQ201" s="52"/>
      <c r="DR201" s="52"/>
      <c r="DS201" s="52"/>
      <c r="DT201" s="52"/>
      <c r="DU201" s="52"/>
      <c r="DV201" s="52"/>
      <c r="DW201" s="52"/>
    </row>
    <row r="202">
      <c r="A202" s="22" t="s">
        <v>55</v>
      </c>
      <c r="B202" s="23" t="s">
        <v>56</v>
      </c>
      <c r="C202" s="31" t="s">
        <v>582</v>
      </c>
      <c r="D202" s="25" t="str">
        <f>IFERROR(__xludf.DUMMYFUNCTION("SPLIT(C202,"" "")"),"Orr,")</f>
        <v>Orr,</v>
      </c>
      <c r="E202" s="22" t="str">
        <f>IFERROR(__xludf.DUMMYFUNCTION("""COMPUTED_VALUE"""),"Benjamin
518")</f>
        <v>Benjamin
518</v>
      </c>
      <c r="F202" s="22" t="str">
        <f>IFERROR(__xludf.DUMMYFUNCTION("""COMPUTED_VALUE"""),"N.")</f>
        <v>N.</v>
      </c>
      <c r="G202" s="22" t="str">
        <f>IFERROR(__xludf.DUMMYFUNCTION("""COMPUTED_VALUE"""),"Manus")</f>
        <v>Manus</v>
      </c>
      <c r="H202" s="22" t="str">
        <f>IFERROR(__xludf.DUMMYFUNCTION("""COMPUTED_VALUE"""),"Dr.
Dallas,")</f>
        <v>Dr.
Dallas,</v>
      </c>
      <c r="I202" s="22" t="str">
        <f>IFERROR(__xludf.DUMMYFUNCTION("""COMPUTED_VALUE"""),"TX")</f>
        <v>TX</v>
      </c>
      <c r="J202" s="22">
        <f>IFERROR(__xludf.DUMMYFUNCTION("""COMPUTED_VALUE"""),75222.0)</f>
        <v>75222</v>
      </c>
      <c r="K202" s="22"/>
      <c r="L202" s="22"/>
      <c r="M202" s="22"/>
      <c r="N202" s="22"/>
      <c r="O202" s="22"/>
      <c r="P202" s="22"/>
      <c r="Q202" s="22"/>
      <c r="R202" s="22"/>
      <c r="S202" s="22"/>
      <c r="T202" s="22"/>
      <c r="U202" s="24" t="str">
        <f>IFERROR(__xludf.DUMMYFUNCTION("SPLIT(E202,""01234567890"")"),"Benjamin
")</f>
        <v>Benjamin
</v>
      </c>
      <c r="V202" s="24" t="str">
        <f>IFERROR(__xludf.DUMMYFUNCTION("SPLIT(D202,"","")"),"Orr")</f>
        <v>Orr</v>
      </c>
      <c r="W202" s="25" t="str">
        <f t="shared" si="1"/>
        <v>BENJAMIN
 ORR</v>
      </c>
      <c r="X202" s="25" t="s">
        <v>583</v>
      </c>
      <c r="Y202" s="25">
        <v>75222.0</v>
      </c>
      <c r="Z202" s="25" t="str">
        <f>IFERROR(__xludf.DUMMYFUNCTION("SPLIT(C202,""
"")"),"Orr, Benjamin")</f>
        <v>Orr, Benjamin</v>
      </c>
      <c r="AA202" s="25" t="str">
        <f>IFERROR(__xludf.DUMMYFUNCTION("""COMPUTED_VALUE"""),"518 N. Manus Dr.")</f>
        <v>518 N. Manus Dr.</v>
      </c>
      <c r="AB202" s="25" t="str">
        <f>IFERROR(__xludf.DUMMYFUNCTION("""COMPUTED_VALUE"""),"Dallas, TX 75222")</f>
        <v>Dallas, TX 75222</v>
      </c>
      <c r="AC202" s="24" t="s">
        <v>584</v>
      </c>
      <c r="AD202" s="25"/>
      <c r="AE202" s="25"/>
      <c r="AF202" s="25"/>
      <c r="AG202" s="22" t="s">
        <v>60</v>
      </c>
      <c r="AH202" s="54">
        <v>2441.0</v>
      </c>
      <c r="AI202" s="22" t="s">
        <v>61</v>
      </c>
      <c r="AJ202" s="27">
        <v>150.0</v>
      </c>
      <c r="AK202" s="31" t="s">
        <v>21</v>
      </c>
      <c r="AL202" s="28">
        <v>44732.0</v>
      </c>
      <c r="AM202" s="29">
        <v>44756.4640625</v>
      </c>
      <c r="AN202" s="30">
        <v>2.0</v>
      </c>
      <c r="AO202" s="22"/>
      <c r="AP202" s="22"/>
      <c r="AQ202" s="22"/>
      <c r="AR202" s="22"/>
      <c r="AS202" s="22"/>
      <c r="AT202" s="70"/>
      <c r="AU202" s="22"/>
      <c r="AV202" s="57" t="str">
        <f>IFERROR(__xludf.DUMMYFUNCTION("""COMPUTED_VALUE"""),"Purdy")</f>
        <v>Purdy</v>
      </c>
      <c r="AW202" s="46">
        <f t="shared" si="7"/>
        <v>250</v>
      </c>
      <c r="AX202" s="47">
        <f t="shared" ref="AX202:BQ202" si="716">SUMIFS($AJ:$AJ,$V:$V,$AV202,$AK:$AK,AX$2)</f>
        <v>0</v>
      </c>
      <c r="AY202" s="48">
        <f t="shared" si="716"/>
        <v>0</v>
      </c>
      <c r="AZ202" s="48">
        <f t="shared" si="716"/>
        <v>0</v>
      </c>
      <c r="BA202" s="48">
        <f t="shared" si="716"/>
        <v>0</v>
      </c>
      <c r="BB202" s="48">
        <f t="shared" si="716"/>
        <v>250</v>
      </c>
      <c r="BC202" s="48">
        <f t="shared" si="716"/>
        <v>0</v>
      </c>
      <c r="BD202" s="48">
        <f t="shared" si="716"/>
        <v>0</v>
      </c>
      <c r="BE202" s="48">
        <f t="shared" si="716"/>
        <v>0</v>
      </c>
      <c r="BF202" s="48">
        <f t="shared" si="716"/>
        <v>0</v>
      </c>
      <c r="BG202" s="48">
        <f t="shared" si="716"/>
        <v>0</v>
      </c>
      <c r="BH202" s="48">
        <f t="shared" si="716"/>
        <v>0</v>
      </c>
      <c r="BI202" s="48">
        <f t="shared" si="716"/>
        <v>0</v>
      </c>
      <c r="BJ202" s="48">
        <f t="shared" si="716"/>
        <v>0</v>
      </c>
      <c r="BK202" s="48">
        <f t="shared" si="716"/>
        <v>0</v>
      </c>
      <c r="BL202" s="48">
        <f t="shared" si="716"/>
        <v>0</v>
      </c>
      <c r="BM202" s="48">
        <f t="shared" si="716"/>
        <v>0</v>
      </c>
      <c r="BN202" s="48">
        <f t="shared" si="716"/>
        <v>0</v>
      </c>
      <c r="BO202" s="48">
        <f t="shared" si="716"/>
        <v>0</v>
      </c>
      <c r="BP202" s="48">
        <f t="shared" si="716"/>
        <v>0</v>
      </c>
      <c r="BQ202" s="48">
        <f t="shared" si="716"/>
        <v>0</v>
      </c>
      <c r="BR202" s="36">
        <f t="shared" si="9"/>
        <v>0</v>
      </c>
      <c r="BS202" s="38">
        <f t="shared" si="10"/>
        <v>1</v>
      </c>
      <c r="BT202" s="49">
        <f t="shared" si="11"/>
        <v>0</v>
      </c>
      <c r="BU202" s="38">
        <f t="shared" si="12"/>
        <v>1000</v>
      </c>
      <c r="BV202" s="57" t="str">
        <f>IFERROR(__xludf.DUMMYFUNCTION("""COMPUTED_VALUE"""),"Purdy")</f>
        <v>Purdy</v>
      </c>
      <c r="BW202" s="46">
        <f t="shared" si="13"/>
        <v>250</v>
      </c>
      <c r="BX202" s="47">
        <f t="shared" ref="BX202:CA202" si="717">AX202-$BU202</f>
        <v>-1000</v>
      </c>
      <c r="BY202" s="47">
        <f t="shared" si="717"/>
        <v>-1000</v>
      </c>
      <c r="BZ202" s="47">
        <f t="shared" si="717"/>
        <v>-1000</v>
      </c>
      <c r="CA202" s="47">
        <f t="shared" si="717"/>
        <v>-1000</v>
      </c>
      <c r="CB202" s="47">
        <f t="shared" si="15"/>
        <v>-9750</v>
      </c>
      <c r="CC202" s="47">
        <f t="shared" ref="CC202:CQ202" si="718">BC202-$BU202</f>
        <v>-1000</v>
      </c>
      <c r="CD202" s="47">
        <f t="shared" si="718"/>
        <v>-1000</v>
      </c>
      <c r="CE202" s="47">
        <f t="shared" si="718"/>
        <v>-1000</v>
      </c>
      <c r="CF202" s="47">
        <f t="shared" si="718"/>
        <v>-1000</v>
      </c>
      <c r="CG202" s="47">
        <f t="shared" si="718"/>
        <v>-1000</v>
      </c>
      <c r="CH202" s="47">
        <f t="shared" si="718"/>
        <v>-1000</v>
      </c>
      <c r="CI202" s="47">
        <f t="shared" si="718"/>
        <v>-1000</v>
      </c>
      <c r="CJ202" s="47">
        <f t="shared" si="718"/>
        <v>-1000</v>
      </c>
      <c r="CK202" s="47">
        <f t="shared" si="718"/>
        <v>-1000</v>
      </c>
      <c r="CL202" s="47">
        <f t="shared" si="718"/>
        <v>-1000</v>
      </c>
      <c r="CM202" s="47">
        <f t="shared" si="718"/>
        <v>-1000</v>
      </c>
      <c r="CN202" s="47">
        <f t="shared" si="718"/>
        <v>-1000</v>
      </c>
      <c r="CO202" s="47">
        <f t="shared" si="718"/>
        <v>-1000</v>
      </c>
      <c r="CP202" s="47">
        <f t="shared" si="718"/>
        <v>-1000</v>
      </c>
      <c r="CQ202" s="47">
        <f t="shared" si="718"/>
        <v>-1000</v>
      </c>
      <c r="CR202" s="47"/>
      <c r="CS202" s="47"/>
      <c r="CT202" s="47"/>
      <c r="CU202" s="50" t="str">
        <f>IFERROR(__xludf.DUMMYFUNCTION("""COMPUTED_VALUE"""),"3606 S. Tyler St.
Dallas, TX 75224         ")</f>
        <v>3606 S. Tyler St.
Dallas, TX 75224         </v>
      </c>
      <c r="CV202" s="51">
        <f>IFERROR(__xludf.DUMMYFUNCTION("IF(REGEXMATCH(UPPER(CU202), ""TX""),0,1)"),0.0)</f>
        <v>0</v>
      </c>
      <c r="CW202" s="51">
        <f>IFERROR(__xludf.DUMMYFUNCTION("IF(REGEXMATCH(UPPER(CU202), ""DALLAS""),0,1)"),0.0)</f>
        <v>0</v>
      </c>
      <c r="CX202" s="51">
        <f t="shared" si="17"/>
        <v>0</v>
      </c>
      <c r="CY202" s="51">
        <f t="shared" si="18"/>
        <v>0</v>
      </c>
      <c r="CZ202" s="52" t="str">
        <f t="shared" si="19"/>
        <v/>
      </c>
      <c r="DA202" s="58"/>
      <c r="DB202" s="52"/>
      <c r="DC202" s="52"/>
      <c r="DD202" s="52"/>
      <c r="DE202" s="52"/>
      <c r="DF202" s="52"/>
      <c r="DG202" s="52"/>
      <c r="DH202" s="52"/>
      <c r="DI202" s="52"/>
      <c r="DJ202" s="52"/>
      <c r="DK202" s="52"/>
      <c r="DL202" s="52"/>
      <c r="DM202" s="52"/>
      <c r="DN202" s="52"/>
      <c r="DO202" s="52"/>
      <c r="DP202" s="52"/>
      <c r="DQ202" s="52"/>
      <c r="DR202" s="52"/>
      <c r="DS202" s="52"/>
      <c r="DT202" s="52"/>
      <c r="DU202" s="52"/>
      <c r="DV202" s="52"/>
      <c r="DW202" s="52"/>
    </row>
    <row r="203">
      <c r="A203" s="40" t="s">
        <v>55</v>
      </c>
      <c r="B203" s="41" t="s">
        <v>56</v>
      </c>
      <c r="C203" s="31" t="s">
        <v>585</v>
      </c>
      <c r="D203" s="25" t="str">
        <f>IFERROR(__xludf.DUMMYFUNCTION("SPLIT(C203,"" "")"),"Stimson,")</f>
        <v>Stimson,</v>
      </c>
      <c r="E203" s="40" t="str">
        <f>IFERROR(__xludf.DUMMYFUNCTION("""COMPUTED_VALUE"""),"Bob
2116")</f>
        <v>Bob
2116</v>
      </c>
      <c r="F203" s="40" t="str">
        <f>IFERROR(__xludf.DUMMYFUNCTION("""COMPUTED_VALUE"""),"Kessler")</f>
        <v>Kessler</v>
      </c>
      <c r="G203" s="40" t="str">
        <f>IFERROR(__xludf.DUMMYFUNCTION("""COMPUTED_VALUE"""),"Ct.
Dallas,")</f>
        <v>Ct.
Dallas,</v>
      </c>
      <c r="H203" s="40" t="str">
        <f>IFERROR(__xludf.DUMMYFUNCTION("""COMPUTED_VALUE"""),"TX")</f>
        <v>TX</v>
      </c>
      <c r="I203" s="40">
        <f>IFERROR(__xludf.DUMMYFUNCTION("""COMPUTED_VALUE"""),75208.0)</f>
        <v>75208</v>
      </c>
      <c r="J203" s="40"/>
      <c r="K203" s="40"/>
      <c r="L203" s="40"/>
      <c r="M203" s="40"/>
      <c r="N203" s="40"/>
      <c r="O203" s="40"/>
      <c r="P203" s="40"/>
      <c r="Q203" s="40"/>
      <c r="R203" s="40"/>
      <c r="S203" s="40"/>
      <c r="T203" s="40"/>
      <c r="U203" s="24" t="str">
        <f>IFERROR(__xludf.DUMMYFUNCTION("SPLIT(E203,""01234567890"")"),"Bob
")</f>
        <v>Bob
</v>
      </c>
      <c r="V203" s="24" t="str">
        <f>IFERROR(__xludf.DUMMYFUNCTION("SPLIT(D203,"","")"),"Stimson")</f>
        <v>Stimson</v>
      </c>
      <c r="W203" s="25" t="str">
        <f t="shared" si="1"/>
        <v>BOB
 STIMSON</v>
      </c>
      <c r="X203" s="25" t="s">
        <v>586</v>
      </c>
      <c r="Y203" s="25">
        <v>75208.0</v>
      </c>
      <c r="Z203" s="25" t="str">
        <f>IFERROR(__xludf.DUMMYFUNCTION("SPLIT(C203,""
"")"),"Stimson, Bob")</f>
        <v>Stimson, Bob</v>
      </c>
      <c r="AA203" s="25" t="str">
        <f>IFERROR(__xludf.DUMMYFUNCTION("""COMPUTED_VALUE"""),"2116 Kessler Ct.")</f>
        <v>2116 Kessler Ct.</v>
      </c>
      <c r="AB203" s="25" t="str">
        <f>IFERROR(__xludf.DUMMYFUNCTION("""COMPUTED_VALUE"""),"Dallas, TX 75208")</f>
        <v>Dallas, TX 75208</v>
      </c>
      <c r="AC203" s="24" t="s">
        <v>587</v>
      </c>
      <c r="AD203" s="25"/>
      <c r="AE203" s="25"/>
      <c r="AF203" s="25"/>
      <c r="AG203" s="40" t="s">
        <v>60</v>
      </c>
      <c r="AH203" s="42">
        <v>2441.0</v>
      </c>
      <c r="AI203" s="40" t="s">
        <v>61</v>
      </c>
      <c r="AJ203" s="27">
        <v>1000.0</v>
      </c>
      <c r="AK203" s="31" t="s">
        <v>21</v>
      </c>
      <c r="AL203" s="43">
        <v>44732.0</v>
      </c>
      <c r="AM203" s="44">
        <v>44756.4640625</v>
      </c>
      <c r="AN203" s="30">
        <v>2.0</v>
      </c>
      <c r="AO203" s="40"/>
      <c r="AP203" s="40"/>
      <c r="AQ203" s="40"/>
      <c r="AR203" s="40"/>
      <c r="AS203" s="40"/>
      <c r="AT203" s="47"/>
      <c r="AU203" s="40"/>
      <c r="AV203" s="46" t="str">
        <f>IFERROR(__xludf.DUMMYFUNCTION("""COMPUTED_VALUE"""),"Battie")</f>
        <v>Battie</v>
      </c>
      <c r="AW203" s="46">
        <f t="shared" si="7"/>
        <v>300</v>
      </c>
      <c r="AX203" s="47">
        <f t="shared" ref="AX203:BQ203" si="719">SUMIFS($AJ:$AJ,$V:$V,$AV203,$AK:$AK,AX$2)</f>
        <v>0</v>
      </c>
      <c r="AY203" s="48">
        <f t="shared" si="719"/>
        <v>0</v>
      </c>
      <c r="AZ203" s="48">
        <f t="shared" si="719"/>
        <v>0</v>
      </c>
      <c r="BA203" s="48">
        <f t="shared" si="719"/>
        <v>0</v>
      </c>
      <c r="BB203" s="48">
        <f t="shared" si="719"/>
        <v>300</v>
      </c>
      <c r="BC203" s="48">
        <f t="shared" si="719"/>
        <v>0</v>
      </c>
      <c r="BD203" s="48">
        <f t="shared" si="719"/>
        <v>0</v>
      </c>
      <c r="BE203" s="48">
        <f t="shared" si="719"/>
        <v>0</v>
      </c>
      <c r="BF203" s="48">
        <f t="shared" si="719"/>
        <v>0</v>
      </c>
      <c r="BG203" s="48">
        <f t="shared" si="719"/>
        <v>0</v>
      </c>
      <c r="BH203" s="48">
        <f t="shared" si="719"/>
        <v>0</v>
      </c>
      <c r="BI203" s="48">
        <f t="shared" si="719"/>
        <v>0</v>
      </c>
      <c r="BJ203" s="48">
        <f t="shared" si="719"/>
        <v>0</v>
      </c>
      <c r="BK203" s="48">
        <f t="shared" si="719"/>
        <v>0</v>
      </c>
      <c r="BL203" s="48">
        <f t="shared" si="719"/>
        <v>0</v>
      </c>
      <c r="BM203" s="48">
        <f t="shared" si="719"/>
        <v>0</v>
      </c>
      <c r="BN203" s="48">
        <f t="shared" si="719"/>
        <v>0</v>
      </c>
      <c r="BO203" s="48">
        <f t="shared" si="719"/>
        <v>0</v>
      </c>
      <c r="BP203" s="48">
        <f t="shared" si="719"/>
        <v>0</v>
      </c>
      <c r="BQ203" s="48">
        <f t="shared" si="719"/>
        <v>0</v>
      </c>
      <c r="BR203" s="36">
        <f t="shared" si="9"/>
        <v>0</v>
      </c>
      <c r="BS203" s="38">
        <f t="shared" si="10"/>
        <v>1</v>
      </c>
      <c r="BT203" s="49">
        <f t="shared" si="11"/>
        <v>0</v>
      </c>
      <c r="BU203" s="38">
        <f t="shared" si="12"/>
        <v>1000</v>
      </c>
      <c r="BV203" s="46" t="str">
        <f>IFERROR(__xludf.DUMMYFUNCTION("""COMPUTED_VALUE"""),"Battie")</f>
        <v>Battie</v>
      </c>
      <c r="BW203" s="46">
        <f t="shared" si="13"/>
        <v>300</v>
      </c>
      <c r="BX203" s="47">
        <f t="shared" ref="BX203:CA203" si="720">AX203-$BU203</f>
        <v>-1000</v>
      </c>
      <c r="BY203" s="47">
        <f t="shared" si="720"/>
        <v>-1000</v>
      </c>
      <c r="BZ203" s="47">
        <f t="shared" si="720"/>
        <v>-1000</v>
      </c>
      <c r="CA203" s="47">
        <f t="shared" si="720"/>
        <v>-1000</v>
      </c>
      <c r="CB203" s="47">
        <f t="shared" si="15"/>
        <v>-9700</v>
      </c>
      <c r="CC203" s="47">
        <f t="shared" ref="CC203:CQ203" si="721">BC203-$BU203</f>
        <v>-1000</v>
      </c>
      <c r="CD203" s="47">
        <f t="shared" si="721"/>
        <v>-1000</v>
      </c>
      <c r="CE203" s="47">
        <f t="shared" si="721"/>
        <v>-1000</v>
      </c>
      <c r="CF203" s="47">
        <f t="shared" si="721"/>
        <v>-1000</v>
      </c>
      <c r="CG203" s="47">
        <f t="shared" si="721"/>
        <v>-1000</v>
      </c>
      <c r="CH203" s="47">
        <f t="shared" si="721"/>
        <v>-1000</v>
      </c>
      <c r="CI203" s="47">
        <f t="shared" si="721"/>
        <v>-1000</v>
      </c>
      <c r="CJ203" s="47">
        <f t="shared" si="721"/>
        <v>-1000</v>
      </c>
      <c r="CK203" s="47">
        <f t="shared" si="721"/>
        <v>-1000</v>
      </c>
      <c r="CL203" s="47">
        <f t="shared" si="721"/>
        <v>-1000</v>
      </c>
      <c r="CM203" s="47">
        <f t="shared" si="721"/>
        <v>-1000</v>
      </c>
      <c r="CN203" s="47">
        <f t="shared" si="721"/>
        <v>-1000</v>
      </c>
      <c r="CO203" s="47">
        <f t="shared" si="721"/>
        <v>-1000</v>
      </c>
      <c r="CP203" s="47">
        <f t="shared" si="721"/>
        <v>-1000</v>
      </c>
      <c r="CQ203" s="47">
        <f t="shared" si="721"/>
        <v>-1000</v>
      </c>
      <c r="CR203" s="47"/>
      <c r="CS203" s="47"/>
      <c r="CT203" s="47"/>
      <c r="CU203" s="50" t="str">
        <f>IFERROR(__xludf.DUMMYFUNCTION("""COMPUTED_VALUE"""),"1411 Junior Dr.
Dallas, TX 75208          ")</f>
        <v>1411 Junior Dr.
Dallas, TX 75208          </v>
      </c>
      <c r="CV203" s="51">
        <f>IFERROR(__xludf.DUMMYFUNCTION("IF(REGEXMATCH(UPPER(CU203), ""TX""),0,1)"),0.0)</f>
        <v>0</v>
      </c>
      <c r="CW203" s="51">
        <f>IFERROR(__xludf.DUMMYFUNCTION("IF(REGEXMATCH(UPPER(CU203), ""DALLAS""),0,1)"),0.0)</f>
        <v>0</v>
      </c>
      <c r="CX203" s="51">
        <f t="shared" si="17"/>
        <v>0</v>
      </c>
      <c r="CY203" s="51">
        <f t="shared" si="18"/>
        <v>0</v>
      </c>
      <c r="CZ203" s="52" t="str">
        <f t="shared" si="19"/>
        <v/>
      </c>
      <c r="DA203" s="58"/>
      <c r="DB203" s="52"/>
      <c r="DC203" s="52"/>
      <c r="DD203" s="52"/>
      <c r="DE203" s="52"/>
      <c r="DF203" s="52"/>
      <c r="DG203" s="52"/>
      <c r="DH203" s="52"/>
      <c r="DI203" s="52"/>
      <c r="DJ203" s="52"/>
      <c r="DK203" s="52"/>
      <c r="DL203" s="52"/>
      <c r="DM203" s="52"/>
      <c r="DN203" s="52"/>
      <c r="DO203" s="52"/>
      <c r="DP203" s="52"/>
      <c r="DQ203" s="52"/>
      <c r="DR203" s="52"/>
      <c r="DS203" s="52"/>
      <c r="DT203" s="52"/>
      <c r="DU203" s="52"/>
      <c r="DV203" s="52"/>
      <c r="DW203" s="52"/>
    </row>
    <row r="204">
      <c r="A204" s="22" t="s">
        <v>55</v>
      </c>
      <c r="B204" s="23" t="s">
        <v>56</v>
      </c>
      <c r="C204" s="31" t="s">
        <v>588</v>
      </c>
      <c r="D204" s="25" t="str">
        <f>IFERROR(__xludf.DUMMYFUNCTION("SPLIT(C204,"" "")"),"Drennan,")</f>
        <v>Drennan,</v>
      </c>
      <c r="E204" s="22" t="str">
        <f>IFERROR(__xludf.DUMMYFUNCTION("""COMPUTED_VALUE"""),"Cynthia
1655")</f>
        <v>Cynthia
1655</v>
      </c>
      <c r="F204" s="22" t="str">
        <f>IFERROR(__xludf.DUMMYFUNCTION("""COMPUTED_VALUE"""),"Kessler")</f>
        <v>Kessler</v>
      </c>
      <c r="G204" s="22" t="str">
        <f>IFERROR(__xludf.DUMMYFUNCTION("""COMPUTED_VALUE"""),"Canyon")</f>
        <v>Canyon</v>
      </c>
      <c r="H204" s="22" t="str">
        <f>IFERROR(__xludf.DUMMYFUNCTION("""COMPUTED_VALUE"""),"Dr.
Dallas,")</f>
        <v>Dr.
Dallas,</v>
      </c>
      <c r="I204" s="22" t="str">
        <f>IFERROR(__xludf.DUMMYFUNCTION("""COMPUTED_VALUE"""),"TX")</f>
        <v>TX</v>
      </c>
      <c r="J204" s="22">
        <f>IFERROR(__xludf.DUMMYFUNCTION("""COMPUTED_VALUE"""),75208.0)</f>
        <v>75208</v>
      </c>
      <c r="K204" s="22"/>
      <c r="L204" s="22"/>
      <c r="M204" s="22"/>
      <c r="N204" s="22"/>
      <c r="O204" s="22"/>
      <c r="P204" s="22"/>
      <c r="Q204" s="22"/>
      <c r="R204" s="22"/>
      <c r="S204" s="22"/>
      <c r="T204" s="22"/>
      <c r="U204" s="24" t="str">
        <f>IFERROR(__xludf.DUMMYFUNCTION("SPLIT(E204,""01234567890"")"),"Cynthia
")</f>
        <v>Cynthia
</v>
      </c>
      <c r="V204" s="24" t="str">
        <f>IFERROR(__xludf.DUMMYFUNCTION("SPLIT(D204,"","")"),"Drennan")</f>
        <v>Drennan</v>
      </c>
      <c r="W204" s="25" t="str">
        <f t="shared" si="1"/>
        <v>CYNTHIA
 DRENNAN</v>
      </c>
      <c r="X204" s="25" t="s">
        <v>589</v>
      </c>
      <c r="Y204" s="25">
        <v>75208.0</v>
      </c>
      <c r="Z204" s="25" t="str">
        <f>IFERROR(__xludf.DUMMYFUNCTION("SPLIT(C204,""
"")"),"Drennan, Cynthia")</f>
        <v>Drennan, Cynthia</v>
      </c>
      <c r="AA204" s="25" t="str">
        <f>IFERROR(__xludf.DUMMYFUNCTION("""COMPUTED_VALUE"""),"1655 Kessler Canyon Dr.")</f>
        <v>1655 Kessler Canyon Dr.</v>
      </c>
      <c r="AB204" s="25" t="str">
        <f>IFERROR(__xludf.DUMMYFUNCTION("""COMPUTED_VALUE"""),"Dallas, TX 75208")</f>
        <v>Dallas, TX 75208</v>
      </c>
      <c r="AC204" s="24" t="s">
        <v>590</v>
      </c>
      <c r="AD204" s="25"/>
      <c r="AE204" s="25"/>
      <c r="AF204" s="25"/>
      <c r="AG204" s="22" t="s">
        <v>60</v>
      </c>
      <c r="AH204" s="54">
        <v>2441.0</v>
      </c>
      <c r="AI204" s="22" t="s">
        <v>61</v>
      </c>
      <c r="AJ204" s="27">
        <v>1000.0</v>
      </c>
      <c r="AK204" s="31" t="s">
        <v>21</v>
      </c>
      <c r="AL204" s="28">
        <v>44732.0</v>
      </c>
      <c r="AM204" s="29">
        <v>44756.4640625</v>
      </c>
      <c r="AN204" s="30">
        <v>2.0</v>
      </c>
      <c r="AO204" s="22"/>
      <c r="AP204" s="22"/>
      <c r="AQ204" s="22"/>
      <c r="AR204" s="22"/>
      <c r="AS204" s="22"/>
      <c r="AT204" s="70"/>
      <c r="AU204" s="22"/>
      <c r="AV204" s="57" t="str">
        <f>IFERROR(__xludf.DUMMYFUNCTION("""COMPUTED_VALUE"""),"Olson")</f>
        <v>Olson</v>
      </c>
      <c r="AW204" s="46">
        <f t="shared" si="7"/>
        <v>7500</v>
      </c>
      <c r="AX204" s="47">
        <f t="shared" ref="AX204:BQ204" si="722">SUMIFS($AJ:$AJ,$V:$V,$AV204,$AK:$AK,AX$2)</f>
        <v>0</v>
      </c>
      <c r="AY204" s="48">
        <f t="shared" si="722"/>
        <v>0</v>
      </c>
      <c r="AZ204" s="48">
        <f t="shared" si="722"/>
        <v>0</v>
      </c>
      <c r="BA204" s="48">
        <f t="shared" si="722"/>
        <v>0</v>
      </c>
      <c r="BB204" s="48">
        <f t="shared" si="722"/>
        <v>7500</v>
      </c>
      <c r="BC204" s="48">
        <f t="shared" si="722"/>
        <v>0</v>
      </c>
      <c r="BD204" s="48">
        <f t="shared" si="722"/>
        <v>0</v>
      </c>
      <c r="BE204" s="48">
        <f t="shared" si="722"/>
        <v>0</v>
      </c>
      <c r="BF204" s="48">
        <f t="shared" si="722"/>
        <v>0</v>
      </c>
      <c r="BG204" s="48">
        <f t="shared" si="722"/>
        <v>0</v>
      </c>
      <c r="BH204" s="48">
        <f t="shared" si="722"/>
        <v>0</v>
      </c>
      <c r="BI204" s="48">
        <f t="shared" si="722"/>
        <v>0</v>
      </c>
      <c r="BJ204" s="48">
        <f t="shared" si="722"/>
        <v>0</v>
      </c>
      <c r="BK204" s="48">
        <f t="shared" si="722"/>
        <v>0</v>
      </c>
      <c r="BL204" s="48">
        <f t="shared" si="722"/>
        <v>0</v>
      </c>
      <c r="BM204" s="48">
        <f t="shared" si="722"/>
        <v>0</v>
      </c>
      <c r="BN204" s="48">
        <f t="shared" si="722"/>
        <v>0</v>
      </c>
      <c r="BO204" s="48">
        <f t="shared" si="722"/>
        <v>0</v>
      </c>
      <c r="BP204" s="48">
        <f t="shared" si="722"/>
        <v>0</v>
      </c>
      <c r="BQ204" s="48">
        <f t="shared" si="722"/>
        <v>0</v>
      </c>
      <c r="BR204" s="36">
        <f t="shared" si="9"/>
        <v>0</v>
      </c>
      <c r="BS204" s="38">
        <f t="shared" si="10"/>
        <v>1</v>
      </c>
      <c r="BT204" s="49">
        <f t="shared" si="11"/>
        <v>0</v>
      </c>
      <c r="BU204" s="38">
        <f t="shared" si="12"/>
        <v>1000</v>
      </c>
      <c r="BV204" s="57" t="str">
        <f>IFERROR(__xludf.DUMMYFUNCTION("""COMPUTED_VALUE"""),"Olson")</f>
        <v>Olson</v>
      </c>
      <c r="BW204" s="46">
        <f t="shared" si="13"/>
        <v>7500</v>
      </c>
      <c r="BX204" s="47">
        <f t="shared" ref="BX204:CA204" si="723">AX204-$BU204</f>
        <v>-1000</v>
      </c>
      <c r="BY204" s="47">
        <f t="shared" si="723"/>
        <v>-1000</v>
      </c>
      <c r="BZ204" s="47">
        <f t="shared" si="723"/>
        <v>-1000</v>
      </c>
      <c r="CA204" s="47">
        <f t="shared" si="723"/>
        <v>-1000</v>
      </c>
      <c r="CB204" s="47">
        <f t="shared" si="15"/>
        <v>-2500</v>
      </c>
      <c r="CC204" s="47">
        <f t="shared" ref="CC204:CQ204" si="724">BC204-$BU204</f>
        <v>-1000</v>
      </c>
      <c r="CD204" s="47">
        <f t="shared" si="724"/>
        <v>-1000</v>
      </c>
      <c r="CE204" s="47">
        <f t="shared" si="724"/>
        <v>-1000</v>
      </c>
      <c r="CF204" s="47">
        <f t="shared" si="724"/>
        <v>-1000</v>
      </c>
      <c r="CG204" s="47">
        <f t="shared" si="724"/>
        <v>-1000</v>
      </c>
      <c r="CH204" s="47">
        <f t="shared" si="724"/>
        <v>-1000</v>
      </c>
      <c r="CI204" s="47">
        <f t="shared" si="724"/>
        <v>-1000</v>
      </c>
      <c r="CJ204" s="47">
        <f t="shared" si="724"/>
        <v>-1000</v>
      </c>
      <c r="CK204" s="47">
        <f t="shared" si="724"/>
        <v>-1000</v>
      </c>
      <c r="CL204" s="47">
        <f t="shared" si="724"/>
        <v>-1000</v>
      </c>
      <c r="CM204" s="47">
        <f t="shared" si="724"/>
        <v>-1000</v>
      </c>
      <c r="CN204" s="47">
        <f t="shared" si="724"/>
        <v>-1000</v>
      </c>
      <c r="CO204" s="47">
        <f t="shared" si="724"/>
        <v>-1000</v>
      </c>
      <c r="CP204" s="47">
        <f t="shared" si="724"/>
        <v>-1000</v>
      </c>
      <c r="CQ204" s="47">
        <f t="shared" si="724"/>
        <v>-1000</v>
      </c>
      <c r="CR204" s="47"/>
      <c r="CS204" s="47"/>
      <c r="CT204" s="47"/>
      <c r="CU204" s="50" t="str">
        <f>IFERROR(__xludf.DUMMYFUNCTION("""COMPUTED_VALUE"""),"4310 Nashwood Ln.
Dallas, TX 75244          ")</f>
        <v>4310 Nashwood Ln.
Dallas, TX 75244          </v>
      </c>
      <c r="CV204" s="51">
        <f>IFERROR(__xludf.DUMMYFUNCTION("IF(REGEXMATCH(UPPER(CU204), ""TX""),0,1)"),0.0)</f>
        <v>0</v>
      </c>
      <c r="CW204" s="51">
        <f>IFERROR(__xludf.DUMMYFUNCTION("IF(REGEXMATCH(UPPER(CU204), ""DALLAS""),0,1)"),0.0)</f>
        <v>0</v>
      </c>
      <c r="CX204" s="51">
        <f t="shared" si="17"/>
        <v>0</v>
      </c>
      <c r="CY204" s="51">
        <f t="shared" si="18"/>
        <v>0</v>
      </c>
      <c r="CZ204" s="52" t="str">
        <f t="shared" si="19"/>
        <v/>
      </c>
      <c r="DA204" s="58"/>
      <c r="DB204" s="52"/>
      <c r="DC204" s="52"/>
      <c r="DD204" s="52"/>
      <c r="DE204" s="52"/>
      <c r="DF204" s="52"/>
      <c r="DG204" s="52"/>
      <c r="DH204" s="52"/>
      <c r="DI204" s="52"/>
      <c r="DJ204" s="52"/>
      <c r="DK204" s="52"/>
      <c r="DL204" s="52"/>
      <c r="DM204" s="52"/>
      <c r="DN204" s="52"/>
      <c r="DO204" s="52"/>
      <c r="DP204" s="52"/>
      <c r="DQ204" s="52"/>
      <c r="DR204" s="52"/>
      <c r="DS204" s="52"/>
      <c r="DT204" s="52"/>
      <c r="DU204" s="52"/>
      <c r="DV204" s="52"/>
      <c r="DW204" s="52"/>
    </row>
    <row r="205">
      <c r="A205" s="40" t="s">
        <v>55</v>
      </c>
      <c r="B205" s="41" t="s">
        <v>56</v>
      </c>
      <c r="C205" s="31" t="s">
        <v>591</v>
      </c>
      <c r="D205" s="25" t="str">
        <f>IFERROR(__xludf.DUMMYFUNCTION("SPLIT(C205,"" "")"),"Carabeta,")</f>
        <v>Carabeta,</v>
      </c>
      <c r="E205" s="40" t="str">
        <f>IFERROR(__xludf.DUMMYFUNCTION("""COMPUTED_VALUE"""),"Frank
303")</f>
        <v>Frank
303</v>
      </c>
      <c r="F205" s="40" t="str">
        <f>IFERROR(__xludf.DUMMYFUNCTION("""COMPUTED_VALUE"""),"W.")</f>
        <v>W.</v>
      </c>
      <c r="G205" s="40" t="str">
        <f>IFERROR(__xludf.DUMMYFUNCTION("""COMPUTED_VALUE"""),"Davis")</f>
        <v>Davis</v>
      </c>
      <c r="H205" s="40" t="str">
        <f>IFERROR(__xludf.DUMMYFUNCTION("""COMPUTED_VALUE"""),"St.
Dallas,")</f>
        <v>St.
Dallas,</v>
      </c>
      <c r="I205" s="40" t="str">
        <f>IFERROR(__xludf.DUMMYFUNCTION("""COMPUTED_VALUE"""),"TX")</f>
        <v>TX</v>
      </c>
      <c r="J205" s="40">
        <f>IFERROR(__xludf.DUMMYFUNCTION("""COMPUTED_VALUE"""),75208.0)</f>
        <v>75208</v>
      </c>
      <c r="K205" s="40"/>
      <c r="L205" s="40"/>
      <c r="M205" s="40"/>
      <c r="N205" s="40"/>
      <c r="O205" s="40"/>
      <c r="P205" s="40"/>
      <c r="Q205" s="40"/>
      <c r="R205" s="40"/>
      <c r="S205" s="40"/>
      <c r="T205" s="40"/>
      <c r="U205" s="24" t="str">
        <f>IFERROR(__xludf.DUMMYFUNCTION("SPLIT(E205,""01234567890"")"),"Frank
")</f>
        <v>Frank
</v>
      </c>
      <c r="V205" s="24" t="str">
        <f>IFERROR(__xludf.DUMMYFUNCTION("SPLIT(D205,"","")"),"Carabeta")</f>
        <v>Carabeta</v>
      </c>
      <c r="W205" s="25" t="str">
        <f t="shared" si="1"/>
        <v>FRANK
 CARABETA</v>
      </c>
      <c r="X205" s="25" t="s">
        <v>592</v>
      </c>
      <c r="Y205" s="25">
        <v>75208.0</v>
      </c>
      <c r="Z205" s="25" t="str">
        <f>IFERROR(__xludf.DUMMYFUNCTION("SPLIT(C205,""
"")"),"Carabeta, Frank")</f>
        <v>Carabeta, Frank</v>
      </c>
      <c r="AA205" s="25" t="str">
        <f>IFERROR(__xludf.DUMMYFUNCTION("""COMPUTED_VALUE"""),"303 W. Davis St.")</f>
        <v>303 W. Davis St.</v>
      </c>
      <c r="AB205" s="25" t="str">
        <f>IFERROR(__xludf.DUMMYFUNCTION("""COMPUTED_VALUE"""),"Dallas, TX 75208")</f>
        <v>Dallas, TX 75208</v>
      </c>
      <c r="AC205" s="24" t="s">
        <v>593</v>
      </c>
      <c r="AD205" s="25"/>
      <c r="AE205" s="25"/>
      <c r="AF205" s="25"/>
      <c r="AG205" s="40" t="s">
        <v>60</v>
      </c>
      <c r="AH205" s="42">
        <v>2441.0</v>
      </c>
      <c r="AI205" s="40" t="s">
        <v>61</v>
      </c>
      <c r="AJ205" s="27">
        <v>100.0</v>
      </c>
      <c r="AK205" s="31" t="s">
        <v>21</v>
      </c>
      <c r="AL205" s="43">
        <v>44732.0</v>
      </c>
      <c r="AM205" s="44">
        <v>44756.4640625</v>
      </c>
      <c r="AN205" s="30">
        <v>2.0</v>
      </c>
      <c r="AO205" s="40"/>
      <c r="AP205" s="40"/>
      <c r="AQ205" s="40"/>
      <c r="AR205" s="40"/>
      <c r="AS205" s="40"/>
      <c r="AT205" s="47"/>
      <c r="AU205" s="40"/>
      <c r="AV205" s="46" t="str">
        <f>IFERROR(__xludf.DUMMYFUNCTION("""COMPUTED_VALUE"""),"Moore")</f>
        <v>Moore</v>
      </c>
      <c r="AW205" s="46">
        <f t="shared" si="7"/>
        <v>350</v>
      </c>
      <c r="AX205" s="47">
        <f t="shared" ref="AX205:BQ205" si="725">SUMIFS($AJ:$AJ,$V:$V,$AV205,$AK:$AK,AX$2)</f>
        <v>0</v>
      </c>
      <c r="AY205" s="48">
        <f t="shared" si="725"/>
        <v>0</v>
      </c>
      <c r="AZ205" s="48">
        <f t="shared" si="725"/>
        <v>0</v>
      </c>
      <c r="BA205" s="48">
        <f t="shared" si="725"/>
        <v>0</v>
      </c>
      <c r="BB205" s="48">
        <f t="shared" si="725"/>
        <v>350</v>
      </c>
      <c r="BC205" s="48">
        <f t="shared" si="725"/>
        <v>0</v>
      </c>
      <c r="BD205" s="48">
        <f t="shared" si="725"/>
        <v>0</v>
      </c>
      <c r="BE205" s="48">
        <f t="shared" si="725"/>
        <v>0</v>
      </c>
      <c r="BF205" s="48">
        <f t="shared" si="725"/>
        <v>0</v>
      </c>
      <c r="BG205" s="48">
        <f t="shared" si="725"/>
        <v>0</v>
      </c>
      <c r="BH205" s="48">
        <f t="shared" si="725"/>
        <v>0</v>
      </c>
      <c r="BI205" s="48">
        <f t="shared" si="725"/>
        <v>0</v>
      </c>
      <c r="BJ205" s="48">
        <f t="shared" si="725"/>
        <v>0</v>
      </c>
      <c r="BK205" s="48">
        <f t="shared" si="725"/>
        <v>0</v>
      </c>
      <c r="BL205" s="48">
        <f t="shared" si="725"/>
        <v>0</v>
      </c>
      <c r="BM205" s="48">
        <f t="shared" si="725"/>
        <v>0</v>
      </c>
      <c r="BN205" s="48">
        <f t="shared" si="725"/>
        <v>0</v>
      </c>
      <c r="BO205" s="48">
        <f t="shared" si="725"/>
        <v>0</v>
      </c>
      <c r="BP205" s="48">
        <f t="shared" si="725"/>
        <v>0</v>
      </c>
      <c r="BQ205" s="48">
        <f t="shared" si="725"/>
        <v>0</v>
      </c>
      <c r="BR205" s="36">
        <f t="shared" si="9"/>
        <v>1</v>
      </c>
      <c r="BS205" s="38">
        <f t="shared" si="10"/>
        <v>2</v>
      </c>
      <c r="BT205" s="49">
        <f t="shared" si="11"/>
        <v>0</v>
      </c>
      <c r="BU205" s="38">
        <f t="shared" si="12"/>
        <v>2000</v>
      </c>
      <c r="BV205" s="46" t="str">
        <f>IFERROR(__xludf.DUMMYFUNCTION("""COMPUTED_VALUE"""),"Moore")</f>
        <v>Moore</v>
      </c>
      <c r="BW205" s="46">
        <f t="shared" si="13"/>
        <v>350</v>
      </c>
      <c r="BX205" s="47">
        <f t="shared" ref="BX205:CA205" si="726">AX205-$BU205</f>
        <v>-2000</v>
      </c>
      <c r="BY205" s="47">
        <f t="shared" si="726"/>
        <v>-2000</v>
      </c>
      <c r="BZ205" s="47">
        <f t="shared" si="726"/>
        <v>-2000</v>
      </c>
      <c r="CA205" s="47">
        <f t="shared" si="726"/>
        <v>-2000</v>
      </c>
      <c r="CB205" s="47">
        <f t="shared" si="15"/>
        <v>-19650</v>
      </c>
      <c r="CC205" s="47">
        <f t="shared" ref="CC205:CQ205" si="727">BC205-$BU205</f>
        <v>-2000</v>
      </c>
      <c r="CD205" s="47">
        <f t="shared" si="727"/>
        <v>-2000</v>
      </c>
      <c r="CE205" s="47">
        <f t="shared" si="727"/>
        <v>-2000</v>
      </c>
      <c r="CF205" s="47">
        <f t="shared" si="727"/>
        <v>-2000</v>
      </c>
      <c r="CG205" s="47">
        <f t="shared" si="727"/>
        <v>-2000</v>
      </c>
      <c r="CH205" s="47">
        <f t="shared" si="727"/>
        <v>-2000</v>
      </c>
      <c r="CI205" s="47">
        <f t="shared" si="727"/>
        <v>-2000</v>
      </c>
      <c r="CJ205" s="47">
        <f t="shared" si="727"/>
        <v>-2000</v>
      </c>
      <c r="CK205" s="47">
        <f t="shared" si="727"/>
        <v>-2000</v>
      </c>
      <c r="CL205" s="47">
        <f t="shared" si="727"/>
        <v>-2000</v>
      </c>
      <c r="CM205" s="47">
        <f t="shared" si="727"/>
        <v>-2000</v>
      </c>
      <c r="CN205" s="47">
        <f t="shared" si="727"/>
        <v>-2000</v>
      </c>
      <c r="CO205" s="47">
        <f t="shared" si="727"/>
        <v>-2000</v>
      </c>
      <c r="CP205" s="47">
        <f t="shared" si="727"/>
        <v>-2000</v>
      </c>
      <c r="CQ205" s="47">
        <f t="shared" si="727"/>
        <v>-2000</v>
      </c>
      <c r="CR205" s="47"/>
      <c r="CS205" s="47"/>
      <c r="CT205" s="47"/>
      <c r="CU205" s="50" t="str">
        <f>IFERROR(__xludf.DUMMYFUNCTION("""COMPUTED_VALUE"""),"202 N. Clinton Ave
Dallas, TX 75208         ")</f>
        <v>202 N. Clinton Ave
Dallas, TX 75208         </v>
      </c>
      <c r="CV205" s="51">
        <f>IFERROR(__xludf.DUMMYFUNCTION("IF(REGEXMATCH(UPPER(CU205), ""TX""),0,1)"),0.0)</f>
        <v>0</v>
      </c>
      <c r="CW205" s="51">
        <f>IFERROR(__xludf.DUMMYFUNCTION("IF(REGEXMATCH(UPPER(CU205), ""DALLAS""),0,1)"),0.0)</f>
        <v>0</v>
      </c>
      <c r="CX205" s="51">
        <f t="shared" si="17"/>
        <v>0</v>
      </c>
      <c r="CY205" s="51">
        <f t="shared" si="18"/>
        <v>0</v>
      </c>
      <c r="CZ205" s="52" t="str">
        <f t="shared" si="19"/>
        <v/>
      </c>
      <c r="DA205" s="58"/>
      <c r="DB205" s="52"/>
      <c r="DC205" s="52"/>
      <c r="DD205" s="52"/>
      <c r="DE205" s="52"/>
      <c r="DF205" s="52"/>
      <c r="DG205" s="52"/>
      <c r="DH205" s="52"/>
      <c r="DI205" s="52"/>
      <c r="DJ205" s="52"/>
      <c r="DK205" s="52"/>
      <c r="DL205" s="52"/>
      <c r="DM205" s="52"/>
      <c r="DN205" s="52"/>
      <c r="DO205" s="52"/>
      <c r="DP205" s="52"/>
      <c r="DQ205" s="52"/>
      <c r="DR205" s="52"/>
      <c r="DS205" s="52"/>
      <c r="DT205" s="52"/>
      <c r="DU205" s="52"/>
      <c r="DV205" s="52"/>
      <c r="DW205" s="52"/>
    </row>
    <row r="206">
      <c r="A206" s="22" t="s">
        <v>55</v>
      </c>
      <c r="B206" s="23" t="s">
        <v>56</v>
      </c>
      <c r="C206" s="31" t="s">
        <v>594</v>
      </c>
      <c r="D206" s="25" t="str">
        <f>IFERROR(__xludf.DUMMYFUNCTION("SPLIT(C206,"" "")"),"Mathis,")</f>
        <v>Mathis,</v>
      </c>
      <c r="E206" s="22" t="str">
        <f>IFERROR(__xludf.DUMMYFUNCTION("""COMPUTED_VALUE"""),"James
2029")</f>
        <v>James
2029</v>
      </c>
      <c r="F206" s="22" t="str">
        <f>IFERROR(__xludf.DUMMYFUNCTION("""COMPUTED_VALUE"""),"W.")</f>
        <v>W.</v>
      </c>
      <c r="G206" s="22" t="str">
        <f>IFERROR(__xludf.DUMMYFUNCTION("""COMPUTED_VALUE"""),"Colorado")</f>
        <v>Colorado</v>
      </c>
      <c r="H206" s="22" t="str">
        <f>IFERROR(__xludf.DUMMYFUNCTION("""COMPUTED_VALUE"""),"Blvd.
Dallas,")</f>
        <v>Blvd.
Dallas,</v>
      </c>
      <c r="I206" s="22" t="str">
        <f>IFERROR(__xludf.DUMMYFUNCTION("""COMPUTED_VALUE"""),"TX")</f>
        <v>TX</v>
      </c>
      <c r="J206" s="22">
        <f>IFERROR(__xludf.DUMMYFUNCTION("""COMPUTED_VALUE"""),75208.0)</f>
        <v>75208</v>
      </c>
      <c r="K206" s="22"/>
      <c r="L206" s="22"/>
      <c r="M206" s="22"/>
      <c r="N206" s="22"/>
      <c r="O206" s="22"/>
      <c r="P206" s="22"/>
      <c r="Q206" s="22"/>
      <c r="R206" s="22"/>
      <c r="S206" s="22"/>
      <c r="T206" s="22"/>
      <c r="U206" s="24" t="str">
        <f>IFERROR(__xludf.DUMMYFUNCTION("SPLIT(E206,""01234567890"")"),"James
")</f>
        <v>James
</v>
      </c>
      <c r="V206" s="24" t="str">
        <f>IFERROR(__xludf.DUMMYFUNCTION("SPLIT(D206,"","")"),"Mathis")</f>
        <v>Mathis</v>
      </c>
      <c r="W206" s="25" t="str">
        <f t="shared" si="1"/>
        <v>JAMES
 MATHIS</v>
      </c>
      <c r="X206" s="25" t="s">
        <v>595</v>
      </c>
      <c r="Y206" s="25">
        <v>75208.0</v>
      </c>
      <c r="Z206" s="25" t="str">
        <f>IFERROR(__xludf.DUMMYFUNCTION("SPLIT(C206,""
"")"),"Mathis, James")</f>
        <v>Mathis, James</v>
      </c>
      <c r="AA206" s="25" t="str">
        <f>IFERROR(__xludf.DUMMYFUNCTION("""COMPUTED_VALUE"""),"2029 W. Colorado Blvd.")</f>
        <v>2029 W. Colorado Blvd.</v>
      </c>
      <c r="AB206" s="25" t="str">
        <f>IFERROR(__xludf.DUMMYFUNCTION("""COMPUTED_VALUE"""),"Dallas, TX 75208")</f>
        <v>Dallas, TX 75208</v>
      </c>
      <c r="AC206" s="24" t="s">
        <v>596</v>
      </c>
      <c r="AD206" s="25"/>
      <c r="AE206" s="25"/>
      <c r="AF206" s="25"/>
      <c r="AG206" s="22" t="s">
        <v>60</v>
      </c>
      <c r="AH206" s="54">
        <v>2441.0</v>
      </c>
      <c r="AI206" s="22" t="s">
        <v>61</v>
      </c>
      <c r="AJ206" s="27">
        <v>249.0</v>
      </c>
      <c r="AK206" s="31" t="s">
        <v>21</v>
      </c>
      <c r="AL206" s="28">
        <v>44732.0</v>
      </c>
      <c r="AM206" s="29">
        <v>44756.4640625</v>
      </c>
      <c r="AN206" s="30">
        <v>2.0</v>
      </c>
      <c r="AO206" s="22"/>
      <c r="AP206" s="22"/>
      <c r="AQ206" s="22"/>
      <c r="AR206" s="22"/>
      <c r="AS206" s="22"/>
      <c r="AT206" s="70"/>
      <c r="AU206" s="22"/>
      <c r="AV206" s="57" t="str">
        <f>IFERROR(__xludf.DUMMYFUNCTION("""COMPUTED_VALUE"""),"Desai")</f>
        <v>Desai</v>
      </c>
      <c r="AW206" s="46">
        <f t="shared" si="7"/>
        <v>250</v>
      </c>
      <c r="AX206" s="47">
        <f t="shared" ref="AX206:BQ206" si="728">SUMIFS($AJ:$AJ,$V:$V,$AV206,$AK:$AK,AX$2)</f>
        <v>0</v>
      </c>
      <c r="AY206" s="48">
        <f t="shared" si="728"/>
        <v>0</v>
      </c>
      <c r="AZ206" s="48">
        <f t="shared" si="728"/>
        <v>0</v>
      </c>
      <c r="BA206" s="48">
        <f t="shared" si="728"/>
        <v>0</v>
      </c>
      <c r="BB206" s="48">
        <f t="shared" si="728"/>
        <v>250</v>
      </c>
      <c r="BC206" s="48">
        <f t="shared" si="728"/>
        <v>0</v>
      </c>
      <c r="BD206" s="48">
        <f t="shared" si="728"/>
        <v>0</v>
      </c>
      <c r="BE206" s="48">
        <f t="shared" si="728"/>
        <v>0</v>
      </c>
      <c r="BF206" s="48">
        <f t="shared" si="728"/>
        <v>0</v>
      </c>
      <c r="BG206" s="48">
        <f t="shared" si="728"/>
        <v>0</v>
      </c>
      <c r="BH206" s="48">
        <f t="shared" si="728"/>
        <v>0</v>
      </c>
      <c r="BI206" s="48">
        <f t="shared" si="728"/>
        <v>0</v>
      </c>
      <c r="BJ206" s="48">
        <f t="shared" si="728"/>
        <v>0</v>
      </c>
      <c r="BK206" s="48">
        <f t="shared" si="728"/>
        <v>0</v>
      </c>
      <c r="BL206" s="48">
        <f t="shared" si="728"/>
        <v>0</v>
      </c>
      <c r="BM206" s="48">
        <f t="shared" si="728"/>
        <v>0</v>
      </c>
      <c r="BN206" s="48">
        <f t="shared" si="728"/>
        <v>0</v>
      </c>
      <c r="BO206" s="48">
        <f t="shared" si="728"/>
        <v>0</v>
      </c>
      <c r="BP206" s="48">
        <f t="shared" si="728"/>
        <v>0</v>
      </c>
      <c r="BQ206" s="48">
        <f t="shared" si="728"/>
        <v>0</v>
      </c>
      <c r="BR206" s="36">
        <f t="shared" si="9"/>
        <v>0</v>
      </c>
      <c r="BS206" s="38">
        <f t="shared" si="10"/>
        <v>1</v>
      </c>
      <c r="BT206" s="49">
        <f t="shared" si="11"/>
        <v>0</v>
      </c>
      <c r="BU206" s="38">
        <f t="shared" si="12"/>
        <v>1000</v>
      </c>
      <c r="BV206" s="57" t="str">
        <f>IFERROR(__xludf.DUMMYFUNCTION("""COMPUTED_VALUE"""),"Desai")</f>
        <v>Desai</v>
      </c>
      <c r="BW206" s="46">
        <f t="shared" si="13"/>
        <v>250</v>
      </c>
      <c r="BX206" s="47">
        <f t="shared" ref="BX206:CA206" si="729">AX206-$BU206</f>
        <v>-1000</v>
      </c>
      <c r="BY206" s="47">
        <f t="shared" si="729"/>
        <v>-1000</v>
      </c>
      <c r="BZ206" s="47">
        <f t="shared" si="729"/>
        <v>-1000</v>
      </c>
      <c r="CA206" s="47">
        <f t="shared" si="729"/>
        <v>-1000</v>
      </c>
      <c r="CB206" s="47">
        <f t="shared" si="15"/>
        <v>-9750</v>
      </c>
      <c r="CC206" s="47">
        <f t="shared" ref="CC206:CQ206" si="730">BC206-$BU206</f>
        <v>-1000</v>
      </c>
      <c r="CD206" s="47">
        <f t="shared" si="730"/>
        <v>-1000</v>
      </c>
      <c r="CE206" s="47">
        <f t="shared" si="730"/>
        <v>-1000</v>
      </c>
      <c r="CF206" s="47">
        <f t="shared" si="730"/>
        <v>-1000</v>
      </c>
      <c r="CG206" s="47">
        <f t="shared" si="730"/>
        <v>-1000</v>
      </c>
      <c r="CH206" s="47">
        <f t="shared" si="730"/>
        <v>-1000</v>
      </c>
      <c r="CI206" s="47">
        <f t="shared" si="730"/>
        <v>-1000</v>
      </c>
      <c r="CJ206" s="47">
        <f t="shared" si="730"/>
        <v>-1000</v>
      </c>
      <c r="CK206" s="47">
        <f t="shared" si="730"/>
        <v>-1000</v>
      </c>
      <c r="CL206" s="47">
        <f t="shared" si="730"/>
        <v>-1000</v>
      </c>
      <c r="CM206" s="47">
        <f t="shared" si="730"/>
        <v>-1000</v>
      </c>
      <c r="CN206" s="47">
        <f t="shared" si="730"/>
        <v>-1000</v>
      </c>
      <c r="CO206" s="47">
        <f t="shared" si="730"/>
        <v>-1000</v>
      </c>
      <c r="CP206" s="47">
        <f t="shared" si="730"/>
        <v>-1000</v>
      </c>
      <c r="CQ206" s="47">
        <f t="shared" si="730"/>
        <v>-1000</v>
      </c>
      <c r="CR206" s="47"/>
      <c r="CS206" s="47"/>
      <c r="CT206" s="47"/>
      <c r="CU206" s="50" t="str">
        <f>IFERROR(__xludf.DUMMYFUNCTION("""COMPUTED_VALUE"""),"3724 Waldorf Dr.
Dallas, TX 75229          ")</f>
        <v>3724 Waldorf Dr.
Dallas, TX 75229          </v>
      </c>
      <c r="CV206" s="51">
        <f>IFERROR(__xludf.DUMMYFUNCTION("IF(REGEXMATCH(UPPER(CU206), ""TX""),0,1)"),0.0)</f>
        <v>0</v>
      </c>
      <c r="CW206" s="51">
        <f>IFERROR(__xludf.DUMMYFUNCTION("IF(REGEXMATCH(UPPER(CU206), ""DALLAS""),0,1)"),0.0)</f>
        <v>0</v>
      </c>
      <c r="CX206" s="51">
        <f t="shared" si="17"/>
        <v>0</v>
      </c>
      <c r="CY206" s="51">
        <f t="shared" si="18"/>
        <v>0</v>
      </c>
      <c r="CZ206" s="52" t="str">
        <f t="shared" si="19"/>
        <v/>
      </c>
      <c r="DA206" s="58"/>
      <c r="DB206" s="52"/>
      <c r="DC206" s="52"/>
      <c r="DD206" s="52"/>
      <c r="DE206" s="52"/>
      <c r="DF206" s="52"/>
      <c r="DG206" s="52"/>
      <c r="DH206" s="52"/>
      <c r="DI206" s="52"/>
      <c r="DJ206" s="52"/>
      <c r="DK206" s="52"/>
      <c r="DL206" s="52"/>
      <c r="DM206" s="52"/>
      <c r="DN206" s="52"/>
      <c r="DO206" s="52"/>
      <c r="DP206" s="52"/>
      <c r="DQ206" s="52"/>
      <c r="DR206" s="52"/>
      <c r="DS206" s="52"/>
      <c r="DT206" s="52"/>
      <c r="DU206" s="52"/>
      <c r="DV206" s="52"/>
      <c r="DW206" s="52"/>
    </row>
    <row r="207">
      <c r="A207" s="40" t="s">
        <v>55</v>
      </c>
      <c r="B207" s="41" t="s">
        <v>56</v>
      </c>
      <c r="C207" s="31" t="s">
        <v>597</v>
      </c>
      <c r="D207" s="25" t="str">
        <f>IFERROR(__xludf.DUMMYFUNCTION("SPLIT(C207,"" "")"),"Garza,")</f>
        <v>Garza,</v>
      </c>
      <c r="E207" s="40" t="str">
        <f>IFERROR(__xludf.DUMMYFUNCTION("""COMPUTED_VALUE"""),"Jerome
PO")</f>
        <v>Jerome
PO</v>
      </c>
      <c r="F207" s="40" t="str">
        <f>IFERROR(__xludf.DUMMYFUNCTION("""COMPUTED_VALUE"""),"Box")</f>
        <v>Box</v>
      </c>
      <c r="G207" s="40" t="str">
        <f>IFERROR(__xludf.DUMMYFUNCTION("""COMPUTED_VALUE"""),"223932
Dallas,")</f>
        <v>223932
Dallas,</v>
      </c>
      <c r="H207" s="40" t="str">
        <f>IFERROR(__xludf.DUMMYFUNCTION("""COMPUTED_VALUE"""),"TX")</f>
        <v>TX</v>
      </c>
      <c r="I207" s="40">
        <f>IFERROR(__xludf.DUMMYFUNCTION("""COMPUTED_VALUE"""),75222.0)</f>
        <v>75222</v>
      </c>
      <c r="J207" s="40"/>
      <c r="K207" s="40"/>
      <c r="L207" s="40"/>
      <c r="M207" s="40"/>
      <c r="N207" s="40"/>
      <c r="O207" s="40"/>
      <c r="P207" s="40"/>
      <c r="Q207" s="40"/>
      <c r="R207" s="40"/>
      <c r="S207" s="40"/>
      <c r="T207" s="40"/>
      <c r="U207" s="24" t="str">
        <f>IFERROR(__xludf.DUMMYFUNCTION("SPLIT(E207,""01234567890"")"),"Jerome
PO")</f>
        <v>Jerome
PO</v>
      </c>
      <c r="V207" s="24" t="str">
        <f>IFERROR(__xludf.DUMMYFUNCTION("SPLIT(D207,"","")"),"Garza")</f>
        <v>Garza</v>
      </c>
      <c r="W207" s="25" t="str">
        <f t="shared" si="1"/>
        <v>JEROME
PO GARZA</v>
      </c>
      <c r="X207" s="25" t="s">
        <v>598</v>
      </c>
      <c r="Y207" s="25">
        <v>75222.0</v>
      </c>
      <c r="Z207" s="25" t="str">
        <f>IFERROR(__xludf.DUMMYFUNCTION("SPLIT(C207,""
"")"),"Garza, Jerome")</f>
        <v>Garza, Jerome</v>
      </c>
      <c r="AA207" s="25" t="str">
        <f>IFERROR(__xludf.DUMMYFUNCTION("""COMPUTED_VALUE"""),"PO Box 223932")</f>
        <v>PO Box 223932</v>
      </c>
      <c r="AB207" s="25" t="str">
        <f>IFERROR(__xludf.DUMMYFUNCTION("""COMPUTED_VALUE"""),"Dallas, TX 75222")</f>
        <v>Dallas, TX 75222</v>
      </c>
      <c r="AC207" s="24" t="s">
        <v>599</v>
      </c>
      <c r="AD207" s="25"/>
      <c r="AE207" s="25"/>
      <c r="AF207" s="25"/>
      <c r="AG207" s="40" t="s">
        <v>60</v>
      </c>
      <c r="AH207" s="42">
        <v>2441.0</v>
      </c>
      <c r="AI207" s="40" t="s">
        <v>61</v>
      </c>
      <c r="AJ207" s="27">
        <v>500.0</v>
      </c>
      <c r="AK207" s="31" t="s">
        <v>21</v>
      </c>
      <c r="AL207" s="43">
        <v>44732.0</v>
      </c>
      <c r="AM207" s="44">
        <v>44756.4640625</v>
      </c>
      <c r="AN207" s="30">
        <v>2.0</v>
      </c>
      <c r="AO207" s="40"/>
      <c r="AP207" s="40"/>
      <c r="AQ207" s="40"/>
      <c r="AR207" s="40"/>
      <c r="AS207" s="40"/>
      <c r="AT207" s="47"/>
      <c r="AU207" s="40"/>
      <c r="AV207" s="46" t="str">
        <f>IFERROR(__xludf.DUMMYFUNCTION("""COMPUTED_VALUE"""),"Oliver")</f>
        <v>Oliver</v>
      </c>
      <c r="AW207" s="46">
        <f t="shared" si="7"/>
        <v>350</v>
      </c>
      <c r="AX207" s="47">
        <f t="shared" ref="AX207:BQ207" si="731">SUMIFS($AJ:$AJ,$V:$V,$AV207,$AK:$AK,AX$2)</f>
        <v>0</v>
      </c>
      <c r="AY207" s="48">
        <f t="shared" si="731"/>
        <v>0</v>
      </c>
      <c r="AZ207" s="48">
        <f t="shared" si="731"/>
        <v>0</v>
      </c>
      <c r="BA207" s="48">
        <f t="shared" si="731"/>
        <v>0</v>
      </c>
      <c r="BB207" s="48">
        <f t="shared" si="731"/>
        <v>350</v>
      </c>
      <c r="BC207" s="48">
        <f t="shared" si="731"/>
        <v>0</v>
      </c>
      <c r="BD207" s="48">
        <f t="shared" si="731"/>
        <v>0</v>
      </c>
      <c r="BE207" s="48">
        <f t="shared" si="731"/>
        <v>0</v>
      </c>
      <c r="BF207" s="48">
        <f t="shared" si="731"/>
        <v>0</v>
      </c>
      <c r="BG207" s="48">
        <f t="shared" si="731"/>
        <v>0</v>
      </c>
      <c r="BH207" s="48">
        <f t="shared" si="731"/>
        <v>0</v>
      </c>
      <c r="BI207" s="48">
        <f t="shared" si="731"/>
        <v>0</v>
      </c>
      <c r="BJ207" s="48">
        <f t="shared" si="731"/>
        <v>0</v>
      </c>
      <c r="BK207" s="48">
        <f t="shared" si="731"/>
        <v>0</v>
      </c>
      <c r="BL207" s="48">
        <f t="shared" si="731"/>
        <v>0</v>
      </c>
      <c r="BM207" s="48">
        <f t="shared" si="731"/>
        <v>0</v>
      </c>
      <c r="BN207" s="48">
        <f t="shared" si="731"/>
        <v>0</v>
      </c>
      <c r="BO207" s="48">
        <f t="shared" si="731"/>
        <v>0</v>
      </c>
      <c r="BP207" s="48">
        <f t="shared" si="731"/>
        <v>0</v>
      </c>
      <c r="BQ207" s="48">
        <f t="shared" si="731"/>
        <v>0</v>
      </c>
      <c r="BR207" s="36">
        <f t="shared" si="9"/>
        <v>0</v>
      </c>
      <c r="BS207" s="38">
        <f t="shared" si="10"/>
        <v>1</v>
      </c>
      <c r="BT207" s="49">
        <f t="shared" si="11"/>
        <v>0</v>
      </c>
      <c r="BU207" s="38">
        <f t="shared" si="12"/>
        <v>1000</v>
      </c>
      <c r="BV207" s="46" t="str">
        <f>IFERROR(__xludf.DUMMYFUNCTION("""COMPUTED_VALUE"""),"Oliver")</f>
        <v>Oliver</v>
      </c>
      <c r="BW207" s="46">
        <f t="shared" si="13"/>
        <v>350</v>
      </c>
      <c r="BX207" s="47">
        <f t="shared" ref="BX207:CA207" si="732">AX207-$BU207</f>
        <v>-1000</v>
      </c>
      <c r="BY207" s="47">
        <f t="shared" si="732"/>
        <v>-1000</v>
      </c>
      <c r="BZ207" s="47">
        <f t="shared" si="732"/>
        <v>-1000</v>
      </c>
      <c r="CA207" s="47">
        <f t="shared" si="732"/>
        <v>-1000</v>
      </c>
      <c r="CB207" s="47">
        <f t="shared" si="15"/>
        <v>-9650</v>
      </c>
      <c r="CC207" s="47">
        <f t="shared" ref="CC207:CQ207" si="733">BC207-$BU207</f>
        <v>-1000</v>
      </c>
      <c r="CD207" s="47">
        <f t="shared" si="733"/>
        <v>-1000</v>
      </c>
      <c r="CE207" s="47">
        <f t="shared" si="733"/>
        <v>-1000</v>
      </c>
      <c r="CF207" s="47">
        <f t="shared" si="733"/>
        <v>-1000</v>
      </c>
      <c r="CG207" s="47">
        <f t="shared" si="733"/>
        <v>-1000</v>
      </c>
      <c r="CH207" s="47">
        <f t="shared" si="733"/>
        <v>-1000</v>
      </c>
      <c r="CI207" s="47">
        <f t="shared" si="733"/>
        <v>-1000</v>
      </c>
      <c r="CJ207" s="47">
        <f t="shared" si="733"/>
        <v>-1000</v>
      </c>
      <c r="CK207" s="47">
        <f t="shared" si="733"/>
        <v>-1000</v>
      </c>
      <c r="CL207" s="47">
        <f t="shared" si="733"/>
        <v>-1000</v>
      </c>
      <c r="CM207" s="47">
        <f t="shared" si="733"/>
        <v>-1000</v>
      </c>
      <c r="CN207" s="47">
        <f t="shared" si="733"/>
        <v>-1000</v>
      </c>
      <c r="CO207" s="47">
        <f t="shared" si="733"/>
        <v>-1000</v>
      </c>
      <c r="CP207" s="47">
        <f t="shared" si="733"/>
        <v>-1000</v>
      </c>
      <c r="CQ207" s="47">
        <f t="shared" si="733"/>
        <v>-1000</v>
      </c>
      <c r="CR207" s="47"/>
      <c r="CS207" s="47"/>
      <c r="CT207" s="47"/>
      <c r="CU207" s="50" t="str">
        <f>IFERROR(__xludf.DUMMYFUNCTION("""COMPUTED_VALUE"""),"3700 Cole Ave.
Dallas, TX 75204          ")</f>
        <v>3700 Cole Ave.
Dallas, TX 75204          </v>
      </c>
      <c r="CV207" s="51">
        <f>IFERROR(__xludf.DUMMYFUNCTION("IF(REGEXMATCH(UPPER(CU207), ""TX""),0,1)"),0.0)</f>
        <v>0</v>
      </c>
      <c r="CW207" s="51">
        <f>IFERROR(__xludf.DUMMYFUNCTION("IF(REGEXMATCH(UPPER(CU207), ""DALLAS""),0,1)"),0.0)</f>
        <v>0</v>
      </c>
      <c r="CX207" s="51">
        <f t="shared" si="17"/>
        <v>0</v>
      </c>
      <c r="CY207" s="51">
        <f t="shared" si="18"/>
        <v>0</v>
      </c>
      <c r="CZ207" s="52" t="str">
        <f t="shared" si="19"/>
        <v/>
      </c>
      <c r="DA207" s="58"/>
      <c r="DB207" s="52"/>
      <c r="DC207" s="52"/>
      <c r="DD207" s="52"/>
      <c r="DE207" s="52"/>
      <c r="DF207" s="52"/>
      <c r="DG207" s="52"/>
      <c r="DH207" s="52"/>
      <c r="DI207" s="52"/>
      <c r="DJ207" s="52"/>
      <c r="DK207" s="52"/>
      <c r="DL207" s="52"/>
      <c r="DM207" s="52"/>
      <c r="DN207" s="52"/>
      <c r="DO207" s="52"/>
      <c r="DP207" s="52"/>
      <c r="DQ207" s="52"/>
      <c r="DR207" s="52"/>
      <c r="DS207" s="52"/>
      <c r="DT207" s="52"/>
      <c r="DU207" s="52"/>
      <c r="DV207" s="52"/>
      <c r="DW207" s="52"/>
    </row>
    <row r="208">
      <c r="A208" s="22" t="s">
        <v>55</v>
      </c>
      <c r="B208" s="23" t="s">
        <v>56</v>
      </c>
      <c r="C208" s="31" t="s">
        <v>600</v>
      </c>
      <c r="D208" s="25" t="str">
        <f>IFERROR(__xludf.DUMMYFUNCTION("SPLIT(C208,"" "")"),"Whitney,")</f>
        <v>Whitney,</v>
      </c>
      <c r="E208" s="22" t="str">
        <f>IFERROR(__xludf.DUMMYFUNCTION("""COMPUTED_VALUE"""),"Joe
1652")</f>
        <v>Joe
1652</v>
      </c>
      <c r="F208" s="22" t="str">
        <f>IFERROR(__xludf.DUMMYFUNCTION("""COMPUTED_VALUE"""),"Sylvan")</f>
        <v>Sylvan</v>
      </c>
      <c r="G208" s="22" t="str">
        <f>IFERROR(__xludf.DUMMYFUNCTION("""COMPUTED_VALUE"""),"Ave.
Dallas,")</f>
        <v>Ave.
Dallas,</v>
      </c>
      <c r="H208" s="22" t="str">
        <f>IFERROR(__xludf.DUMMYFUNCTION("""COMPUTED_VALUE"""),"TX")</f>
        <v>TX</v>
      </c>
      <c r="I208" s="22">
        <f>IFERROR(__xludf.DUMMYFUNCTION("""COMPUTED_VALUE"""),75208.0)</f>
        <v>75208</v>
      </c>
      <c r="J208" s="22"/>
      <c r="K208" s="22"/>
      <c r="L208" s="22"/>
      <c r="M208" s="22"/>
      <c r="N208" s="22"/>
      <c r="O208" s="22"/>
      <c r="P208" s="22"/>
      <c r="Q208" s="22"/>
      <c r="R208" s="22"/>
      <c r="S208" s="22"/>
      <c r="T208" s="22"/>
      <c r="U208" s="24" t="str">
        <f>IFERROR(__xludf.DUMMYFUNCTION("SPLIT(E208,""01234567890"")"),"Joe
")</f>
        <v>Joe
</v>
      </c>
      <c r="V208" s="24" t="str">
        <f>IFERROR(__xludf.DUMMYFUNCTION("SPLIT(D208,"","")"),"Whitney")</f>
        <v>Whitney</v>
      </c>
      <c r="W208" s="25" t="str">
        <f t="shared" si="1"/>
        <v>JOE
 WHITNEY</v>
      </c>
      <c r="X208" s="25" t="s">
        <v>601</v>
      </c>
      <c r="Y208" s="25">
        <v>75208.0</v>
      </c>
      <c r="Z208" s="25" t="str">
        <f>IFERROR(__xludf.DUMMYFUNCTION("SPLIT(C208,""
"")"),"Whitney, Joe")</f>
        <v>Whitney, Joe</v>
      </c>
      <c r="AA208" s="25" t="str">
        <f>IFERROR(__xludf.DUMMYFUNCTION("""COMPUTED_VALUE"""),"1652 Sylvan Ave.")</f>
        <v>1652 Sylvan Ave.</v>
      </c>
      <c r="AB208" s="25" t="str">
        <f>IFERROR(__xludf.DUMMYFUNCTION("""COMPUTED_VALUE"""),"Dallas, TX 75208")</f>
        <v>Dallas, TX 75208</v>
      </c>
      <c r="AC208" s="24" t="s">
        <v>602</v>
      </c>
      <c r="AD208" s="25"/>
      <c r="AE208" s="25"/>
      <c r="AF208" s="25"/>
      <c r="AG208" s="22" t="s">
        <v>60</v>
      </c>
      <c r="AH208" s="54">
        <v>2441.0</v>
      </c>
      <c r="AI208" s="22" t="s">
        <v>61</v>
      </c>
      <c r="AJ208" s="27">
        <v>100.0</v>
      </c>
      <c r="AK208" s="31" t="s">
        <v>21</v>
      </c>
      <c r="AL208" s="28">
        <v>44732.0</v>
      </c>
      <c r="AM208" s="29">
        <v>44756.4640625</v>
      </c>
      <c r="AN208" s="30">
        <v>2.0</v>
      </c>
      <c r="AO208" s="22"/>
      <c r="AP208" s="22"/>
      <c r="AQ208" s="22"/>
      <c r="AR208" s="22"/>
      <c r="AS208" s="22"/>
      <c r="AT208" s="70"/>
      <c r="AU208" s="22"/>
      <c r="AV208" s="57" t="str">
        <f>IFERROR(__xludf.DUMMYFUNCTION("""COMPUTED_VALUE"""),"Idoux")</f>
        <v>Idoux</v>
      </c>
      <c r="AW208" s="46">
        <f t="shared" si="7"/>
        <v>25000</v>
      </c>
      <c r="AX208" s="47">
        <f t="shared" ref="AX208:BQ208" si="734">SUMIFS($AJ:$AJ,$V:$V,$AV208,$AK:$AK,AX$2)</f>
        <v>0</v>
      </c>
      <c r="AY208" s="48">
        <f t="shared" si="734"/>
        <v>0</v>
      </c>
      <c r="AZ208" s="48">
        <f t="shared" si="734"/>
        <v>0</v>
      </c>
      <c r="BA208" s="48">
        <f t="shared" si="734"/>
        <v>0</v>
      </c>
      <c r="BB208" s="48">
        <f t="shared" si="734"/>
        <v>25000</v>
      </c>
      <c r="BC208" s="48">
        <f t="shared" si="734"/>
        <v>0</v>
      </c>
      <c r="BD208" s="48">
        <f t="shared" si="734"/>
        <v>0</v>
      </c>
      <c r="BE208" s="48">
        <f t="shared" si="734"/>
        <v>0</v>
      </c>
      <c r="BF208" s="48">
        <f t="shared" si="734"/>
        <v>0</v>
      </c>
      <c r="BG208" s="48">
        <f t="shared" si="734"/>
        <v>0</v>
      </c>
      <c r="BH208" s="48">
        <f t="shared" si="734"/>
        <v>0</v>
      </c>
      <c r="BI208" s="48">
        <f t="shared" si="734"/>
        <v>0</v>
      </c>
      <c r="BJ208" s="48">
        <f t="shared" si="734"/>
        <v>0</v>
      </c>
      <c r="BK208" s="48">
        <f t="shared" si="734"/>
        <v>0</v>
      </c>
      <c r="BL208" s="48">
        <f t="shared" si="734"/>
        <v>0</v>
      </c>
      <c r="BM208" s="48">
        <f t="shared" si="734"/>
        <v>0</v>
      </c>
      <c r="BN208" s="48">
        <f t="shared" si="734"/>
        <v>0</v>
      </c>
      <c r="BO208" s="48">
        <f t="shared" si="734"/>
        <v>0</v>
      </c>
      <c r="BP208" s="48">
        <f t="shared" si="734"/>
        <v>0</v>
      </c>
      <c r="BQ208" s="48">
        <f t="shared" si="734"/>
        <v>0</v>
      </c>
      <c r="BR208" s="36">
        <f t="shared" si="9"/>
        <v>1</v>
      </c>
      <c r="BS208" s="38">
        <f t="shared" si="10"/>
        <v>3</v>
      </c>
      <c r="BT208" s="49">
        <f t="shared" si="11"/>
        <v>0</v>
      </c>
      <c r="BU208" s="38">
        <f t="shared" si="12"/>
        <v>3000</v>
      </c>
      <c r="BV208" s="57" t="str">
        <f>IFERROR(__xludf.DUMMYFUNCTION("""COMPUTED_VALUE"""),"Idoux")</f>
        <v>Idoux</v>
      </c>
      <c r="BW208" s="46">
        <f t="shared" si="13"/>
        <v>25000</v>
      </c>
      <c r="BX208" s="47">
        <f t="shared" ref="BX208:CA208" si="735">AX208-$BU208</f>
        <v>-3000</v>
      </c>
      <c r="BY208" s="47">
        <f t="shared" si="735"/>
        <v>-3000</v>
      </c>
      <c r="BZ208" s="47">
        <f t="shared" si="735"/>
        <v>-3000</v>
      </c>
      <c r="CA208" s="47">
        <f t="shared" si="735"/>
        <v>-3000</v>
      </c>
      <c r="CB208" s="47">
        <f t="shared" si="15"/>
        <v>-5000</v>
      </c>
      <c r="CC208" s="47">
        <f t="shared" ref="CC208:CQ208" si="736">BC208-$BU208</f>
        <v>-3000</v>
      </c>
      <c r="CD208" s="47">
        <f t="shared" si="736"/>
        <v>-3000</v>
      </c>
      <c r="CE208" s="47">
        <f t="shared" si="736"/>
        <v>-3000</v>
      </c>
      <c r="CF208" s="47">
        <f t="shared" si="736"/>
        <v>-3000</v>
      </c>
      <c r="CG208" s="47">
        <f t="shared" si="736"/>
        <v>-3000</v>
      </c>
      <c r="CH208" s="47">
        <f t="shared" si="736"/>
        <v>-3000</v>
      </c>
      <c r="CI208" s="47">
        <f t="shared" si="736"/>
        <v>-3000</v>
      </c>
      <c r="CJ208" s="47">
        <f t="shared" si="736"/>
        <v>-3000</v>
      </c>
      <c r="CK208" s="47">
        <f t="shared" si="736"/>
        <v>-3000</v>
      </c>
      <c r="CL208" s="47">
        <f t="shared" si="736"/>
        <v>-3000</v>
      </c>
      <c r="CM208" s="47">
        <f t="shared" si="736"/>
        <v>-3000</v>
      </c>
      <c r="CN208" s="47">
        <f t="shared" si="736"/>
        <v>-3000</v>
      </c>
      <c r="CO208" s="47">
        <f t="shared" si="736"/>
        <v>-3000</v>
      </c>
      <c r="CP208" s="47">
        <f t="shared" si="736"/>
        <v>-3000</v>
      </c>
      <c r="CQ208" s="47">
        <f t="shared" si="736"/>
        <v>-3000</v>
      </c>
      <c r="CR208" s="47"/>
      <c r="CS208" s="47"/>
      <c r="CT208" s="47"/>
      <c r="CU208" s="50" t="str">
        <f>IFERROR(__xludf.DUMMYFUNCTION("""COMPUTED_VALUE"""),"for Texas
1075 Griffin St. W.
Dallas, TX 75215        ")</f>
        <v>for Texas
1075 Griffin St. W.
Dallas, TX 75215        </v>
      </c>
      <c r="CV208" s="51">
        <f>IFERROR(__xludf.DUMMYFUNCTION("IF(REGEXMATCH(UPPER(CU208), ""TX""),0,1)"),0.0)</f>
        <v>0</v>
      </c>
      <c r="CW208" s="51">
        <f>IFERROR(__xludf.DUMMYFUNCTION("IF(REGEXMATCH(UPPER(CU208), ""DALLAS""),0,1)"),0.0)</f>
        <v>0</v>
      </c>
      <c r="CX208" s="51">
        <f t="shared" si="17"/>
        <v>0</v>
      </c>
      <c r="CY208" s="51">
        <f t="shared" si="18"/>
        <v>0</v>
      </c>
      <c r="CZ208" s="52" t="str">
        <f t="shared" si="19"/>
        <v/>
      </c>
      <c r="DA208" s="58"/>
      <c r="DB208" s="52"/>
      <c r="DC208" s="52"/>
      <c r="DD208" s="52"/>
      <c r="DE208" s="52"/>
      <c r="DF208" s="52"/>
      <c r="DG208" s="52"/>
      <c r="DH208" s="52"/>
      <c r="DI208" s="52"/>
      <c r="DJ208" s="52"/>
      <c r="DK208" s="52"/>
      <c r="DL208" s="52"/>
      <c r="DM208" s="52"/>
      <c r="DN208" s="52"/>
      <c r="DO208" s="52"/>
      <c r="DP208" s="52"/>
      <c r="DQ208" s="52"/>
      <c r="DR208" s="52"/>
      <c r="DS208" s="52"/>
      <c r="DT208" s="52"/>
      <c r="DU208" s="52"/>
      <c r="DV208" s="52"/>
      <c r="DW208" s="52"/>
    </row>
    <row r="209">
      <c r="A209" s="40" t="s">
        <v>55</v>
      </c>
      <c r="B209" s="41" t="s">
        <v>56</v>
      </c>
      <c r="C209" s="31" t="s">
        <v>603</v>
      </c>
      <c r="D209" s="25" t="str">
        <f>IFERROR(__xludf.DUMMYFUNCTION("SPLIT(C209,"" "")"),"Neill,")</f>
        <v>Neill,</v>
      </c>
      <c r="E209" s="40" t="str">
        <f>IFERROR(__xludf.DUMMYFUNCTION("""COMPUTED_VALUE"""),"John
3629")</f>
        <v>John
3629</v>
      </c>
      <c r="F209" s="40" t="str">
        <f>IFERROR(__xludf.DUMMYFUNCTION("""COMPUTED_VALUE"""),"Greenbrier")</f>
        <v>Greenbrier</v>
      </c>
      <c r="G209" s="40" t="str">
        <f>IFERROR(__xludf.DUMMYFUNCTION("""COMPUTED_VALUE"""),"Dr.
Dallas,")</f>
        <v>Dr.
Dallas,</v>
      </c>
      <c r="H209" s="40" t="str">
        <f>IFERROR(__xludf.DUMMYFUNCTION("""COMPUTED_VALUE"""),"TX")</f>
        <v>TX</v>
      </c>
      <c r="I209" s="40">
        <f>IFERROR(__xludf.DUMMYFUNCTION("""COMPUTED_VALUE"""),75225.0)</f>
        <v>75225</v>
      </c>
      <c r="J209" s="40"/>
      <c r="K209" s="40"/>
      <c r="L209" s="40"/>
      <c r="M209" s="40"/>
      <c r="N209" s="40"/>
      <c r="O209" s="40"/>
      <c r="P209" s="40"/>
      <c r="Q209" s="40"/>
      <c r="R209" s="40"/>
      <c r="S209" s="40"/>
      <c r="T209" s="40"/>
      <c r="U209" s="24" t="str">
        <f>IFERROR(__xludf.DUMMYFUNCTION("SPLIT(E209,""01234567890"")"),"John
")</f>
        <v>John
</v>
      </c>
      <c r="V209" s="24" t="str">
        <f>IFERROR(__xludf.DUMMYFUNCTION("SPLIT(D209,"","")"),"Neill")</f>
        <v>Neill</v>
      </c>
      <c r="W209" s="25" t="str">
        <f t="shared" si="1"/>
        <v>JOHN
 NEILL</v>
      </c>
      <c r="X209" s="25" t="s">
        <v>604</v>
      </c>
      <c r="Y209" s="25">
        <v>75225.0</v>
      </c>
      <c r="Z209" s="25" t="str">
        <f>IFERROR(__xludf.DUMMYFUNCTION("SPLIT(C209,""
"")"),"Neill, John")</f>
        <v>Neill, John</v>
      </c>
      <c r="AA209" s="25" t="str">
        <f>IFERROR(__xludf.DUMMYFUNCTION("""COMPUTED_VALUE"""),"3629 Greenbrier Dr.")</f>
        <v>3629 Greenbrier Dr.</v>
      </c>
      <c r="AB209" s="25" t="str">
        <f>IFERROR(__xludf.DUMMYFUNCTION("""COMPUTED_VALUE"""),"Dallas, TX 75225")</f>
        <v>Dallas, TX 75225</v>
      </c>
      <c r="AC209" s="24" t="s">
        <v>605</v>
      </c>
      <c r="AD209" s="25"/>
      <c r="AE209" s="25"/>
      <c r="AF209" s="25"/>
      <c r="AG209" s="40" t="s">
        <v>60</v>
      </c>
      <c r="AH209" s="42">
        <v>2441.0</v>
      </c>
      <c r="AI209" s="40" t="s">
        <v>61</v>
      </c>
      <c r="AJ209" s="27">
        <v>1000.0</v>
      </c>
      <c r="AK209" s="31" t="s">
        <v>21</v>
      </c>
      <c r="AL209" s="43">
        <v>44732.0</v>
      </c>
      <c r="AM209" s="44">
        <v>44756.4640625</v>
      </c>
      <c r="AN209" s="30">
        <v>2.0</v>
      </c>
      <c r="AO209" s="40"/>
      <c r="AP209" s="40"/>
      <c r="AQ209" s="40"/>
      <c r="AR209" s="40"/>
      <c r="AS209" s="40"/>
      <c r="AT209" s="47"/>
      <c r="AU209" s="40"/>
      <c r="AV209" s="46" t="str">
        <f>IFERROR(__xludf.DUMMYFUNCTION("""COMPUTED_VALUE"""),"Coffman")</f>
        <v>Coffman</v>
      </c>
      <c r="AW209" s="46">
        <f t="shared" si="7"/>
        <v>750</v>
      </c>
      <c r="AX209" s="47">
        <f t="shared" ref="AX209:BQ209" si="737">SUMIFS($AJ:$AJ,$V:$V,$AV209,$AK:$AK,AX$2)</f>
        <v>0</v>
      </c>
      <c r="AY209" s="48">
        <f t="shared" si="737"/>
        <v>0</v>
      </c>
      <c r="AZ209" s="48">
        <f t="shared" si="737"/>
        <v>0</v>
      </c>
      <c r="BA209" s="48">
        <f t="shared" si="737"/>
        <v>0</v>
      </c>
      <c r="BB209" s="48">
        <f t="shared" si="737"/>
        <v>750</v>
      </c>
      <c r="BC209" s="48">
        <f t="shared" si="737"/>
        <v>0</v>
      </c>
      <c r="BD209" s="48">
        <f t="shared" si="737"/>
        <v>0</v>
      </c>
      <c r="BE209" s="48">
        <f t="shared" si="737"/>
        <v>0</v>
      </c>
      <c r="BF209" s="48">
        <f t="shared" si="737"/>
        <v>0</v>
      </c>
      <c r="BG209" s="48">
        <f t="shared" si="737"/>
        <v>0</v>
      </c>
      <c r="BH209" s="48">
        <f t="shared" si="737"/>
        <v>0</v>
      </c>
      <c r="BI209" s="48">
        <f t="shared" si="737"/>
        <v>0</v>
      </c>
      <c r="BJ209" s="48">
        <f t="shared" si="737"/>
        <v>0</v>
      </c>
      <c r="BK209" s="48">
        <f t="shared" si="737"/>
        <v>0</v>
      </c>
      <c r="BL209" s="48">
        <f t="shared" si="737"/>
        <v>0</v>
      </c>
      <c r="BM209" s="48">
        <f t="shared" si="737"/>
        <v>0</v>
      </c>
      <c r="BN209" s="48">
        <f t="shared" si="737"/>
        <v>0</v>
      </c>
      <c r="BO209" s="48">
        <f t="shared" si="737"/>
        <v>0</v>
      </c>
      <c r="BP209" s="48">
        <f t="shared" si="737"/>
        <v>0</v>
      </c>
      <c r="BQ209" s="48">
        <f t="shared" si="737"/>
        <v>0</v>
      </c>
      <c r="BR209" s="36">
        <f t="shared" si="9"/>
        <v>0</v>
      </c>
      <c r="BS209" s="38">
        <f t="shared" si="10"/>
        <v>1</v>
      </c>
      <c r="BT209" s="49">
        <f t="shared" si="11"/>
        <v>0</v>
      </c>
      <c r="BU209" s="38">
        <f t="shared" si="12"/>
        <v>1000</v>
      </c>
      <c r="BV209" s="46" t="str">
        <f>IFERROR(__xludf.DUMMYFUNCTION("""COMPUTED_VALUE"""),"Coffman")</f>
        <v>Coffman</v>
      </c>
      <c r="BW209" s="46">
        <f t="shared" si="13"/>
        <v>750</v>
      </c>
      <c r="BX209" s="47">
        <f t="shared" ref="BX209:CA209" si="738">AX209-$BU209</f>
        <v>-1000</v>
      </c>
      <c r="BY209" s="47">
        <f t="shared" si="738"/>
        <v>-1000</v>
      </c>
      <c r="BZ209" s="47">
        <f t="shared" si="738"/>
        <v>-1000</v>
      </c>
      <c r="CA209" s="47">
        <f t="shared" si="738"/>
        <v>-1000</v>
      </c>
      <c r="CB209" s="47">
        <f t="shared" si="15"/>
        <v>-9250</v>
      </c>
      <c r="CC209" s="47">
        <f t="shared" ref="CC209:CQ209" si="739">BC209-$BU209</f>
        <v>-1000</v>
      </c>
      <c r="CD209" s="47">
        <f t="shared" si="739"/>
        <v>-1000</v>
      </c>
      <c r="CE209" s="47">
        <f t="shared" si="739"/>
        <v>-1000</v>
      </c>
      <c r="CF209" s="47">
        <f t="shared" si="739"/>
        <v>-1000</v>
      </c>
      <c r="CG209" s="47">
        <f t="shared" si="739"/>
        <v>-1000</v>
      </c>
      <c r="CH209" s="47">
        <f t="shared" si="739"/>
        <v>-1000</v>
      </c>
      <c r="CI209" s="47">
        <f t="shared" si="739"/>
        <v>-1000</v>
      </c>
      <c r="CJ209" s="47">
        <f t="shared" si="739"/>
        <v>-1000</v>
      </c>
      <c r="CK209" s="47">
        <f t="shared" si="739"/>
        <v>-1000</v>
      </c>
      <c r="CL209" s="47">
        <f t="shared" si="739"/>
        <v>-1000</v>
      </c>
      <c r="CM209" s="47">
        <f t="shared" si="739"/>
        <v>-1000</v>
      </c>
      <c r="CN209" s="47">
        <f t="shared" si="739"/>
        <v>-1000</v>
      </c>
      <c r="CO209" s="47">
        <f t="shared" si="739"/>
        <v>-1000</v>
      </c>
      <c r="CP209" s="47">
        <f t="shared" si="739"/>
        <v>-1000</v>
      </c>
      <c r="CQ209" s="47">
        <f t="shared" si="739"/>
        <v>-1000</v>
      </c>
      <c r="CR209" s="47"/>
      <c r="CS209" s="47"/>
      <c r="CT209" s="47"/>
      <c r="CU209" s="50" t="str">
        <f>IFERROR(__xludf.DUMMYFUNCTION("""COMPUTED_VALUE"""),"5310 Northmoor Dr.
Dallas, TX 75229          ")</f>
        <v>5310 Northmoor Dr.
Dallas, TX 75229          </v>
      </c>
      <c r="CV209" s="51">
        <f>IFERROR(__xludf.DUMMYFUNCTION("IF(REGEXMATCH(UPPER(CU209), ""TX""),0,1)"),0.0)</f>
        <v>0</v>
      </c>
      <c r="CW209" s="51">
        <f>IFERROR(__xludf.DUMMYFUNCTION("IF(REGEXMATCH(UPPER(CU209), ""DALLAS""),0,1)"),0.0)</f>
        <v>0</v>
      </c>
      <c r="CX209" s="51">
        <f t="shared" si="17"/>
        <v>0</v>
      </c>
      <c r="CY209" s="51">
        <f t="shared" si="18"/>
        <v>0</v>
      </c>
      <c r="CZ209" s="52" t="str">
        <f t="shared" si="19"/>
        <v/>
      </c>
      <c r="DA209" s="58"/>
      <c r="DB209" s="52"/>
      <c r="DC209" s="52"/>
      <c r="DD209" s="52"/>
      <c r="DE209" s="52"/>
      <c r="DF209" s="52"/>
      <c r="DG209" s="52"/>
      <c r="DH209" s="52"/>
      <c r="DI209" s="52"/>
      <c r="DJ209" s="52"/>
      <c r="DK209" s="52"/>
      <c r="DL209" s="52"/>
      <c r="DM209" s="52"/>
      <c r="DN209" s="52"/>
      <c r="DO209" s="52"/>
      <c r="DP209" s="52"/>
      <c r="DQ209" s="52"/>
      <c r="DR209" s="52"/>
      <c r="DS209" s="52"/>
      <c r="DT209" s="52"/>
      <c r="DU209" s="52"/>
      <c r="DV209" s="52"/>
      <c r="DW209" s="52"/>
    </row>
    <row r="210">
      <c r="A210" s="22" t="s">
        <v>55</v>
      </c>
      <c r="B210" s="23" t="s">
        <v>56</v>
      </c>
      <c r="C210" s="31" t="s">
        <v>606</v>
      </c>
      <c r="D210" s="25" t="str">
        <f>IFERROR(__xludf.DUMMYFUNCTION("SPLIT(C210,"" "")"),"Hetzel,")</f>
        <v>Hetzel,</v>
      </c>
      <c r="E210" s="22" t="str">
        <f>IFERROR(__xludf.DUMMYFUNCTION("""COMPUTED_VALUE"""),"Jonathon
7002")</f>
        <v>Jonathon
7002</v>
      </c>
      <c r="F210" s="22" t="str">
        <f>IFERROR(__xludf.DUMMYFUNCTION("""COMPUTED_VALUE"""),"Vivian")</f>
        <v>Vivian</v>
      </c>
      <c r="G210" s="22" t="str">
        <f>IFERROR(__xludf.DUMMYFUNCTION("""COMPUTED_VALUE"""),"Ave.
Dallas,")</f>
        <v>Ave.
Dallas,</v>
      </c>
      <c r="H210" s="22" t="str">
        <f>IFERROR(__xludf.DUMMYFUNCTION("""COMPUTED_VALUE"""),"TX")</f>
        <v>TX</v>
      </c>
      <c r="I210" s="22">
        <f>IFERROR(__xludf.DUMMYFUNCTION("""COMPUTED_VALUE"""),75223.0)</f>
        <v>75223</v>
      </c>
      <c r="J210" s="22"/>
      <c r="K210" s="22"/>
      <c r="L210" s="22"/>
      <c r="M210" s="22"/>
      <c r="N210" s="22"/>
      <c r="O210" s="22"/>
      <c r="P210" s="22"/>
      <c r="Q210" s="22"/>
      <c r="R210" s="22"/>
      <c r="S210" s="22"/>
      <c r="T210" s="22"/>
      <c r="U210" s="24" t="str">
        <f>IFERROR(__xludf.DUMMYFUNCTION("SPLIT(E210,""01234567890"")"),"Jonathon
")</f>
        <v>Jonathon
</v>
      </c>
      <c r="V210" s="24" t="str">
        <f>IFERROR(__xludf.DUMMYFUNCTION("SPLIT(D210,"","")"),"Hetzel")</f>
        <v>Hetzel</v>
      </c>
      <c r="W210" s="25" t="str">
        <f t="shared" si="1"/>
        <v>JONATHON
 HETZEL</v>
      </c>
      <c r="X210" s="25" t="s">
        <v>607</v>
      </c>
      <c r="Y210" s="25">
        <v>75223.0</v>
      </c>
      <c r="Z210" s="25" t="str">
        <f>IFERROR(__xludf.DUMMYFUNCTION("SPLIT(C210,""
"")"),"Hetzel, Jonathon")</f>
        <v>Hetzel, Jonathon</v>
      </c>
      <c r="AA210" s="25" t="str">
        <f>IFERROR(__xludf.DUMMYFUNCTION("""COMPUTED_VALUE"""),"7002 Vivian Ave.")</f>
        <v>7002 Vivian Ave.</v>
      </c>
      <c r="AB210" s="25" t="str">
        <f>IFERROR(__xludf.DUMMYFUNCTION("""COMPUTED_VALUE"""),"Dallas, TX 75223")</f>
        <v>Dallas, TX 75223</v>
      </c>
      <c r="AC210" s="24" t="s">
        <v>608</v>
      </c>
      <c r="AD210" s="25"/>
      <c r="AE210" s="25"/>
      <c r="AF210" s="25"/>
      <c r="AG210" s="22" t="s">
        <v>60</v>
      </c>
      <c r="AH210" s="54">
        <v>2441.0</v>
      </c>
      <c r="AI210" s="22" t="s">
        <v>61</v>
      </c>
      <c r="AJ210" s="27">
        <v>1000.0</v>
      </c>
      <c r="AK210" s="31" t="s">
        <v>21</v>
      </c>
      <c r="AL210" s="28">
        <v>44732.0</v>
      </c>
      <c r="AM210" s="29">
        <v>44756.4640625</v>
      </c>
      <c r="AN210" s="30">
        <v>2.0</v>
      </c>
      <c r="AO210" s="22"/>
      <c r="AP210" s="22"/>
      <c r="AQ210" s="22"/>
      <c r="AR210" s="22"/>
      <c r="AS210" s="22"/>
      <c r="AT210" s="70"/>
      <c r="AU210" s="22"/>
      <c r="AV210" s="57" t="str">
        <f>IFERROR(__xludf.DUMMYFUNCTION("""COMPUTED_VALUE"""),"Wilson")</f>
        <v>Wilson</v>
      </c>
      <c r="AW210" s="46">
        <f t="shared" si="7"/>
        <v>1000</v>
      </c>
      <c r="AX210" s="47">
        <f t="shared" ref="AX210:BQ210" si="740">SUMIFS($AJ:$AJ,$V:$V,$AV210,$AK:$AK,AX$2)</f>
        <v>250</v>
      </c>
      <c r="AY210" s="48">
        <f t="shared" si="740"/>
        <v>0</v>
      </c>
      <c r="AZ210" s="48">
        <f t="shared" si="740"/>
        <v>0</v>
      </c>
      <c r="BA210" s="48">
        <f t="shared" si="740"/>
        <v>250</v>
      </c>
      <c r="BB210" s="48">
        <f t="shared" si="740"/>
        <v>500</v>
      </c>
      <c r="BC210" s="48">
        <f t="shared" si="740"/>
        <v>0</v>
      </c>
      <c r="BD210" s="48">
        <f t="shared" si="740"/>
        <v>0</v>
      </c>
      <c r="BE210" s="48">
        <f t="shared" si="740"/>
        <v>0</v>
      </c>
      <c r="BF210" s="48">
        <f t="shared" si="740"/>
        <v>0</v>
      </c>
      <c r="BG210" s="48">
        <f t="shared" si="740"/>
        <v>0</v>
      </c>
      <c r="BH210" s="48">
        <f t="shared" si="740"/>
        <v>0</v>
      </c>
      <c r="BI210" s="48">
        <f t="shared" si="740"/>
        <v>0</v>
      </c>
      <c r="BJ210" s="48">
        <f t="shared" si="740"/>
        <v>0</v>
      </c>
      <c r="BK210" s="48">
        <f t="shared" si="740"/>
        <v>0</v>
      </c>
      <c r="BL210" s="48">
        <f t="shared" si="740"/>
        <v>0</v>
      </c>
      <c r="BM210" s="48">
        <f t="shared" si="740"/>
        <v>0</v>
      </c>
      <c r="BN210" s="48">
        <f t="shared" si="740"/>
        <v>0</v>
      </c>
      <c r="BO210" s="48">
        <f t="shared" si="740"/>
        <v>0</v>
      </c>
      <c r="BP210" s="48">
        <f t="shared" si="740"/>
        <v>0</v>
      </c>
      <c r="BQ210" s="48">
        <f t="shared" si="740"/>
        <v>0</v>
      </c>
      <c r="BR210" s="36">
        <f t="shared" si="9"/>
        <v>1</v>
      </c>
      <c r="BS210" s="38">
        <f t="shared" si="10"/>
        <v>3</v>
      </c>
      <c r="BT210" s="49">
        <f t="shared" si="11"/>
        <v>0</v>
      </c>
      <c r="BU210" s="38">
        <f t="shared" si="12"/>
        <v>3000</v>
      </c>
      <c r="BV210" s="57" t="str">
        <f>IFERROR(__xludf.DUMMYFUNCTION("""COMPUTED_VALUE"""),"Wilson")</f>
        <v>Wilson</v>
      </c>
      <c r="BW210" s="46">
        <f t="shared" si="13"/>
        <v>1000</v>
      </c>
      <c r="BX210" s="47">
        <f t="shared" ref="BX210:CA210" si="741">AX210-$BU210</f>
        <v>-2750</v>
      </c>
      <c r="BY210" s="47">
        <f t="shared" si="741"/>
        <v>-3000</v>
      </c>
      <c r="BZ210" s="47">
        <f t="shared" si="741"/>
        <v>-3000</v>
      </c>
      <c r="CA210" s="47">
        <f t="shared" si="741"/>
        <v>-2750</v>
      </c>
      <c r="CB210" s="47">
        <f t="shared" si="15"/>
        <v>-29500</v>
      </c>
      <c r="CC210" s="47">
        <f t="shared" ref="CC210:CQ210" si="742">BC210-$BU210</f>
        <v>-3000</v>
      </c>
      <c r="CD210" s="47">
        <f t="shared" si="742"/>
        <v>-3000</v>
      </c>
      <c r="CE210" s="47">
        <f t="shared" si="742"/>
        <v>-3000</v>
      </c>
      <c r="CF210" s="47">
        <f t="shared" si="742"/>
        <v>-3000</v>
      </c>
      <c r="CG210" s="47">
        <f t="shared" si="742"/>
        <v>-3000</v>
      </c>
      <c r="CH210" s="47">
        <f t="shared" si="742"/>
        <v>-3000</v>
      </c>
      <c r="CI210" s="47">
        <f t="shared" si="742"/>
        <v>-3000</v>
      </c>
      <c r="CJ210" s="47">
        <f t="shared" si="742"/>
        <v>-3000</v>
      </c>
      <c r="CK210" s="47">
        <f t="shared" si="742"/>
        <v>-3000</v>
      </c>
      <c r="CL210" s="47">
        <f t="shared" si="742"/>
        <v>-3000</v>
      </c>
      <c r="CM210" s="47">
        <f t="shared" si="742"/>
        <v>-3000</v>
      </c>
      <c r="CN210" s="47">
        <f t="shared" si="742"/>
        <v>-3000</v>
      </c>
      <c r="CO210" s="47">
        <f t="shared" si="742"/>
        <v>-3000</v>
      </c>
      <c r="CP210" s="47">
        <f t="shared" si="742"/>
        <v>-3000</v>
      </c>
      <c r="CQ210" s="47">
        <f t="shared" si="742"/>
        <v>-3000</v>
      </c>
      <c r="CR210" s="47"/>
      <c r="CS210" s="47"/>
      <c r="CT210" s="47"/>
      <c r="CU210" s="50" t="str">
        <f>IFERROR(__xludf.DUMMYFUNCTION("""COMPUTED_VALUE"""),"3210 Carlisle St.
Dallas, TX 75204          ")</f>
        <v>3210 Carlisle St.
Dallas, TX 75204          </v>
      </c>
      <c r="CV210" s="51">
        <f>IFERROR(__xludf.DUMMYFUNCTION("IF(REGEXMATCH(UPPER(CU210), ""TX""),0,1)"),0.0)</f>
        <v>0</v>
      </c>
      <c r="CW210" s="51">
        <f>IFERROR(__xludf.DUMMYFUNCTION("IF(REGEXMATCH(UPPER(CU210), ""DALLAS""),0,1)"),0.0)</f>
        <v>0</v>
      </c>
      <c r="CX210" s="51">
        <f t="shared" si="17"/>
        <v>0</v>
      </c>
      <c r="CY210" s="51">
        <f t="shared" si="18"/>
        <v>0</v>
      </c>
      <c r="CZ210" s="52" t="str">
        <f t="shared" si="19"/>
        <v/>
      </c>
      <c r="DA210" s="58"/>
      <c r="DB210" s="52"/>
      <c r="DC210" s="52"/>
      <c r="DD210" s="52"/>
      <c r="DE210" s="52"/>
      <c r="DF210" s="52"/>
      <c r="DG210" s="52"/>
      <c r="DH210" s="52"/>
      <c r="DI210" s="52"/>
      <c r="DJ210" s="52"/>
      <c r="DK210" s="52"/>
      <c r="DL210" s="52"/>
      <c r="DM210" s="52"/>
      <c r="DN210" s="52"/>
      <c r="DO210" s="52"/>
      <c r="DP210" s="52"/>
      <c r="DQ210" s="52"/>
      <c r="DR210" s="52"/>
      <c r="DS210" s="52"/>
      <c r="DT210" s="52"/>
      <c r="DU210" s="52"/>
      <c r="DV210" s="52"/>
      <c r="DW210" s="52"/>
    </row>
    <row r="211">
      <c r="A211" s="40" t="s">
        <v>55</v>
      </c>
      <c r="B211" s="41" t="s">
        <v>56</v>
      </c>
      <c r="C211" s="31" t="s">
        <v>609</v>
      </c>
      <c r="D211" s="25" t="str">
        <f>IFERROR(__xludf.DUMMYFUNCTION("SPLIT(C211,"" "")"),"Raymond,")</f>
        <v>Raymond,</v>
      </c>
      <c r="E211" s="40" t="str">
        <f>IFERROR(__xludf.DUMMYFUNCTION("""COMPUTED_VALUE"""),"Kellye
1001")</f>
        <v>Kellye
1001</v>
      </c>
      <c r="F211" s="40" t="str">
        <f>IFERROR(__xludf.DUMMYFUNCTION("""COMPUTED_VALUE"""),"W.")</f>
        <v>W.</v>
      </c>
      <c r="G211" s="40" t="str">
        <f>IFERROR(__xludf.DUMMYFUNCTION("""COMPUTED_VALUE"""),"10th")</f>
        <v>10th</v>
      </c>
      <c r="H211" s="40" t="str">
        <f>IFERROR(__xludf.DUMMYFUNCTION("""COMPUTED_VALUE"""),"St.
Dallas,")</f>
        <v>St.
Dallas,</v>
      </c>
      <c r="I211" s="40" t="str">
        <f>IFERROR(__xludf.DUMMYFUNCTION("""COMPUTED_VALUE"""),"TX")</f>
        <v>TX</v>
      </c>
      <c r="J211" s="40">
        <f>IFERROR(__xludf.DUMMYFUNCTION("""COMPUTED_VALUE"""),75208.0)</f>
        <v>75208</v>
      </c>
      <c r="K211" s="40"/>
      <c r="L211" s="40"/>
      <c r="M211" s="40"/>
      <c r="N211" s="40"/>
      <c r="O211" s="40"/>
      <c r="P211" s="40"/>
      <c r="Q211" s="40"/>
      <c r="R211" s="40"/>
      <c r="S211" s="40"/>
      <c r="T211" s="40"/>
      <c r="U211" s="24" t="str">
        <f>IFERROR(__xludf.DUMMYFUNCTION("SPLIT(E211,""01234567890"")"),"Kellye
")</f>
        <v>Kellye
</v>
      </c>
      <c r="V211" s="24" t="str">
        <f>IFERROR(__xludf.DUMMYFUNCTION("SPLIT(D211,"","")"),"Raymond")</f>
        <v>Raymond</v>
      </c>
      <c r="W211" s="25" t="str">
        <f t="shared" si="1"/>
        <v>KELLYE
 RAYMOND</v>
      </c>
      <c r="X211" s="25" t="s">
        <v>610</v>
      </c>
      <c r="Y211" s="25">
        <v>10.0</v>
      </c>
      <c r="Z211" s="25" t="str">
        <f>IFERROR(__xludf.DUMMYFUNCTION("SPLIT(C211,""
"")"),"Raymond, Kellye")</f>
        <v>Raymond, Kellye</v>
      </c>
      <c r="AA211" s="25" t="str">
        <f>IFERROR(__xludf.DUMMYFUNCTION("""COMPUTED_VALUE"""),"1001 W. 10th St.")</f>
        <v>1001 W. 10th St.</v>
      </c>
      <c r="AB211" s="25" t="str">
        <f>IFERROR(__xludf.DUMMYFUNCTION("""COMPUTED_VALUE"""),"Dallas, TX 75208")</f>
        <v>Dallas, TX 75208</v>
      </c>
      <c r="AC211" s="24" t="s">
        <v>611</v>
      </c>
      <c r="AD211" s="25"/>
      <c r="AE211" s="25"/>
      <c r="AF211" s="25"/>
      <c r="AG211" s="40" t="s">
        <v>60</v>
      </c>
      <c r="AH211" s="42">
        <v>2441.0</v>
      </c>
      <c r="AI211" s="40" t="s">
        <v>61</v>
      </c>
      <c r="AJ211" s="27">
        <v>100.0</v>
      </c>
      <c r="AK211" s="31" t="s">
        <v>21</v>
      </c>
      <c r="AL211" s="43">
        <v>44732.0</v>
      </c>
      <c r="AM211" s="44">
        <v>44756.4640625</v>
      </c>
      <c r="AN211" s="30">
        <v>2.0</v>
      </c>
      <c r="AO211" s="40"/>
      <c r="AP211" s="40"/>
      <c r="AQ211" s="40"/>
      <c r="AR211" s="40"/>
      <c r="AS211" s="40"/>
      <c r="AT211" s="47"/>
      <c r="AU211" s="40"/>
      <c r="AV211" s="46" t="str">
        <f>IFERROR(__xludf.DUMMYFUNCTION("""COMPUTED_VALUE"""),"Carter")</f>
        <v>Carter</v>
      </c>
      <c r="AW211" s="46">
        <f t="shared" si="7"/>
        <v>1250</v>
      </c>
      <c r="AX211" s="47">
        <f t="shared" ref="AX211:BQ211" si="743">SUMIFS($AJ:$AJ,$V:$V,$AV211,$AK:$AK,AX$2)</f>
        <v>0</v>
      </c>
      <c r="AY211" s="48">
        <f t="shared" si="743"/>
        <v>0</v>
      </c>
      <c r="AZ211" s="48">
        <f t="shared" si="743"/>
        <v>0</v>
      </c>
      <c r="BA211" s="48">
        <f t="shared" si="743"/>
        <v>0</v>
      </c>
      <c r="BB211" s="48">
        <f t="shared" si="743"/>
        <v>1250</v>
      </c>
      <c r="BC211" s="48">
        <f t="shared" si="743"/>
        <v>0</v>
      </c>
      <c r="BD211" s="48">
        <f t="shared" si="743"/>
        <v>0</v>
      </c>
      <c r="BE211" s="48">
        <f t="shared" si="743"/>
        <v>0</v>
      </c>
      <c r="BF211" s="48">
        <f t="shared" si="743"/>
        <v>0</v>
      </c>
      <c r="BG211" s="48">
        <f t="shared" si="743"/>
        <v>0</v>
      </c>
      <c r="BH211" s="48">
        <f t="shared" si="743"/>
        <v>0</v>
      </c>
      <c r="BI211" s="48">
        <f t="shared" si="743"/>
        <v>0</v>
      </c>
      <c r="BJ211" s="48">
        <f t="shared" si="743"/>
        <v>0</v>
      </c>
      <c r="BK211" s="48">
        <f t="shared" si="743"/>
        <v>0</v>
      </c>
      <c r="BL211" s="48">
        <f t="shared" si="743"/>
        <v>0</v>
      </c>
      <c r="BM211" s="48">
        <f t="shared" si="743"/>
        <v>0</v>
      </c>
      <c r="BN211" s="48">
        <f t="shared" si="743"/>
        <v>0</v>
      </c>
      <c r="BO211" s="48">
        <f t="shared" si="743"/>
        <v>0</v>
      </c>
      <c r="BP211" s="48">
        <f t="shared" si="743"/>
        <v>0</v>
      </c>
      <c r="BQ211" s="48">
        <f t="shared" si="743"/>
        <v>0</v>
      </c>
      <c r="BR211" s="36">
        <f t="shared" si="9"/>
        <v>1</v>
      </c>
      <c r="BS211" s="38">
        <f t="shared" si="10"/>
        <v>2</v>
      </c>
      <c r="BT211" s="49">
        <f t="shared" si="11"/>
        <v>0</v>
      </c>
      <c r="BU211" s="38">
        <f t="shared" si="12"/>
        <v>2000</v>
      </c>
      <c r="BV211" s="46" t="str">
        <f>IFERROR(__xludf.DUMMYFUNCTION("""COMPUTED_VALUE"""),"Carter")</f>
        <v>Carter</v>
      </c>
      <c r="BW211" s="46">
        <f t="shared" si="13"/>
        <v>1250</v>
      </c>
      <c r="BX211" s="47">
        <f t="shared" ref="BX211:CA211" si="744">AX211-$BU211</f>
        <v>-2000</v>
      </c>
      <c r="BY211" s="47">
        <f t="shared" si="744"/>
        <v>-2000</v>
      </c>
      <c r="BZ211" s="47">
        <f t="shared" si="744"/>
        <v>-2000</v>
      </c>
      <c r="CA211" s="47">
        <f t="shared" si="744"/>
        <v>-2000</v>
      </c>
      <c r="CB211" s="47">
        <f t="shared" si="15"/>
        <v>-18750</v>
      </c>
      <c r="CC211" s="47">
        <f t="shared" ref="CC211:CQ211" si="745">BC211-$BU211</f>
        <v>-2000</v>
      </c>
      <c r="CD211" s="47">
        <f t="shared" si="745"/>
        <v>-2000</v>
      </c>
      <c r="CE211" s="47">
        <f t="shared" si="745"/>
        <v>-2000</v>
      </c>
      <c r="CF211" s="47">
        <f t="shared" si="745"/>
        <v>-2000</v>
      </c>
      <c r="CG211" s="47">
        <f t="shared" si="745"/>
        <v>-2000</v>
      </c>
      <c r="CH211" s="47">
        <f t="shared" si="745"/>
        <v>-2000</v>
      </c>
      <c r="CI211" s="47">
        <f t="shared" si="745"/>
        <v>-2000</v>
      </c>
      <c r="CJ211" s="47">
        <f t="shared" si="745"/>
        <v>-2000</v>
      </c>
      <c r="CK211" s="47">
        <f t="shared" si="745"/>
        <v>-2000</v>
      </c>
      <c r="CL211" s="47">
        <f t="shared" si="745"/>
        <v>-2000</v>
      </c>
      <c r="CM211" s="47">
        <f t="shared" si="745"/>
        <v>-2000</v>
      </c>
      <c r="CN211" s="47">
        <f t="shared" si="745"/>
        <v>-2000</v>
      </c>
      <c r="CO211" s="47">
        <f t="shared" si="745"/>
        <v>-2000</v>
      </c>
      <c r="CP211" s="47">
        <f t="shared" si="745"/>
        <v>-2000</v>
      </c>
      <c r="CQ211" s="47">
        <f t="shared" si="745"/>
        <v>-2000</v>
      </c>
      <c r="CR211" s="47"/>
      <c r="CS211" s="47"/>
      <c r="CT211" s="47"/>
      <c r="CU211" s="50" t="str">
        <f>IFERROR(__xludf.DUMMYFUNCTION("""COMPUTED_VALUE"""),"4914 Keyhole Ln.
Dallas, TX 75229          ")</f>
        <v>4914 Keyhole Ln.
Dallas, TX 75229          </v>
      </c>
      <c r="CV211" s="51">
        <f>IFERROR(__xludf.DUMMYFUNCTION("IF(REGEXMATCH(UPPER(CU211), ""TX""),0,1)"),0.0)</f>
        <v>0</v>
      </c>
      <c r="CW211" s="51">
        <f>IFERROR(__xludf.DUMMYFUNCTION("IF(REGEXMATCH(UPPER(CU211), ""DALLAS""),0,1)"),0.0)</f>
        <v>0</v>
      </c>
      <c r="CX211" s="51">
        <f t="shared" si="17"/>
        <v>0</v>
      </c>
      <c r="CY211" s="51">
        <f t="shared" si="18"/>
        <v>0</v>
      </c>
      <c r="CZ211" s="52" t="str">
        <f t="shared" si="19"/>
        <v/>
      </c>
      <c r="DA211" s="58"/>
      <c r="DB211" s="52"/>
      <c r="DC211" s="52"/>
      <c r="DD211" s="52"/>
      <c r="DE211" s="52"/>
      <c r="DF211" s="52"/>
      <c r="DG211" s="52"/>
      <c r="DH211" s="52"/>
      <c r="DI211" s="52"/>
      <c r="DJ211" s="52"/>
      <c r="DK211" s="52"/>
      <c r="DL211" s="52"/>
      <c r="DM211" s="52"/>
      <c r="DN211" s="52"/>
      <c r="DO211" s="52"/>
      <c r="DP211" s="52"/>
      <c r="DQ211" s="52"/>
      <c r="DR211" s="52"/>
      <c r="DS211" s="52"/>
      <c r="DT211" s="52"/>
      <c r="DU211" s="52"/>
      <c r="DV211" s="52"/>
      <c r="DW211" s="52"/>
    </row>
    <row r="212">
      <c r="A212" s="22" t="s">
        <v>55</v>
      </c>
      <c r="B212" s="23" t="s">
        <v>56</v>
      </c>
      <c r="C212" s="31" t="s">
        <v>612</v>
      </c>
      <c r="D212" s="25" t="str">
        <f>IFERROR(__xludf.DUMMYFUNCTION("SPLIT(C212,"" "")"),"Rachel,")</f>
        <v>Rachel,</v>
      </c>
      <c r="E212" s="22" t="str">
        <f>IFERROR(__xludf.DUMMYFUNCTION("""COMPUTED_VALUE"""),"Kevin
1642")</f>
        <v>Kevin
1642</v>
      </c>
      <c r="F212" s="22" t="str">
        <f>IFERROR(__xludf.DUMMYFUNCTION("""COMPUTED_VALUE"""),"Kessler")</f>
        <v>Kessler</v>
      </c>
      <c r="G212" s="22" t="str">
        <f>IFERROR(__xludf.DUMMYFUNCTION("""COMPUTED_VALUE"""),"Ct.
Dallas,")</f>
        <v>Ct.
Dallas,</v>
      </c>
      <c r="H212" s="22" t="str">
        <f>IFERROR(__xludf.DUMMYFUNCTION("""COMPUTED_VALUE"""),"TX")</f>
        <v>TX</v>
      </c>
      <c r="I212" s="22">
        <f>IFERROR(__xludf.DUMMYFUNCTION("""COMPUTED_VALUE"""),75208.0)</f>
        <v>75208</v>
      </c>
      <c r="J212" s="22"/>
      <c r="K212" s="22"/>
      <c r="L212" s="22"/>
      <c r="M212" s="22"/>
      <c r="N212" s="22"/>
      <c r="O212" s="22"/>
      <c r="P212" s="22"/>
      <c r="Q212" s="22"/>
      <c r="R212" s="22"/>
      <c r="S212" s="22"/>
      <c r="T212" s="22"/>
      <c r="U212" s="24" t="str">
        <f>IFERROR(__xludf.DUMMYFUNCTION("SPLIT(E212,""01234567890"")"),"Kevin
")</f>
        <v>Kevin
</v>
      </c>
      <c r="V212" s="24" t="str">
        <f>IFERROR(__xludf.DUMMYFUNCTION("SPLIT(D212,"","")"),"Rachel")</f>
        <v>Rachel</v>
      </c>
      <c r="W212" s="25" t="str">
        <f t="shared" si="1"/>
        <v>KEVIN
 RACHEL</v>
      </c>
      <c r="X212" s="25" t="s">
        <v>613</v>
      </c>
      <c r="Y212" s="25">
        <v>75208.0</v>
      </c>
      <c r="Z212" s="25" t="str">
        <f>IFERROR(__xludf.DUMMYFUNCTION("SPLIT(C212,""
"")"),"Rachel, Kevin")</f>
        <v>Rachel, Kevin</v>
      </c>
      <c r="AA212" s="25" t="str">
        <f>IFERROR(__xludf.DUMMYFUNCTION("""COMPUTED_VALUE"""),"1642 Kessler Ct.")</f>
        <v>1642 Kessler Ct.</v>
      </c>
      <c r="AB212" s="25" t="str">
        <f>IFERROR(__xludf.DUMMYFUNCTION("""COMPUTED_VALUE"""),"Dallas, TX 75208")</f>
        <v>Dallas, TX 75208</v>
      </c>
      <c r="AC212" s="24" t="s">
        <v>614</v>
      </c>
      <c r="AD212" s="25"/>
      <c r="AE212" s="25"/>
      <c r="AF212" s="25"/>
      <c r="AG212" s="22" t="s">
        <v>60</v>
      </c>
      <c r="AH212" s="54">
        <v>2441.0</v>
      </c>
      <c r="AI212" s="22" t="s">
        <v>61</v>
      </c>
      <c r="AJ212" s="27">
        <v>250.0</v>
      </c>
      <c r="AK212" s="31" t="s">
        <v>21</v>
      </c>
      <c r="AL212" s="28">
        <v>44732.0</v>
      </c>
      <c r="AM212" s="29">
        <v>44756.4640625</v>
      </c>
      <c r="AN212" s="30">
        <v>2.0</v>
      </c>
      <c r="AO212" s="22"/>
      <c r="AP212" s="22"/>
      <c r="AQ212" s="22"/>
      <c r="AR212" s="22"/>
      <c r="AS212" s="22"/>
      <c r="AT212" s="70"/>
      <c r="AU212" s="22"/>
      <c r="AV212" s="57" t="str">
        <f>IFERROR(__xludf.DUMMYFUNCTION("""COMPUTED_VALUE"""),"McDougal")</f>
        <v>McDougal</v>
      </c>
      <c r="AW212" s="46">
        <f t="shared" si="7"/>
        <v>350</v>
      </c>
      <c r="AX212" s="47">
        <f t="shared" ref="AX212:BQ212" si="746">SUMIFS($AJ:$AJ,$V:$V,$AV212,$AK:$AK,AX$2)</f>
        <v>0</v>
      </c>
      <c r="AY212" s="48">
        <f t="shared" si="746"/>
        <v>0</v>
      </c>
      <c r="AZ212" s="48">
        <f t="shared" si="746"/>
        <v>0</v>
      </c>
      <c r="BA212" s="48">
        <f t="shared" si="746"/>
        <v>0</v>
      </c>
      <c r="BB212" s="48">
        <f t="shared" si="746"/>
        <v>350</v>
      </c>
      <c r="BC212" s="48">
        <f t="shared" si="746"/>
        <v>0</v>
      </c>
      <c r="BD212" s="48">
        <f t="shared" si="746"/>
        <v>0</v>
      </c>
      <c r="BE212" s="48">
        <f t="shared" si="746"/>
        <v>0</v>
      </c>
      <c r="BF212" s="48">
        <f t="shared" si="746"/>
        <v>0</v>
      </c>
      <c r="BG212" s="48">
        <f t="shared" si="746"/>
        <v>0</v>
      </c>
      <c r="BH212" s="48">
        <f t="shared" si="746"/>
        <v>0</v>
      </c>
      <c r="BI212" s="48">
        <f t="shared" si="746"/>
        <v>0</v>
      </c>
      <c r="BJ212" s="48">
        <f t="shared" si="746"/>
        <v>0</v>
      </c>
      <c r="BK212" s="48">
        <f t="shared" si="746"/>
        <v>0</v>
      </c>
      <c r="BL212" s="48">
        <f t="shared" si="746"/>
        <v>0</v>
      </c>
      <c r="BM212" s="48">
        <f t="shared" si="746"/>
        <v>0</v>
      </c>
      <c r="BN212" s="48">
        <f t="shared" si="746"/>
        <v>0</v>
      </c>
      <c r="BO212" s="48">
        <f t="shared" si="746"/>
        <v>0</v>
      </c>
      <c r="BP212" s="48">
        <f t="shared" si="746"/>
        <v>0</v>
      </c>
      <c r="BQ212" s="48">
        <f t="shared" si="746"/>
        <v>0</v>
      </c>
      <c r="BR212" s="36">
        <f t="shared" si="9"/>
        <v>0</v>
      </c>
      <c r="BS212" s="38">
        <f t="shared" si="10"/>
        <v>1</v>
      </c>
      <c r="BT212" s="49">
        <f t="shared" si="11"/>
        <v>0</v>
      </c>
      <c r="BU212" s="38">
        <f t="shared" si="12"/>
        <v>1000</v>
      </c>
      <c r="BV212" s="57" t="str">
        <f>IFERROR(__xludf.DUMMYFUNCTION("""COMPUTED_VALUE"""),"McDougal")</f>
        <v>McDougal</v>
      </c>
      <c r="BW212" s="46">
        <f t="shared" si="13"/>
        <v>350</v>
      </c>
      <c r="BX212" s="47">
        <f t="shared" ref="BX212:CA212" si="747">AX212-$BU212</f>
        <v>-1000</v>
      </c>
      <c r="BY212" s="47">
        <f t="shared" si="747"/>
        <v>-1000</v>
      </c>
      <c r="BZ212" s="47">
        <f t="shared" si="747"/>
        <v>-1000</v>
      </c>
      <c r="CA212" s="47">
        <f t="shared" si="747"/>
        <v>-1000</v>
      </c>
      <c r="CB212" s="47">
        <f t="shared" si="15"/>
        <v>-9650</v>
      </c>
      <c r="CC212" s="47">
        <f t="shared" ref="CC212:CQ212" si="748">BC212-$BU212</f>
        <v>-1000</v>
      </c>
      <c r="CD212" s="47">
        <f t="shared" si="748"/>
        <v>-1000</v>
      </c>
      <c r="CE212" s="47">
        <f t="shared" si="748"/>
        <v>-1000</v>
      </c>
      <c r="CF212" s="47">
        <f t="shared" si="748"/>
        <v>-1000</v>
      </c>
      <c r="CG212" s="47">
        <f t="shared" si="748"/>
        <v>-1000</v>
      </c>
      <c r="CH212" s="47">
        <f t="shared" si="748"/>
        <v>-1000</v>
      </c>
      <c r="CI212" s="47">
        <f t="shared" si="748"/>
        <v>-1000</v>
      </c>
      <c r="CJ212" s="47">
        <f t="shared" si="748"/>
        <v>-1000</v>
      </c>
      <c r="CK212" s="47">
        <f t="shared" si="748"/>
        <v>-1000</v>
      </c>
      <c r="CL212" s="47">
        <f t="shared" si="748"/>
        <v>-1000</v>
      </c>
      <c r="CM212" s="47">
        <f t="shared" si="748"/>
        <v>-1000</v>
      </c>
      <c r="CN212" s="47">
        <f t="shared" si="748"/>
        <v>-1000</v>
      </c>
      <c r="CO212" s="47">
        <f t="shared" si="748"/>
        <v>-1000</v>
      </c>
      <c r="CP212" s="47">
        <f t="shared" si="748"/>
        <v>-1000</v>
      </c>
      <c r="CQ212" s="47">
        <f t="shared" si="748"/>
        <v>-1000</v>
      </c>
      <c r="CR212" s="47"/>
      <c r="CS212" s="47"/>
      <c r="CT212" s="47"/>
      <c r="CU212" s="50" t="str">
        <f>IFERROR(__xludf.DUMMYFUNCTION("""COMPUTED_VALUE"""),"4433 Westway Ave.
Dallas, TX 75205          ")</f>
        <v>4433 Westway Ave.
Dallas, TX 75205          </v>
      </c>
      <c r="CV212" s="51">
        <f>IFERROR(__xludf.DUMMYFUNCTION("IF(REGEXMATCH(UPPER(CU212), ""TX""),0,1)"),0.0)</f>
        <v>0</v>
      </c>
      <c r="CW212" s="51">
        <f>IFERROR(__xludf.DUMMYFUNCTION("IF(REGEXMATCH(UPPER(CU212), ""DALLAS""),0,1)"),0.0)</f>
        <v>0</v>
      </c>
      <c r="CX212" s="51">
        <f t="shared" si="17"/>
        <v>0</v>
      </c>
      <c r="CY212" s="51">
        <f t="shared" si="18"/>
        <v>0</v>
      </c>
      <c r="CZ212" s="52" t="str">
        <f t="shared" si="19"/>
        <v/>
      </c>
      <c r="DA212" s="58"/>
      <c r="DB212" s="52"/>
      <c r="DC212" s="52"/>
      <c r="DD212" s="52"/>
      <c r="DE212" s="52"/>
      <c r="DF212" s="52"/>
      <c r="DG212" s="52"/>
      <c r="DH212" s="52"/>
      <c r="DI212" s="52"/>
      <c r="DJ212" s="52"/>
      <c r="DK212" s="52"/>
      <c r="DL212" s="52"/>
      <c r="DM212" s="52"/>
      <c r="DN212" s="52"/>
      <c r="DO212" s="52"/>
      <c r="DP212" s="52"/>
      <c r="DQ212" s="52"/>
      <c r="DR212" s="52"/>
      <c r="DS212" s="52"/>
      <c r="DT212" s="52"/>
      <c r="DU212" s="52"/>
      <c r="DV212" s="52"/>
      <c r="DW212" s="52"/>
    </row>
    <row r="213">
      <c r="A213" s="40" t="s">
        <v>55</v>
      </c>
      <c r="B213" s="41" t="s">
        <v>56</v>
      </c>
      <c r="C213" s="31" t="s">
        <v>615</v>
      </c>
      <c r="D213" s="25" t="str">
        <f>IFERROR(__xludf.DUMMYFUNCTION("SPLIT(C213,"" "")"),"Vineyard,")</f>
        <v>Vineyard,</v>
      </c>
      <c r="E213" s="40" t="str">
        <f>IFERROR(__xludf.DUMMYFUNCTION("""COMPUTED_VALUE"""),"Lawrence
11436")</f>
        <v>Lawrence
11436</v>
      </c>
      <c r="F213" s="40" t="str">
        <f>IFERROR(__xludf.DUMMYFUNCTION("""COMPUTED_VALUE"""),"Strait")</f>
        <v>Strait</v>
      </c>
      <c r="G213" s="40" t="str">
        <f>IFERROR(__xludf.DUMMYFUNCTION("""COMPUTED_VALUE"""),"Ln.
Dallas,")</f>
        <v>Ln.
Dallas,</v>
      </c>
      <c r="H213" s="40" t="str">
        <f>IFERROR(__xludf.DUMMYFUNCTION("""COMPUTED_VALUE"""),"TX")</f>
        <v>TX</v>
      </c>
      <c r="I213" s="40">
        <f>IFERROR(__xludf.DUMMYFUNCTION("""COMPUTED_VALUE"""),75229.0)</f>
        <v>75229</v>
      </c>
      <c r="J213" s="40"/>
      <c r="K213" s="40"/>
      <c r="L213" s="40"/>
      <c r="M213" s="40"/>
      <c r="N213" s="40"/>
      <c r="O213" s="40"/>
      <c r="P213" s="40"/>
      <c r="Q213" s="40"/>
      <c r="R213" s="40"/>
      <c r="S213" s="40"/>
      <c r="T213" s="40"/>
      <c r="U213" s="24" t="str">
        <f>IFERROR(__xludf.DUMMYFUNCTION("SPLIT(E213,""01234567890"")"),"Lawrence
")</f>
        <v>Lawrence
</v>
      </c>
      <c r="V213" s="24" t="str">
        <f>IFERROR(__xludf.DUMMYFUNCTION("SPLIT(D213,"","")"),"Vineyard")</f>
        <v>Vineyard</v>
      </c>
      <c r="W213" s="25" t="str">
        <f t="shared" si="1"/>
        <v>LAWRENCE
 VINEYARD</v>
      </c>
      <c r="X213" s="25" t="s">
        <v>616</v>
      </c>
      <c r="Y213" s="25">
        <v>75229.0</v>
      </c>
      <c r="Z213" s="25" t="str">
        <f>IFERROR(__xludf.DUMMYFUNCTION("SPLIT(C213,""
"")"),"Vineyard, Lawrence")</f>
        <v>Vineyard, Lawrence</v>
      </c>
      <c r="AA213" s="25" t="str">
        <f>IFERROR(__xludf.DUMMYFUNCTION("""COMPUTED_VALUE"""),"11436 Strait Ln.")</f>
        <v>11436 Strait Ln.</v>
      </c>
      <c r="AB213" s="25" t="str">
        <f>IFERROR(__xludf.DUMMYFUNCTION("""COMPUTED_VALUE"""),"Dallas, TX 75229")</f>
        <v>Dallas, TX 75229</v>
      </c>
      <c r="AC213" s="24" t="s">
        <v>617</v>
      </c>
      <c r="AD213" s="25"/>
      <c r="AE213" s="25"/>
      <c r="AF213" s="25"/>
      <c r="AG213" s="40" t="s">
        <v>60</v>
      </c>
      <c r="AH213" s="42">
        <v>2441.0</v>
      </c>
      <c r="AI213" s="40" t="s">
        <v>61</v>
      </c>
      <c r="AJ213" s="27">
        <v>500.0</v>
      </c>
      <c r="AK213" s="31" t="s">
        <v>21</v>
      </c>
      <c r="AL213" s="43">
        <v>44732.0</v>
      </c>
      <c r="AM213" s="44">
        <v>44756.4640625</v>
      </c>
      <c r="AN213" s="30">
        <v>2.0</v>
      </c>
      <c r="AO213" s="40"/>
      <c r="AP213" s="40"/>
      <c r="AQ213" s="40"/>
      <c r="AR213" s="40"/>
      <c r="AS213" s="40"/>
      <c r="AT213" s="47"/>
      <c r="AU213" s="40"/>
      <c r="AV213" s="46" t="str">
        <f>IFERROR(__xludf.DUMMYFUNCTION("""COMPUTED_VALUE"""),"Smith")</f>
        <v>Smith</v>
      </c>
      <c r="AW213" s="46">
        <f t="shared" si="7"/>
        <v>2950</v>
      </c>
      <c r="AX213" s="47">
        <f t="shared" ref="AX213:BQ213" si="749">SUMIFS($AJ:$AJ,$V:$V,$AV213,$AK:$AK,AX$2)</f>
        <v>0</v>
      </c>
      <c r="AY213" s="48">
        <f t="shared" si="749"/>
        <v>0</v>
      </c>
      <c r="AZ213" s="48">
        <f t="shared" si="749"/>
        <v>0</v>
      </c>
      <c r="BA213" s="48">
        <f t="shared" si="749"/>
        <v>300</v>
      </c>
      <c r="BB213" s="48">
        <f t="shared" si="749"/>
        <v>1500</v>
      </c>
      <c r="BC213" s="48">
        <f t="shared" si="749"/>
        <v>0</v>
      </c>
      <c r="BD213" s="48">
        <f t="shared" si="749"/>
        <v>100</v>
      </c>
      <c r="BE213" s="48">
        <f t="shared" si="749"/>
        <v>0</v>
      </c>
      <c r="BF213" s="48">
        <f t="shared" si="749"/>
        <v>0</v>
      </c>
      <c r="BG213" s="48">
        <f t="shared" si="749"/>
        <v>800</v>
      </c>
      <c r="BH213" s="48">
        <f t="shared" si="749"/>
        <v>250</v>
      </c>
      <c r="BI213" s="48">
        <f t="shared" si="749"/>
        <v>0</v>
      </c>
      <c r="BJ213" s="48">
        <f t="shared" si="749"/>
        <v>0</v>
      </c>
      <c r="BK213" s="48">
        <f t="shared" si="749"/>
        <v>0</v>
      </c>
      <c r="BL213" s="48">
        <f t="shared" si="749"/>
        <v>0</v>
      </c>
      <c r="BM213" s="48">
        <f t="shared" si="749"/>
        <v>0</v>
      </c>
      <c r="BN213" s="48">
        <f t="shared" si="749"/>
        <v>0</v>
      </c>
      <c r="BO213" s="48">
        <f t="shared" si="749"/>
        <v>0</v>
      </c>
      <c r="BP213" s="48">
        <f t="shared" si="749"/>
        <v>0</v>
      </c>
      <c r="BQ213" s="48">
        <f t="shared" si="749"/>
        <v>0</v>
      </c>
      <c r="BR213" s="36">
        <f t="shared" si="9"/>
        <v>1</v>
      </c>
      <c r="BS213" s="38">
        <f t="shared" si="10"/>
        <v>7</v>
      </c>
      <c r="BT213" s="49">
        <f t="shared" si="11"/>
        <v>0</v>
      </c>
      <c r="BU213" s="38">
        <f t="shared" si="12"/>
        <v>7000</v>
      </c>
      <c r="BV213" s="46" t="str">
        <f>IFERROR(__xludf.DUMMYFUNCTION("""COMPUTED_VALUE"""),"Smith")</f>
        <v>Smith</v>
      </c>
      <c r="BW213" s="46">
        <f t="shared" si="13"/>
        <v>2950</v>
      </c>
      <c r="BX213" s="47">
        <f t="shared" ref="BX213:CA213" si="750">AX213-$BU213</f>
        <v>-7000</v>
      </c>
      <c r="BY213" s="47">
        <f t="shared" si="750"/>
        <v>-7000</v>
      </c>
      <c r="BZ213" s="47">
        <f t="shared" si="750"/>
        <v>-7000</v>
      </c>
      <c r="CA213" s="47">
        <f t="shared" si="750"/>
        <v>-6700</v>
      </c>
      <c r="CB213" s="47">
        <f t="shared" si="15"/>
        <v>-68500</v>
      </c>
      <c r="CC213" s="47">
        <f t="shared" ref="CC213:CQ213" si="751">BC213-$BU213</f>
        <v>-7000</v>
      </c>
      <c r="CD213" s="47">
        <f t="shared" si="751"/>
        <v>-6900</v>
      </c>
      <c r="CE213" s="47">
        <f t="shared" si="751"/>
        <v>-7000</v>
      </c>
      <c r="CF213" s="47">
        <f t="shared" si="751"/>
        <v>-7000</v>
      </c>
      <c r="CG213" s="47">
        <f t="shared" si="751"/>
        <v>-6200</v>
      </c>
      <c r="CH213" s="47">
        <f t="shared" si="751"/>
        <v>-6750</v>
      </c>
      <c r="CI213" s="47">
        <f t="shared" si="751"/>
        <v>-7000</v>
      </c>
      <c r="CJ213" s="47">
        <f t="shared" si="751"/>
        <v>-7000</v>
      </c>
      <c r="CK213" s="47">
        <f t="shared" si="751"/>
        <v>-7000</v>
      </c>
      <c r="CL213" s="47">
        <f t="shared" si="751"/>
        <v>-7000</v>
      </c>
      <c r="CM213" s="47">
        <f t="shared" si="751"/>
        <v>-7000</v>
      </c>
      <c r="CN213" s="47">
        <f t="shared" si="751"/>
        <v>-7000</v>
      </c>
      <c r="CO213" s="47">
        <f t="shared" si="751"/>
        <v>-7000</v>
      </c>
      <c r="CP213" s="47">
        <f t="shared" si="751"/>
        <v>-7000</v>
      </c>
      <c r="CQ213" s="47">
        <f t="shared" si="751"/>
        <v>-7000</v>
      </c>
      <c r="CR213" s="47"/>
      <c r="CS213" s="47"/>
      <c r="CT213" s="47"/>
      <c r="CU213" s="50" t="str">
        <f>IFERROR(__xludf.DUMMYFUNCTION("""COMPUTED_VALUE"""),"815 W. Greenbriar Ln.
Dallas, TX 75208         ")</f>
        <v>815 W. Greenbriar Ln.
Dallas, TX 75208         </v>
      </c>
      <c r="CV213" s="51">
        <f>IFERROR(__xludf.DUMMYFUNCTION("IF(REGEXMATCH(UPPER(CU213), ""TX""),0,1)"),0.0)</f>
        <v>0</v>
      </c>
      <c r="CW213" s="51">
        <f>IFERROR(__xludf.DUMMYFUNCTION("IF(REGEXMATCH(UPPER(CU213), ""DALLAS""),0,1)"),0.0)</f>
        <v>0</v>
      </c>
      <c r="CX213" s="51">
        <f t="shared" si="17"/>
        <v>0</v>
      </c>
      <c r="CY213" s="51">
        <f t="shared" si="18"/>
        <v>0</v>
      </c>
      <c r="CZ213" s="52" t="str">
        <f t="shared" si="19"/>
        <v/>
      </c>
      <c r="DA213" s="58"/>
      <c r="DB213" s="52"/>
      <c r="DC213" s="52"/>
      <c r="DD213" s="52"/>
      <c r="DE213" s="52"/>
      <c r="DF213" s="52"/>
      <c r="DG213" s="52"/>
      <c r="DH213" s="52"/>
      <c r="DI213" s="52"/>
      <c r="DJ213" s="52"/>
      <c r="DK213" s="52"/>
      <c r="DL213" s="52"/>
      <c r="DM213" s="52"/>
      <c r="DN213" s="52"/>
      <c r="DO213" s="52"/>
      <c r="DP213" s="52"/>
      <c r="DQ213" s="52"/>
      <c r="DR213" s="52"/>
      <c r="DS213" s="52"/>
      <c r="DT213" s="52"/>
      <c r="DU213" s="52"/>
      <c r="DV213" s="52"/>
      <c r="DW213" s="52"/>
    </row>
    <row r="214">
      <c r="A214" s="22" t="s">
        <v>55</v>
      </c>
      <c r="B214" s="23" t="s">
        <v>56</v>
      </c>
      <c r="C214" s="31" t="s">
        <v>618</v>
      </c>
      <c r="D214" s="25" t="str">
        <f>IFERROR(__xludf.DUMMYFUNCTION("SPLIT(C214,"" "")"),"Salcedo,")</f>
        <v>Salcedo,</v>
      </c>
      <c r="E214" s="22" t="str">
        <f>IFERROR(__xludf.DUMMYFUNCTION("""COMPUTED_VALUE"""),"Louis
3")</f>
        <v>Louis
3</v>
      </c>
      <c r="F214" s="22" t="str">
        <f>IFERROR(__xludf.DUMMYFUNCTION("""COMPUTED_VALUE"""),"Richmond")</f>
        <v>Richmond</v>
      </c>
      <c r="G214" s="22" t="str">
        <f>IFERROR(__xludf.DUMMYFUNCTION("""COMPUTED_VALUE"""),"Ct.
Mansfield,")</f>
        <v>Ct.
Mansfield,</v>
      </c>
      <c r="H214" s="22" t="str">
        <f>IFERROR(__xludf.DUMMYFUNCTION("""COMPUTED_VALUE"""),"TX")</f>
        <v>TX</v>
      </c>
      <c r="I214" s="22">
        <f>IFERROR(__xludf.DUMMYFUNCTION("""COMPUTED_VALUE"""),76063.0)</f>
        <v>76063</v>
      </c>
      <c r="J214" s="22"/>
      <c r="K214" s="22"/>
      <c r="L214" s="22"/>
      <c r="M214" s="22"/>
      <c r="N214" s="22"/>
      <c r="O214" s="22"/>
      <c r="P214" s="22"/>
      <c r="Q214" s="22"/>
      <c r="R214" s="22"/>
      <c r="S214" s="22"/>
      <c r="T214" s="22"/>
      <c r="U214" s="24" t="str">
        <f>IFERROR(__xludf.DUMMYFUNCTION("SPLIT(E214,""01234567890"")"),"Louis
")</f>
        <v>Louis
</v>
      </c>
      <c r="V214" s="24" t="str">
        <f>IFERROR(__xludf.DUMMYFUNCTION("SPLIT(D214,"","")"),"Salcedo")</f>
        <v>Salcedo</v>
      </c>
      <c r="W214" s="25" t="str">
        <f t="shared" si="1"/>
        <v>LOUIS
 SALCEDO</v>
      </c>
      <c r="X214" s="25" t="s">
        <v>619</v>
      </c>
      <c r="Y214" s="25">
        <v>76063.0</v>
      </c>
      <c r="Z214" s="25" t="str">
        <f>IFERROR(__xludf.DUMMYFUNCTION("SPLIT(C214,""
"")"),"Salcedo, Louis")</f>
        <v>Salcedo, Louis</v>
      </c>
      <c r="AA214" s="25" t="str">
        <f>IFERROR(__xludf.DUMMYFUNCTION("""COMPUTED_VALUE"""),"3 Richmond Ct.")</f>
        <v>3 Richmond Ct.</v>
      </c>
      <c r="AB214" s="25" t="str">
        <f>IFERROR(__xludf.DUMMYFUNCTION("""COMPUTED_VALUE"""),"Mansfield, TX 76063")</f>
        <v>Mansfield, TX 76063</v>
      </c>
      <c r="AC214" s="24" t="s">
        <v>620</v>
      </c>
      <c r="AD214" s="25"/>
      <c r="AE214" s="25"/>
      <c r="AF214" s="25"/>
      <c r="AG214" s="22" t="s">
        <v>60</v>
      </c>
      <c r="AH214" s="54">
        <v>2441.0</v>
      </c>
      <c r="AI214" s="22" t="s">
        <v>61</v>
      </c>
      <c r="AJ214" s="27">
        <v>500.0</v>
      </c>
      <c r="AK214" s="31" t="s">
        <v>21</v>
      </c>
      <c r="AL214" s="28">
        <v>44732.0</v>
      </c>
      <c r="AM214" s="29">
        <v>44756.4640625</v>
      </c>
      <c r="AN214" s="30">
        <v>2.0</v>
      </c>
      <c r="AO214" s="22"/>
      <c r="AP214" s="22"/>
      <c r="AQ214" s="22"/>
      <c r="AR214" s="22"/>
      <c r="AS214" s="22"/>
      <c r="AT214" s="70"/>
      <c r="AU214" s="22"/>
      <c r="AV214" s="57" t="str">
        <f>IFERROR(__xludf.DUMMYFUNCTION("""COMPUTED_VALUE"""),"Mittal")</f>
        <v>Mittal</v>
      </c>
      <c r="AW214" s="46">
        <f t="shared" si="7"/>
        <v>5000</v>
      </c>
      <c r="AX214" s="47">
        <f t="shared" ref="AX214:BQ214" si="752">SUMIFS($AJ:$AJ,$V:$V,$AV214,$AK:$AK,AX$2)</f>
        <v>0</v>
      </c>
      <c r="AY214" s="48">
        <f t="shared" si="752"/>
        <v>0</v>
      </c>
      <c r="AZ214" s="48">
        <f t="shared" si="752"/>
        <v>0</v>
      </c>
      <c r="BA214" s="48">
        <f t="shared" si="752"/>
        <v>0</v>
      </c>
      <c r="BB214" s="48">
        <f t="shared" si="752"/>
        <v>5000</v>
      </c>
      <c r="BC214" s="48">
        <f t="shared" si="752"/>
        <v>0</v>
      </c>
      <c r="BD214" s="48">
        <f t="shared" si="752"/>
        <v>0</v>
      </c>
      <c r="BE214" s="48">
        <f t="shared" si="752"/>
        <v>0</v>
      </c>
      <c r="BF214" s="48">
        <f t="shared" si="752"/>
        <v>0</v>
      </c>
      <c r="BG214" s="48">
        <f t="shared" si="752"/>
        <v>0</v>
      </c>
      <c r="BH214" s="48">
        <f t="shared" si="752"/>
        <v>0</v>
      </c>
      <c r="BI214" s="48">
        <f t="shared" si="752"/>
        <v>0</v>
      </c>
      <c r="BJ214" s="48">
        <f t="shared" si="752"/>
        <v>0</v>
      </c>
      <c r="BK214" s="48">
        <f t="shared" si="752"/>
        <v>0</v>
      </c>
      <c r="BL214" s="48">
        <f t="shared" si="752"/>
        <v>0</v>
      </c>
      <c r="BM214" s="48">
        <f t="shared" si="752"/>
        <v>0</v>
      </c>
      <c r="BN214" s="48">
        <f t="shared" si="752"/>
        <v>0</v>
      </c>
      <c r="BO214" s="48">
        <f t="shared" si="752"/>
        <v>0</v>
      </c>
      <c r="BP214" s="48">
        <f t="shared" si="752"/>
        <v>0</v>
      </c>
      <c r="BQ214" s="48">
        <f t="shared" si="752"/>
        <v>0</v>
      </c>
      <c r="BR214" s="36">
        <f t="shared" si="9"/>
        <v>0</v>
      </c>
      <c r="BS214" s="38">
        <f t="shared" si="10"/>
        <v>1</v>
      </c>
      <c r="BT214" s="49">
        <f t="shared" si="11"/>
        <v>0</v>
      </c>
      <c r="BU214" s="38">
        <f t="shared" si="12"/>
        <v>1000</v>
      </c>
      <c r="BV214" s="57" t="str">
        <f>IFERROR(__xludf.DUMMYFUNCTION("""COMPUTED_VALUE"""),"Mittal")</f>
        <v>Mittal</v>
      </c>
      <c r="BW214" s="46">
        <f t="shared" si="13"/>
        <v>5000</v>
      </c>
      <c r="BX214" s="47">
        <f t="shared" ref="BX214:CA214" si="753">AX214-$BU214</f>
        <v>-1000</v>
      </c>
      <c r="BY214" s="47">
        <f t="shared" si="753"/>
        <v>-1000</v>
      </c>
      <c r="BZ214" s="47">
        <f t="shared" si="753"/>
        <v>-1000</v>
      </c>
      <c r="CA214" s="47">
        <f t="shared" si="753"/>
        <v>-1000</v>
      </c>
      <c r="CB214" s="47">
        <f t="shared" si="15"/>
        <v>-5000</v>
      </c>
      <c r="CC214" s="47">
        <f t="shared" ref="CC214:CQ214" si="754">BC214-$BU214</f>
        <v>-1000</v>
      </c>
      <c r="CD214" s="47">
        <f t="shared" si="754"/>
        <v>-1000</v>
      </c>
      <c r="CE214" s="47">
        <f t="shared" si="754"/>
        <v>-1000</v>
      </c>
      <c r="CF214" s="47">
        <f t="shared" si="754"/>
        <v>-1000</v>
      </c>
      <c r="CG214" s="47">
        <f t="shared" si="754"/>
        <v>-1000</v>
      </c>
      <c r="CH214" s="47">
        <f t="shared" si="754"/>
        <v>-1000</v>
      </c>
      <c r="CI214" s="47">
        <f t="shared" si="754"/>
        <v>-1000</v>
      </c>
      <c r="CJ214" s="47">
        <f t="shared" si="754"/>
        <v>-1000</v>
      </c>
      <c r="CK214" s="47">
        <f t="shared" si="754"/>
        <v>-1000</v>
      </c>
      <c r="CL214" s="47">
        <f t="shared" si="754"/>
        <v>-1000</v>
      </c>
      <c r="CM214" s="47">
        <f t="shared" si="754"/>
        <v>-1000</v>
      </c>
      <c r="CN214" s="47">
        <f t="shared" si="754"/>
        <v>-1000</v>
      </c>
      <c r="CO214" s="47">
        <f t="shared" si="754"/>
        <v>-1000</v>
      </c>
      <c r="CP214" s="47">
        <f t="shared" si="754"/>
        <v>-1000</v>
      </c>
      <c r="CQ214" s="47">
        <f t="shared" si="754"/>
        <v>-1000</v>
      </c>
      <c r="CR214" s="47"/>
      <c r="CS214" s="47"/>
      <c r="CT214" s="47"/>
      <c r="CU214" s="50" t="str">
        <f>IFERROR(__xludf.DUMMYFUNCTION("""COMPUTED_VALUE"""),"685 Kessler Reserve Ct.
Dallas, TX 75208         ")</f>
        <v>685 Kessler Reserve Ct.
Dallas, TX 75208         </v>
      </c>
      <c r="CV214" s="51">
        <f>IFERROR(__xludf.DUMMYFUNCTION("IF(REGEXMATCH(UPPER(CU214), ""TX""),0,1)"),0.0)</f>
        <v>0</v>
      </c>
      <c r="CW214" s="51">
        <f>IFERROR(__xludf.DUMMYFUNCTION("IF(REGEXMATCH(UPPER(CU214), ""DALLAS""),0,1)"),0.0)</f>
        <v>0</v>
      </c>
      <c r="CX214" s="51">
        <f t="shared" si="17"/>
        <v>0</v>
      </c>
      <c r="CY214" s="51">
        <f t="shared" si="18"/>
        <v>0</v>
      </c>
      <c r="CZ214" s="52" t="str">
        <f t="shared" si="19"/>
        <v/>
      </c>
      <c r="DA214" s="58"/>
      <c r="DB214" s="52"/>
      <c r="DC214" s="52"/>
      <c r="DD214" s="52"/>
      <c r="DE214" s="52"/>
      <c r="DF214" s="52"/>
      <c r="DG214" s="52"/>
      <c r="DH214" s="52"/>
      <c r="DI214" s="52"/>
      <c r="DJ214" s="52"/>
      <c r="DK214" s="52"/>
      <c r="DL214" s="52"/>
      <c r="DM214" s="52"/>
      <c r="DN214" s="52"/>
      <c r="DO214" s="52"/>
      <c r="DP214" s="52"/>
      <c r="DQ214" s="52"/>
      <c r="DR214" s="52"/>
      <c r="DS214" s="52"/>
      <c r="DT214" s="52"/>
      <c r="DU214" s="52"/>
      <c r="DV214" s="52"/>
      <c r="DW214" s="52"/>
    </row>
    <row r="215">
      <c r="A215" s="40" t="s">
        <v>55</v>
      </c>
      <c r="B215" s="41" t="s">
        <v>56</v>
      </c>
      <c r="C215" s="31" t="s">
        <v>621</v>
      </c>
      <c r="D215" s="25" t="str">
        <f>IFERROR(__xludf.DUMMYFUNCTION("SPLIT(C215,"" "")"),"Phillips,")</f>
        <v>Phillips,</v>
      </c>
      <c r="E215" s="40" t="str">
        <f>IFERROR(__xludf.DUMMYFUNCTION("""COMPUTED_VALUE"""),"Marci
1210")</f>
        <v>Marci
1210</v>
      </c>
      <c r="F215" s="40" t="str">
        <f>IFERROR(__xludf.DUMMYFUNCTION("""COMPUTED_VALUE"""),"N.")</f>
        <v>N.</v>
      </c>
      <c r="G215" s="40" t="str">
        <f>IFERROR(__xludf.DUMMYFUNCTION("""COMPUTED_VALUE"""),"Winnetka")</f>
        <v>Winnetka</v>
      </c>
      <c r="H215" s="40" t="str">
        <f>IFERROR(__xludf.DUMMYFUNCTION("""COMPUTED_VALUE"""),"Ave.
Dallas,")</f>
        <v>Ave.
Dallas,</v>
      </c>
      <c r="I215" s="40" t="str">
        <f>IFERROR(__xludf.DUMMYFUNCTION("""COMPUTED_VALUE"""),"TX")</f>
        <v>TX</v>
      </c>
      <c r="J215" s="40">
        <f>IFERROR(__xludf.DUMMYFUNCTION("""COMPUTED_VALUE"""),75208.0)</f>
        <v>75208</v>
      </c>
      <c r="K215" s="40"/>
      <c r="L215" s="40"/>
      <c r="M215" s="40"/>
      <c r="N215" s="40"/>
      <c r="O215" s="40"/>
      <c r="P215" s="40"/>
      <c r="Q215" s="40"/>
      <c r="R215" s="40"/>
      <c r="S215" s="40"/>
      <c r="T215" s="40"/>
      <c r="U215" s="24" t="str">
        <f>IFERROR(__xludf.DUMMYFUNCTION("SPLIT(E215,""01234567890"")"),"Marci
")</f>
        <v>Marci
</v>
      </c>
      <c r="V215" s="24" t="str">
        <f>IFERROR(__xludf.DUMMYFUNCTION("SPLIT(D215,"","")"),"Phillips")</f>
        <v>Phillips</v>
      </c>
      <c r="W215" s="25" t="str">
        <f t="shared" si="1"/>
        <v>MARCI
 PHILLIPS</v>
      </c>
      <c r="X215" s="25" t="s">
        <v>622</v>
      </c>
      <c r="Y215" s="25">
        <v>75208.0</v>
      </c>
      <c r="Z215" s="25" t="str">
        <f>IFERROR(__xludf.DUMMYFUNCTION("SPLIT(C215,""
"")"),"Phillips, Marci")</f>
        <v>Phillips, Marci</v>
      </c>
      <c r="AA215" s="25" t="str">
        <f>IFERROR(__xludf.DUMMYFUNCTION("""COMPUTED_VALUE"""),"1210 N. Winnetka Ave.")</f>
        <v>1210 N. Winnetka Ave.</v>
      </c>
      <c r="AB215" s="25" t="str">
        <f>IFERROR(__xludf.DUMMYFUNCTION("""COMPUTED_VALUE"""),"Dallas, TX 75208")</f>
        <v>Dallas, TX 75208</v>
      </c>
      <c r="AC215" s="24" t="s">
        <v>623</v>
      </c>
      <c r="AD215" s="25"/>
      <c r="AE215" s="25"/>
      <c r="AF215" s="25"/>
      <c r="AG215" s="40" t="s">
        <v>60</v>
      </c>
      <c r="AH215" s="42">
        <v>2441.0</v>
      </c>
      <c r="AI215" s="40" t="s">
        <v>61</v>
      </c>
      <c r="AJ215" s="27">
        <v>500.0</v>
      </c>
      <c r="AK215" s="31" t="s">
        <v>21</v>
      </c>
      <c r="AL215" s="43">
        <v>44732.0</v>
      </c>
      <c r="AM215" s="44">
        <v>44756.4640625</v>
      </c>
      <c r="AN215" s="30">
        <v>2.0</v>
      </c>
      <c r="AO215" s="40"/>
      <c r="AP215" s="40"/>
      <c r="AQ215" s="40"/>
      <c r="AR215" s="40"/>
      <c r="AS215" s="40"/>
      <c r="AT215" s="47"/>
      <c r="AU215" s="40"/>
      <c r="AV215" s="46" t="str">
        <f>IFERROR(__xludf.DUMMYFUNCTION("""COMPUTED_VALUE"""),"Thomas")</f>
        <v>Thomas</v>
      </c>
      <c r="AW215" s="46">
        <f t="shared" si="7"/>
        <v>7500</v>
      </c>
      <c r="AX215" s="47">
        <f t="shared" ref="AX215:BQ215" si="755">SUMIFS($AJ:$AJ,$V:$V,$AV215,$AK:$AK,AX$2)</f>
        <v>0</v>
      </c>
      <c r="AY215" s="48">
        <f t="shared" si="755"/>
        <v>0</v>
      </c>
      <c r="AZ215" s="48">
        <f t="shared" si="755"/>
        <v>0</v>
      </c>
      <c r="BA215" s="48">
        <f t="shared" si="755"/>
        <v>0</v>
      </c>
      <c r="BB215" s="48">
        <f t="shared" si="755"/>
        <v>7500</v>
      </c>
      <c r="BC215" s="48">
        <f t="shared" si="755"/>
        <v>0</v>
      </c>
      <c r="BD215" s="48">
        <f t="shared" si="755"/>
        <v>0</v>
      </c>
      <c r="BE215" s="48">
        <f t="shared" si="755"/>
        <v>0</v>
      </c>
      <c r="BF215" s="48">
        <f t="shared" si="755"/>
        <v>0</v>
      </c>
      <c r="BG215" s="48">
        <f t="shared" si="755"/>
        <v>0</v>
      </c>
      <c r="BH215" s="48">
        <f t="shared" si="755"/>
        <v>0</v>
      </c>
      <c r="BI215" s="48">
        <f t="shared" si="755"/>
        <v>0</v>
      </c>
      <c r="BJ215" s="48">
        <f t="shared" si="755"/>
        <v>0</v>
      </c>
      <c r="BK215" s="48">
        <f t="shared" si="755"/>
        <v>0</v>
      </c>
      <c r="BL215" s="48">
        <f t="shared" si="755"/>
        <v>0</v>
      </c>
      <c r="BM215" s="48">
        <f t="shared" si="755"/>
        <v>0</v>
      </c>
      <c r="BN215" s="48">
        <f t="shared" si="755"/>
        <v>0</v>
      </c>
      <c r="BO215" s="48">
        <f t="shared" si="755"/>
        <v>0</v>
      </c>
      <c r="BP215" s="48">
        <f t="shared" si="755"/>
        <v>0</v>
      </c>
      <c r="BQ215" s="48">
        <f t="shared" si="755"/>
        <v>0</v>
      </c>
      <c r="BR215" s="36">
        <f t="shared" si="9"/>
        <v>1</v>
      </c>
      <c r="BS215" s="38">
        <f t="shared" si="10"/>
        <v>2</v>
      </c>
      <c r="BT215" s="49">
        <f t="shared" si="11"/>
        <v>0</v>
      </c>
      <c r="BU215" s="38">
        <f t="shared" si="12"/>
        <v>2000</v>
      </c>
      <c r="BV215" s="46" t="str">
        <f>IFERROR(__xludf.DUMMYFUNCTION("""COMPUTED_VALUE"""),"Thomas")</f>
        <v>Thomas</v>
      </c>
      <c r="BW215" s="46">
        <f t="shared" si="13"/>
        <v>7500</v>
      </c>
      <c r="BX215" s="47">
        <f t="shared" ref="BX215:CA215" si="756">AX215-$BU215</f>
        <v>-2000</v>
      </c>
      <c r="BY215" s="47">
        <f t="shared" si="756"/>
        <v>-2000</v>
      </c>
      <c r="BZ215" s="47">
        <f t="shared" si="756"/>
        <v>-2000</v>
      </c>
      <c r="CA215" s="47">
        <f t="shared" si="756"/>
        <v>-2000</v>
      </c>
      <c r="CB215" s="47">
        <f t="shared" si="15"/>
        <v>-12500</v>
      </c>
      <c r="CC215" s="47">
        <f t="shared" ref="CC215:CQ215" si="757">BC215-$BU215</f>
        <v>-2000</v>
      </c>
      <c r="CD215" s="47">
        <f t="shared" si="757"/>
        <v>-2000</v>
      </c>
      <c r="CE215" s="47">
        <f t="shared" si="757"/>
        <v>-2000</v>
      </c>
      <c r="CF215" s="47">
        <f t="shared" si="757"/>
        <v>-2000</v>
      </c>
      <c r="CG215" s="47">
        <f t="shared" si="757"/>
        <v>-2000</v>
      </c>
      <c r="CH215" s="47">
        <f t="shared" si="757"/>
        <v>-2000</v>
      </c>
      <c r="CI215" s="47">
        <f t="shared" si="757"/>
        <v>-2000</v>
      </c>
      <c r="CJ215" s="47">
        <f t="shared" si="757"/>
        <v>-2000</v>
      </c>
      <c r="CK215" s="47">
        <f t="shared" si="757"/>
        <v>-2000</v>
      </c>
      <c r="CL215" s="47">
        <f t="shared" si="757"/>
        <v>-2000</v>
      </c>
      <c r="CM215" s="47">
        <f t="shared" si="757"/>
        <v>-2000</v>
      </c>
      <c r="CN215" s="47">
        <f t="shared" si="757"/>
        <v>-2000</v>
      </c>
      <c r="CO215" s="47">
        <f t="shared" si="757"/>
        <v>-2000</v>
      </c>
      <c r="CP215" s="47">
        <f t="shared" si="757"/>
        <v>-2000</v>
      </c>
      <c r="CQ215" s="47">
        <f t="shared" si="757"/>
        <v>-2000</v>
      </c>
      <c r="CR215" s="47"/>
      <c r="CS215" s="47"/>
      <c r="CT215" s="47"/>
      <c r="CU215" s="50" t="str">
        <f>IFERROR(__xludf.DUMMYFUNCTION("""COMPUTED_VALUE"""),"4738 Hallmark Dr.
Dallas, TX 75229          ")</f>
        <v>4738 Hallmark Dr.
Dallas, TX 75229          </v>
      </c>
      <c r="CV215" s="51">
        <f>IFERROR(__xludf.DUMMYFUNCTION("IF(REGEXMATCH(UPPER(CU215), ""TX""),0,1)"),0.0)</f>
        <v>0</v>
      </c>
      <c r="CW215" s="51">
        <f>IFERROR(__xludf.DUMMYFUNCTION("IF(REGEXMATCH(UPPER(CU215), ""DALLAS""),0,1)"),0.0)</f>
        <v>0</v>
      </c>
      <c r="CX215" s="51">
        <f t="shared" si="17"/>
        <v>0</v>
      </c>
      <c r="CY215" s="51">
        <f t="shared" si="18"/>
        <v>0</v>
      </c>
      <c r="CZ215" s="52" t="str">
        <f t="shared" si="19"/>
        <v/>
      </c>
      <c r="DA215" s="58"/>
      <c r="DB215" s="52"/>
      <c r="DC215" s="52"/>
      <c r="DD215" s="52"/>
      <c r="DE215" s="52"/>
      <c r="DF215" s="52"/>
      <c r="DG215" s="52"/>
      <c r="DH215" s="52"/>
      <c r="DI215" s="52"/>
      <c r="DJ215" s="52"/>
      <c r="DK215" s="52"/>
      <c r="DL215" s="52"/>
      <c r="DM215" s="52"/>
      <c r="DN215" s="52"/>
      <c r="DO215" s="52"/>
      <c r="DP215" s="52"/>
      <c r="DQ215" s="52"/>
      <c r="DR215" s="52"/>
      <c r="DS215" s="52"/>
      <c r="DT215" s="52"/>
      <c r="DU215" s="52"/>
      <c r="DV215" s="52"/>
      <c r="DW215" s="52"/>
    </row>
    <row r="216">
      <c r="A216" s="22" t="s">
        <v>55</v>
      </c>
      <c r="B216" s="23" t="s">
        <v>56</v>
      </c>
      <c r="C216" s="31" t="s">
        <v>624</v>
      </c>
      <c r="D216" s="25" t="str">
        <f>IFERROR(__xludf.DUMMYFUNCTION("SPLIT(C216,"" "")"),"Drennan,")</f>
        <v>Drennan,</v>
      </c>
      <c r="E216" s="22" t="str">
        <f>IFERROR(__xludf.DUMMYFUNCTION("""COMPUTED_VALUE"""),"Mark
1655")</f>
        <v>Mark
1655</v>
      </c>
      <c r="F216" s="22" t="str">
        <f>IFERROR(__xludf.DUMMYFUNCTION("""COMPUTED_VALUE"""),"Kessler")</f>
        <v>Kessler</v>
      </c>
      <c r="G216" s="22" t="str">
        <f>IFERROR(__xludf.DUMMYFUNCTION("""COMPUTED_VALUE"""),"Canyon")</f>
        <v>Canyon</v>
      </c>
      <c r="H216" s="22" t="str">
        <f>IFERROR(__xludf.DUMMYFUNCTION("""COMPUTED_VALUE"""),"Dr.
Dallas,")</f>
        <v>Dr.
Dallas,</v>
      </c>
      <c r="I216" s="22" t="str">
        <f>IFERROR(__xludf.DUMMYFUNCTION("""COMPUTED_VALUE"""),"TX")</f>
        <v>TX</v>
      </c>
      <c r="J216" s="22">
        <f>IFERROR(__xludf.DUMMYFUNCTION("""COMPUTED_VALUE"""),75208.0)</f>
        <v>75208</v>
      </c>
      <c r="K216" s="22"/>
      <c r="L216" s="22"/>
      <c r="M216" s="22"/>
      <c r="N216" s="22"/>
      <c r="O216" s="22"/>
      <c r="P216" s="22"/>
      <c r="Q216" s="22"/>
      <c r="R216" s="22"/>
      <c r="S216" s="22"/>
      <c r="T216" s="22"/>
      <c r="U216" s="24" t="str">
        <f>IFERROR(__xludf.DUMMYFUNCTION("SPLIT(E216,""01234567890"")"),"Mark
")</f>
        <v>Mark
</v>
      </c>
      <c r="V216" s="24" t="str">
        <f>IFERROR(__xludf.DUMMYFUNCTION("SPLIT(D216,"","")"),"Drennan")</f>
        <v>Drennan</v>
      </c>
      <c r="W216" s="25" t="str">
        <f t="shared" si="1"/>
        <v>MARK
 DRENNAN</v>
      </c>
      <c r="X216" s="25" t="s">
        <v>589</v>
      </c>
      <c r="Y216" s="25">
        <v>75208.0</v>
      </c>
      <c r="Z216" s="25" t="str">
        <f>IFERROR(__xludf.DUMMYFUNCTION("SPLIT(C216,""
"")"),"Drennan, Mark")</f>
        <v>Drennan, Mark</v>
      </c>
      <c r="AA216" s="25" t="str">
        <f>IFERROR(__xludf.DUMMYFUNCTION("""COMPUTED_VALUE"""),"1655 Kessler Canyon Dr.")</f>
        <v>1655 Kessler Canyon Dr.</v>
      </c>
      <c r="AB216" s="25" t="str">
        <f>IFERROR(__xludf.DUMMYFUNCTION("""COMPUTED_VALUE"""),"Dallas, TX 75208")</f>
        <v>Dallas, TX 75208</v>
      </c>
      <c r="AC216" s="24" t="s">
        <v>625</v>
      </c>
      <c r="AD216" s="25"/>
      <c r="AE216" s="25"/>
      <c r="AF216" s="25"/>
      <c r="AG216" s="22" t="s">
        <v>60</v>
      </c>
      <c r="AH216" s="54">
        <v>2441.0</v>
      </c>
      <c r="AI216" s="22" t="s">
        <v>61</v>
      </c>
      <c r="AJ216" s="27">
        <v>1000.0</v>
      </c>
      <c r="AK216" s="31" t="s">
        <v>21</v>
      </c>
      <c r="AL216" s="28">
        <v>44732.0</v>
      </c>
      <c r="AM216" s="29">
        <v>44756.4640625</v>
      </c>
      <c r="AN216" s="30">
        <v>2.0</v>
      </c>
      <c r="AO216" s="22"/>
      <c r="AP216" s="22"/>
      <c r="AQ216" s="22"/>
      <c r="AR216" s="22"/>
      <c r="AS216" s="22"/>
      <c r="AT216" s="70"/>
      <c r="AU216" s="22"/>
      <c r="AV216" s="57" t="str">
        <f>IFERROR(__xludf.DUMMYFUNCTION("""COMPUTED_VALUE"""),"Miller")</f>
        <v>Miller</v>
      </c>
      <c r="AW216" s="46">
        <f t="shared" si="7"/>
        <v>900</v>
      </c>
      <c r="AX216" s="47">
        <f t="shared" ref="AX216:BQ216" si="758">SUMIFS($AJ:$AJ,$V:$V,$AV216,$AK:$AK,AX$2)</f>
        <v>0</v>
      </c>
      <c r="AY216" s="48">
        <f t="shared" si="758"/>
        <v>0</v>
      </c>
      <c r="AZ216" s="48">
        <f t="shared" si="758"/>
        <v>0</v>
      </c>
      <c r="BA216" s="48">
        <f t="shared" si="758"/>
        <v>100</v>
      </c>
      <c r="BB216" s="48">
        <f t="shared" si="758"/>
        <v>800</v>
      </c>
      <c r="BC216" s="48">
        <f t="shared" si="758"/>
        <v>0</v>
      </c>
      <c r="BD216" s="48">
        <f t="shared" si="758"/>
        <v>0</v>
      </c>
      <c r="BE216" s="48">
        <f t="shared" si="758"/>
        <v>0</v>
      </c>
      <c r="BF216" s="48">
        <f t="shared" si="758"/>
        <v>0</v>
      </c>
      <c r="BG216" s="48">
        <f t="shared" si="758"/>
        <v>0</v>
      </c>
      <c r="BH216" s="48">
        <f t="shared" si="758"/>
        <v>0</v>
      </c>
      <c r="BI216" s="48">
        <f t="shared" si="758"/>
        <v>0</v>
      </c>
      <c r="BJ216" s="48">
        <f t="shared" si="758"/>
        <v>0</v>
      </c>
      <c r="BK216" s="48">
        <f t="shared" si="758"/>
        <v>0</v>
      </c>
      <c r="BL216" s="48">
        <f t="shared" si="758"/>
        <v>0</v>
      </c>
      <c r="BM216" s="48">
        <f t="shared" si="758"/>
        <v>0</v>
      </c>
      <c r="BN216" s="48">
        <f t="shared" si="758"/>
        <v>0</v>
      </c>
      <c r="BO216" s="48">
        <f t="shared" si="758"/>
        <v>0</v>
      </c>
      <c r="BP216" s="48">
        <f t="shared" si="758"/>
        <v>0</v>
      </c>
      <c r="BQ216" s="48">
        <f t="shared" si="758"/>
        <v>0</v>
      </c>
      <c r="BR216" s="36">
        <f t="shared" si="9"/>
        <v>1</v>
      </c>
      <c r="BS216" s="38">
        <f t="shared" si="10"/>
        <v>4</v>
      </c>
      <c r="BT216" s="49">
        <f t="shared" si="11"/>
        <v>0</v>
      </c>
      <c r="BU216" s="38">
        <f t="shared" si="12"/>
        <v>4000</v>
      </c>
      <c r="BV216" s="57" t="str">
        <f>IFERROR(__xludf.DUMMYFUNCTION("""COMPUTED_VALUE"""),"Miller")</f>
        <v>Miller</v>
      </c>
      <c r="BW216" s="46">
        <f t="shared" si="13"/>
        <v>900</v>
      </c>
      <c r="BX216" s="47">
        <f t="shared" ref="BX216:CA216" si="759">AX216-$BU216</f>
        <v>-4000</v>
      </c>
      <c r="BY216" s="47">
        <f t="shared" si="759"/>
        <v>-4000</v>
      </c>
      <c r="BZ216" s="47">
        <f t="shared" si="759"/>
        <v>-4000</v>
      </c>
      <c r="CA216" s="47">
        <f t="shared" si="759"/>
        <v>-3900</v>
      </c>
      <c r="CB216" s="47">
        <f t="shared" si="15"/>
        <v>-39200</v>
      </c>
      <c r="CC216" s="47">
        <f t="shared" ref="CC216:CQ216" si="760">BC216-$BU216</f>
        <v>-4000</v>
      </c>
      <c r="CD216" s="47">
        <f t="shared" si="760"/>
        <v>-4000</v>
      </c>
      <c r="CE216" s="47">
        <f t="shared" si="760"/>
        <v>-4000</v>
      </c>
      <c r="CF216" s="47">
        <f t="shared" si="760"/>
        <v>-4000</v>
      </c>
      <c r="CG216" s="47">
        <f t="shared" si="760"/>
        <v>-4000</v>
      </c>
      <c r="CH216" s="47">
        <f t="shared" si="760"/>
        <v>-4000</v>
      </c>
      <c r="CI216" s="47">
        <f t="shared" si="760"/>
        <v>-4000</v>
      </c>
      <c r="CJ216" s="47">
        <f t="shared" si="760"/>
        <v>-4000</v>
      </c>
      <c r="CK216" s="47">
        <f t="shared" si="760"/>
        <v>-4000</v>
      </c>
      <c r="CL216" s="47">
        <f t="shared" si="760"/>
        <v>-4000</v>
      </c>
      <c r="CM216" s="47">
        <f t="shared" si="760"/>
        <v>-4000</v>
      </c>
      <c r="CN216" s="47">
        <f t="shared" si="760"/>
        <v>-4000</v>
      </c>
      <c r="CO216" s="47">
        <f t="shared" si="760"/>
        <v>-4000</v>
      </c>
      <c r="CP216" s="47">
        <f t="shared" si="760"/>
        <v>-4000</v>
      </c>
      <c r="CQ216" s="47">
        <f t="shared" si="760"/>
        <v>-4000</v>
      </c>
      <c r="CR216" s="47"/>
      <c r="CS216" s="47"/>
      <c r="CT216" s="47"/>
      <c r="CU216" s="50" t="str">
        <f>IFERROR(__xludf.DUMMYFUNCTION("""COMPUTED_VALUE"""),"311 N. Edgefield Ave
Dallas, TX 75208         ")</f>
        <v>311 N. Edgefield Ave
Dallas, TX 75208         </v>
      </c>
      <c r="CV216" s="51">
        <f>IFERROR(__xludf.DUMMYFUNCTION("IF(REGEXMATCH(UPPER(CU216), ""TX""),0,1)"),0.0)</f>
        <v>0</v>
      </c>
      <c r="CW216" s="51">
        <f>IFERROR(__xludf.DUMMYFUNCTION("IF(REGEXMATCH(UPPER(CU216), ""DALLAS""),0,1)"),0.0)</f>
        <v>0</v>
      </c>
      <c r="CX216" s="51">
        <f t="shared" si="17"/>
        <v>0</v>
      </c>
      <c r="CY216" s="51">
        <f t="shared" si="18"/>
        <v>0</v>
      </c>
      <c r="CZ216" s="52" t="str">
        <f t="shared" si="19"/>
        <v/>
      </c>
      <c r="DA216" s="58"/>
      <c r="DB216" s="52"/>
      <c r="DC216" s="52"/>
      <c r="DD216" s="52"/>
      <c r="DE216" s="52"/>
      <c r="DF216" s="52"/>
      <c r="DG216" s="52"/>
      <c r="DH216" s="52"/>
      <c r="DI216" s="52"/>
      <c r="DJ216" s="52"/>
      <c r="DK216" s="52"/>
      <c r="DL216" s="52"/>
      <c r="DM216" s="52"/>
      <c r="DN216" s="52"/>
      <c r="DO216" s="52"/>
      <c r="DP216" s="52"/>
      <c r="DQ216" s="52"/>
      <c r="DR216" s="52"/>
      <c r="DS216" s="52"/>
      <c r="DT216" s="52"/>
      <c r="DU216" s="52"/>
      <c r="DV216" s="52"/>
      <c r="DW216" s="52"/>
    </row>
    <row r="217">
      <c r="A217" s="40" t="s">
        <v>55</v>
      </c>
      <c r="B217" s="41" t="s">
        <v>56</v>
      </c>
      <c r="C217" s="31" t="s">
        <v>626</v>
      </c>
      <c r="D217" s="25" t="str">
        <f>IFERROR(__xludf.DUMMYFUNCTION("SPLIT(C217,"" "")"),"Kirk-Tekippe,")</f>
        <v>Kirk-Tekippe,</v>
      </c>
      <c r="E217" s="40" t="str">
        <f>IFERROR(__xludf.DUMMYFUNCTION("""COMPUTED_VALUE"""),"Matthew
3301")</f>
        <v>Matthew
3301</v>
      </c>
      <c r="F217" s="40" t="str">
        <f>IFERROR(__xludf.DUMMYFUNCTION("""COMPUTED_VALUE"""),"Hudnall")</f>
        <v>Hudnall</v>
      </c>
      <c r="G217" s="40" t="str">
        <f>IFERROR(__xludf.DUMMYFUNCTION("""COMPUTED_VALUE"""),"St.
Dallas,")</f>
        <v>St.
Dallas,</v>
      </c>
      <c r="H217" s="40" t="str">
        <f>IFERROR(__xludf.DUMMYFUNCTION("""COMPUTED_VALUE"""),"TX")</f>
        <v>TX</v>
      </c>
      <c r="I217" s="40">
        <f>IFERROR(__xludf.DUMMYFUNCTION("""COMPUTED_VALUE"""),75235.0)</f>
        <v>75235</v>
      </c>
      <c r="J217" s="40"/>
      <c r="K217" s="40"/>
      <c r="L217" s="40"/>
      <c r="M217" s="40"/>
      <c r="N217" s="40"/>
      <c r="O217" s="40"/>
      <c r="P217" s="40"/>
      <c r="Q217" s="40"/>
      <c r="R217" s="40"/>
      <c r="S217" s="40"/>
      <c r="T217" s="40"/>
      <c r="U217" s="24" t="str">
        <f>IFERROR(__xludf.DUMMYFUNCTION("SPLIT(E217,""01234567890"")"),"Matthew
")</f>
        <v>Matthew
</v>
      </c>
      <c r="V217" s="24" t="str">
        <f>IFERROR(__xludf.DUMMYFUNCTION("SPLIT(D217,"","")"),"Kirk-Tekippe")</f>
        <v>Kirk-Tekippe</v>
      </c>
      <c r="W217" s="25" t="str">
        <f t="shared" si="1"/>
        <v>MATTHEW
 KIRK-TEKIPPE</v>
      </c>
      <c r="X217" s="25" t="s">
        <v>627</v>
      </c>
      <c r="Y217" s="25">
        <v>75235.0</v>
      </c>
      <c r="Z217" s="25" t="str">
        <f>IFERROR(__xludf.DUMMYFUNCTION("SPLIT(C217,""
"")"),"Kirk-Tekippe, Matthew")</f>
        <v>Kirk-Tekippe, Matthew</v>
      </c>
      <c r="AA217" s="25" t="str">
        <f>IFERROR(__xludf.DUMMYFUNCTION("""COMPUTED_VALUE"""),"3301 Hudnall St.")</f>
        <v>3301 Hudnall St.</v>
      </c>
      <c r="AB217" s="25" t="str">
        <f>IFERROR(__xludf.DUMMYFUNCTION("""COMPUTED_VALUE"""),"Dallas, TX 75235")</f>
        <v>Dallas, TX 75235</v>
      </c>
      <c r="AC217" s="24" t="s">
        <v>628</v>
      </c>
      <c r="AD217" s="25"/>
      <c r="AE217" s="25"/>
      <c r="AF217" s="25"/>
      <c r="AG217" s="40" t="s">
        <v>60</v>
      </c>
      <c r="AH217" s="42">
        <v>2441.0</v>
      </c>
      <c r="AI217" s="40" t="s">
        <v>61</v>
      </c>
      <c r="AJ217" s="27">
        <v>50.0</v>
      </c>
      <c r="AK217" s="31" t="s">
        <v>21</v>
      </c>
      <c r="AL217" s="43">
        <v>44732.0</v>
      </c>
      <c r="AM217" s="44">
        <v>44756.4640625</v>
      </c>
      <c r="AN217" s="30">
        <v>2.0</v>
      </c>
      <c r="AO217" s="40"/>
      <c r="AP217" s="40"/>
      <c r="AQ217" s="40"/>
      <c r="AR217" s="40"/>
      <c r="AS217" s="40"/>
      <c r="AT217" s="47"/>
      <c r="AU217" s="40"/>
      <c r="AV217" s="46" t="str">
        <f>IFERROR(__xludf.DUMMYFUNCTION("""COMPUTED_VALUE"""),"Woodlief")</f>
        <v>Woodlief</v>
      </c>
      <c r="AW217" s="46">
        <f t="shared" si="7"/>
        <v>1000</v>
      </c>
      <c r="AX217" s="47">
        <f t="shared" ref="AX217:BQ217" si="761">SUMIFS($AJ:$AJ,$V:$V,$AV217,$AK:$AK,AX$2)</f>
        <v>0</v>
      </c>
      <c r="AY217" s="48">
        <f t="shared" si="761"/>
        <v>0</v>
      </c>
      <c r="AZ217" s="48">
        <f t="shared" si="761"/>
        <v>0</v>
      </c>
      <c r="BA217" s="48">
        <f t="shared" si="761"/>
        <v>0</v>
      </c>
      <c r="BB217" s="48">
        <f t="shared" si="761"/>
        <v>1000</v>
      </c>
      <c r="BC217" s="48">
        <f t="shared" si="761"/>
        <v>0</v>
      </c>
      <c r="BD217" s="48">
        <f t="shared" si="761"/>
        <v>0</v>
      </c>
      <c r="BE217" s="48">
        <f t="shared" si="761"/>
        <v>0</v>
      </c>
      <c r="BF217" s="48">
        <f t="shared" si="761"/>
        <v>0</v>
      </c>
      <c r="BG217" s="48">
        <f t="shared" si="761"/>
        <v>0</v>
      </c>
      <c r="BH217" s="48">
        <f t="shared" si="761"/>
        <v>0</v>
      </c>
      <c r="BI217" s="48">
        <f t="shared" si="761"/>
        <v>0</v>
      </c>
      <c r="BJ217" s="48">
        <f t="shared" si="761"/>
        <v>0</v>
      </c>
      <c r="BK217" s="48">
        <f t="shared" si="761"/>
        <v>0</v>
      </c>
      <c r="BL217" s="48">
        <f t="shared" si="761"/>
        <v>0</v>
      </c>
      <c r="BM217" s="48">
        <f t="shared" si="761"/>
        <v>0</v>
      </c>
      <c r="BN217" s="48">
        <f t="shared" si="761"/>
        <v>0</v>
      </c>
      <c r="BO217" s="48">
        <f t="shared" si="761"/>
        <v>0</v>
      </c>
      <c r="BP217" s="48">
        <f t="shared" si="761"/>
        <v>0</v>
      </c>
      <c r="BQ217" s="48">
        <f t="shared" si="761"/>
        <v>0</v>
      </c>
      <c r="BR217" s="36">
        <f t="shared" si="9"/>
        <v>0</v>
      </c>
      <c r="BS217" s="38">
        <f t="shared" si="10"/>
        <v>1</v>
      </c>
      <c r="BT217" s="49">
        <f t="shared" si="11"/>
        <v>0</v>
      </c>
      <c r="BU217" s="38">
        <f t="shared" si="12"/>
        <v>1000</v>
      </c>
      <c r="BV217" s="46" t="str">
        <f>IFERROR(__xludf.DUMMYFUNCTION("""COMPUTED_VALUE"""),"Woodlief")</f>
        <v>Woodlief</v>
      </c>
      <c r="BW217" s="46">
        <f t="shared" si="13"/>
        <v>1000</v>
      </c>
      <c r="BX217" s="47">
        <f t="shared" ref="BX217:CA217" si="762">AX217-$BU217</f>
        <v>-1000</v>
      </c>
      <c r="BY217" s="47">
        <f t="shared" si="762"/>
        <v>-1000</v>
      </c>
      <c r="BZ217" s="47">
        <f t="shared" si="762"/>
        <v>-1000</v>
      </c>
      <c r="CA217" s="47">
        <f t="shared" si="762"/>
        <v>-1000</v>
      </c>
      <c r="CB217" s="47">
        <f t="shared" si="15"/>
        <v>-9000</v>
      </c>
      <c r="CC217" s="47">
        <f t="shared" ref="CC217:CQ217" si="763">BC217-$BU217</f>
        <v>-1000</v>
      </c>
      <c r="CD217" s="47">
        <f t="shared" si="763"/>
        <v>-1000</v>
      </c>
      <c r="CE217" s="47">
        <f t="shared" si="763"/>
        <v>-1000</v>
      </c>
      <c r="CF217" s="47">
        <f t="shared" si="763"/>
        <v>-1000</v>
      </c>
      <c r="CG217" s="47">
        <f t="shared" si="763"/>
        <v>-1000</v>
      </c>
      <c r="CH217" s="47">
        <f t="shared" si="763"/>
        <v>-1000</v>
      </c>
      <c r="CI217" s="47">
        <f t="shared" si="763"/>
        <v>-1000</v>
      </c>
      <c r="CJ217" s="47">
        <f t="shared" si="763"/>
        <v>-1000</v>
      </c>
      <c r="CK217" s="47">
        <f t="shared" si="763"/>
        <v>-1000</v>
      </c>
      <c r="CL217" s="47">
        <f t="shared" si="763"/>
        <v>-1000</v>
      </c>
      <c r="CM217" s="47">
        <f t="shared" si="763"/>
        <v>-1000</v>
      </c>
      <c r="CN217" s="47">
        <f t="shared" si="763"/>
        <v>-1000</v>
      </c>
      <c r="CO217" s="47">
        <f t="shared" si="763"/>
        <v>-1000</v>
      </c>
      <c r="CP217" s="47">
        <f t="shared" si="763"/>
        <v>-1000</v>
      </c>
      <c r="CQ217" s="47">
        <f t="shared" si="763"/>
        <v>-1000</v>
      </c>
      <c r="CR217" s="47"/>
      <c r="CS217" s="47"/>
      <c r="CT217" s="47"/>
      <c r="CU217" s="50" t="str">
        <f>IFERROR(__xludf.DUMMYFUNCTION("""COMPUTED_VALUE"""),"1015 S. Winnetka Ave.
Dallas, TX 75298         ")</f>
        <v>1015 S. Winnetka Ave.
Dallas, TX 75298         </v>
      </c>
      <c r="CV217" s="51">
        <f>IFERROR(__xludf.DUMMYFUNCTION("IF(REGEXMATCH(UPPER(CU217), ""TX""),0,1)"),0.0)</f>
        <v>0</v>
      </c>
      <c r="CW217" s="51">
        <f>IFERROR(__xludf.DUMMYFUNCTION("IF(REGEXMATCH(UPPER(CU217), ""DALLAS""),0,1)"),0.0)</f>
        <v>0</v>
      </c>
      <c r="CX217" s="51">
        <f t="shared" si="17"/>
        <v>0</v>
      </c>
      <c r="CY217" s="51">
        <f t="shared" si="18"/>
        <v>0</v>
      </c>
      <c r="CZ217" s="52" t="str">
        <f t="shared" si="19"/>
        <v/>
      </c>
      <c r="DA217" s="58"/>
      <c r="DB217" s="52"/>
      <c r="DC217" s="52"/>
      <c r="DD217" s="52"/>
      <c r="DE217" s="52"/>
      <c r="DF217" s="52"/>
      <c r="DG217" s="52"/>
      <c r="DH217" s="52"/>
      <c r="DI217" s="52"/>
      <c r="DJ217" s="52"/>
      <c r="DK217" s="52"/>
      <c r="DL217" s="52"/>
      <c r="DM217" s="52"/>
      <c r="DN217" s="52"/>
      <c r="DO217" s="52"/>
      <c r="DP217" s="52"/>
      <c r="DQ217" s="52"/>
      <c r="DR217" s="52"/>
      <c r="DS217" s="52"/>
      <c r="DT217" s="52"/>
      <c r="DU217" s="52"/>
      <c r="DV217" s="52"/>
      <c r="DW217" s="52"/>
    </row>
    <row r="218">
      <c r="A218" s="22" t="s">
        <v>55</v>
      </c>
      <c r="B218" s="23" t="s">
        <v>56</v>
      </c>
      <c r="C218" s="31" t="s">
        <v>57</v>
      </c>
      <c r="D218" s="25" t="str">
        <f>IFERROR(__xludf.DUMMYFUNCTION("SPLIT(C218,"" "")"),"Ablon,")</f>
        <v>Ablon,</v>
      </c>
      <c r="E218" s="22" t="str">
        <f>IFERROR(__xludf.DUMMYFUNCTION("""COMPUTED_VALUE"""),"Michael
5908")</f>
        <v>Michael
5908</v>
      </c>
      <c r="F218" s="22" t="str">
        <f>IFERROR(__xludf.DUMMYFUNCTION("""COMPUTED_VALUE"""),"Azalea")</f>
        <v>Azalea</v>
      </c>
      <c r="G218" s="22" t="str">
        <f>IFERROR(__xludf.DUMMYFUNCTION("""COMPUTED_VALUE"""),"Ln.
Dallas,")</f>
        <v>Ln.
Dallas,</v>
      </c>
      <c r="H218" s="22" t="str">
        <f>IFERROR(__xludf.DUMMYFUNCTION("""COMPUTED_VALUE"""),"TX")</f>
        <v>TX</v>
      </c>
      <c r="I218" s="22">
        <f>IFERROR(__xludf.DUMMYFUNCTION("""COMPUTED_VALUE"""),75230.0)</f>
        <v>75230</v>
      </c>
      <c r="J218" s="22"/>
      <c r="K218" s="22"/>
      <c r="L218" s="22"/>
      <c r="M218" s="22"/>
      <c r="N218" s="22"/>
      <c r="O218" s="22"/>
      <c r="P218" s="22"/>
      <c r="Q218" s="22"/>
      <c r="R218" s="22"/>
      <c r="S218" s="22"/>
      <c r="T218" s="22"/>
      <c r="U218" s="24" t="str">
        <f>IFERROR(__xludf.DUMMYFUNCTION("SPLIT(E218,""01234567890"")"),"Michael
")</f>
        <v>Michael
</v>
      </c>
      <c r="V218" s="24" t="str">
        <f>IFERROR(__xludf.DUMMYFUNCTION("SPLIT(D218,"","")"),"Ablon")</f>
        <v>Ablon</v>
      </c>
      <c r="W218" s="25" t="str">
        <f t="shared" si="1"/>
        <v>MICHAEL
 ABLON</v>
      </c>
      <c r="X218" s="25" t="s">
        <v>58</v>
      </c>
      <c r="Y218" s="25">
        <v>75230.0</v>
      </c>
      <c r="Z218" s="25" t="str">
        <f>IFERROR(__xludf.DUMMYFUNCTION("SPLIT(C218,""
"")"),"Ablon, Michael")</f>
        <v>Ablon, Michael</v>
      </c>
      <c r="AA218" s="25" t="str">
        <f>IFERROR(__xludf.DUMMYFUNCTION("""COMPUTED_VALUE"""),"5908 Azalea Ln.")</f>
        <v>5908 Azalea Ln.</v>
      </c>
      <c r="AB218" s="25" t="str">
        <f>IFERROR(__xludf.DUMMYFUNCTION("""COMPUTED_VALUE"""),"Dallas, TX 75230")</f>
        <v>Dallas, TX 75230</v>
      </c>
      <c r="AC218" s="24" t="s">
        <v>59</v>
      </c>
      <c r="AD218" s="25"/>
      <c r="AE218" s="25"/>
      <c r="AF218" s="25"/>
      <c r="AG218" s="22" t="s">
        <v>60</v>
      </c>
      <c r="AH218" s="54">
        <v>2441.0</v>
      </c>
      <c r="AI218" s="22" t="s">
        <v>61</v>
      </c>
      <c r="AJ218" s="27">
        <v>1000.0</v>
      </c>
      <c r="AK218" s="31" t="s">
        <v>21</v>
      </c>
      <c r="AL218" s="28">
        <v>44732.0</v>
      </c>
      <c r="AM218" s="29">
        <v>44756.4640625</v>
      </c>
      <c r="AN218" s="30">
        <v>2.0</v>
      </c>
      <c r="AO218" s="22"/>
      <c r="AP218" s="22"/>
      <c r="AQ218" s="22"/>
      <c r="AR218" s="22"/>
      <c r="AS218" s="22"/>
      <c r="AT218" s="70"/>
      <c r="AU218" s="22"/>
      <c r="AV218" s="57" t="str">
        <f>IFERROR(__xludf.DUMMYFUNCTION("""COMPUTED_VALUE"""),"Rastogi")</f>
        <v>Rastogi</v>
      </c>
      <c r="AW218" s="46">
        <f t="shared" si="7"/>
        <v>250</v>
      </c>
      <c r="AX218" s="47">
        <f t="shared" ref="AX218:BQ218" si="764">SUMIFS($AJ:$AJ,$V:$V,$AV218,$AK:$AK,AX$2)</f>
        <v>0</v>
      </c>
      <c r="AY218" s="48">
        <f t="shared" si="764"/>
        <v>0</v>
      </c>
      <c r="AZ218" s="48">
        <f t="shared" si="764"/>
        <v>0</v>
      </c>
      <c r="BA218" s="48">
        <f t="shared" si="764"/>
        <v>0</v>
      </c>
      <c r="BB218" s="48">
        <f t="shared" si="764"/>
        <v>250</v>
      </c>
      <c r="BC218" s="48">
        <f t="shared" si="764"/>
        <v>0</v>
      </c>
      <c r="BD218" s="48">
        <f t="shared" si="764"/>
        <v>0</v>
      </c>
      <c r="BE218" s="48">
        <f t="shared" si="764"/>
        <v>0</v>
      </c>
      <c r="BF218" s="48">
        <f t="shared" si="764"/>
        <v>0</v>
      </c>
      <c r="BG218" s="48">
        <f t="shared" si="764"/>
        <v>0</v>
      </c>
      <c r="BH218" s="48">
        <f t="shared" si="764"/>
        <v>0</v>
      </c>
      <c r="BI218" s="48">
        <f t="shared" si="764"/>
        <v>0</v>
      </c>
      <c r="BJ218" s="48">
        <f t="shared" si="764"/>
        <v>0</v>
      </c>
      <c r="BK218" s="48">
        <f t="shared" si="764"/>
        <v>0</v>
      </c>
      <c r="BL218" s="48">
        <f t="shared" si="764"/>
        <v>0</v>
      </c>
      <c r="BM218" s="48">
        <f t="shared" si="764"/>
        <v>0</v>
      </c>
      <c r="BN218" s="48">
        <f t="shared" si="764"/>
        <v>0</v>
      </c>
      <c r="BO218" s="48">
        <f t="shared" si="764"/>
        <v>0</v>
      </c>
      <c r="BP218" s="48">
        <f t="shared" si="764"/>
        <v>0</v>
      </c>
      <c r="BQ218" s="48">
        <f t="shared" si="764"/>
        <v>0</v>
      </c>
      <c r="BR218" s="36">
        <f t="shared" si="9"/>
        <v>0</v>
      </c>
      <c r="BS218" s="38">
        <f t="shared" si="10"/>
        <v>1</v>
      </c>
      <c r="BT218" s="49">
        <f t="shared" si="11"/>
        <v>0</v>
      </c>
      <c r="BU218" s="38">
        <f t="shared" si="12"/>
        <v>1000</v>
      </c>
      <c r="BV218" s="57" t="str">
        <f>IFERROR(__xludf.DUMMYFUNCTION("""COMPUTED_VALUE"""),"Rastogi")</f>
        <v>Rastogi</v>
      </c>
      <c r="BW218" s="46">
        <f t="shared" si="13"/>
        <v>250</v>
      </c>
      <c r="BX218" s="47">
        <f t="shared" ref="BX218:CA218" si="765">AX218-$BU218</f>
        <v>-1000</v>
      </c>
      <c r="BY218" s="47">
        <f t="shared" si="765"/>
        <v>-1000</v>
      </c>
      <c r="BZ218" s="47">
        <f t="shared" si="765"/>
        <v>-1000</v>
      </c>
      <c r="CA218" s="47">
        <f t="shared" si="765"/>
        <v>-1000</v>
      </c>
      <c r="CB218" s="47">
        <f t="shared" si="15"/>
        <v>-9750</v>
      </c>
      <c r="CC218" s="47">
        <f t="shared" ref="CC218:CQ218" si="766">BC218-$BU218</f>
        <v>-1000</v>
      </c>
      <c r="CD218" s="47">
        <f t="shared" si="766"/>
        <v>-1000</v>
      </c>
      <c r="CE218" s="47">
        <f t="shared" si="766"/>
        <v>-1000</v>
      </c>
      <c r="CF218" s="47">
        <f t="shared" si="766"/>
        <v>-1000</v>
      </c>
      <c r="CG218" s="47">
        <f t="shared" si="766"/>
        <v>-1000</v>
      </c>
      <c r="CH218" s="47">
        <f t="shared" si="766"/>
        <v>-1000</v>
      </c>
      <c r="CI218" s="47">
        <f t="shared" si="766"/>
        <v>-1000</v>
      </c>
      <c r="CJ218" s="47">
        <f t="shared" si="766"/>
        <v>-1000</v>
      </c>
      <c r="CK218" s="47">
        <f t="shared" si="766"/>
        <v>-1000</v>
      </c>
      <c r="CL218" s="47">
        <f t="shared" si="766"/>
        <v>-1000</v>
      </c>
      <c r="CM218" s="47">
        <f t="shared" si="766"/>
        <v>-1000</v>
      </c>
      <c r="CN218" s="47">
        <f t="shared" si="766"/>
        <v>-1000</v>
      </c>
      <c r="CO218" s="47">
        <f t="shared" si="766"/>
        <v>-1000</v>
      </c>
      <c r="CP218" s="47">
        <f t="shared" si="766"/>
        <v>-1000</v>
      </c>
      <c r="CQ218" s="47">
        <f t="shared" si="766"/>
        <v>-1000</v>
      </c>
      <c r="CR218" s="47"/>
      <c r="CS218" s="47"/>
      <c r="CT218" s="47"/>
      <c r="CU218" s="50" t="str">
        <f>IFERROR(__xludf.DUMMYFUNCTION("""COMPUTED_VALUE"""),"6060 N Central Expwy.
Dallas, TX 75206         ")</f>
        <v>6060 N Central Expwy.
Dallas, TX 75206         </v>
      </c>
      <c r="CV218" s="51">
        <f>IFERROR(__xludf.DUMMYFUNCTION("IF(REGEXMATCH(UPPER(CU218), ""TX""),0,1)"),0.0)</f>
        <v>0</v>
      </c>
      <c r="CW218" s="51">
        <f>IFERROR(__xludf.DUMMYFUNCTION("IF(REGEXMATCH(UPPER(CU218), ""DALLAS""),0,1)"),0.0)</f>
        <v>0</v>
      </c>
      <c r="CX218" s="51">
        <f t="shared" si="17"/>
        <v>0</v>
      </c>
      <c r="CY218" s="51">
        <f t="shared" si="18"/>
        <v>0</v>
      </c>
      <c r="CZ218" s="52" t="str">
        <f t="shared" si="19"/>
        <v/>
      </c>
      <c r="DA218" s="58"/>
      <c r="DB218" s="52"/>
      <c r="DC218" s="52"/>
      <c r="DD218" s="52"/>
      <c r="DE218" s="52"/>
      <c r="DF218" s="52"/>
      <c r="DG218" s="52"/>
      <c r="DH218" s="52"/>
      <c r="DI218" s="52"/>
      <c r="DJ218" s="52"/>
      <c r="DK218" s="52"/>
      <c r="DL218" s="52"/>
      <c r="DM218" s="52"/>
      <c r="DN218" s="52"/>
      <c r="DO218" s="52"/>
      <c r="DP218" s="52"/>
      <c r="DQ218" s="52"/>
      <c r="DR218" s="52"/>
      <c r="DS218" s="52"/>
      <c r="DT218" s="52"/>
      <c r="DU218" s="52"/>
      <c r="DV218" s="52"/>
      <c r="DW218" s="52"/>
    </row>
    <row r="219">
      <c r="A219" s="40" t="s">
        <v>55</v>
      </c>
      <c r="B219" s="41" t="s">
        <v>56</v>
      </c>
      <c r="C219" s="31" t="s">
        <v>629</v>
      </c>
      <c r="D219" s="25" t="str">
        <f>IFERROR(__xludf.DUMMYFUNCTION("SPLIT(C219,"" "")"),"Granoff,")</f>
        <v>Granoff,</v>
      </c>
      <c r="E219" s="40" t="str">
        <f>IFERROR(__xludf.DUMMYFUNCTION("""COMPUTED_VALUE"""),"Peter
2207")</f>
        <v>Peter
2207</v>
      </c>
      <c r="F219" s="40" t="str">
        <f>IFERROR(__xludf.DUMMYFUNCTION("""COMPUTED_VALUE"""),"Kessler")</f>
        <v>Kessler</v>
      </c>
      <c r="G219" s="40" t="str">
        <f>IFERROR(__xludf.DUMMYFUNCTION("""COMPUTED_VALUE"""),"Woods")</f>
        <v>Woods</v>
      </c>
      <c r="H219" s="40" t="str">
        <f>IFERROR(__xludf.DUMMYFUNCTION("""COMPUTED_VALUE"""),"Ct.
Dallas,")</f>
        <v>Ct.
Dallas,</v>
      </c>
      <c r="I219" s="40" t="str">
        <f>IFERROR(__xludf.DUMMYFUNCTION("""COMPUTED_VALUE"""),"TX")</f>
        <v>TX</v>
      </c>
      <c r="J219" s="40">
        <f>IFERROR(__xludf.DUMMYFUNCTION("""COMPUTED_VALUE"""),75208.0)</f>
        <v>75208</v>
      </c>
      <c r="K219" s="40"/>
      <c r="L219" s="40"/>
      <c r="M219" s="40"/>
      <c r="N219" s="40"/>
      <c r="O219" s="40"/>
      <c r="P219" s="40"/>
      <c r="Q219" s="40"/>
      <c r="R219" s="40"/>
      <c r="S219" s="40"/>
      <c r="T219" s="40"/>
      <c r="U219" s="24" t="str">
        <f>IFERROR(__xludf.DUMMYFUNCTION("SPLIT(E219,""01234567890"")"),"Peter
")</f>
        <v>Peter
</v>
      </c>
      <c r="V219" s="24" t="str">
        <f>IFERROR(__xludf.DUMMYFUNCTION("SPLIT(D219,"","")"),"Granoff")</f>
        <v>Granoff</v>
      </c>
      <c r="W219" s="25" t="str">
        <f t="shared" si="1"/>
        <v>PETER
 GRANOFF</v>
      </c>
      <c r="X219" s="25" t="s">
        <v>630</v>
      </c>
      <c r="Y219" s="25">
        <v>75208.0</v>
      </c>
      <c r="Z219" s="25" t="str">
        <f>IFERROR(__xludf.DUMMYFUNCTION("SPLIT(C219,""
"")"),"Granoff, Peter")</f>
        <v>Granoff, Peter</v>
      </c>
      <c r="AA219" s="25" t="str">
        <f>IFERROR(__xludf.DUMMYFUNCTION("""COMPUTED_VALUE"""),"2207 Kessler Woods Ct.")</f>
        <v>2207 Kessler Woods Ct.</v>
      </c>
      <c r="AB219" s="25" t="str">
        <f>IFERROR(__xludf.DUMMYFUNCTION("""COMPUTED_VALUE"""),"Dallas, TX 75208")</f>
        <v>Dallas, TX 75208</v>
      </c>
      <c r="AC219" s="24" t="s">
        <v>631</v>
      </c>
      <c r="AD219" s="25"/>
      <c r="AE219" s="25"/>
      <c r="AF219" s="25"/>
      <c r="AG219" s="40" t="s">
        <v>60</v>
      </c>
      <c r="AH219" s="42">
        <v>2441.0</v>
      </c>
      <c r="AI219" s="40" t="s">
        <v>61</v>
      </c>
      <c r="AJ219" s="27">
        <v>500.0</v>
      </c>
      <c r="AK219" s="31" t="s">
        <v>21</v>
      </c>
      <c r="AL219" s="43">
        <v>44732.0</v>
      </c>
      <c r="AM219" s="44">
        <v>44756.4640625</v>
      </c>
      <c r="AN219" s="30">
        <v>2.0</v>
      </c>
      <c r="AO219" s="40"/>
      <c r="AP219" s="40"/>
      <c r="AQ219" s="40"/>
      <c r="AR219" s="40"/>
      <c r="AS219" s="40"/>
      <c r="AT219" s="47"/>
      <c r="AU219" s="40"/>
      <c r="AV219" s="46" t="str">
        <f>IFERROR(__xludf.DUMMYFUNCTION("""COMPUTED_VALUE"""),"Parish")</f>
        <v>Parish</v>
      </c>
      <c r="AW219" s="46">
        <f t="shared" si="7"/>
        <v>400</v>
      </c>
      <c r="AX219" s="47">
        <f t="shared" ref="AX219:BQ219" si="767">SUMIFS($AJ:$AJ,$V:$V,$AV219,$AK:$AK,AX$2)</f>
        <v>0</v>
      </c>
      <c r="AY219" s="48">
        <f t="shared" si="767"/>
        <v>0</v>
      </c>
      <c r="AZ219" s="48">
        <f t="shared" si="767"/>
        <v>0</v>
      </c>
      <c r="BA219" s="48">
        <f t="shared" si="767"/>
        <v>0</v>
      </c>
      <c r="BB219" s="48">
        <f t="shared" si="767"/>
        <v>400</v>
      </c>
      <c r="BC219" s="48">
        <f t="shared" si="767"/>
        <v>0</v>
      </c>
      <c r="BD219" s="48">
        <f t="shared" si="767"/>
        <v>0</v>
      </c>
      <c r="BE219" s="48">
        <f t="shared" si="767"/>
        <v>0</v>
      </c>
      <c r="BF219" s="48">
        <f t="shared" si="767"/>
        <v>0</v>
      </c>
      <c r="BG219" s="48">
        <f t="shared" si="767"/>
        <v>0</v>
      </c>
      <c r="BH219" s="48">
        <f t="shared" si="767"/>
        <v>0</v>
      </c>
      <c r="BI219" s="48">
        <f t="shared" si="767"/>
        <v>0</v>
      </c>
      <c r="BJ219" s="48">
        <f t="shared" si="767"/>
        <v>0</v>
      </c>
      <c r="BK219" s="48">
        <f t="shared" si="767"/>
        <v>0</v>
      </c>
      <c r="BL219" s="48">
        <f t="shared" si="767"/>
        <v>0</v>
      </c>
      <c r="BM219" s="48">
        <f t="shared" si="767"/>
        <v>0</v>
      </c>
      <c r="BN219" s="48">
        <f t="shared" si="767"/>
        <v>0</v>
      </c>
      <c r="BO219" s="48">
        <f t="shared" si="767"/>
        <v>0</v>
      </c>
      <c r="BP219" s="48">
        <f t="shared" si="767"/>
        <v>0</v>
      </c>
      <c r="BQ219" s="48">
        <f t="shared" si="767"/>
        <v>0</v>
      </c>
      <c r="BR219" s="36">
        <f t="shared" si="9"/>
        <v>1</v>
      </c>
      <c r="BS219" s="38">
        <f t="shared" si="10"/>
        <v>2</v>
      </c>
      <c r="BT219" s="49">
        <f t="shared" si="11"/>
        <v>0</v>
      </c>
      <c r="BU219" s="38">
        <f t="shared" si="12"/>
        <v>2000</v>
      </c>
      <c r="BV219" s="46" t="str">
        <f>IFERROR(__xludf.DUMMYFUNCTION("""COMPUTED_VALUE"""),"Parish")</f>
        <v>Parish</v>
      </c>
      <c r="BW219" s="46">
        <f t="shared" si="13"/>
        <v>400</v>
      </c>
      <c r="BX219" s="47">
        <f t="shared" ref="BX219:CA219" si="768">AX219-$BU219</f>
        <v>-2000</v>
      </c>
      <c r="BY219" s="47">
        <f t="shared" si="768"/>
        <v>-2000</v>
      </c>
      <c r="BZ219" s="47">
        <f t="shared" si="768"/>
        <v>-2000</v>
      </c>
      <c r="CA219" s="47">
        <f t="shared" si="768"/>
        <v>-2000</v>
      </c>
      <c r="CB219" s="47">
        <f t="shared" si="15"/>
        <v>-19600</v>
      </c>
      <c r="CC219" s="47">
        <f t="shared" ref="CC219:CQ219" si="769">BC219-$BU219</f>
        <v>-2000</v>
      </c>
      <c r="CD219" s="47">
        <f t="shared" si="769"/>
        <v>-2000</v>
      </c>
      <c r="CE219" s="47">
        <f t="shared" si="769"/>
        <v>-2000</v>
      </c>
      <c r="CF219" s="47">
        <f t="shared" si="769"/>
        <v>-2000</v>
      </c>
      <c r="CG219" s="47">
        <f t="shared" si="769"/>
        <v>-2000</v>
      </c>
      <c r="CH219" s="47">
        <f t="shared" si="769"/>
        <v>-2000</v>
      </c>
      <c r="CI219" s="47">
        <f t="shared" si="769"/>
        <v>-2000</v>
      </c>
      <c r="CJ219" s="47">
        <f t="shared" si="769"/>
        <v>-2000</v>
      </c>
      <c r="CK219" s="47">
        <f t="shared" si="769"/>
        <v>-2000</v>
      </c>
      <c r="CL219" s="47">
        <f t="shared" si="769"/>
        <v>-2000</v>
      </c>
      <c r="CM219" s="47">
        <f t="shared" si="769"/>
        <v>-2000</v>
      </c>
      <c r="CN219" s="47">
        <f t="shared" si="769"/>
        <v>-2000</v>
      </c>
      <c r="CO219" s="47">
        <f t="shared" si="769"/>
        <v>-2000</v>
      </c>
      <c r="CP219" s="47">
        <f t="shared" si="769"/>
        <v>-2000</v>
      </c>
      <c r="CQ219" s="47">
        <f t="shared" si="769"/>
        <v>-2000</v>
      </c>
      <c r="CR219" s="47"/>
      <c r="CS219" s="47"/>
      <c r="CT219" s="47"/>
      <c r="CU219" s="50" t="str">
        <f>IFERROR(__xludf.DUMMYFUNCTION("""COMPUTED_VALUE"""),"1414 Cedar Hill Ave.
Dallas, TX 75208         ")</f>
        <v>1414 Cedar Hill Ave.
Dallas, TX 75208         </v>
      </c>
      <c r="CV219" s="51">
        <f>IFERROR(__xludf.DUMMYFUNCTION("IF(REGEXMATCH(UPPER(CU219), ""TX""),0,1)"),0.0)</f>
        <v>0</v>
      </c>
      <c r="CW219" s="51">
        <f>IFERROR(__xludf.DUMMYFUNCTION("IF(REGEXMATCH(UPPER(CU219), ""DALLAS""),0,1)"),0.0)</f>
        <v>0</v>
      </c>
      <c r="CX219" s="51">
        <f t="shared" si="17"/>
        <v>0</v>
      </c>
      <c r="CY219" s="51">
        <f t="shared" si="18"/>
        <v>0</v>
      </c>
      <c r="CZ219" s="52" t="str">
        <f t="shared" si="19"/>
        <v/>
      </c>
      <c r="DA219" s="58"/>
      <c r="DB219" s="52"/>
      <c r="DC219" s="52"/>
      <c r="DD219" s="52"/>
      <c r="DE219" s="52"/>
      <c r="DF219" s="52"/>
      <c r="DG219" s="52"/>
      <c r="DH219" s="52"/>
      <c r="DI219" s="52"/>
      <c r="DJ219" s="52"/>
      <c r="DK219" s="52"/>
      <c r="DL219" s="52"/>
      <c r="DM219" s="52"/>
      <c r="DN219" s="52"/>
      <c r="DO219" s="52"/>
      <c r="DP219" s="52"/>
      <c r="DQ219" s="52"/>
      <c r="DR219" s="52"/>
      <c r="DS219" s="52"/>
      <c r="DT219" s="52"/>
      <c r="DU219" s="52"/>
      <c r="DV219" s="52"/>
      <c r="DW219" s="52"/>
    </row>
    <row r="220">
      <c r="A220" s="22" t="s">
        <v>55</v>
      </c>
      <c r="B220" s="23" t="s">
        <v>56</v>
      </c>
      <c r="C220" s="31" t="s">
        <v>632</v>
      </c>
      <c r="D220" s="25" t="str">
        <f>IFERROR(__xludf.DUMMYFUNCTION("SPLIT(C220,"" "")"),"Bradshaw,")</f>
        <v>Bradshaw,</v>
      </c>
      <c r="E220" s="22" t="str">
        <f>IFERROR(__xludf.DUMMYFUNCTION("""COMPUTED_VALUE"""),"Stefanie
2929")</f>
        <v>Stefanie
2929</v>
      </c>
      <c r="F220" s="22" t="str">
        <f>IFERROR(__xludf.DUMMYFUNCTION("""COMPUTED_VALUE"""),"Wycliff")</f>
        <v>Wycliff</v>
      </c>
      <c r="G220" s="22" t="str">
        <f>IFERROR(__xludf.DUMMYFUNCTION("""COMPUTED_VALUE"""),"Ave.
Dallas,")</f>
        <v>Ave.
Dallas,</v>
      </c>
      <c r="H220" s="22" t="str">
        <f>IFERROR(__xludf.DUMMYFUNCTION("""COMPUTED_VALUE"""),"TX")</f>
        <v>TX</v>
      </c>
      <c r="I220" s="22">
        <f>IFERROR(__xludf.DUMMYFUNCTION("""COMPUTED_VALUE"""),75219.0)</f>
        <v>75219</v>
      </c>
      <c r="J220" s="22"/>
      <c r="K220" s="22"/>
      <c r="L220" s="22"/>
      <c r="M220" s="22"/>
      <c r="N220" s="22"/>
      <c r="O220" s="22"/>
      <c r="P220" s="22"/>
      <c r="Q220" s="22"/>
      <c r="R220" s="22"/>
      <c r="S220" s="22"/>
      <c r="T220" s="22"/>
      <c r="U220" s="24" t="str">
        <f>IFERROR(__xludf.DUMMYFUNCTION("SPLIT(E220,""01234567890"")"),"Stefanie
")</f>
        <v>Stefanie
</v>
      </c>
      <c r="V220" s="24" t="str">
        <f>IFERROR(__xludf.DUMMYFUNCTION("SPLIT(D220,"","")"),"Bradshaw")</f>
        <v>Bradshaw</v>
      </c>
      <c r="W220" s="25" t="str">
        <f t="shared" si="1"/>
        <v>STEFANIE
 BRADSHAW</v>
      </c>
      <c r="X220" s="25" t="s">
        <v>633</v>
      </c>
      <c r="Y220" s="25">
        <v>75219.0</v>
      </c>
      <c r="Z220" s="25" t="str">
        <f>IFERROR(__xludf.DUMMYFUNCTION("SPLIT(C220,""
"")"),"Bradshaw, Stefanie")</f>
        <v>Bradshaw, Stefanie</v>
      </c>
      <c r="AA220" s="25" t="str">
        <f>IFERROR(__xludf.DUMMYFUNCTION("""COMPUTED_VALUE"""),"2929 Wycliff Ave.")</f>
        <v>2929 Wycliff Ave.</v>
      </c>
      <c r="AB220" s="25" t="str">
        <f>IFERROR(__xludf.DUMMYFUNCTION("""COMPUTED_VALUE"""),"Dallas, TX 75219")</f>
        <v>Dallas, TX 75219</v>
      </c>
      <c r="AC220" s="24" t="s">
        <v>634</v>
      </c>
      <c r="AD220" s="25"/>
      <c r="AE220" s="25"/>
      <c r="AF220" s="25"/>
      <c r="AG220" s="22" t="s">
        <v>60</v>
      </c>
      <c r="AH220" s="54">
        <v>2441.0</v>
      </c>
      <c r="AI220" s="22" t="s">
        <v>61</v>
      </c>
      <c r="AJ220" s="27">
        <v>250.0</v>
      </c>
      <c r="AK220" s="31" t="s">
        <v>21</v>
      </c>
      <c r="AL220" s="28">
        <v>44732.0</v>
      </c>
      <c r="AM220" s="29">
        <v>44756.4640625</v>
      </c>
      <c r="AN220" s="30">
        <v>2.0</v>
      </c>
      <c r="AO220" s="22"/>
      <c r="AP220" s="22"/>
      <c r="AQ220" s="22"/>
      <c r="AR220" s="22"/>
      <c r="AS220" s="22"/>
      <c r="AT220" s="70"/>
      <c r="AU220" s="22"/>
      <c r="AV220" s="57" t="str">
        <f>IFERROR(__xludf.DUMMYFUNCTION("""COMPUTED_VALUE"""),"Rupani")</f>
        <v>Rupani</v>
      </c>
      <c r="AW220" s="46">
        <f t="shared" si="7"/>
        <v>7500</v>
      </c>
      <c r="AX220" s="47">
        <f t="shared" ref="AX220:BQ220" si="770">SUMIFS($AJ:$AJ,$V:$V,$AV220,$AK:$AK,AX$2)</f>
        <v>0</v>
      </c>
      <c r="AY220" s="48">
        <f t="shared" si="770"/>
        <v>0</v>
      </c>
      <c r="AZ220" s="48">
        <f t="shared" si="770"/>
        <v>0</v>
      </c>
      <c r="BA220" s="48">
        <f t="shared" si="770"/>
        <v>0</v>
      </c>
      <c r="BB220" s="48">
        <f t="shared" si="770"/>
        <v>7500</v>
      </c>
      <c r="BC220" s="48">
        <f t="shared" si="770"/>
        <v>0</v>
      </c>
      <c r="BD220" s="48">
        <f t="shared" si="770"/>
        <v>0</v>
      </c>
      <c r="BE220" s="48">
        <f t="shared" si="770"/>
        <v>0</v>
      </c>
      <c r="BF220" s="48">
        <f t="shared" si="770"/>
        <v>0</v>
      </c>
      <c r="BG220" s="48">
        <f t="shared" si="770"/>
        <v>0</v>
      </c>
      <c r="BH220" s="48">
        <f t="shared" si="770"/>
        <v>0</v>
      </c>
      <c r="BI220" s="48">
        <f t="shared" si="770"/>
        <v>0</v>
      </c>
      <c r="BJ220" s="48">
        <f t="shared" si="770"/>
        <v>0</v>
      </c>
      <c r="BK220" s="48">
        <f t="shared" si="770"/>
        <v>0</v>
      </c>
      <c r="BL220" s="48">
        <f t="shared" si="770"/>
        <v>0</v>
      </c>
      <c r="BM220" s="48">
        <f t="shared" si="770"/>
        <v>0</v>
      </c>
      <c r="BN220" s="48">
        <f t="shared" si="770"/>
        <v>0</v>
      </c>
      <c r="BO220" s="48">
        <f t="shared" si="770"/>
        <v>0</v>
      </c>
      <c r="BP220" s="48">
        <f t="shared" si="770"/>
        <v>0</v>
      </c>
      <c r="BQ220" s="48">
        <f t="shared" si="770"/>
        <v>0</v>
      </c>
      <c r="BR220" s="36">
        <f t="shared" si="9"/>
        <v>1</v>
      </c>
      <c r="BS220" s="38">
        <f t="shared" si="10"/>
        <v>2</v>
      </c>
      <c r="BT220" s="49">
        <f t="shared" si="11"/>
        <v>0</v>
      </c>
      <c r="BU220" s="38">
        <f t="shared" si="12"/>
        <v>2000</v>
      </c>
      <c r="BV220" s="57" t="str">
        <f>IFERROR(__xludf.DUMMYFUNCTION("""COMPUTED_VALUE"""),"Rupani")</f>
        <v>Rupani</v>
      </c>
      <c r="BW220" s="46">
        <f t="shared" si="13"/>
        <v>7500</v>
      </c>
      <c r="BX220" s="47">
        <f t="shared" ref="BX220:CA220" si="771">AX220-$BU220</f>
        <v>-2000</v>
      </c>
      <c r="BY220" s="47">
        <f t="shared" si="771"/>
        <v>-2000</v>
      </c>
      <c r="BZ220" s="47">
        <f t="shared" si="771"/>
        <v>-2000</v>
      </c>
      <c r="CA220" s="47">
        <f t="shared" si="771"/>
        <v>-2000</v>
      </c>
      <c r="CB220" s="47">
        <f t="shared" si="15"/>
        <v>-12500</v>
      </c>
      <c r="CC220" s="47">
        <f t="shared" ref="CC220:CQ220" si="772">BC220-$BU220</f>
        <v>-2000</v>
      </c>
      <c r="CD220" s="47">
        <f t="shared" si="772"/>
        <v>-2000</v>
      </c>
      <c r="CE220" s="47">
        <f t="shared" si="772"/>
        <v>-2000</v>
      </c>
      <c r="CF220" s="47">
        <f t="shared" si="772"/>
        <v>-2000</v>
      </c>
      <c r="CG220" s="47">
        <f t="shared" si="772"/>
        <v>-2000</v>
      </c>
      <c r="CH220" s="47">
        <f t="shared" si="772"/>
        <v>-2000</v>
      </c>
      <c r="CI220" s="47">
        <f t="shared" si="772"/>
        <v>-2000</v>
      </c>
      <c r="CJ220" s="47">
        <f t="shared" si="772"/>
        <v>-2000</v>
      </c>
      <c r="CK220" s="47">
        <f t="shared" si="772"/>
        <v>-2000</v>
      </c>
      <c r="CL220" s="47">
        <f t="shared" si="772"/>
        <v>-2000</v>
      </c>
      <c r="CM220" s="47">
        <f t="shared" si="772"/>
        <v>-2000</v>
      </c>
      <c r="CN220" s="47">
        <f t="shared" si="772"/>
        <v>-2000</v>
      </c>
      <c r="CO220" s="47">
        <f t="shared" si="772"/>
        <v>-2000</v>
      </c>
      <c r="CP220" s="47">
        <f t="shared" si="772"/>
        <v>-2000</v>
      </c>
      <c r="CQ220" s="47">
        <f t="shared" si="772"/>
        <v>-2000</v>
      </c>
      <c r="CR220" s="47"/>
      <c r="CS220" s="47"/>
      <c r="CT220" s="47"/>
      <c r="CU220" s="50" t="str">
        <f>IFERROR(__xludf.DUMMYFUNCTION("""COMPUTED_VALUE"""),"daniel (Vinnie)
1743 Elmwood Blvd.
Dallas, TX 75224         ")</f>
        <v>daniel (Vinnie)
1743 Elmwood Blvd.
Dallas, TX 75224         </v>
      </c>
      <c r="CV220" s="51">
        <f>IFERROR(__xludf.DUMMYFUNCTION("IF(REGEXMATCH(UPPER(CU220), ""TX""),0,1)"),0.0)</f>
        <v>0</v>
      </c>
      <c r="CW220" s="51">
        <f>IFERROR(__xludf.DUMMYFUNCTION("IF(REGEXMATCH(UPPER(CU220), ""DALLAS""),0,1)"),0.0)</f>
        <v>0</v>
      </c>
      <c r="CX220" s="51">
        <f t="shared" si="17"/>
        <v>0</v>
      </c>
      <c r="CY220" s="51">
        <f t="shared" si="18"/>
        <v>0</v>
      </c>
      <c r="CZ220" s="52" t="str">
        <f t="shared" si="19"/>
        <v/>
      </c>
      <c r="DA220" s="58"/>
      <c r="DB220" s="52"/>
      <c r="DC220" s="52"/>
      <c r="DD220" s="52"/>
      <c r="DE220" s="52"/>
      <c r="DF220" s="52"/>
      <c r="DG220" s="52"/>
      <c r="DH220" s="52"/>
      <c r="DI220" s="52"/>
      <c r="DJ220" s="52"/>
      <c r="DK220" s="52"/>
      <c r="DL220" s="52"/>
      <c r="DM220" s="52"/>
      <c r="DN220" s="52"/>
      <c r="DO220" s="52"/>
      <c r="DP220" s="52"/>
      <c r="DQ220" s="52"/>
      <c r="DR220" s="52"/>
      <c r="DS220" s="52"/>
      <c r="DT220" s="52"/>
      <c r="DU220" s="52"/>
      <c r="DV220" s="52"/>
      <c r="DW220" s="52"/>
    </row>
    <row r="221">
      <c r="A221" s="40" t="s">
        <v>55</v>
      </c>
      <c r="B221" s="41" t="s">
        <v>56</v>
      </c>
      <c r="C221" s="31" t="s">
        <v>635</v>
      </c>
      <c r="D221" s="25" t="str">
        <f>IFERROR(__xludf.DUMMYFUNCTION("SPLIT(C221,"" "")"),"Reese,")</f>
        <v>Reese,</v>
      </c>
      <c r="E221" s="40" t="str">
        <f>IFERROR(__xludf.DUMMYFUNCTION("""COMPUTED_VALUE"""),"Susan")</f>
        <v>Susan</v>
      </c>
      <c r="F221" s="40" t="str">
        <f>IFERROR(__xludf.DUMMYFUNCTION("""COMPUTED_VALUE"""),"B.
2622")</f>
        <v>B.
2622</v>
      </c>
      <c r="G221" s="40" t="str">
        <f>IFERROR(__xludf.DUMMYFUNCTION("""COMPUTED_VALUE"""),"Commerce")</f>
        <v>Commerce</v>
      </c>
      <c r="H221" s="40" t="str">
        <f>IFERROR(__xludf.DUMMYFUNCTION("""COMPUTED_VALUE"""),"St.
Dallas,")</f>
        <v>St.
Dallas,</v>
      </c>
      <c r="I221" s="40" t="str">
        <f>IFERROR(__xludf.DUMMYFUNCTION("""COMPUTED_VALUE"""),"TX")</f>
        <v>TX</v>
      </c>
      <c r="J221" s="40">
        <f>IFERROR(__xludf.DUMMYFUNCTION("""COMPUTED_VALUE"""),75226.0)</f>
        <v>75226</v>
      </c>
      <c r="K221" s="40"/>
      <c r="L221" s="40"/>
      <c r="M221" s="40"/>
      <c r="N221" s="40"/>
      <c r="O221" s="40"/>
      <c r="P221" s="40"/>
      <c r="Q221" s="40"/>
      <c r="R221" s="40"/>
      <c r="S221" s="40"/>
      <c r="T221" s="40"/>
      <c r="U221" s="24" t="str">
        <f>IFERROR(__xludf.DUMMYFUNCTION("SPLIT(E221,""01234567890"")"),"Susan")</f>
        <v>Susan</v>
      </c>
      <c r="V221" s="24" t="str">
        <f>IFERROR(__xludf.DUMMYFUNCTION("SPLIT(D221,"","")"),"Reese")</f>
        <v>Reese</v>
      </c>
      <c r="W221" s="25" t="str">
        <f t="shared" si="1"/>
        <v>SUSAN REESE</v>
      </c>
      <c r="X221" s="25" t="s">
        <v>636</v>
      </c>
      <c r="Y221" s="25">
        <v>75226.0</v>
      </c>
      <c r="Z221" s="25" t="str">
        <f>IFERROR(__xludf.DUMMYFUNCTION("SPLIT(C221,""
"")"),"Reese, Susan B.")</f>
        <v>Reese, Susan B.</v>
      </c>
      <c r="AA221" s="25" t="str">
        <f>IFERROR(__xludf.DUMMYFUNCTION("""COMPUTED_VALUE"""),"2622 Commerce St.")</f>
        <v>2622 Commerce St.</v>
      </c>
      <c r="AB221" s="25" t="str">
        <f>IFERROR(__xludf.DUMMYFUNCTION("""COMPUTED_VALUE"""),"Dallas, TX 75226")</f>
        <v>Dallas, TX 75226</v>
      </c>
      <c r="AC221" s="24" t="s">
        <v>637</v>
      </c>
      <c r="AD221" s="25"/>
      <c r="AE221" s="25"/>
      <c r="AF221" s="25"/>
      <c r="AG221" s="40" t="s">
        <v>60</v>
      </c>
      <c r="AH221" s="42">
        <v>2441.0</v>
      </c>
      <c r="AI221" s="40" t="s">
        <v>61</v>
      </c>
      <c r="AJ221" s="27">
        <v>1000.0</v>
      </c>
      <c r="AK221" s="31" t="s">
        <v>21</v>
      </c>
      <c r="AL221" s="43">
        <v>44732.0</v>
      </c>
      <c r="AM221" s="44">
        <v>44756.4640625</v>
      </c>
      <c r="AN221" s="30">
        <v>2.0</v>
      </c>
      <c r="AO221" s="40"/>
      <c r="AP221" s="40"/>
      <c r="AQ221" s="40"/>
      <c r="AR221" s="40"/>
      <c r="AS221" s="40"/>
      <c r="AT221" s="47"/>
      <c r="AU221" s="40"/>
      <c r="AV221" s="46" t="str">
        <f>IFERROR(__xludf.DUMMYFUNCTION("""COMPUTED_VALUE"""),"Lashlee")</f>
        <v>Lashlee</v>
      </c>
      <c r="AW221" s="46">
        <f t="shared" si="7"/>
        <v>1000</v>
      </c>
      <c r="AX221" s="47">
        <f t="shared" ref="AX221:BQ221" si="773">SUMIFS($AJ:$AJ,$V:$V,$AV221,$AK:$AK,AX$2)</f>
        <v>0</v>
      </c>
      <c r="AY221" s="48">
        <f t="shared" si="773"/>
        <v>0</v>
      </c>
      <c r="AZ221" s="48">
        <f t="shared" si="773"/>
        <v>0</v>
      </c>
      <c r="BA221" s="48">
        <f t="shared" si="773"/>
        <v>0</v>
      </c>
      <c r="BB221" s="48">
        <f t="shared" si="773"/>
        <v>1000</v>
      </c>
      <c r="BC221" s="48">
        <f t="shared" si="773"/>
        <v>0</v>
      </c>
      <c r="BD221" s="48">
        <f t="shared" si="773"/>
        <v>0</v>
      </c>
      <c r="BE221" s="48">
        <f t="shared" si="773"/>
        <v>0</v>
      </c>
      <c r="BF221" s="48">
        <f t="shared" si="773"/>
        <v>0</v>
      </c>
      <c r="BG221" s="48">
        <f t="shared" si="773"/>
        <v>0</v>
      </c>
      <c r="BH221" s="48">
        <f t="shared" si="773"/>
        <v>0</v>
      </c>
      <c r="BI221" s="48">
        <f t="shared" si="773"/>
        <v>0</v>
      </c>
      <c r="BJ221" s="48">
        <f t="shared" si="773"/>
        <v>0</v>
      </c>
      <c r="BK221" s="48">
        <f t="shared" si="773"/>
        <v>0</v>
      </c>
      <c r="BL221" s="48">
        <f t="shared" si="773"/>
        <v>0</v>
      </c>
      <c r="BM221" s="48">
        <f t="shared" si="773"/>
        <v>0</v>
      </c>
      <c r="BN221" s="48">
        <f t="shared" si="773"/>
        <v>0</v>
      </c>
      <c r="BO221" s="48">
        <f t="shared" si="773"/>
        <v>0</v>
      </c>
      <c r="BP221" s="48">
        <f t="shared" si="773"/>
        <v>0</v>
      </c>
      <c r="BQ221" s="48">
        <f t="shared" si="773"/>
        <v>0</v>
      </c>
      <c r="BR221" s="36">
        <f t="shared" si="9"/>
        <v>0</v>
      </c>
      <c r="BS221" s="38">
        <f t="shared" si="10"/>
        <v>1</v>
      </c>
      <c r="BT221" s="49">
        <f t="shared" si="11"/>
        <v>0</v>
      </c>
      <c r="BU221" s="38">
        <f t="shared" si="12"/>
        <v>1000</v>
      </c>
      <c r="BV221" s="46" t="str">
        <f>IFERROR(__xludf.DUMMYFUNCTION("""COMPUTED_VALUE"""),"Lashlee")</f>
        <v>Lashlee</v>
      </c>
      <c r="BW221" s="46">
        <f t="shared" si="13"/>
        <v>1000</v>
      </c>
      <c r="BX221" s="47">
        <f t="shared" ref="BX221:CA221" si="774">AX221-$BU221</f>
        <v>-1000</v>
      </c>
      <c r="BY221" s="47">
        <f t="shared" si="774"/>
        <v>-1000</v>
      </c>
      <c r="BZ221" s="47">
        <f t="shared" si="774"/>
        <v>-1000</v>
      </c>
      <c r="CA221" s="47">
        <f t="shared" si="774"/>
        <v>-1000</v>
      </c>
      <c r="CB221" s="47">
        <f t="shared" si="15"/>
        <v>-9000</v>
      </c>
      <c r="CC221" s="47">
        <f t="shared" ref="CC221:CQ221" si="775">BC221-$BU221</f>
        <v>-1000</v>
      </c>
      <c r="CD221" s="47">
        <f t="shared" si="775"/>
        <v>-1000</v>
      </c>
      <c r="CE221" s="47">
        <f t="shared" si="775"/>
        <v>-1000</v>
      </c>
      <c r="CF221" s="47">
        <f t="shared" si="775"/>
        <v>-1000</v>
      </c>
      <c r="CG221" s="47">
        <f t="shared" si="775"/>
        <v>-1000</v>
      </c>
      <c r="CH221" s="47">
        <f t="shared" si="775"/>
        <v>-1000</v>
      </c>
      <c r="CI221" s="47">
        <f t="shared" si="775"/>
        <v>-1000</v>
      </c>
      <c r="CJ221" s="47">
        <f t="shared" si="775"/>
        <v>-1000</v>
      </c>
      <c r="CK221" s="47">
        <f t="shared" si="775"/>
        <v>-1000</v>
      </c>
      <c r="CL221" s="47">
        <f t="shared" si="775"/>
        <v>-1000</v>
      </c>
      <c r="CM221" s="47">
        <f t="shared" si="775"/>
        <v>-1000</v>
      </c>
      <c r="CN221" s="47">
        <f t="shared" si="775"/>
        <v>-1000</v>
      </c>
      <c r="CO221" s="47">
        <f t="shared" si="775"/>
        <v>-1000</v>
      </c>
      <c r="CP221" s="47">
        <f t="shared" si="775"/>
        <v>-1000</v>
      </c>
      <c r="CQ221" s="47">
        <f t="shared" si="775"/>
        <v>-1000</v>
      </c>
      <c r="CR221" s="47"/>
      <c r="CS221" s="47"/>
      <c r="CT221" s="47"/>
      <c r="CU221" s="50" t="str">
        <f>IFERROR(__xludf.DUMMYFUNCTION("""COMPUTED_VALUE"""),"4444 Cole Ave.
Dallas, TX 75205          ")</f>
        <v>4444 Cole Ave.
Dallas, TX 75205          </v>
      </c>
      <c r="CV221" s="51">
        <f>IFERROR(__xludf.DUMMYFUNCTION("IF(REGEXMATCH(UPPER(CU221), ""TX""),0,1)"),0.0)</f>
        <v>0</v>
      </c>
      <c r="CW221" s="51">
        <f>IFERROR(__xludf.DUMMYFUNCTION("IF(REGEXMATCH(UPPER(CU221), ""DALLAS""),0,1)"),0.0)</f>
        <v>0</v>
      </c>
      <c r="CX221" s="51">
        <f t="shared" si="17"/>
        <v>0</v>
      </c>
      <c r="CY221" s="51">
        <f t="shared" si="18"/>
        <v>0</v>
      </c>
      <c r="CZ221" s="52" t="str">
        <f t="shared" si="19"/>
        <v/>
      </c>
      <c r="DA221" s="58"/>
      <c r="DB221" s="52"/>
      <c r="DC221" s="52"/>
      <c r="DD221" s="52"/>
      <c r="DE221" s="52"/>
      <c r="DF221" s="52"/>
      <c r="DG221" s="52"/>
      <c r="DH221" s="52"/>
      <c r="DI221" s="52"/>
      <c r="DJ221" s="52"/>
      <c r="DK221" s="52"/>
      <c r="DL221" s="52"/>
      <c r="DM221" s="52"/>
      <c r="DN221" s="52"/>
      <c r="DO221" s="52"/>
      <c r="DP221" s="52"/>
      <c r="DQ221" s="52"/>
      <c r="DR221" s="52"/>
      <c r="DS221" s="52"/>
      <c r="DT221" s="52"/>
      <c r="DU221" s="52"/>
      <c r="DV221" s="52"/>
      <c r="DW221" s="52"/>
    </row>
    <row r="222">
      <c r="A222" s="22" t="s">
        <v>55</v>
      </c>
      <c r="B222" s="23" t="s">
        <v>56</v>
      </c>
      <c r="C222" s="31" t="s">
        <v>638</v>
      </c>
      <c r="D222" s="25" t="str">
        <f>IFERROR(__xludf.DUMMYFUNCTION("SPLIT(C222,"" "")"),"Kapioltas,")</f>
        <v>Kapioltas,</v>
      </c>
      <c r="E222" s="22" t="str">
        <f>IFERROR(__xludf.DUMMYFUNCTION("""COMPUTED_VALUE"""),"Tom
2295")</f>
        <v>Tom
2295</v>
      </c>
      <c r="F222" s="22" t="str">
        <f>IFERROR(__xludf.DUMMYFUNCTION("""COMPUTED_VALUE"""),"Sussex")</f>
        <v>Sussex</v>
      </c>
      <c r="G222" s="22" t="str">
        <f>IFERROR(__xludf.DUMMYFUNCTION("""COMPUTED_VALUE"""),"Ln.
Allen,")</f>
        <v>Ln.
Allen,</v>
      </c>
      <c r="H222" s="22" t="str">
        <f>IFERROR(__xludf.DUMMYFUNCTION("""COMPUTED_VALUE"""),"TX")</f>
        <v>TX</v>
      </c>
      <c r="I222" s="22">
        <f>IFERROR(__xludf.DUMMYFUNCTION("""COMPUTED_VALUE"""),75013.0)</f>
        <v>75013</v>
      </c>
      <c r="J222" s="22"/>
      <c r="K222" s="22"/>
      <c r="L222" s="22"/>
      <c r="M222" s="22"/>
      <c r="N222" s="22"/>
      <c r="O222" s="22"/>
      <c r="P222" s="22"/>
      <c r="Q222" s="22"/>
      <c r="R222" s="22"/>
      <c r="S222" s="22"/>
      <c r="T222" s="22"/>
      <c r="U222" s="24" t="str">
        <f>IFERROR(__xludf.DUMMYFUNCTION("SPLIT(E222,""01234567890"")"),"Tom
")</f>
        <v>Tom
</v>
      </c>
      <c r="V222" s="24" t="str">
        <f>IFERROR(__xludf.DUMMYFUNCTION("SPLIT(D222,"","")"),"Kapioltas")</f>
        <v>Kapioltas</v>
      </c>
      <c r="W222" s="25" t="str">
        <f t="shared" si="1"/>
        <v>TOM
 KAPIOLTAS</v>
      </c>
      <c r="X222" s="25" t="s">
        <v>639</v>
      </c>
      <c r="Y222" s="25">
        <v>75013.0</v>
      </c>
      <c r="Z222" s="25" t="str">
        <f>IFERROR(__xludf.DUMMYFUNCTION("SPLIT(C222,""
"")"),"Kapioltas, Tom")</f>
        <v>Kapioltas, Tom</v>
      </c>
      <c r="AA222" s="25" t="str">
        <f>IFERROR(__xludf.DUMMYFUNCTION("""COMPUTED_VALUE"""),"2295 Sussex Ln.")</f>
        <v>2295 Sussex Ln.</v>
      </c>
      <c r="AB222" s="25" t="str">
        <f>IFERROR(__xludf.DUMMYFUNCTION("""COMPUTED_VALUE"""),"Allen, TX 75013")</f>
        <v>Allen, TX 75013</v>
      </c>
      <c r="AC222" s="24" t="s">
        <v>640</v>
      </c>
      <c r="AD222" s="25"/>
      <c r="AE222" s="25"/>
      <c r="AF222" s="25"/>
      <c r="AG222" s="22" t="s">
        <v>60</v>
      </c>
      <c r="AH222" s="54">
        <v>2441.0</v>
      </c>
      <c r="AI222" s="22" t="s">
        <v>61</v>
      </c>
      <c r="AJ222" s="27">
        <v>1000.0</v>
      </c>
      <c r="AK222" s="31" t="s">
        <v>21</v>
      </c>
      <c r="AL222" s="28">
        <v>44732.0</v>
      </c>
      <c r="AM222" s="29">
        <v>44756.4640625</v>
      </c>
      <c r="AN222" s="30">
        <v>2.0</v>
      </c>
      <c r="AO222" s="22"/>
      <c r="AP222" s="22"/>
      <c r="AQ222" s="22"/>
      <c r="AR222" s="22"/>
      <c r="AS222" s="22"/>
      <c r="AT222" s="70"/>
      <c r="AU222" s="22"/>
      <c r="AV222" s="57" t="str">
        <f>IFERROR(__xludf.DUMMYFUNCTION("""COMPUTED_VALUE"""),"Maltese")</f>
        <v>Maltese</v>
      </c>
      <c r="AW222" s="46">
        <f t="shared" si="7"/>
        <v>250</v>
      </c>
      <c r="AX222" s="47">
        <f t="shared" ref="AX222:BQ222" si="776">SUMIFS($AJ:$AJ,$V:$V,$AV222,$AK:$AK,AX$2)</f>
        <v>0</v>
      </c>
      <c r="AY222" s="48">
        <f t="shared" si="776"/>
        <v>0</v>
      </c>
      <c r="AZ222" s="48">
        <f t="shared" si="776"/>
        <v>0</v>
      </c>
      <c r="BA222" s="48">
        <f t="shared" si="776"/>
        <v>0</v>
      </c>
      <c r="BB222" s="48">
        <f t="shared" si="776"/>
        <v>250</v>
      </c>
      <c r="BC222" s="48">
        <f t="shared" si="776"/>
        <v>0</v>
      </c>
      <c r="BD222" s="48">
        <f t="shared" si="776"/>
        <v>0</v>
      </c>
      <c r="BE222" s="48">
        <f t="shared" si="776"/>
        <v>0</v>
      </c>
      <c r="BF222" s="48">
        <f t="shared" si="776"/>
        <v>0</v>
      </c>
      <c r="BG222" s="48">
        <f t="shared" si="776"/>
        <v>0</v>
      </c>
      <c r="BH222" s="48">
        <f t="shared" si="776"/>
        <v>0</v>
      </c>
      <c r="BI222" s="48">
        <f t="shared" si="776"/>
        <v>0</v>
      </c>
      <c r="BJ222" s="48">
        <f t="shared" si="776"/>
        <v>0</v>
      </c>
      <c r="BK222" s="48">
        <f t="shared" si="776"/>
        <v>0</v>
      </c>
      <c r="BL222" s="48">
        <f t="shared" si="776"/>
        <v>0</v>
      </c>
      <c r="BM222" s="48">
        <f t="shared" si="776"/>
        <v>0</v>
      </c>
      <c r="BN222" s="48">
        <f t="shared" si="776"/>
        <v>0</v>
      </c>
      <c r="BO222" s="48">
        <f t="shared" si="776"/>
        <v>0</v>
      </c>
      <c r="BP222" s="48">
        <f t="shared" si="776"/>
        <v>0</v>
      </c>
      <c r="BQ222" s="48">
        <f t="shared" si="776"/>
        <v>0</v>
      </c>
      <c r="BR222" s="36">
        <f t="shared" si="9"/>
        <v>0</v>
      </c>
      <c r="BS222" s="38">
        <f t="shared" si="10"/>
        <v>1</v>
      </c>
      <c r="BT222" s="49">
        <f t="shared" si="11"/>
        <v>0</v>
      </c>
      <c r="BU222" s="38">
        <f t="shared" si="12"/>
        <v>1000</v>
      </c>
      <c r="BV222" s="57" t="str">
        <f>IFERROR(__xludf.DUMMYFUNCTION("""COMPUTED_VALUE"""),"Maltese")</f>
        <v>Maltese</v>
      </c>
      <c r="BW222" s="46">
        <f t="shared" si="13"/>
        <v>250</v>
      </c>
      <c r="BX222" s="47">
        <f t="shared" ref="BX222:CA222" si="777">AX222-$BU222</f>
        <v>-1000</v>
      </c>
      <c r="BY222" s="47">
        <f t="shared" si="777"/>
        <v>-1000</v>
      </c>
      <c r="BZ222" s="47">
        <f t="shared" si="777"/>
        <v>-1000</v>
      </c>
      <c r="CA222" s="47">
        <f t="shared" si="777"/>
        <v>-1000</v>
      </c>
      <c r="CB222" s="47">
        <f t="shared" si="15"/>
        <v>-9750</v>
      </c>
      <c r="CC222" s="47">
        <f t="shared" ref="CC222:CQ222" si="778">BC222-$BU222</f>
        <v>-1000</v>
      </c>
      <c r="CD222" s="47">
        <f t="shared" si="778"/>
        <v>-1000</v>
      </c>
      <c r="CE222" s="47">
        <f t="shared" si="778"/>
        <v>-1000</v>
      </c>
      <c r="CF222" s="47">
        <f t="shared" si="778"/>
        <v>-1000</v>
      </c>
      <c r="CG222" s="47">
        <f t="shared" si="778"/>
        <v>-1000</v>
      </c>
      <c r="CH222" s="47">
        <f t="shared" si="778"/>
        <v>-1000</v>
      </c>
      <c r="CI222" s="47">
        <f t="shared" si="778"/>
        <v>-1000</v>
      </c>
      <c r="CJ222" s="47">
        <f t="shared" si="778"/>
        <v>-1000</v>
      </c>
      <c r="CK222" s="47">
        <f t="shared" si="778"/>
        <v>-1000</v>
      </c>
      <c r="CL222" s="47">
        <f t="shared" si="778"/>
        <v>-1000</v>
      </c>
      <c r="CM222" s="47">
        <f t="shared" si="778"/>
        <v>-1000</v>
      </c>
      <c r="CN222" s="47">
        <f t="shared" si="778"/>
        <v>-1000</v>
      </c>
      <c r="CO222" s="47">
        <f t="shared" si="778"/>
        <v>-1000</v>
      </c>
      <c r="CP222" s="47">
        <f t="shared" si="778"/>
        <v>-1000</v>
      </c>
      <c r="CQ222" s="47">
        <f t="shared" si="778"/>
        <v>-1000</v>
      </c>
      <c r="CR222" s="47"/>
      <c r="CS222" s="47"/>
      <c r="CT222" s="47"/>
      <c r="CU222" s="50" t="str">
        <f>IFERROR(__xludf.DUMMYFUNCTION("""COMPUTED_VALUE"""),"1033 Cedar Hill Ave.
Dallas, TX 75208         ")</f>
        <v>1033 Cedar Hill Ave.
Dallas, TX 75208         </v>
      </c>
      <c r="CV222" s="51">
        <f>IFERROR(__xludf.DUMMYFUNCTION("IF(REGEXMATCH(UPPER(CU222), ""TX""),0,1)"),0.0)</f>
        <v>0</v>
      </c>
      <c r="CW222" s="51">
        <f>IFERROR(__xludf.DUMMYFUNCTION("IF(REGEXMATCH(UPPER(CU222), ""DALLAS""),0,1)"),0.0)</f>
        <v>0</v>
      </c>
      <c r="CX222" s="51">
        <f t="shared" si="17"/>
        <v>0</v>
      </c>
      <c r="CY222" s="51">
        <f t="shared" si="18"/>
        <v>0</v>
      </c>
      <c r="CZ222" s="52" t="str">
        <f t="shared" si="19"/>
        <v/>
      </c>
      <c r="DA222" s="58"/>
      <c r="DB222" s="52"/>
      <c r="DC222" s="52"/>
      <c r="DD222" s="52"/>
      <c r="DE222" s="52"/>
      <c r="DF222" s="52"/>
      <c r="DG222" s="52"/>
      <c r="DH222" s="52"/>
      <c r="DI222" s="52"/>
      <c r="DJ222" s="52"/>
      <c r="DK222" s="52"/>
      <c r="DL222" s="52"/>
      <c r="DM222" s="52"/>
      <c r="DN222" s="52"/>
      <c r="DO222" s="52"/>
      <c r="DP222" s="52"/>
      <c r="DQ222" s="52"/>
      <c r="DR222" s="52"/>
      <c r="DS222" s="52"/>
      <c r="DT222" s="52"/>
      <c r="DU222" s="52"/>
      <c r="DV222" s="52"/>
      <c r="DW222" s="52"/>
    </row>
    <row r="223">
      <c r="A223" s="40" t="s">
        <v>55</v>
      </c>
      <c r="B223" s="41" t="s">
        <v>56</v>
      </c>
      <c r="C223" s="31" t="s">
        <v>258</v>
      </c>
      <c r="D223" s="25" t="str">
        <f>IFERROR(__xludf.DUMMYFUNCTION("SPLIT(C223,"" "")"),"Attlee,")</f>
        <v>Attlee,</v>
      </c>
      <c r="E223" s="40" t="str">
        <f>IFERROR(__xludf.DUMMYFUNCTION("""COMPUTED_VALUE"""),"Tim
8751")</f>
        <v>Tim
8751</v>
      </c>
      <c r="F223" s="40" t="str">
        <f>IFERROR(__xludf.DUMMYFUNCTION("""COMPUTED_VALUE"""),"Collin")</f>
        <v>Collin</v>
      </c>
      <c r="G223" s="40" t="str">
        <f>IFERROR(__xludf.DUMMYFUNCTION("""COMPUTED_VALUE"""),"McKinney")</f>
        <v>McKinney</v>
      </c>
      <c r="H223" s="40" t="str">
        <f>IFERROR(__xludf.DUMMYFUNCTION("""COMPUTED_VALUE"""),"Pkwy
McKinney,")</f>
        <v>Pkwy
McKinney,</v>
      </c>
      <c r="I223" s="40" t="str">
        <f>IFERROR(__xludf.DUMMYFUNCTION("""COMPUTED_VALUE"""),"TX")</f>
        <v>TX</v>
      </c>
      <c r="J223" s="40">
        <f>IFERROR(__xludf.DUMMYFUNCTION("""COMPUTED_VALUE"""),75070.0)</f>
        <v>75070</v>
      </c>
      <c r="K223" s="40"/>
      <c r="L223" s="40"/>
      <c r="M223" s="40"/>
      <c r="N223" s="40"/>
      <c r="O223" s="40"/>
      <c r="P223" s="40"/>
      <c r="Q223" s="40"/>
      <c r="R223" s="40"/>
      <c r="S223" s="40"/>
      <c r="T223" s="40"/>
      <c r="U223" s="24" t="str">
        <f>IFERROR(__xludf.DUMMYFUNCTION("SPLIT(E223,""01234567890"")"),"Tim
")</f>
        <v>Tim
</v>
      </c>
      <c r="V223" s="24" t="str">
        <f>IFERROR(__xludf.DUMMYFUNCTION("SPLIT(D223,"","")"),"Attlee")</f>
        <v>Attlee</v>
      </c>
      <c r="W223" s="25" t="str">
        <f t="shared" si="1"/>
        <v>TIM
 ATTLEE</v>
      </c>
      <c r="X223" s="25" t="s">
        <v>259</v>
      </c>
      <c r="Y223" s="25">
        <v>75070.0</v>
      </c>
      <c r="Z223" s="25" t="str">
        <f>IFERROR(__xludf.DUMMYFUNCTION("SPLIT(C223,""
"")"),"Attlee, Tim")</f>
        <v>Attlee, Tim</v>
      </c>
      <c r="AA223" s="25" t="str">
        <f>IFERROR(__xludf.DUMMYFUNCTION("""COMPUTED_VALUE"""),"8751 Collin McKinney Pkwy")</f>
        <v>8751 Collin McKinney Pkwy</v>
      </c>
      <c r="AB223" s="25" t="str">
        <f>IFERROR(__xludf.DUMMYFUNCTION("""COMPUTED_VALUE"""),"McKinney, TX 75070")</f>
        <v>McKinney, TX 75070</v>
      </c>
      <c r="AC223" s="24" t="s">
        <v>260</v>
      </c>
      <c r="AD223" s="25"/>
      <c r="AE223" s="25"/>
      <c r="AF223" s="25"/>
      <c r="AG223" s="40" t="s">
        <v>60</v>
      </c>
      <c r="AH223" s="42">
        <v>2441.0</v>
      </c>
      <c r="AI223" s="40" t="s">
        <v>61</v>
      </c>
      <c r="AJ223" s="27">
        <v>1000.0</v>
      </c>
      <c r="AK223" s="31" t="s">
        <v>21</v>
      </c>
      <c r="AL223" s="43">
        <v>44732.0</v>
      </c>
      <c r="AM223" s="44">
        <v>44756.4640625</v>
      </c>
      <c r="AN223" s="30">
        <v>2.0</v>
      </c>
      <c r="AO223" s="40"/>
      <c r="AP223" s="40"/>
      <c r="AQ223" s="40"/>
      <c r="AR223" s="40"/>
      <c r="AS223" s="40"/>
      <c r="AT223" s="47"/>
      <c r="AU223" s="40"/>
      <c r="AV223" s="46" t="str">
        <f>IFERROR(__xludf.DUMMYFUNCTION("""COMPUTED_VALUE"""),"Bowles")</f>
        <v>Bowles</v>
      </c>
      <c r="AW223" s="46">
        <f t="shared" si="7"/>
        <v>250</v>
      </c>
      <c r="AX223" s="47">
        <f t="shared" ref="AX223:BQ223" si="779">SUMIFS($AJ:$AJ,$V:$V,$AV223,$AK:$AK,AX$2)</f>
        <v>0</v>
      </c>
      <c r="AY223" s="48">
        <f t="shared" si="779"/>
        <v>0</v>
      </c>
      <c r="AZ223" s="48">
        <f t="shared" si="779"/>
        <v>0</v>
      </c>
      <c r="BA223" s="48">
        <f t="shared" si="779"/>
        <v>0</v>
      </c>
      <c r="BB223" s="48">
        <f t="shared" si="779"/>
        <v>250</v>
      </c>
      <c r="BC223" s="48">
        <f t="shared" si="779"/>
        <v>0</v>
      </c>
      <c r="BD223" s="48">
        <f t="shared" si="779"/>
        <v>0</v>
      </c>
      <c r="BE223" s="48">
        <f t="shared" si="779"/>
        <v>0</v>
      </c>
      <c r="BF223" s="48">
        <f t="shared" si="779"/>
        <v>0</v>
      </c>
      <c r="BG223" s="48">
        <f t="shared" si="779"/>
        <v>0</v>
      </c>
      <c r="BH223" s="48">
        <f t="shared" si="779"/>
        <v>0</v>
      </c>
      <c r="BI223" s="48">
        <f t="shared" si="779"/>
        <v>0</v>
      </c>
      <c r="BJ223" s="48">
        <f t="shared" si="779"/>
        <v>0</v>
      </c>
      <c r="BK223" s="48">
        <f t="shared" si="779"/>
        <v>0</v>
      </c>
      <c r="BL223" s="48">
        <f t="shared" si="779"/>
        <v>0</v>
      </c>
      <c r="BM223" s="48">
        <f t="shared" si="779"/>
        <v>0</v>
      </c>
      <c r="BN223" s="48">
        <f t="shared" si="779"/>
        <v>0</v>
      </c>
      <c r="BO223" s="48">
        <f t="shared" si="779"/>
        <v>0</v>
      </c>
      <c r="BP223" s="48">
        <f t="shared" si="779"/>
        <v>0</v>
      </c>
      <c r="BQ223" s="48">
        <f t="shared" si="779"/>
        <v>0</v>
      </c>
      <c r="BR223" s="36">
        <f t="shared" si="9"/>
        <v>0</v>
      </c>
      <c r="BS223" s="38">
        <f t="shared" si="10"/>
        <v>1</v>
      </c>
      <c r="BT223" s="49">
        <f t="shared" si="11"/>
        <v>0</v>
      </c>
      <c r="BU223" s="38">
        <f t="shared" si="12"/>
        <v>1000</v>
      </c>
      <c r="BV223" s="46" t="str">
        <f>IFERROR(__xludf.DUMMYFUNCTION("""COMPUTED_VALUE"""),"Bowles")</f>
        <v>Bowles</v>
      </c>
      <c r="BW223" s="46">
        <f t="shared" si="13"/>
        <v>250</v>
      </c>
      <c r="BX223" s="47">
        <f t="shared" ref="BX223:CA223" si="780">AX223-$BU223</f>
        <v>-1000</v>
      </c>
      <c r="BY223" s="47">
        <f t="shared" si="780"/>
        <v>-1000</v>
      </c>
      <c r="BZ223" s="47">
        <f t="shared" si="780"/>
        <v>-1000</v>
      </c>
      <c r="CA223" s="47">
        <f t="shared" si="780"/>
        <v>-1000</v>
      </c>
      <c r="CB223" s="47">
        <f t="shared" si="15"/>
        <v>-9750</v>
      </c>
      <c r="CC223" s="47">
        <f t="shared" ref="CC223:CQ223" si="781">BC223-$BU223</f>
        <v>-1000</v>
      </c>
      <c r="CD223" s="47">
        <f t="shared" si="781"/>
        <v>-1000</v>
      </c>
      <c r="CE223" s="47">
        <f t="shared" si="781"/>
        <v>-1000</v>
      </c>
      <c r="CF223" s="47">
        <f t="shared" si="781"/>
        <v>-1000</v>
      </c>
      <c r="CG223" s="47">
        <f t="shared" si="781"/>
        <v>-1000</v>
      </c>
      <c r="CH223" s="47">
        <f t="shared" si="781"/>
        <v>-1000</v>
      </c>
      <c r="CI223" s="47">
        <f t="shared" si="781"/>
        <v>-1000</v>
      </c>
      <c r="CJ223" s="47">
        <f t="shared" si="781"/>
        <v>-1000</v>
      </c>
      <c r="CK223" s="47">
        <f t="shared" si="781"/>
        <v>-1000</v>
      </c>
      <c r="CL223" s="47">
        <f t="shared" si="781"/>
        <v>-1000</v>
      </c>
      <c r="CM223" s="47">
        <f t="shared" si="781"/>
        <v>-1000</v>
      </c>
      <c r="CN223" s="47">
        <f t="shared" si="781"/>
        <v>-1000</v>
      </c>
      <c r="CO223" s="47">
        <f t="shared" si="781"/>
        <v>-1000</v>
      </c>
      <c r="CP223" s="47">
        <f t="shared" si="781"/>
        <v>-1000</v>
      </c>
      <c r="CQ223" s="47">
        <f t="shared" si="781"/>
        <v>-1000</v>
      </c>
      <c r="CR223" s="47"/>
      <c r="CS223" s="47"/>
      <c r="CT223" s="47"/>
      <c r="CU223" s="50" t="str">
        <f>IFERROR(__xludf.DUMMYFUNCTION("""COMPUTED_VALUE"""),"923 Salmon Dr.
Dallas, TX 75208          ")</f>
        <v>923 Salmon Dr.
Dallas, TX 75208          </v>
      </c>
      <c r="CV223" s="51">
        <f>IFERROR(__xludf.DUMMYFUNCTION("IF(REGEXMATCH(UPPER(CU223), ""TX""),0,1)"),0.0)</f>
        <v>0</v>
      </c>
      <c r="CW223" s="51">
        <f>IFERROR(__xludf.DUMMYFUNCTION("IF(REGEXMATCH(UPPER(CU223), ""DALLAS""),0,1)"),0.0)</f>
        <v>0</v>
      </c>
      <c r="CX223" s="51">
        <f t="shared" si="17"/>
        <v>0</v>
      </c>
      <c r="CY223" s="51">
        <f t="shared" si="18"/>
        <v>0</v>
      </c>
      <c r="CZ223" s="52" t="str">
        <f t="shared" si="19"/>
        <v/>
      </c>
      <c r="DA223" s="58"/>
      <c r="DB223" s="52"/>
      <c r="DC223" s="52"/>
      <c r="DD223" s="52"/>
      <c r="DE223" s="52"/>
      <c r="DF223" s="52"/>
      <c r="DG223" s="52"/>
      <c r="DH223" s="52"/>
      <c r="DI223" s="52"/>
      <c r="DJ223" s="52"/>
      <c r="DK223" s="52"/>
      <c r="DL223" s="52"/>
      <c r="DM223" s="52"/>
      <c r="DN223" s="52"/>
      <c r="DO223" s="52"/>
      <c r="DP223" s="52"/>
      <c r="DQ223" s="52"/>
      <c r="DR223" s="52"/>
      <c r="DS223" s="52"/>
      <c r="DT223" s="52"/>
      <c r="DU223" s="52"/>
      <c r="DV223" s="52"/>
      <c r="DW223" s="52"/>
    </row>
    <row r="224">
      <c r="A224" s="22" t="s">
        <v>55</v>
      </c>
      <c r="B224" s="23" t="s">
        <v>56</v>
      </c>
      <c r="C224" s="31" t="s">
        <v>261</v>
      </c>
      <c r="D224" s="25" t="str">
        <f>IFERROR(__xludf.DUMMYFUNCTION("SPLIT(C224,"" "")"),"Attlee,")</f>
        <v>Attlee,</v>
      </c>
      <c r="E224" s="22" t="str">
        <f>IFERROR(__xludf.DUMMYFUNCTION("""COMPUTED_VALUE"""),"Veronica
8751")</f>
        <v>Veronica
8751</v>
      </c>
      <c r="F224" s="22" t="str">
        <f>IFERROR(__xludf.DUMMYFUNCTION("""COMPUTED_VALUE"""),"Collin")</f>
        <v>Collin</v>
      </c>
      <c r="G224" s="22" t="str">
        <f>IFERROR(__xludf.DUMMYFUNCTION("""COMPUTED_VALUE"""),"McKinney")</f>
        <v>McKinney</v>
      </c>
      <c r="H224" s="22" t="str">
        <f>IFERROR(__xludf.DUMMYFUNCTION("""COMPUTED_VALUE"""),"Pkwy
McKinney,")</f>
        <v>Pkwy
McKinney,</v>
      </c>
      <c r="I224" s="22" t="str">
        <f>IFERROR(__xludf.DUMMYFUNCTION("""COMPUTED_VALUE"""),"TX")</f>
        <v>TX</v>
      </c>
      <c r="J224" s="22">
        <f>IFERROR(__xludf.DUMMYFUNCTION("""COMPUTED_VALUE"""),75070.0)</f>
        <v>75070</v>
      </c>
      <c r="K224" s="22"/>
      <c r="L224" s="22"/>
      <c r="M224" s="22"/>
      <c r="N224" s="22"/>
      <c r="O224" s="22"/>
      <c r="P224" s="22"/>
      <c r="Q224" s="22"/>
      <c r="R224" s="22"/>
      <c r="S224" s="22"/>
      <c r="T224" s="22"/>
      <c r="U224" s="24" t="str">
        <f>IFERROR(__xludf.DUMMYFUNCTION("SPLIT(E224,""01234567890"")"),"Veronica
")</f>
        <v>Veronica
</v>
      </c>
      <c r="V224" s="24" t="str">
        <f>IFERROR(__xludf.DUMMYFUNCTION("SPLIT(D224,"","")"),"Attlee")</f>
        <v>Attlee</v>
      </c>
      <c r="W224" s="25" t="str">
        <f t="shared" si="1"/>
        <v>VERONICA
 ATTLEE</v>
      </c>
      <c r="X224" s="25" t="s">
        <v>259</v>
      </c>
      <c r="Y224" s="25">
        <v>75070.0</v>
      </c>
      <c r="Z224" s="25" t="str">
        <f>IFERROR(__xludf.DUMMYFUNCTION("SPLIT(C224,""
"")"),"Attlee, Veronica")</f>
        <v>Attlee, Veronica</v>
      </c>
      <c r="AA224" s="25" t="str">
        <f>IFERROR(__xludf.DUMMYFUNCTION("""COMPUTED_VALUE"""),"8751 Collin McKinney Pkwy")</f>
        <v>8751 Collin McKinney Pkwy</v>
      </c>
      <c r="AB224" s="25" t="str">
        <f>IFERROR(__xludf.DUMMYFUNCTION("""COMPUTED_VALUE"""),"McKinney, TX 75070")</f>
        <v>McKinney, TX 75070</v>
      </c>
      <c r="AC224" s="24" t="s">
        <v>262</v>
      </c>
      <c r="AD224" s="25"/>
      <c r="AE224" s="25"/>
      <c r="AF224" s="25"/>
      <c r="AG224" s="22" t="s">
        <v>60</v>
      </c>
      <c r="AH224" s="54">
        <v>2441.0</v>
      </c>
      <c r="AI224" s="22" t="s">
        <v>61</v>
      </c>
      <c r="AJ224" s="27">
        <v>1000.0</v>
      </c>
      <c r="AK224" s="31" t="s">
        <v>21</v>
      </c>
      <c r="AL224" s="28">
        <v>44732.0</v>
      </c>
      <c r="AM224" s="29">
        <v>44756.4640625</v>
      </c>
      <c r="AN224" s="30">
        <v>2.0</v>
      </c>
      <c r="AO224" s="22"/>
      <c r="AP224" s="22"/>
      <c r="AQ224" s="22"/>
      <c r="AR224" s="22"/>
      <c r="AS224" s="22"/>
      <c r="AT224" s="70"/>
      <c r="AU224" s="22"/>
      <c r="AV224" s="57" t="str">
        <f>IFERROR(__xludf.DUMMYFUNCTION("""COMPUTED_VALUE"""),"Noble")</f>
        <v>Noble</v>
      </c>
      <c r="AW224" s="46">
        <f t="shared" si="7"/>
        <v>1151</v>
      </c>
      <c r="AX224" s="47">
        <f t="shared" ref="AX224:BQ224" si="782">SUMIFS($AJ:$AJ,$V:$V,$AV224,$AK:$AK,AX$2)</f>
        <v>0</v>
      </c>
      <c r="AY224" s="48">
        <f t="shared" si="782"/>
        <v>0</v>
      </c>
      <c r="AZ224" s="48">
        <f t="shared" si="782"/>
        <v>0</v>
      </c>
      <c r="BA224" s="48">
        <f t="shared" si="782"/>
        <v>0</v>
      </c>
      <c r="BB224" s="48">
        <f t="shared" si="782"/>
        <v>1000</v>
      </c>
      <c r="BC224" s="48">
        <f t="shared" si="782"/>
        <v>0</v>
      </c>
      <c r="BD224" s="48">
        <f t="shared" si="782"/>
        <v>0</v>
      </c>
      <c r="BE224" s="48">
        <f t="shared" si="782"/>
        <v>0</v>
      </c>
      <c r="BF224" s="48">
        <f t="shared" si="782"/>
        <v>0</v>
      </c>
      <c r="BG224" s="48">
        <f t="shared" si="782"/>
        <v>0</v>
      </c>
      <c r="BH224" s="48">
        <f t="shared" si="782"/>
        <v>0</v>
      </c>
      <c r="BI224" s="48">
        <f t="shared" si="782"/>
        <v>151</v>
      </c>
      <c r="BJ224" s="48">
        <f t="shared" si="782"/>
        <v>0</v>
      </c>
      <c r="BK224" s="48">
        <f t="shared" si="782"/>
        <v>0</v>
      </c>
      <c r="BL224" s="48">
        <f t="shared" si="782"/>
        <v>0</v>
      </c>
      <c r="BM224" s="48">
        <f t="shared" si="782"/>
        <v>0</v>
      </c>
      <c r="BN224" s="48">
        <f t="shared" si="782"/>
        <v>0</v>
      </c>
      <c r="BO224" s="48">
        <f t="shared" si="782"/>
        <v>0</v>
      </c>
      <c r="BP224" s="48">
        <f t="shared" si="782"/>
        <v>0</v>
      </c>
      <c r="BQ224" s="48">
        <f t="shared" si="782"/>
        <v>0</v>
      </c>
      <c r="BR224" s="36">
        <f t="shared" si="9"/>
        <v>1</v>
      </c>
      <c r="BS224" s="38">
        <f t="shared" si="10"/>
        <v>2</v>
      </c>
      <c r="BT224" s="49">
        <f t="shared" si="11"/>
        <v>0</v>
      </c>
      <c r="BU224" s="38">
        <f t="shared" si="12"/>
        <v>2000</v>
      </c>
      <c r="BV224" s="57" t="str">
        <f>IFERROR(__xludf.DUMMYFUNCTION("""COMPUTED_VALUE"""),"Noble")</f>
        <v>Noble</v>
      </c>
      <c r="BW224" s="46">
        <f t="shared" si="13"/>
        <v>1151</v>
      </c>
      <c r="BX224" s="47">
        <f t="shared" ref="BX224:CA224" si="783">AX224-$BU224</f>
        <v>-2000</v>
      </c>
      <c r="BY224" s="47">
        <f t="shared" si="783"/>
        <v>-2000</v>
      </c>
      <c r="BZ224" s="47">
        <f t="shared" si="783"/>
        <v>-2000</v>
      </c>
      <c r="CA224" s="47">
        <f t="shared" si="783"/>
        <v>-2000</v>
      </c>
      <c r="CB224" s="47">
        <f t="shared" si="15"/>
        <v>-19000</v>
      </c>
      <c r="CC224" s="47">
        <f t="shared" ref="CC224:CQ224" si="784">BC224-$BU224</f>
        <v>-2000</v>
      </c>
      <c r="CD224" s="47">
        <f t="shared" si="784"/>
        <v>-2000</v>
      </c>
      <c r="CE224" s="47">
        <f t="shared" si="784"/>
        <v>-2000</v>
      </c>
      <c r="CF224" s="47">
        <f t="shared" si="784"/>
        <v>-2000</v>
      </c>
      <c r="CG224" s="47">
        <f t="shared" si="784"/>
        <v>-2000</v>
      </c>
      <c r="CH224" s="47">
        <f t="shared" si="784"/>
        <v>-2000</v>
      </c>
      <c r="CI224" s="47">
        <f t="shared" si="784"/>
        <v>-1849</v>
      </c>
      <c r="CJ224" s="47">
        <f t="shared" si="784"/>
        <v>-2000</v>
      </c>
      <c r="CK224" s="47">
        <f t="shared" si="784"/>
        <v>-2000</v>
      </c>
      <c r="CL224" s="47">
        <f t="shared" si="784"/>
        <v>-2000</v>
      </c>
      <c r="CM224" s="47">
        <f t="shared" si="784"/>
        <v>-2000</v>
      </c>
      <c r="CN224" s="47">
        <f t="shared" si="784"/>
        <v>-2000</v>
      </c>
      <c r="CO224" s="47">
        <f t="shared" si="784"/>
        <v>-2000</v>
      </c>
      <c r="CP224" s="47">
        <f t="shared" si="784"/>
        <v>-2000</v>
      </c>
      <c r="CQ224" s="47">
        <f t="shared" si="784"/>
        <v>-2000</v>
      </c>
      <c r="CR224" s="47"/>
      <c r="CS224" s="47"/>
      <c r="CT224" s="47"/>
      <c r="CU224" s="50" t="str">
        <f>IFERROR(__xludf.DUMMYFUNCTION("""COMPUTED_VALUE"""),"12101 Trinity Blvd.
Euless, TX 76040          ")</f>
        <v>12101 Trinity Blvd.
Euless, TX 76040          </v>
      </c>
      <c r="CV224" s="51">
        <f>IFERROR(__xludf.DUMMYFUNCTION("IF(REGEXMATCH(UPPER(CU224), ""TX""),0,1)"),0.0)</f>
        <v>0</v>
      </c>
      <c r="CW224" s="51">
        <f>IFERROR(__xludf.DUMMYFUNCTION("IF(REGEXMATCH(UPPER(CU224), ""DALLAS""),0,1)"),1.0)</f>
        <v>1</v>
      </c>
      <c r="CX224" s="51">
        <f t="shared" si="17"/>
        <v>0</v>
      </c>
      <c r="CY224" s="51">
        <f t="shared" si="18"/>
        <v>500</v>
      </c>
      <c r="CZ224" s="52" t="str">
        <f t="shared" si="19"/>
        <v>12101 Trinity Blvd.
Euless, TX 76040          </v>
      </c>
      <c r="DA224" s="58"/>
      <c r="DB224" s="52"/>
      <c r="DC224" s="52"/>
      <c r="DD224" s="52"/>
      <c r="DE224" s="52"/>
      <c r="DF224" s="52"/>
      <c r="DG224" s="52"/>
      <c r="DH224" s="52"/>
      <c r="DI224" s="52"/>
      <c r="DJ224" s="52"/>
      <c r="DK224" s="52"/>
      <c r="DL224" s="52"/>
      <c r="DM224" s="52"/>
      <c r="DN224" s="52"/>
      <c r="DO224" s="52"/>
      <c r="DP224" s="52"/>
      <c r="DQ224" s="52"/>
      <c r="DR224" s="52"/>
      <c r="DS224" s="52"/>
      <c r="DT224" s="52"/>
      <c r="DU224" s="52"/>
      <c r="DV224" s="52"/>
      <c r="DW224" s="52"/>
    </row>
    <row r="225">
      <c r="A225" s="40" t="s">
        <v>55</v>
      </c>
      <c r="B225" s="41" t="s">
        <v>56</v>
      </c>
      <c r="C225" s="31" t="s">
        <v>641</v>
      </c>
      <c r="D225" s="25" t="str">
        <f>IFERROR(__xludf.DUMMYFUNCTION("SPLIT(C225,"" "")"),"Zimmerman,")</f>
        <v>Zimmerman,</v>
      </c>
      <c r="E225" s="40" t="str">
        <f>IFERROR(__xludf.DUMMYFUNCTION("""COMPUTED_VALUE"""),"William
105")</f>
        <v>William
105</v>
      </c>
      <c r="F225" s="40" t="str">
        <f>IFERROR(__xludf.DUMMYFUNCTION("""COMPUTED_VALUE"""),"S.")</f>
        <v>S.</v>
      </c>
      <c r="G225" s="40" t="str">
        <f>IFERROR(__xludf.DUMMYFUNCTION("""COMPUTED_VALUE"""),"Willomet")</f>
        <v>Willomet</v>
      </c>
      <c r="H225" s="40" t="str">
        <f>IFERROR(__xludf.DUMMYFUNCTION("""COMPUTED_VALUE"""),"Ave.
Dallas,")</f>
        <v>Ave.
Dallas,</v>
      </c>
      <c r="I225" s="40" t="str">
        <f>IFERROR(__xludf.DUMMYFUNCTION("""COMPUTED_VALUE"""),"TX")</f>
        <v>TX</v>
      </c>
      <c r="J225" s="40">
        <f>IFERROR(__xludf.DUMMYFUNCTION("""COMPUTED_VALUE"""),75208.0)</f>
        <v>75208</v>
      </c>
      <c r="K225" s="40"/>
      <c r="L225" s="40"/>
      <c r="M225" s="40"/>
      <c r="N225" s="40"/>
      <c r="O225" s="40"/>
      <c r="P225" s="40"/>
      <c r="Q225" s="40"/>
      <c r="R225" s="40"/>
      <c r="S225" s="40"/>
      <c r="T225" s="40"/>
      <c r="U225" s="24" t="str">
        <f>IFERROR(__xludf.DUMMYFUNCTION("SPLIT(E225,""01234567890"")"),"William
")</f>
        <v>William
</v>
      </c>
      <c r="V225" s="24" t="str">
        <f>IFERROR(__xludf.DUMMYFUNCTION("SPLIT(D225,"","")"),"Zimmerman")</f>
        <v>Zimmerman</v>
      </c>
      <c r="W225" s="25" t="str">
        <f t="shared" si="1"/>
        <v>WILLIAM
 ZIMMERMAN</v>
      </c>
      <c r="X225" s="25" t="s">
        <v>642</v>
      </c>
      <c r="Y225" s="25">
        <v>75208.0</v>
      </c>
      <c r="Z225" s="25" t="str">
        <f>IFERROR(__xludf.DUMMYFUNCTION("SPLIT(C225,""
"")"),"Zimmerman, William")</f>
        <v>Zimmerman, William</v>
      </c>
      <c r="AA225" s="25" t="str">
        <f>IFERROR(__xludf.DUMMYFUNCTION("""COMPUTED_VALUE"""),"105 S. Willomet Ave.")</f>
        <v>105 S. Willomet Ave.</v>
      </c>
      <c r="AB225" s="25" t="str">
        <f>IFERROR(__xludf.DUMMYFUNCTION("""COMPUTED_VALUE"""),"Dallas, TX 75208")</f>
        <v>Dallas, TX 75208</v>
      </c>
      <c r="AC225" s="24" t="s">
        <v>643</v>
      </c>
      <c r="AD225" s="25"/>
      <c r="AE225" s="25"/>
      <c r="AF225" s="25"/>
      <c r="AG225" s="40" t="s">
        <v>60</v>
      </c>
      <c r="AH225" s="42">
        <v>2441.0</v>
      </c>
      <c r="AI225" s="40" t="s">
        <v>61</v>
      </c>
      <c r="AJ225" s="27">
        <v>47.0</v>
      </c>
      <c r="AK225" s="31" t="s">
        <v>21</v>
      </c>
      <c r="AL225" s="43">
        <v>44732.0</v>
      </c>
      <c r="AM225" s="44">
        <v>44756.4640625</v>
      </c>
      <c r="AN225" s="30">
        <v>2.0</v>
      </c>
      <c r="AO225" s="40"/>
      <c r="AP225" s="40"/>
      <c r="AQ225" s="40"/>
      <c r="AR225" s="40"/>
      <c r="AS225" s="40"/>
      <c r="AT225" s="47"/>
      <c r="AU225" s="40"/>
      <c r="AV225" s="46" t="str">
        <f>IFERROR(__xludf.DUMMYFUNCTION("""COMPUTED_VALUE"""),"King")</f>
        <v>King</v>
      </c>
      <c r="AW225" s="46">
        <f t="shared" si="7"/>
        <v>7300</v>
      </c>
      <c r="AX225" s="47">
        <f t="shared" ref="AX225:BQ225" si="785">SUMIFS($AJ:$AJ,$V:$V,$AV225,$AK:$AK,AX$2)</f>
        <v>0</v>
      </c>
      <c r="AY225" s="48">
        <f t="shared" si="785"/>
        <v>0</v>
      </c>
      <c r="AZ225" s="48">
        <f t="shared" si="785"/>
        <v>0</v>
      </c>
      <c r="BA225" s="48">
        <f t="shared" si="785"/>
        <v>0</v>
      </c>
      <c r="BB225" s="48">
        <f t="shared" si="785"/>
        <v>6000</v>
      </c>
      <c r="BC225" s="48">
        <f t="shared" si="785"/>
        <v>300</v>
      </c>
      <c r="BD225" s="48">
        <f t="shared" si="785"/>
        <v>0</v>
      </c>
      <c r="BE225" s="48">
        <f t="shared" si="785"/>
        <v>0</v>
      </c>
      <c r="BF225" s="48">
        <f t="shared" si="785"/>
        <v>0</v>
      </c>
      <c r="BG225" s="48">
        <f t="shared" si="785"/>
        <v>0</v>
      </c>
      <c r="BH225" s="48">
        <f t="shared" si="785"/>
        <v>0</v>
      </c>
      <c r="BI225" s="48">
        <f t="shared" si="785"/>
        <v>0</v>
      </c>
      <c r="BJ225" s="48">
        <f t="shared" si="785"/>
        <v>0</v>
      </c>
      <c r="BK225" s="48">
        <f t="shared" si="785"/>
        <v>0</v>
      </c>
      <c r="BL225" s="48">
        <f t="shared" si="785"/>
        <v>0</v>
      </c>
      <c r="BM225" s="48">
        <f t="shared" si="785"/>
        <v>0</v>
      </c>
      <c r="BN225" s="48">
        <f t="shared" si="785"/>
        <v>0</v>
      </c>
      <c r="BO225" s="48">
        <f t="shared" si="785"/>
        <v>0</v>
      </c>
      <c r="BP225" s="48">
        <f t="shared" si="785"/>
        <v>1000</v>
      </c>
      <c r="BQ225" s="48">
        <f t="shared" si="785"/>
        <v>0</v>
      </c>
      <c r="BR225" s="36">
        <f t="shared" si="9"/>
        <v>1</v>
      </c>
      <c r="BS225" s="38">
        <f t="shared" si="10"/>
        <v>4</v>
      </c>
      <c r="BT225" s="49">
        <f t="shared" si="11"/>
        <v>0</v>
      </c>
      <c r="BU225" s="38">
        <f t="shared" si="12"/>
        <v>4000</v>
      </c>
      <c r="BV225" s="46" t="str">
        <f>IFERROR(__xludf.DUMMYFUNCTION("""COMPUTED_VALUE"""),"King")</f>
        <v>King</v>
      </c>
      <c r="BW225" s="46">
        <f t="shared" si="13"/>
        <v>7300</v>
      </c>
      <c r="BX225" s="47">
        <f t="shared" ref="BX225:CA225" si="786">AX225-$BU225</f>
        <v>-4000</v>
      </c>
      <c r="BY225" s="47">
        <f t="shared" si="786"/>
        <v>-4000</v>
      </c>
      <c r="BZ225" s="47">
        <f t="shared" si="786"/>
        <v>-4000</v>
      </c>
      <c r="CA225" s="47">
        <f t="shared" si="786"/>
        <v>-4000</v>
      </c>
      <c r="CB225" s="47">
        <f t="shared" si="15"/>
        <v>-34000</v>
      </c>
      <c r="CC225" s="47">
        <f t="shared" ref="CC225:CQ225" si="787">BC225-$BU225</f>
        <v>-3700</v>
      </c>
      <c r="CD225" s="47">
        <f t="shared" si="787"/>
        <v>-4000</v>
      </c>
      <c r="CE225" s="47">
        <f t="shared" si="787"/>
        <v>-4000</v>
      </c>
      <c r="CF225" s="47">
        <f t="shared" si="787"/>
        <v>-4000</v>
      </c>
      <c r="CG225" s="47">
        <f t="shared" si="787"/>
        <v>-4000</v>
      </c>
      <c r="CH225" s="47">
        <f t="shared" si="787"/>
        <v>-4000</v>
      </c>
      <c r="CI225" s="47">
        <f t="shared" si="787"/>
        <v>-4000</v>
      </c>
      <c r="CJ225" s="47">
        <f t="shared" si="787"/>
        <v>-4000</v>
      </c>
      <c r="CK225" s="47">
        <f t="shared" si="787"/>
        <v>-4000</v>
      </c>
      <c r="CL225" s="47">
        <f t="shared" si="787"/>
        <v>-4000</v>
      </c>
      <c r="CM225" s="47">
        <f t="shared" si="787"/>
        <v>-4000</v>
      </c>
      <c r="CN225" s="47">
        <f t="shared" si="787"/>
        <v>-4000</v>
      </c>
      <c r="CO225" s="47">
        <f t="shared" si="787"/>
        <v>-4000</v>
      </c>
      <c r="CP225" s="47">
        <f t="shared" si="787"/>
        <v>-3000</v>
      </c>
      <c r="CQ225" s="47">
        <f t="shared" si="787"/>
        <v>-4000</v>
      </c>
      <c r="CR225" s="47"/>
      <c r="CS225" s="47"/>
      <c r="CT225" s="47"/>
      <c r="CU225" s="50" t="str">
        <f>IFERROR(__xludf.DUMMYFUNCTION("""COMPUTED_VALUE"""),"1900 N. Akard St.
Dallas, TX 75201         ")</f>
        <v>1900 N. Akard St.
Dallas, TX 75201         </v>
      </c>
      <c r="CV225" s="51">
        <f>IFERROR(__xludf.DUMMYFUNCTION("IF(REGEXMATCH(UPPER(CU225), ""TX""),0,1)"),0.0)</f>
        <v>0</v>
      </c>
      <c r="CW225" s="51">
        <f>IFERROR(__xludf.DUMMYFUNCTION("IF(REGEXMATCH(UPPER(CU225), ""DALLAS""),0,1)"),0.0)</f>
        <v>0</v>
      </c>
      <c r="CX225" s="51">
        <f t="shared" si="17"/>
        <v>0</v>
      </c>
      <c r="CY225" s="51">
        <f t="shared" si="18"/>
        <v>0</v>
      </c>
      <c r="CZ225" s="52" t="str">
        <f t="shared" si="19"/>
        <v/>
      </c>
      <c r="DA225" s="58"/>
      <c r="DB225" s="52"/>
      <c r="DC225" s="52"/>
      <c r="DD225" s="52"/>
      <c r="DE225" s="52"/>
      <c r="DF225" s="52"/>
      <c r="DG225" s="52"/>
      <c r="DH225" s="52"/>
      <c r="DI225" s="52"/>
      <c r="DJ225" s="52"/>
      <c r="DK225" s="52"/>
      <c r="DL225" s="52"/>
      <c r="DM225" s="52"/>
      <c r="DN225" s="52"/>
      <c r="DO225" s="52"/>
      <c r="DP225" s="52"/>
      <c r="DQ225" s="52"/>
      <c r="DR225" s="52"/>
      <c r="DS225" s="52"/>
      <c r="DT225" s="52"/>
      <c r="DU225" s="52"/>
      <c r="DV225" s="52"/>
      <c r="DW225" s="52"/>
    </row>
    <row r="226">
      <c r="A226" s="22" t="s">
        <v>55</v>
      </c>
      <c r="B226" s="23" t="s">
        <v>56</v>
      </c>
      <c r="C226" s="31" t="s">
        <v>644</v>
      </c>
      <c r="D226" s="25" t="str">
        <f>IFERROR(__xludf.DUMMYFUNCTION("SPLIT(C226,"" "")"),"Johnslon,")</f>
        <v>Johnslon,</v>
      </c>
      <c r="E226" s="22" t="str">
        <f>IFERROR(__xludf.DUMMYFUNCTION("""COMPUTED_VALUE"""),"Willis
1001")</f>
        <v>Willis
1001</v>
      </c>
      <c r="F226" s="22" t="str">
        <f>IFERROR(__xludf.DUMMYFUNCTION("""COMPUTED_VALUE"""),"Belleview")</f>
        <v>Belleview</v>
      </c>
      <c r="G226" s="22" t="str">
        <f>IFERROR(__xludf.DUMMYFUNCTION("""COMPUTED_VALUE"""),"St.
Dallas,")</f>
        <v>St.
Dallas,</v>
      </c>
      <c r="H226" s="22" t="str">
        <f>IFERROR(__xludf.DUMMYFUNCTION("""COMPUTED_VALUE"""),"TX")</f>
        <v>TX</v>
      </c>
      <c r="I226" s="22">
        <f>IFERROR(__xludf.DUMMYFUNCTION("""COMPUTED_VALUE"""),75215.0)</f>
        <v>75215</v>
      </c>
      <c r="J226" s="22"/>
      <c r="K226" s="22"/>
      <c r="L226" s="22"/>
      <c r="M226" s="22"/>
      <c r="N226" s="22"/>
      <c r="O226" s="22"/>
      <c r="P226" s="22"/>
      <c r="Q226" s="22"/>
      <c r="R226" s="22"/>
      <c r="S226" s="22"/>
      <c r="T226" s="22"/>
      <c r="U226" s="24" t="str">
        <f>IFERROR(__xludf.DUMMYFUNCTION("SPLIT(E226,""01234567890"")"),"Willis
")</f>
        <v>Willis
</v>
      </c>
      <c r="V226" s="24" t="str">
        <f>IFERROR(__xludf.DUMMYFUNCTION("SPLIT(D226,"","")"),"Johnslon")</f>
        <v>Johnslon</v>
      </c>
      <c r="W226" s="25" t="str">
        <f t="shared" si="1"/>
        <v>WILLIS
 JOHNSLON</v>
      </c>
      <c r="X226" s="25" t="s">
        <v>645</v>
      </c>
      <c r="Y226" s="25">
        <v>75215.0</v>
      </c>
      <c r="Z226" s="25" t="str">
        <f>IFERROR(__xludf.DUMMYFUNCTION("SPLIT(C226,""
"")"),"Johnslon, Willis")</f>
        <v>Johnslon, Willis</v>
      </c>
      <c r="AA226" s="25" t="str">
        <f>IFERROR(__xludf.DUMMYFUNCTION("""COMPUTED_VALUE"""),"1001 Belleview St.")</f>
        <v>1001 Belleview St.</v>
      </c>
      <c r="AB226" s="25" t="str">
        <f>IFERROR(__xludf.DUMMYFUNCTION("""COMPUTED_VALUE"""),"Dallas, TX 75215")</f>
        <v>Dallas, TX 75215</v>
      </c>
      <c r="AC226" s="24" t="s">
        <v>646</v>
      </c>
      <c r="AD226" s="25"/>
      <c r="AE226" s="25"/>
      <c r="AF226" s="25"/>
      <c r="AG226" s="22" t="s">
        <v>60</v>
      </c>
      <c r="AH226" s="54">
        <v>2441.0</v>
      </c>
      <c r="AI226" s="22" t="s">
        <v>61</v>
      </c>
      <c r="AJ226" s="27">
        <v>500.0</v>
      </c>
      <c r="AK226" s="31" t="s">
        <v>21</v>
      </c>
      <c r="AL226" s="28">
        <v>44732.0</v>
      </c>
      <c r="AM226" s="29">
        <v>44756.4640625</v>
      </c>
      <c r="AN226" s="30">
        <v>2.0</v>
      </c>
      <c r="AO226" s="22"/>
      <c r="AP226" s="22"/>
      <c r="AQ226" s="22"/>
      <c r="AR226" s="22"/>
      <c r="AS226" s="22"/>
      <c r="AT226" s="70"/>
      <c r="AU226" s="22"/>
      <c r="AV226" s="57" t="str">
        <f>IFERROR(__xludf.DUMMYFUNCTION("""COMPUTED_VALUE"""),"Mier")</f>
        <v>Mier</v>
      </c>
      <c r="AW226" s="46">
        <f t="shared" si="7"/>
        <v>350</v>
      </c>
      <c r="AX226" s="47">
        <f t="shared" ref="AX226:BQ226" si="788">SUMIFS($AJ:$AJ,$V:$V,$AV226,$AK:$AK,AX$2)</f>
        <v>0</v>
      </c>
      <c r="AY226" s="48">
        <f t="shared" si="788"/>
        <v>0</v>
      </c>
      <c r="AZ226" s="48">
        <f t="shared" si="788"/>
        <v>0</v>
      </c>
      <c r="BA226" s="48">
        <f t="shared" si="788"/>
        <v>0</v>
      </c>
      <c r="BB226" s="48">
        <f t="shared" si="788"/>
        <v>350</v>
      </c>
      <c r="BC226" s="48">
        <f t="shared" si="788"/>
        <v>0</v>
      </c>
      <c r="BD226" s="48">
        <f t="shared" si="788"/>
        <v>0</v>
      </c>
      <c r="BE226" s="48">
        <f t="shared" si="788"/>
        <v>0</v>
      </c>
      <c r="BF226" s="48">
        <f t="shared" si="788"/>
        <v>0</v>
      </c>
      <c r="BG226" s="48">
        <f t="shared" si="788"/>
        <v>0</v>
      </c>
      <c r="BH226" s="48">
        <f t="shared" si="788"/>
        <v>0</v>
      </c>
      <c r="BI226" s="48">
        <f t="shared" si="788"/>
        <v>0</v>
      </c>
      <c r="BJ226" s="48">
        <f t="shared" si="788"/>
        <v>0</v>
      </c>
      <c r="BK226" s="48">
        <f t="shared" si="788"/>
        <v>0</v>
      </c>
      <c r="BL226" s="48">
        <f t="shared" si="788"/>
        <v>0</v>
      </c>
      <c r="BM226" s="48">
        <f t="shared" si="788"/>
        <v>0</v>
      </c>
      <c r="BN226" s="48">
        <f t="shared" si="788"/>
        <v>0</v>
      </c>
      <c r="BO226" s="48">
        <f t="shared" si="788"/>
        <v>0</v>
      </c>
      <c r="BP226" s="48">
        <f t="shared" si="788"/>
        <v>0</v>
      </c>
      <c r="BQ226" s="48">
        <f t="shared" si="788"/>
        <v>0</v>
      </c>
      <c r="BR226" s="36">
        <f t="shared" si="9"/>
        <v>1</v>
      </c>
      <c r="BS226" s="38">
        <f t="shared" si="10"/>
        <v>2</v>
      </c>
      <c r="BT226" s="49">
        <f t="shared" si="11"/>
        <v>0</v>
      </c>
      <c r="BU226" s="38">
        <f t="shared" si="12"/>
        <v>2000</v>
      </c>
      <c r="BV226" s="57" t="str">
        <f>IFERROR(__xludf.DUMMYFUNCTION("""COMPUTED_VALUE"""),"Mier")</f>
        <v>Mier</v>
      </c>
      <c r="BW226" s="46">
        <f t="shared" si="13"/>
        <v>350</v>
      </c>
      <c r="BX226" s="47">
        <f t="shared" ref="BX226:CA226" si="789">AX226-$BU226</f>
        <v>-2000</v>
      </c>
      <c r="BY226" s="47">
        <f t="shared" si="789"/>
        <v>-2000</v>
      </c>
      <c r="BZ226" s="47">
        <f t="shared" si="789"/>
        <v>-2000</v>
      </c>
      <c r="CA226" s="47">
        <f t="shared" si="789"/>
        <v>-2000</v>
      </c>
      <c r="CB226" s="47">
        <f t="shared" si="15"/>
        <v>-19650</v>
      </c>
      <c r="CC226" s="47">
        <f t="shared" ref="CC226:CQ226" si="790">BC226-$BU226</f>
        <v>-2000</v>
      </c>
      <c r="CD226" s="47">
        <f t="shared" si="790"/>
        <v>-2000</v>
      </c>
      <c r="CE226" s="47">
        <f t="shared" si="790"/>
        <v>-2000</v>
      </c>
      <c r="CF226" s="47">
        <f t="shared" si="790"/>
        <v>-2000</v>
      </c>
      <c r="CG226" s="47">
        <f t="shared" si="790"/>
        <v>-2000</v>
      </c>
      <c r="CH226" s="47">
        <f t="shared" si="790"/>
        <v>-2000</v>
      </c>
      <c r="CI226" s="47">
        <f t="shared" si="790"/>
        <v>-2000</v>
      </c>
      <c r="CJ226" s="47">
        <f t="shared" si="790"/>
        <v>-2000</v>
      </c>
      <c r="CK226" s="47">
        <f t="shared" si="790"/>
        <v>-2000</v>
      </c>
      <c r="CL226" s="47">
        <f t="shared" si="790"/>
        <v>-2000</v>
      </c>
      <c r="CM226" s="47">
        <f t="shared" si="790"/>
        <v>-2000</v>
      </c>
      <c r="CN226" s="47">
        <f t="shared" si="790"/>
        <v>-2000</v>
      </c>
      <c r="CO226" s="47">
        <f t="shared" si="790"/>
        <v>-2000</v>
      </c>
      <c r="CP226" s="47">
        <f t="shared" si="790"/>
        <v>-2000</v>
      </c>
      <c r="CQ226" s="47">
        <f t="shared" si="790"/>
        <v>-2000</v>
      </c>
      <c r="CR226" s="47"/>
      <c r="CS226" s="47"/>
      <c r="CT226" s="47"/>
      <c r="CU226" s="50" t="str">
        <f>IFERROR(__xludf.DUMMYFUNCTION("""COMPUTED_VALUE"""),"4325 Elm St.
Dallas, TX 75226          ")</f>
        <v>4325 Elm St.
Dallas, TX 75226          </v>
      </c>
      <c r="CV226" s="51">
        <f>IFERROR(__xludf.DUMMYFUNCTION("IF(REGEXMATCH(UPPER(CU226), ""TX""),0,1)"),0.0)</f>
        <v>0</v>
      </c>
      <c r="CW226" s="51">
        <f>IFERROR(__xludf.DUMMYFUNCTION("IF(REGEXMATCH(UPPER(CU226), ""DALLAS""),0,1)"),0.0)</f>
        <v>0</v>
      </c>
      <c r="CX226" s="51">
        <f t="shared" si="17"/>
        <v>0</v>
      </c>
      <c r="CY226" s="51">
        <f t="shared" si="18"/>
        <v>0</v>
      </c>
      <c r="CZ226" s="52" t="str">
        <f t="shared" si="19"/>
        <v/>
      </c>
      <c r="DA226" s="58"/>
      <c r="DB226" s="52"/>
      <c r="DC226" s="52"/>
      <c r="DD226" s="52"/>
      <c r="DE226" s="52"/>
      <c r="DF226" s="52"/>
      <c r="DG226" s="52"/>
      <c r="DH226" s="52"/>
      <c r="DI226" s="52"/>
      <c r="DJ226" s="52"/>
      <c r="DK226" s="52"/>
      <c r="DL226" s="52"/>
      <c r="DM226" s="52"/>
      <c r="DN226" s="52"/>
      <c r="DO226" s="52"/>
      <c r="DP226" s="52"/>
      <c r="DQ226" s="52"/>
      <c r="DR226" s="52"/>
      <c r="DS226" s="52"/>
      <c r="DT226" s="52"/>
      <c r="DU226" s="52"/>
      <c r="DV226" s="52"/>
      <c r="DW226" s="52"/>
    </row>
    <row r="227">
      <c r="A227" s="40" t="s">
        <v>55</v>
      </c>
      <c r="B227" s="41" t="s">
        <v>56</v>
      </c>
      <c r="C227" s="31" t="s">
        <v>647</v>
      </c>
      <c r="D227" s="25" t="str">
        <f>IFERROR(__xludf.DUMMYFUNCTION("SPLIT(C227,"" "")"),"Parker,")</f>
        <v>Parker,</v>
      </c>
      <c r="E227" s="40" t="str">
        <f>IFERROR(__xludf.DUMMYFUNCTION("""COMPUTED_VALUE"""),"Dr.")</f>
        <v>Dr.</v>
      </c>
      <c r="F227" s="40" t="str">
        <f>IFERROR(__xludf.DUMMYFUNCTION("""COMPUTED_VALUE"""),"Mark
3606")</f>
        <v>Mark
3606</v>
      </c>
      <c r="G227" s="40" t="str">
        <f>IFERROR(__xludf.DUMMYFUNCTION("""COMPUTED_VALUE"""),"S.")</f>
        <v>S.</v>
      </c>
      <c r="H227" s="40" t="str">
        <f>IFERROR(__xludf.DUMMYFUNCTION("""COMPUTED_VALUE"""),"Tyler")</f>
        <v>Tyler</v>
      </c>
      <c r="I227" s="40" t="str">
        <f>IFERROR(__xludf.DUMMYFUNCTION("""COMPUTED_VALUE"""),"St.
Dallas,")</f>
        <v>St.
Dallas,</v>
      </c>
      <c r="J227" s="40" t="str">
        <f>IFERROR(__xludf.DUMMYFUNCTION("""COMPUTED_VALUE"""),"TX")</f>
        <v>TX</v>
      </c>
      <c r="K227" s="40">
        <f>IFERROR(__xludf.DUMMYFUNCTION("""COMPUTED_VALUE"""),75224.0)</f>
        <v>75224</v>
      </c>
      <c r="L227" s="40"/>
      <c r="M227" s="40"/>
      <c r="N227" s="40"/>
      <c r="O227" s="40"/>
      <c r="P227" s="40"/>
      <c r="Q227" s="40"/>
      <c r="R227" s="40"/>
      <c r="S227" s="40"/>
      <c r="T227" s="40"/>
      <c r="U227" s="24" t="str">
        <f>IFERROR(__xludf.DUMMYFUNCTION("SPLIT(E227,""01234567890"")"),"Dr.")</f>
        <v>Dr.</v>
      </c>
      <c r="V227" s="24" t="str">
        <f>IFERROR(__xludf.DUMMYFUNCTION("SPLIT(D227,"","")"),"Parker")</f>
        <v>Parker</v>
      </c>
      <c r="W227" s="25" t="str">
        <f t="shared" si="1"/>
        <v>DR. PARKER</v>
      </c>
      <c r="X227" s="25" t="s">
        <v>648</v>
      </c>
      <c r="Y227" s="25">
        <v>75224.0</v>
      </c>
      <c r="Z227" s="25" t="str">
        <f>IFERROR(__xludf.DUMMYFUNCTION("SPLIT(C227,""
"")"),"Parker, Dr. Mark")</f>
        <v>Parker, Dr. Mark</v>
      </c>
      <c r="AA227" s="25" t="str">
        <f>IFERROR(__xludf.DUMMYFUNCTION("""COMPUTED_VALUE"""),"3606 S. Tyler St.")</f>
        <v>3606 S. Tyler St.</v>
      </c>
      <c r="AB227" s="25" t="str">
        <f>IFERROR(__xludf.DUMMYFUNCTION("""COMPUTED_VALUE"""),"Dallas, TX 75224")</f>
        <v>Dallas, TX 75224</v>
      </c>
      <c r="AC227" s="24" t="s">
        <v>649</v>
      </c>
      <c r="AD227" s="25"/>
      <c r="AE227" s="25"/>
      <c r="AF227" s="25"/>
      <c r="AG227" s="40" t="s">
        <v>60</v>
      </c>
      <c r="AH227" s="42">
        <v>2441.0</v>
      </c>
      <c r="AI227" s="40" t="s">
        <v>61</v>
      </c>
      <c r="AJ227" s="27">
        <v>500.0</v>
      </c>
      <c r="AK227" s="31" t="s">
        <v>21</v>
      </c>
      <c r="AL227" s="43">
        <v>44733.0</v>
      </c>
      <c r="AM227" s="44">
        <v>44756.4640625</v>
      </c>
      <c r="AN227" s="30">
        <v>2.0</v>
      </c>
      <c r="AO227" s="40"/>
      <c r="AP227" s="40"/>
      <c r="AQ227" s="40"/>
      <c r="AR227" s="40"/>
      <c r="AS227" s="40"/>
      <c r="AT227" s="47"/>
      <c r="AU227" s="40"/>
      <c r="AV227" s="46" t="str">
        <f>IFERROR(__xludf.DUMMYFUNCTION("""COMPUTED_VALUE"""),"Wani")</f>
        <v>Wani</v>
      </c>
      <c r="AW227" s="46">
        <f t="shared" si="7"/>
        <v>2500</v>
      </c>
      <c r="AX227" s="47">
        <f t="shared" ref="AX227:BQ227" si="791">SUMIFS($AJ:$AJ,$V:$V,$AV227,$AK:$AK,AX$2)</f>
        <v>0</v>
      </c>
      <c r="AY227" s="48">
        <f t="shared" si="791"/>
        <v>0</v>
      </c>
      <c r="AZ227" s="48">
        <f t="shared" si="791"/>
        <v>0</v>
      </c>
      <c r="BA227" s="48">
        <f t="shared" si="791"/>
        <v>0</v>
      </c>
      <c r="BB227" s="48">
        <f t="shared" si="791"/>
        <v>2500</v>
      </c>
      <c r="BC227" s="48">
        <f t="shared" si="791"/>
        <v>0</v>
      </c>
      <c r="BD227" s="48">
        <f t="shared" si="791"/>
        <v>0</v>
      </c>
      <c r="BE227" s="48">
        <f t="shared" si="791"/>
        <v>0</v>
      </c>
      <c r="BF227" s="48">
        <f t="shared" si="791"/>
        <v>0</v>
      </c>
      <c r="BG227" s="48">
        <f t="shared" si="791"/>
        <v>0</v>
      </c>
      <c r="BH227" s="48">
        <f t="shared" si="791"/>
        <v>0</v>
      </c>
      <c r="BI227" s="48">
        <f t="shared" si="791"/>
        <v>0</v>
      </c>
      <c r="BJ227" s="48">
        <f t="shared" si="791"/>
        <v>0</v>
      </c>
      <c r="BK227" s="48">
        <f t="shared" si="791"/>
        <v>0</v>
      </c>
      <c r="BL227" s="48">
        <f t="shared" si="791"/>
        <v>0</v>
      </c>
      <c r="BM227" s="48">
        <f t="shared" si="791"/>
        <v>0</v>
      </c>
      <c r="BN227" s="48">
        <f t="shared" si="791"/>
        <v>0</v>
      </c>
      <c r="BO227" s="48">
        <f t="shared" si="791"/>
        <v>0</v>
      </c>
      <c r="BP227" s="48">
        <f t="shared" si="791"/>
        <v>0</v>
      </c>
      <c r="BQ227" s="48">
        <f t="shared" si="791"/>
        <v>0</v>
      </c>
      <c r="BR227" s="36">
        <f t="shared" si="9"/>
        <v>0</v>
      </c>
      <c r="BS227" s="38">
        <f t="shared" si="10"/>
        <v>1</v>
      </c>
      <c r="BT227" s="49">
        <f t="shared" si="11"/>
        <v>0</v>
      </c>
      <c r="BU227" s="38">
        <f t="shared" si="12"/>
        <v>1000</v>
      </c>
      <c r="BV227" s="46" t="str">
        <f>IFERROR(__xludf.DUMMYFUNCTION("""COMPUTED_VALUE"""),"Wani")</f>
        <v>Wani</v>
      </c>
      <c r="BW227" s="46">
        <f t="shared" si="13"/>
        <v>2500</v>
      </c>
      <c r="BX227" s="47">
        <f t="shared" ref="BX227:CA227" si="792">AX227-$BU227</f>
        <v>-1000</v>
      </c>
      <c r="BY227" s="47">
        <f t="shared" si="792"/>
        <v>-1000</v>
      </c>
      <c r="BZ227" s="47">
        <f t="shared" si="792"/>
        <v>-1000</v>
      </c>
      <c r="CA227" s="47">
        <f t="shared" si="792"/>
        <v>-1000</v>
      </c>
      <c r="CB227" s="47">
        <f t="shared" si="15"/>
        <v>-7500</v>
      </c>
      <c r="CC227" s="47">
        <f t="shared" ref="CC227:CQ227" si="793">BC227-$BU227</f>
        <v>-1000</v>
      </c>
      <c r="CD227" s="47">
        <f t="shared" si="793"/>
        <v>-1000</v>
      </c>
      <c r="CE227" s="47">
        <f t="shared" si="793"/>
        <v>-1000</v>
      </c>
      <c r="CF227" s="47">
        <f t="shared" si="793"/>
        <v>-1000</v>
      </c>
      <c r="CG227" s="47">
        <f t="shared" si="793"/>
        <v>-1000</v>
      </c>
      <c r="CH227" s="47">
        <f t="shared" si="793"/>
        <v>-1000</v>
      </c>
      <c r="CI227" s="47">
        <f t="shared" si="793"/>
        <v>-1000</v>
      </c>
      <c r="CJ227" s="47">
        <f t="shared" si="793"/>
        <v>-1000</v>
      </c>
      <c r="CK227" s="47">
        <f t="shared" si="793"/>
        <v>-1000</v>
      </c>
      <c r="CL227" s="47">
        <f t="shared" si="793"/>
        <v>-1000</v>
      </c>
      <c r="CM227" s="47">
        <f t="shared" si="793"/>
        <v>-1000</v>
      </c>
      <c r="CN227" s="47">
        <f t="shared" si="793"/>
        <v>-1000</v>
      </c>
      <c r="CO227" s="47">
        <f t="shared" si="793"/>
        <v>-1000</v>
      </c>
      <c r="CP227" s="47">
        <f t="shared" si="793"/>
        <v>-1000</v>
      </c>
      <c r="CQ227" s="47">
        <f t="shared" si="793"/>
        <v>-1000</v>
      </c>
      <c r="CR227" s="47"/>
      <c r="CS227" s="47"/>
      <c r="CT227" s="47"/>
      <c r="CU227" s="50" t="str">
        <f>IFERROR(__xludf.DUMMYFUNCTION("""COMPUTED_VALUE"""),"2630 Shelby Ave.
Dallas, TX 75219          ")</f>
        <v>2630 Shelby Ave.
Dallas, TX 75219          </v>
      </c>
      <c r="CV227" s="51">
        <f>IFERROR(__xludf.DUMMYFUNCTION("IF(REGEXMATCH(UPPER(CU227), ""TX""),0,1)"),0.0)</f>
        <v>0</v>
      </c>
      <c r="CW227" s="51">
        <f>IFERROR(__xludf.DUMMYFUNCTION("IF(REGEXMATCH(UPPER(CU227), ""DALLAS""),0,1)"),0.0)</f>
        <v>0</v>
      </c>
      <c r="CX227" s="51">
        <f t="shared" si="17"/>
        <v>0</v>
      </c>
      <c r="CY227" s="51">
        <f t="shared" si="18"/>
        <v>0</v>
      </c>
      <c r="CZ227" s="52" t="str">
        <f t="shared" si="19"/>
        <v/>
      </c>
      <c r="DA227" s="58"/>
      <c r="DB227" s="52"/>
      <c r="DC227" s="52"/>
      <c r="DD227" s="52"/>
      <c r="DE227" s="52"/>
      <c r="DF227" s="52"/>
      <c r="DG227" s="52"/>
      <c r="DH227" s="52"/>
      <c r="DI227" s="52"/>
      <c r="DJ227" s="52"/>
      <c r="DK227" s="52"/>
      <c r="DL227" s="52"/>
      <c r="DM227" s="52"/>
      <c r="DN227" s="52"/>
      <c r="DO227" s="52"/>
      <c r="DP227" s="52"/>
      <c r="DQ227" s="52"/>
      <c r="DR227" s="52"/>
      <c r="DS227" s="52"/>
      <c r="DT227" s="52"/>
      <c r="DU227" s="52"/>
      <c r="DV227" s="52"/>
      <c r="DW227" s="52"/>
    </row>
    <row r="228">
      <c r="A228" s="22" t="s">
        <v>55</v>
      </c>
      <c r="B228" s="23" t="s">
        <v>56</v>
      </c>
      <c r="C228" s="31" t="s">
        <v>650</v>
      </c>
      <c r="D228" s="25" t="str">
        <f>IFERROR(__xludf.DUMMYFUNCTION("SPLIT(C228,"" "")"),"Johnson,")</f>
        <v>Johnson,</v>
      </c>
      <c r="E228" s="22" t="str">
        <f>IFERROR(__xludf.DUMMYFUNCTION("""COMPUTED_VALUE"""),"Eric
3606")</f>
        <v>Eric
3606</v>
      </c>
      <c r="F228" s="22" t="str">
        <f>IFERROR(__xludf.DUMMYFUNCTION("""COMPUTED_VALUE"""),"S.")</f>
        <v>S.</v>
      </c>
      <c r="G228" s="22" t="str">
        <f>IFERROR(__xludf.DUMMYFUNCTION("""COMPUTED_VALUE"""),"Tyler")</f>
        <v>Tyler</v>
      </c>
      <c r="H228" s="22" t="str">
        <f>IFERROR(__xludf.DUMMYFUNCTION("""COMPUTED_VALUE"""),"St.
Dallas,")</f>
        <v>St.
Dallas,</v>
      </c>
      <c r="I228" s="22" t="str">
        <f>IFERROR(__xludf.DUMMYFUNCTION("""COMPUTED_VALUE"""),"TX")</f>
        <v>TX</v>
      </c>
      <c r="J228" s="22">
        <f>IFERROR(__xludf.DUMMYFUNCTION("""COMPUTED_VALUE"""),75224.0)</f>
        <v>75224</v>
      </c>
      <c r="K228" s="22"/>
      <c r="L228" s="22"/>
      <c r="M228" s="22"/>
      <c r="N228" s="22"/>
      <c r="O228" s="22"/>
      <c r="P228" s="22"/>
      <c r="Q228" s="22"/>
      <c r="R228" s="22"/>
      <c r="S228" s="22"/>
      <c r="T228" s="22"/>
      <c r="U228" s="24" t="str">
        <f>IFERROR(__xludf.DUMMYFUNCTION("SPLIT(E228,""01234567890"")"),"Eric
")</f>
        <v>Eric
</v>
      </c>
      <c r="V228" s="24" t="str">
        <f>IFERROR(__xludf.DUMMYFUNCTION("SPLIT(D228,"","")"),"Johnson")</f>
        <v>Johnson</v>
      </c>
      <c r="W228" s="25" t="str">
        <f t="shared" si="1"/>
        <v>ERIC
 JOHNSON</v>
      </c>
      <c r="X228" s="25" t="s">
        <v>651</v>
      </c>
      <c r="Y228" s="25">
        <v>75224.0</v>
      </c>
      <c r="Z228" s="25" t="str">
        <f>IFERROR(__xludf.DUMMYFUNCTION("SPLIT(C228,""
"")"),"Johnson, Eric")</f>
        <v>Johnson, Eric</v>
      </c>
      <c r="AA228" s="25" t="str">
        <f>IFERROR(__xludf.DUMMYFUNCTION("""COMPUTED_VALUE"""),"3606 S. Tyler St.")</f>
        <v>3606 S. Tyler St.</v>
      </c>
      <c r="AB228" s="25" t="str">
        <f>IFERROR(__xludf.DUMMYFUNCTION("""COMPUTED_VALUE"""),"Dallas, TX 75224")</f>
        <v>Dallas, TX 75224</v>
      </c>
      <c r="AC228" s="24" t="s">
        <v>652</v>
      </c>
      <c r="AD228" s="25"/>
      <c r="AE228" s="25"/>
      <c r="AF228" s="25"/>
      <c r="AG228" s="22" t="s">
        <v>60</v>
      </c>
      <c r="AH228" s="54">
        <v>2441.0</v>
      </c>
      <c r="AI228" s="22" t="s">
        <v>61</v>
      </c>
      <c r="AJ228" s="27">
        <v>500.0</v>
      </c>
      <c r="AK228" s="31" t="s">
        <v>21</v>
      </c>
      <c r="AL228" s="28">
        <v>44733.0</v>
      </c>
      <c r="AM228" s="29">
        <v>44756.4640625</v>
      </c>
      <c r="AN228" s="30">
        <v>2.0</v>
      </c>
      <c r="AO228" s="22"/>
      <c r="AP228" s="22"/>
      <c r="AQ228" s="22"/>
      <c r="AR228" s="22"/>
      <c r="AS228" s="22"/>
      <c r="AT228" s="70"/>
      <c r="AU228" s="22"/>
      <c r="AV228" s="57" t="str">
        <f>IFERROR(__xludf.DUMMYFUNCTION("""COMPUTED_VALUE"""),"Malik")</f>
        <v>Malik</v>
      </c>
      <c r="AW228" s="46">
        <f t="shared" si="7"/>
        <v>2500</v>
      </c>
      <c r="AX228" s="47">
        <f t="shared" ref="AX228:BQ228" si="794">SUMIFS($AJ:$AJ,$V:$V,$AV228,$AK:$AK,AX$2)</f>
        <v>0</v>
      </c>
      <c r="AY228" s="48">
        <f t="shared" si="794"/>
        <v>0</v>
      </c>
      <c r="AZ228" s="48">
        <f t="shared" si="794"/>
        <v>0</v>
      </c>
      <c r="BA228" s="48">
        <f t="shared" si="794"/>
        <v>0</v>
      </c>
      <c r="BB228" s="48">
        <f t="shared" si="794"/>
        <v>2500</v>
      </c>
      <c r="BC228" s="48">
        <f t="shared" si="794"/>
        <v>0</v>
      </c>
      <c r="BD228" s="48">
        <f t="shared" si="794"/>
        <v>0</v>
      </c>
      <c r="BE228" s="48">
        <f t="shared" si="794"/>
        <v>0</v>
      </c>
      <c r="BF228" s="48">
        <f t="shared" si="794"/>
        <v>0</v>
      </c>
      <c r="BG228" s="48">
        <f t="shared" si="794"/>
        <v>0</v>
      </c>
      <c r="BH228" s="48">
        <f t="shared" si="794"/>
        <v>0</v>
      </c>
      <c r="BI228" s="48">
        <f t="shared" si="794"/>
        <v>0</v>
      </c>
      <c r="BJ228" s="48">
        <f t="shared" si="794"/>
        <v>0</v>
      </c>
      <c r="BK228" s="48">
        <f t="shared" si="794"/>
        <v>0</v>
      </c>
      <c r="BL228" s="48">
        <f t="shared" si="794"/>
        <v>0</v>
      </c>
      <c r="BM228" s="48">
        <f t="shared" si="794"/>
        <v>0</v>
      </c>
      <c r="BN228" s="48">
        <f t="shared" si="794"/>
        <v>0</v>
      </c>
      <c r="BO228" s="48">
        <f t="shared" si="794"/>
        <v>0</v>
      </c>
      <c r="BP228" s="48">
        <f t="shared" si="794"/>
        <v>0</v>
      </c>
      <c r="BQ228" s="48">
        <f t="shared" si="794"/>
        <v>0</v>
      </c>
      <c r="BR228" s="36">
        <f t="shared" si="9"/>
        <v>0</v>
      </c>
      <c r="BS228" s="38">
        <f t="shared" si="10"/>
        <v>1</v>
      </c>
      <c r="BT228" s="49">
        <f t="shared" si="11"/>
        <v>0</v>
      </c>
      <c r="BU228" s="38">
        <f t="shared" si="12"/>
        <v>1000</v>
      </c>
      <c r="BV228" s="57" t="str">
        <f>IFERROR(__xludf.DUMMYFUNCTION("""COMPUTED_VALUE"""),"Malik")</f>
        <v>Malik</v>
      </c>
      <c r="BW228" s="46">
        <f t="shared" si="13"/>
        <v>2500</v>
      </c>
      <c r="BX228" s="47">
        <f t="shared" ref="BX228:CA228" si="795">AX228-$BU228</f>
        <v>-1000</v>
      </c>
      <c r="BY228" s="47">
        <f t="shared" si="795"/>
        <v>-1000</v>
      </c>
      <c r="BZ228" s="47">
        <f t="shared" si="795"/>
        <v>-1000</v>
      </c>
      <c r="CA228" s="47">
        <f t="shared" si="795"/>
        <v>-1000</v>
      </c>
      <c r="CB228" s="47">
        <f t="shared" si="15"/>
        <v>-7500</v>
      </c>
      <c r="CC228" s="47">
        <f t="shared" ref="CC228:CQ228" si="796">BC228-$BU228</f>
        <v>-1000</v>
      </c>
      <c r="CD228" s="47">
        <f t="shared" si="796"/>
        <v>-1000</v>
      </c>
      <c r="CE228" s="47">
        <f t="shared" si="796"/>
        <v>-1000</v>
      </c>
      <c r="CF228" s="47">
        <f t="shared" si="796"/>
        <v>-1000</v>
      </c>
      <c r="CG228" s="47">
        <f t="shared" si="796"/>
        <v>-1000</v>
      </c>
      <c r="CH228" s="47">
        <f t="shared" si="796"/>
        <v>-1000</v>
      </c>
      <c r="CI228" s="47">
        <f t="shared" si="796"/>
        <v>-1000</v>
      </c>
      <c r="CJ228" s="47">
        <f t="shared" si="796"/>
        <v>-1000</v>
      </c>
      <c r="CK228" s="47">
        <f t="shared" si="796"/>
        <v>-1000</v>
      </c>
      <c r="CL228" s="47">
        <f t="shared" si="796"/>
        <v>-1000</v>
      </c>
      <c r="CM228" s="47">
        <f t="shared" si="796"/>
        <v>-1000</v>
      </c>
      <c r="CN228" s="47">
        <f t="shared" si="796"/>
        <v>-1000</v>
      </c>
      <c r="CO228" s="47">
        <f t="shared" si="796"/>
        <v>-1000</v>
      </c>
      <c r="CP228" s="47">
        <f t="shared" si="796"/>
        <v>-1000</v>
      </c>
      <c r="CQ228" s="47">
        <f t="shared" si="796"/>
        <v>-1000</v>
      </c>
      <c r="CR228" s="47"/>
      <c r="CS228" s="47"/>
      <c r="CT228" s="47"/>
      <c r="CU228" s="50" t="str">
        <f>IFERROR(__xludf.DUMMYFUNCTION("""COMPUTED_VALUE"""),"700 N. Oak Cliff Blvd.
Dallas, TX 75208        ")</f>
        <v>700 N. Oak Cliff Blvd.
Dallas, TX 75208        </v>
      </c>
      <c r="CV228" s="51">
        <f>IFERROR(__xludf.DUMMYFUNCTION("IF(REGEXMATCH(UPPER(CU228), ""TX""),0,1)"),0.0)</f>
        <v>0</v>
      </c>
      <c r="CW228" s="51">
        <f>IFERROR(__xludf.DUMMYFUNCTION("IF(REGEXMATCH(UPPER(CU228), ""DALLAS""),0,1)"),0.0)</f>
        <v>0</v>
      </c>
      <c r="CX228" s="51">
        <f t="shared" si="17"/>
        <v>0</v>
      </c>
      <c r="CY228" s="51">
        <f t="shared" si="18"/>
        <v>0</v>
      </c>
      <c r="CZ228" s="52" t="str">
        <f t="shared" si="19"/>
        <v/>
      </c>
      <c r="DA228" s="58"/>
      <c r="DB228" s="52"/>
      <c r="DC228" s="52"/>
      <c r="DD228" s="52"/>
      <c r="DE228" s="52"/>
      <c r="DF228" s="52"/>
      <c r="DG228" s="52"/>
      <c r="DH228" s="52"/>
      <c r="DI228" s="52"/>
      <c r="DJ228" s="52"/>
      <c r="DK228" s="52"/>
      <c r="DL228" s="52"/>
      <c r="DM228" s="52"/>
      <c r="DN228" s="52"/>
      <c r="DO228" s="52"/>
      <c r="DP228" s="52"/>
      <c r="DQ228" s="52"/>
      <c r="DR228" s="52"/>
      <c r="DS228" s="52"/>
      <c r="DT228" s="52"/>
      <c r="DU228" s="52"/>
      <c r="DV228" s="52"/>
      <c r="DW228" s="52"/>
    </row>
    <row r="229">
      <c r="A229" s="40" t="s">
        <v>55</v>
      </c>
      <c r="B229" s="41" t="s">
        <v>56</v>
      </c>
      <c r="C229" s="31" t="s">
        <v>653</v>
      </c>
      <c r="D229" s="25" t="str">
        <f>IFERROR(__xludf.DUMMYFUNCTION("SPLIT(C229,"" "")"),"Galvan,")</f>
        <v>Galvan,</v>
      </c>
      <c r="E229" s="40" t="str">
        <f>IFERROR(__xludf.DUMMYFUNCTION("""COMPUTED_VALUE"""),"Nancy
1411")</f>
        <v>Nancy
1411</v>
      </c>
      <c r="F229" s="40" t="str">
        <f>IFERROR(__xludf.DUMMYFUNCTION("""COMPUTED_VALUE"""),"Junior")</f>
        <v>Junior</v>
      </c>
      <c r="G229" s="40" t="str">
        <f>IFERROR(__xludf.DUMMYFUNCTION("""COMPUTED_VALUE"""),"Dr.
Dallas,")</f>
        <v>Dr.
Dallas,</v>
      </c>
      <c r="H229" s="40" t="str">
        <f>IFERROR(__xludf.DUMMYFUNCTION("""COMPUTED_VALUE"""),"TX")</f>
        <v>TX</v>
      </c>
      <c r="I229" s="40">
        <f>IFERROR(__xludf.DUMMYFUNCTION("""COMPUTED_VALUE"""),75208.0)</f>
        <v>75208</v>
      </c>
      <c r="J229" s="40"/>
      <c r="K229" s="40"/>
      <c r="L229" s="40"/>
      <c r="M229" s="40"/>
      <c r="N229" s="40"/>
      <c r="O229" s="40"/>
      <c r="P229" s="40"/>
      <c r="Q229" s="40"/>
      <c r="R229" s="40"/>
      <c r="S229" s="40"/>
      <c r="T229" s="40"/>
      <c r="U229" s="24" t="str">
        <f>IFERROR(__xludf.DUMMYFUNCTION("SPLIT(E229,""01234567890"")"),"Nancy
")</f>
        <v>Nancy
</v>
      </c>
      <c r="V229" s="24" t="str">
        <f>IFERROR(__xludf.DUMMYFUNCTION("SPLIT(D229,"","")"),"Galvan")</f>
        <v>Galvan</v>
      </c>
      <c r="W229" s="25" t="str">
        <f t="shared" si="1"/>
        <v>NANCY
 GALVAN</v>
      </c>
      <c r="X229" s="25" t="s">
        <v>654</v>
      </c>
      <c r="Y229" s="25">
        <v>75208.0</v>
      </c>
      <c r="Z229" s="25" t="str">
        <f>IFERROR(__xludf.DUMMYFUNCTION("SPLIT(C229,""
"")"),"Galvan, Nancy")</f>
        <v>Galvan, Nancy</v>
      </c>
      <c r="AA229" s="25" t="str">
        <f>IFERROR(__xludf.DUMMYFUNCTION("""COMPUTED_VALUE"""),"1411 Junior Dr.")</f>
        <v>1411 Junior Dr.</v>
      </c>
      <c r="AB229" s="25" t="str">
        <f>IFERROR(__xludf.DUMMYFUNCTION("""COMPUTED_VALUE"""),"Dallas, TX 75208")</f>
        <v>Dallas, TX 75208</v>
      </c>
      <c r="AC229" s="24" t="s">
        <v>655</v>
      </c>
      <c r="AD229" s="25"/>
      <c r="AE229" s="25"/>
      <c r="AF229" s="25"/>
      <c r="AG229" s="40" t="s">
        <v>60</v>
      </c>
      <c r="AH229" s="42">
        <v>2441.0</v>
      </c>
      <c r="AI229" s="40" t="s">
        <v>61</v>
      </c>
      <c r="AJ229" s="27">
        <v>50.0</v>
      </c>
      <c r="AK229" s="31" t="s">
        <v>21</v>
      </c>
      <c r="AL229" s="43">
        <v>44734.0</v>
      </c>
      <c r="AM229" s="44">
        <v>44756.4640625</v>
      </c>
      <c r="AN229" s="30">
        <v>2.0</v>
      </c>
      <c r="AO229" s="40"/>
      <c r="AP229" s="40"/>
      <c r="AQ229" s="40"/>
      <c r="AR229" s="40"/>
      <c r="AS229" s="40"/>
      <c r="AT229" s="47"/>
      <c r="AU229" s="40"/>
      <c r="AV229" s="46" t="str">
        <f>IFERROR(__xludf.DUMMYFUNCTION("""COMPUTED_VALUE"""),"Lovell")</f>
        <v>Lovell</v>
      </c>
      <c r="AW229" s="46">
        <f t="shared" si="7"/>
        <v>2500</v>
      </c>
      <c r="AX229" s="47">
        <f t="shared" ref="AX229:BQ229" si="797">SUMIFS($AJ:$AJ,$V:$V,$AV229,$AK:$AK,AX$2)</f>
        <v>0</v>
      </c>
      <c r="AY229" s="48">
        <f t="shared" si="797"/>
        <v>0</v>
      </c>
      <c r="AZ229" s="48">
        <f t="shared" si="797"/>
        <v>0</v>
      </c>
      <c r="BA229" s="48">
        <f t="shared" si="797"/>
        <v>0</v>
      </c>
      <c r="BB229" s="48">
        <f t="shared" si="797"/>
        <v>2500</v>
      </c>
      <c r="BC229" s="48">
        <f t="shared" si="797"/>
        <v>0</v>
      </c>
      <c r="BD229" s="48">
        <f t="shared" si="797"/>
        <v>0</v>
      </c>
      <c r="BE229" s="48">
        <f t="shared" si="797"/>
        <v>0</v>
      </c>
      <c r="BF229" s="48">
        <f t="shared" si="797"/>
        <v>0</v>
      </c>
      <c r="BG229" s="48">
        <f t="shared" si="797"/>
        <v>0</v>
      </c>
      <c r="BH229" s="48">
        <f t="shared" si="797"/>
        <v>0</v>
      </c>
      <c r="BI229" s="48">
        <f t="shared" si="797"/>
        <v>0</v>
      </c>
      <c r="BJ229" s="48">
        <f t="shared" si="797"/>
        <v>0</v>
      </c>
      <c r="BK229" s="48">
        <f t="shared" si="797"/>
        <v>0</v>
      </c>
      <c r="BL229" s="48">
        <f t="shared" si="797"/>
        <v>0</v>
      </c>
      <c r="BM229" s="48">
        <f t="shared" si="797"/>
        <v>0</v>
      </c>
      <c r="BN229" s="48">
        <f t="shared" si="797"/>
        <v>0</v>
      </c>
      <c r="BO229" s="48">
        <f t="shared" si="797"/>
        <v>0</v>
      </c>
      <c r="BP229" s="48">
        <f t="shared" si="797"/>
        <v>0</v>
      </c>
      <c r="BQ229" s="48">
        <f t="shared" si="797"/>
        <v>0</v>
      </c>
      <c r="BR229" s="36">
        <f t="shared" si="9"/>
        <v>0</v>
      </c>
      <c r="BS229" s="38">
        <f t="shared" si="10"/>
        <v>1</v>
      </c>
      <c r="BT229" s="49">
        <f t="shared" si="11"/>
        <v>0</v>
      </c>
      <c r="BU229" s="38">
        <f t="shared" si="12"/>
        <v>1000</v>
      </c>
      <c r="BV229" s="46" t="str">
        <f>IFERROR(__xludf.DUMMYFUNCTION("""COMPUTED_VALUE"""),"Lovell")</f>
        <v>Lovell</v>
      </c>
      <c r="BW229" s="46">
        <f t="shared" si="13"/>
        <v>2500</v>
      </c>
      <c r="BX229" s="47">
        <f t="shared" ref="BX229:CA229" si="798">AX229-$BU229</f>
        <v>-1000</v>
      </c>
      <c r="BY229" s="47">
        <f t="shared" si="798"/>
        <v>-1000</v>
      </c>
      <c r="BZ229" s="47">
        <f t="shared" si="798"/>
        <v>-1000</v>
      </c>
      <c r="CA229" s="47">
        <f t="shared" si="798"/>
        <v>-1000</v>
      </c>
      <c r="CB229" s="47">
        <f t="shared" si="15"/>
        <v>-7500</v>
      </c>
      <c r="CC229" s="47">
        <f t="shared" ref="CC229:CQ229" si="799">BC229-$BU229</f>
        <v>-1000</v>
      </c>
      <c r="CD229" s="47">
        <f t="shared" si="799"/>
        <v>-1000</v>
      </c>
      <c r="CE229" s="47">
        <f t="shared" si="799"/>
        <v>-1000</v>
      </c>
      <c r="CF229" s="47">
        <f t="shared" si="799"/>
        <v>-1000</v>
      </c>
      <c r="CG229" s="47">
        <f t="shared" si="799"/>
        <v>-1000</v>
      </c>
      <c r="CH229" s="47">
        <f t="shared" si="799"/>
        <v>-1000</v>
      </c>
      <c r="CI229" s="47">
        <f t="shared" si="799"/>
        <v>-1000</v>
      </c>
      <c r="CJ229" s="47">
        <f t="shared" si="799"/>
        <v>-1000</v>
      </c>
      <c r="CK229" s="47">
        <f t="shared" si="799"/>
        <v>-1000</v>
      </c>
      <c r="CL229" s="47">
        <f t="shared" si="799"/>
        <v>-1000</v>
      </c>
      <c r="CM229" s="47">
        <f t="shared" si="799"/>
        <v>-1000</v>
      </c>
      <c r="CN229" s="47">
        <f t="shared" si="799"/>
        <v>-1000</v>
      </c>
      <c r="CO229" s="47">
        <f t="shared" si="799"/>
        <v>-1000</v>
      </c>
      <c r="CP229" s="47">
        <f t="shared" si="799"/>
        <v>-1000</v>
      </c>
      <c r="CQ229" s="47">
        <f t="shared" si="799"/>
        <v>-1000</v>
      </c>
      <c r="CR229" s="47"/>
      <c r="CS229" s="47"/>
      <c r="CT229" s="47"/>
      <c r="CU229" s="50" t="str">
        <f>IFERROR(__xludf.DUMMYFUNCTION("""COMPUTED_VALUE"""),"greater Dallas HOME PAC
5816 W Plano Parkway
Plano, TX 75093      ")</f>
        <v>greater Dallas HOME PAC
5816 W Plano Parkway
Plano, TX 75093      </v>
      </c>
      <c r="CV229" s="51">
        <f>IFERROR(__xludf.DUMMYFUNCTION("IF(REGEXMATCH(UPPER(CU229), ""TX""),0,1)"),0.0)</f>
        <v>0</v>
      </c>
      <c r="CW229" s="51">
        <f>IFERROR(__xludf.DUMMYFUNCTION("IF(REGEXMATCH(UPPER(CU229), ""DALLAS""),0,1)"),0.0)</f>
        <v>0</v>
      </c>
      <c r="CX229" s="51">
        <f t="shared" si="17"/>
        <v>0</v>
      </c>
      <c r="CY229" s="51">
        <f t="shared" si="18"/>
        <v>0</v>
      </c>
      <c r="CZ229" s="52" t="str">
        <f t="shared" si="19"/>
        <v/>
      </c>
      <c r="DA229" s="58"/>
      <c r="DB229" s="52"/>
      <c r="DC229" s="52"/>
      <c r="DD229" s="52"/>
      <c r="DE229" s="52"/>
      <c r="DF229" s="52"/>
      <c r="DG229" s="52"/>
      <c r="DH229" s="52"/>
      <c r="DI229" s="52"/>
      <c r="DJ229" s="52"/>
      <c r="DK229" s="52"/>
      <c r="DL229" s="52"/>
      <c r="DM229" s="52"/>
      <c r="DN229" s="52"/>
      <c r="DO229" s="52"/>
      <c r="DP229" s="52"/>
      <c r="DQ229" s="52"/>
      <c r="DR229" s="52"/>
      <c r="DS229" s="52"/>
      <c r="DT229" s="52"/>
      <c r="DU229" s="52"/>
      <c r="DV229" s="52"/>
      <c r="DW229" s="52"/>
    </row>
    <row r="230">
      <c r="A230" s="22" t="s">
        <v>55</v>
      </c>
      <c r="B230" s="23" t="s">
        <v>56</v>
      </c>
      <c r="C230" s="31" t="s">
        <v>656</v>
      </c>
      <c r="D230" s="25" t="str">
        <f>IFERROR(__xludf.DUMMYFUNCTION("SPLIT(C230,"" "")"),"Nuchereno,")</f>
        <v>Nuchereno,</v>
      </c>
      <c r="E230" s="22" t="str">
        <f>IFERROR(__xludf.DUMMYFUNCTION("""COMPUTED_VALUE"""),"Frank
4310")</f>
        <v>Frank
4310</v>
      </c>
      <c r="F230" s="22" t="str">
        <f>IFERROR(__xludf.DUMMYFUNCTION("""COMPUTED_VALUE"""),"Nashwood")</f>
        <v>Nashwood</v>
      </c>
      <c r="G230" s="22" t="str">
        <f>IFERROR(__xludf.DUMMYFUNCTION("""COMPUTED_VALUE"""),"Ln.
Dallas,")</f>
        <v>Ln.
Dallas,</v>
      </c>
      <c r="H230" s="22" t="str">
        <f>IFERROR(__xludf.DUMMYFUNCTION("""COMPUTED_VALUE"""),"TX")</f>
        <v>TX</v>
      </c>
      <c r="I230" s="22">
        <f>IFERROR(__xludf.DUMMYFUNCTION("""COMPUTED_VALUE"""),75244.0)</f>
        <v>75244</v>
      </c>
      <c r="J230" s="22"/>
      <c r="K230" s="22"/>
      <c r="L230" s="22"/>
      <c r="M230" s="22"/>
      <c r="N230" s="22"/>
      <c r="O230" s="22"/>
      <c r="P230" s="22"/>
      <c r="Q230" s="22"/>
      <c r="R230" s="22"/>
      <c r="S230" s="22"/>
      <c r="T230" s="22"/>
      <c r="U230" s="24" t="str">
        <f>IFERROR(__xludf.DUMMYFUNCTION("SPLIT(E230,""01234567890"")"),"Frank
")</f>
        <v>Frank
</v>
      </c>
      <c r="V230" s="24" t="str">
        <f>IFERROR(__xludf.DUMMYFUNCTION("SPLIT(D230,"","")"),"Nuchereno")</f>
        <v>Nuchereno</v>
      </c>
      <c r="W230" s="25" t="str">
        <f t="shared" si="1"/>
        <v>FRANK
 NUCHERENO</v>
      </c>
      <c r="X230" s="25" t="s">
        <v>657</v>
      </c>
      <c r="Y230" s="25">
        <v>75244.0</v>
      </c>
      <c r="Z230" s="25" t="str">
        <f>IFERROR(__xludf.DUMMYFUNCTION("SPLIT(C230,""
"")"),"Nuchereno, Frank")</f>
        <v>Nuchereno, Frank</v>
      </c>
      <c r="AA230" s="25" t="str">
        <f>IFERROR(__xludf.DUMMYFUNCTION("""COMPUTED_VALUE"""),"4310 Nashwood Ln.")</f>
        <v>4310 Nashwood Ln.</v>
      </c>
      <c r="AB230" s="25" t="str">
        <f>IFERROR(__xludf.DUMMYFUNCTION("""COMPUTED_VALUE"""),"Dallas, TX 75244")</f>
        <v>Dallas, TX 75244</v>
      </c>
      <c r="AC230" s="24" t="s">
        <v>658</v>
      </c>
      <c r="AD230" s="25"/>
      <c r="AE230" s="25"/>
      <c r="AF230" s="25"/>
      <c r="AG230" s="22" t="s">
        <v>60</v>
      </c>
      <c r="AH230" s="54">
        <v>2441.0</v>
      </c>
      <c r="AI230" s="22" t="s">
        <v>61</v>
      </c>
      <c r="AJ230" s="27">
        <v>1000.0</v>
      </c>
      <c r="AK230" s="31" t="s">
        <v>21</v>
      </c>
      <c r="AL230" s="28">
        <v>44735.0</v>
      </c>
      <c r="AM230" s="29">
        <v>44756.4640625</v>
      </c>
      <c r="AN230" s="30">
        <v>2.0</v>
      </c>
      <c r="AO230" s="22"/>
      <c r="AP230" s="22"/>
      <c r="AQ230" s="22"/>
      <c r="AR230" s="22"/>
      <c r="AS230" s="22"/>
      <c r="AT230" s="70"/>
      <c r="AU230" s="22"/>
      <c r="AV230" s="57" t="str">
        <f>IFERROR(__xludf.DUMMYFUNCTION("""COMPUTED_VALUE"""),"Russell")</f>
        <v>Russell</v>
      </c>
      <c r="AW230" s="46">
        <f t="shared" si="7"/>
        <v>250</v>
      </c>
      <c r="AX230" s="47">
        <f t="shared" ref="AX230:BQ230" si="800">SUMIFS($AJ:$AJ,$V:$V,$AV230,$AK:$AK,AX$2)</f>
        <v>0</v>
      </c>
      <c r="AY230" s="48">
        <f t="shared" si="800"/>
        <v>0</v>
      </c>
      <c r="AZ230" s="48">
        <f t="shared" si="800"/>
        <v>0</v>
      </c>
      <c r="BA230" s="48">
        <f t="shared" si="800"/>
        <v>0</v>
      </c>
      <c r="BB230" s="48">
        <f t="shared" si="800"/>
        <v>250</v>
      </c>
      <c r="BC230" s="48">
        <f t="shared" si="800"/>
        <v>0</v>
      </c>
      <c r="BD230" s="48">
        <f t="shared" si="800"/>
        <v>0</v>
      </c>
      <c r="BE230" s="48">
        <f t="shared" si="800"/>
        <v>0</v>
      </c>
      <c r="BF230" s="48">
        <f t="shared" si="800"/>
        <v>0</v>
      </c>
      <c r="BG230" s="48">
        <f t="shared" si="800"/>
        <v>0</v>
      </c>
      <c r="BH230" s="48">
        <f t="shared" si="800"/>
        <v>0</v>
      </c>
      <c r="BI230" s="48">
        <f t="shared" si="800"/>
        <v>0</v>
      </c>
      <c r="BJ230" s="48">
        <f t="shared" si="800"/>
        <v>0</v>
      </c>
      <c r="BK230" s="48">
        <f t="shared" si="800"/>
        <v>0</v>
      </c>
      <c r="BL230" s="48">
        <f t="shared" si="800"/>
        <v>0</v>
      </c>
      <c r="BM230" s="48">
        <f t="shared" si="800"/>
        <v>0</v>
      </c>
      <c r="BN230" s="48">
        <f t="shared" si="800"/>
        <v>0</v>
      </c>
      <c r="BO230" s="48">
        <f t="shared" si="800"/>
        <v>0</v>
      </c>
      <c r="BP230" s="48">
        <f t="shared" si="800"/>
        <v>0</v>
      </c>
      <c r="BQ230" s="48">
        <f t="shared" si="800"/>
        <v>0</v>
      </c>
      <c r="BR230" s="36">
        <f t="shared" si="9"/>
        <v>0</v>
      </c>
      <c r="BS230" s="38">
        <f t="shared" si="10"/>
        <v>1</v>
      </c>
      <c r="BT230" s="49">
        <f t="shared" si="11"/>
        <v>0</v>
      </c>
      <c r="BU230" s="38">
        <f t="shared" si="12"/>
        <v>1000</v>
      </c>
      <c r="BV230" s="57" t="str">
        <f>IFERROR(__xludf.DUMMYFUNCTION("""COMPUTED_VALUE"""),"Russell")</f>
        <v>Russell</v>
      </c>
      <c r="BW230" s="46">
        <f t="shared" si="13"/>
        <v>250</v>
      </c>
      <c r="BX230" s="47">
        <f t="shared" ref="BX230:CA230" si="801">AX230-$BU230</f>
        <v>-1000</v>
      </c>
      <c r="BY230" s="47">
        <f t="shared" si="801"/>
        <v>-1000</v>
      </c>
      <c r="BZ230" s="47">
        <f t="shared" si="801"/>
        <v>-1000</v>
      </c>
      <c r="CA230" s="47">
        <f t="shared" si="801"/>
        <v>-1000</v>
      </c>
      <c r="CB230" s="47">
        <f t="shared" si="15"/>
        <v>-9750</v>
      </c>
      <c r="CC230" s="47">
        <f t="shared" ref="CC230:CQ230" si="802">BC230-$BU230</f>
        <v>-1000</v>
      </c>
      <c r="CD230" s="47">
        <f t="shared" si="802"/>
        <v>-1000</v>
      </c>
      <c r="CE230" s="47">
        <f t="shared" si="802"/>
        <v>-1000</v>
      </c>
      <c r="CF230" s="47">
        <f t="shared" si="802"/>
        <v>-1000</v>
      </c>
      <c r="CG230" s="47">
        <f t="shared" si="802"/>
        <v>-1000</v>
      </c>
      <c r="CH230" s="47">
        <f t="shared" si="802"/>
        <v>-1000</v>
      </c>
      <c r="CI230" s="47">
        <f t="shared" si="802"/>
        <v>-1000</v>
      </c>
      <c r="CJ230" s="47">
        <f t="shared" si="802"/>
        <v>-1000</v>
      </c>
      <c r="CK230" s="47">
        <f t="shared" si="802"/>
        <v>-1000</v>
      </c>
      <c r="CL230" s="47">
        <f t="shared" si="802"/>
        <v>-1000</v>
      </c>
      <c r="CM230" s="47">
        <f t="shared" si="802"/>
        <v>-1000</v>
      </c>
      <c r="CN230" s="47">
        <f t="shared" si="802"/>
        <v>-1000</v>
      </c>
      <c r="CO230" s="47">
        <f t="shared" si="802"/>
        <v>-1000</v>
      </c>
      <c r="CP230" s="47">
        <f t="shared" si="802"/>
        <v>-1000</v>
      </c>
      <c r="CQ230" s="47">
        <f t="shared" si="802"/>
        <v>-1000</v>
      </c>
      <c r="CR230" s="47"/>
      <c r="CS230" s="47"/>
      <c r="CT230" s="47"/>
      <c r="CU230" s="50" t="str">
        <f>IFERROR(__xludf.DUMMYFUNCTION("""COMPUTED_VALUE"""),"democrats PAC
PO Box 192305
Dallas, TX 75219         ")</f>
        <v>democrats PAC
PO Box 192305
Dallas, TX 75219         </v>
      </c>
      <c r="CV230" s="51">
        <f>IFERROR(__xludf.DUMMYFUNCTION("IF(REGEXMATCH(UPPER(CU230), ""TX""),0,1)"),0.0)</f>
        <v>0</v>
      </c>
      <c r="CW230" s="51">
        <f>IFERROR(__xludf.DUMMYFUNCTION("IF(REGEXMATCH(UPPER(CU230), ""DALLAS""),0,1)"),0.0)</f>
        <v>0</v>
      </c>
      <c r="CX230" s="51">
        <f t="shared" si="17"/>
        <v>0</v>
      </c>
      <c r="CY230" s="51">
        <f t="shared" si="18"/>
        <v>0</v>
      </c>
      <c r="CZ230" s="52" t="str">
        <f t="shared" si="19"/>
        <v/>
      </c>
      <c r="DA230" s="58"/>
      <c r="DB230" s="52"/>
      <c r="DC230" s="52"/>
      <c r="DD230" s="52"/>
      <c r="DE230" s="52"/>
      <c r="DF230" s="52"/>
      <c r="DG230" s="52"/>
      <c r="DH230" s="52"/>
      <c r="DI230" s="52"/>
      <c r="DJ230" s="52"/>
      <c r="DK230" s="52"/>
      <c r="DL230" s="52"/>
      <c r="DM230" s="52"/>
      <c r="DN230" s="52"/>
      <c r="DO230" s="52"/>
      <c r="DP230" s="52"/>
      <c r="DQ230" s="52"/>
      <c r="DR230" s="52"/>
      <c r="DS230" s="52"/>
      <c r="DT230" s="52"/>
      <c r="DU230" s="52"/>
      <c r="DV230" s="52"/>
      <c r="DW230" s="52"/>
    </row>
    <row r="231">
      <c r="A231" s="40" t="s">
        <v>55</v>
      </c>
      <c r="B231" s="41" t="s">
        <v>56</v>
      </c>
      <c r="C231" s="31" t="s">
        <v>659</v>
      </c>
      <c r="D231" s="25" t="str">
        <f>IFERROR(__xludf.DUMMYFUNCTION("SPLIT(C231,"" "")"),"Keyes,")</f>
        <v>Keyes,</v>
      </c>
      <c r="E231" s="40" t="str">
        <f>IFERROR(__xludf.DUMMYFUNCTION("""COMPUTED_VALUE"""),"Wesley
202")</f>
        <v>Wesley
202</v>
      </c>
      <c r="F231" s="40" t="str">
        <f>IFERROR(__xludf.DUMMYFUNCTION("""COMPUTED_VALUE"""),"N.")</f>
        <v>N.</v>
      </c>
      <c r="G231" s="40" t="str">
        <f>IFERROR(__xludf.DUMMYFUNCTION("""COMPUTED_VALUE"""),"Clinton")</f>
        <v>Clinton</v>
      </c>
      <c r="H231" s="40" t="str">
        <f>IFERROR(__xludf.DUMMYFUNCTION("""COMPUTED_VALUE"""),"Ave
Dallas,")</f>
        <v>Ave
Dallas,</v>
      </c>
      <c r="I231" s="40" t="str">
        <f>IFERROR(__xludf.DUMMYFUNCTION("""COMPUTED_VALUE"""),"TX")</f>
        <v>TX</v>
      </c>
      <c r="J231" s="40">
        <f>IFERROR(__xludf.DUMMYFUNCTION("""COMPUTED_VALUE"""),75208.0)</f>
        <v>75208</v>
      </c>
      <c r="K231" s="40"/>
      <c r="L231" s="40"/>
      <c r="M231" s="40"/>
      <c r="N231" s="40"/>
      <c r="O231" s="40"/>
      <c r="P231" s="40"/>
      <c r="Q231" s="40"/>
      <c r="R231" s="40"/>
      <c r="S231" s="40"/>
      <c r="T231" s="40"/>
      <c r="U231" s="24" t="str">
        <f>IFERROR(__xludf.DUMMYFUNCTION("SPLIT(E231,""01234567890"")"),"Wesley
")</f>
        <v>Wesley
</v>
      </c>
      <c r="V231" s="24" t="str">
        <f>IFERROR(__xludf.DUMMYFUNCTION("SPLIT(D231,"","")"),"Keyes")</f>
        <v>Keyes</v>
      </c>
      <c r="W231" s="25" t="str">
        <f t="shared" si="1"/>
        <v>WESLEY
 KEYES</v>
      </c>
      <c r="X231" s="25" t="s">
        <v>660</v>
      </c>
      <c r="Y231" s="25">
        <v>75208.0</v>
      </c>
      <c r="Z231" s="25" t="str">
        <f>IFERROR(__xludf.DUMMYFUNCTION("SPLIT(C231,""
"")"),"Keyes, Wesley")</f>
        <v>Keyes, Wesley</v>
      </c>
      <c r="AA231" s="25" t="str">
        <f>IFERROR(__xludf.DUMMYFUNCTION("""COMPUTED_VALUE"""),"202 N. Clinton Ave")</f>
        <v>202 N. Clinton Ave</v>
      </c>
      <c r="AB231" s="25" t="str">
        <f>IFERROR(__xludf.DUMMYFUNCTION("""COMPUTED_VALUE"""),"Dallas, TX 75208")</f>
        <v>Dallas, TX 75208</v>
      </c>
      <c r="AC231" s="24" t="s">
        <v>661</v>
      </c>
      <c r="AD231" s="25"/>
      <c r="AE231" s="25"/>
      <c r="AF231" s="25"/>
      <c r="AG231" s="40" t="s">
        <v>60</v>
      </c>
      <c r="AH231" s="42">
        <v>2441.0</v>
      </c>
      <c r="AI231" s="40" t="s">
        <v>61</v>
      </c>
      <c r="AJ231" s="27">
        <v>500.0</v>
      </c>
      <c r="AK231" s="31" t="s">
        <v>21</v>
      </c>
      <c r="AL231" s="43">
        <v>44736.0</v>
      </c>
      <c r="AM231" s="44">
        <v>44756.4640625</v>
      </c>
      <c r="AN231" s="30">
        <v>2.0</v>
      </c>
      <c r="AO231" s="40"/>
      <c r="AP231" s="40"/>
      <c r="AQ231" s="40"/>
      <c r="AR231" s="40"/>
      <c r="AS231" s="40"/>
      <c r="AT231" s="47"/>
      <c r="AU231" s="40"/>
      <c r="AV231" s="46" t="str">
        <f>IFERROR(__xludf.DUMMYFUNCTION("""COMPUTED_VALUE"""),"Dym")</f>
        <v>Dym</v>
      </c>
      <c r="AW231" s="46">
        <f t="shared" si="7"/>
        <v>350</v>
      </c>
      <c r="AX231" s="47">
        <f t="shared" ref="AX231:BQ231" si="803">SUMIFS($AJ:$AJ,$V:$V,$AV231,$AK:$AK,AX$2)</f>
        <v>0</v>
      </c>
      <c r="AY231" s="48">
        <f t="shared" si="803"/>
        <v>0</v>
      </c>
      <c r="AZ231" s="48">
        <f t="shared" si="803"/>
        <v>0</v>
      </c>
      <c r="BA231" s="48">
        <f t="shared" si="803"/>
        <v>0</v>
      </c>
      <c r="BB231" s="48">
        <f t="shared" si="803"/>
        <v>350</v>
      </c>
      <c r="BC231" s="48">
        <f t="shared" si="803"/>
        <v>0</v>
      </c>
      <c r="BD231" s="48">
        <f t="shared" si="803"/>
        <v>0</v>
      </c>
      <c r="BE231" s="48">
        <f t="shared" si="803"/>
        <v>0</v>
      </c>
      <c r="BF231" s="48">
        <f t="shared" si="803"/>
        <v>0</v>
      </c>
      <c r="BG231" s="48">
        <f t="shared" si="803"/>
        <v>0</v>
      </c>
      <c r="BH231" s="48">
        <f t="shared" si="803"/>
        <v>0</v>
      </c>
      <c r="BI231" s="48">
        <f t="shared" si="803"/>
        <v>0</v>
      </c>
      <c r="BJ231" s="48">
        <f t="shared" si="803"/>
        <v>0</v>
      </c>
      <c r="BK231" s="48">
        <f t="shared" si="803"/>
        <v>0</v>
      </c>
      <c r="BL231" s="48">
        <f t="shared" si="803"/>
        <v>0</v>
      </c>
      <c r="BM231" s="48">
        <f t="shared" si="803"/>
        <v>0</v>
      </c>
      <c r="BN231" s="48">
        <f t="shared" si="803"/>
        <v>0</v>
      </c>
      <c r="BO231" s="48">
        <f t="shared" si="803"/>
        <v>0</v>
      </c>
      <c r="BP231" s="48">
        <f t="shared" si="803"/>
        <v>0</v>
      </c>
      <c r="BQ231" s="48">
        <f t="shared" si="803"/>
        <v>0</v>
      </c>
      <c r="BR231" s="36">
        <f t="shared" si="9"/>
        <v>0</v>
      </c>
      <c r="BS231" s="38">
        <f t="shared" si="10"/>
        <v>1</v>
      </c>
      <c r="BT231" s="49">
        <f t="shared" si="11"/>
        <v>0</v>
      </c>
      <c r="BU231" s="38">
        <f t="shared" si="12"/>
        <v>1000</v>
      </c>
      <c r="BV231" s="46" t="str">
        <f>IFERROR(__xludf.DUMMYFUNCTION("""COMPUTED_VALUE"""),"Dym")</f>
        <v>Dym</v>
      </c>
      <c r="BW231" s="46">
        <f t="shared" si="13"/>
        <v>350</v>
      </c>
      <c r="BX231" s="47">
        <f t="shared" ref="BX231:CA231" si="804">AX231-$BU231</f>
        <v>-1000</v>
      </c>
      <c r="BY231" s="47">
        <f t="shared" si="804"/>
        <v>-1000</v>
      </c>
      <c r="BZ231" s="47">
        <f t="shared" si="804"/>
        <v>-1000</v>
      </c>
      <c r="CA231" s="47">
        <f t="shared" si="804"/>
        <v>-1000</v>
      </c>
      <c r="CB231" s="47">
        <f t="shared" si="15"/>
        <v>-9650</v>
      </c>
      <c r="CC231" s="47">
        <f t="shared" ref="CC231:CQ231" si="805">BC231-$BU231</f>
        <v>-1000</v>
      </c>
      <c r="CD231" s="47">
        <f t="shared" si="805"/>
        <v>-1000</v>
      </c>
      <c r="CE231" s="47">
        <f t="shared" si="805"/>
        <v>-1000</v>
      </c>
      <c r="CF231" s="47">
        <f t="shared" si="805"/>
        <v>-1000</v>
      </c>
      <c r="CG231" s="47">
        <f t="shared" si="805"/>
        <v>-1000</v>
      </c>
      <c r="CH231" s="47">
        <f t="shared" si="805"/>
        <v>-1000</v>
      </c>
      <c r="CI231" s="47">
        <f t="shared" si="805"/>
        <v>-1000</v>
      </c>
      <c r="CJ231" s="47">
        <f t="shared" si="805"/>
        <v>-1000</v>
      </c>
      <c r="CK231" s="47">
        <f t="shared" si="805"/>
        <v>-1000</v>
      </c>
      <c r="CL231" s="47">
        <f t="shared" si="805"/>
        <v>-1000</v>
      </c>
      <c r="CM231" s="47">
        <f t="shared" si="805"/>
        <v>-1000</v>
      </c>
      <c r="CN231" s="47">
        <f t="shared" si="805"/>
        <v>-1000</v>
      </c>
      <c r="CO231" s="47">
        <f t="shared" si="805"/>
        <v>-1000</v>
      </c>
      <c r="CP231" s="47">
        <f t="shared" si="805"/>
        <v>-1000</v>
      </c>
      <c r="CQ231" s="47">
        <f t="shared" si="805"/>
        <v>-1000</v>
      </c>
      <c r="CR231" s="47"/>
      <c r="CS231" s="47"/>
      <c r="CT231" s="47"/>
      <c r="CU231" s="50" t="str">
        <f>IFERROR(__xludf.DUMMYFUNCTION("""COMPUTED_VALUE"""),"box 2246
Austin, TX 78768           ")</f>
        <v>box 2246
Austin, TX 78768           </v>
      </c>
      <c r="CV231" s="51">
        <f>IFERROR(__xludf.DUMMYFUNCTION("IF(REGEXMATCH(UPPER(CU231), ""TX""),0,1)"),0.0)</f>
        <v>0</v>
      </c>
      <c r="CW231" s="51">
        <f>IFERROR(__xludf.DUMMYFUNCTION("IF(REGEXMATCH(UPPER(CU231), ""DALLAS""),0,1)"),1.0)</f>
        <v>1</v>
      </c>
      <c r="CX231" s="51">
        <f t="shared" si="17"/>
        <v>0</v>
      </c>
      <c r="CY231" s="51">
        <f t="shared" si="18"/>
        <v>2500</v>
      </c>
      <c r="CZ231" s="52" t="str">
        <f t="shared" si="19"/>
        <v>box 2246
Austin, TX 78768           </v>
      </c>
      <c r="DA231" s="58"/>
      <c r="DB231" s="52"/>
      <c r="DC231" s="52"/>
      <c r="DD231" s="52"/>
      <c r="DE231" s="52"/>
      <c r="DF231" s="52"/>
      <c r="DG231" s="52"/>
      <c r="DH231" s="52"/>
      <c r="DI231" s="52"/>
      <c r="DJ231" s="52"/>
      <c r="DK231" s="52"/>
      <c r="DL231" s="52"/>
      <c r="DM231" s="52"/>
      <c r="DN231" s="52"/>
      <c r="DO231" s="52"/>
      <c r="DP231" s="52"/>
      <c r="DQ231" s="52"/>
      <c r="DR231" s="52"/>
      <c r="DS231" s="52"/>
      <c r="DT231" s="52"/>
      <c r="DU231" s="52"/>
      <c r="DV231" s="52"/>
      <c r="DW231" s="52"/>
    </row>
    <row r="232">
      <c r="A232" s="22" t="s">
        <v>55</v>
      </c>
      <c r="B232" s="23" t="s">
        <v>56</v>
      </c>
      <c r="C232" s="31" t="s">
        <v>662</v>
      </c>
      <c r="D232" s="25" t="str">
        <f>IFERROR(__xludf.DUMMYFUNCTION("SPLIT(C232,"" "")"),"Lutz,")</f>
        <v>Lutz,</v>
      </c>
      <c r="E232" s="22" t="str">
        <f>IFERROR(__xludf.DUMMYFUNCTION("""COMPUTED_VALUE"""),"Carl
3724")</f>
        <v>Carl
3724</v>
      </c>
      <c r="F232" s="22" t="str">
        <f>IFERROR(__xludf.DUMMYFUNCTION("""COMPUTED_VALUE"""),"Waldorf")</f>
        <v>Waldorf</v>
      </c>
      <c r="G232" s="22" t="str">
        <f>IFERROR(__xludf.DUMMYFUNCTION("""COMPUTED_VALUE"""),"Dr.
Dallas,")</f>
        <v>Dr.
Dallas,</v>
      </c>
      <c r="H232" s="22" t="str">
        <f>IFERROR(__xludf.DUMMYFUNCTION("""COMPUTED_VALUE"""),"TX")</f>
        <v>TX</v>
      </c>
      <c r="I232" s="22">
        <f>IFERROR(__xludf.DUMMYFUNCTION("""COMPUTED_VALUE"""),75229.0)</f>
        <v>75229</v>
      </c>
      <c r="J232" s="22"/>
      <c r="K232" s="22"/>
      <c r="L232" s="22"/>
      <c r="M232" s="22"/>
      <c r="N232" s="22"/>
      <c r="O232" s="22"/>
      <c r="P232" s="22"/>
      <c r="Q232" s="22"/>
      <c r="R232" s="22"/>
      <c r="S232" s="22"/>
      <c r="T232" s="22"/>
      <c r="U232" s="24" t="str">
        <f>IFERROR(__xludf.DUMMYFUNCTION("SPLIT(E232,""01234567890"")"),"Carl
")</f>
        <v>Carl
</v>
      </c>
      <c r="V232" s="24" t="str">
        <f>IFERROR(__xludf.DUMMYFUNCTION("SPLIT(D232,"","")"),"Lutz")</f>
        <v>Lutz</v>
      </c>
      <c r="W232" s="25" t="str">
        <f t="shared" si="1"/>
        <v>CARL
 LUTZ</v>
      </c>
      <c r="X232" s="25" t="s">
        <v>663</v>
      </c>
      <c r="Y232" s="25">
        <v>75229.0</v>
      </c>
      <c r="Z232" s="25" t="str">
        <f>IFERROR(__xludf.DUMMYFUNCTION("SPLIT(C232,""
"")"),"Lutz, Carl")</f>
        <v>Lutz, Carl</v>
      </c>
      <c r="AA232" s="25" t="str">
        <f>IFERROR(__xludf.DUMMYFUNCTION("""COMPUTED_VALUE"""),"3724 Waldorf Dr.")</f>
        <v>3724 Waldorf Dr.</v>
      </c>
      <c r="AB232" s="25" t="str">
        <f>IFERROR(__xludf.DUMMYFUNCTION("""COMPUTED_VALUE"""),"Dallas, TX 75229")</f>
        <v>Dallas, TX 75229</v>
      </c>
      <c r="AC232" s="24" t="s">
        <v>664</v>
      </c>
      <c r="AD232" s="25"/>
      <c r="AE232" s="25"/>
      <c r="AF232" s="25"/>
      <c r="AG232" s="22" t="s">
        <v>60</v>
      </c>
      <c r="AH232" s="54">
        <v>2441.0</v>
      </c>
      <c r="AI232" s="22" t="s">
        <v>61</v>
      </c>
      <c r="AJ232" s="27">
        <v>25.0</v>
      </c>
      <c r="AK232" s="31" t="s">
        <v>21</v>
      </c>
      <c r="AL232" s="28">
        <v>44737.0</v>
      </c>
      <c r="AM232" s="29">
        <v>44756.4640625</v>
      </c>
      <c r="AN232" s="30">
        <v>2.0</v>
      </c>
      <c r="AO232" s="22"/>
      <c r="AP232" s="22"/>
      <c r="AQ232" s="22"/>
      <c r="AR232" s="22"/>
      <c r="AS232" s="22"/>
      <c r="AT232" s="70"/>
      <c r="AU232" s="22"/>
      <c r="AV232" s="57" t="str">
        <f>IFERROR(__xludf.DUMMYFUNCTION("""COMPUTED_VALUE"""),"Stauffer")</f>
        <v>Stauffer</v>
      </c>
      <c r="AW232" s="46">
        <f t="shared" si="7"/>
        <v>250</v>
      </c>
      <c r="AX232" s="47">
        <f t="shared" ref="AX232:BQ232" si="806">SUMIFS($AJ:$AJ,$V:$V,$AV232,$AK:$AK,AX$2)</f>
        <v>0</v>
      </c>
      <c r="AY232" s="48">
        <f t="shared" si="806"/>
        <v>0</v>
      </c>
      <c r="AZ232" s="48">
        <f t="shared" si="806"/>
        <v>0</v>
      </c>
      <c r="BA232" s="48">
        <f t="shared" si="806"/>
        <v>0</v>
      </c>
      <c r="BB232" s="48">
        <f t="shared" si="806"/>
        <v>250</v>
      </c>
      <c r="BC232" s="48">
        <f t="shared" si="806"/>
        <v>0</v>
      </c>
      <c r="BD232" s="48">
        <f t="shared" si="806"/>
        <v>0</v>
      </c>
      <c r="BE232" s="48">
        <f t="shared" si="806"/>
        <v>0</v>
      </c>
      <c r="BF232" s="48">
        <f t="shared" si="806"/>
        <v>0</v>
      </c>
      <c r="BG232" s="48">
        <f t="shared" si="806"/>
        <v>0</v>
      </c>
      <c r="BH232" s="48">
        <f t="shared" si="806"/>
        <v>0</v>
      </c>
      <c r="BI232" s="48">
        <f t="shared" si="806"/>
        <v>0</v>
      </c>
      <c r="BJ232" s="48">
        <f t="shared" si="806"/>
        <v>0</v>
      </c>
      <c r="BK232" s="48">
        <f t="shared" si="806"/>
        <v>0</v>
      </c>
      <c r="BL232" s="48">
        <f t="shared" si="806"/>
        <v>0</v>
      </c>
      <c r="BM232" s="48">
        <f t="shared" si="806"/>
        <v>0</v>
      </c>
      <c r="BN232" s="48">
        <f t="shared" si="806"/>
        <v>0</v>
      </c>
      <c r="BO232" s="48">
        <f t="shared" si="806"/>
        <v>0</v>
      </c>
      <c r="BP232" s="48">
        <f t="shared" si="806"/>
        <v>0</v>
      </c>
      <c r="BQ232" s="48">
        <f t="shared" si="806"/>
        <v>0</v>
      </c>
      <c r="BR232" s="36">
        <f t="shared" si="9"/>
        <v>0</v>
      </c>
      <c r="BS232" s="38">
        <f t="shared" si="10"/>
        <v>1</v>
      </c>
      <c r="BT232" s="49">
        <f t="shared" si="11"/>
        <v>0</v>
      </c>
      <c r="BU232" s="38">
        <f t="shared" si="12"/>
        <v>1000</v>
      </c>
      <c r="BV232" s="57" t="str">
        <f>IFERROR(__xludf.DUMMYFUNCTION("""COMPUTED_VALUE"""),"Stauffer")</f>
        <v>Stauffer</v>
      </c>
      <c r="BW232" s="46">
        <f t="shared" si="13"/>
        <v>250</v>
      </c>
      <c r="BX232" s="47">
        <f t="shared" ref="BX232:CA232" si="807">AX232-$BU232</f>
        <v>-1000</v>
      </c>
      <c r="BY232" s="47">
        <f t="shared" si="807"/>
        <v>-1000</v>
      </c>
      <c r="BZ232" s="47">
        <f t="shared" si="807"/>
        <v>-1000</v>
      </c>
      <c r="CA232" s="47">
        <f t="shared" si="807"/>
        <v>-1000</v>
      </c>
      <c r="CB232" s="47">
        <f t="shared" si="15"/>
        <v>-9750</v>
      </c>
      <c r="CC232" s="47">
        <f t="shared" ref="CC232:CQ232" si="808">BC232-$BU232</f>
        <v>-1000</v>
      </c>
      <c r="CD232" s="47">
        <f t="shared" si="808"/>
        <v>-1000</v>
      </c>
      <c r="CE232" s="47">
        <f t="shared" si="808"/>
        <v>-1000</v>
      </c>
      <c r="CF232" s="47">
        <f t="shared" si="808"/>
        <v>-1000</v>
      </c>
      <c r="CG232" s="47">
        <f t="shared" si="808"/>
        <v>-1000</v>
      </c>
      <c r="CH232" s="47">
        <f t="shared" si="808"/>
        <v>-1000</v>
      </c>
      <c r="CI232" s="47">
        <f t="shared" si="808"/>
        <v>-1000</v>
      </c>
      <c r="CJ232" s="47">
        <f t="shared" si="808"/>
        <v>-1000</v>
      </c>
      <c r="CK232" s="47">
        <f t="shared" si="808"/>
        <v>-1000</v>
      </c>
      <c r="CL232" s="47">
        <f t="shared" si="808"/>
        <v>-1000</v>
      </c>
      <c r="CM232" s="47">
        <f t="shared" si="808"/>
        <v>-1000</v>
      </c>
      <c r="CN232" s="47">
        <f t="shared" si="808"/>
        <v>-1000</v>
      </c>
      <c r="CO232" s="47">
        <f t="shared" si="808"/>
        <v>-1000</v>
      </c>
      <c r="CP232" s="47">
        <f t="shared" si="808"/>
        <v>-1000</v>
      </c>
      <c r="CQ232" s="47">
        <f t="shared" si="808"/>
        <v>-1000</v>
      </c>
      <c r="CR232" s="47"/>
      <c r="CS232" s="47"/>
      <c r="CT232" s="47"/>
      <c r="CU232" s="50" t="str">
        <f>IFERROR(__xludf.DUMMYFUNCTION("""COMPUTED_VALUE"""),"4818 N. Lindhurst
Dallas, TX 75229          ")</f>
        <v>4818 N. Lindhurst
Dallas, TX 75229          </v>
      </c>
      <c r="CV232" s="51">
        <f>IFERROR(__xludf.DUMMYFUNCTION("IF(REGEXMATCH(UPPER(CU232), ""TX""),0,1)"),0.0)</f>
        <v>0</v>
      </c>
      <c r="CW232" s="51">
        <f>IFERROR(__xludf.DUMMYFUNCTION("IF(REGEXMATCH(UPPER(CU232), ""DALLAS""),0,1)"),0.0)</f>
        <v>0</v>
      </c>
      <c r="CX232" s="51">
        <f t="shared" si="17"/>
        <v>0</v>
      </c>
      <c r="CY232" s="51">
        <f t="shared" si="18"/>
        <v>0</v>
      </c>
      <c r="CZ232" s="52" t="str">
        <f t="shared" si="19"/>
        <v/>
      </c>
      <c r="DA232" s="58"/>
      <c r="DB232" s="52"/>
      <c r="DC232" s="52"/>
      <c r="DD232" s="52"/>
      <c r="DE232" s="52"/>
      <c r="DF232" s="52"/>
      <c r="DG232" s="52"/>
      <c r="DH232" s="52"/>
      <c r="DI232" s="52"/>
      <c r="DJ232" s="52"/>
      <c r="DK232" s="52"/>
      <c r="DL232" s="52"/>
      <c r="DM232" s="52"/>
      <c r="DN232" s="52"/>
      <c r="DO232" s="52"/>
      <c r="DP232" s="52"/>
      <c r="DQ232" s="52"/>
      <c r="DR232" s="52"/>
      <c r="DS232" s="52"/>
      <c r="DT232" s="52"/>
      <c r="DU232" s="52"/>
      <c r="DV232" s="52"/>
      <c r="DW232" s="52"/>
    </row>
    <row r="233">
      <c r="A233" s="40" t="s">
        <v>55</v>
      </c>
      <c r="B233" s="41" t="s">
        <v>56</v>
      </c>
      <c r="C233" s="31" t="s">
        <v>665</v>
      </c>
      <c r="D233" s="25" t="str">
        <f>IFERROR(__xludf.DUMMYFUNCTION("SPLIT(C233,"" "")"),"Littlefield,")</f>
        <v>Littlefield,</v>
      </c>
      <c r="E233" s="40" t="str">
        <f>IFERROR(__xludf.DUMMYFUNCTION("""COMPUTED_VALUE"""),"Kristene
3700")</f>
        <v>Kristene
3700</v>
      </c>
      <c r="F233" s="40" t="str">
        <f>IFERROR(__xludf.DUMMYFUNCTION("""COMPUTED_VALUE"""),"Cole")</f>
        <v>Cole</v>
      </c>
      <c r="G233" s="40" t="str">
        <f>IFERROR(__xludf.DUMMYFUNCTION("""COMPUTED_VALUE"""),"Ave.
Dallas,")</f>
        <v>Ave.
Dallas,</v>
      </c>
      <c r="H233" s="40" t="str">
        <f>IFERROR(__xludf.DUMMYFUNCTION("""COMPUTED_VALUE"""),"TX")</f>
        <v>TX</v>
      </c>
      <c r="I233" s="40">
        <f>IFERROR(__xludf.DUMMYFUNCTION("""COMPUTED_VALUE"""),75204.0)</f>
        <v>75204</v>
      </c>
      <c r="J233" s="40"/>
      <c r="K233" s="40"/>
      <c r="L233" s="40"/>
      <c r="M233" s="40"/>
      <c r="N233" s="40"/>
      <c r="O233" s="40"/>
      <c r="P233" s="40"/>
      <c r="Q233" s="40"/>
      <c r="R233" s="40"/>
      <c r="S233" s="40"/>
      <c r="T233" s="40"/>
      <c r="U233" s="24" t="str">
        <f>IFERROR(__xludf.DUMMYFUNCTION("SPLIT(E233,""01234567890"")"),"Kristene
")</f>
        <v>Kristene
</v>
      </c>
      <c r="V233" s="24" t="str">
        <f>IFERROR(__xludf.DUMMYFUNCTION("SPLIT(D233,"","")"),"Littlefield")</f>
        <v>Littlefield</v>
      </c>
      <c r="W233" s="25" t="str">
        <f t="shared" si="1"/>
        <v>KRISTENE
 LITTLEFIELD</v>
      </c>
      <c r="X233" s="25" t="s">
        <v>666</v>
      </c>
      <c r="Y233" s="25">
        <v>75204.0</v>
      </c>
      <c r="Z233" s="25" t="str">
        <f>IFERROR(__xludf.DUMMYFUNCTION("SPLIT(C233,""
"")"),"Littlefield, Kristene")</f>
        <v>Littlefield, Kristene</v>
      </c>
      <c r="AA233" s="25" t="str">
        <f>IFERROR(__xludf.DUMMYFUNCTION("""COMPUTED_VALUE"""),"3700 Cole Ave.")</f>
        <v>3700 Cole Ave.</v>
      </c>
      <c r="AB233" s="25" t="str">
        <f>IFERROR(__xludf.DUMMYFUNCTION("""COMPUTED_VALUE"""),"Dallas, TX 75204")</f>
        <v>Dallas, TX 75204</v>
      </c>
      <c r="AC233" s="24" t="s">
        <v>667</v>
      </c>
      <c r="AD233" s="25"/>
      <c r="AE233" s="25"/>
      <c r="AF233" s="25"/>
      <c r="AG233" s="40" t="s">
        <v>60</v>
      </c>
      <c r="AH233" s="42">
        <v>2441.0</v>
      </c>
      <c r="AI233" s="40" t="s">
        <v>61</v>
      </c>
      <c r="AJ233" s="27">
        <v>25.0</v>
      </c>
      <c r="AK233" s="31" t="s">
        <v>21</v>
      </c>
      <c r="AL233" s="43">
        <v>44738.0</v>
      </c>
      <c r="AM233" s="44">
        <v>44756.4640625</v>
      </c>
      <c r="AN233" s="30">
        <v>2.0</v>
      </c>
      <c r="AO233" s="40"/>
      <c r="AP233" s="40"/>
      <c r="AQ233" s="40"/>
      <c r="AR233" s="40"/>
      <c r="AS233" s="40"/>
      <c r="AT233" s="47"/>
      <c r="AU233" s="40"/>
      <c r="AV233" s="46" t="str">
        <f>IFERROR(__xludf.DUMMYFUNCTION("""COMPUTED_VALUE"""),"Davis")</f>
        <v>Davis</v>
      </c>
      <c r="AW233" s="46">
        <f t="shared" si="7"/>
        <v>5900</v>
      </c>
      <c r="AX233" s="47">
        <f t="shared" ref="AX233:BQ233" si="809">SUMIFS($AJ:$AJ,$V:$V,$AV233,$AK:$AK,AX$2)</f>
        <v>100</v>
      </c>
      <c r="AY233" s="48">
        <f t="shared" si="809"/>
        <v>0</v>
      </c>
      <c r="AZ233" s="48">
        <f t="shared" si="809"/>
        <v>0</v>
      </c>
      <c r="BA233" s="48">
        <f t="shared" si="809"/>
        <v>2000</v>
      </c>
      <c r="BB233" s="48">
        <f t="shared" si="809"/>
        <v>1800</v>
      </c>
      <c r="BC233" s="48">
        <f t="shared" si="809"/>
        <v>0</v>
      </c>
      <c r="BD233" s="48">
        <f t="shared" si="809"/>
        <v>0</v>
      </c>
      <c r="BE233" s="48">
        <f t="shared" si="809"/>
        <v>0</v>
      </c>
      <c r="BF233" s="48">
        <f t="shared" si="809"/>
        <v>0</v>
      </c>
      <c r="BG233" s="48">
        <f t="shared" si="809"/>
        <v>2000</v>
      </c>
      <c r="BH233" s="48">
        <f t="shared" si="809"/>
        <v>0</v>
      </c>
      <c r="BI233" s="48">
        <f t="shared" si="809"/>
        <v>0</v>
      </c>
      <c r="BJ233" s="48">
        <f t="shared" si="809"/>
        <v>0</v>
      </c>
      <c r="BK233" s="48">
        <f t="shared" si="809"/>
        <v>0</v>
      </c>
      <c r="BL233" s="48">
        <f t="shared" si="809"/>
        <v>0</v>
      </c>
      <c r="BM233" s="48">
        <f t="shared" si="809"/>
        <v>0</v>
      </c>
      <c r="BN233" s="48">
        <f t="shared" si="809"/>
        <v>0</v>
      </c>
      <c r="BO233" s="48">
        <f t="shared" si="809"/>
        <v>0</v>
      </c>
      <c r="BP233" s="48">
        <f t="shared" si="809"/>
        <v>0</v>
      </c>
      <c r="BQ233" s="48">
        <f t="shared" si="809"/>
        <v>0</v>
      </c>
      <c r="BR233" s="36">
        <f t="shared" si="9"/>
        <v>1</v>
      </c>
      <c r="BS233" s="38">
        <f t="shared" si="10"/>
        <v>3</v>
      </c>
      <c r="BT233" s="49">
        <f t="shared" si="11"/>
        <v>0</v>
      </c>
      <c r="BU233" s="38">
        <f t="shared" si="12"/>
        <v>3000</v>
      </c>
      <c r="BV233" s="46" t="str">
        <f>IFERROR(__xludf.DUMMYFUNCTION("""COMPUTED_VALUE"""),"Davis")</f>
        <v>Davis</v>
      </c>
      <c r="BW233" s="46">
        <f t="shared" si="13"/>
        <v>5900</v>
      </c>
      <c r="BX233" s="47">
        <f t="shared" ref="BX233:CA233" si="810">AX233-$BU233</f>
        <v>-2900</v>
      </c>
      <c r="BY233" s="47">
        <f t="shared" si="810"/>
        <v>-3000</v>
      </c>
      <c r="BZ233" s="47">
        <f t="shared" si="810"/>
        <v>-3000</v>
      </c>
      <c r="CA233" s="47">
        <f t="shared" si="810"/>
        <v>-1000</v>
      </c>
      <c r="CB233" s="47">
        <f t="shared" si="15"/>
        <v>-28200</v>
      </c>
      <c r="CC233" s="47">
        <f t="shared" ref="CC233:CQ233" si="811">BC233-$BU233</f>
        <v>-3000</v>
      </c>
      <c r="CD233" s="47">
        <f t="shared" si="811"/>
        <v>-3000</v>
      </c>
      <c r="CE233" s="47">
        <f t="shared" si="811"/>
        <v>-3000</v>
      </c>
      <c r="CF233" s="47">
        <f t="shared" si="811"/>
        <v>-3000</v>
      </c>
      <c r="CG233" s="47">
        <f t="shared" si="811"/>
        <v>-1000</v>
      </c>
      <c r="CH233" s="47">
        <f t="shared" si="811"/>
        <v>-3000</v>
      </c>
      <c r="CI233" s="47">
        <f t="shared" si="811"/>
        <v>-3000</v>
      </c>
      <c r="CJ233" s="47">
        <f t="shared" si="811"/>
        <v>-3000</v>
      </c>
      <c r="CK233" s="47">
        <f t="shared" si="811"/>
        <v>-3000</v>
      </c>
      <c r="CL233" s="47">
        <f t="shared" si="811"/>
        <v>-3000</v>
      </c>
      <c r="CM233" s="47">
        <f t="shared" si="811"/>
        <v>-3000</v>
      </c>
      <c r="CN233" s="47">
        <f t="shared" si="811"/>
        <v>-3000</v>
      </c>
      <c r="CO233" s="47">
        <f t="shared" si="811"/>
        <v>-3000</v>
      </c>
      <c r="CP233" s="47">
        <f t="shared" si="811"/>
        <v>-3000</v>
      </c>
      <c r="CQ233" s="47">
        <f t="shared" si="811"/>
        <v>-3000</v>
      </c>
      <c r="CR233" s="47"/>
      <c r="CS233" s="47"/>
      <c r="CT233" s="47"/>
      <c r="CU233" s="50" t="str">
        <f>IFERROR(__xludf.DUMMYFUNCTION("""COMPUTED_VALUE"""),"4435 Holland Ave.
Dallas, TX 75219          ")</f>
        <v>4435 Holland Ave.
Dallas, TX 75219          </v>
      </c>
      <c r="CV233" s="51">
        <f>IFERROR(__xludf.DUMMYFUNCTION("IF(REGEXMATCH(UPPER(CU233), ""TX""),0,1)"),0.0)</f>
        <v>0</v>
      </c>
      <c r="CW233" s="51">
        <f>IFERROR(__xludf.DUMMYFUNCTION("IF(REGEXMATCH(UPPER(CU233), ""DALLAS""),0,1)"),0.0)</f>
        <v>0</v>
      </c>
      <c r="CX233" s="51">
        <f t="shared" si="17"/>
        <v>0</v>
      </c>
      <c r="CY233" s="51">
        <f t="shared" si="18"/>
        <v>0</v>
      </c>
      <c r="CZ233" s="52" t="str">
        <f t="shared" si="19"/>
        <v/>
      </c>
      <c r="DA233" s="58"/>
      <c r="DB233" s="52"/>
      <c r="DC233" s="52"/>
      <c r="DD233" s="52"/>
      <c r="DE233" s="52"/>
      <c r="DF233" s="52"/>
      <c r="DG233" s="52"/>
      <c r="DH233" s="52"/>
      <c r="DI233" s="52"/>
      <c r="DJ233" s="52"/>
      <c r="DK233" s="52"/>
      <c r="DL233" s="52"/>
      <c r="DM233" s="52"/>
      <c r="DN233" s="52"/>
      <c r="DO233" s="52"/>
      <c r="DP233" s="52"/>
      <c r="DQ233" s="52"/>
      <c r="DR233" s="52"/>
      <c r="DS233" s="52"/>
      <c r="DT233" s="52"/>
      <c r="DU233" s="52"/>
      <c r="DV233" s="52"/>
      <c r="DW233" s="52"/>
    </row>
    <row r="234">
      <c r="A234" s="22" t="s">
        <v>55</v>
      </c>
      <c r="B234" s="23" t="s">
        <v>56</v>
      </c>
      <c r="C234" s="31" t="s">
        <v>668</v>
      </c>
      <c r="D234" s="25" t="str">
        <f>IFERROR(__xludf.DUMMYFUNCTION("SPLIT(C234,"" "")"),"Venton")</f>
        <v>Venton</v>
      </c>
      <c r="E234" s="22" t="str">
        <f>IFERROR(__xludf.DUMMYFUNCTION("""COMPUTED_VALUE"""),"for")</f>
        <v>for</v>
      </c>
      <c r="F234" s="22" t="str">
        <f>IFERROR(__xludf.DUMMYFUNCTION("""COMPUTED_VALUE"""),"Texas
1075")</f>
        <v>Texas
1075</v>
      </c>
      <c r="G234" s="22" t="str">
        <f>IFERROR(__xludf.DUMMYFUNCTION("""COMPUTED_VALUE"""),"Griffin")</f>
        <v>Griffin</v>
      </c>
      <c r="H234" s="22" t="str">
        <f>IFERROR(__xludf.DUMMYFUNCTION("""COMPUTED_VALUE"""),"St.")</f>
        <v>St.</v>
      </c>
      <c r="I234" s="22" t="str">
        <f>IFERROR(__xludf.DUMMYFUNCTION("""COMPUTED_VALUE"""),"W.
Dallas,")</f>
        <v>W.
Dallas,</v>
      </c>
      <c r="J234" s="22" t="str">
        <f>IFERROR(__xludf.DUMMYFUNCTION("""COMPUTED_VALUE"""),"TX")</f>
        <v>TX</v>
      </c>
      <c r="K234" s="22">
        <f>IFERROR(__xludf.DUMMYFUNCTION("""COMPUTED_VALUE"""),75215.0)</f>
        <v>75215</v>
      </c>
      <c r="L234" s="22"/>
      <c r="M234" s="22"/>
      <c r="N234" s="22"/>
      <c r="O234" s="22"/>
      <c r="P234" s="22"/>
      <c r="Q234" s="22"/>
      <c r="R234" s="22"/>
      <c r="S234" s="22"/>
      <c r="T234" s="22"/>
      <c r="U234" s="24" t="str">
        <f>IFERROR(__xludf.DUMMYFUNCTION("SPLIT(E234,""01234567890"")"),"for")</f>
        <v>for</v>
      </c>
      <c r="V234" s="24" t="str">
        <f>IFERROR(__xludf.DUMMYFUNCTION("SPLIT(D234,"","")"),"Venton")</f>
        <v>Venton</v>
      </c>
      <c r="W234" s="25" t="str">
        <f t="shared" si="1"/>
        <v>FOR VENTON</v>
      </c>
      <c r="X234" s="25" t="s">
        <v>669</v>
      </c>
      <c r="Y234" s="25">
        <v>75215.0</v>
      </c>
      <c r="Z234" s="25" t="str">
        <f>IFERROR(__xludf.DUMMYFUNCTION("SPLIT(C234,""
"")"),"Venton for Texas")</f>
        <v>Venton for Texas</v>
      </c>
      <c r="AA234" s="25" t="str">
        <f>IFERROR(__xludf.DUMMYFUNCTION("""COMPUTED_VALUE"""),"1075 Griffin St. W.")</f>
        <v>1075 Griffin St. W.</v>
      </c>
      <c r="AB234" s="25" t="str">
        <f>IFERROR(__xludf.DUMMYFUNCTION("""COMPUTED_VALUE"""),"Dallas, TX 75215")</f>
        <v>Dallas, TX 75215</v>
      </c>
      <c r="AC234" s="24" t="s">
        <v>670</v>
      </c>
      <c r="AD234" s="25"/>
      <c r="AE234" s="25"/>
      <c r="AF234" s="25"/>
      <c r="AG234" s="22" t="s">
        <v>60</v>
      </c>
      <c r="AH234" s="54">
        <v>2441.0</v>
      </c>
      <c r="AI234" s="22" t="s">
        <v>61</v>
      </c>
      <c r="AJ234" s="27">
        <v>237.0</v>
      </c>
      <c r="AK234" s="31" t="s">
        <v>21</v>
      </c>
      <c r="AL234" s="28">
        <v>44739.0</v>
      </c>
      <c r="AM234" s="29">
        <v>44756.4640625</v>
      </c>
      <c r="AN234" s="30">
        <v>2.0</v>
      </c>
      <c r="AO234" s="22"/>
      <c r="AP234" s="22"/>
      <c r="AQ234" s="22"/>
      <c r="AR234" s="22"/>
      <c r="AS234" s="22"/>
      <c r="AT234" s="70"/>
      <c r="AU234" s="22"/>
      <c r="AV234" s="57" t="str">
        <f>IFERROR(__xludf.DUMMYFUNCTION("""COMPUTED_VALUE"""),"Childress")</f>
        <v>Childress</v>
      </c>
      <c r="AW234" s="46">
        <f t="shared" si="7"/>
        <v>600</v>
      </c>
      <c r="AX234" s="47">
        <f t="shared" ref="AX234:BQ234" si="812">SUMIFS($AJ:$AJ,$V:$V,$AV234,$AK:$AK,AX$2)</f>
        <v>0</v>
      </c>
      <c r="AY234" s="48">
        <f t="shared" si="812"/>
        <v>0</v>
      </c>
      <c r="AZ234" s="48">
        <f t="shared" si="812"/>
        <v>0</v>
      </c>
      <c r="BA234" s="48">
        <f t="shared" si="812"/>
        <v>0</v>
      </c>
      <c r="BB234" s="48">
        <f t="shared" si="812"/>
        <v>600</v>
      </c>
      <c r="BC234" s="48">
        <f t="shared" si="812"/>
        <v>0</v>
      </c>
      <c r="BD234" s="48">
        <f t="shared" si="812"/>
        <v>0</v>
      </c>
      <c r="BE234" s="48">
        <f t="shared" si="812"/>
        <v>0</v>
      </c>
      <c r="BF234" s="48">
        <f t="shared" si="812"/>
        <v>0</v>
      </c>
      <c r="BG234" s="48">
        <f t="shared" si="812"/>
        <v>0</v>
      </c>
      <c r="BH234" s="48">
        <f t="shared" si="812"/>
        <v>0</v>
      </c>
      <c r="BI234" s="48">
        <f t="shared" si="812"/>
        <v>0</v>
      </c>
      <c r="BJ234" s="48">
        <f t="shared" si="812"/>
        <v>0</v>
      </c>
      <c r="BK234" s="48">
        <f t="shared" si="812"/>
        <v>0</v>
      </c>
      <c r="BL234" s="48">
        <f t="shared" si="812"/>
        <v>0</v>
      </c>
      <c r="BM234" s="48">
        <f t="shared" si="812"/>
        <v>0</v>
      </c>
      <c r="BN234" s="48">
        <f t="shared" si="812"/>
        <v>0</v>
      </c>
      <c r="BO234" s="48">
        <f t="shared" si="812"/>
        <v>0</v>
      </c>
      <c r="BP234" s="48">
        <f t="shared" si="812"/>
        <v>0</v>
      </c>
      <c r="BQ234" s="48">
        <f t="shared" si="812"/>
        <v>0</v>
      </c>
      <c r="BR234" s="36">
        <f t="shared" si="9"/>
        <v>0</v>
      </c>
      <c r="BS234" s="38">
        <f t="shared" si="10"/>
        <v>1</v>
      </c>
      <c r="BT234" s="49">
        <f t="shared" si="11"/>
        <v>0</v>
      </c>
      <c r="BU234" s="38">
        <f t="shared" si="12"/>
        <v>1000</v>
      </c>
      <c r="BV234" s="57" t="str">
        <f>IFERROR(__xludf.DUMMYFUNCTION("""COMPUTED_VALUE"""),"Childress")</f>
        <v>Childress</v>
      </c>
      <c r="BW234" s="46">
        <f t="shared" si="13"/>
        <v>600</v>
      </c>
      <c r="BX234" s="47">
        <f t="shared" ref="BX234:CA234" si="813">AX234-$BU234</f>
        <v>-1000</v>
      </c>
      <c r="BY234" s="47">
        <f t="shared" si="813"/>
        <v>-1000</v>
      </c>
      <c r="BZ234" s="47">
        <f t="shared" si="813"/>
        <v>-1000</v>
      </c>
      <c r="CA234" s="47">
        <f t="shared" si="813"/>
        <v>-1000</v>
      </c>
      <c r="CB234" s="47">
        <f t="shared" si="15"/>
        <v>-9400</v>
      </c>
      <c r="CC234" s="47">
        <f t="shared" ref="CC234:CQ234" si="814">BC234-$BU234</f>
        <v>-1000</v>
      </c>
      <c r="CD234" s="47">
        <f t="shared" si="814"/>
        <v>-1000</v>
      </c>
      <c r="CE234" s="47">
        <f t="shared" si="814"/>
        <v>-1000</v>
      </c>
      <c r="CF234" s="47">
        <f t="shared" si="814"/>
        <v>-1000</v>
      </c>
      <c r="CG234" s="47">
        <f t="shared" si="814"/>
        <v>-1000</v>
      </c>
      <c r="CH234" s="47">
        <f t="shared" si="814"/>
        <v>-1000</v>
      </c>
      <c r="CI234" s="47">
        <f t="shared" si="814"/>
        <v>-1000</v>
      </c>
      <c r="CJ234" s="47">
        <f t="shared" si="814"/>
        <v>-1000</v>
      </c>
      <c r="CK234" s="47">
        <f t="shared" si="814"/>
        <v>-1000</v>
      </c>
      <c r="CL234" s="47">
        <f t="shared" si="814"/>
        <v>-1000</v>
      </c>
      <c r="CM234" s="47">
        <f t="shared" si="814"/>
        <v>-1000</v>
      </c>
      <c r="CN234" s="47">
        <f t="shared" si="814"/>
        <v>-1000</v>
      </c>
      <c r="CO234" s="47">
        <f t="shared" si="814"/>
        <v>-1000</v>
      </c>
      <c r="CP234" s="47">
        <f t="shared" si="814"/>
        <v>-1000</v>
      </c>
      <c r="CQ234" s="47">
        <f t="shared" si="814"/>
        <v>-1000</v>
      </c>
      <c r="CR234" s="47"/>
      <c r="CS234" s="47"/>
      <c r="CT234" s="47"/>
      <c r="CU234" s="50" t="str">
        <f>IFERROR(__xludf.DUMMYFUNCTION("""COMPUTED_VALUE"""),"4231 Belclaire Ave
Dallas, TX 75205          ")</f>
        <v>4231 Belclaire Ave
Dallas, TX 75205          </v>
      </c>
      <c r="CV234" s="51">
        <f>IFERROR(__xludf.DUMMYFUNCTION("IF(REGEXMATCH(UPPER(CU234), ""TX""),0,1)"),0.0)</f>
        <v>0</v>
      </c>
      <c r="CW234" s="51">
        <f>IFERROR(__xludf.DUMMYFUNCTION("IF(REGEXMATCH(UPPER(CU234), ""DALLAS""),0,1)"),0.0)</f>
        <v>0</v>
      </c>
      <c r="CX234" s="51">
        <f t="shared" si="17"/>
        <v>0</v>
      </c>
      <c r="CY234" s="51">
        <f t="shared" si="18"/>
        <v>0</v>
      </c>
      <c r="CZ234" s="52" t="str">
        <f t="shared" si="19"/>
        <v/>
      </c>
      <c r="DA234" s="58"/>
      <c r="DB234" s="52"/>
      <c r="DC234" s="52"/>
      <c r="DD234" s="52"/>
      <c r="DE234" s="52"/>
      <c r="DF234" s="52"/>
      <c r="DG234" s="52"/>
      <c r="DH234" s="52"/>
      <c r="DI234" s="52"/>
      <c r="DJ234" s="52"/>
      <c r="DK234" s="52"/>
      <c r="DL234" s="52"/>
      <c r="DM234" s="52"/>
      <c r="DN234" s="52"/>
      <c r="DO234" s="52"/>
      <c r="DP234" s="52"/>
      <c r="DQ234" s="52"/>
      <c r="DR234" s="52"/>
      <c r="DS234" s="52"/>
      <c r="DT234" s="52"/>
      <c r="DU234" s="52"/>
      <c r="DV234" s="52"/>
      <c r="DW234" s="52"/>
    </row>
    <row r="235">
      <c r="A235" s="40" t="s">
        <v>55</v>
      </c>
      <c r="B235" s="41" t="s">
        <v>56</v>
      </c>
      <c r="C235" s="31" t="s">
        <v>671</v>
      </c>
      <c r="D235" s="25" t="str">
        <f>IFERROR(__xludf.DUMMYFUNCTION("SPLIT(C235,"" "")"),"Reese,")</f>
        <v>Reese,</v>
      </c>
      <c r="E235" s="40" t="str">
        <f>IFERROR(__xludf.DUMMYFUNCTION("""COMPUTED_VALUE"""),"Katherine
5310")</f>
        <v>Katherine
5310</v>
      </c>
      <c r="F235" s="40" t="str">
        <f>IFERROR(__xludf.DUMMYFUNCTION("""COMPUTED_VALUE"""),"Northmoor")</f>
        <v>Northmoor</v>
      </c>
      <c r="G235" s="40" t="str">
        <f>IFERROR(__xludf.DUMMYFUNCTION("""COMPUTED_VALUE"""),"Dr.
Dallas,")</f>
        <v>Dr.
Dallas,</v>
      </c>
      <c r="H235" s="40" t="str">
        <f>IFERROR(__xludf.DUMMYFUNCTION("""COMPUTED_VALUE"""),"TX")</f>
        <v>TX</v>
      </c>
      <c r="I235" s="40">
        <f>IFERROR(__xludf.DUMMYFUNCTION("""COMPUTED_VALUE"""),75229.0)</f>
        <v>75229</v>
      </c>
      <c r="J235" s="40"/>
      <c r="K235" s="40"/>
      <c r="L235" s="40"/>
      <c r="M235" s="40"/>
      <c r="N235" s="40"/>
      <c r="O235" s="40"/>
      <c r="P235" s="40"/>
      <c r="Q235" s="40"/>
      <c r="R235" s="40"/>
      <c r="S235" s="40"/>
      <c r="T235" s="40"/>
      <c r="U235" s="24" t="str">
        <f>IFERROR(__xludf.DUMMYFUNCTION("SPLIT(E235,""01234567890"")"),"Katherine
")</f>
        <v>Katherine
</v>
      </c>
      <c r="V235" s="24" t="str">
        <f>IFERROR(__xludf.DUMMYFUNCTION("SPLIT(D235,"","")"),"Reese")</f>
        <v>Reese</v>
      </c>
      <c r="W235" s="25" t="str">
        <f t="shared" si="1"/>
        <v>KATHERINE
 REESE</v>
      </c>
      <c r="X235" s="25" t="s">
        <v>672</v>
      </c>
      <c r="Y235" s="25">
        <v>75229.0</v>
      </c>
      <c r="Z235" s="25" t="str">
        <f>IFERROR(__xludf.DUMMYFUNCTION("SPLIT(C235,""
"")"),"Reese, Katherine")</f>
        <v>Reese, Katherine</v>
      </c>
      <c r="AA235" s="25" t="str">
        <f>IFERROR(__xludf.DUMMYFUNCTION("""COMPUTED_VALUE"""),"5310 Northmoor Dr.")</f>
        <v>5310 Northmoor Dr.</v>
      </c>
      <c r="AB235" s="25" t="str">
        <f>IFERROR(__xludf.DUMMYFUNCTION("""COMPUTED_VALUE"""),"Dallas, TX 75229")</f>
        <v>Dallas, TX 75229</v>
      </c>
      <c r="AC235" s="24" t="s">
        <v>673</v>
      </c>
      <c r="AD235" s="25"/>
      <c r="AE235" s="25"/>
      <c r="AF235" s="25"/>
      <c r="AG235" s="40" t="s">
        <v>60</v>
      </c>
      <c r="AH235" s="42">
        <v>2441.0</v>
      </c>
      <c r="AI235" s="40" t="s">
        <v>61</v>
      </c>
      <c r="AJ235" s="27">
        <v>500.0</v>
      </c>
      <c r="AK235" s="31" t="s">
        <v>21</v>
      </c>
      <c r="AL235" s="43">
        <v>44739.0</v>
      </c>
      <c r="AM235" s="44">
        <v>44756.4640625</v>
      </c>
      <c r="AN235" s="30">
        <v>2.0</v>
      </c>
      <c r="AO235" s="40"/>
      <c r="AP235" s="40"/>
      <c r="AQ235" s="40"/>
      <c r="AR235" s="40"/>
      <c r="AS235" s="40"/>
      <c r="AT235" s="47"/>
      <c r="AU235" s="40"/>
      <c r="AV235" s="46" t="str">
        <f>IFERROR(__xludf.DUMMYFUNCTION("""COMPUTED_VALUE"""),"Evans")</f>
        <v>Evans</v>
      </c>
      <c r="AW235" s="46">
        <f t="shared" si="7"/>
        <v>750</v>
      </c>
      <c r="AX235" s="47">
        <f t="shared" ref="AX235:BQ235" si="815">SUMIFS($AJ:$AJ,$V:$V,$AV235,$AK:$AK,AX$2)</f>
        <v>250</v>
      </c>
      <c r="AY235" s="48">
        <f t="shared" si="815"/>
        <v>0</v>
      </c>
      <c r="AZ235" s="48">
        <f t="shared" si="815"/>
        <v>0</v>
      </c>
      <c r="BA235" s="48">
        <f t="shared" si="815"/>
        <v>0</v>
      </c>
      <c r="BB235" s="48">
        <f t="shared" si="815"/>
        <v>500</v>
      </c>
      <c r="BC235" s="48">
        <f t="shared" si="815"/>
        <v>0</v>
      </c>
      <c r="BD235" s="48">
        <f t="shared" si="815"/>
        <v>0</v>
      </c>
      <c r="BE235" s="48">
        <f t="shared" si="815"/>
        <v>0</v>
      </c>
      <c r="BF235" s="48">
        <f t="shared" si="815"/>
        <v>0</v>
      </c>
      <c r="BG235" s="48">
        <f t="shared" si="815"/>
        <v>0</v>
      </c>
      <c r="BH235" s="48">
        <f t="shared" si="815"/>
        <v>0</v>
      </c>
      <c r="BI235" s="48">
        <f t="shared" si="815"/>
        <v>0</v>
      </c>
      <c r="BJ235" s="48">
        <f t="shared" si="815"/>
        <v>0</v>
      </c>
      <c r="BK235" s="48">
        <f t="shared" si="815"/>
        <v>0</v>
      </c>
      <c r="BL235" s="48">
        <f t="shared" si="815"/>
        <v>0</v>
      </c>
      <c r="BM235" s="48">
        <f t="shared" si="815"/>
        <v>0</v>
      </c>
      <c r="BN235" s="48">
        <f t="shared" si="815"/>
        <v>0</v>
      </c>
      <c r="BO235" s="48">
        <f t="shared" si="815"/>
        <v>0</v>
      </c>
      <c r="BP235" s="48">
        <f t="shared" si="815"/>
        <v>0</v>
      </c>
      <c r="BQ235" s="48">
        <f t="shared" si="815"/>
        <v>0</v>
      </c>
      <c r="BR235" s="36">
        <f t="shared" si="9"/>
        <v>1</v>
      </c>
      <c r="BS235" s="38">
        <f t="shared" si="10"/>
        <v>2</v>
      </c>
      <c r="BT235" s="49">
        <f t="shared" si="11"/>
        <v>0</v>
      </c>
      <c r="BU235" s="38">
        <f t="shared" si="12"/>
        <v>2000</v>
      </c>
      <c r="BV235" s="46" t="str">
        <f>IFERROR(__xludf.DUMMYFUNCTION("""COMPUTED_VALUE"""),"Evans")</f>
        <v>Evans</v>
      </c>
      <c r="BW235" s="46">
        <f t="shared" si="13"/>
        <v>750</v>
      </c>
      <c r="BX235" s="47">
        <f t="shared" ref="BX235:CA235" si="816">AX235-$BU235</f>
        <v>-1750</v>
      </c>
      <c r="BY235" s="47">
        <f t="shared" si="816"/>
        <v>-2000</v>
      </c>
      <c r="BZ235" s="47">
        <f t="shared" si="816"/>
        <v>-2000</v>
      </c>
      <c r="CA235" s="47">
        <f t="shared" si="816"/>
        <v>-2000</v>
      </c>
      <c r="CB235" s="47">
        <f t="shared" si="15"/>
        <v>-19500</v>
      </c>
      <c r="CC235" s="47">
        <f t="shared" ref="CC235:CQ235" si="817">BC235-$BU235</f>
        <v>-2000</v>
      </c>
      <c r="CD235" s="47">
        <f t="shared" si="817"/>
        <v>-2000</v>
      </c>
      <c r="CE235" s="47">
        <f t="shared" si="817"/>
        <v>-2000</v>
      </c>
      <c r="CF235" s="47">
        <f t="shared" si="817"/>
        <v>-2000</v>
      </c>
      <c r="CG235" s="47">
        <f t="shared" si="817"/>
        <v>-2000</v>
      </c>
      <c r="CH235" s="47">
        <f t="shared" si="817"/>
        <v>-2000</v>
      </c>
      <c r="CI235" s="47">
        <f t="shared" si="817"/>
        <v>-2000</v>
      </c>
      <c r="CJ235" s="47">
        <f t="shared" si="817"/>
        <v>-2000</v>
      </c>
      <c r="CK235" s="47">
        <f t="shared" si="817"/>
        <v>-2000</v>
      </c>
      <c r="CL235" s="47">
        <f t="shared" si="817"/>
        <v>-2000</v>
      </c>
      <c r="CM235" s="47">
        <f t="shared" si="817"/>
        <v>-2000</v>
      </c>
      <c r="CN235" s="47">
        <f t="shared" si="817"/>
        <v>-2000</v>
      </c>
      <c r="CO235" s="47">
        <f t="shared" si="817"/>
        <v>-2000</v>
      </c>
      <c r="CP235" s="47">
        <f t="shared" si="817"/>
        <v>-2000</v>
      </c>
      <c r="CQ235" s="47">
        <f t="shared" si="817"/>
        <v>-2000</v>
      </c>
      <c r="CR235" s="47"/>
      <c r="CS235" s="47"/>
      <c r="CT235" s="47"/>
      <c r="CU235" s="50" t="str">
        <f>IFERROR(__xludf.DUMMYFUNCTION("""COMPUTED_VALUE"""),"1441 Van Winkle Drive
Carrollton, TX 75007         ")</f>
        <v>1441 Van Winkle Drive
Carrollton, TX 75007         </v>
      </c>
      <c r="CV235" s="51">
        <f>IFERROR(__xludf.DUMMYFUNCTION("IF(REGEXMATCH(UPPER(CU235), ""TX""),0,1)"),0.0)</f>
        <v>0</v>
      </c>
      <c r="CW235" s="51">
        <f>IFERROR(__xludf.DUMMYFUNCTION("IF(REGEXMATCH(UPPER(CU235), ""DALLAS""),0,1)"),1.0)</f>
        <v>1</v>
      </c>
      <c r="CX235" s="51">
        <f t="shared" si="17"/>
        <v>0</v>
      </c>
      <c r="CY235" s="51">
        <f t="shared" si="18"/>
        <v>250</v>
      </c>
      <c r="CZ235" s="52" t="str">
        <f t="shared" si="19"/>
        <v>1441 Van Winkle Drive
Carrollton, TX 75007         </v>
      </c>
      <c r="DA235" s="58"/>
      <c r="DB235" s="52"/>
      <c r="DC235" s="52"/>
      <c r="DD235" s="52"/>
      <c r="DE235" s="52"/>
      <c r="DF235" s="52"/>
      <c r="DG235" s="52"/>
      <c r="DH235" s="52"/>
      <c r="DI235" s="52"/>
      <c r="DJ235" s="52"/>
      <c r="DK235" s="52"/>
      <c r="DL235" s="52"/>
      <c r="DM235" s="52"/>
      <c r="DN235" s="52"/>
      <c r="DO235" s="52"/>
      <c r="DP235" s="52"/>
      <c r="DQ235" s="52"/>
      <c r="DR235" s="52"/>
      <c r="DS235" s="52"/>
      <c r="DT235" s="52"/>
      <c r="DU235" s="52"/>
      <c r="DV235" s="52"/>
      <c r="DW235" s="52"/>
    </row>
    <row r="236">
      <c r="A236" s="22" t="s">
        <v>55</v>
      </c>
      <c r="B236" s="23" t="s">
        <v>56</v>
      </c>
      <c r="C236" s="31" t="s">
        <v>674</v>
      </c>
      <c r="D236" s="25" t="str">
        <f>IFERROR(__xludf.DUMMYFUNCTION("SPLIT(C236,"" "")"),"Page,")</f>
        <v>Page,</v>
      </c>
      <c r="E236" s="22" t="str">
        <f>IFERROR(__xludf.DUMMYFUNCTION("""COMPUTED_VALUE"""),"Anthony
3210")</f>
        <v>Anthony
3210</v>
      </c>
      <c r="F236" s="22" t="str">
        <f>IFERROR(__xludf.DUMMYFUNCTION("""COMPUTED_VALUE"""),"Carlisle")</f>
        <v>Carlisle</v>
      </c>
      <c r="G236" s="22" t="str">
        <f>IFERROR(__xludf.DUMMYFUNCTION("""COMPUTED_VALUE"""),"St.
Dallas,")</f>
        <v>St.
Dallas,</v>
      </c>
      <c r="H236" s="22" t="str">
        <f>IFERROR(__xludf.DUMMYFUNCTION("""COMPUTED_VALUE"""),"TX")</f>
        <v>TX</v>
      </c>
      <c r="I236" s="22">
        <f>IFERROR(__xludf.DUMMYFUNCTION("""COMPUTED_VALUE"""),75204.0)</f>
        <v>75204</v>
      </c>
      <c r="J236" s="22"/>
      <c r="K236" s="22"/>
      <c r="L236" s="22"/>
      <c r="M236" s="22"/>
      <c r="N236" s="22"/>
      <c r="O236" s="22"/>
      <c r="P236" s="22"/>
      <c r="Q236" s="22"/>
      <c r="R236" s="22"/>
      <c r="S236" s="22"/>
      <c r="T236" s="22"/>
      <c r="U236" s="24" t="str">
        <f>IFERROR(__xludf.DUMMYFUNCTION("SPLIT(E236,""01234567890"")"),"Anthony
")</f>
        <v>Anthony
</v>
      </c>
      <c r="V236" s="24" t="str">
        <f>IFERROR(__xludf.DUMMYFUNCTION("SPLIT(D236,"","")"),"Page")</f>
        <v>Page</v>
      </c>
      <c r="W236" s="25" t="str">
        <f t="shared" si="1"/>
        <v>ANTHONY
 PAGE</v>
      </c>
      <c r="X236" s="25" t="s">
        <v>675</v>
      </c>
      <c r="Y236" s="25">
        <v>75204.0</v>
      </c>
      <c r="Z236" s="25" t="str">
        <f>IFERROR(__xludf.DUMMYFUNCTION("SPLIT(C236,""
"")"),"Page, Anthony")</f>
        <v>Page, Anthony</v>
      </c>
      <c r="AA236" s="25" t="str">
        <f>IFERROR(__xludf.DUMMYFUNCTION("""COMPUTED_VALUE"""),"3210 Carlisle St.")</f>
        <v>3210 Carlisle St.</v>
      </c>
      <c r="AB236" s="25" t="str">
        <f>IFERROR(__xludf.DUMMYFUNCTION("""COMPUTED_VALUE"""),"Dallas, TX 75204")</f>
        <v>Dallas, TX 75204</v>
      </c>
      <c r="AC236" s="24" t="s">
        <v>676</v>
      </c>
      <c r="AD236" s="25"/>
      <c r="AE236" s="25"/>
      <c r="AF236" s="25"/>
      <c r="AG236" s="22" t="s">
        <v>60</v>
      </c>
      <c r="AH236" s="54">
        <v>2441.0</v>
      </c>
      <c r="AI236" s="22" t="s">
        <v>61</v>
      </c>
      <c r="AJ236" s="27">
        <v>250.0</v>
      </c>
      <c r="AK236" s="31" t="s">
        <v>21</v>
      </c>
      <c r="AL236" s="28">
        <v>44740.0</v>
      </c>
      <c r="AM236" s="29">
        <v>44756.4640625</v>
      </c>
      <c r="AN236" s="30">
        <v>2.0</v>
      </c>
      <c r="AO236" s="22"/>
      <c r="AP236" s="22"/>
      <c r="AQ236" s="22"/>
      <c r="AR236" s="22"/>
      <c r="AS236" s="22"/>
      <c r="AT236" s="70"/>
      <c r="AU236" s="22"/>
      <c r="AV236" s="57" t="str">
        <f>IFERROR(__xludf.DUMMYFUNCTION("""COMPUTED_VALUE"""),"Gibson")</f>
        <v>Gibson</v>
      </c>
      <c r="AW236" s="46">
        <f t="shared" si="7"/>
        <v>250</v>
      </c>
      <c r="AX236" s="47">
        <f t="shared" ref="AX236:BQ236" si="818">SUMIFS($AJ:$AJ,$V:$V,$AV236,$AK:$AK,AX$2)</f>
        <v>0</v>
      </c>
      <c r="AY236" s="48">
        <f t="shared" si="818"/>
        <v>0</v>
      </c>
      <c r="AZ236" s="48">
        <f t="shared" si="818"/>
        <v>0</v>
      </c>
      <c r="BA236" s="48">
        <f t="shared" si="818"/>
        <v>0</v>
      </c>
      <c r="BB236" s="48">
        <f t="shared" si="818"/>
        <v>250</v>
      </c>
      <c r="BC236" s="48">
        <f t="shared" si="818"/>
        <v>0</v>
      </c>
      <c r="BD236" s="48">
        <f t="shared" si="818"/>
        <v>0</v>
      </c>
      <c r="BE236" s="48">
        <f t="shared" si="818"/>
        <v>0</v>
      </c>
      <c r="BF236" s="48">
        <f t="shared" si="818"/>
        <v>0</v>
      </c>
      <c r="BG236" s="48">
        <f t="shared" si="818"/>
        <v>0</v>
      </c>
      <c r="BH236" s="48">
        <f t="shared" si="818"/>
        <v>0</v>
      </c>
      <c r="BI236" s="48">
        <f t="shared" si="818"/>
        <v>0</v>
      </c>
      <c r="BJ236" s="48">
        <f t="shared" si="818"/>
        <v>0</v>
      </c>
      <c r="BK236" s="48">
        <f t="shared" si="818"/>
        <v>0</v>
      </c>
      <c r="BL236" s="48">
        <f t="shared" si="818"/>
        <v>0</v>
      </c>
      <c r="BM236" s="48">
        <f t="shared" si="818"/>
        <v>0</v>
      </c>
      <c r="BN236" s="48">
        <f t="shared" si="818"/>
        <v>0</v>
      </c>
      <c r="BO236" s="48">
        <f t="shared" si="818"/>
        <v>0</v>
      </c>
      <c r="BP236" s="48">
        <f t="shared" si="818"/>
        <v>0</v>
      </c>
      <c r="BQ236" s="48">
        <f t="shared" si="818"/>
        <v>0</v>
      </c>
      <c r="BR236" s="36">
        <f t="shared" si="9"/>
        <v>0</v>
      </c>
      <c r="BS236" s="38">
        <f t="shared" si="10"/>
        <v>1</v>
      </c>
      <c r="BT236" s="49">
        <f t="shared" si="11"/>
        <v>0</v>
      </c>
      <c r="BU236" s="38">
        <f t="shared" si="12"/>
        <v>1000</v>
      </c>
      <c r="BV236" s="57" t="str">
        <f>IFERROR(__xludf.DUMMYFUNCTION("""COMPUTED_VALUE"""),"Gibson")</f>
        <v>Gibson</v>
      </c>
      <c r="BW236" s="46">
        <f t="shared" si="13"/>
        <v>250</v>
      </c>
      <c r="BX236" s="47">
        <f t="shared" ref="BX236:CA236" si="819">AX236-$BU236</f>
        <v>-1000</v>
      </c>
      <c r="BY236" s="47">
        <f t="shared" si="819"/>
        <v>-1000</v>
      </c>
      <c r="BZ236" s="47">
        <f t="shared" si="819"/>
        <v>-1000</v>
      </c>
      <c r="CA236" s="47">
        <f t="shared" si="819"/>
        <v>-1000</v>
      </c>
      <c r="CB236" s="47">
        <f t="shared" si="15"/>
        <v>-9750</v>
      </c>
      <c r="CC236" s="47">
        <f t="shared" ref="CC236:CQ236" si="820">BC236-$BU236</f>
        <v>-1000</v>
      </c>
      <c r="CD236" s="47">
        <f t="shared" si="820"/>
        <v>-1000</v>
      </c>
      <c r="CE236" s="47">
        <f t="shared" si="820"/>
        <v>-1000</v>
      </c>
      <c r="CF236" s="47">
        <f t="shared" si="820"/>
        <v>-1000</v>
      </c>
      <c r="CG236" s="47">
        <f t="shared" si="820"/>
        <v>-1000</v>
      </c>
      <c r="CH236" s="47">
        <f t="shared" si="820"/>
        <v>-1000</v>
      </c>
      <c r="CI236" s="47">
        <f t="shared" si="820"/>
        <v>-1000</v>
      </c>
      <c r="CJ236" s="47">
        <f t="shared" si="820"/>
        <v>-1000</v>
      </c>
      <c r="CK236" s="47">
        <f t="shared" si="820"/>
        <v>-1000</v>
      </c>
      <c r="CL236" s="47">
        <f t="shared" si="820"/>
        <v>-1000</v>
      </c>
      <c r="CM236" s="47">
        <f t="shared" si="820"/>
        <v>-1000</v>
      </c>
      <c r="CN236" s="47">
        <f t="shared" si="820"/>
        <v>-1000</v>
      </c>
      <c r="CO236" s="47">
        <f t="shared" si="820"/>
        <v>-1000</v>
      </c>
      <c r="CP236" s="47">
        <f t="shared" si="820"/>
        <v>-1000</v>
      </c>
      <c r="CQ236" s="47">
        <f t="shared" si="820"/>
        <v>-1000</v>
      </c>
      <c r="CR236" s="47"/>
      <c r="CS236" s="47"/>
      <c r="CT236" s="47"/>
      <c r="CU236" s="50" t="str">
        <f>IFERROR(__xludf.DUMMYFUNCTION("""COMPUTED_VALUE"""),"box 4680
Dallas, TX 75208           ")</f>
        <v>box 4680
Dallas, TX 75208           </v>
      </c>
      <c r="CV236" s="51">
        <f>IFERROR(__xludf.DUMMYFUNCTION("IF(REGEXMATCH(UPPER(CU236), ""TX""),0,1)"),0.0)</f>
        <v>0</v>
      </c>
      <c r="CW236" s="51">
        <f>IFERROR(__xludf.DUMMYFUNCTION("IF(REGEXMATCH(UPPER(CU236), ""DALLAS""),0,1)"),0.0)</f>
        <v>0</v>
      </c>
      <c r="CX236" s="51">
        <f t="shared" si="17"/>
        <v>0</v>
      </c>
      <c r="CY236" s="51">
        <f t="shared" si="18"/>
        <v>0</v>
      </c>
      <c r="CZ236" s="52" t="str">
        <f t="shared" si="19"/>
        <v/>
      </c>
      <c r="DA236" s="58"/>
      <c r="DB236" s="52"/>
      <c r="DC236" s="52"/>
      <c r="DD236" s="52"/>
      <c r="DE236" s="52"/>
      <c r="DF236" s="52"/>
      <c r="DG236" s="52"/>
      <c r="DH236" s="52"/>
      <c r="DI236" s="52"/>
      <c r="DJ236" s="52"/>
      <c r="DK236" s="52"/>
      <c r="DL236" s="52"/>
      <c r="DM236" s="52"/>
      <c r="DN236" s="52"/>
      <c r="DO236" s="52"/>
      <c r="DP236" s="52"/>
      <c r="DQ236" s="52"/>
      <c r="DR236" s="52"/>
      <c r="DS236" s="52"/>
      <c r="DT236" s="52"/>
      <c r="DU236" s="52"/>
      <c r="DV236" s="52"/>
      <c r="DW236" s="52"/>
    </row>
    <row r="237">
      <c r="A237" s="40" t="s">
        <v>55</v>
      </c>
      <c r="B237" s="41" t="s">
        <v>56</v>
      </c>
      <c r="C237" s="31" t="s">
        <v>180</v>
      </c>
      <c r="D237" s="25" t="str">
        <f>IFERROR(__xludf.DUMMYFUNCTION("SPLIT(C237,"" "")"),"Anderson,")</f>
        <v>Anderson,</v>
      </c>
      <c r="E237" s="40" t="str">
        <f>IFERROR(__xludf.DUMMYFUNCTION("""COMPUTED_VALUE"""),"Decarla
2738")</f>
        <v>Decarla
2738</v>
      </c>
      <c r="F237" s="40" t="str">
        <f>IFERROR(__xludf.DUMMYFUNCTION("""COMPUTED_VALUE"""),"Whitewood")</f>
        <v>Whitewood</v>
      </c>
      <c r="G237" s="40" t="str">
        <f>IFERROR(__xludf.DUMMYFUNCTION("""COMPUTED_VALUE"""),"Dr.
Dallas,")</f>
        <v>Dr.
Dallas,</v>
      </c>
      <c r="H237" s="40" t="str">
        <f>IFERROR(__xludf.DUMMYFUNCTION("""COMPUTED_VALUE"""),"TX")</f>
        <v>TX</v>
      </c>
      <c r="I237" s="40">
        <f>IFERROR(__xludf.DUMMYFUNCTION("""COMPUTED_VALUE"""),75233.0)</f>
        <v>75233</v>
      </c>
      <c r="J237" s="40"/>
      <c r="K237" s="40"/>
      <c r="L237" s="40"/>
      <c r="M237" s="40"/>
      <c r="N237" s="40"/>
      <c r="O237" s="40"/>
      <c r="P237" s="40"/>
      <c r="Q237" s="40"/>
      <c r="R237" s="40"/>
      <c r="S237" s="40"/>
      <c r="T237" s="40"/>
      <c r="U237" s="24" t="str">
        <f>IFERROR(__xludf.DUMMYFUNCTION("SPLIT(E237,""01234567890"")"),"Decarla
")</f>
        <v>Decarla
</v>
      </c>
      <c r="V237" s="24" t="str">
        <f>IFERROR(__xludf.DUMMYFUNCTION("SPLIT(D237,"","")"),"Anderson")</f>
        <v>Anderson</v>
      </c>
      <c r="W237" s="25" t="str">
        <f t="shared" si="1"/>
        <v>DECARLA
 ANDERSON</v>
      </c>
      <c r="X237" s="25" t="s">
        <v>181</v>
      </c>
      <c r="Y237" s="25">
        <v>75233.0</v>
      </c>
      <c r="Z237" s="25" t="str">
        <f>IFERROR(__xludf.DUMMYFUNCTION("SPLIT(C237,""
"")"),"Anderson, Decarla")</f>
        <v>Anderson, Decarla</v>
      </c>
      <c r="AA237" s="25" t="str">
        <f>IFERROR(__xludf.DUMMYFUNCTION("""COMPUTED_VALUE"""),"2738 Whitewood Dr.")</f>
        <v>2738 Whitewood Dr.</v>
      </c>
      <c r="AB237" s="25" t="str">
        <f>IFERROR(__xludf.DUMMYFUNCTION("""COMPUTED_VALUE"""),"Dallas, TX 75233")</f>
        <v>Dallas, TX 75233</v>
      </c>
      <c r="AC237" s="24" t="s">
        <v>182</v>
      </c>
      <c r="AD237" s="25"/>
      <c r="AE237" s="25"/>
      <c r="AF237" s="25"/>
      <c r="AG237" s="40" t="s">
        <v>60</v>
      </c>
      <c r="AH237" s="42">
        <v>2441.0</v>
      </c>
      <c r="AI237" s="40" t="s">
        <v>61</v>
      </c>
      <c r="AJ237" s="27">
        <v>500.0</v>
      </c>
      <c r="AK237" s="31" t="s">
        <v>21</v>
      </c>
      <c r="AL237" s="43">
        <v>44740.0</v>
      </c>
      <c r="AM237" s="44">
        <v>44756.4640625</v>
      </c>
      <c r="AN237" s="30">
        <v>2.0</v>
      </c>
      <c r="AO237" s="40"/>
      <c r="AP237" s="40"/>
      <c r="AQ237" s="40"/>
      <c r="AR237" s="40"/>
      <c r="AS237" s="40"/>
      <c r="AT237" s="47"/>
      <c r="AU237" s="40"/>
      <c r="AV237" s="46" t="str">
        <f>IFERROR(__xludf.DUMMYFUNCTION("""COMPUTED_VALUE"""),"Stein")</f>
        <v>Stein</v>
      </c>
      <c r="AW237" s="46">
        <f t="shared" si="7"/>
        <v>7750</v>
      </c>
      <c r="AX237" s="47">
        <f t="shared" ref="AX237:BQ237" si="821">SUMIFS($AJ:$AJ,$V:$V,$AV237,$AK:$AK,AX$2)</f>
        <v>0</v>
      </c>
      <c r="AY237" s="48">
        <f t="shared" si="821"/>
        <v>0</v>
      </c>
      <c r="AZ237" s="48">
        <f t="shared" si="821"/>
        <v>0</v>
      </c>
      <c r="BA237" s="48">
        <f t="shared" si="821"/>
        <v>0</v>
      </c>
      <c r="BB237" s="48">
        <f t="shared" si="821"/>
        <v>2500</v>
      </c>
      <c r="BC237" s="48">
        <f t="shared" si="821"/>
        <v>250</v>
      </c>
      <c r="BD237" s="48">
        <f t="shared" si="821"/>
        <v>0</v>
      </c>
      <c r="BE237" s="48">
        <f t="shared" si="821"/>
        <v>4000</v>
      </c>
      <c r="BF237" s="48">
        <f t="shared" si="821"/>
        <v>0</v>
      </c>
      <c r="BG237" s="48">
        <f t="shared" si="821"/>
        <v>1000</v>
      </c>
      <c r="BH237" s="48">
        <f t="shared" si="821"/>
        <v>0</v>
      </c>
      <c r="BI237" s="48">
        <f t="shared" si="821"/>
        <v>0</v>
      </c>
      <c r="BJ237" s="48">
        <f t="shared" si="821"/>
        <v>0</v>
      </c>
      <c r="BK237" s="48">
        <f t="shared" si="821"/>
        <v>0</v>
      </c>
      <c r="BL237" s="48">
        <f t="shared" si="821"/>
        <v>0</v>
      </c>
      <c r="BM237" s="48">
        <f t="shared" si="821"/>
        <v>0</v>
      </c>
      <c r="BN237" s="48">
        <f t="shared" si="821"/>
        <v>0</v>
      </c>
      <c r="BO237" s="48">
        <f t="shared" si="821"/>
        <v>0</v>
      </c>
      <c r="BP237" s="48">
        <f t="shared" si="821"/>
        <v>0</v>
      </c>
      <c r="BQ237" s="48">
        <f t="shared" si="821"/>
        <v>0</v>
      </c>
      <c r="BR237" s="36">
        <f t="shared" si="9"/>
        <v>1</v>
      </c>
      <c r="BS237" s="38">
        <f t="shared" si="10"/>
        <v>3</v>
      </c>
      <c r="BT237" s="49">
        <f t="shared" si="11"/>
        <v>0</v>
      </c>
      <c r="BU237" s="38">
        <f t="shared" si="12"/>
        <v>3000</v>
      </c>
      <c r="BV237" s="46" t="str">
        <f>IFERROR(__xludf.DUMMYFUNCTION("""COMPUTED_VALUE"""),"Stein")</f>
        <v>Stein</v>
      </c>
      <c r="BW237" s="46">
        <f t="shared" si="13"/>
        <v>7750</v>
      </c>
      <c r="BX237" s="47">
        <f t="shared" ref="BX237:CA237" si="822">AX237-$BU237</f>
        <v>-3000</v>
      </c>
      <c r="BY237" s="47">
        <f t="shared" si="822"/>
        <v>-3000</v>
      </c>
      <c r="BZ237" s="47">
        <f t="shared" si="822"/>
        <v>-3000</v>
      </c>
      <c r="CA237" s="47">
        <f t="shared" si="822"/>
        <v>-3000</v>
      </c>
      <c r="CB237" s="47">
        <f t="shared" si="15"/>
        <v>-27500</v>
      </c>
      <c r="CC237" s="47">
        <f t="shared" ref="CC237:CQ237" si="823">BC237-$BU237</f>
        <v>-2750</v>
      </c>
      <c r="CD237" s="47">
        <f t="shared" si="823"/>
        <v>-3000</v>
      </c>
      <c r="CE237" s="47">
        <f t="shared" si="823"/>
        <v>1000</v>
      </c>
      <c r="CF237" s="47">
        <f t="shared" si="823"/>
        <v>-3000</v>
      </c>
      <c r="CG237" s="47">
        <f t="shared" si="823"/>
        <v>-2000</v>
      </c>
      <c r="CH237" s="47">
        <f t="shared" si="823"/>
        <v>-3000</v>
      </c>
      <c r="CI237" s="47">
        <f t="shared" si="823"/>
        <v>-3000</v>
      </c>
      <c r="CJ237" s="47">
        <f t="shared" si="823"/>
        <v>-3000</v>
      </c>
      <c r="CK237" s="47">
        <f t="shared" si="823"/>
        <v>-3000</v>
      </c>
      <c r="CL237" s="47">
        <f t="shared" si="823"/>
        <v>-3000</v>
      </c>
      <c r="CM237" s="47">
        <f t="shared" si="823"/>
        <v>-3000</v>
      </c>
      <c r="CN237" s="47">
        <f t="shared" si="823"/>
        <v>-3000</v>
      </c>
      <c r="CO237" s="47">
        <f t="shared" si="823"/>
        <v>-3000</v>
      </c>
      <c r="CP237" s="47">
        <f t="shared" si="823"/>
        <v>-3000</v>
      </c>
      <c r="CQ237" s="47">
        <f t="shared" si="823"/>
        <v>-3000</v>
      </c>
      <c r="CR237" s="47"/>
      <c r="CS237" s="47"/>
      <c r="CT237" s="47"/>
      <c r="CU237" s="50" t="str">
        <f>IFERROR(__xludf.DUMMYFUNCTION("""COMPUTED_VALUE"""),"3953 Maple Ave
Dallas, TX 75219          ")</f>
        <v>3953 Maple Ave
Dallas, TX 75219          </v>
      </c>
      <c r="CV237" s="51">
        <f>IFERROR(__xludf.DUMMYFUNCTION("IF(REGEXMATCH(UPPER(CU237), ""TX""),0,1)"),0.0)</f>
        <v>0</v>
      </c>
      <c r="CW237" s="51">
        <f>IFERROR(__xludf.DUMMYFUNCTION("IF(REGEXMATCH(UPPER(CU237), ""DALLAS""),0,1)"),0.0)</f>
        <v>0</v>
      </c>
      <c r="CX237" s="51">
        <f t="shared" si="17"/>
        <v>0</v>
      </c>
      <c r="CY237" s="51">
        <f t="shared" si="18"/>
        <v>0</v>
      </c>
      <c r="CZ237" s="52" t="str">
        <f t="shared" si="19"/>
        <v/>
      </c>
      <c r="DA237" s="58"/>
      <c r="DB237" s="52"/>
      <c r="DC237" s="52"/>
      <c r="DD237" s="52"/>
      <c r="DE237" s="52"/>
      <c r="DF237" s="52"/>
      <c r="DG237" s="52"/>
      <c r="DH237" s="52"/>
      <c r="DI237" s="52"/>
      <c r="DJ237" s="52"/>
      <c r="DK237" s="52"/>
      <c r="DL237" s="52"/>
      <c r="DM237" s="52"/>
      <c r="DN237" s="52"/>
      <c r="DO237" s="52"/>
      <c r="DP237" s="52"/>
      <c r="DQ237" s="52"/>
      <c r="DR237" s="52"/>
      <c r="DS237" s="52"/>
      <c r="DT237" s="52"/>
      <c r="DU237" s="52"/>
      <c r="DV237" s="52"/>
      <c r="DW237" s="52"/>
    </row>
    <row r="238">
      <c r="A238" s="22" t="s">
        <v>55</v>
      </c>
      <c r="B238" s="23" t="s">
        <v>56</v>
      </c>
      <c r="C238" s="31" t="s">
        <v>677</v>
      </c>
      <c r="D238" s="25" t="str">
        <f>IFERROR(__xludf.DUMMYFUNCTION("SPLIT(C238,"" "")"),"Gates,")</f>
        <v>Gates,</v>
      </c>
      <c r="E238" s="22" t="str">
        <f>IFERROR(__xludf.DUMMYFUNCTION("""COMPUTED_VALUE"""),"Jennifer
4914")</f>
        <v>Jennifer
4914</v>
      </c>
      <c r="F238" s="22" t="str">
        <f>IFERROR(__xludf.DUMMYFUNCTION("""COMPUTED_VALUE"""),"Keyhole")</f>
        <v>Keyhole</v>
      </c>
      <c r="G238" s="22" t="str">
        <f>IFERROR(__xludf.DUMMYFUNCTION("""COMPUTED_VALUE"""),"Ln.
Dallas,")</f>
        <v>Ln.
Dallas,</v>
      </c>
      <c r="H238" s="22" t="str">
        <f>IFERROR(__xludf.DUMMYFUNCTION("""COMPUTED_VALUE"""),"TX")</f>
        <v>TX</v>
      </c>
      <c r="I238" s="22">
        <f>IFERROR(__xludf.DUMMYFUNCTION("""COMPUTED_VALUE"""),75229.0)</f>
        <v>75229</v>
      </c>
      <c r="J238" s="22"/>
      <c r="K238" s="22"/>
      <c r="L238" s="22"/>
      <c r="M238" s="22"/>
      <c r="N238" s="22"/>
      <c r="O238" s="22"/>
      <c r="P238" s="22"/>
      <c r="Q238" s="22"/>
      <c r="R238" s="22"/>
      <c r="S238" s="22"/>
      <c r="T238" s="22"/>
      <c r="U238" s="24" t="str">
        <f>IFERROR(__xludf.DUMMYFUNCTION("SPLIT(E238,""01234567890"")"),"Jennifer
")</f>
        <v>Jennifer
</v>
      </c>
      <c r="V238" s="24" t="str">
        <f>IFERROR(__xludf.DUMMYFUNCTION("SPLIT(D238,"","")"),"Gates")</f>
        <v>Gates</v>
      </c>
      <c r="W238" s="25" t="str">
        <f t="shared" si="1"/>
        <v>JENNIFER
 GATES</v>
      </c>
      <c r="X238" s="25" t="s">
        <v>678</v>
      </c>
      <c r="Y238" s="25">
        <v>75229.0</v>
      </c>
      <c r="Z238" s="25" t="str">
        <f>IFERROR(__xludf.DUMMYFUNCTION("SPLIT(C238,""
"")"),"Gates, Jennifer")</f>
        <v>Gates, Jennifer</v>
      </c>
      <c r="AA238" s="25" t="str">
        <f>IFERROR(__xludf.DUMMYFUNCTION("""COMPUTED_VALUE"""),"4914 Keyhole Ln.")</f>
        <v>4914 Keyhole Ln.</v>
      </c>
      <c r="AB238" s="25" t="str">
        <f>IFERROR(__xludf.DUMMYFUNCTION("""COMPUTED_VALUE"""),"Dallas, TX 75229")</f>
        <v>Dallas, TX 75229</v>
      </c>
      <c r="AC238" s="24" t="s">
        <v>679</v>
      </c>
      <c r="AD238" s="25"/>
      <c r="AE238" s="25"/>
      <c r="AF238" s="25"/>
      <c r="AG238" s="22" t="s">
        <v>60</v>
      </c>
      <c r="AH238" s="54">
        <v>2441.0</v>
      </c>
      <c r="AI238" s="22" t="s">
        <v>61</v>
      </c>
      <c r="AJ238" s="27">
        <v>500.0</v>
      </c>
      <c r="AK238" s="31" t="s">
        <v>21</v>
      </c>
      <c r="AL238" s="28">
        <v>44740.0</v>
      </c>
      <c r="AM238" s="29">
        <v>44756.4640625</v>
      </c>
      <c r="AN238" s="30">
        <v>2.0</v>
      </c>
      <c r="AO238" s="22"/>
      <c r="AP238" s="22"/>
      <c r="AQ238" s="22"/>
      <c r="AR238" s="22"/>
      <c r="AS238" s="22"/>
      <c r="AT238" s="70"/>
      <c r="AU238" s="22"/>
      <c r="AV238" s="57" t="str">
        <f>IFERROR(__xludf.DUMMYFUNCTION("""COMPUTED_VALUE"""),"Katz")</f>
        <v>Katz</v>
      </c>
      <c r="AW238" s="46">
        <f t="shared" si="7"/>
        <v>2000</v>
      </c>
      <c r="AX238" s="47">
        <f t="shared" ref="AX238:BQ238" si="824">SUMIFS($AJ:$AJ,$V:$V,$AV238,$AK:$AK,AX$2)</f>
        <v>0</v>
      </c>
      <c r="AY238" s="48">
        <f t="shared" si="824"/>
        <v>0</v>
      </c>
      <c r="AZ238" s="48">
        <f t="shared" si="824"/>
        <v>0</v>
      </c>
      <c r="BA238" s="48">
        <f t="shared" si="824"/>
        <v>0</v>
      </c>
      <c r="BB238" s="48">
        <f t="shared" si="824"/>
        <v>2000</v>
      </c>
      <c r="BC238" s="48">
        <f t="shared" si="824"/>
        <v>0</v>
      </c>
      <c r="BD238" s="48">
        <f t="shared" si="824"/>
        <v>0</v>
      </c>
      <c r="BE238" s="48">
        <f t="shared" si="824"/>
        <v>0</v>
      </c>
      <c r="BF238" s="48">
        <f t="shared" si="824"/>
        <v>0</v>
      </c>
      <c r="BG238" s="48">
        <f t="shared" si="824"/>
        <v>0</v>
      </c>
      <c r="BH238" s="48">
        <f t="shared" si="824"/>
        <v>0</v>
      </c>
      <c r="BI238" s="48">
        <f t="shared" si="824"/>
        <v>0</v>
      </c>
      <c r="BJ238" s="48">
        <f t="shared" si="824"/>
        <v>0</v>
      </c>
      <c r="BK238" s="48">
        <f t="shared" si="824"/>
        <v>0</v>
      </c>
      <c r="BL238" s="48">
        <f t="shared" si="824"/>
        <v>0</v>
      </c>
      <c r="BM238" s="48">
        <f t="shared" si="824"/>
        <v>0</v>
      </c>
      <c r="BN238" s="48">
        <f t="shared" si="824"/>
        <v>0</v>
      </c>
      <c r="BO238" s="48">
        <f t="shared" si="824"/>
        <v>0</v>
      </c>
      <c r="BP238" s="48">
        <f t="shared" si="824"/>
        <v>0</v>
      </c>
      <c r="BQ238" s="48">
        <f t="shared" si="824"/>
        <v>0</v>
      </c>
      <c r="BR238" s="36">
        <f t="shared" si="9"/>
        <v>0</v>
      </c>
      <c r="BS238" s="38">
        <f t="shared" si="10"/>
        <v>1</v>
      </c>
      <c r="BT238" s="49">
        <f t="shared" si="11"/>
        <v>0</v>
      </c>
      <c r="BU238" s="38">
        <f t="shared" si="12"/>
        <v>1000</v>
      </c>
      <c r="BV238" s="57" t="str">
        <f>IFERROR(__xludf.DUMMYFUNCTION("""COMPUTED_VALUE"""),"Katz")</f>
        <v>Katz</v>
      </c>
      <c r="BW238" s="46">
        <f t="shared" si="13"/>
        <v>2000</v>
      </c>
      <c r="BX238" s="47">
        <f t="shared" ref="BX238:CA238" si="825">AX238-$BU238</f>
        <v>-1000</v>
      </c>
      <c r="BY238" s="47">
        <f t="shared" si="825"/>
        <v>-1000</v>
      </c>
      <c r="BZ238" s="47">
        <f t="shared" si="825"/>
        <v>-1000</v>
      </c>
      <c r="CA238" s="47">
        <f t="shared" si="825"/>
        <v>-1000</v>
      </c>
      <c r="CB238" s="47">
        <f t="shared" si="15"/>
        <v>-8000</v>
      </c>
      <c r="CC238" s="47">
        <f t="shared" ref="CC238:CQ238" si="826">BC238-$BU238</f>
        <v>-1000</v>
      </c>
      <c r="CD238" s="47">
        <f t="shared" si="826"/>
        <v>-1000</v>
      </c>
      <c r="CE238" s="47">
        <f t="shared" si="826"/>
        <v>-1000</v>
      </c>
      <c r="CF238" s="47">
        <f t="shared" si="826"/>
        <v>-1000</v>
      </c>
      <c r="CG238" s="47">
        <f t="shared" si="826"/>
        <v>-1000</v>
      </c>
      <c r="CH238" s="47">
        <f t="shared" si="826"/>
        <v>-1000</v>
      </c>
      <c r="CI238" s="47">
        <f t="shared" si="826"/>
        <v>-1000</v>
      </c>
      <c r="CJ238" s="47">
        <f t="shared" si="826"/>
        <v>-1000</v>
      </c>
      <c r="CK238" s="47">
        <f t="shared" si="826"/>
        <v>-1000</v>
      </c>
      <c r="CL238" s="47">
        <f t="shared" si="826"/>
        <v>-1000</v>
      </c>
      <c r="CM238" s="47">
        <f t="shared" si="826"/>
        <v>-1000</v>
      </c>
      <c r="CN238" s="47">
        <f t="shared" si="826"/>
        <v>-1000</v>
      </c>
      <c r="CO238" s="47">
        <f t="shared" si="826"/>
        <v>-1000</v>
      </c>
      <c r="CP238" s="47">
        <f t="shared" si="826"/>
        <v>-1000</v>
      </c>
      <c r="CQ238" s="47">
        <f t="shared" si="826"/>
        <v>-1000</v>
      </c>
      <c r="CR238" s="47"/>
      <c r="CS238" s="47"/>
      <c r="CT238" s="47"/>
      <c r="CU238" s="50" t="str">
        <f>IFERROR(__xludf.DUMMYFUNCTION("""COMPUTED_VALUE"""),"6504 Bailey Road
Sachse, TX 75048          ")</f>
        <v>6504 Bailey Road
Sachse, TX 75048          </v>
      </c>
      <c r="CV238" s="51">
        <f>IFERROR(__xludf.DUMMYFUNCTION("IF(REGEXMATCH(UPPER(CU238), ""TX""),0,1)"),0.0)</f>
        <v>0</v>
      </c>
      <c r="CW238" s="51">
        <f>IFERROR(__xludf.DUMMYFUNCTION("IF(REGEXMATCH(UPPER(CU238), ""DALLAS""),0,1)"),1.0)</f>
        <v>1</v>
      </c>
      <c r="CX238" s="51">
        <f t="shared" si="17"/>
        <v>0</v>
      </c>
      <c r="CY238" s="51">
        <f t="shared" si="18"/>
        <v>1000</v>
      </c>
      <c r="CZ238" s="52" t="str">
        <f t="shared" si="19"/>
        <v>6504 Bailey Road
Sachse, TX 75048          </v>
      </c>
      <c r="DA238" s="58"/>
      <c r="DB238" s="52"/>
      <c r="DC238" s="52"/>
      <c r="DD238" s="52"/>
      <c r="DE238" s="52"/>
      <c r="DF238" s="52"/>
      <c r="DG238" s="52"/>
      <c r="DH238" s="52"/>
      <c r="DI238" s="52"/>
      <c r="DJ238" s="52"/>
      <c r="DK238" s="52"/>
      <c r="DL238" s="52"/>
      <c r="DM238" s="52"/>
      <c r="DN238" s="52"/>
      <c r="DO238" s="52"/>
      <c r="DP238" s="52"/>
      <c r="DQ238" s="52"/>
      <c r="DR238" s="52"/>
      <c r="DS238" s="52"/>
      <c r="DT238" s="52"/>
      <c r="DU238" s="52"/>
      <c r="DV238" s="52"/>
      <c r="DW238" s="52"/>
    </row>
    <row r="239">
      <c r="A239" s="40" t="s">
        <v>55</v>
      </c>
      <c r="B239" s="41" t="s">
        <v>56</v>
      </c>
      <c r="C239" s="31" t="s">
        <v>216</v>
      </c>
      <c r="D239" s="25" t="str">
        <f>IFERROR(__xludf.DUMMYFUNCTION("SPLIT(C239,"" "")"),"Applequist,")</f>
        <v>Applequist,</v>
      </c>
      <c r="E239" s="40" t="str">
        <f>IFERROR(__xludf.DUMMYFUNCTION("""COMPUTED_VALUE"""),"Chris
9034")</f>
        <v>Chris
9034</v>
      </c>
      <c r="F239" s="40" t="str">
        <f>IFERROR(__xludf.DUMMYFUNCTION("""COMPUTED_VALUE"""),"Meadowknoll")</f>
        <v>Meadowknoll</v>
      </c>
      <c r="G239" s="40" t="str">
        <f>IFERROR(__xludf.DUMMYFUNCTION("""COMPUTED_VALUE"""),"Dr.
Dallas,")</f>
        <v>Dr.
Dallas,</v>
      </c>
      <c r="H239" s="40" t="str">
        <f>IFERROR(__xludf.DUMMYFUNCTION("""COMPUTED_VALUE"""),"TX")</f>
        <v>TX</v>
      </c>
      <c r="I239" s="40">
        <f>IFERROR(__xludf.DUMMYFUNCTION("""COMPUTED_VALUE"""),75243.0)</f>
        <v>75243</v>
      </c>
      <c r="J239" s="40"/>
      <c r="K239" s="40"/>
      <c r="L239" s="40"/>
      <c r="M239" s="40"/>
      <c r="N239" s="40"/>
      <c r="O239" s="40"/>
      <c r="P239" s="40"/>
      <c r="Q239" s="40"/>
      <c r="R239" s="40"/>
      <c r="S239" s="40"/>
      <c r="T239" s="40"/>
      <c r="U239" s="24" t="str">
        <f>IFERROR(__xludf.DUMMYFUNCTION("SPLIT(E239,""01234567890"")"),"Chris
")</f>
        <v>Chris
</v>
      </c>
      <c r="V239" s="24" t="str">
        <f>IFERROR(__xludf.DUMMYFUNCTION("SPLIT(D239,"","")"),"Applequist")</f>
        <v>Applequist</v>
      </c>
      <c r="W239" s="25" t="str">
        <f t="shared" si="1"/>
        <v>CHRIS
 APPLEQUIST</v>
      </c>
      <c r="X239" s="25" t="s">
        <v>217</v>
      </c>
      <c r="Y239" s="25">
        <v>75243.0</v>
      </c>
      <c r="Z239" s="25" t="str">
        <f>IFERROR(__xludf.DUMMYFUNCTION("SPLIT(C239,""
"")"),"Applequist, Chris")</f>
        <v>Applequist, Chris</v>
      </c>
      <c r="AA239" s="25" t="str">
        <f>IFERROR(__xludf.DUMMYFUNCTION("""COMPUTED_VALUE"""),"9034 Meadowknoll Dr.")</f>
        <v>9034 Meadowknoll Dr.</v>
      </c>
      <c r="AB239" s="25" t="str">
        <f>IFERROR(__xludf.DUMMYFUNCTION("""COMPUTED_VALUE"""),"Dallas, TX 75243")</f>
        <v>Dallas, TX 75243</v>
      </c>
      <c r="AC239" s="24" t="s">
        <v>215</v>
      </c>
      <c r="AD239" s="25"/>
      <c r="AE239" s="25"/>
      <c r="AF239" s="25"/>
      <c r="AG239" s="40" t="s">
        <v>60</v>
      </c>
      <c r="AH239" s="42">
        <v>2441.0</v>
      </c>
      <c r="AI239" s="40" t="s">
        <v>61</v>
      </c>
      <c r="AJ239" s="27">
        <v>950.0</v>
      </c>
      <c r="AK239" s="31" t="s">
        <v>21</v>
      </c>
      <c r="AL239" s="43">
        <v>44741.0</v>
      </c>
      <c r="AM239" s="44">
        <v>44756.4640625</v>
      </c>
      <c r="AN239" s="30">
        <v>2.0</v>
      </c>
      <c r="AO239" s="40"/>
      <c r="AP239" s="40"/>
      <c r="AQ239" s="40"/>
      <c r="AR239" s="40"/>
      <c r="AS239" s="40"/>
      <c r="AT239" s="47"/>
      <c r="AU239" s="40"/>
      <c r="AV239" s="46" t="str">
        <f>IFERROR(__xludf.DUMMYFUNCTION("""COMPUTED_VALUE"""),"Scovell")</f>
        <v>Scovell</v>
      </c>
      <c r="AW239" s="46">
        <f t="shared" si="7"/>
        <v>1250</v>
      </c>
      <c r="AX239" s="47">
        <f t="shared" ref="AX239:BQ239" si="827">SUMIFS($AJ:$AJ,$V:$V,$AV239,$AK:$AK,AX$2)</f>
        <v>0</v>
      </c>
      <c r="AY239" s="48">
        <f t="shared" si="827"/>
        <v>0</v>
      </c>
      <c r="AZ239" s="48">
        <f t="shared" si="827"/>
        <v>0</v>
      </c>
      <c r="BA239" s="48">
        <f t="shared" si="827"/>
        <v>500</v>
      </c>
      <c r="BB239" s="48">
        <f t="shared" si="827"/>
        <v>750</v>
      </c>
      <c r="BC239" s="48">
        <f t="shared" si="827"/>
        <v>0</v>
      </c>
      <c r="BD239" s="48">
        <f t="shared" si="827"/>
        <v>0</v>
      </c>
      <c r="BE239" s="48">
        <f t="shared" si="827"/>
        <v>0</v>
      </c>
      <c r="BF239" s="48">
        <f t="shared" si="827"/>
        <v>0</v>
      </c>
      <c r="BG239" s="48">
        <f t="shared" si="827"/>
        <v>0</v>
      </c>
      <c r="BH239" s="48">
        <f t="shared" si="827"/>
        <v>0</v>
      </c>
      <c r="BI239" s="48">
        <f t="shared" si="827"/>
        <v>0</v>
      </c>
      <c r="BJ239" s="48">
        <f t="shared" si="827"/>
        <v>0</v>
      </c>
      <c r="BK239" s="48">
        <f t="shared" si="827"/>
        <v>0</v>
      </c>
      <c r="BL239" s="48">
        <f t="shared" si="827"/>
        <v>0</v>
      </c>
      <c r="BM239" s="48">
        <f t="shared" si="827"/>
        <v>0</v>
      </c>
      <c r="BN239" s="48">
        <f t="shared" si="827"/>
        <v>0</v>
      </c>
      <c r="BO239" s="48">
        <f t="shared" si="827"/>
        <v>0</v>
      </c>
      <c r="BP239" s="48">
        <f t="shared" si="827"/>
        <v>0</v>
      </c>
      <c r="BQ239" s="48">
        <f t="shared" si="827"/>
        <v>0</v>
      </c>
      <c r="BR239" s="36">
        <f t="shared" si="9"/>
        <v>1</v>
      </c>
      <c r="BS239" s="38">
        <f t="shared" si="10"/>
        <v>3</v>
      </c>
      <c r="BT239" s="49">
        <f t="shared" si="11"/>
        <v>0</v>
      </c>
      <c r="BU239" s="38">
        <f t="shared" si="12"/>
        <v>3000</v>
      </c>
      <c r="BV239" s="46" t="str">
        <f>IFERROR(__xludf.DUMMYFUNCTION("""COMPUTED_VALUE"""),"Scovell")</f>
        <v>Scovell</v>
      </c>
      <c r="BW239" s="46">
        <f t="shared" si="13"/>
        <v>1250</v>
      </c>
      <c r="BX239" s="47">
        <f t="shared" ref="BX239:CA239" si="828">AX239-$BU239</f>
        <v>-3000</v>
      </c>
      <c r="BY239" s="47">
        <f t="shared" si="828"/>
        <v>-3000</v>
      </c>
      <c r="BZ239" s="47">
        <f t="shared" si="828"/>
        <v>-3000</v>
      </c>
      <c r="CA239" s="47">
        <f t="shared" si="828"/>
        <v>-2500</v>
      </c>
      <c r="CB239" s="47">
        <f t="shared" si="15"/>
        <v>-29250</v>
      </c>
      <c r="CC239" s="47">
        <f t="shared" ref="CC239:CQ239" si="829">BC239-$BU239</f>
        <v>-3000</v>
      </c>
      <c r="CD239" s="47">
        <f t="shared" si="829"/>
        <v>-3000</v>
      </c>
      <c r="CE239" s="47">
        <f t="shared" si="829"/>
        <v>-3000</v>
      </c>
      <c r="CF239" s="47">
        <f t="shared" si="829"/>
        <v>-3000</v>
      </c>
      <c r="CG239" s="47">
        <f t="shared" si="829"/>
        <v>-3000</v>
      </c>
      <c r="CH239" s="47">
        <f t="shared" si="829"/>
        <v>-3000</v>
      </c>
      <c r="CI239" s="47">
        <f t="shared" si="829"/>
        <v>-3000</v>
      </c>
      <c r="CJ239" s="47">
        <f t="shared" si="829"/>
        <v>-3000</v>
      </c>
      <c r="CK239" s="47">
        <f t="shared" si="829"/>
        <v>-3000</v>
      </c>
      <c r="CL239" s="47">
        <f t="shared" si="829"/>
        <v>-3000</v>
      </c>
      <c r="CM239" s="47">
        <f t="shared" si="829"/>
        <v>-3000</v>
      </c>
      <c r="CN239" s="47">
        <f t="shared" si="829"/>
        <v>-3000</v>
      </c>
      <c r="CO239" s="47">
        <f t="shared" si="829"/>
        <v>-3000</v>
      </c>
      <c r="CP239" s="47">
        <f t="shared" si="829"/>
        <v>-3000</v>
      </c>
      <c r="CQ239" s="47">
        <f t="shared" si="829"/>
        <v>-3000</v>
      </c>
      <c r="CR239" s="47"/>
      <c r="CS239" s="47"/>
      <c r="CT239" s="47"/>
      <c r="CU239" s="50" t="str">
        <f>IFERROR(__xludf.DUMMYFUNCTION("""COMPUTED_VALUE"""),"2335 Hyde Street
San Francisco, CA 94109         ")</f>
        <v>2335 Hyde Street
San Francisco, CA 94109         </v>
      </c>
      <c r="CV239" s="51">
        <f>IFERROR(__xludf.DUMMYFUNCTION("IF(REGEXMATCH(UPPER(CU239), ""TX""),0,1)"),1.0)</f>
        <v>1</v>
      </c>
      <c r="CW239" s="51">
        <f>IFERROR(__xludf.DUMMYFUNCTION("IF(REGEXMATCH(UPPER(CU239), ""DALLAS""),0,1)"),1.0)</f>
        <v>1</v>
      </c>
      <c r="CX239" s="51">
        <f t="shared" si="17"/>
        <v>100</v>
      </c>
      <c r="CY239" s="51">
        <f t="shared" si="18"/>
        <v>100</v>
      </c>
      <c r="CZ239" s="52" t="str">
        <f t="shared" si="19"/>
        <v>2335 Hyde Street
San Francisco, CA 94109         </v>
      </c>
      <c r="DA239" s="58"/>
      <c r="DB239" s="52"/>
      <c r="DC239" s="52"/>
      <c r="DD239" s="52"/>
      <c r="DE239" s="52"/>
      <c r="DF239" s="52"/>
      <c r="DG239" s="52"/>
      <c r="DH239" s="52"/>
      <c r="DI239" s="52"/>
      <c r="DJ239" s="52"/>
      <c r="DK239" s="52"/>
      <c r="DL239" s="52"/>
      <c r="DM239" s="52"/>
      <c r="DN239" s="52"/>
      <c r="DO239" s="52"/>
      <c r="DP239" s="52"/>
      <c r="DQ239" s="52"/>
      <c r="DR239" s="52"/>
      <c r="DS239" s="52"/>
      <c r="DT239" s="52"/>
      <c r="DU239" s="52"/>
      <c r="DV239" s="52"/>
      <c r="DW239" s="52"/>
    </row>
    <row r="240">
      <c r="A240" s="22" t="s">
        <v>55</v>
      </c>
      <c r="B240" s="23" t="s">
        <v>56</v>
      </c>
      <c r="C240" s="31" t="s">
        <v>680</v>
      </c>
      <c r="D240" s="25" t="str">
        <f>IFERROR(__xludf.DUMMYFUNCTION("SPLIT(C240,"" "")"),"Wallace,")</f>
        <v>Wallace,</v>
      </c>
      <c r="E240" s="22" t="str">
        <f>IFERROR(__xludf.DUMMYFUNCTION("""COMPUTED_VALUE"""),"Andy
4433")</f>
        <v>Andy
4433</v>
      </c>
      <c r="F240" s="22" t="str">
        <f>IFERROR(__xludf.DUMMYFUNCTION("""COMPUTED_VALUE"""),"Westway")</f>
        <v>Westway</v>
      </c>
      <c r="G240" s="22" t="str">
        <f>IFERROR(__xludf.DUMMYFUNCTION("""COMPUTED_VALUE"""),"Ave.
Dallas,")</f>
        <v>Ave.
Dallas,</v>
      </c>
      <c r="H240" s="22" t="str">
        <f>IFERROR(__xludf.DUMMYFUNCTION("""COMPUTED_VALUE"""),"TX")</f>
        <v>TX</v>
      </c>
      <c r="I240" s="22">
        <f>IFERROR(__xludf.DUMMYFUNCTION("""COMPUTED_VALUE"""),75205.0)</f>
        <v>75205</v>
      </c>
      <c r="J240" s="22"/>
      <c r="K240" s="22"/>
      <c r="L240" s="22"/>
      <c r="M240" s="22"/>
      <c r="N240" s="22"/>
      <c r="O240" s="22"/>
      <c r="P240" s="22"/>
      <c r="Q240" s="22"/>
      <c r="R240" s="22"/>
      <c r="S240" s="22"/>
      <c r="T240" s="22"/>
      <c r="U240" s="24" t="str">
        <f>IFERROR(__xludf.DUMMYFUNCTION("SPLIT(E240,""01234567890"")"),"Andy
")</f>
        <v>Andy
</v>
      </c>
      <c r="V240" s="24" t="str">
        <f>IFERROR(__xludf.DUMMYFUNCTION("SPLIT(D240,"","")"),"Wallace")</f>
        <v>Wallace</v>
      </c>
      <c r="W240" s="25" t="str">
        <f t="shared" si="1"/>
        <v>ANDY
 WALLACE</v>
      </c>
      <c r="X240" s="25" t="s">
        <v>681</v>
      </c>
      <c r="Y240" s="25">
        <v>75205.0</v>
      </c>
      <c r="Z240" s="25" t="str">
        <f>IFERROR(__xludf.DUMMYFUNCTION("SPLIT(C240,""
"")"),"Wallace, Andy")</f>
        <v>Wallace, Andy</v>
      </c>
      <c r="AA240" s="25" t="str">
        <f>IFERROR(__xludf.DUMMYFUNCTION("""COMPUTED_VALUE"""),"4433 Westway Ave.")</f>
        <v>4433 Westway Ave.</v>
      </c>
      <c r="AB240" s="25" t="str">
        <f>IFERROR(__xludf.DUMMYFUNCTION("""COMPUTED_VALUE"""),"Dallas, TX 75205")</f>
        <v>Dallas, TX 75205</v>
      </c>
      <c r="AC240" s="24" t="s">
        <v>682</v>
      </c>
      <c r="AD240" s="25"/>
      <c r="AE240" s="25"/>
      <c r="AF240" s="25"/>
      <c r="AG240" s="22" t="s">
        <v>60</v>
      </c>
      <c r="AH240" s="54">
        <v>2441.0</v>
      </c>
      <c r="AI240" s="22" t="s">
        <v>61</v>
      </c>
      <c r="AJ240" s="27">
        <v>950.0</v>
      </c>
      <c r="AK240" s="31" t="s">
        <v>21</v>
      </c>
      <c r="AL240" s="28">
        <v>44742.0</v>
      </c>
      <c r="AM240" s="29">
        <v>44756.4640625</v>
      </c>
      <c r="AN240" s="30">
        <v>2.0</v>
      </c>
      <c r="AO240" s="22"/>
      <c r="AP240" s="22"/>
      <c r="AQ240" s="22"/>
      <c r="AR240" s="22"/>
      <c r="AS240" s="22"/>
      <c r="AT240" s="70"/>
      <c r="AU240" s="22"/>
      <c r="AV240" s="57" t="str">
        <f>IFERROR(__xludf.DUMMYFUNCTION("""COMPUTED_VALUE"""),"Marshall")</f>
        <v>Marshall</v>
      </c>
      <c r="AW240" s="46">
        <f t="shared" si="7"/>
        <v>5050</v>
      </c>
      <c r="AX240" s="47">
        <f t="shared" ref="AX240:BQ240" si="830">SUMIFS($AJ:$AJ,$V:$V,$AV240,$AK:$AK,AX$2)</f>
        <v>0</v>
      </c>
      <c r="AY240" s="48">
        <f t="shared" si="830"/>
        <v>0</v>
      </c>
      <c r="AZ240" s="48">
        <f t="shared" si="830"/>
        <v>0</v>
      </c>
      <c r="BA240" s="48">
        <f t="shared" si="830"/>
        <v>0</v>
      </c>
      <c r="BB240" s="48">
        <f t="shared" si="830"/>
        <v>5050</v>
      </c>
      <c r="BC240" s="48">
        <f t="shared" si="830"/>
        <v>0</v>
      </c>
      <c r="BD240" s="48">
        <f t="shared" si="830"/>
        <v>0</v>
      </c>
      <c r="BE240" s="48">
        <f t="shared" si="830"/>
        <v>0</v>
      </c>
      <c r="BF240" s="48">
        <f t="shared" si="830"/>
        <v>0</v>
      </c>
      <c r="BG240" s="48">
        <f t="shared" si="830"/>
        <v>0</v>
      </c>
      <c r="BH240" s="48">
        <f t="shared" si="830"/>
        <v>0</v>
      </c>
      <c r="BI240" s="48">
        <f t="shared" si="830"/>
        <v>0</v>
      </c>
      <c r="BJ240" s="48">
        <f t="shared" si="830"/>
        <v>0</v>
      </c>
      <c r="BK240" s="48">
        <f t="shared" si="830"/>
        <v>0</v>
      </c>
      <c r="BL240" s="48">
        <f t="shared" si="830"/>
        <v>0</v>
      </c>
      <c r="BM240" s="48">
        <f t="shared" si="830"/>
        <v>0</v>
      </c>
      <c r="BN240" s="48">
        <f t="shared" si="830"/>
        <v>0</v>
      </c>
      <c r="BO240" s="48">
        <f t="shared" si="830"/>
        <v>0</v>
      </c>
      <c r="BP240" s="48">
        <f t="shared" si="830"/>
        <v>0</v>
      </c>
      <c r="BQ240" s="48">
        <f t="shared" si="830"/>
        <v>0</v>
      </c>
      <c r="BR240" s="36">
        <f t="shared" si="9"/>
        <v>1</v>
      </c>
      <c r="BS240" s="38">
        <f t="shared" si="10"/>
        <v>2</v>
      </c>
      <c r="BT240" s="49">
        <f t="shared" si="11"/>
        <v>0</v>
      </c>
      <c r="BU240" s="38">
        <f t="shared" si="12"/>
        <v>2000</v>
      </c>
      <c r="BV240" s="57" t="str">
        <f>IFERROR(__xludf.DUMMYFUNCTION("""COMPUTED_VALUE"""),"Marshall")</f>
        <v>Marshall</v>
      </c>
      <c r="BW240" s="46">
        <f t="shared" si="13"/>
        <v>5050</v>
      </c>
      <c r="BX240" s="47">
        <f t="shared" ref="BX240:CA240" si="831">AX240-$BU240</f>
        <v>-2000</v>
      </c>
      <c r="BY240" s="47">
        <f t="shared" si="831"/>
        <v>-2000</v>
      </c>
      <c r="BZ240" s="47">
        <f t="shared" si="831"/>
        <v>-2000</v>
      </c>
      <c r="CA240" s="47">
        <f t="shared" si="831"/>
        <v>-2000</v>
      </c>
      <c r="CB240" s="47">
        <f t="shared" si="15"/>
        <v>-14950</v>
      </c>
      <c r="CC240" s="47">
        <f t="shared" ref="CC240:CQ240" si="832">BC240-$BU240</f>
        <v>-2000</v>
      </c>
      <c r="CD240" s="47">
        <f t="shared" si="832"/>
        <v>-2000</v>
      </c>
      <c r="CE240" s="47">
        <f t="shared" si="832"/>
        <v>-2000</v>
      </c>
      <c r="CF240" s="47">
        <f t="shared" si="832"/>
        <v>-2000</v>
      </c>
      <c r="CG240" s="47">
        <f t="shared" si="832"/>
        <v>-2000</v>
      </c>
      <c r="CH240" s="47">
        <f t="shared" si="832"/>
        <v>-2000</v>
      </c>
      <c r="CI240" s="47">
        <f t="shared" si="832"/>
        <v>-2000</v>
      </c>
      <c r="CJ240" s="47">
        <f t="shared" si="832"/>
        <v>-2000</v>
      </c>
      <c r="CK240" s="47">
        <f t="shared" si="832"/>
        <v>-2000</v>
      </c>
      <c r="CL240" s="47">
        <f t="shared" si="832"/>
        <v>-2000</v>
      </c>
      <c r="CM240" s="47">
        <f t="shared" si="832"/>
        <v>-2000</v>
      </c>
      <c r="CN240" s="47">
        <f t="shared" si="832"/>
        <v>-2000</v>
      </c>
      <c r="CO240" s="47">
        <f t="shared" si="832"/>
        <v>-2000</v>
      </c>
      <c r="CP240" s="47">
        <f t="shared" si="832"/>
        <v>-2000</v>
      </c>
      <c r="CQ240" s="47">
        <f t="shared" si="832"/>
        <v>-2000</v>
      </c>
      <c r="CR240" s="47"/>
      <c r="CS240" s="47"/>
      <c r="CT240" s="47"/>
      <c r="CU240" s="50" t="str">
        <f>IFERROR(__xludf.DUMMYFUNCTION("""COMPUTED_VALUE"""),"100 Greenwich St
New York, NY 10006         ")</f>
        <v>100 Greenwich St
New York, NY 10006         </v>
      </c>
      <c r="CV240" s="51">
        <f>IFERROR(__xludf.DUMMYFUNCTION("IF(REGEXMATCH(UPPER(CU240), ""TX""),0,1)"),1.0)</f>
        <v>1</v>
      </c>
      <c r="CW240" s="51">
        <f>IFERROR(__xludf.DUMMYFUNCTION("IF(REGEXMATCH(UPPER(CU240), ""DALLAS""),0,1)"),1.0)</f>
        <v>1</v>
      </c>
      <c r="CX240" s="51">
        <f t="shared" si="17"/>
        <v>100</v>
      </c>
      <c r="CY240" s="51">
        <f t="shared" si="18"/>
        <v>100</v>
      </c>
      <c r="CZ240" s="52" t="str">
        <f t="shared" si="19"/>
        <v>100 Greenwich St
New York, NY 10006         </v>
      </c>
      <c r="DA240" s="58"/>
      <c r="DB240" s="52"/>
      <c r="DC240" s="52"/>
      <c r="DD240" s="52"/>
      <c r="DE240" s="52"/>
      <c r="DF240" s="52"/>
      <c r="DG240" s="52"/>
      <c r="DH240" s="52"/>
      <c r="DI240" s="52"/>
      <c r="DJ240" s="52"/>
      <c r="DK240" s="52"/>
      <c r="DL240" s="52"/>
      <c r="DM240" s="52"/>
      <c r="DN240" s="52"/>
      <c r="DO240" s="52"/>
      <c r="DP240" s="52"/>
      <c r="DQ240" s="52"/>
      <c r="DR240" s="52"/>
      <c r="DS240" s="52"/>
      <c r="DT240" s="52"/>
      <c r="DU240" s="52"/>
      <c r="DV240" s="52"/>
      <c r="DW240" s="52"/>
    </row>
    <row r="241">
      <c r="A241" s="40" t="s">
        <v>55</v>
      </c>
      <c r="B241" s="41" t="s">
        <v>56</v>
      </c>
      <c r="C241" s="31" t="s">
        <v>683</v>
      </c>
      <c r="D241" s="25" t="str">
        <f>IFERROR(__xludf.DUMMYFUNCTION("SPLIT(C241,"" "")"),"Connatser,")</f>
        <v>Connatser,</v>
      </c>
      <c r="E241" s="40" t="str">
        <f>IFERROR(__xludf.DUMMYFUNCTION("""COMPUTED_VALUE"""),"Becky
815")</f>
        <v>Becky
815</v>
      </c>
      <c r="F241" s="40" t="str">
        <f>IFERROR(__xludf.DUMMYFUNCTION("""COMPUTED_VALUE"""),"W.")</f>
        <v>W.</v>
      </c>
      <c r="G241" s="40" t="str">
        <f>IFERROR(__xludf.DUMMYFUNCTION("""COMPUTED_VALUE"""),"Greenbriar")</f>
        <v>Greenbriar</v>
      </c>
      <c r="H241" s="40" t="str">
        <f>IFERROR(__xludf.DUMMYFUNCTION("""COMPUTED_VALUE"""),"Ln.
Dallas,")</f>
        <v>Ln.
Dallas,</v>
      </c>
      <c r="I241" s="40" t="str">
        <f>IFERROR(__xludf.DUMMYFUNCTION("""COMPUTED_VALUE"""),"TX")</f>
        <v>TX</v>
      </c>
      <c r="J241" s="40">
        <f>IFERROR(__xludf.DUMMYFUNCTION("""COMPUTED_VALUE"""),75208.0)</f>
        <v>75208</v>
      </c>
      <c r="K241" s="40"/>
      <c r="L241" s="40"/>
      <c r="M241" s="40"/>
      <c r="N241" s="40"/>
      <c r="O241" s="40"/>
      <c r="P241" s="40"/>
      <c r="Q241" s="40"/>
      <c r="R241" s="40"/>
      <c r="S241" s="40"/>
      <c r="T241" s="40"/>
      <c r="U241" s="24" t="str">
        <f>IFERROR(__xludf.DUMMYFUNCTION("SPLIT(E241,""01234567890"")"),"Becky
")</f>
        <v>Becky
</v>
      </c>
      <c r="V241" s="24" t="str">
        <f>IFERROR(__xludf.DUMMYFUNCTION("SPLIT(D241,"","")"),"Connatser")</f>
        <v>Connatser</v>
      </c>
      <c r="W241" s="25" t="str">
        <f t="shared" si="1"/>
        <v>BECKY
 CONNATSER</v>
      </c>
      <c r="X241" s="25" t="s">
        <v>684</v>
      </c>
      <c r="Y241" s="25">
        <v>75208.0</v>
      </c>
      <c r="Z241" s="25" t="str">
        <f>IFERROR(__xludf.DUMMYFUNCTION("SPLIT(C241,""
"")"),"Connatser, Becky")</f>
        <v>Connatser, Becky</v>
      </c>
      <c r="AA241" s="25" t="str">
        <f>IFERROR(__xludf.DUMMYFUNCTION("""COMPUTED_VALUE"""),"815 W. Greenbriar Ln.")</f>
        <v>815 W. Greenbriar Ln.</v>
      </c>
      <c r="AB241" s="25" t="str">
        <f>IFERROR(__xludf.DUMMYFUNCTION("""COMPUTED_VALUE"""),"Dallas, TX 75208")</f>
        <v>Dallas, TX 75208</v>
      </c>
      <c r="AC241" s="24" t="s">
        <v>685</v>
      </c>
      <c r="AD241" s="25"/>
      <c r="AE241" s="25"/>
      <c r="AF241" s="25"/>
      <c r="AG241" s="40" t="s">
        <v>60</v>
      </c>
      <c r="AH241" s="42">
        <v>2441.0</v>
      </c>
      <c r="AI241" s="40" t="s">
        <v>61</v>
      </c>
      <c r="AJ241" s="27">
        <v>100.0</v>
      </c>
      <c r="AK241" s="31" t="s">
        <v>21</v>
      </c>
      <c r="AL241" s="43">
        <v>44742.0</v>
      </c>
      <c r="AM241" s="44">
        <v>44756.4640625</v>
      </c>
      <c r="AN241" s="30">
        <v>2.0</v>
      </c>
      <c r="AO241" s="40"/>
      <c r="AP241" s="40"/>
      <c r="AQ241" s="40"/>
      <c r="AR241" s="40"/>
      <c r="AS241" s="40"/>
      <c r="AT241" s="47"/>
      <c r="AU241" s="40"/>
      <c r="AV241" s="46" t="str">
        <f>IFERROR(__xludf.DUMMYFUNCTION("""COMPUTED_VALUE"""),"Quezada")</f>
        <v>Quezada</v>
      </c>
      <c r="AW241" s="46">
        <f t="shared" si="7"/>
        <v>250</v>
      </c>
      <c r="AX241" s="47">
        <f t="shared" ref="AX241:BQ241" si="833">SUMIFS($AJ:$AJ,$V:$V,$AV241,$AK:$AK,AX$2)</f>
        <v>0</v>
      </c>
      <c r="AY241" s="48">
        <f t="shared" si="833"/>
        <v>0</v>
      </c>
      <c r="AZ241" s="48">
        <f t="shared" si="833"/>
        <v>0</v>
      </c>
      <c r="BA241" s="48">
        <f t="shared" si="833"/>
        <v>0</v>
      </c>
      <c r="BB241" s="48">
        <f t="shared" si="833"/>
        <v>250</v>
      </c>
      <c r="BC241" s="48">
        <f t="shared" si="833"/>
        <v>0</v>
      </c>
      <c r="BD241" s="48">
        <f t="shared" si="833"/>
        <v>0</v>
      </c>
      <c r="BE241" s="48">
        <f t="shared" si="833"/>
        <v>0</v>
      </c>
      <c r="BF241" s="48">
        <f t="shared" si="833"/>
        <v>0</v>
      </c>
      <c r="BG241" s="48">
        <f t="shared" si="833"/>
        <v>0</v>
      </c>
      <c r="BH241" s="48">
        <f t="shared" si="833"/>
        <v>0</v>
      </c>
      <c r="BI241" s="48">
        <f t="shared" si="833"/>
        <v>0</v>
      </c>
      <c r="BJ241" s="48">
        <f t="shared" si="833"/>
        <v>0</v>
      </c>
      <c r="BK241" s="48">
        <f t="shared" si="833"/>
        <v>0</v>
      </c>
      <c r="BL241" s="48">
        <f t="shared" si="833"/>
        <v>0</v>
      </c>
      <c r="BM241" s="48">
        <f t="shared" si="833"/>
        <v>0</v>
      </c>
      <c r="BN241" s="48">
        <f t="shared" si="833"/>
        <v>0</v>
      </c>
      <c r="BO241" s="48">
        <f t="shared" si="833"/>
        <v>0</v>
      </c>
      <c r="BP241" s="48">
        <f t="shared" si="833"/>
        <v>0</v>
      </c>
      <c r="BQ241" s="48">
        <f t="shared" si="833"/>
        <v>0</v>
      </c>
      <c r="BR241" s="36">
        <f t="shared" si="9"/>
        <v>0</v>
      </c>
      <c r="BS241" s="38">
        <f t="shared" si="10"/>
        <v>1</v>
      </c>
      <c r="BT241" s="49">
        <f t="shared" si="11"/>
        <v>0</v>
      </c>
      <c r="BU241" s="38">
        <f t="shared" si="12"/>
        <v>1000</v>
      </c>
      <c r="BV241" s="46" t="str">
        <f>IFERROR(__xludf.DUMMYFUNCTION("""COMPUTED_VALUE"""),"Quezada")</f>
        <v>Quezada</v>
      </c>
      <c r="BW241" s="46">
        <f t="shared" si="13"/>
        <v>250</v>
      </c>
      <c r="BX241" s="47">
        <f t="shared" ref="BX241:CA241" si="834">AX241-$BU241</f>
        <v>-1000</v>
      </c>
      <c r="BY241" s="47">
        <f t="shared" si="834"/>
        <v>-1000</v>
      </c>
      <c r="BZ241" s="47">
        <f t="shared" si="834"/>
        <v>-1000</v>
      </c>
      <c r="CA241" s="47">
        <f t="shared" si="834"/>
        <v>-1000</v>
      </c>
      <c r="CB241" s="47">
        <f t="shared" si="15"/>
        <v>-9750</v>
      </c>
      <c r="CC241" s="47">
        <f t="shared" ref="CC241:CQ241" si="835">BC241-$BU241</f>
        <v>-1000</v>
      </c>
      <c r="CD241" s="47">
        <f t="shared" si="835"/>
        <v>-1000</v>
      </c>
      <c r="CE241" s="47">
        <f t="shared" si="835"/>
        <v>-1000</v>
      </c>
      <c r="CF241" s="47">
        <f t="shared" si="835"/>
        <v>-1000</v>
      </c>
      <c r="CG241" s="47">
        <f t="shared" si="835"/>
        <v>-1000</v>
      </c>
      <c r="CH241" s="47">
        <f t="shared" si="835"/>
        <v>-1000</v>
      </c>
      <c r="CI241" s="47">
        <f t="shared" si="835"/>
        <v>-1000</v>
      </c>
      <c r="CJ241" s="47">
        <f t="shared" si="835"/>
        <v>-1000</v>
      </c>
      <c r="CK241" s="47">
        <f t="shared" si="835"/>
        <v>-1000</v>
      </c>
      <c r="CL241" s="47">
        <f t="shared" si="835"/>
        <v>-1000</v>
      </c>
      <c r="CM241" s="47">
        <f t="shared" si="835"/>
        <v>-1000</v>
      </c>
      <c r="CN241" s="47">
        <f t="shared" si="835"/>
        <v>-1000</v>
      </c>
      <c r="CO241" s="47">
        <f t="shared" si="835"/>
        <v>-1000</v>
      </c>
      <c r="CP241" s="47">
        <f t="shared" si="835"/>
        <v>-1000</v>
      </c>
      <c r="CQ241" s="47">
        <f t="shared" si="835"/>
        <v>-1000</v>
      </c>
      <c r="CR241" s="47"/>
      <c r="CS241" s="47"/>
      <c r="CT241" s="47"/>
      <c r="CU241" s="50" t="str">
        <f>IFERROR(__xludf.DUMMYFUNCTION("""COMPUTED_VALUE"""),"2200 Ross Ave
Dallas, TX 75201          ")</f>
        <v>2200 Ross Ave
Dallas, TX 75201          </v>
      </c>
      <c r="CV241" s="51">
        <f>IFERROR(__xludf.DUMMYFUNCTION("IF(REGEXMATCH(UPPER(CU241), ""TX""),0,1)"),0.0)</f>
        <v>0</v>
      </c>
      <c r="CW241" s="51">
        <f>IFERROR(__xludf.DUMMYFUNCTION("IF(REGEXMATCH(UPPER(CU241), ""DALLAS""),0,1)"),0.0)</f>
        <v>0</v>
      </c>
      <c r="CX241" s="51">
        <f t="shared" si="17"/>
        <v>0</v>
      </c>
      <c r="CY241" s="51">
        <f t="shared" si="18"/>
        <v>0</v>
      </c>
      <c r="CZ241" s="52" t="str">
        <f t="shared" si="19"/>
        <v/>
      </c>
      <c r="DA241" s="58"/>
      <c r="DB241" s="52"/>
      <c r="DC241" s="52"/>
      <c r="DD241" s="52"/>
      <c r="DE241" s="52"/>
      <c r="DF241" s="52"/>
      <c r="DG241" s="52"/>
      <c r="DH241" s="52"/>
      <c r="DI241" s="52"/>
      <c r="DJ241" s="52"/>
      <c r="DK241" s="52"/>
      <c r="DL241" s="52"/>
      <c r="DM241" s="52"/>
      <c r="DN241" s="52"/>
      <c r="DO241" s="52"/>
      <c r="DP241" s="52"/>
      <c r="DQ241" s="52"/>
      <c r="DR241" s="52"/>
      <c r="DS241" s="52"/>
      <c r="DT241" s="52"/>
      <c r="DU241" s="52"/>
      <c r="DV241" s="52"/>
      <c r="DW241" s="52"/>
    </row>
    <row r="242">
      <c r="A242" s="22" t="s">
        <v>55</v>
      </c>
      <c r="B242" s="23" t="s">
        <v>56</v>
      </c>
      <c r="C242" s="31" t="s">
        <v>686</v>
      </c>
      <c r="D242" s="25" t="str">
        <f>IFERROR(__xludf.DUMMYFUNCTION("SPLIT(C242,"" "")"),"Howell,")</f>
        <v>Howell,</v>
      </c>
      <c r="E242" s="22" t="str">
        <f>IFERROR(__xludf.DUMMYFUNCTION("""COMPUTED_VALUE"""),"Bryan
685")</f>
        <v>Bryan
685</v>
      </c>
      <c r="F242" s="22" t="str">
        <f>IFERROR(__xludf.DUMMYFUNCTION("""COMPUTED_VALUE"""),"Kessler")</f>
        <v>Kessler</v>
      </c>
      <c r="G242" s="22" t="str">
        <f>IFERROR(__xludf.DUMMYFUNCTION("""COMPUTED_VALUE"""),"Reserve")</f>
        <v>Reserve</v>
      </c>
      <c r="H242" s="22" t="str">
        <f>IFERROR(__xludf.DUMMYFUNCTION("""COMPUTED_VALUE"""),"Ct.
Dallas,")</f>
        <v>Ct.
Dallas,</v>
      </c>
      <c r="I242" s="22" t="str">
        <f>IFERROR(__xludf.DUMMYFUNCTION("""COMPUTED_VALUE"""),"TX")</f>
        <v>TX</v>
      </c>
      <c r="J242" s="22">
        <f>IFERROR(__xludf.DUMMYFUNCTION("""COMPUTED_VALUE"""),75208.0)</f>
        <v>75208</v>
      </c>
      <c r="K242" s="22"/>
      <c r="L242" s="22"/>
      <c r="M242" s="22"/>
      <c r="N242" s="22"/>
      <c r="O242" s="22"/>
      <c r="P242" s="22"/>
      <c r="Q242" s="22"/>
      <c r="R242" s="22"/>
      <c r="S242" s="22"/>
      <c r="T242" s="22"/>
      <c r="U242" s="24" t="str">
        <f>IFERROR(__xludf.DUMMYFUNCTION("SPLIT(E242,""01234567890"")"),"Bryan
")</f>
        <v>Bryan
</v>
      </c>
      <c r="V242" s="24" t="str">
        <f>IFERROR(__xludf.DUMMYFUNCTION("SPLIT(D242,"","")"),"Howell")</f>
        <v>Howell</v>
      </c>
      <c r="W242" s="25" t="str">
        <f t="shared" si="1"/>
        <v>BRYAN
 HOWELL</v>
      </c>
      <c r="X242" s="25" t="s">
        <v>687</v>
      </c>
      <c r="Y242" s="25">
        <v>75208.0</v>
      </c>
      <c r="Z242" s="25" t="str">
        <f>IFERROR(__xludf.DUMMYFUNCTION("SPLIT(C242,""
"")"),"Howell, Bryan")</f>
        <v>Howell, Bryan</v>
      </c>
      <c r="AA242" s="25" t="str">
        <f>IFERROR(__xludf.DUMMYFUNCTION("""COMPUTED_VALUE"""),"685 Kessler Reserve Ct.")</f>
        <v>685 Kessler Reserve Ct.</v>
      </c>
      <c r="AB242" s="25" t="str">
        <f>IFERROR(__xludf.DUMMYFUNCTION("""COMPUTED_VALUE"""),"Dallas, TX 75208")</f>
        <v>Dallas, TX 75208</v>
      </c>
      <c r="AC242" s="24" t="s">
        <v>688</v>
      </c>
      <c r="AD242" s="25"/>
      <c r="AE242" s="25"/>
      <c r="AF242" s="25"/>
      <c r="AG242" s="22" t="s">
        <v>60</v>
      </c>
      <c r="AH242" s="54">
        <v>2441.0</v>
      </c>
      <c r="AI242" s="22" t="s">
        <v>61</v>
      </c>
      <c r="AJ242" s="27">
        <v>50.0</v>
      </c>
      <c r="AK242" s="31" t="s">
        <v>21</v>
      </c>
      <c r="AL242" s="28">
        <v>44742.0</v>
      </c>
      <c r="AM242" s="29">
        <v>44756.4640625</v>
      </c>
      <c r="AN242" s="30">
        <v>2.0</v>
      </c>
      <c r="AO242" s="22"/>
      <c r="AP242" s="22"/>
      <c r="AQ242" s="22"/>
      <c r="AR242" s="22"/>
      <c r="AS242" s="22"/>
      <c r="AT242" s="70"/>
      <c r="AU242" s="22"/>
      <c r="AV242" s="57" t="str">
        <f>IFERROR(__xludf.DUMMYFUNCTION("""COMPUTED_VALUE"""),"Walsh")</f>
        <v>Walsh</v>
      </c>
      <c r="AW242" s="46">
        <f t="shared" si="7"/>
        <v>602</v>
      </c>
      <c r="AX242" s="47">
        <f t="shared" ref="AX242:BQ242" si="836">SUMIFS($AJ:$AJ,$V:$V,$AV242,$AK:$AK,AX$2)</f>
        <v>0</v>
      </c>
      <c r="AY242" s="48">
        <f t="shared" si="836"/>
        <v>0</v>
      </c>
      <c r="AZ242" s="48">
        <f t="shared" si="836"/>
        <v>0</v>
      </c>
      <c r="BA242" s="48">
        <f t="shared" si="836"/>
        <v>0</v>
      </c>
      <c r="BB242" s="48">
        <f t="shared" si="836"/>
        <v>500</v>
      </c>
      <c r="BC242" s="48">
        <f t="shared" si="836"/>
        <v>0</v>
      </c>
      <c r="BD242" s="48">
        <f t="shared" si="836"/>
        <v>0</v>
      </c>
      <c r="BE242" s="48">
        <f t="shared" si="836"/>
        <v>0</v>
      </c>
      <c r="BF242" s="48">
        <f t="shared" si="836"/>
        <v>0</v>
      </c>
      <c r="BG242" s="48">
        <f t="shared" si="836"/>
        <v>0</v>
      </c>
      <c r="BH242" s="48">
        <f t="shared" si="836"/>
        <v>0</v>
      </c>
      <c r="BI242" s="48">
        <f t="shared" si="836"/>
        <v>102</v>
      </c>
      <c r="BJ242" s="48">
        <f t="shared" si="836"/>
        <v>0</v>
      </c>
      <c r="BK242" s="48">
        <f t="shared" si="836"/>
        <v>0</v>
      </c>
      <c r="BL242" s="48">
        <f t="shared" si="836"/>
        <v>0</v>
      </c>
      <c r="BM242" s="48">
        <f t="shared" si="836"/>
        <v>0</v>
      </c>
      <c r="BN242" s="48">
        <f t="shared" si="836"/>
        <v>0</v>
      </c>
      <c r="BO242" s="48">
        <f t="shared" si="836"/>
        <v>0</v>
      </c>
      <c r="BP242" s="48">
        <f t="shared" si="836"/>
        <v>0</v>
      </c>
      <c r="BQ242" s="48">
        <f t="shared" si="836"/>
        <v>0</v>
      </c>
      <c r="BR242" s="36">
        <f t="shared" si="9"/>
        <v>1</v>
      </c>
      <c r="BS242" s="38">
        <f t="shared" si="10"/>
        <v>2</v>
      </c>
      <c r="BT242" s="49">
        <f t="shared" si="11"/>
        <v>0</v>
      </c>
      <c r="BU242" s="38">
        <f t="shared" si="12"/>
        <v>2000</v>
      </c>
      <c r="BV242" s="57" t="str">
        <f>IFERROR(__xludf.DUMMYFUNCTION("""COMPUTED_VALUE"""),"Walsh")</f>
        <v>Walsh</v>
      </c>
      <c r="BW242" s="46">
        <f t="shared" si="13"/>
        <v>602</v>
      </c>
      <c r="BX242" s="47">
        <f t="shared" ref="BX242:CA242" si="837">AX242-$BU242</f>
        <v>-2000</v>
      </c>
      <c r="BY242" s="47">
        <f t="shared" si="837"/>
        <v>-2000</v>
      </c>
      <c r="BZ242" s="47">
        <f t="shared" si="837"/>
        <v>-2000</v>
      </c>
      <c r="CA242" s="47">
        <f t="shared" si="837"/>
        <v>-2000</v>
      </c>
      <c r="CB242" s="47">
        <f t="shared" si="15"/>
        <v>-19500</v>
      </c>
      <c r="CC242" s="47">
        <f t="shared" ref="CC242:CQ242" si="838">BC242-$BU242</f>
        <v>-2000</v>
      </c>
      <c r="CD242" s="47">
        <f t="shared" si="838"/>
        <v>-2000</v>
      </c>
      <c r="CE242" s="47">
        <f t="shared" si="838"/>
        <v>-2000</v>
      </c>
      <c r="CF242" s="47">
        <f t="shared" si="838"/>
        <v>-2000</v>
      </c>
      <c r="CG242" s="47">
        <f t="shared" si="838"/>
        <v>-2000</v>
      </c>
      <c r="CH242" s="47">
        <f t="shared" si="838"/>
        <v>-2000</v>
      </c>
      <c r="CI242" s="47">
        <f t="shared" si="838"/>
        <v>-1898</v>
      </c>
      <c r="CJ242" s="47">
        <f t="shared" si="838"/>
        <v>-2000</v>
      </c>
      <c r="CK242" s="47">
        <f t="shared" si="838"/>
        <v>-2000</v>
      </c>
      <c r="CL242" s="47">
        <f t="shared" si="838"/>
        <v>-2000</v>
      </c>
      <c r="CM242" s="47">
        <f t="shared" si="838"/>
        <v>-2000</v>
      </c>
      <c r="CN242" s="47">
        <f t="shared" si="838"/>
        <v>-2000</v>
      </c>
      <c r="CO242" s="47">
        <f t="shared" si="838"/>
        <v>-2000</v>
      </c>
      <c r="CP242" s="47">
        <f t="shared" si="838"/>
        <v>-2000</v>
      </c>
      <c r="CQ242" s="47">
        <f t="shared" si="838"/>
        <v>-2000</v>
      </c>
      <c r="CR242" s="47"/>
      <c r="CS242" s="47"/>
      <c r="CT242" s="47"/>
      <c r="CU242" s="50" t="str">
        <f>IFERROR(__xludf.DUMMYFUNCTION("""COMPUTED_VALUE"""),"11565 E Ricks Circle
Dallas, TX 75230         ")</f>
        <v>11565 E Ricks Circle
Dallas, TX 75230         </v>
      </c>
      <c r="CV242" s="51">
        <f>IFERROR(__xludf.DUMMYFUNCTION("IF(REGEXMATCH(UPPER(CU242), ""TX""),0,1)"),0.0)</f>
        <v>0</v>
      </c>
      <c r="CW242" s="51">
        <f>IFERROR(__xludf.DUMMYFUNCTION("IF(REGEXMATCH(UPPER(CU242), ""DALLAS""),0,1)"),0.0)</f>
        <v>0</v>
      </c>
      <c r="CX242" s="51">
        <f t="shared" si="17"/>
        <v>0</v>
      </c>
      <c r="CY242" s="51">
        <f t="shared" si="18"/>
        <v>0</v>
      </c>
      <c r="CZ242" s="52" t="str">
        <f t="shared" si="19"/>
        <v/>
      </c>
      <c r="DA242" s="58"/>
      <c r="DB242" s="52"/>
      <c r="DC242" s="52"/>
      <c r="DD242" s="52"/>
      <c r="DE242" s="52"/>
      <c r="DF242" s="52"/>
      <c r="DG242" s="52"/>
      <c r="DH242" s="52"/>
      <c r="DI242" s="52"/>
      <c r="DJ242" s="52"/>
      <c r="DK242" s="52"/>
      <c r="DL242" s="52"/>
      <c r="DM242" s="52"/>
      <c r="DN242" s="52"/>
      <c r="DO242" s="52"/>
      <c r="DP242" s="52"/>
      <c r="DQ242" s="52"/>
      <c r="DR242" s="52"/>
      <c r="DS242" s="52"/>
      <c r="DT242" s="52"/>
      <c r="DU242" s="52"/>
      <c r="DV242" s="52"/>
      <c r="DW242" s="52"/>
    </row>
    <row r="243">
      <c r="A243" s="40" t="s">
        <v>55</v>
      </c>
      <c r="B243" s="41" t="s">
        <v>56</v>
      </c>
      <c r="C243" s="31" t="s">
        <v>689</v>
      </c>
      <c r="D243" s="25" t="str">
        <f>IFERROR(__xludf.DUMMYFUNCTION("SPLIT(C243,"" "")"),"Collins-Bratton,")</f>
        <v>Collins-Bratton,</v>
      </c>
      <c r="E243" s="40" t="str">
        <f>IFERROR(__xludf.DUMMYFUNCTION("""COMPUTED_VALUE"""),"Calvert
4738")</f>
        <v>Calvert
4738</v>
      </c>
      <c r="F243" s="40" t="str">
        <f>IFERROR(__xludf.DUMMYFUNCTION("""COMPUTED_VALUE"""),"Hallmark")</f>
        <v>Hallmark</v>
      </c>
      <c r="G243" s="40" t="str">
        <f>IFERROR(__xludf.DUMMYFUNCTION("""COMPUTED_VALUE"""),"Dr.
Dallas,")</f>
        <v>Dr.
Dallas,</v>
      </c>
      <c r="H243" s="40" t="str">
        <f>IFERROR(__xludf.DUMMYFUNCTION("""COMPUTED_VALUE"""),"TX")</f>
        <v>TX</v>
      </c>
      <c r="I243" s="40">
        <f>IFERROR(__xludf.DUMMYFUNCTION("""COMPUTED_VALUE"""),75229.0)</f>
        <v>75229</v>
      </c>
      <c r="J243" s="40"/>
      <c r="K243" s="40"/>
      <c r="L243" s="40"/>
      <c r="M243" s="40"/>
      <c r="N243" s="40"/>
      <c r="O243" s="40"/>
      <c r="P243" s="40"/>
      <c r="Q243" s="40"/>
      <c r="R243" s="40"/>
      <c r="S243" s="40"/>
      <c r="T243" s="40"/>
      <c r="U243" s="24" t="str">
        <f>IFERROR(__xludf.DUMMYFUNCTION("SPLIT(E243,""01234567890"")"),"Calvert
")</f>
        <v>Calvert
</v>
      </c>
      <c r="V243" s="24" t="str">
        <f>IFERROR(__xludf.DUMMYFUNCTION("SPLIT(D243,"","")"),"Collins-Bratton")</f>
        <v>Collins-Bratton</v>
      </c>
      <c r="W243" s="25" t="str">
        <f t="shared" si="1"/>
        <v>CALVERT
 COLLINS-BRATTON</v>
      </c>
      <c r="X243" s="25" t="s">
        <v>690</v>
      </c>
      <c r="Y243" s="25">
        <v>75229.0</v>
      </c>
      <c r="Z243" s="25" t="str">
        <f>IFERROR(__xludf.DUMMYFUNCTION("SPLIT(C243,""
"")"),"Collins-Bratton, Calvert")</f>
        <v>Collins-Bratton, Calvert</v>
      </c>
      <c r="AA243" s="25" t="str">
        <f>IFERROR(__xludf.DUMMYFUNCTION("""COMPUTED_VALUE"""),"4738 Hallmark Dr.")</f>
        <v>4738 Hallmark Dr.</v>
      </c>
      <c r="AB243" s="25" t="str">
        <f>IFERROR(__xludf.DUMMYFUNCTION("""COMPUTED_VALUE"""),"Dallas, TX 75229")</f>
        <v>Dallas, TX 75229</v>
      </c>
      <c r="AC243" s="24" t="s">
        <v>691</v>
      </c>
      <c r="AD243" s="25"/>
      <c r="AE243" s="25"/>
      <c r="AF243" s="25"/>
      <c r="AG243" s="40" t="s">
        <v>60</v>
      </c>
      <c r="AH243" s="42">
        <v>2441.0</v>
      </c>
      <c r="AI243" s="40" t="s">
        <v>61</v>
      </c>
      <c r="AJ243" s="27">
        <v>500.0</v>
      </c>
      <c r="AK243" s="31" t="s">
        <v>21</v>
      </c>
      <c r="AL243" s="43">
        <v>44742.0</v>
      </c>
      <c r="AM243" s="44">
        <v>44756.4640625</v>
      </c>
      <c r="AN243" s="30">
        <v>2.0</v>
      </c>
      <c r="AO243" s="40"/>
      <c r="AP243" s="40"/>
      <c r="AQ243" s="40"/>
      <c r="AR243" s="40"/>
      <c r="AS243" s="40"/>
      <c r="AT243" s="47"/>
      <c r="AU243" s="40"/>
      <c r="AV243" s="46" t="str">
        <f>IFERROR(__xludf.DUMMYFUNCTION("""COMPUTED_VALUE"""),"Shidid")</f>
        <v>Shidid</v>
      </c>
      <c r="AW243" s="46">
        <f t="shared" si="7"/>
        <v>250</v>
      </c>
      <c r="AX243" s="47">
        <f t="shared" ref="AX243:BQ243" si="839">SUMIFS($AJ:$AJ,$V:$V,$AV243,$AK:$AK,AX$2)</f>
        <v>0</v>
      </c>
      <c r="AY243" s="48">
        <f t="shared" si="839"/>
        <v>0</v>
      </c>
      <c r="AZ243" s="48">
        <f t="shared" si="839"/>
        <v>0</v>
      </c>
      <c r="BA243" s="48">
        <f t="shared" si="839"/>
        <v>0</v>
      </c>
      <c r="BB243" s="48">
        <f t="shared" si="839"/>
        <v>250</v>
      </c>
      <c r="BC243" s="48">
        <f t="shared" si="839"/>
        <v>0</v>
      </c>
      <c r="BD243" s="48">
        <f t="shared" si="839"/>
        <v>0</v>
      </c>
      <c r="BE243" s="48">
        <f t="shared" si="839"/>
        <v>0</v>
      </c>
      <c r="BF243" s="48">
        <f t="shared" si="839"/>
        <v>0</v>
      </c>
      <c r="BG243" s="48">
        <f t="shared" si="839"/>
        <v>0</v>
      </c>
      <c r="BH243" s="48">
        <f t="shared" si="839"/>
        <v>0</v>
      </c>
      <c r="BI243" s="48">
        <f t="shared" si="839"/>
        <v>0</v>
      </c>
      <c r="BJ243" s="48">
        <f t="shared" si="839"/>
        <v>0</v>
      </c>
      <c r="BK243" s="48">
        <f t="shared" si="839"/>
        <v>0</v>
      </c>
      <c r="BL243" s="48">
        <f t="shared" si="839"/>
        <v>0</v>
      </c>
      <c r="BM243" s="48">
        <f t="shared" si="839"/>
        <v>0</v>
      </c>
      <c r="BN243" s="48">
        <f t="shared" si="839"/>
        <v>0</v>
      </c>
      <c r="BO243" s="48">
        <f t="shared" si="839"/>
        <v>0</v>
      </c>
      <c r="BP243" s="48">
        <f t="shared" si="839"/>
        <v>0</v>
      </c>
      <c r="BQ243" s="48">
        <f t="shared" si="839"/>
        <v>0</v>
      </c>
      <c r="BR243" s="36">
        <f t="shared" si="9"/>
        <v>0</v>
      </c>
      <c r="BS243" s="38">
        <f t="shared" si="10"/>
        <v>1</v>
      </c>
      <c r="BT243" s="49">
        <f t="shared" si="11"/>
        <v>0</v>
      </c>
      <c r="BU243" s="38">
        <f t="shared" si="12"/>
        <v>1000</v>
      </c>
      <c r="BV243" s="46" t="str">
        <f>IFERROR(__xludf.DUMMYFUNCTION("""COMPUTED_VALUE"""),"Shidid")</f>
        <v>Shidid</v>
      </c>
      <c r="BW243" s="46">
        <f t="shared" si="13"/>
        <v>250</v>
      </c>
      <c r="BX243" s="47">
        <f t="shared" ref="BX243:CA243" si="840">AX243-$BU243</f>
        <v>-1000</v>
      </c>
      <c r="BY243" s="47">
        <f t="shared" si="840"/>
        <v>-1000</v>
      </c>
      <c r="BZ243" s="47">
        <f t="shared" si="840"/>
        <v>-1000</v>
      </c>
      <c r="CA243" s="47">
        <f t="shared" si="840"/>
        <v>-1000</v>
      </c>
      <c r="CB243" s="47">
        <f t="shared" si="15"/>
        <v>-9750</v>
      </c>
      <c r="CC243" s="47">
        <f t="shared" ref="CC243:CQ243" si="841">BC243-$BU243</f>
        <v>-1000</v>
      </c>
      <c r="CD243" s="47">
        <f t="shared" si="841"/>
        <v>-1000</v>
      </c>
      <c r="CE243" s="47">
        <f t="shared" si="841"/>
        <v>-1000</v>
      </c>
      <c r="CF243" s="47">
        <f t="shared" si="841"/>
        <v>-1000</v>
      </c>
      <c r="CG243" s="47">
        <f t="shared" si="841"/>
        <v>-1000</v>
      </c>
      <c r="CH243" s="47">
        <f t="shared" si="841"/>
        <v>-1000</v>
      </c>
      <c r="CI243" s="47">
        <f t="shared" si="841"/>
        <v>-1000</v>
      </c>
      <c r="CJ243" s="47">
        <f t="shared" si="841"/>
        <v>-1000</v>
      </c>
      <c r="CK243" s="47">
        <f t="shared" si="841"/>
        <v>-1000</v>
      </c>
      <c r="CL243" s="47">
        <f t="shared" si="841"/>
        <v>-1000</v>
      </c>
      <c r="CM243" s="47">
        <f t="shared" si="841"/>
        <v>-1000</v>
      </c>
      <c r="CN243" s="47">
        <f t="shared" si="841"/>
        <v>-1000</v>
      </c>
      <c r="CO243" s="47">
        <f t="shared" si="841"/>
        <v>-1000</v>
      </c>
      <c r="CP243" s="47">
        <f t="shared" si="841"/>
        <v>-1000</v>
      </c>
      <c r="CQ243" s="47">
        <f t="shared" si="841"/>
        <v>-1000</v>
      </c>
      <c r="CR243" s="47"/>
      <c r="CS243" s="47"/>
      <c r="CT243" s="47"/>
      <c r="CU243" s="50" t="str">
        <f>IFERROR(__xludf.DUMMYFUNCTION("""COMPUTED_VALUE"""),"1001 Clinton St
Carrollton, TX 75007          ")</f>
        <v>1001 Clinton St
Carrollton, TX 75007          </v>
      </c>
      <c r="CV243" s="51">
        <f>IFERROR(__xludf.DUMMYFUNCTION("IF(REGEXMATCH(UPPER(CU243), ""TX""),0,1)"),0.0)</f>
        <v>0</v>
      </c>
      <c r="CW243" s="51">
        <f>IFERROR(__xludf.DUMMYFUNCTION("IF(REGEXMATCH(UPPER(CU243), ""DALLAS""),0,1)"),1.0)</f>
        <v>1</v>
      </c>
      <c r="CX243" s="51">
        <f t="shared" si="17"/>
        <v>0</v>
      </c>
      <c r="CY243" s="51">
        <f t="shared" si="18"/>
        <v>1000</v>
      </c>
      <c r="CZ243" s="52" t="str">
        <f t="shared" si="19"/>
        <v>1001 Clinton St
Carrollton, TX 75007          </v>
      </c>
      <c r="DA243" s="58"/>
      <c r="DB243" s="52"/>
      <c r="DC243" s="52"/>
      <c r="DD243" s="52"/>
      <c r="DE243" s="52"/>
      <c r="DF243" s="52"/>
      <c r="DG243" s="52"/>
      <c r="DH243" s="52"/>
      <c r="DI243" s="52"/>
      <c r="DJ243" s="52"/>
      <c r="DK243" s="52"/>
      <c r="DL243" s="52"/>
      <c r="DM243" s="52"/>
      <c r="DN243" s="52"/>
      <c r="DO243" s="52"/>
      <c r="DP243" s="52"/>
      <c r="DQ243" s="52"/>
      <c r="DR243" s="52"/>
      <c r="DS243" s="52"/>
      <c r="DT243" s="52"/>
      <c r="DU243" s="52"/>
      <c r="DV243" s="52"/>
      <c r="DW243" s="52"/>
    </row>
    <row r="244">
      <c r="A244" s="22" t="s">
        <v>55</v>
      </c>
      <c r="B244" s="23" t="s">
        <v>56</v>
      </c>
      <c r="C244" s="31" t="s">
        <v>692</v>
      </c>
      <c r="D244" s="25" t="str">
        <f>IFERROR(__xludf.DUMMYFUNCTION("SPLIT(C244,"" "")"),"Urano,")</f>
        <v>Urano,</v>
      </c>
      <c r="E244" s="22" t="str">
        <f>IFERROR(__xludf.DUMMYFUNCTION("""COMPUTED_VALUE"""),"Cam
311")</f>
        <v>Cam
311</v>
      </c>
      <c r="F244" s="22" t="str">
        <f>IFERROR(__xludf.DUMMYFUNCTION("""COMPUTED_VALUE"""),"N.")</f>
        <v>N.</v>
      </c>
      <c r="G244" s="22" t="str">
        <f>IFERROR(__xludf.DUMMYFUNCTION("""COMPUTED_VALUE"""),"Edgefield")</f>
        <v>Edgefield</v>
      </c>
      <c r="H244" s="22" t="str">
        <f>IFERROR(__xludf.DUMMYFUNCTION("""COMPUTED_VALUE"""),"Ave
Dallas,")</f>
        <v>Ave
Dallas,</v>
      </c>
      <c r="I244" s="22" t="str">
        <f>IFERROR(__xludf.DUMMYFUNCTION("""COMPUTED_VALUE"""),"TX")</f>
        <v>TX</v>
      </c>
      <c r="J244" s="22">
        <f>IFERROR(__xludf.DUMMYFUNCTION("""COMPUTED_VALUE"""),75208.0)</f>
        <v>75208</v>
      </c>
      <c r="K244" s="22"/>
      <c r="L244" s="22"/>
      <c r="M244" s="22"/>
      <c r="N244" s="22"/>
      <c r="O244" s="22"/>
      <c r="P244" s="22"/>
      <c r="Q244" s="22"/>
      <c r="R244" s="22"/>
      <c r="S244" s="22"/>
      <c r="T244" s="22"/>
      <c r="U244" s="24" t="str">
        <f>IFERROR(__xludf.DUMMYFUNCTION("SPLIT(E244,""01234567890"")"),"Cam
")</f>
        <v>Cam
</v>
      </c>
      <c r="V244" s="24" t="str">
        <f>IFERROR(__xludf.DUMMYFUNCTION("SPLIT(D244,"","")"),"Urano")</f>
        <v>Urano</v>
      </c>
      <c r="W244" s="25" t="str">
        <f t="shared" si="1"/>
        <v>CAM
 URANO</v>
      </c>
      <c r="X244" s="25" t="s">
        <v>693</v>
      </c>
      <c r="Y244" s="25">
        <v>75208.0</v>
      </c>
      <c r="Z244" s="25" t="str">
        <f>IFERROR(__xludf.DUMMYFUNCTION("SPLIT(C244,""
"")"),"Urano, Cam")</f>
        <v>Urano, Cam</v>
      </c>
      <c r="AA244" s="25" t="str">
        <f>IFERROR(__xludf.DUMMYFUNCTION("""COMPUTED_VALUE"""),"311 N. Edgefield Ave")</f>
        <v>311 N. Edgefield Ave</v>
      </c>
      <c r="AB244" s="25" t="str">
        <f>IFERROR(__xludf.DUMMYFUNCTION("""COMPUTED_VALUE"""),"Dallas, TX 75208")</f>
        <v>Dallas, TX 75208</v>
      </c>
      <c r="AC244" s="24" t="s">
        <v>694</v>
      </c>
      <c r="AD244" s="25"/>
      <c r="AE244" s="25"/>
      <c r="AF244" s="25"/>
      <c r="AG244" s="22" t="s">
        <v>60</v>
      </c>
      <c r="AH244" s="54">
        <v>2441.0</v>
      </c>
      <c r="AI244" s="22" t="s">
        <v>61</v>
      </c>
      <c r="AJ244" s="27">
        <v>250.0</v>
      </c>
      <c r="AK244" s="31" t="s">
        <v>21</v>
      </c>
      <c r="AL244" s="28">
        <v>44742.0</v>
      </c>
      <c r="AM244" s="29">
        <v>44756.4640625</v>
      </c>
      <c r="AN244" s="30">
        <v>2.0</v>
      </c>
      <c r="AO244" s="22"/>
      <c r="AP244" s="22"/>
      <c r="AQ244" s="22"/>
      <c r="AR244" s="22"/>
      <c r="AS244" s="22"/>
      <c r="AT244" s="70"/>
      <c r="AU244" s="22"/>
      <c r="AV244" s="57" t="str">
        <f>IFERROR(__xludf.DUMMYFUNCTION("""COMPUTED_VALUE"""),"Sanford")</f>
        <v>Sanford</v>
      </c>
      <c r="AW244" s="46">
        <f t="shared" si="7"/>
        <v>500</v>
      </c>
      <c r="AX244" s="47">
        <f t="shared" ref="AX244:BQ244" si="842">SUMIFS($AJ:$AJ,$V:$V,$AV244,$AK:$AK,AX$2)</f>
        <v>0</v>
      </c>
      <c r="AY244" s="48">
        <f t="shared" si="842"/>
        <v>0</v>
      </c>
      <c r="AZ244" s="48">
        <f t="shared" si="842"/>
        <v>0</v>
      </c>
      <c r="BA244" s="48">
        <f t="shared" si="842"/>
        <v>0</v>
      </c>
      <c r="BB244" s="48">
        <f t="shared" si="842"/>
        <v>500</v>
      </c>
      <c r="BC244" s="48">
        <f t="shared" si="842"/>
        <v>0</v>
      </c>
      <c r="BD244" s="48">
        <f t="shared" si="842"/>
        <v>0</v>
      </c>
      <c r="BE244" s="48">
        <f t="shared" si="842"/>
        <v>0</v>
      </c>
      <c r="BF244" s="48">
        <f t="shared" si="842"/>
        <v>0</v>
      </c>
      <c r="BG244" s="48">
        <f t="shared" si="842"/>
        <v>0</v>
      </c>
      <c r="BH244" s="48">
        <f t="shared" si="842"/>
        <v>0</v>
      </c>
      <c r="BI244" s="48">
        <f t="shared" si="842"/>
        <v>0</v>
      </c>
      <c r="BJ244" s="48">
        <f t="shared" si="842"/>
        <v>0</v>
      </c>
      <c r="BK244" s="48">
        <f t="shared" si="842"/>
        <v>0</v>
      </c>
      <c r="BL244" s="48">
        <f t="shared" si="842"/>
        <v>0</v>
      </c>
      <c r="BM244" s="48">
        <f t="shared" si="842"/>
        <v>0</v>
      </c>
      <c r="BN244" s="48">
        <f t="shared" si="842"/>
        <v>0</v>
      </c>
      <c r="BO244" s="48">
        <f t="shared" si="842"/>
        <v>0</v>
      </c>
      <c r="BP244" s="48">
        <f t="shared" si="842"/>
        <v>0</v>
      </c>
      <c r="BQ244" s="48">
        <f t="shared" si="842"/>
        <v>0</v>
      </c>
      <c r="BR244" s="36">
        <f t="shared" si="9"/>
        <v>0</v>
      </c>
      <c r="BS244" s="38">
        <f t="shared" si="10"/>
        <v>1</v>
      </c>
      <c r="BT244" s="49">
        <f t="shared" si="11"/>
        <v>0</v>
      </c>
      <c r="BU244" s="38">
        <f t="shared" si="12"/>
        <v>1000</v>
      </c>
      <c r="BV244" s="57" t="str">
        <f>IFERROR(__xludf.DUMMYFUNCTION("""COMPUTED_VALUE"""),"Sanford")</f>
        <v>Sanford</v>
      </c>
      <c r="BW244" s="46">
        <f t="shared" si="13"/>
        <v>500</v>
      </c>
      <c r="BX244" s="47">
        <f t="shared" ref="BX244:CA244" si="843">AX244-$BU244</f>
        <v>-1000</v>
      </c>
      <c r="BY244" s="47">
        <f t="shared" si="843"/>
        <v>-1000</v>
      </c>
      <c r="BZ244" s="47">
        <f t="shared" si="843"/>
        <v>-1000</v>
      </c>
      <c r="CA244" s="47">
        <f t="shared" si="843"/>
        <v>-1000</v>
      </c>
      <c r="CB244" s="47">
        <f t="shared" si="15"/>
        <v>-9500</v>
      </c>
      <c r="CC244" s="47">
        <f t="shared" ref="CC244:CQ244" si="844">BC244-$BU244</f>
        <v>-1000</v>
      </c>
      <c r="CD244" s="47">
        <f t="shared" si="844"/>
        <v>-1000</v>
      </c>
      <c r="CE244" s="47">
        <f t="shared" si="844"/>
        <v>-1000</v>
      </c>
      <c r="CF244" s="47">
        <f t="shared" si="844"/>
        <v>-1000</v>
      </c>
      <c r="CG244" s="47">
        <f t="shared" si="844"/>
        <v>-1000</v>
      </c>
      <c r="CH244" s="47">
        <f t="shared" si="844"/>
        <v>-1000</v>
      </c>
      <c r="CI244" s="47">
        <f t="shared" si="844"/>
        <v>-1000</v>
      </c>
      <c r="CJ244" s="47">
        <f t="shared" si="844"/>
        <v>-1000</v>
      </c>
      <c r="CK244" s="47">
        <f t="shared" si="844"/>
        <v>-1000</v>
      </c>
      <c r="CL244" s="47">
        <f t="shared" si="844"/>
        <v>-1000</v>
      </c>
      <c r="CM244" s="47">
        <f t="shared" si="844"/>
        <v>-1000</v>
      </c>
      <c r="CN244" s="47">
        <f t="shared" si="844"/>
        <v>-1000</v>
      </c>
      <c r="CO244" s="47">
        <f t="shared" si="844"/>
        <v>-1000</v>
      </c>
      <c r="CP244" s="47">
        <f t="shared" si="844"/>
        <v>-1000</v>
      </c>
      <c r="CQ244" s="47">
        <f t="shared" si="844"/>
        <v>-1000</v>
      </c>
      <c r="CR244" s="47"/>
      <c r="CS244" s="47"/>
      <c r="CT244" s="47"/>
      <c r="CU244" s="50" t="str">
        <f>IFERROR(__xludf.DUMMYFUNCTION("""COMPUTED_VALUE"""),"1900 N. Akard St
Dallas, TX 75201         ")</f>
        <v>1900 N. Akard St
Dallas, TX 75201         </v>
      </c>
      <c r="CV244" s="51">
        <f>IFERROR(__xludf.DUMMYFUNCTION("IF(REGEXMATCH(UPPER(CU244), ""TX""),0,1)"),0.0)</f>
        <v>0</v>
      </c>
      <c r="CW244" s="51">
        <f>IFERROR(__xludf.DUMMYFUNCTION("IF(REGEXMATCH(UPPER(CU244), ""DALLAS""),0,1)"),0.0)</f>
        <v>0</v>
      </c>
      <c r="CX244" s="51">
        <f t="shared" si="17"/>
        <v>0</v>
      </c>
      <c r="CY244" s="51">
        <f t="shared" si="18"/>
        <v>0</v>
      </c>
      <c r="CZ244" s="52" t="str">
        <f t="shared" si="19"/>
        <v/>
      </c>
      <c r="DA244" s="58"/>
      <c r="DB244" s="52"/>
      <c r="DC244" s="52"/>
      <c r="DD244" s="52"/>
      <c r="DE244" s="52"/>
      <c r="DF244" s="52"/>
      <c r="DG244" s="52"/>
      <c r="DH244" s="52"/>
      <c r="DI244" s="52"/>
      <c r="DJ244" s="52"/>
      <c r="DK244" s="52"/>
      <c r="DL244" s="52"/>
      <c r="DM244" s="52"/>
      <c r="DN244" s="52"/>
      <c r="DO244" s="52"/>
      <c r="DP244" s="52"/>
      <c r="DQ244" s="52"/>
      <c r="DR244" s="52"/>
      <c r="DS244" s="52"/>
      <c r="DT244" s="52"/>
      <c r="DU244" s="52"/>
      <c r="DV244" s="52"/>
      <c r="DW244" s="52"/>
    </row>
    <row r="245">
      <c r="A245" s="40" t="s">
        <v>55</v>
      </c>
      <c r="B245" s="41" t="s">
        <v>56</v>
      </c>
      <c r="C245" s="31" t="s">
        <v>695</v>
      </c>
      <c r="D245" s="25" t="str">
        <f>IFERROR(__xludf.DUMMYFUNCTION("SPLIT(C245,"" "")"),"Dolezal,")</f>
        <v>Dolezal,</v>
      </c>
      <c r="E245" s="40" t="str">
        <f>IFERROR(__xludf.DUMMYFUNCTION("""COMPUTED_VALUE"""),"Chad
1015")</f>
        <v>Chad
1015</v>
      </c>
      <c r="F245" s="40" t="str">
        <f>IFERROR(__xludf.DUMMYFUNCTION("""COMPUTED_VALUE"""),"S.")</f>
        <v>S.</v>
      </c>
      <c r="G245" s="40" t="str">
        <f>IFERROR(__xludf.DUMMYFUNCTION("""COMPUTED_VALUE"""),"Winnetka")</f>
        <v>Winnetka</v>
      </c>
      <c r="H245" s="40" t="str">
        <f>IFERROR(__xludf.DUMMYFUNCTION("""COMPUTED_VALUE"""),"Ave.
Dallas,")</f>
        <v>Ave.
Dallas,</v>
      </c>
      <c r="I245" s="40" t="str">
        <f>IFERROR(__xludf.DUMMYFUNCTION("""COMPUTED_VALUE"""),"TX")</f>
        <v>TX</v>
      </c>
      <c r="J245" s="40">
        <f>IFERROR(__xludf.DUMMYFUNCTION("""COMPUTED_VALUE"""),75298.0)</f>
        <v>75298</v>
      </c>
      <c r="K245" s="40"/>
      <c r="L245" s="40"/>
      <c r="M245" s="40"/>
      <c r="N245" s="40"/>
      <c r="O245" s="40"/>
      <c r="P245" s="40"/>
      <c r="Q245" s="40"/>
      <c r="R245" s="40"/>
      <c r="S245" s="40"/>
      <c r="T245" s="40"/>
      <c r="U245" s="24" t="str">
        <f>IFERROR(__xludf.DUMMYFUNCTION("SPLIT(E245,""01234567890"")"),"Chad
")</f>
        <v>Chad
</v>
      </c>
      <c r="V245" s="24" t="str">
        <f>IFERROR(__xludf.DUMMYFUNCTION("SPLIT(D245,"","")"),"Dolezal")</f>
        <v>Dolezal</v>
      </c>
      <c r="W245" s="25" t="str">
        <f t="shared" si="1"/>
        <v>CHAD
 DOLEZAL</v>
      </c>
      <c r="X245" s="25" t="s">
        <v>696</v>
      </c>
      <c r="Y245" s="25">
        <v>75298.0</v>
      </c>
      <c r="Z245" s="25" t="str">
        <f>IFERROR(__xludf.DUMMYFUNCTION("SPLIT(C245,""
"")"),"Dolezal, Chad")</f>
        <v>Dolezal, Chad</v>
      </c>
      <c r="AA245" s="25" t="str">
        <f>IFERROR(__xludf.DUMMYFUNCTION("""COMPUTED_VALUE"""),"1015 S. Winnetka Ave.")</f>
        <v>1015 S. Winnetka Ave.</v>
      </c>
      <c r="AB245" s="25" t="str">
        <f>IFERROR(__xludf.DUMMYFUNCTION("""COMPUTED_VALUE"""),"Dallas, TX 75298")</f>
        <v>Dallas, TX 75298</v>
      </c>
      <c r="AC245" s="24" t="s">
        <v>697</v>
      </c>
      <c r="AD245" s="25"/>
      <c r="AE245" s="25"/>
      <c r="AF245" s="25"/>
      <c r="AG245" s="40" t="s">
        <v>60</v>
      </c>
      <c r="AH245" s="42">
        <v>2441.0</v>
      </c>
      <c r="AI245" s="40" t="s">
        <v>61</v>
      </c>
      <c r="AJ245" s="27">
        <v>250.0</v>
      </c>
      <c r="AK245" s="31" t="s">
        <v>21</v>
      </c>
      <c r="AL245" s="43">
        <v>44742.0</v>
      </c>
      <c r="AM245" s="44">
        <v>44756.4640625</v>
      </c>
      <c r="AN245" s="30">
        <v>2.0</v>
      </c>
      <c r="AO245" s="40"/>
      <c r="AP245" s="40"/>
      <c r="AQ245" s="40"/>
      <c r="AR245" s="40"/>
      <c r="AS245" s="40"/>
      <c r="AT245" s="47"/>
      <c r="AU245" s="40"/>
      <c r="AV245" s="46" t="str">
        <f>IFERROR(__xludf.DUMMYFUNCTION("""COMPUTED_VALUE"""),"Leal")</f>
        <v>Leal</v>
      </c>
      <c r="AW245" s="46">
        <f t="shared" si="7"/>
        <v>450</v>
      </c>
      <c r="AX245" s="47">
        <f t="shared" ref="AX245:BQ245" si="845">SUMIFS($AJ:$AJ,$V:$V,$AV245,$AK:$AK,AX$2)</f>
        <v>0</v>
      </c>
      <c r="AY245" s="48">
        <f t="shared" si="845"/>
        <v>0</v>
      </c>
      <c r="AZ245" s="48">
        <f t="shared" si="845"/>
        <v>100</v>
      </c>
      <c r="BA245" s="48">
        <f t="shared" si="845"/>
        <v>0</v>
      </c>
      <c r="BB245" s="48">
        <f t="shared" si="845"/>
        <v>250</v>
      </c>
      <c r="BC245" s="48">
        <f t="shared" si="845"/>
        <v>0</v>
      </c>
      <c r="BD245" s="48">
        <f t="shared" si="845"/>
        <v>0</v>
      </c>
      <c r="BE245" s="48">
        <f t="shared" si="845"/>
        <v>0</v>
      </c>
      <c r="BF245" s="48">
        <f t="shared" si="845"/>
        <v>100</v>
      </c>
      <c r="BG245" s="48">
        <f t="shared" si="845"/>
        <v>0</v>
      </c>
      <c r="BH245" s="48">
        <f t="shared" si="845"/>
        <v>0</v>
      </c>
      <c r="BI245" s="48">
        <f t="shared" si="845"/>
        <v>0</v>
      </c>
      <c r="BJ245" s="48">
        <f t="shared" si="845"/>
        <v>0</v>
      </c>
      <c r="BK245" s="48">
        <f t="shared" si="845"/>
        <v>0</v>
      </c>
      <c r="BL245" s="48">
        <f t="shared" si="845"/>
        <v>0</v>
      </c>
      <c r="BM245" s="48">
        <f t="shared" si="845"/>
        <v>0</v>
      </c>
      <c r="BN245" s="48">
        <f t="shared" si="845"/>
        <v>0</v>
      </c>
      <c r="BO245" s="48">
        <f t="shared" si="845"/>
        <v>0</v>
      </c>
      <c r="BP245" s="48">
        <f t="shared" si="845"/>
        <v>0</v>
      </c>
      <c r="BQ245" s="48">
        <f t="shared" si="845"/>
        <v>0</v>
      </c>
      <c r="BR245" s="36">
        <f t="shared" si="9"/>
        <v>1</v>
      </c>
      <c r="BS245" s="38">
        <f t="shared" si="10"/>
        <v>2</v>
      </c>
      <c r="BT245" s="49">
        <f t="shared" si="11"/>
        <v>0</v>
      </c>
      <c r="BU245" s="38">
        <f t="shared" si="12"/>
        <v>2000</v>
      </c>
      <c r="BV245" s="46" t="str">
        <f>IFERROR(__xludf.DUMMYFUNCTION("""COMPUTED_VALUE"""),"Leal")</f>
        <v>Leal</v>
      </c>
      <c r="BW245" s="46">
        <f t="shared" si="13"/>
        <v>450</v>
      </c>
      <c r="BX245" s="47">
        <f t="shared" ref="BX245:CA245" si="846">AX245-$BU245</f>
        <v>-2000</v>
      </c>
      <c r="BY245" s="47">
        <f t="shared" si="846"/>
        <v>-2000</v>
      </c>
      <c r="BZ245" s="47">
        <f t="shared" si="846"/>
        <v>-1900</v>
      </c>
      <c r="CA245" s="47">
        <f t="shared" si="846"/>
        <v>-2000</v>
      </c>
      <c r="CB245" s="47">
        <f t="shared" si="15"/>
        <v>-19750</v>
      </c>
      <c r="CC245" s="47">
        <f t="shared" ref="CC245:CQ245" si="847">BC245-$BU245</f>
        <v>-2000</v>
      </c>
      <c r="CD245" s="47">
        <f t="shared" si="847"/>
        <v>-2000</v>
      </c>
      <c r="CE245" s="47">
        <f t="shared" si="847"/>
        <v>-2000</v>
      </c>
      <c r="CF245" s="47">
        <f t="shared" si="847"/>
        <v>-1900</v>
      </c>
      <c r="CG245" s="47">
        <f t="shared" si="847"/>
        <v>-2000</v>
      </c>
      <c r="CH245" s="47">
        <f t="shared" si="847"/>
        <v>-2000</v>
      </c>
      <c r="CI245" s="47">
        <f t="shared" si="847"/>
        <v>-2000</v>
      </c>
      <c r="CJ245" s="47">
        <f t="shared" si="847"/>
        <v>-2000</v>
      </c>
      <c r="CK245" s="47">
        <f t="shared" si="847"/>
        <v>-2000</v>
      </c>
      <c r="CL245" s="47">
        <f t="shared" si="847"/>
        <v>-2000</v>
      </c>
      <c r="CM245" s="47">
        <f t="shared" si="847"/>
        <v>-2000</v>
      </c>
      <c r="CN245" s="47">
        <f t="shared" si="847"/>
        <v>-2000</v>
      </c>
      <c r="CO245" s="47">
        <f t="shared" si="847"/>
        <v>-2000</v>
      </c>
      <c r="CP245" s="47">
        <f t="shared" si="847"/>
        <v>-2000</v>
      </c>
      <c r="CQ245" s="47">
        <f t="shared" si="847"/>
        <v>-2000</v>
      </c>
      <c r="CR245" s="47"/>
      <c r="CS245" s="47"/>
      <c r="CT245" s="47"/>
      <c r="CU245" s="50" t="str">
        <f>IFERROR(__xludf.DUMMYFUNCTION("""COMPUTED_VALUE"""),"25 Downs Lake Circle
Dallas, TX 75230         ")</f>
        <v>25 Downs Lake Circle
Dallas, TX 75230         </v>
      </c>
      <c r="CV245" s="51">
        <f>IFERROR(__xludf.DUMMYFUNCTION("IF(REGEXMATCH(UPPER(CU245), ""TX""),0,1)"),0.0)</f>
        <v>0</v>
      </c>
      <c r="CW245" s="51">
        <f>IFERROR(__xludf.DUMMYFUNCTION("IF(REGEXMATCH(UPPER(CU245), ""DALLAS""),0,1)"),0.0)</f>
        <v>0</v>
      </c>
      <c r="CX245" s="51">
        <f t="shared" si="17"/>
        <v>0</v>
      </c>
      <c r="CY245" s="51">
        <f t="shared" si="18"/>
        <v>0</v>
      </c>
      <c r="CZ245" s="52" t="str">
        <f t="shared" si="19"/>
        <v/>
      </c>
      <c r="DA245" s="58"/>
      <c r="DB245" s="52"/>
      <c r="DC245" s="52"/>
      <c r="DD245" s="52"/>
      <c r="DE245" s="52"/>
      <c r="DF245" s="52"/>
      <c r="DG245" s="52"/>
      <c r="DH245" s="52"/>
      <c r="DI245" s="52"/>
      <c r="DJ245" s="52"/>
      <c r="DK245" s="52"/>
      <c r="DL245" s="52"/>
      <c r="DM245" s="52"/>
      <c r="DN245" s="52"/>
      <c r="DO245" s="52"/>
      <c r="DP245" s="52"/>
      <c r="DQ245" s="52"/>
      <c r="DR245" s="52"/>
      <c r="DS245" s="52"/>
      <c r="DT245" s="52"/>
      <c r="DU245" s="52"/>
      <c r="DV245" s="52"/>
      <c r="DW245" s="52"/>
    </row>
    <row r="246">
      <c r="A246" s="22" t="s">
        <v>55</v>
      </c>
      <c r="B246" s="23" t="s">
        <v>56</v>
      </c>
      <c r="C246" s="31" t="s">
        <v>698</v>
      </c>
      <c r="D246" s="25" t="str">
        <f>IFERROR(__xludf.DUMMYFUNCTION("SPLIT(C246,"" "")"),"Pope,")</f>
        <v>Pope,</v>
      </c>
      <c r="E246" s="22" t="str">
        <f>IFERROR(__xludf.DUMMYFUNCTION("""COMPUTED_VALUE"""),"Chase
6060")</f>
        <v>Chase
6060</v>
      </c>
      <c r="F246" s="22" t="str">
        <f>IFERROR(__xludf.DUMMYFUNCTION("""COMPUTED_VALUE"""),"N")</f>
        <v>N</v>
      </c>
      <c r="G246" s="22" t="str">
        <f>IFERROR(__xludf.DUMMYFUNCTION("""COMPUTED_VALUE"""),"Central")</f>
        <v>Central</v>
      </c>
      <c r="H246" s="22" t="str">
        <f>IFERROR(__xludf.DUMMYFUNCTION("""COMPUTED_VALUE"""),"Expwy.
Dallas,")</f>
        <v>Expwy.
Dallas,</v>
      </c>
      <c r="I246" s="22" t="str">
        <f>IFERROR(__xludf.DUMMYFUNCTION("""COMPUTED_VALUE"""),"TX")</f>
        <v>TX</v>
      </c>
      <c r="J246" s="22">
        <f>IFERROR(__xludf.DUMMYFUNCTION("""COMPUTED_VALUE"""),75206.0)</f>
        <v>75206</v>
      </c>
      <c r="K246" s="22"/>
      <c r="L246" s="22"/>
      <c r="M246" s="22"/>
      <c r="N246" s="22"/>
      <c r="O246" s="22"/>
      <c r="P246" s="22"/>
      <c r="Q246" s="22"/>
      <c r="R246" s="22"/>
      <c r="S246" s="22"/>
      <c r="T246" s="22"/>
      <c r="U246" s="24" t="str">
        <f>IFERROR(__xludf.DUMMYFUNCTION("SPLIT(E246,""01234567890"")"),"Chase
")</f>
        <v>Chase
</v>
      </c>
      <c r="V246" s="24" t="str">
        <f>IFERROR(__xludf.DUMMYFUNCTION("SPLIT(D246,"","")"),"Pope")</f>
        <v>Pope</v>
      </c>
      <c r="W246" s="25" t="str">
        <f t="shared" si="1"/>
        <v>CHASE
 POPE</v>
      </c>
      <c r="X246" s="25" t="s">
        <v>699</v>
      </c>
      <c r="Y246" s="25">
        <v>75206.0</v>
      </c>
      <c r="Z246" s="25" t="str">
        <f>IFERROR(__xludf.DUMMYFUNCTION("SPLIT(C246,""
"")"),"Pope, Chase")</f>
        <v>Pope, Chase</v>
      </c>
      <c r="AA246" s="25" t="str">
        <f>IFERROR(__xludf.DUMMYFUNCTION("""COMPUTED_VALUE"""),"6060 N Central Expwy.")</f>
        <v>6060 N Central Expwy.</v>
      </c>
      <c r="AB246" s="25" t="str">
        <f>IFERROR(__xludf.DUMMYFUNCTION("""COMPUTED_VALUE"""),"Dallas, TX 75206")</f>
        <v>Dallas, TX 75206</v>
      </c>
      <c r="AC246" s="24" t="s">
        <v>700</v>
      </c>
      <c r="AD246" s="25"/>
      <c r="AE246" s="25"/>
      <c r="AF246" s="25"/>
      <c r="AG246" s="22" t="s">
        <v>60</v>
      </c>
      <c r="AH246" s="54">
        <v>2441.0</v>
      </c>
      <c r="AI246" s="22" t="s">
        <v>61</v>
      </c>
      <c r="AJ246" s="27">
        <v>950.0</v>
      </c>
      <c r="AK246" s="31" t="s">
        <v>21</v>
      </c>
      <c r="AL246" s="28">
        <v>44742.0</v>
      </c>
      <c r="AM246" s="29">
        <v>44756.4640625</v>
      </c>
      <c r="AN246" s="30">
        <v>2.0</v>
      </c>
      <c r="AO246" s="22"/>
      <c r="AP246" s="22"/>
      <c r="AQ246" s="22"/>
      <c r="AR246" s="22"/>
      <c r="AS246" s="22"/>
      <c r="AT246" s="70"/>
      <c r="AU246" s="22"/>
      <c r="AV246" s="57" t="str">
        <f>IFERROR(__xludf.DUMMYFUNCTION("""COMPUTED_VALUE"""),"Green")</f>
        <v>Green</v>
      </c>
      <c r="AW246" s="46">
        <f t="shared" si="7"/>
        <v>551</v>
      </c>
      <c r="AX246" s="47">
        <f t="shared" ref="AX246:BQ246" si="848">SUMIFS($AJ:$AJ,$V:$V,$AV246,$AK:$AK,AX$2)</f>
        <v>0</v>
      </c>
      <c r="AY246" s="48">
        <f t="shared" si="848"/>
        <v>0</v>
      </c>
      <c r="AZ246" s="48">
        <f t="shared" si="848"/>
        <v>0</v>
      </c>
      <c r="BA246" s="48">
        <f t="shared" si="848"/>
        <v>0</v>
      </c>
      <c r="BB246" s="48">
        <f t="shared" si="848"/>
        <v>500</v>
      </c>
      <c r="BC246" s="48">
        <f t="shared" si="848"/>
        <v>0</v>
      </c>
      <c r="BD246" s="48">
        <f t="shared" si="848"/>
        <v>0</v>
      </c>
      <c r="BE246" s="48">
        <f t="shared" si="848"/>
        <v>0</v>
      </c>
      <c r="BF246" s="48">
        <f t="shared" si="848"/>
        <v>0</v>
      </c>
      <c r="BG246" s="48">
        <f t="shared" si="848"/>
        <v>0</v>
      </c>
      <c r="BH246" s="48">
        <f t="shared" si="848"/>
        <v>0</v>
      </c>
      <c r="BI246" s="48">
        <f t="shared" si="848"/>
        <v>51</v>
      </c>
      <c r="BJ246" s="48">
        <f t="shared" si="848"/>
        <v>0</v>
      </c>
      <c r="BK246" s="48">
        <f t="shared" si="848"/>
        <v>0</v>
      </c>
      <c r="BL246" s="48">
        <f t="shared" si="848"/>
        <v>0</v>
      </c>
      <c r="BM246" s="48">
        <f t="shared" si="848"/>
        <v>0</v>
      </c>
      <c r="BN246" s="48">
        <f t="shared" si="848"/>
        <v>0</v>
      </c>
      <c r="BO246" s="48">
        <f t="shared" si="848"/>
        <v>0</v>
      </c>
      <c r="BP246" s="48">
        <f t="shared" si="848"/>
        <v>0</v>
      </c>
      <c r="BQ246" s="48">
        <f t="shared" si="848"/>
        <v>0</v>
      </c>
      <c r="BR246" s="36">
        <f t="shared" si="9"/>
        <v>1</v>
      </c>
      <c r="BS246" s="38">
        <f t="shared" si="10"/>
        <v>2</v>
      </c>
      <c r="BT246" s="49">
        <f t="shared" si="11"/>
        <v>0</v>
      </c>
      <c r="BU246" s="38">
        <f t="shared" si="12"/>
        <v>2000</v>
      </c>
      <c r="BV246" s="57" t="str">
        <f>IFERROR(__xludf.DUMMYFUNCTION("""COMPUTED_VALUE"""),"Green")</f>
        <v>Green</v>
      </c>
      <c r="BW246" s="46">
        <f t="shared" si="13"/>
        <v>551</v>
      </c>
      <c r="BX246" s="47">
        <f t="shared" ref="BX246:CA246" si="849">AX246-$BU246</f>
        <v>-2000</v>
      </c>
      <c r="BY246" s="47">
        <f t="shared" si="849"/>
        <v>-2000</v>
      </c>
      <c r="BZ246" s="47">
        <f t="shared" si="849"/>
        <v>-2000</v>
      </c>
      <c r="CA246" s="47">
        <f t="shared" si="849"/>
        <v>-2000</v>
      </c>
      <c r="CB246" s="47">
        <f t="shared" si="15"/>
        <v>-19500</v>
      </c>
      <c r="CC246" s="47">
        <f t="shared" ref="CC246:CQ246" si="850">BC246-$BU246</f>
        <v>-2000</v>
      </c>
      <c r="CD246" s="47">
        <f t="shared" si="850"/>
        <v>-2000</v>
      </c>
      <c r="CE246" s="47">
        <f t="shared" si="850"/>
        <v>-2000</v>
      </c>
      <c r="CF246" s="47">
        <f t="shared" si="850"/>
        <v>-2000</v>
      </c>
      <c r="CG246" s="47">
        <f t="shared" si="850"/>
        <v>-2000</v>
      </c>
      <c r="CH246" s="47">
        <f t="shared" si="850"/>
        <v>-2000</v>
      </c>
      <c r="CI246" s="47">
        <f t="shared" si="850"/>
        <v>-1949</v>
      </c>
      <c r="CJ246" s="47">
        <f t="shared" si="850"/>
        <v>-2000</v>
      </c>
      <c r="CK246" s="47">
        <f t="shared" si="850"/>
        <v>-2000</v>
      </c>
      <c r="CL246" s="47">
        <f t="shared" si="850"/>
        <v>-2000</v>
      </c>
      <c r="CM246" s="47">
        <f t="shared" si="850"/>
        <v>-2000</v>
      </c>
      <c r="CN246" s="47">
        <f t="shared" si="850"/>
        <v>-2000</v>
      </c>
      <c r="CO246" s="47">
        <f t="shared" si="850"/>
        <v>-2000</v>
      </c>
      <c r="CP246" s="47">
        <f t="shared" si="850"/>
        <v>-2000</v>
      </c>
      <c r="CQ246" s="47">
        <f t="shared" si="850"/>
        <v>-2000</v>
      </c>
      <c r="CR246" s="47"/>
      <c r="CS246" s="47"/>
      <c r="CT246" s="47"/>
      <c r="CU246" s="50" t="str">
        <f>IFERROR(__xludf.DUMMYFUNCTION("""COMPUTED_VALUE"""),"5522 Waneta Drive
Dallas, TX 75209          ")</f>
        <v>5522 Waneta Drive
Dallas, TX 75209          </v>
      </c>
      <c r="CV246" s="51">
        <f>IFERROR(__xludf.DUMMYFUNCTION("IF(REGEXMATCH(UPPER(CU246), ""TX""),0,1)"),0.0)</f>
        <v>0</v>
      </c>
      <c r="CW246" s="51">
        <f>IFERROR(__xludf.DUMMYFUNCTION("IF(REGEXMATCH(UPPER(CU246), ""DALLAS""),0,1)"),0.0)</f>
        <v>0</v>
      </c>
      <c r="CX246" s="51">
        <f t="shared" si="17"/>
        <v>0</v>
      </c>
      <c r="CY246" s="51">
        <f t="shared" si="18"/>
        <v>0</v>
      </c>
      <c r="CZ246" s="52" t="str">
        <f t="shared" si="19"/>
        <v/>
      </c>
      <c r="DA246" s="58"/>
      <c r="DB246" s="52"/>
      <c r="DC246" s="52"/>
      <c r="DD246" s="52"/>
      <c r="DE246" s="52"/>
      <c r="DF246" s="52"/>
      <c r="DG246" s="52"/>
      <c r="DH246" s="52"/>
      <c r="DI246" s="52"/>
      <c r="DJ246" s="52"/>
      <c r="DK246" s="52"/>
      <c r="DL246" s="52"/>
      <c r="DM246" s="52"/>
      <c r="DN246" s="52"/>
      <c r="DO246" s="52"/>
      <c r="DP246" s="52"/>
      <c r="DQ246" s="52"/>
      <c r="DR246" s="52"/>
      <c r="DS246" s="52"/>
      <c r="DT246" s="52"/>
      <c r="DU246" s="52"/>
      <c r="DV246" s="52"/>
      <c r="DW246" s="52"/>
    </row>
    <row r="247">
      <c r="A247" s="40" t="s">
        <v>55</v>
      </c>
      <c r="B247" s="41" t="s">
        <v>56</v>
      </c>
      <c r="C247" s="31" t="s">
        <v>701</v>
      </c>
      <c r="D247" s="25" t="str">
        <f>IFERROR(__xludf.DUMMYFUNCTION("SPLIT(C247,"" "")"),"Huerta,")</f>
        <v>Huerta,</v>
      </c>
      <c r="E247" s="40" t="str">
        <f>IFERROR(__xludf.DUMMYFUNCTION("""COMPUTED_VALUE"""),"Daniel
1414")</f>
        <v>Daniel
1414</v>
      </c>
      <c r="F247" s="40" t="str">
        <f>IFERROR(__xludf.DUMMYFUNCTION("""COMPUTED_VALUE"""),"Cedar")</f>
        <v>Cedar</v>
      </c>
      <c r="G247" s="40" t="str">
        <f>IFERROR(__xludf.DUMMYFUNCTION("""COMPUTED_VALUE"""),"Hill")</f>
        <v>Hill</v>
      </c>
      <c r="H247" s="40" t="str">
        <f>IFERROR(__xludf.DUMMYFUNCTION("""COMPUTED_VALUE"""),"Ave.
Dallas,")</f>
        <v>Ave.
Dallas,</v>
      </c>
      <c r="I247" s="40" t="str">
        <f>IFERROR(__xludf.DUMMYFUNCTION("""COMPUTED_VALUE"""),"TX")</f>
        <v>TX</v>
      </c>
      <c r="J247" s="40">
        <f>IFERROR(__xludf.DUMMYFUNCTION("""COMPUTED_VALUE"""),75208.0)</f>
        <v>75208</v>
      </c>
      <c r="K247" s="40"/>
      <c r="L247" s="40"/>
      <c r="M247" s="40"/>
      <c r="N247" s="40"/>
      <c r="O247" s="40"/>
      <c r="P247" s="40"/>
      <c r="Q247" s="40"/>
      <c r="R247" s="40"/>
      <c r="S247" s="40"/>
      <c r="T247" s="40"/>
      <c r="U247" s="24" t="str">
        <f>IFERROR(__xludf.DUMMYFUNCTION("SPLIT(E247,""01234567890"")"),"Daniel
")</f>
        <v>Daniel
</v>
      </c>
      <c r="V247" s="24" t="str">
        <f>IFERROR(__xludf.DUMMYFUNCTION("SPLIT(D247,"","")"),"Huerta")</f>
        <v>Huerta</v>
      </c>
      <c r="W247" s="25" t="str">
        <f t="shared" si="1"/>
        <v>DANIEL
 HUERTA</v>
      </c>
      <c r="X247" s="25" t="s">
        <v>702</v>
      </c>
      <c r="Y247" s="25">
        <v>75208.0</v>
      </c>
      <c r="Z247" s="25" t="str">
        <f>IFERROR(__xludf.DUMMYFUNCTION("SPLIT(C247,""
"")"),"Huerta, Daniel")</f>
        <v>Huerta, Daniel</v>
      </c>
      <c r="AA247" s="25" t="str">
        <f>IFERROR(__xludf.DUMMYFUNCTION("""COMPUTED_VALUE"""),"1414 Cedar Hill Ave.")</f>
        <v>1414 Cedar Hill Ave.</v>
      </c>
      <c r="AB247" s="25" t="str">
        <f>IFERROR(__xludf.DUMMYFUNCTION("""COMPUTED_VALUE"""),"Dallas, TX 75208")</f>
        <v>Dallas, TX 75208</v>
      </c>
      <c r="AC247" s="24" t="s">
        <v>703</v>
      </c>
      <c r="AD247" s="25"/>
      <c r="AE247" s="25"/>
      <c r="AF247" s="25"/>
      <c r="AG247" s="40" t="s">
        <v>60</v>
      </c>
      <c r="AH247" s="42">
        <v>2441.0</v>
      </c>
      <c r="AI247" s="40" t="s">
        <v>61</v>
      </c>
      <c r="AJ247" s="27">
        <v>100.0</v>
      </c>
      <c r="AK247" s="31" t="s">
        <v>21</v>
      </c>
      <c r="AL247" s="43">
        <v>44742.0</v>
      </c>
      <c r="AM247" s="44">
        <v>44756.4640625</v>
      </c>
      <c r="AN247" s="30">
        <v>2.0</v>
      </c>
      <c r="AO247" s="40"/>
      <c r="AP247" s="40"/>
      <c r="AQ247" s="40"/>
      <c r="AR247" s="40"/>
      <c r="AS247" s="40"/>
      <c r="AT247" s="47"/>
      <c r="AU247" s="40"/>
      <c r="AV247" s="46" t="str">
        <f>IFERROR(__xludf.DUMMYFUNCTION("""COMPUTED_VALUE"""),"Ley")</f>
        <v>Ley</v>
      </c>
      <c r="AW247" s="46">
        <f t="shared" si="7"/>
        <v>250</v>
      </c>
      <c r="AX247" s="47">
        <f t="shared" ref="AX247:BQ247" si="851">SUMIFS($AJ:$AJ,$V:$V,$AV247,$AK:$AK,AX$2)</f>
        <v>0</v>
      </c>
      <c r="AY247" s="48">
        <f t="shared" si="851"/>
        <v>0</v>
      </c>
      <c r="AZ247" s="48">
        <f t="shared" si="851"/>
        <v>0</v>
      </c>
      <c r="BA247" s="48">
        <f t="shared" si="851"/>
        <v>0</v>
      </c>
      <c r="BB247" s="48">
        <f t="shared" si="851"/>
        <v>250</v>
      </c>
      <c r="BC247" s="48">
        <f t="shared" si="851"/>
        <v>0</v>
      </c>
      <c r="BD247" s="48">
        <f t="shared" si="851"/>
        <v>0</v>
      </c>
      <c r="BE247" s="48">
        <f t="shared" si="851"/>
        <v>0</v>
      </c>
      <c r="BF247" s="48">
        <f t="shared" si="851"/>
        <v>0</v>
      </c>
      <c r="BG247" s="48">
        <f t="shared" si="851"/>
        <v>0</v>
      </c>
      <c r="BH247" s="48">
        <f t="shared" si="851"/>
        <v>0</v>
      </c>
      <c r="BI247" s="48">
        <f t="shared" si="851"/>
        <v>0</v>
      </c>
      <c r="BJ247" s="48">
        <f t="shared" si="851"/>
        <v>0</v>
      </c>
      <c r="BK247" s="48">
        <f t="shared" si="851"/>
        <v>0</v>
      </c>
      <c r="BL247" s="48">
        <f t="shared" si="851"/>
        <v>0</v>
      </c>
      <c r="BM247" s="48">
        <f t="shared" si="851"/>
        <v>0</v>
      </c>
      <c r="BN247" s="48">
        <f t="shared" si="851"/>
        <v>0</v>
      </c>
      <c r="BO247" s="48">
        <f t="shared" si="851"/>
        <v>0</v>
      </c>
      <c r="BP247" s="48">
        <f t="shared" si="851"/>
        <v>0</v>
      </c>
      <c r="BQ247" s="48">
        <f t="shared" si="851"/>
        <v>0</v>
      </c>
      <c r="BR247" s="36">
        <f t="shared" si="9"/>
        <v>0</v>
      </c>
      <c r="BS247" s="38">
        <f t="shared" si="10"/>
        <v>1</v>
      </c>
      <c r="BT247" s="49">
        <f t="shared" si="11"/>
        <v>0</v>
      </c>
      <c r="BU247" s="38">
        <f t="shared" si="12"/>
        <v>1000</v>
      </c>
      <c r="BV247" s="46" t="str">
        <f>IFERROR(__xludf.DUMMYFUNCTION("""COMPUTED_VALUE"""),"Ley")</f>
        <v>Ley</v>
      </c>
      <c r="BW247" s="46">
        <f t="shared" si="13"/>
        <v>250</v>
      </c>
      <c r="BX247" s="47">
        <f t="shared" ref="BX247:CA247" si="852">AX247-$BU247</f>
        <v>-1000</v>
      </c>
      <c r="BY247" s="47">
        <f t="shared" si="852"/>
        <v>-1000</v>
      </c>
      <c r="BZ247" s="47">
        <f t="shared" si="852"/>
        <v>-1000</v>
      </c>
      <c r="CA247" s="47">
        <f t="shared" si="852"/>
        <v>-1000</v>
      </c>
      <c r="CB247" s="47">
        <f t="shared" si="15"/>
        <v>-9750</v>
      </c>
      <c r="CC247" s="47">
        <f t="shared" ref="CC247:CQ247" si="853">BC247-$BU247</f>
        <v>-1000</v>
      </c>
      <c r="CD247" s="47">
        <f t="shared" si="853"/>
        <v>-1000</v>
      </c>
      <c r="CE247" s="47">
        <f t="shared" si="853"/>
        <v>-1000</v>
      </c>
      <c r="CF247" s="47">
        <f t="shared" si="853"/>
        <v>-1000</v>
      </c>
      <c r="CG247" s="47">
        <f t="shared" si="853"/>
        <v>-1000</v>
      </c>
      <c r="CH247" s="47">
        <f t="shared" si="853"/>
        <v>-1000</v>
      </c>
      <c r="CI247" s="47">
        <f t="shared" si="853"/>
        <v>-1000</v>
      </c>
      <c r="CJ247" s="47">
        <f t="shared" si="853"/>
        <v>-1000</v>
      </c>
      <c r="CK247" s="47">
        <f t="shared" si="853"/>
        <v>-1000</v>
      </c>
      <c r="CL247" s="47">
        <f t="shared" si="853"/>
        <v>-1000</v>
      </c>
      <c r="CM247" s="47">
        <f t="shared" si="853"/>
        <v>-1000</v>
      </c>
      <c r="CN247" s="47">
        <f t="shared" si="853"/>
        <v>-1000</v>
      </c>
      <c r="CO247" s="47">
        <f t="shared" si="853"/>
        <v>-1000</v>
      </c>
      <c r="CP247" s="47">
        <f t="shared" si="853"/>
        <v>-1000</v>
      </c>
      <c r="CQ247" s="47">
        <f t="shared" si="853"/>
        <v>-1000</v>
      </c>
      <c r="CR247" s="47"/>
      <c r="CS247" s="47"/>
      <c r="CT247" s="47"/>
      <c r="CU247" s="50" t="str">
        <f>IFERROR(__xludf.DUMMYFUNCTION("""COMPUTED_VALUE"""),"5333 Deloache Ave
Dallas, TX 75220          ")</f>
        <v>5333 Deloache Ave
Dallas, TX 75220          </v>
      </c>
      <c r="CV247" s="51">
        <f>IFERROR(__xludf.DUMMYFUNCTION("IF(REGEXMATCH(UPPER(CU247), ""TX""),0,1)"),0.0)</f>
        <v>0</v>
      </c>
      <c r="CW247" s="51">
        <f>IFERROR(__xludf.DUMMYFUNCTION("IF(REGEXMATCH(UPPER(CU247), ""DALLAS""),0,1)"),0.0)</f>
        <v>0</v>
      </c>
      <c r="CX247" s="51">
        <f t="shared" si="17"/>
        <v>0</v>
      </c>
      <c r="CY247" s="51">
        <f t="shared" si="18"/>
        <v>0</v>
      </c>
      <c r="CZ247" s="52" t="str">
        <f t="shared" si="19"/>
        <v/>
      </c>
      <c r="DA247" s="58"/>
      <c r="DB247" s="52"/>
      <c r="DC247" s="52"/>
      <c r="DD247" s="52"/>
      <c r="DE247" s="52"/>
      <c r="DF247" s="52"/>
      <c r="DG247" s="52"/>
      <c r="DH247" s="52"/>
      <c r="DI247" s="52"/>
      <c r="DJ247" s="52"/>
      <c r="DK247" s="52"/>
      <c r="DL247" s="52"/>
      <c r="DM247" s="52"/>
      <c r="DN247" s="52"/>
      <c r="DO247" s="52"/>
      <c r="DP247" s="52"/>
      <c r="DQ247" s="52"/>
      <c r="DR247" s="52"/>
      <c r="DS247" s="52"/>
      <c r="DT247" s="52"/>
      <c r="DU247" s="52"/>
      <c r="DV247" s="52"/>
      <c r="DW247" s="52"/>
    </row>
    <row r="248">
      <c r="A248" s="22" t="s">
        <v>55</v>
      </c>
      <c r="B248" s="23" t="s">
        <v>56</v>
      </c>
      <c r="C248" s="31" t="s">
        <v>704</v>
      </c>
      <c r="D248" s="25" t="str">
        <f>IFERROR(__xludf.DUMMYFUNCTION("SPLIT(C248,"" "")"),"Sherman,")</f>
        <v>Sherman,</v>
      </c>
      <c r="E248" s="22" t="str">
        <f>IFERROR(__xludf.DUMMYFUNCTION("""COMPUTED_VALUE"""),"Daniel")</f>
        <v>Daniel</v>
      </c>
      <c r="F248" s="22" t="str">
        <f>IFERROR(__xludf.DUMMYFUNCTION("""COMPUTED_VALUE"""),"(Vinnie)
1743")</f>
        <v>(Vinnie)
1743</v>
      </c>
      <c r="G248" s="22" t="str">
        <f>IFERROR(__xludf.DUMMYFUNCTION("""COMPUTED_VALUE"""),"Elmwood")</f>
        <v>Elmwood</v>
      </c>
      <c r="H248" s="22" t="str">
        <f>IFERROR(__xludf.DUMMYFUNCTION("""COMPUTED_VALUE"""),"Blvd.
Dallas,")</f>
        <v>Blvd.
Dallas,</v>
      </c>
      <c r="I248" s="22" t="str">
        <f>IFERROR(__xludf.DUMMYFUNCTION("""COMPUTED_VALUE"""),"TX")</f>
        <v>TX</v>
      </c>
      <c r="J248" s="22">
        <f>IFERROR(__xludf.DUMMYFUNCTION("""COMPUTED_VALUE"""),75224.0)</f>
        <v>75224</v>
      </c>
      <c r="K248" s="22"/>
      <c r="L248" s="22"/>
      <c r="M248" s="22"/>
      <c r="N248" s="22"/>
      <c r="O248" s="22"/>
      <c r="P248" s="22"/>
      <c r="Q248" s="22"/>
      <c r="R248" s="22"/>
      <c r="S248" s="22"/>
      <c r="T248" s="22"/>
      <c r="U248" s="24" t="str">
        <f>IFERROR(__xludf.DUMMYFUNCTION("SPLIT(E248,""01234567890"")"),"Daniel")</f>
        <v>Daniel</v>
      </c>
      <c r="V248" s="24" t="str">
        <f>IFERROR(__xludf.DUMMYFUNCTION("SPLIT(D248,"","")"),"Sherman")</f>
        <v>Sherman</v>
      </c>
      <c r="W248" s="25" t="str">
        <f t="shared" si="1"/>
        <v>DANIEL SHERMAN</v>
      </c>
      <c r="X248" s="25" t="s">
        <v>705</v>
      </c>
      <c r="Y248" s="25" t="s">
        <v>523</v>
      </c>
      <c r="Z248" s="25" t="str">
        <f>IFERROR(__xludf.DUMMYFUNCTION("SPLIT(C248,""
"")"),"Sherman, Daniel (Vinnie)")</f>
        <v>Sherman, Daniel (Vinnie)</v>
      </c>
      <c r="AA248" s="25" t="str">
        <f>IFERROR(__xludf.DUMMYFUNCTION("""COMPUTED_VALUE"""),"1743 Elmwood Blvd.")</f>
        <v>1743 Elmwood Blvd.</v>
      </c>
      <c r="AB248" s="25" t="str">
        <f>IFERROR(__xludf.DUMMYFUNCTION("""COMPUTED_VALUE"""),"Dallas, TX 75224")</f>
        <v>Dallas, TX 75224</v>
      </c>
      <c r="AC248" s="24" t="s">
        <v>706</v>
      </c>
      <c r="AD248" s="25"/>
      <c r="AE248" s="25"/>
      <c r="AF248" s="25"/>
      <c r="AG248" s="22" t="s">
        <v>60</v>
      </c>
      <c r="AH248" s="54">
        <v>2441.0</v>
      </c>
      <c r="AI248" s="22" t="s">
        <v>61</v>
      </c>
      <c r="AJ248" s="27">
        <v>250.0</v>
      </c>
      <c r="AK248" s="31" t="s">
        <v>21</v>
      </c>
      <c r="AL248" s="28">
        <v>44742.0</v>
      </c>
      <c r="AM248" s="29">
        <v>44756.4640625</v>
      </c>
      <c r="AN248" s="30">
        <v>2.0</v>
      </c>
      <c r="AO248" s="22"/>
      <c r="AP248" s="22"/>
      <c r="AQ248" s="22"/>
      <c r="AR248" s="22"/>
      <c r="AS248" s="22"/>
      <c r="AT248" s="70"/>
      <c r="AU248" s="22"/>
      <c r="AV248" s="57" t="str">
        <f>IFERROR(__xludf.DUMMYFUNCTION("""COMPUTED_VALUE"""),"Christian")</f>
        <v>Christian</v>
      </c>
      <c r="AW248" s="46">
        <f t="shared" si="7"/>
        <v>400</v>
      </c>
      <c r="AX248" s="47">
        <f t="shared" ref="AX248:BQ248" si="854">SUMIFS($AJ:$AJ,$V:$V,$AV248,$AK:$AK,AX$2)</f>
        <v>0</v>
      </c>
      <c r="AY248" s="48">
        <f t="shared" si="854"/>
        <v>0</v>
      </c>
      <c r="AZ248" s="48">
        <f t="shared" si="854"/>
        <v>0</v>
      </c>
      <c r="BA248" s="48">
        <f t="shared" si="854"/>
        <v>0</v>
      </c>
      <c r="BB248" s="48">
        <f t="shared" si="854"/>
        <v>400</v>
      </c>
      <c r="BC248" s="48">
        <f t="shared" si="854"/>
        <v>0</v>
      </c>
      <c r="BD248" s="48">
        <f t="shared" si="854"/>
        <v>0</v>
      </c>
      <c r="BE248" s="48">
        <f t="shared" si="854"/>
        <v>0</v>
      </c>
      <c r="BF248" s="48">
        <f t="shared" si="854"/>
        <v>0</v>
      </c>
      <c r="BG248" s="48">
        <f t="shared" si="854"/>
        <v>0</v>
      </c>
      <c r="BH248" s="48">
        <f t="shared" si="854"/>
        <v>0</v>
      </c>
      <c r="BI248" s="48">
        <f t="shared" si="854"/>
        <v>0</v>
      </c>
      <c r="BJ248" s="48">
        <f t="shared" si="854"/>
        <v>0</v>
      </c>
      <c r="BK248" s="48">
        <f t="shared" si="854"/>
        <v>0</v>
      </c>
      <c r="BL248" s="48">
        <f t="shared" si="854"/>
        <v>0</v>
      </c>
      <c r="BM248" s="48">
        <f t="shared" si="854"/>
        <v>0</v>
      </c>
      <c r="BN248" s="48">
        <f t="shared" si="854"/>
        <v>0</v>
      </c>
      <c r="BO248" s="48">
        <f t="shared" si="854"/>
        <v>0</v>
      </c>
      <c r="BP248" s="48">
        <f t="shared" si="854"/>
        <v>0</v>
      </c>
      <c r="BQ248" s="48">
        <f t="shared" si="854"/>
        <v>0</v>
      </c>
      <c r="BR248" s="36">
        <f t="shared" si="9"/>
        <v>1</v>
      </c>
      <c r="BS248" s="38">
        <f t="shared" si="10"/>
        <v>2</v>
      </c>
      <c r="BT248" s="49">
        <f t="shared" si="11"/>
        <v>0</v>
      </c>
      <c r="BU248" s="38">
        <f t="shared" si="12"/>
        <v>2000</v>
      </c>
      <c r="BV248" s="57" t="str">
        <f>IFERROR(__xludf.DUMMYFUNCTION("""COMPUTED_VALUE"""),"Christian")</f>
        <v>Christian</v>
      </c>
      <c r="BW248" s="46">
        <f t="shared" si="13"/>
        <v>400</v>
      </c>
      <c r="BX248" s="47">
        <f t="shared" ref="BX248:CA248" si="855">AX248-$BU248</f>
        <v>-2000</v>
      </c>
      <c r="BY248" s="47">
        <f t="shared" si="855"/>
        <v>-2000</v>
      </c>
      <c r="BZ248" s="47">
        <f t="shared" si="855"/>
        <v>-2000</v>
      </c>
      <c r="CA248" s="47">
        <f t="shared" si="855"/>
        <v>-2000</v>
      </c>
      <c r="CB248" s="47">
        <f t="shared" si="15"/>
        <v>-19600</v>
      </c>
      <c r="CC248" s="47">
        <f t="shared" ref="CC248:CQ248" si="856">BC248-$BU248</f>
        <v>-2000</v>
      </c>
      <c r="CD248" s="47">
        <f t="shared" si="856"/>
        <v>-2000</v>
      </c>
      <c r="CE248" s="47">
        <f t="shared" si="856"/>
        <v>-2000</v>
      </c>
      <c r="CF248" s="47">
        <f t="shared" si="856"/>
        <v>-2000</v>
      </c>
      <c r="CG248" s="47">
        <f t="shared" si="856"/>
        <v>-2000</v>
      </c>
      <c r="CH248" s="47">
        <f t="shared" si="856"/>
        <v>-2000</v>
      </c>
      <c r="CI248" s="47">
        <f t="shared" si="856"/>
        <v>-2000</v>
      </c>
      <c r="CJ248" s="47">
        <f t="shared" si="856"/>
        <v>-2000</v>
      </c>
      <c r="CK248" s="47">
        <f t="shared" si="856"/>
        <v>-2000</v>
      </c>
      <c r="CL248" s="47">
        <f t="shared" si="856"/>
        <v>-2000</v>
      </c>
      <c r="CM248" s="47">
        <f t="shared" si="856"/>
        <v>-2000</v>
      </c>
      <c r="CN248" s="47">
        <f t="shared" si="856"/>
        <v>-2000</v>
      </c>
      <c r="CO248" s="47">
        <f t="shared" si="856"/>
        <v>-2000</v>
      </c>
      <c r="CP248" s="47">
        <f t="shared" si="856"/>
        <v>-2000</v>
      </c>
      <c r="CQ248" s="47">
        <f t="shared" si="856"/>
        <v>-2000</v>
      </c>
      <c r="CR248" s="47"/>
      <c r="CS248" s="47"/>
      <c r="CT248" s="47"/>
      <c r="CU248" s="50" t="str">
        <f>IFERROR(__xludf.DUMMYFUNCTION("""COMPUTED_VALUE"""),"613 Birch Lane
Richardson, TX 75081          ")</f>
        <v>613 Birch Lane
Richardson, TX 75081          </v>
      </c>
      <c r="CV248" s="51">
        <f>IFERROR(__xludf.DUMMYFUNCTION("IF(REGEXMATCH(UPPER(CU248), ""TX""),0,1)"),0.0)</f>
        <v>0</v>
      </c>
      <c r="CW248" s="51">
        <f>IFERROR(__xludf.DUMMYFUNCTION("IF(REGEXMATCH(UPPER(CU248), ""DALLAS""),0,1)"),1.0)</f>
        <v>1</v>
      </c>
      <c r="CX248" s="51">
        <f t="shared" si="17"/>
        <v>0</v>
      </c>
      <c r="CY248" s="51">
        <f t="shared" si="18"/>
        <v>250</v>
      </c>
      <c r="CZ248" s="52" t="str">
        <f t="shared" si="19"/>
        <v>613 Birch Lane
Richardson, TX 75081          </v>
      </c>
      <c r="DA248" s="58"/>
      <c r="DB248" s="52"/>
      <c r="DC248" s="52"/>
      <c r="DD248" s="52"/>
      <c r="DE248" s="52"/>
      <c r="DF248" s="52"/>
      <c r="DG248" s="52"/>
      <c r="DH248" s="52"/>
      <c r="DI248" s="52"/>
      <c r="DJ248" s="52"/>
      <c r="DK248" s="52"/>
      <c r="DL248" s="52"/>
      <c r="DM248" s="52"/>
      <c r="DN248" s="52"/>
      <c r="DO248" s="52"/>
      <c r="DP248" s="52"/>
      <c r="DQ248" s="52"/>
      <c r="DR248" s="52"/>
      <c r="DS248" s="52"/>
      <c r="DT248" s="52"/>
      <c r="DU248" s="52"/>
      <c r="DV248" s="52"/>
      <c r="DW248" s="52"/>
    </row>
    <row r="249">
      <c r="A249" s="40" t="s">
        <v>55</v>
      </c>
      <c r="B249" s="41" t="s">
        <v>56</v>
      </c>
      <c r="C249" s="31" t="s">
        <v>468</v>
      </c>
      <c r="D249" s="25" t="str">
        <f>IFERROR(__xludf.DUMMYFUNCTION("SPLIT(C249,"" "")"),"Blewett,")</f>
        <v>Blewett,</v>
      </c>
      <c r="E249" s="40" t="str">
        <f>IFERROR(__xludf.DUMMYFUNCTION("""COMPUTED_VALUE"""),"David
6228")</f>
        <v>David
6228</v>
      </c>
      <c r="F249" s="40" t="str">
        <f>IFERROR(__xludf.DUMMYFUNCTION("""COMPUTED_VALUE"""),"Vickery")</f>
        <v>Vickery</v>
      </c>
      <c r="G249" s="40" t="str">
        <f>IFERROR(__xludf.DUMMYFUNCTION("""COMPUTED_VALUE"""),"Blvd.
Dallas,")</f>
        <v>Blvd.
Dallas,</v>
      </c>
      <c r="H249" s="40" t="str">
        <f>IFERROR(__xludf.DUMMYFUNCTION("""COMPUTED_VALUE"""),"TX")</f>
        <v>TX</v>
      </c>
      <c r="I249" s="40">
        <f>IFERROR(__xludf.DUMMYFUNCTION("""COMPUTED_VALUE"""),75214.0)</f>
        <v>75214</v>
      </c>
      <c r="J249" s="40"/>
      <c r="K249" s="40"/>
      <c r="L249" s="40"/>
      <c r="M249" s="40"/>
      <c r="N249" s="40"/>
      <c r="O249" s="40"/>
      <c r="P249" s="40"/>
      <c r="Q249" s="40"/>
      <c r="R249" s="40"/>
      <c r="S249" s="40"/>
      <c r="T249" s="40"/>
      <c r="U249" s="24" t="str">
        <f>IFERROR(__xludf.DUMMYFUNCTION("SPLIT(E249,""01234567890"")"),"David
")</f>
        <v>David
</v>
      </c>
      <c r="V249" s="24" t="str">
        <f>IFERROR(__xludf.DUMMYFUNCTION("SPLIT(D249,"","")"),"Blewett")</f>
        <v>Blewett</v>
      </c>
      <c r="W249" s="25" t="str">
        <f t="shared" si="1"/>
        <v>DAVID
 BLEWETT</v>
      </c>
      <c r="X249" s="25" t="s">
        <v>469</v>
      </c>
      <c r="Y249" s="25">
        <v>75214.0</v>
      </c>
      <c r="Z249" s="25" t="str">
        <f>IFERROR(__xludf.DUMMYFUNCTION("SPLIT(C249,""
"")"),"Blewett, David")</f>
        <v>Blewett, David</v>
      </c>
      <c r="AA249" s="25" t="str">
        <f>IFERROR(__xludf.DUMMYFUNCTION("""COMPUTED_VALUE"""),"6228 Vickery Blvd.")</f>
        <v>6228 Vickery Blvd.</v>
      </c>
      <c r="AB249" s="25" t="str">
        <f>IFERROR(__xludf.DUMMYFUNCTION("""COMPUTED_VALUE"""),"Dallas, TX 75214")</f>
        <v>Dallas, TX 75214</v>
      </c>
      <c r="AC249" s="24" t="s">
        <v>470</v>
      </c>
      <c r="AD249" s="25"/>
      <c r="AE249" s="25"/>
      <c r="AF249" s="25"/>
      <c r="AG249" s="40" t="s">
        <v>60</v>
      </c>
      <c r="AH249" s="42">
        <v>2441.0</v>
      </c>
      <c r="AI249" s="40" t="s">
        <v>61</v>
      </c>
      <c r="AJ249" s="27">
        <v>950.0</v>
      </c>
      <c r="AK249" s="31" t="s">
        <v>21</v>
      </c>
      <c r="AL249" s="43">
        <v>44742.0</v>
      </c>
      <c r="AM249" s="44">
        <v>44756.4640625</v>
      </c>
      <c r="AN249" s="30">
        <v>2.0</v>
      </c>
      <c r="AO249" s="40"/>
      <c r="AP249" s="40"/>
      <c r="AQ249" s="40"/>
      <c r="AR249" s="40"/>
      <c r="AS249" s="40"/>
      <c r="AT249" s="47"/>
      <c r="AU249" s="40"/>
      <c r="AV249" s="46" t="str">
        <f>IFERROR(__xludf.DUMMYFUNCTION("""COMPUTED_VALUE"""),"Pittman")</f>
        <v>Pittman</v>
      </c>
      <c r="AW249" s="46">
        <f t="shared" si="7"/>
        <v>350</v>
      </c>
      <c r="AX249" s="47">
        <f t="shared" ref="AX249:BQ249" si="857">SUMIFS($AJ:$AJ,$V:$V,$AV249,$AK:$AK,AX$2)</f>
        <v>0</v>
      </c>
      <c r="AY249" s="48">
        <f t="shared" si="857"/>
        <v>0</v>
      </c>
      <c r="AZ249" s="48">
        <f t="shared" si="857"/>
        <v>0</v>
      </c>
      <c r="BA249" s="48">
        <f t="shared" si="857"/>
        <v>100</v>
      </c>
      <c r="BB249" s="48">
        <f t="shared" si="857"/>
        <v>250</v>
      </c>
      <c r="BC249" s="48">
        <f t="shared" si="857"/>
        <v>0</v>
      </c>
      <c r="BD249" s="48">
        <f t="shared" si="857"/>
        <v>0</v>
      </c>
      <c r="BE249" s="48">
        <f t="shared" si="857"/>
        <v>0</v>
      </c>
      <c r="BF249" s="48">
        <f t="shared" si="857"/>
        <v>0</v>
      </c>
      <c r="BG249" s="48">
        <f t="shared" si="857"/>
        <v>0</v>
      </c>
      <c r="BH249" s="48">
        <f t="shared" si="857"/>
        <v>0</v>
      </c>
      <c r="BI249" s="48">
        <f t="shared" si="857"/>
        <v>0</v>
      </c>
      <c r="BJ249" s="48">
        <f t="shared" si="857"/>
        <v>0</v>
      </c>
      <c r="BK249" s="48">
        <f t="shared" si="857"/>
        <v>0</v>
      </c>
      <c r="BL249" s="48">
        <f t="shared" si="857"/>
        <v>0</v>
      </c>
      <c r="BM249" s="48">
        <f t="shared" si="857"/>
        <v>0</v>
      </c>
      <c r="BN249" s="48">
        <f t="shared" si="857"/>
        <v>0</v>
      </c>
      <c r="BO249" s="48">
        <f t="shared" si="857"/>
        <v>0</v>
      </c>
      <c r="BP249" s="48">
        <f t="shared" si="857"/>
        <v>0</v>
      </c>
      <c r="BQ249" s="48">
        <f t="shared" si="857"/>
        <v>0</v>
      </c>
      <c r="BR249" s="36">
        <f t="shared" si="9"/>
        <v>1</v>
      </c>
      <c r="BS249" s="38">
        <f t="shared" si="10"/>
        <v>2</v>
      </c>
      <c r="BT249" s="49">
        <f t="shared" si="11"/>
        <v>0</v>
      </c>
      <c r="BU249" s="38">
        <f t="shared" si="12"/>
        <v>2000</v>
      </c>
      <c r="BV249" s="46" t="str">
        <f>IFERROR(__xludf.DUMMYFUNCTION("""COMPUTED_VALUE"""),"Pittman")</f>
        <v>Pittman</v>
      </c>
      <c r="BW249" s="46">
        <f t="shared" si="13"/>
        <v>350</v>
      </c>
      <c r="BX249" s="47">
        <f t="shared" ref="BX249:CA249" si="858">AX249-$BU249</f>
        <v>-2000</v>
      </c>
      <c r="BY249" s="47">
        <f t="shared" si="858"/>
        <v>-2000</v>
      </c>
      <c r="BZ249" s="47">
        <f t="shared" si="858"/>
        <v>-2000</v>
      </c>
      <c r="CA249" s="47">
        <f t="shared" si="858"/>
        <v>-1900</v>
      </c>
      <c r="CB249" s="47">
        <f t="shared" si="15"/>
        <v>-19750</v>
      </c>
      <c r="CC249" s="47">
        <f t="shared" ref="CC249:CQ249" si="859">BC249-$BU249</f>
        <v>-2000</v>
      </c>
      <c r="CD249" s="47">
        <f t="shared" si="859"/>
        <v>-2000</v>
      </c>
      <c r="CE249" s="47">
        <f t="shared" si="859"/>
        <v>-2000</v>
      </c>
      <c r="CF249" s="47">
        <f t="shared" si="859"/>
        <v>-2000</v>
      </c>
      <c r="CG249" s="47">
        <f t="shared" si="859"/>
        <v>-2000</v>
      </c>
      <c r="CH249" s="47">
        <f t="shared" si="859"/>
        <v>-2000</v>
      </c>
      <c r="CI249" s="47">
        <f t="shared" si="859"/>
        <v>-2000</v>
      </c>
      <c r="CJ249" s="47">
        <f t="shared" si="859"/>
        <v>-2000</v>
      </c>
      <c r="CK249" s="47">
        <f t="shared" si="859"/>
        <v>-2000</v>
      </c>
      <c r="CL249" s="47">
        <f t="shared" si="859"/>
        <v>-2000</v>
      </c>
      <c r="CM249" s="47">
        <f t="shared" si="859"/>
        <v>-2000</v>
      </c>
      <c r="CN249" s="47">
        <f t="shared" si="859"/>
        <v>-2000</v>
      </c>
      <c r="CO249" s="47">
        <f t="shared" si="859"/>
        <v>-2000</v>
      </c>
      <c r="CP249" s="47">
        <f t="shared" si="859"/>
        <v>-2000</v>
      </c>
      <c r="CQ249" s="47">
        <f t="shared" si="859"/>
        <v>-2000</v>
      </c>
      <c r="CR249" s="47"/>
      <c r="CS249" s="47"/>
      <c r="CT249" s="47"/>
      <c r="CU249" s="50" t="str">
        <f>IFERROR(__xludf.DUMMYFUNCTION("""COMPUTED_VALUE"""),"4645 N Central Exp
Dallas, TX 75205         ")</f>
        <v>4645 N Central Exp
Dallas, TX 75205         </v>
      </c>
      <c r="CV249" s="51">
        <f>IFERROR(__xludf.DUMMYFUNCTION("IF(REGEXMATCH(UPPER(CU249), ""TX""),0,1)"),0.0)</f>
        <v>0</v>
      </c>
      <c r="CW249" s="51">
        <f>IFERROR(__xludf.DUMMYFUNCTION("IF(REGEXMATCH(UPPER(CU249), ""DALLAS""),0,1)"),0.0)</f>
        <v>0</v>
      </c>
      <c r="CX249" s="51">
        <f t="shared" si="17"/>
        <v>0</v>
      </c>
      <c r="CY249" s="51">
        <f t="shared" si="18"/>
        <v>0</v>
      </c>
      <c r="CZ249" s="52" t="str">
        <f t="shared" si="19"/>
        <v/>
      </c>
      <c r="DA249" s="58"/>
      <c r="DB249" s="52"/>
      <c r="DC249" s="52"/>
      <c r="DD249" s="52"/>
      <c r="DE249" s="52"/>
      <c r="DF249" s="52"/>
      <c r="DG249" s="52"/>
      <c r="DH249" s="52"/>
      <c r="DI249" s="52"/>
      <c r="DJ249" s="52"/>
      <c r="DK249" s="52"/>
      <c r="DL249" s="52"/>
      <c r="DM249" s="52"/>
      <c r="DN249" s="52"/>
      <c r="DO249" s="52"/>
      <c r="DP249" s="52"/>
      <c r="DQ249" s="52"/>
      <c r="DR249" s="52"/>
      <c r="DS249" s="52"/>
      <c r="DT249" s="52"/>
      <c r="DU249" s="52"/>
      <c r="DV249" s="52"/>
      <c r="DW249" s="52"/>
    </row>
    <row r="250">
      <c r="A250" s="22" t="s">
        <v>55</v>
      </c>
      <c r="B250" s="23" t="s">
        <v>56</v>
      </c>
      <c r="C250" s="31" t="s">
        <v>707</v>
      </c>
      <c r="D250" s="25" t="str">
        <f>IFERROR(__xludf.DUMMYFUNCTION("SPLIT(C250,"" "")"),"Neurohr,")</f>
        <v>Neurohr,</v>
      </c>
      <c r="E250" s="22" t="str">
        <f>IFERROR(__xludf.DUMMYFUNCTION("""COMPUTED_VALUE"""),"Garrison
4444")</f>
        <v>Garrison
4444</v>
      </c>
      <c r="F250" s="22" t="str">
        <f>IFERROR(__xludf.DUMMYFUNCTION("""COMPUTED_VALUE"""),"Cole")</f>
        <v>Cole</v>
      </c>
      <c r="G250" s="22" t="str">
        <f>IFERROR(__xludf.DUMMYFUNCTION("""COMPUTED_VALUE"""),"Ave.
Dallas,")</f>
        <v>Ave.
Dallas,</v>
      </c>
      <c r="H250" s="22" t="str">
        <f>IFERROR(__xludf.DUMMYFUNCTION("""COMPUTED_VALUE"""),"TX")</f>
        <v>TX</v>
      </c>
      <c r="I250" s="22">
        <f>IFERROR(__xludf.DUMMYFUNCTION("""COMPUTED_VALUE"""),75205.0)</f>
        <v>75205</v>
      </c>
      <c r="J250" s="22"/>
      <c r="K250" s="22"/>
      <c r="L250" s="22"/>
      <c r="M250" s="22"/>
      <c r="N250" s="22"/>
      <c r="O250" s="22"/>
      <c r="P250" s="22"/>
      <c r="Q250" s="22"/>
      <c r="R250" s="22"/>
      <c r="S250" s="22"/>
      <c r="T250" s="22"/>
      <c r="U250" s="24" t="str">
        <f>IFERROR(__xludf.DUMMYFUNCTION("SPLIT(E250,""01234567890"")"),"Garrison
")</f>
        <v>Garrison
</v>
      </c>
      <c r="V250" s="24" t="str">
        <f>IFERROR(__xludf.DUMMYFUNCTION("SPLIT(D250,"","")"),"Neurohr")</f>
        <v>Neurohr</v>
      </c>
      <c r="W250" s="25" t="str">
        <f t="shared" si="1"/>
        <v>GARRISON
 NEUROHR</v>
      </c>
      <c r="X250" s="25" t="s">
        <v>708</v>
      </c>
      <c r="Y250" s="25">
        <v>75205.0</v>
      </c>
      <c r="Z250" s="25" t="str">
        <f>IFERROR(__xludf.DUMMYFUNCTION("SPLIT(C250,""
"")"),"Neurohr, Garrison")</f>
        <v>Neurohr, Garrison</v>
      </c>
      <c r="AA250" s="25" t="str">
        <f>IFERROR(__xludf.DUMMYFUNCTION("""COMPUTED_VALUE"""),"4444 Cole Ave.")</f>
        <v>4444 Cole Ave.</v>
      </c>
      <c r="AB250" s="25" t="str">
        <f>IFERROR(__xludf.DUMMYFUNCTION("""COMPUTED_VALUE"""),"Dallas, TX 75205")</f>
        <v>Dallas, TX 75205</v>
      </c>
      <c r="AC250" s="24" t="s">
        <v>709</v>
      </c>
      <c r="AD250" s="25"/>
      <c r="AE250" s="25"/>
      <c r="AF250" s="25"/>
      <c r="AG250" s="22" t="s">
        <v>60</v>
      </c>
      <c r="AH250" s="54">
        <v>2441.0</v>
      </c>
      <c r="AI250" s="22" t="s">
        <v>61</v>
      </c>
      <c r="AJ250" s="27">
        <v>950.0</v>
      </c>
      <c r="AK250" s="31" t="s">
        <v>21</v>
      </c>
      <c r="AL250" s="28">
        <v>44742.0</v>
      </c>
      <c r="AM250" s="29">
        <v>44756.4640625</v>
      </c>
      <c r="AN250" s="30">
        <v>2.0</v>
      </c>
      <c r="AO250" s="22"/>
      <c r="AP250" s="22"/>
      <c r="AQ250" s="22"/>
      <c r="AR250" s="22"/>
      <c r="AS250" s="22"/>
      <c r="AT250" s="70"/>
      <c r="AU250" s="22"/>
      <c r="AV250" s="57" t="str">
        <f>IFERROR(__xludf.DUMMYFUNCTION("""COMPUTED_VALUE"""),"Yxall")</f>
        <v>Yxall</v>
      </c>
      <c r="AW250" s="46">
        <f t="shared" si="7"/>
        <v>500</v>
      </c>
      <c r="AX250" s="47">
        <f t="shared" ref="AX250:BQ250" si="860">SUMIFS($AJ:$AJ,$V:$V,$AV250,$AK:$AK,AX$2)</f>
        <v>0</v>
      </c>
      <c r="AY250" s="48">
        <f t="shared" si="860"/>
        <v>0</v>
      </c>
      <c r="AZ250" s="48">
        <f t="shared" si="860"/>
        <v>0</v>
      </c>
      <c r="BA250" s="48">
        <f t="shared" si="860"/>
        <v>0</v>
      </c>
      <c r="BB250" s="48">
        <f t="shared" si="860"/>
        <v>500</v>
      </c>
      <c r="BC250" s="48">
        <f t="shared" si="860"/>
        <v>0</v>
      </c>
      <c r="BD250" s="48">
        <f t="shared" si="860"/>
        <v>0</v>
      </c>
      <c r="BE250" s="48">
        <f t="shared" si="860"/>
        <v>0</v>
      </c>
      <c r="BF250" s="48">
        <f t="shared" si="860"/>
        <v>0</v>
      </c>
      <c r="BG250" s="48">
        <f t="shared" si="860"/>
        <v>0</v>
      </c>
      <c r="BH250" s="48">
        <f t="shared" si="860"/>
        <v>0</v>
      </c>
      <c r="BI250" s="48">
        <f t="shared" si="860"/>
        <v>0</v>
      </c>
      <c r="BJ250" s="48">
        <f t="shared" si="860"/>
        <v>0</v>
      </c>
      <c r="BK250" s="48">
        <f t="shared" si="860"/>
        <v>0</v>
      </c>
      <c r="BL250" s="48">
        <f t="shared" si="860"/>
        <v>0</v>
      </c>
      <c r="BM250" s="48">
        <f t="shared" si="860"/>
        <v>0</v>
      </c>
      <c r="BN250" s="48">
        <f t="shared" si="860"/>
        <v>0</v>
      </c>
      <c r="BO250" s="48">
        <f t="shared" si="860"/>
        <v>0</v>
      </c>
      <c r="BP250" s="48">
        <f t="shared" si="860"/>
        <v>0</v>
      </c>
      <c r="BQ250" s="48">
        <f t="shared" si="860"/>
        <v>0</v>
      </c>
      <c r="BR250" s="36">
        <f t="shared" si="9"/>
        <v>0</v>
      </c>
      <c r="BS250" s="38">
        <f t="shared" si="10"/>
        <v>1</v>
      </c>
      <c r="BT250" s="49">
        <f t="shared" si="11"/>
        <v>0</v>
      </c>
      <c r="BU250" s="38">
        <f t="shared" si="12"/>
        <v>1000</v>
      </c>
      <c r="BV250" s="57" t="str">
        <f>IFERROR(__xludf.DUMMYFUNCTION("""COMPUTED_VALUE"""),"Yxall")</f>
        <v>Yxall</v>
      </c>
      <c r="BW250" s="46">
        <f t="shared" si="13"/>
        <v>500</v>
      </c>
      <c r="BX250" s="47">
        <f t="shared" ref="BX250:CA250" si="861">AX250-$BU250</f>
        <v>-1000</v>
      </c>
      <c r="BY250" s="47">
        <f t="shared" si="861"/>
        <v>-1000</v>
      </c>
      <c r="BZ250" s="47">
        <f t="shared" si="861"/>
        <v>-1000</v>
      </c>
      <c r="CA250" s="47">
        <f t="shared" si="861"/>
        <v>-1000</v>
      </c>
      <c r="CB250" s="47">
        <f t="shared" si="15"/>
        <v>-9500</v>
      </c>
      <c r="CC250" s="47">
        <f t="shared" ref="CC250:CQ250" si="862">BC250-$BU250</f>
        <v>-1000</v>
      </c>
      <c r="CD250" s="47">
        <f t="shared" si="862"/>
        <v>-1000</v>
      </c>
      <c r="CE250" s="47">
        <f t="shared" si="862"/>
        <v>-1000</v>
      </c>
      <c r="CF250" s="47">
        <f t="shared" si="862"/>
        <v>-1000</v>
      </c>
      <c r="CG250" s="47">
        <f t="shared" si="862"/>
        <v>-1000</v>
      </c>
      <c r="CH250" s="47">
        <f t="shared" si="862"/>
        <v>-1000</v>
      </c>
      <c r="CI250" s="47">
        <f t="shared" si="862"/>
        <v>-1000</v>
      </c>
      <c r="CJ250" s="47">
        <f t="shared" si="862"/>
        <v>-1000</v>
      </c>
      <c r="CK250" s="47">
        <f t="shared" si="862"/>
        <v>-1000</v>
      </c>
      <c r="CL250" s="47">
        <f t="shared" si="862"/>
        <v>-1000</v>
      </c>
      <c r="CM250" s="47">
        <f t="shared" si="862"/>
        <v>-1000</v>
      </c>
      <c r="CN250" s="47">
        <f t="shared" si="862"/>
        <v>-1000</v>
      </c>
      <c r="CO250" s="47">
        <f t="shared" si="862"/>
        <v>-1000</v>
      </c>
      <c r="CP250" s="47">
        <f t="shared" si="862"/>
        <v>-1000</v>
      </c>
      <c r="CQ250" s="47">
        <f t="shared" si="862"/>
        <v>-1000</v>
      </c>
      <c r="CR250" s="47"/>
      <c r="CS250" s="47"/>
      <c r="CT250" s="47"/>
      <c r="CU250" s="50" t="str">
        <f>IFERROR(__xludf.DUMMYFUNCTION("""COMPUTED_VALUE"""),"7725 La Cosa Dr
Dallas, TX 75248         ")</f>
        <v>7725 La Cosa Dr
Dallas, TX 75248         </v>
      </c>
      <c r="CV250" s="51">
        <f>IFERROR(__xludf.DUMMYFUNCTION("IF(REGEXMATCH(UPPER(CU250), ""TX""),0,1)"),0.0)</f>
        <v>0</v>
      </c>
      <c r="CW250" s="51">
        <f>IFERROR(__xludf.DUMMYFUNCTION("IF(REGEXMATCH(UPPER(CU250), ""DALLAS""),0,1)"),0.0)</f>
        <v>0</v>
      </c>
      <c r="CX250" s="51">
        <f t="shared" si="17"/>
        <v>0</v>
      </c>
      <c r="CY250" s="51">
        <f t="shared" si="18"/>
        <v>0</v>
      </c>
      <c r="CZ250" s="52" t="str">
        <f t="shared" si="19"/>
        <v/>
      </c>
      <c r="DA250" s="58"/>
      <c r="DB250" s="52"/>
      <c r="DC250" s="52"/>
      <c r="DD250" s="52"/>
      <c r="DE250" s="52"/>
      <c r="DF250" s="52"/>
      <c r="DG250" s="52"/>
      <c r="DH250" s="52"/>
      <c r="DI250" s="52"/>
      <c r="DJ250" s="52"/>
      <c r="DK250" s="52"/>
      <c r="DL250" s="52"/>
      <c r="DM250" s="52"/>
      <c r="DN250" s="52"/>
      <c r="DO250" s="52"/>
      <c r="DP250" s="52"/>
      <c r="DQ250" s="52"/>
      <c r="DR250" s="52"/>
      <c r="DS250" s="52"/>
      <c r="DT250" s="52"/>
      <c r="DU250" s="52"/>
      <c r="DV250" s="52"/>
      <c r="DW250" s="52"/>
    </row>
    <row r="251">
      <c r="A251" s="40" t="s">
        <v>55</v>
      </c>
      <c r="B251" s="41" t="s">
        <v>56</v>
      </c>
      <c r="C251" s="31" t="s">
        <v>710</v>
      </c>
      <c r="D251" s="25" t="str">
        <f>IFERROR(__xludf.DUMMYFUNCTION("SPLIT(C251,"" "")"),"Orr,")</f>
        <v>Orr,</v>
      </c>
      <c r="E251" s="40" t="str">
        <f>IFERROR(__xludf.DUMMYFUNCTION("""COMPUTED_VALUE"""),"Jeremy
1033")</f>
        <v>Jeremy
1033</v>
      </c>
      <c r="F251" s="40" t="str">
        <f>IFERROR(__xludf.DUMMYFUNCTION("""COMPUTED_VALUE"""),"Cedar")</f>
        <v>Cedar</v>
      </c>
      <c r="G251" s="40" t="str">
        <f>IFERROR(__xludf.DUMMYFUNCTION("""COMPUTED_VALUE"""),"Hill")</f>
        <v>Hill</v>
      </c>
      <c r="H251" s="40" t="str">
        <f>IFERROR(__xludf.DUMMYFUNCTION("""COMPUTED_VALUE"""),"Ave.
Dallas,")</f>
        <v>Ave.
Dallas,</v>
      </c>
      <c r="I251" s="40" t="str">
        <f>IFERROR(__xludf.DUMMYFUNCTION("""COMPUTED_VALUE"""),"TX")</f>
        <v>TX</v>
      </c>
      <c r="J251" s="40">
        <f>IFERROR(__xludf.DUMMYFUNCTION("""COMPUTED_VALUE"""),75208.0)</f>
        <v>75208</v>
      </c>
      <c r="K251" s="40"/>
      <c r="L251" s="40"/>
      <c r="M251" s="40"/>
      <c r="N251" s="40"/>
      <c r="O251" s="40"/>
      <c r="P251" s="40"/>
      <c r="Q251" s="40"/>
      <c r="R251" s="40"/>
      <c r="S251" s="40"/>
      <c r="T251" s="40"/>
      <c r="U251" s="24" t="str">
        <f>IFERROR(__xludf.DUMMYFUNCTION("SPLIT(E251,""01234567890"")"),"Jeremy
")</f>
        <v>Jeremy
</v>
      </c>
      <c r="V251" s="24" t="str">
        <f>IFERROR(__xludf.DUMMYFUNCTION("SPLIT(D251,"","")"),"Orr")</f>
        <v>Orr</v>
      </c>
      <c r="W251" s="25" t="str">
        <f t="shared" si="1"/>
        <v>JEREMY
 ORR</v>
      </c>
      <c r="X251" s="25" t="s">
        <v>711</v>
      </c>
      <c r="Y251" s="25">
        <v>75208.0</v>
      </c>
      <c r="Z251" s="25" t="str">
        <f>IFERROR(__xludf.DUMMYFUNCTION("SPLIT(C251,""
"")"),"Orr, Jeremy")</f>
        <v>Orr, Jeremy</v>
      </c>
      <c r="AA251" s="25" t="str">
        <f>IFERROR(__xludf.DUMMYFUNCTION("""COMPUTED_VALUE"""),"1033 Cedar Hill Ave.")</f>
        <v>1033 Cedar Hill Ave.</v>
      </c>
      <c r="AB251" s="25" t="str">
        <f>IFERROR(__xludf.DUMMYFUNCTION("""COMPUTED_VALUE"""),"Dallas, TX 75208")</f>
        <v>Dallas, TX 75208</v>
      </c>
      <c r="AC251" s="24" t="s">
        <v>712</v>
      </c>
      <c r="AD251" s="25"/>
      <c r="AE251" s="25"/>
      <c r="AF251" s="25"/>
      <c r="AG251" s="40" t="s">
        <v>60</v>
      </c>
      <c r="AH251" s="42">
        <v>2441.0</v>
      </c>
      <c r="AI251" s="40" t="s">
        <v>61</v>
      </c>
      <c r="AJ251" s="27">
        <v>250.0</v>
      </c>
      <c r="AK251" s="31" t="s">
        <v>21</v>
      </c>
      <c r="AL251" s="43">
        <v>44742.0</v>
      </c>
      <c r="AM251" s="44">
        <v>44756.4640625</v>
      </c>
      <c r="AN251" s="30">
        <v>2.0</v>
      </c>
      <c r="AO251" s="40"/>
      <c r="AP251" s="40"/>
      <c r="AQ251" s="40"/>
      <c r="AR251" s="40"/>
      <c r="AS251" s="40"/>
      <c r="AT251" s="47"/>
      <c r="AU251" s="40"/>
      <c r="AV251" s="46" t="str">
        <f>IFERROR(__xludf.DUMMYFUNCTION("""COMPUTED_VALUE"""),"English")</f>
        <v>English</v>
      </c>
      <c r="AW251" s="46">
        <f t="shared" si="7"/>
        <v>350</v>
      </c>
      <c r="AX251" s="47">
        <f t="shared" ref="AX251:BQ251" si="863">SUMIFS($AJ:$AJ,$V:$V,$AV251,$AK:$AK,AX$2)</f>
        <v>0</v>
      </c>
      <c r="AY251" s="48">
        <f t="shared" si="863"/>
        <v>0</v>
      </c>
      <c r="AZ251" s="48">
        <f t="shared" si="863"/>
        <v>0</v>
      </c>
      <c r="BA251" s="48">
        <f t="shared" si="863"/>
        <v>0</v>
      </c>
      <c r="BB251" s="48">
        <f t="shared" si="863"/>
        <v>350</v>
      </c>
      <c r="BC251" s="48">
        <f t="shared" si="863"/>
        <v>0</v>
      </c>
      <c r="BD251" s="48">
        <f t="shared" si="863"/>
        <v>0</v>
      </c>
      <c r="BE251" s="48">
        <f t="shared" si="863"/>
        <v>0</v>
      </c>
      <c r="BF251" s="48">
        <f t="shared" si="863"/>
        <v>0</v>
      </c>
      <c r="BG251" s="48">
        <f t="shared" si="863"/>
        <v>0</v>
      </c>
      <c r="BH251" s="48">
        <f t="shared" si="863"/>
        <v>0</v>
      </c>
      <c r="BI251" s="48">
        <f t="shared" si="863"/>
        <v>0</v>
      </c>
      <c r="BJ251" s="48">
        <f t="shared" si="863"/>
        <v>0</v>
      </c>
      <c r="BK251" s="48">
        <f t="shared" si="863"/>
        <v>0</v>
      </c>
      <c r="BL251" s="48">
        <f t="shared" si="863"/>
        <v>0</v>
      </c>
      <c r="BM251" s="48">
        <f t="shared" si="863"/>
        <v>0</v>
      </c>
      <c r="BN251" s="48">
        <f t="shared" si="863"/>
        <v>0</v>
      </c>
      <c r="BO251" s="48">
        <f t="shared" si="863"/>
        <v>0</v>
      </c>
      <c r="BP251" s="48">
        <f t="shared" si="863"/>
        <v>0</v>
      </c>
      <c r="BQ251" s="48">
        <f t="shared" si="863"/>
        <v>0</v>
      </c>
      <c r="BR251" s="36">
        <f t="shared" si="9"/>
        <v>0</v>
      </c>
      <c r="BS251" s="38">
        <f t="shared" si="10"/>
        <v>1</v>
      </c>
      <c r="BT251" s="49">
        <f t="shared" si="11"/>
        <v>0</v>
      </c>
      <c r="BU251" s="38">
        <f t="shared" si="12"/>
        <v>1000</v>
      </c>
      <c r="BV251" s="46" t="str">
        <f>IFERROR(__xludf.DUMMYFUNCTION("""COMPUTED_VALUE"""),"English")</f>
        <v>English</v>
      </c>
      <c r="BW251" s="46">
        <f t="shared" si="13"/>
        <v>350</v>
      </c>
      <c r="BX251" s="47">
        <f t="shared" ref="BX251:CA251" si="864">AX251-$BU251</f>
        <v>-1000</v>
      </c>
      <c r="BY251" s="47">
        <f t="shared" si="864"/>
        <v>-1000</v>
      </c>
      <c r="BZ251" s="47">
        <f t="shared" si="864"/>
        <v>-1000</v>
      </c>
      <c r="CA251" s="47">
        <f t="shared" si="864"/>
        <v>-1000</v>
      </c>
      <c r="CB251" s="47">
        <f t="shared" si="15"/>
        <v>-9650</v>
      </c>
      <c r="CC251" s="47">
        <f t="shared" ref="CC251:CQ251" si="865">BC251-$BU251</f>
        <v>-1000</v>
      </c>
      <c r="CD251" s="47">
        <f t="shared" si="865"/>
        <v>-1000</v>
      </c>
      <c r="CE251" s="47">
        <f t="shared" si="865"/>
        <v>-1000</v>
      </c>
      <c r="CF251" s="47">
        <f t="shared" si="865"/>
        <v>-1000</v>
      </c>
      <c r="CG251" s="47">
        <f t="shared" si="865"/>
        <v>-1000</v>
      </c>
      <c r="CH251" s="47">
        <f t="shared" si="865"/>
        <v>-1000</v>
      </c>
      <c r="CI251" s="47">
        <f t="shared" si="865"/>
        <v>-1000</v>
      </c>
      <c r="CJ251" s="47">
        <f t="shared" si="865"/>
        <v>-1000</v>
      </c>
      <c r="CK251" s="47">
        <f t="shared" si="865"/>
        <v>-1000</v>
      </c>
      <c r="CL251" s="47">
        <f t="shared" si="865"/>
        <v>-1000</v>
      </c>
      <c r="CM251" s="47">
        <f t="shared" si="865"/>
        <v>-1000</v>
      </c>
      <c r="CN251" s="47">
        <f t="shared" si="865"/>
        <v>-1000</v>
      </c>
      <c r="CO251" s="47">
        <f t="shared" si="865"/>
        <v>-1000</v>
      </c>
      <c r="CP251" s="47">
        <f t="shared" si="865"/>
        <v>-1000</v>
      </c>
      <c r="CQ251" s="47">
        <f t="shared" si="865"/>
        <v>-1000</v>
      </c>
      <c r="CR251" s="47"/>
      <c r="CS251" s="47"/>
      <c r="CT251" s="47"/>
      <c r="CU251" s="50" t="str">
        <f>IFERROR(__xludf.DUMMYFUNCTION("""COMPUTED_VALUE"""),"6310 Lemmon Ave
Dallas, TX 75209          ")</f>
        <v>6310 Lemmon Ave
Dallas, TX 75209          </v>
      </c>
      <c r="CV251" s="51">
        <f>IFERROR(__xludf.DUMMYFUNCTION("IF(REGEXMATCH(UPPER(CU251), ""TX""),0,1)"),0.0)</f>
        <v>0</v>
      </c>
      <c r="CW251" s="51">
        <f>IFERROR(__xludf.DUMMYFUNCTION("IF(REGEXMATCH(UPPER(CU251), ""DALLAS""),0,1)"),0.0)</f>
        <v>0</v>
      </c>
      <c r="CX251" s="51">
        <f t="shared" si="17"/>
        <v>0</v>
      </c>
      <c r="CY251" s="51">
        <f t="shared" si="18"/>
        <v>0</v>
      </c>
      <c r="CZ251" s="52" t="str">
        <f t="shared" si="19"/>
        <v/>
      </c>
      <c r="DA251" s="58"/>
      <c r="DB251" s="52"/>
      <c r="DC251" s="52"/>
      <c r="DD251" s="52"/>
      <c r="DE251" s="52"/>
      <c r="DF251" s="52"/>
      <c r="DG251" s="52"/>
      <c r="DH251" s="52"/>
      <c r="DI251" s="52"/>
      <c r="DJ251" s="52"/>
      <c r="DK251" s="52"/>
      <c r="DL251" s="52"/>
      <c r="DM251" s="52"/>
      <c r="DN251" s="52"/>
      <c r="DO251" s="52"/>
      <c r="DP251" s="52"/>
      <c r="DQ251" s="52"/>
      <c r="DR251" s="52"/>
      <c r="DS251" s="52"/>
      <c r="DT251" s="52"/>
      <c r="DU251" s="52"/>
      <c r="DV251" s="52"/>
      <c r="DW251" s="52"/>
    </row>
    <row r="252">
      <c r="A252" s="22" t="s">
        <v>55</v>
      </c>
      <c r="B252" s="23" t="s">
        <v>56</v>
      </c>
      <c r="C252" s="31" t="s">
        <v>713</v>
      </c>
      <c r="D252" s="25" t="str">
        <f>IFERROR(__xludf.DUMMYFUNCTION("SPLIT(C252,"" "")"),"Taylor,")</f>
        <v>Taylor,</v>
      </c>
      <c r="E252" s="22" t="str">
        <f>IFERROR(__xludf.DUMMYFUNCTION("""COMPUTED_VALUE"""),"Lisa
923")</f>
        <v>Lisa
923</v>
      </c>
      <c r="F252" s="22" t="str">
        <f>IFERROR(__xludf.DUMMYFUNCTION("""COMPUTED_VALUE"""),"Salmon")</f>
        <v>Salmon</v>
      </c>
      <c r="G252" s="22" t="str">
        <f>IFERROR(__xludf.DUMMYFUNCTION("""COMPUTED_VALUE"""),"Dr.
Dallas,")</f>
        <v>Dr.
Dallas,</v>
      </c>
      <c r="H252" s="22" t="str">
        <f>IFERROR(__xludf.DUMMYFUNCTION("""COMPUTED_VALUE"""),"TX")</f>
        <v>TX</v>
      </c>
      <c r="I252" s="22">
        <f>IFERROR(__xludf.DUMMYFUNCTION("""COMPUTED_VALUE"""),75208.0)</f>
        <v>75208</v>
      </c>
      <c r="J252" s="22"/>
      <c r="K252" s="22"/>
      <c r="L252" s="22"/>
      <c r="M252" s="22"/>
      <c r="N252" s="22"/>
      <c r="O252" s="22"/>
      <c r="P252" s="22"/>
      <c r="Q252" s="22"/>
      <c r="R252" s="22"/>
      <c r="S252" s="22"/>
      <c r="T252" s="22"/>
      <c r="U252" s="24" t="str">
        <f>IFERROR(__xludf.DUMMYFUNCTION("SPLIT(E252,""01234567890"")"),"Lisa
")</f>
        <v>Lisa
</v>
      </c>
      <c r="V252" s="24" t="str">
        <f>IFERROR(__xludf.DUMMYFUNCTION("SPLIT(D252,"","")"),"Taylor")</f>
        <v>Taylor</v>
      </c>
      <c r="W252" s="25" t="str">
        <f t="shared" si="1"/>
        <v>LISA
 TAYLOR</v>
      </c>
      <c r="X252" s="25" t="s">
        <v>714</v>
      </c>
      <c r="Y252" s="25">
        <v>75208.0</v>
      </c>
      <c r="Z252" s="25" t="str">
        <f>IFERROR(__xludf.DUMMYFUNCTION("SPLIT(C252,""
"")"),"Taylor, Lisa")</f>
        <v>Taylor, Lisa</v>
      </c>
      <c r="AA252" s="25" t="str">
        <f>IFERROR(__xludf.DUMMYFUNCTION("""COMPUTED_VALUE"""),"923 Salmon Dr.")</f>
        <v>923 Salmon Dr.</v>
      </c>
      <c r="AB252" s="25" t="str">
        <f>IFERROR(__xludf.DUMMYFUNCTION("""COMPUTED_VALUE"""),"Dallas, TX 75208")</f>
        <v>Dallas, TX 75208</v>
      </c>
      <c r="AC252" s="24" t="s">
        <v>715</v>
      </c>
      <c r="AD252" s="25"/>
      <c r="AE252" s="25"/>
      <c r="AF252" s="25"/>
      <c r="AG252" s="22" t="s">
        <v>60</v>
      </c>
      <c r="AH252" s="54">
        <v>2441.0</v>
      </c>
      <c r="AI252" s="22" t="s">
        <v>61</v>
      </c>
      <c r="AJ252" s="27">
        <v>50.0</v>
      </c>
      <c r="AK252" s="31" t="s">
        <v>21</v>
      </c>
      <c r="AL252" s="28">
        <v>44742.0</v>
      </c>
      <c r="AM252" s="29">
        <v>44756.4640625</v>
      </c>
      <c r="AN252" s="30">
        <v>2.0</v>
      </c>
      <c r="AO252" s="22"/>
      <c r="AP252" s="22"/>
      <c r="AQ252" s="22"/>
      <c r="AR252" s="22"/>
      <c r="AS252" s="22"/>
      <c r="AT252" s="70"/>
      <c r="AU252" s="22"/>
      <c r="AV252" s="57" t="str">
        <f>IFERROR(__xludf.DUMMYFUNCTION("""COMPUTED_VALUE"""),"Johansen")</f>
        <v>Johansen</v>
      </c>
      <c r="AW252" s="46">
        <f t="shared" si="7"/>
        <v>500</v>
      </c>
      <c r="AX252" s="47">
        <f t="shared" ref="AX252:BQ252" si="866">SUMIFS($AJ:$AJ,$V:$V,$AV252,$AK:$AK,AX$2)</f>
        <v>0</v>
      </c>
      <c r="AY252" s="48">
        <f t="shared" si="866"/>
        <v>0</v>
      </c>
      <c r="AZ252" s="48">
        <f t="shared" si="866"/>
        <v>0</v>
      </c>
      <c r="BA252" s="48">
        <f t="shared" si="866"/>
        <v>0</v>
      </c>
      <c r="BB252" s="48">
        <f t="shared" si="866"/>
        <v>500</v>
      </c>
      <c r="BC252" s="48">
        <f t="shared" si="866"/>
        <v>0</v>
      </c>
      <c r="BD252" s="48">
        <f t="shared" si="866"/>
        <v>0</v>
      </c>
      <c r="BE252" s="48">
        <f t="shared" si="866"/>
        <v>0</v>
      </c>
      <c r="BF252" s="48">
        <f t="shared" si="866"/>
        <v>0</v>
      </c>
      <c r="BG252" s="48">
        <f t="shared" si="866"/>
        <v>0</v>
      </c>
      <c r="BH252" s="48">
        <f t="shared" si="866"/>
        <v>0</v>
      </c>
      <c r="BI252" s="48">
        <f t="shared" si="866"/>
        <v>0</v>
      </c>
      <c r="BJ252" s="48">
        <f t="shared" si="866"/>
        <v>0</v>
      </c>
      <c r="BK252" s="48">
        <f t="shared" si="866"/>
        <v>0</v>
      </c>
      <c r="BL252" s="48">
        <f t="shared" si="866"/>
        <v>0</v>
      </c>
      <c r="BM252" s="48">
        <f t="shared" si="866"/>
        <v>0</v>
      </c>
      <c r="BN252" s="48">
        <f t="shared" si="866"/>
        <v>0</v>
      </c>
      <c r="BO252" s="48">
        <f t="shared" si="866"/>
        <v>0</v>
      </c>
      <c r="BP252" s="48">
        <f t="shared" si="866"/>
        <v>0</v>
      </c>
      <c r="BQ252" s="48">
        <f t="shared" si="866"/>
        <v>0</v>
      </c>
      <c r="BR252" s="36">
        <f t="shared" si="9"/>
        <v>0</v>
      </c>
      <c r="BS252" s="38">
        <f t="shared" si="10"/>
        <v>1</v>
      </c>
      <c r="BT252" s="49">
        <f t="shared" si="11"/>
        <v>0</v>
      </c>
      <c r="BU252" s="38">
        <f t="shared" si="12"/>
        <v>1000</v>
      </c>
      <c r="BV252" s="57" t="str">
        <f>IFERROR(__xludf.DUMMYFUNCTION("""COMPUTED_VALUE"""),"Johansen")</f>
        <v>Johansen</v>
      </c>
      <c r="BW252" s="46">
        <f t="shared" si="13"/>
        <v>500</v>
      </c>
      <c r="BX252" s="47">
        <f t="shared" ref="BX252:CA252" si="867">AX252-$BU252</f>
        <v>-1000</v>
      </c>
      <c r="BY252" s="47">
        <f t="shared" si="867"/>
        <v>-1000</v>
      </c>
      <c r="BZ252" s="47">
        <f t="shared" si="867"/>
        <v>-1000</v>
      </c>
      <c r="CA252" s="47">
        <f t="shared" si="867"/>
        <v>-1000</v>
      </c>
      <c r="CB252" s="47">
        <f t="shared" si="15"/>
        <v>-9500</v>
      </c>
      <c r="CC252" s="47">
        <f t="shared" ref="CC252:CQ252" si="868">BC252-$BU252</f>
        <v>-1000</v>
      </c>
      <c r="CD252" s="47">
        <f t="shared" si="868"/>
        <v>-1000</v>
      </c>
      <c r="CE252" s="47">
        <f t="shared" si="868"/>
        <v>-1000</v>
      </c>
      <c r="CF252" s="47">
        <f t="shared" si="868"/>
        <v>-1000</v>
      </c>
      <c r="CG252" s="47">
        <f t="shared" si="868"/>
        <v>-1000</v>
      </c>
      <c r="CH252" s="47">
        <f t="shared" si="868"/>
        <v>-1000</v>
      </c>
      <c r="CI252" s="47">
        <f t="shared" si="868"/>
        <v>-1000</v>
      </c>
      <c r="CJ252" s="47">
        <f t="shared" si="868"/>
        <v>-1000</v>
      </c>
      <c r="CK252" s="47">
        <f t="shared" si="868"/>
        <v>-1000</v>
      </c>
      <c r="CL252" s="47">
        <f t="shared" si="868"/>
        <v>-1000</v>
      </c>
      <c r="CM252" s="47">
        <f t="shared" si="868"/>
        <v>-1000</v>
      </c>
      <c r="CN252" s="47">
        <f t="shared" si="868"/>
        <v>-1000</v>
      </c>
      <c r="CO252" s="47">
        <f t="shared" si="868"/>
        <v>-1000</v>
      </c>
      <c r="CP252" s="47">
        <f t="shared" si="868"/>
        <v>-1000</v>
      </c>
      <c r="CQ252" s="47">
        <f t="shared" si="868"/>
        <v>-1000</v>
      </c>
      <c r="CR252" s="47"/>
      <c r="CS252" s="47"/>
      <c r="CT252" s="47"/>
      <c r="CU252" s="50" t="str">
        <f>IFERROR(__xludf.DUMMYFUNCTION("""COMPUTED_VALUE"""),"4240 Prescott Ave
Dallas, TX 75219          ")</f>
        <v>4240 Prescott Ave
Dallas, TX 75219          </v>
      </c>
      <c r="CV252" s="51">
        <f>IFERROR(__xludf.DUMMYFUNCTION("IF(REGEXMATCH(UPPER(CU252), ""TX""),0,1)"),0.0)</f>
        <v>0</v>
      </c>
      <c r="CW252" s="51">
        <f>IFERROR(__xludf.DUMMYFUNCTION("IF(REGEXMATCH(UPPER(CU252), ""DALLAS""),0,1)"),0.0)</f>
        <v>0</v>
      </c>
      <c r="CX252" s="51">
        <f t="shared" si="17"/>
        <v>0</v>
      </c>
      <c r="CY252" s="51">
        <f t="shared" si="18"/>
        <v>0</v>
      </c>
      <c r="CZ252" s="52" t="str">
        <f t="shared" si="19"/>
        <v/>
      </c>
      <c r="DA252" s="58"/>
      <c r="DB252" s="52"/>
      <c r="DC252" s="52"/>
      <c r="DD252" s="52"/>
      <c r="DE252" s="52"/>
      <c r="DF252" s="52"/>
      <c r="DG252" s="52"/>
      <c r="DH252" s="52"/>
      <c r="DI252" s="52"/>
      <c r="DJ252" s="52"/>
      <c r="DK252" s="52"/>
      <c r="DL252" s="52"/>
      <c r="DM252" s="52"/>
      <c r="DN252" s="52"/>
      <c r="DO252" s="52"/>
      <c r="DP252" s="52"/>
      <c r="DQ252" s="52"/>
      <c r="DR252" s="52"/>
      <c r="DS252" s="52"/>
      <c r="DT252" s="52"/>
      <c r="DU252" s="52"/>
      <c r="DV252" s="52"/>
      <c r="DW252" s="52"/>
    </row>
    <row r="253">
      <c r="A253" s="40" t="s">
        <v>55</v>
      </c>
      <c r="B253" s="41" t="s">
        <v>56</v>
      </c>
      <c r="C253" s="31" t="s">
        <v>716</v>
      </c>
      <c r="D253" s="25" t="str">
        <f>IFERROR(__xludf.DUMMYFUNCTION("SPLIT(C253,"" "")"),"Donathan,")</f>
        <v>Donathan,</v>
      </c>
      <c r="E253" s="40" t="str">
        <f>IFERROR(__xludf.DUMMYFUNCTION("""COMPUTED_VALUE"""),"Marsha
12101")</f>
        <v>Marsha
12101</v>
      </c>
      <c r="F253" s="40" t="str">
        <f>IFERROR(__xludf.DUMMYFUNCTION("""COMPUTED_VALUE"""),"Trinity")</f>
        <v>Trinity</v>
      </c>
      <c r="G253" s="40" t="str">
        <f>IFERROR(__xludf.DUMMYFUNCTION("""COMPUTED_VALUE"""),"Blvd.
Euless,")</f>
        <v>Blvd.
Euless,</v>
      </c>
      <c r="H253" s="40" t="str">
        <f>IFERROR(__xludf.DUMMYFUNCTION("""COMPUTED_VALUE"""),"TX")</f>
        <v>TX</v>
      </c>
      <c r="I253" s="40">
        <f>IFERROR(__xludf.DUMMYFUNCTION("""COMPUTED_VALUE"""),76040.0)</f>
        <v>76040</v>
      </c>
      <c r="J253" s="40"/>
      <c r="K253" s="40"/>
      <c r="L253" s="40"/>
      <c r="M253" s="40"/>
      <c r="N253" s="40"/>
      <c r="O253" s="40"/>
      <c r="P253" s="40"/>
      <c r="Q253" s="40"/>
      <c r="R253" s="40"/>
      <c r="S253" s="40"/>
      <c r="T253" s="40"/>
      <c r="U253" s="24" t="str">
        <f>IFERROR(__xludf.DUMMYFUNCTION("SPLIT(E253,""01234567890"")"),"Marsha
")</f>
        <v>Marsha
</v>
      </c>
      <c r="V253" s="24" t="str">
        <f>IFERROR(__xludf.DUMMYFUNCTION("SPLIT(D253,"","")"),"Donathan")</f>
        <v>Donathan</v>
      </c>
      <c r="W253" s="25" t="str">
        <f t="shared" si="1"/>
        <v>MARSHA
 DONATHAN</v>
      </c>
      <c r="X253" s="25" t="s">
        <v>717</v>
      </c>
      <c r="Y253" s="25">
        <v>76040.0</v>
      </c>
      <c r="Z253" s="25" t="str">
        <f>IFERROR(__xludf.DUMMYFUNCTION("SPLIT(C253,""
"")"),"Donathan, Marsha")</f>
        <v>Donathan, Marsha</v>
      </c>
      <c r="AA253" s="25" t="str">
        <f>IFERROR(__xludf.DUMMYFUNCTION("""COMPUTED_VALUE"""),"12101 Trinity Blvd.")</f>
        <v>12101 Trinity Blvd.</v>
      </c>
      <c r="AB253" s="25" t="str">
        <f>IFERROR(__xludf.DUMMYFUNCTION("""COMPUTED_VALUE"""),"Euless, TX 76040")</f>
        <v>Euless, TX 76040</v>
      </c>
      <c r="AC253" s="24" t="s">
        <v>718</v>
      </c>
      <c r="AD253" s="25"/>
      <c r="AE253" s="25"/>
      <c r="AF253" s="25"/>
      <c r="AG253" s="40" t="s">
        <v>60</v>
      </c>
      <c r="AH253" s="42">
        <v>2441.0</v>
      </c>
      <c r="AI253" s="40" t="s">
        <v>61</v>
      </c>
      <c r="AJ253" s="27">
        <v>500.0</v>
      </c>
      <c r="AK253" s="31" t="s">
        <v>21</v>
      </c>
      <c r="AL253" s="43">
        <v>44742.0</v>
      </c>
      <c r="AM253" s="44">
        <v>44756.4640625</v>
      </c>
      <c r="AN253" s="30">
        <v>2.0</v>
      </c>
      <c r="AO253" s="40"/>
      <c r="AP253" s="40"/>
      <c r="AQ253" s="40"/>
      <c r="AR253" s="40"/>
      <c r="AS253" s="40"/>
      <c r="AT253" s="47"/>
      <c r="AU253" s="40"/>
      <c r="AV253" s="46" t="str">
        <f>IFERROR(__xludf.DUMMYFUNCTION("""COMPUTED_VALUE"""),"Santa-Maria")</f>
        <v>Santa-Maria</v>
      </c>
      <c r="AW253" s="46">
        <f t="shared" si="7"/>
        <v>2000</v>
      </c>
      <c r="AX253" s="47">
        <f t="shared" ref="AX253:BQ253" si="869">SUMIFS($AJ:$AJ,$V:$V,$AV253,$AK:$AK,AX$2)</f>
        <v>0</v>
      </c>
      <c r="AY253" s="48">
        <f t="shared" si="869"/>
        <v>0</v>
      </c>
      <c r="AZ253" s="48">
        <f t="shared" si="869"/>
        <v>0</v>
      </c>
      <c r="BA253" s="48">
        <f t="shared" si="869"/>
        <v>0</v>
      </c>
      <c r="BB253" s="48">
        <f t="shared" si="869"/>
        <v>1000</v>
      </c>
      <c r="BC253" s="48">
        <f t="shared" si="869"/>
        <v>0</v>
      </c>
      <c r="BD253" s="48">
        <f t="shared" si="869"/>
        <v>1000</v>
      </c>
      <c r="BE253" s="48">
        <f t="shared" si="869"/>
        <v>0</v>
      </c>
      <c r="BF253" s="48">
        <f t="shared" si="869"/>
        <v>0</v>
      </c>
      <c r="BG253" s="48">
        <f t="shared" si="869"/>
        <v>0</v>
      </c>
      <c r="BH253" s="48">
        <f t="shared" si="869"/>
        <v>0</v>
      </c>
      <c r="BI253" s="48">
        <f t="shared" si="869"/>
        <v>0</v>
      </c>
      <c r="BJ253" s="48">
        <f t="shared" si="869"/>
        <v>0</v>
      </c>
      <c r="BK253" s="48">
        <f t="shared" si="869"/>
        <v>0</v>
      </c>
      <c r="BL253" s="48">
        <f t="shared" si="869"/>
        <v>0</v>
      </c>
      <c r="BM253" s="48">
        <f t="shared" si="869"/>
        <v>0</v>
      </c>
      <c r="BN253" s="48">
        <f t="shared" si="869"/>
        <v>0</v>
      </c>
      <c r="BO253" s="48">
        <f t="shared" si="869"/>
        <v>0</v>
      </c>
      <c r="BP253" s="48">
        <f t="shared" si="869"/>
        <v>0</v>
      </c>
      <c r="BQ253" s="48">
        <f t="shared" si="869"/>
        <v>0</v>
      </c>
      <c r="BR253" s="36">
        <f t="shared" si="9"/>
        <v>1</v>
      </c>
      <c r="BS253" s="38">
        <f t="shared" si="10"/>
        <v>2</v>
      </c>
      <c r="BT253" s="49">
        <f t="shared" si="11"/>
        <v>0</v>
      </c>
      <c r="BU253" s="38">
        <f t="shared" si="12"/>
        <v>2000</v>
      </c>
      <c r="BV253" s="46" t="str">
        <f>IFERROR(__xludf.DUMMYFUNCTION("""COMPUTED_VALUE"""),"Santa-Maria")</f>
        <v>Santa-Maria</v>
      </c>
      <c r="BW253" s="46">
        <f t="shared" si="13"/>
        <v>2000</v>
      </c>
      <c r="BX253" s="47">
        <f t="shared" ref="BX253:CA253" si="870">AX253-$BU253</f>
        <v>-2000</v>
      </c>
      <c r="BY253" s="47">
        <f t="shared" si="870"/>
        <v>-2000</v>
      </c>
      <c r="BZ253" s="47">
        <f t="shared" si="870"/>
        <v>-2000</v>
      </c>
      <c r="CA253" s="47">
        <f t="shared" si="870"/>
        <v>-2000</v>
      </c>
      <c r="CB253" s="47">
        <f t="shared" si="15"/>
        <v>-19000</v>
      </c>
      <c r="CC253" s="47">
        <f t="shared" ref="CC253:CQ253" si="871">BC253-$BU253</f>
        <v>-2000</v>
      </c>
      <c r="CD253" s="47">
        <f t="shared" si="871"/>
        <v>-1000</v>
      </c>
      <c r="CE253" s="47">
        <f t="shared" si="871"/>
        <v>-2000</v>
      </c>
      <c r="CF253" s="47">
        <f t="shared" si="871"/>
        <v>-2000</v>
      </c>
      <c r="CG253" s="47">
        <f t="shared" si="871"/>
        <v>-2000</v>
      </c>
      <c r="CH253" s="47">
        <f t="shared" si="871"/>
        <v>-2000</v>
      </c>
      <c r="CI253" s="47">
        <f t="shared" si="871"/>
        <v>-2000</v>
      </c>
      <c r="CJ253" s="47">
        <f t="shared" si="871"/>
        <v>-2000</v>
      </c>
      <c r="CK253" s="47">
        <f t="shared" si="871"/>
        <v>-2000</v>
      </c>
      <c r="CL253" s="47">
        <f t="shared" si="871"/>
        <v>-2000</v>
      </c>
      <c r="CM253" s="47">
        <f t="shared" si="871"/>
        <v>-2000</v>
      </c>
      <c r="CN253" s="47">
        <f t="shared" si="871"/>
        <v>-2000</v>
      </c>
      <c r="CO253" s="47">
        <f t="shared" si="871"/>
        <v>-2000</v>
      </c>
      <c r="CP253" s="47">
        <f t="shared" si="871"/>
        <v>-2000</v>
      </c>
      <c r="CQ253" s="47">
        <f t="shared" si="871"/>
        <v>-2000</v>
      </c>
      <c r="CR253" s="47"/>
      <c r="CS253" s="47"/>
      <c r="CT253" s="47"/>
      <c r="CU253" s="50" t="str">
        <f>IFERROR(__xludf.DUMMYFUNCTION("""COMPUTED_VALUE"""),"8523 Thackery St
Dallas, TX 75225          ")</f>
        <v>8523 Thackery St
Dallas, TX 75225          </v>
      </c>
      <c r="CV253" s="51">
        <f>IFERROR(__xludf.DUMMYFUNCTION("IF(REGEXMATCH(UPPER(CU253), ""TX""),0,1)"),0.0)</f>
        <v>0</v>
      </c>
      <c r="CW253" s="51">
        <f>IFERROR(__xludf.DUMMYFUNCTION("IF(REGEXMATCH(UPPER(CU253), ""DALLAS""),0,1)"),0.0)</f>
        <v>0</v>
      </c>
      <c r="CX253" s="51">
        <f t="shared" si="17"/>
        <v>0</v>
      </c>
      <c r="CY253" s="51">
        <f t="shared" si="18"/>
        <v>0</v>
      </c>
      <c r="CZ253" s="52" t="str">
        <f t="shared" si="19"/>
        <v/>
      </c>
      <c r="DA253" s="58"/>
      <c r="DB253" s="52"/>
      <c r="DC253" s="52"/>
      <c r="DD253" s="52"/>
      <c r="DE253" s="52"/>
      <c r="DF253" s="52"/>
      <c r="DG253" s="52"/>
      <c r="DH253" s="52"/>
      <c r="DI253" s="52"/>
      <c r="DJ253" s="52"/>
      <c r="DK253" s="52"/>
      <c r="DL253" s="52"/>
      <c r="DM253" s="52"/>
      <c r="DN253" s="52"/>
      <c r="DO253" s="52"/>
      <c r="DP253" s="52"/>
      <c r="DQ253" s="52"/>
      <c r="DR253" s="52"/>
      <c r="DS253" s="52"/>
      <c r="DT253" s="52"/>
      <c r="DU253" s="52"/>
      <c r="DV253" s="52"/>
      <c r="DW253" s="52"/>
    </row>
    <row r="254">
      <c r="A254" s="22" t="s">
        <v>55</v>
      </c>
      <c r="B254" s="23" t="s">
        <v>56</v>
      </c>
      <c r="C254" s="31" t="s">
        <v>719</v>
      </c>
      <c r="D254" s="25" t="str">
        <f>IFERROR(__xludf.DUMMYFUNCTION("SPLIT(C254,"" "")"),"Hunt,")</f>
        <v>Hunt,</v>
      </c>
      <c r="E254" s="22" t="str">
        <f>IFERROR(__xludf.DUMMYFUNCTION("""COMPUTED_VALUE"""),"Ray
1900")</f>
        <v>Ray
1900</v>
      </c>
      <c r="F254" s="22" t="str">
        <f>IFERROR(__xludf.DUMMYFUNCTION("""COMPUTED_VALUE"""),"N.")</f>
        <v>N.</v>
      </c>
      <c r="G254" s="22" t="str">
        <f>IFERROR(__xludf.DUMMYFUNCTION("""COMPUTED_VALUE"""),"Akard")</f>
        <v>Akard</v>
      </c>
      <c r="H254" s="22" t="str">
        <f>IFERROR(__xludf.DUMMYFUNCTION("""COMPUTED_VALUE"""),"St.
Dallas,")</f>
        <v>St.
Dallas,</v>
      </c>
      <c r="I254" s="22" t="str">
        <f>IFERROR(__xludf.DUMMYFUNCTION("""COMPUTED_VALUE"""),"TX")</f>
        <v>TX</v>
      </c>
      <c r="J254" s="22">
        <f>IFERROR(__xludf.DUMMYFUNCTION("""COMPUTED_VALUE"""),75201.0)</f>
        <v>75201</v>
      </c>
      <c r="K254" s="22"/>
      <c r="L254" s="22"/>
      <c r="M254" s="22"/>
      <c r="N254" s="22"/>
      <c r="O254" s="22"/>
      <c r="P254" s="22"/>
      <c r="Q254" s="22"/>
      <c r="R254" s="22"/>
      <c r="S254" s="22"/>
      <c r="T254" s="22"/>
      <c r="U254" s="24" t="str">
        <f>IFERROR(__xludf.DUMMYFUNCTION("SPLIT(E254,""01234567890"")"),"Ray
")</f>
        <v>Ray
</v>
      </c>
      <c r="V254" s="24" t="str">
        <f>IFERROR(__xludf.DUMMYFUNCTION("SPLIT(D254,"","")"),"Hunt")</f>
        <v>Hunt</v>
      </c>
      <c r="W254" s="25" t="str">
        <f t="shared" si="1"/>
        <v>RAY
 HUNT</v>
      </c>
      <c r="X254" s="25" t="s">
        <v>720</v>
      </c>
      <c r="Y254" s="25">
        <v>75201.0</v>
      </c>
      <c r="Z254" s="25" t="str">
        <f>IFERROR(__xludf.DUMMYFUNCTION("SPLIT(C254,""
"")"),"Hunt, Ray")</f>
        <v>Hunt, Ray</v>
      </c>
      <c r="AA254" s="25" t="str">
        <f>IFERROR(__xludf.DUMMYFUNCTION("""COMPUTED_VALUE"""),"1900 N. Akard St.")</f>
        <v>1900 N. Akard St.</v>
      </c>
      <c r="AB254" s="25" t="str">
        <f>IFERROR(__xludf.DUMMYFUNCTION("""COMPUTED_VALUE"""),"Dallas, TX 75201")</f>
        <v>Dallas, TX 75201</v>
      </c>
      <c r="AC254" s="24" t="s">
        <v>721</v>
      </c>
      <c r="AD254" s="25"/>
      <c r="AE254" s="25"/>
      <c r="AF254" s="25"/>
      <c r="AG254" s="22" t="s">
        <v>60</v>
      </c>
      <c r="AH254" s="54">
        <v>2441.0</v>
      </c>
      <c r="AI254" s="22" t="s">
        <v>61</v>
      </c>
      <c r="AJ254" s="27">
        <v>1000.0</v>
      </c>
      <c r="AK254" s="31" t="s">
        <v>21</v>
      </c>
      <c r="AL254" s="28">
        <v>44742.0</v>
      </c>
      <c r="AM254" s="29">
        <v>44756.4640625</v>
      </c>
      <c r="AN254" s="30">
        <v>2.0</v>
      </c>
      <c r="AO254" s="22"/>
      <c r="AP254" s="22"/>
      <c r="AQ254" s="22"/>
      <c r="AR254" s="22"/>
      <c r="AS254" s="22"/>
      <c r="AT254" s="70"/>
      <c r="AU254" s="22"/>
      <c r="AV254" s="57" t="str">
        <f>IFERROR(__xludf.DUMMYFUNCTION("""COMPUTED_VALUE"""),"Fleiss")</f>
        <v>Fleiss</v>
      </c>
      <c r="AW254" s="46">
        <f t="shared" si="7"/>
        <v>1350</v>
      </c>
      <c r="AX254" s="47">
        <f t="shared" ref="AX254:BQ254" si="872">SUMIFS($AJ:$AJ,$V:$V,$AV254,$AK:$AK,AX$2)</f>
        <v>0</v>
      </c>
      <c r="AY254" s="48">
        <f t="shared" si="872"/>
        <v>0</v>
      </c>
      <c r="AZ254" s="48">
        <f t="shared" si="872"/>
        <v>0</v>
      </c>
      <c r="BA254" s="48">
        <f t="shared" si="872"/>
        <v>0</v>
      </c>
      <c r="BB254" s="48">
        <f t="shared" si="872"/>
        <v>1350</v>
      </c>
      <c r="BC254" s="48">
        <f t="shared" si="872"/>
        <v>0</v>
      </c>
      <c r="BD254" s="48">
        <f t="shared" si="872"/>
        <v>0</v>
      </c>
      <c r="BE254" s="48">
        <f t="shared" si="872"/>
        <v>0</v>
      </c>
      <c r="BF254" s="48">
        <f t="shared" si="872"/>
        <v>0</v>
      </c>
      <c r="BG254" s="48">
        <f t="shared" si="872"/>
        <v>0</v>
      </c>
      <c r="BH254" s="48">
        <f t="shared" si="872"/>
        <v>0</v>
      </c>
      <c r="BI254" s="48">
        <f t="shared" si="872"/>
        <v>0</v>
      </c>
      <c r="BJ254" s="48">
        <f t="shared" si="872"/>
        <v>0</v>
      </c>
      <c r="BK254" s="48">
        <f t="shared" si="872"/>
        <v>0</v>
      </c>
      <c r="BL254" s="48">
        <f t="shared" si="872"/>
        <v>0</v>
      </c>
      <c r="BM254" s="48">
        <f t="shared" si="872"/>
        <v>0</v>
      </c>
      <c r="BN254" s="48">
        <f t="shared" si="872"/>
        <v>0</v>
      </c>
      <c r="BO254" s="48">
        <f t="shared" si="872"/>
        <v>0</v>
      </c>
      <c r="BP254" s="48">
        <f t="shared" si="872"/>
        <v>0</v>
      </c>
      <c r="BQ254" s="48">
        <f t="shared" si="872"/>
        <v>0</v>
      </c>
      <c r="BR254" s="36">
        <f t="shared" si="9"/>
        <v>0</v>
      </c>
      <c r="BS254" s="38">
        <f t="shared" si="10"/>
        <v>1</v>
      </c>
      <c r="BT254" s="49">
        <f t="shared" si="11"/>
        <v>0</v>
      </c>
      <c r="BU254" s="38">
        <f t="shared" si="12"/>
        <v>1000</v>
      </c>
      <c r="BV254" s="57" t="str">
        <f>IFERROR(__xludf.DUMMYFUNCTION("""COMPUTED_VALUE"""),"Fleiss")</f>
        <v>Fleiss</v>
      </c>
      <c r="BW254" s="46">
        <f t="shared" si="13"/>
        <v>1350</v>
      </c>
      <c r="BX254" s="47">
        <f t="shared" ref="BX254:CA254" si="873">AX254-$BU254</f>
        <v>-1000</v>
      </c>
      <c r="BY254" s="47">
        <f t="shared" si="873"/>
        <v>-1000</v>
      </c>
      <c r="BZ254" s="47">
        <f t="shared" si="873"/>
        <v>-1000</v>
      </c>
      <c r="CA254" s="47">
        <f t="shared" si="873"/>
        <v>-1000</v>
      </c>
      <c r="CB254" s="47">
        <f t="shared" si="15"/>
        <v>-8650</v>
      </c>
      <c r="CC254" s="47">
        <f t="shared" ref="CC254:CQ254" si="874">BC254-$BU254</f>
        <v>-1000</v>
      </c>
      <c r="CD254" s="47">
        <f t="shared" si="874"/>
        <v>-1000</v>
      </c>
      <c r="CE254" s="47">
        <f t="shared" si="874"/>
        <v>-1000</v>
      </c>
      <c r="CF254" s="47">
        <f t="shared" si="874"/>
        <v>-1000</v>
      </c>
      <c r="CG254" s="47">
        <f t="shared" si="874"/>
        <v>-1000</v>
      </c>
      <c r="CH254" s="47">
        <f t="shared" si="874"/>
        <v>-1000</v>
      </c>
      <c r="CI254" s="47">
        <f t="shared" si="874"/>
        <v>-1000</v>
      </c>
      <c r="CJ254" s="47">
        <f t="shared" si="874"/>
        <v>-1000</v>
      </c>
      <c r="CK254" s="47">
        <f t="shared" si="874"/>
        <v>-1000</v>
      </c>
      <c r="CL254" s="47">
        <f t="shared" si="874"/>
        <v>-1000</v>
      </c>
      <c r="CM254" s="47">
        <f t="shared" si="874"/>
        <v>-1000</v>
      </c>
      <c r="CN254" s="47">
        <f t="shared" si="874"/>
        <v>-1000</v>
      </c>
      <c r="CO254" s="47">
        <f t="shared" si="874"/>
        <v>-1000</v>
      </c>
      <c r="CP254" s="47">
        <f t="shared" si="874"/>
        <v>-1000</v>
      </c>
      <c r="CQ254" s="47">
        <f t="shared" si="874"/>
        <v>-1000</v>
      </c>
      <c r="CR254" s="47"/>
      <c r="CS254" s="47"/>
      <c r="CT254" s="47"/>
      <c r="CU254" s="50" t="str">
        <f>IFERROR(__xludf.DUMMYFUNCTION("""COMPUTED_VALUE"""),"515 W Main St
Allen, TX 75013         ")</f>
        <v>515 W Main St
Allen, TX 75013         </v>
      </c>
      <c r="CV254" s="51">
        <f>IFERROR(__xludf.DUMMYFUNCTION("IF(REGEXMATCH(UPPER(CU254), ""TX""),0,1)"),0.0)</f>
        <v>0</v>
      </c>
      <c r="CW254" s="51">
        <f>IFERROR(__xludf.DUMMYFUNCTION("IF(REGEXMATCH(UPPER(CU254), ""DALLAS""),0,1)"),1.0)</f>
        <v>1</v>
      </c>
      <c r="CX254" s="51">
        <f t="shared" si="17"/>
        <v>0</v>
      </c>
      <c r="CY254" s="51">
        <f t="shared" si="18"/>
        <v>250</v>
      </c>
      <c r="CZ254" s="52" t="str">
        <f t="shared" si="19"/>
        <v>515 W Main St
Allen, TX 75013         </v>
      </c>
      <c r="DA254" s="58"/>
      <c r="DB254" s="52"/>
      <c r="DC254" s="52"/>
      <c r="DD254" s="52"/>
      <c r="DE254" s="52"/>
      <c r="DF254" s="52"/>
      <c r="DG254" s="52"/>
      <c r="DH254" s="52"/>
      <c r="DI254" s="52"/>
      <c r="DJ254" s="52"/>
      <c r="DK254" s="52"/>
      <c r="DL254" s="52"/>
      <c r="DM254" s="52"/>
      <c r="DN254" s="52"/>
      <c r="DO254" s="52"/>
      <c r="DP254" s="52"/>
      <c r="DQ254" s="52"/>
      <c r="DR254" s="52"/>
      <c r="DS254" s="52"/>
      <c r="DT254" s="52"/>
      <c r="DU254" s="52"/>
      <c r="DV254" s="52"/>
      <c r="DW254" s="52"/>
    </row>
    <row r="255">
      <c r="A255" s="40" t="s">
        <v>55</v>
      </c>
      <c r="B255" s="41" t="s">
        <v>56</v>
      </c>
      <c r="C255" s="31" t="s">
        <v>722</v>
      </c>
      <c r="D255" s="25" t="str">
        <f>IFERROR(__xludf.DUMMYFUNCTION("SPLIT(C255,"" "")"),"Holloway,")</f>
        <v>Holloway,</v>
      </c>
      <c r="E255" s="40" t="str">
        <f>IFERROR(__xludf.DUMMYFUNCTION("""COMPUTED_VALUE"""),"Ryan
4325")</f>
        <v>Ryan
4325</v>
      </c>
      <c r="F255" s="40" t="str">
        <f>IFERROR(__xludf.DUMMYFUNCTION("""COMPUTED_VALUE"""),"Elm")</f>
        <v>Elm</v>
      </c>
      <c r="G255" s="40" t="str">
        <f>IFERROR(__xludf.DUMMYFUNCTION("""COMPUTED_VALUE"""),"St.
Dallas,")</f>
        <v>St.
Dallas,</v>
      </c>
      <c r="H255" s="40" t="str">
        <f>IFERROR(__xludf.DUMMYFUNCTION("""COMPUTED_VALUE"""),"TX")</f>
        <v>TX</v>
      </c>
      <c r="I255" s="40">
        <f>IFERROR(__xludf.DUMMYFUNCTION("""COMPUTED_VALUE"""),75226.0)</f>
        <v>75226</v>
      </c>
      <c r="J255" s="40"/>
      <c r="K255" s="40"/>
      <c r="L255" s="40"/>
      <c r="M255" s="40"/>
      <c r="N255" s="40"/>
      <c r="O255" s="40"/>
      <c r="P255" s="40"/>
      <c r="Q255" s="40"/>
      <c r="R255" s="40"/>
      <c r="S255" s="40"/>
      <c r="T255" s="40"/>
      <c r="U255" s="24" t="str">
        <f>IFERROR(__xludf.DUMMYFUNCTION("SPLIT(E255,""01234567890"")"),"Ryan
")</f>
        <v>Ryan
</v>
      </c>
      <c r="V255" s="24" t="str">
        <f>IFERROR(__xludf.DUMMYFUNCTION("SPLIT(D255,"","")"),"Holloway")</f>
        <v>Holloway</v>
      </c>
      <c r="W255" s="25" t="str">
        <f t="shared" si="1"/>
        <v>RYAN
 HOLLOWAY</v>
      </c>
      <c r="X255" s="25" t="s">
        <v>723</v>
      </c>
      <c r="Y255" s="25">
        <v>75226.0</v>
      </c>
      <c r="Z255" s="25" t="str">
        <f>IFERROR(__xludf.DUMMYFUNCTION("SPLIT(C255,""
"")"),"Holloway, Ryan")</f>
        <v>Holloway, Ryan</v>
      </c>
      <c r="AA255" s="25" t="str">
        <f>IFERROR(__xludf.DUMMYFUNCTION("""COMPUTED_VALUE"""),"4325 Elm St.")</f>
        <v>4325 Elm St.</v>
      </c>
      <c r="AB255" s="25" t="str">
        <f>IFERROR(__xludf.DUMMYFUNCTION("""COMPUTED_VALUE"""),"Dallas, TX 75226")</f>
        <v>Dallas, TX 75226</v>
      </c>
      <c r="AC255" s="24" t="s">
        <v>724</v>
      </c>
      <c r="AD255" s="25"/>
      <c r="AE255" s="25"/>
      <c r="AF255" s="25"/>
      <c r="AG255" s="40" t="s">
        <v>60</v>
      </c>
      <c r="AH255" s="42">
        <v>2441.0</v>
      </c>
      <c r="AI255" s="40" t="s">
        <v>61</v>
      </c>
      <c r="AJ255" s="27">
        <v>100.0</v>
      </c>
      <c r="AK255" s="31" t="s">
        <v>21</v>
      </c>
      <c r="AL255" s="43">
        <v>44742.0</v>
      </c>
      <c r="AM255" s="44">
        <v>44756.4640625</v>
      </c>
      <c r="AN255" s="30">
        <v>2.0</v>
      </c>
      <c r="AO255" s="40"/>
      <c r="AP255" s="40"/>
      <c r="AQ255" s="40"/>
      <c r="AR255" s="40"/>
      <c r="AS255" s="40"/>
      <c r="AT255" s="47"/>
      <c r="AU255" s="40"/>
      <c r="AV255" s="46" t="str">
        <f>IFERROR(__xludf.DUMMYFUNCTION("""COMPUTED_VALUE"""),"Heckler")</f>
        <v>Heckler</v>
      </c>
      <c r="AW255" s="46">
        <f t="shared" si="7"/>
        <v>1000</v>
      </c>
      <c r="AX255" s="47">
        <f t="shared" ref="AX255:BQ255" si="875">SUMIFS($AJ:$AJ,$V:$V,$AV255,$AK:$AK,AX$2)</f>
        <v>0</v>
      </c>
      <c r="AY255" s="48">
        <f t="shared" si="875"/>
        <v>0</v>
      </c>
      <c r="AZ255" s="48">
        <f t="shared" si="875"/>
        <v>0</v>
      </c>
      <c r="BA255" s="48">
        <f t="shared" si="875"/>
        <v>0</v>
      </c>
      <c r="BB255" s="48">
        <f t="shared" si="875"/>
        <v>1000</v>
      </c>
      <c r="BC255" s="48">
        <f t="shared" si="875"/>
        <v>0</v>
      </c>
      <c r="BD255" s="48">
        <f t="shared" si="875"/>
        <v>0</v>
      </c>
      <c r="BE255" s="48">
        <f t="shared" si="875"/>
        <v>0</v>
      </c>
      <c r="BF255" s="48">
        <f t="shared" si="875"/>
        <v>0</v>
      </c>
      <c r="BG255" s="48">
        <f t="shared" si="875"/>
        <v>0</v>
      </c>
      <c r="BH255" s="48">
        <f t="shared" si="875"/>
        <v>0</v>
      </c>
      <c r="BI255" s="48">
        <f t="shared" si="875"/>
        <v>0</v>
      </c>
      <c r="BJ255" s="48">
        <f t="shared" si="875"/>
        <v>0</v>
      </c>
      <c r="BK255" s="48">
        <f t="shared" si="875"/>
        <v>0</v>
      </c>
      <c r="BL255" s="48">
        <f t="shared" si="875"/>
        <v>0</v>
      </c>
      <c r="BM255" s="48">
        <f t="shared" si="875"/>
        <v>0</v>
      </c>
      <c r="BN255" s="48">
        <f t="shared" si="875"/>
        <v>0</v>
      </c>
      <c r="BO255" s="48">
        <f t="shared" si="875"/>
        <v>0</v>
      </c>
      <c r="BP255" s="48">
        <f t="shared" si="875"/>
        <v>0</v>
      </c>
      <c r="BQ255" s="48">
        <f t="shared" si="875"/>
        <v>0</v>
      </c>
      <c r="BR255" s="36">
        <f t="shared" si="9"/>
        <v>0</v>
      </c>
      <c r="BS255" s="38">
        <f t="shared" si="10"/>
        <v>1</v>
      </c>
      <c r="BT255" s="49">
        <f t="shared" si="11"/>
        <v>0</v>
      </c>
      <c r="BU255" s="38">
        <f t="shared" si="12"/>
        <v>1000</v>
      </c>
      <c r="BV255" s="46" t="str">
        <f>IFERROR(__xludf.DUMMYFUNCTION("""COMPUTED_VALUE"""),"Heckler")</f>
        <v>Heckler</v>
      </c>
      <c r="BW255" s="46">
        <f t="shared" si="13"/>
        <v>1000</v>
      </c>
      <c r="BX255" s="47">
        <f t="shared" ref="BX255:CA255" si="876">AX255-$BU255</f>
        <v>-1000</v>
      </c>
      <c r="BY255" s="47">
        <f t="shared" si="876"/>
        <v>-1000</v>
      </c>
      <c r="BZ255" s="47">
        <f t="shared" si="876"/>
        <v>-1000</v>
      </c>
      <c r="CA255" s="47">
        <f t="shared" si="876"/>
        <v>-1000</v>
      </c>
      <c r="CB255" s="47">
        <f t="shared" si="15"/>
        <v>-9000</v>
      </c>
      <c r="CC255" s="47">
        <f t="shared" ref="CC255:CQ255" si="877">BC255-$BU255</f>
        <v>-1000</v>
      </c>
      <c r="CD255" s="47">
        <f t="shared" si="877"/>
        <v>-1000</v>
      </c>
      <c r="CE255" s="47">
        <f t="shared" si="877"/>
        <v>-1000</v>
      </c>
      <c r="CF255" s="47">
        <f t="shared" si="877"/>
        <v>-1000</v>
      </c>
      <c r="CG255" s="47">
        <f t="shared" si="877"/>
        <v>-1000</v>
      </c>
      <c r="CH255" s="47">
        <f t="shared" si="877"/>
        <v>-1000</v>
      </c>
      <c r="CI255" s="47">
        <f t="shared" si="877"/>
        <v>-1000</v>
      </c>
      <c r="CJ255" s="47">
        <f t="shared" si="877"/>
        <v>-1000</v>
      </c>
      <c r="CK255" s="47">
        <f t="shared" si="877"/>
        <v>-1000</v>
      </c>
      <c r="CL255" s="47">
        <f t="shared" si="877"/>
        <v>-1000</v>
      </c>
      <c r="CM255" s="47">
        <f t="shared" si="877"/>
        <v>-1000</v>
      </c>
      <c r="CN255" s="47">
        <f t="shared" si="877"/>
        <v>-1000</v>
      </c>
      <c r="CO255" s="47">
        <f t="shared" si="877"/>
        <v>-1000</v>
      </c>
      <c r="CP255" s="47">
        <f t="shared" si="877"/>
        <v>-1000</v>
      </c>
      <c r="CQ255" s="47">
        <f t="shared" si="877"/>
        <v>-1000</v>
      </c>
      <c r="CR255" s="47"/>
      <c r="CS255" s="47"/>
      <c r="CT255" s="47"/>
      <c r="CU255" s="50" t="str">
        <f>IFERROR(__xludf.DUMMYFUNCTION("""COMPUTED_VALUE"""),"3963 Maple Ave
Dallas, TX 75219          ")</f>
        <v>3963 Maple Ave
Dallas, TX 75219          </v>
      </c>
      <c r="CV255" s="51">
        <f>IFERROR(__xludf.DUMMYFUNCTION("IF(REGEXMATCH(UPPER(CU255), ""TX""),0,1)"),0.0)</f>
        <v>0</v>
      </c>
      <c r="CW255" s="51">
        <f>IFERROR(__xludf.DUMMYFUNCTION("IF(REGEXMATCH(UPPER(CU255), ""DALLAS""),0,1)"),0.0)</f>
        <v>0</v>
      </c>
      <c r="CX255" s="51">
        <f t="shared" si="17"/>
        <v>0</v>
      </c>
      <c r="CY255" s="51">
        <f t="shared" si="18"/>
        <v>0</v>
      </c>
      <c r="CZ255" s="52" t="str">
        <f t="shared" si="19"/>
        <v/>
      </c>
      <c r="DA255" s="58"/>
      <c r="DB255" s="52"/>
      <c r="DC255" s="52"/>
      <c r="DD255" s="52"/>
      <c r="DE255" s="52"/>
      <c r="DF255" s="52"/>
      <c r="DG255" s="52"/>
      <c r="DH255" s="52"/>
      <c r="DI255" s="52"/>
      <c r="DJ255" s="52"/>
      <c r="DK255" s="52"/>
      <c r="DL255" s="52"/>
      <c r="DM255" s="52"/>
      <c r="DN255" s="52"/>
      <c r="DO255" s="52"/>
      <c r="DP255" s="52"/>
      <c r="DQ255" s="52"/>
      <c r="DR255" s="52"/>
      <c r="DS255" s="52"/>
      <c r="DT255" s="52"/>
      <c r="DU255" s="52"/>
      <c r="DV255" s="52"/>
      <c r="DW255" s="52"/>
    </row>
    <row r="256">
      <c r="A256" s="22" t="s">
        <v>55</v>
      </c>
      <c r="B256" s="23" t="s">
        <v>56</v>
      </c>
      <c r="C256" s="31" t="s">
        <v>725</v>
      </c>
      <c r="D256" s="25" t="str">
        <f>IFERROR(__xludf.DUMMYFUNCTION("SPLIT(C256,"" "")"),"McDonald,")</f>
        <v>McDonald,</v>
      </c>
      <c r="E256" s="22" t="str">
        <f>IFERROR(__xludf.DUMMYFUNCTION("""COMPUTED_VALUE"""),"Sam
2630")</f>
        <v>Sam
2630</v>
      </c>
      <c r="F256" s="22" t="str">
        <f>IFERROR(__xludf.DUMMYFUNCTION("""COMPUTED_VALUE"""),"Shelby")</f>
        <v>Shelby</v>
      </c>
      <c r="G256" s="22" t="str">
        <f>IFERROR(__xludf.DUMMYFUNCTION("""COMPUTED_VALUE"""),"Ave.
Dallas,")</f>
        <v>Ave.
Dallas,</v>
      </c>
      <c r="H256" s="22" t="str">
        <f>IFERROR(__xludf.DUMMYFUNCTION("""COMPUTED_VALUE"""),"TX")</f>
        <v>TX</v>
      </c>
      <c r="I256" s="22">
        <f>IFERROR(__xludf.DUMMYFUNCTION("""COMPUTED_VALUE"""),75219.0)</f>
        <v>75219</v>
      </c>
      <c r="J256" s="22"/>
      <c r="K256" s="22"/>
      <c r="L256" s="22"/>
      <c r="M256" s="22"/>
      <c r="N256" s="22"/>
      <c r="O256" s="22"/>
      <c r="P256" s="22"/>
      <c r="Q256" s="22"/>
      <c r="R256" s="22"/>
      <c r="S256" s="22"/>
      <c r="T256" s="22"/>
      <c r="U256" s="24" t="str">
        <f>IFERROR(__xludf.DUMMYFUNCTION("SPLIT(E256,""01234567890"")"),"Sam
")</f>
        <v>Sam
</v>
      </c>
      <c r="V256" s="24" t="str">
        <f>IFERROR(__xludf.DUMMYFUNCTION("SPLIT(D256,"","")"),"McDonald")</f>
        <v>McDonald</v>
      </c>
      <c r="W256" s="25" t="str">
        <f t="shared" si="1"/>
        <v>SAM
 MCDONALD</v>
      </c>
      <c r="X256" s="25" t="s">
        <v>726</v>
      </c>
      <c r="Y256" s="25">
        <v>75219.0</v>
      </c>
      <c r="Z256" s="25" t="str">
        <f>IFERROR(__xludf.DUMMYFUNCTION("SPLIT(C256,""
"")"),"McDonald, Sam")</f>
        <v>McDonald, Sam</v>
      </c>
      <c r="AA256" s="25" t="str">
        <f>IFERROR(__xludf.DUMMYFUNCTION("""COMPUTED_VALUE"""),"2630 Shelby Ave.")</f>
        <v>2630 Shelby Ave.</v>
      </c>
      <c r="AB256" s="25" t="str">
        <f>IFERROR(__xludf.DUMMYFUNCTION("""COMPUTED_VALUE"""),"Dallas, TX 75219")</f>
        <v>Dallas, TX 75219</v>
      </c>
      <c r="AC256" s="24" t="s">
        <v>727</v>
      </c>
      <c r="AD256" s="25"/>
      <c r="AE256" s="25"/>
      <c r="AF256" s="25"/>
      <c r="AG256" s="22" t="s">
        <v>60</v>
      </c>
      <c r="AH256" s="54">
        <v>2441.0</v>
      </c>
      <c r="AI256" s="22" t="s">
        <v>61</v>
      </c>
      <c r="AJ256" s="27">
        <v>50.0</v>
      </c>
      <c r="AK256" s="31" t="s">
        <v>21</v>
      </c>
      <c r="AL256" s="28">
        <v>44742.0</v>
      </c>
      <c r="AM256" s="29">
        <v>44756.4640625</v>
      </c>
      <c r="AN256" s="30">
        <v>2.0</v>
      </c>
      <c r="AO256" s="22"/>
      <c r="AP256" s="22"/>
      <c r="AQ256" s="22"/>
      <c r="AR256" s="22"/>
      <c r="AS256" s="22"/>
      <c r="AT256" s="70"/>
      <c r="AU256" s="22"/>
      <c r="AV256" s="57" t="str">
        <f>IFERROR(__xludf.DUMMYFUNCTION("""COMPUTED_VALUE"""),"Huffines")</f>
        <v>Huffines</v>
      </c>
      <c r="AW256" s="46">
        <f t="shared" si="7"/>
        <v>2500</v>
      </c>
      <c r="AX256" s="47">
        <f t="shared" ref="AX256:BQ256" si="878">SUMIFS($AJ:$AJ,$V:$V,$AV256,$AK:$AK,AX$2)</f>
        <v>0</v>
      </c>
      <c r="AY256" s="48">
        <f t="shared" si="878"/>
        <v>0</v>
      </c>
      <c r="AZ256" s="48">
        <f t="shared" si="878"/>
        <v>0</v>
      </c>
      <c r="BA256" s="48">
        <f t="shared" si="878"/>
        <v>0</v>
      </c>
      <c r="BB256" s="48">
        <f t="shared" si="878"/>
        <v>2500</v>
      </c>
      <c r="BC256" s="48">
        <f t="shared" si="878"/>
        <v>0</v>
      </c>
      <c r="BD256" s="48">
        <f t="shared" si="878"/>
        <v>0</v>
      </c>
      <c r="BE256" s="48">
        <f t="shared" si="878"/>
        <v>0</v>
      </c>
      <c r="BF256" s="48">
        <f t="shared" si="878"/>
        <v>0</v>
      </c>
      <c r="BG256" s="48">
        <f t="shared" si="878"/>
        <v>0</v>
      </c>
      <c r="BH256" s="48">
        <f t="shared" si="878"/>
        <v>0</v>
      </c>
      <c r="BI256" s="48">
        <f t="shared" si="878"/>
        <v>0</v>
      </c>
      <c r="BJ256" s="48">
        <f t="shared" si="878"/>
        <v>0</v>
      </c>
      <c r="BK256" s="48">
        <f t="shared" si="878"/>
        <v>0</v>
      </c>
      <c r="BL256" s="48">
        <f t="shared" si="878"/>
        <v>0</v>
      </c>
      <c r="BM256" s="48">
        <f t="shared" si="878"/>
        <v>0</v>
      </c>
      <c r="BN256" s="48">
        <f t="shared" si="878"/>
        <v>0</v>
      </c>
      <c r="BO256" s="48">
        <f t="shared" si="878"/>
        <v>0</v>
      </c>
      <c r="BP256" s="48">
        <f t="shared" si="878"/>
        <v>0</v>
      </c>
      <c r="BQ256" s="48">
        <f t="shared" si="878"/>
        <v>0</v>
      </c>
      <c r="BR256" s="36">
        <f t="shared" si="9"/>
        <v>0</v>
      </c>
      <c r="BS256" s="38">
        <f t="shared" si="10"/>
        <v>1</v>
      </c>
      <c r="BT256" s="49">
        <f t="shared" si="11"/>
        <v>0</v>
      </c>
      <c r="BU256" s="38">
        <f t="shared" si="12"/>
        <v>1000</v>
      </c>
      <c r="BV256" s="57" t="str">
        <f>IFERROR(__xludf.DUMMYFUNCTION("""COMPUTED_VALUE"""),"Huffines")</f>
        <v>Huffines</v>
      </c>
      <c r="BW256" s="46">
        <f t="shared" si="13"/>
        <v>2500</v>
      </c>
      <c r="BX256" s="47">
        <f t="shared" ref="BX256:CA256" si="879">AX256-$BU256</f>
        <v>-1000</v>
      </c>
      <c r="BY256" s="47">
        <f t="shared" si="879"/>
        <v>-1000</v>
      </c>
      <c r="BZ256" s="47">
        <f t="shared" si="879"/>
        <v>-1000</v>
      </c>
      <c r="CA256" s="47">
        <f t="shared" si="879"/>
        <v>-1000</v>
      </c>
      <c r="CB256" s="47">
        <f t="shared" si="15"/>
        <v>-7500</v>
      </c>
      <c r="CC256" s="47">
        <f t="shared" ref="CC256:CQ256" si="880">BC256-$BU256</f>
        <v>-1000</v>
      </c>
      <c r="CD256" s="47">
        <f t="shared" si="880"/>
        <v>-1000</v>
      </c>
      <c r="CE256" s="47">
        <f t="shared" si="880"/>
        <v>-1000</v>
      </c>
      <c r="CF256" s="47">
        <f t="shared" si="880"/>
        <v>-1000</v>
      </c>
      <c r="CG256" s="47">
        <f t="shared" si="880"/>
        <v>-1000</v>
      </c>
      <c r="CH256" s="47">
        <f t="shared" si="880"/>
        <v>-1000</v>
      </c>
      <c r="CI256" s="47">
        <f t="shared" si="880"/>
        <v>-1000</v>
      </c>
      <c r="CJ256" s="47">
        <f t="shared" si="880"/>
        <v>-1000</v>
      </c>
      <c r="CK256" s="47">
        <f t="shared" si="880"/>
        <v>-1000</v>
      </c>
      <c r="CL256" s="47">
        <f t="shared" si="880"/>
        <v>-1000</v>
      </c>
      <c r="CM256" s="47">
        <f t="shared" si="880"/>
        <v>-1000</v>
      </c>
      <c r="CN256" s="47">
        <f t="shared" si="880"/>
        <v>-1000</v>
      </c>
      <c r="CO256" s="47">
        <f t="shared" si="880"/>
        <v>-1000</v>
      </c>
      <c r="CP256" s="47">
        <f t="shared" si="880"/>
        <v>-1000</v>
      </c>
      <c r="CQ256" s="47">
        <f t="shared" si="880"/>
        <v>-1000</v>
      </c>
      <c r="CR256" s="47"/>
      <c r="CS256" s="47"/>
      <c r="CT256" s="47"/>
      <c r="CU256" s="50" t="str">
        <f>IFERROR(__xludf.DUMMYFUNCTION("""COMPUTED_VALUE"""),"
 Box 763834
Dallas, TX 75376          ")</f>
        <v>
 Box 763834
Dallas, TX 75376          </v>
      </c>
      <c r="CV256" s="51">
        <f>IFERROR(__xludf.DUMMYFUNCTION("IF(REGEXMATCH(UPPER(CU256), ""TX""),0,1)"),0.0)</f>
        <v>0</v>
      </c>
      <c r="CW256" s="51">
        <f>IFERROR(__xludf.DUMMYFUNCTION("IF(REGEXMATCH(UPPER(CU256), ""DALLAS""),0,1)"),0.0)</f>
        <v>0</v>
      </c>
      <c r="CX256" s="51">
        <f t="shared" si="17"/>
        <v>0</v>
      </c>
      <c r="CY256" s="51">
        <f t="shared" si="18"/>
        <v>0</v>
      </c>
      <c r="CZ256" s="52" t="str">
        <f t="shared" si="19"/>
        <v/>
      </c>
      <c r="DA256" s="58"/>
      <c r="DB256" s="52"/>
      <c r="DC256" s="52"/>
      <c r="DD256" s="52"/>
      <c r="DE256" s="52"/>
      <c r="DF256" s="52"/>
      <c r="DG256" s="52"/>
      <c r="DH256" s="52"/>
      <c r="DI256" s="52"/>
      <c r="DJ256" s="52"/>
      <c r="DK256" s="52"/>
      <c r="DL256" s="52"/>
      <c r="DM256" s="52"/>
      <c r="DN256" s="52"/>
      <c r="DO256" s="52"/>
      <c r="DP256" s="52"/>
      <c r="DQ256" s="52"/>
      <c r="DR256" s="52"/>
      <c r="DS256" s="52"/>
      <c r="DT256" s="52"/>
      <c r="DU256" s="52"/>
      <c r="DV256" s="52"/>
      <c r="DW256" s="52"/>
    </row>
    <row r="257">
      <c r="A257" s="40" t="s">
        <v>55</v>
      </c>
      <c r="B257" s="41" t="s">
        <v>56</v>
      </c>
      <c r="C257" s="31" t="s">
        <v>301</v>
      </c>
      <c r="D257" s="25" t="str">
        <f>IFERROR(__xludf.DUMMYFUNCTION("SPLIT(C257,"" "")"),"Bame,")</f>
        <v>Bame,</v>
      </c>
      <c r="E257" s="40" t="str">
        <f>IFERROR(__xludf.DUMMYFUNCTION("""COMPUTED_VALUE"""),"Seth
4439")</f>
        <v>Seth
4439</v>
      </c>
      <c r="F257" s="40" t="str">
        <f>IFERROR(__xludf.DUMMYFUNCTION("""COMPUTED_VALUE"""),"Westway")</f>
        <v>Westway</v>
      </c>
      <c r="G257" s="40" t="str">
        <f>IFERROR(__xludf.DUMMYFUNCTION("""COMPUTED_VALUE"""),"Ave.
Dallas,")</f>
        <v>Ave.
Dallas,</v>
      </c>
      <c r="H257" s="40" t="str">
        <f>IFERROR(__xludf.DUMMYFUNCTION("""COMPUTED_VALUE"""),"TX")</f>
        <v>TX</v>
      </c>
      <c r="I257" s="40">
        <f>IFERROR(__xludf.DUMMYFUNCTION("""COMPUTED_VALUE"""),75205.0)</f>
        <v>75205</v>
      </c>
      <c r="J257" s="40"/>
      <c r="K257" s="40"/>
      <c r="L257" s="40"/>
      <c r="M257" s="40"/>
      <c r="N257" s="40"/>
      <c r="O257" s="40"/>
      <c r="P257" s="40"/>
      <c r="Q257" s="40"/>
      <c r="R257" s="40"/>
      <c r="S257" s="40"/>
      <c r="T257" s="40"/>
      <c r="U257" s="24" t="str">
        <f>IFERROR(__xludf.DUMMYFUNCTION("SPLIT(E257,""01234567890"")"),"Seth
")</f>
        <v>Seth
</v>
      </c>
      <c r="V257" s="24" t="str">
        <f>IFERROR(__xludf.DUMMYFUNCTION("SPLIT(D257,"","")"),"Bame")</f>
        <v>Bame</v>
      </c>
      <c r="W257" s="25" t="str">
        <f t="shared" si="1"/>
        <v>SETH
 BAME</v>
      </c>
      <c r="X257" s="25" t="s">
        <v>302</v>
      </c>
      <c r="Y257" s="25">
        <v>75205.0</v>
      </c>
      <c r="Z257" s="25" t="str">
        <f>IFERROR(__xludf.DUMMYFUNCTION("SPLIT(C257,""
"")"),"Bame, Seth")</f>
        <v>Bame, Seth</v>
      </c>
      <c r="AA257" s="25" t="str">
        <f>IFERROR(__xludf.DUMMYFUNCTION("""COMPUTED_VALUE"""),"4439 Westway Ave.")</f>
        <v>4439 Westway Ave.</v>
      </c>
      <c r="AB257" s="25" t="str">
        <f>IFERROR(__xludf.DUMMYFUNCTION("""COMPUTED_VALUE"""),"Dallas, TX 75205")</f>
        <v>Dallas, TX 75205</v>
      </c>
      <c r="AC257" s="24" t="s">
        <v>303</v>
      </c>
      <c r="AD257" s="25"/>
      <c r="AE257" s="25"/>
      <c r="AF257" s="25"/>
      <c r="AG257" s="40" t="s">
        <v>60</v>
      </c>
      <c r="AH257" s="42">
        <v>2441.0</v>
      </c>
      <c r="AI257" s="40" t="s">
        <v>61</v>
      </c>
      <c r="AJ257" s="27">
        <v>950.0</v>
      </c>
      <c r="AK257" s="31" t="s">
        <v>21</v>
      </c>
      <c r="AL257" s="43">
        <v>44742.0</v>
      </c>
      <c r="AM257" s="44">
        <v>44756.4640625</v>
      </c>
      <c r="AN257" s="30">
        <v>2.0</v>
      </c>
      <c r="AO257" s="40"/>
      <c r="AP257" s="40"/>
      <c r="AQ257" s="40"/>
      <c r="AR257" s="40"/>
      <c r="AS257" s="40"/>
      <c r="AT257" s="47"/>
      <c r="AU257" s="40"/>
      <c r="AV257" s="46" t="str">
        <f>IFERROR(__xludf.DUMMYFUNCTION("""COMPUTED_VALUE"""),"James")</f>
        <v>James</v>
      </c>
      <c r="AW257" s="46">
        <f t="shared" si="7"/>
        <v>250</v>
      </c>
      <c r="AX257" s="47">
        <f t="shared" ref="AX257:BQ257" si="881">SUMIFS($AJ:$AJ,$V:$V,$AV257,$AK:$AK,AX$2)</f>
        <v>0</v>
      </c>
      <c r="AY257" s="48">
        <f t="shared" si="881"/>
        <v>0</v>
      </c>
      <c r="AZ257" s="48">
        <f t="shared" si="881"/>
        <v>0</v>
      </c>
      <c r="BA257" s="48">
        <f t="shared" si="881"/>
        <v>0</v>
      </c>
      <c r="BB257" s="48">
        <f t="shared" si="881"/>
        <v>250</v>
      </c>
      <c r="BC257" s="48">
        <f t="shared" si="881"/>
        <v>0</v>
      </c>
      <c r="BD257" s="48">
        <f t="shared" si="881"/>
        <v>0</v>
      </c>
      <c r="BE257" s="48">
        <f t="shared" si="881"/>
        <v>0</v>
      </c>
      <c r="BF257" s="48">
        <f t="shared" si="881"/>
        <v>0</v>
      </c>
      <c r="BG257" s="48">
        <f t="shared" si="881"/>
        <v>0</v>
      </c>
      <c r="BH257" s="48">
        <f t="shared" si="881"/>
        <v>0</v>
      </c>
      <c r="BI257" s="48">
        <f t="shared" si="881"/>
        <v>0</v>
      </c>
      <c r="BJ257" s="48">
        <f t="shared" si="881"/>
        <v>0</v>
      </c>
      <c r="BK257" s="48">
        <f t="shared" si="881"/>
        <v>0</v>
      </c>
      <c r="BL257" s="48">
        <f t="shared" si="881"/>
        <v>0</v>
      </c>
      <c r="BM257" s="48">
        <f t="shared" si="881"/>
        <v>0</v>
      </c>
      <c r="BN257" s="48">
        <f t="shared" si="881"/>
        <v>0</v>
      </c>
      <c r="BO257" s="48">
        <f t="shared" si="881"/>
        <v>0</v>
      </c>
      <c r="BP257" s="48">
        <f t="shared" si="881"/>
        <v>0</v>
      </c>
      <c r="BQ257" s="48">
        <f t="shared" si="881"/>
        <v>0</v>
      </c>
      <c r="BR257" s="36">
        <f t="shared" si="9"/>
        <v>0</v>
      </c>
      <c r="BS257" s="38">
        <f t="shared" si="10"/>
        <v>1</v>
      </c>
      <c r="BT257" s="49">
        <f t="shared" si="11"/>
        <v>0</v>
      </c>
      <c r="BU257" s="38">
        <f t="shared" si="12"/>
        <v>1000</v>
      </c>
      <c r="BV257" s="46" t="str">
        <f>IFERROR(__xludf.DUMMYFUNCTION("""COMPUTED_VALUE"""),"James")</f>
        <v>James</v>
      </c>
      <c r="BW257" s="46">
        <f t="shared" si="13"/>
        <v>250</v>
      </c>
      <c r="BX257" s="47">
        <f t="shared" ref="BX257:CA257" si="882">AX257-$BU257</f>
        <v>-1000</v>
      </c>
      <c r="BY257" s="47">
        <f t="shared" si="882"/>
        <v>-1000</v>
      </c>
      <c r="BZ257" s="47">
        <f t="shared" si="882"/>
        <v>-1000</v>
      </c>
      <c r="CA257" s="47">
        <f t="shared" si="882"/>
        <v>-1000</v>
      </c>
      <c r="CB257" s="47">
        <f t="shared" si="15"/>
        <v>-9750</v>
      </c>
      <c r="CC257" s="47">
        <f t="shared" ref="CC257:CQ257" si="883">BC257-$BU257</f>
        <v>-1000</v>
      </c>
      <c r="CD257" s="47">
        <f t="shared" si="883"/>
        <v>-1000</v>
      </c>
      <c r="CE257" s="47">
        <f t="shared" si="883"/>
        <v>-1000</v>
      </c>
      <c r="CF257" s="47">
        <f t="shared" si="883"/>
        <v>-1000</v>
      </c>
      <c r="CG257" s="47">
        <f t="shared" si="883"/>
        <v>-1000</v>
      </c>
      <c r="CH257" s="47">
        <f t="shared" si="883"/>
        <v>-1000</v>
      </c>
      <c r="CI257" s="47">
        <f t="shared" si="883"/>
        <v>-1000</v>
      </c>
      <c r="CJ257" s="47">
        <f t="shared" si="883"/>
        <v>-1000</v>
      </c>
      <c r="CK257" s="47">
        <f t="shared" si="883"/>
        <v>-1000</v>
      </c>
      <c r="CL257" s="47">
        <f t="shared" si="883"/>
        <v>-1000</v>
      </c>
      <c r="CM257" s="47">
        <f t="shared" si="883"/>
        <v>-1000</v>
      </c>
      <c r="CN257" s="47">
        <f t="shared" si="883"/>
        <v>-1000</v>
      </c>
      <c r="CO257" s="47">
        <f t="shared" si="883"/>
        <v>-1000</v>
      </c>
      <c r="CP257" s="47">
        <f t="shared" si="883"/>
        <v>-1000</v>
      </c>
      <c r="CQ257" s="47">
        <f t="shared" si="883"/>
        <v>-1000</v>
      </c>
      <c r="CR257" s="47"/>
      <c r="CS257" s="47"/>
      <c r="CT257" s="47"/>
      <c r="CU257" s="50" t="str">
        <f>IFERROR(__xludf.DUMMYFUNCTION("""COMPUTED_VALUE"""),"3860 W Northwest Hwy
Dallas, TX 75220         ")</f>
        <v>3860 W Northwest Hwy
Dallas, TX 75220         </v>
      </c>
      <c r="CV257" s="51">
        <f>IFERROR(__xludf.DUMMYFUNCTION("IF(REGEXMATCH(UPPER(CU257), ""TX""),0,1)"),0.0)</f>
        <v>0</v>
      </c>
      <c r="CW257" s="51">
        <f>IFERROR(__xludf.DUMMYFUNCTION("IF(REGEXMATCH(UPPER(CU257), ""DALLAS""),0,1)"),0.0)</f>
        <v>0</v>
      </c>
      <c r="CX257" s="51">
        <f t="shared" si="17"/>
        <v>0</v>
      </c>
      <c r="CY257" s="51">
        <f t="shared" si="18"/>
        <v>0</v>
      </c>
      <c r="CZ257" s="52" t="str">
        <f t="shared" si="19"/>
        <v/>
      </c>
      <c r="DA257" s="58"/>
      <c r="DB257" s="52"/>
      <c r="DC257" s="52"/>
      <c r="DD257" s="52"/>
      <c r="DE257" s="52"/>
      <c r="DF257" s="52"/>
      <c r="DG257" s="52"/>
      <c r="DH257" s="52"/>
      <c r="DI257" s="52"/>
      <c r="DJ257" s="52"/>
      <c r="DK257" s="52"/>
      <c r="DL257" s="52"/>
      <c r="DM257" s="52"/>
      <c r="DN257" s="52"/>
      <c r="DO257" s="52"/>
      <c r="DP257" s="52"/>
      <c r="DQ257" s="52"/>
      <c r="DR257" s="52"/>
      <c r="DS257" s="52"/>
      <c r="DT257" s="52"/>
      <c r="DU257" s="52"/>
      <c r="DV257" s="52"/>
      <c r="DW257" s="52"/>
    </row>
    <row r="258">
      <c r="A258" s="22" t="s">
        <v>55</v>
      </c>
      <c r="B258" s="23" t="s">
        <v>56</v>
      </c>
      <c r="C258" s="31" t="s">
        <v>728</v>
      </c>
      <c r="D258" s="25" t="str">
        <f>IFERROR(__xludf.DUMMYFUNCTION("SPLIT(C258,"" "")"),"Engwall,")</f>
        <v>Engwall,</v>
      </c>
      <c r="E258" s="22" t="str">
        <f>IFERROR(__xludf.DUMMYFUNCTION("""COMPUTED_VALUE"""),"Stephanie
700")</f>
        <v>Stephanie
700</v>
      </c>
      <c r="F258" s="22" t="str">
        <f>IFERROR(__xludf.DUMMYFUNCTION("""COMPUTED_VALUE"""),"N.")</f>
        <v>N.</v>
      </c>
      <c r="G258" s="22" t="str">
        <f>IFERROR(__xludf.DUMMYFUNCTION("""COMPUTED_VALUE"""),"Oak")</f>
        <v>Oak</v>
      </c>
      <c r="H258" s="22" t="str">
        <f>IFERROR(__xludf.DUMMYFUNCTION("""COMPUTED_VALUE"""),"Cliff")</f>
        <v>Cliff</v>
      </c>
      <c r="I258" s="22" t="str">
        <f>IFERROR(__xludf.DUMMYFUNCTION("""COMPUTED_VALUE"""),"Blvd.
Dallas,")</f>
        <v>Blvd.
Dallas,</v>
      </c>
      <c r="J258" s="22" t="str">
        <f>IFERROR(__xludf.DUMMYFUNCTION("""COMPUTED_VALUE"""),"TX")</f>
        <v>TX</v>
      </c>
      <c r="K258" s="22">
        <f>IFERROR(__xludf.DUMMYFUNCTION("""COMPUTED_VALUE"""),75208.0)</f>
        <v>75208</v>
      </c>
      <c r="L258" s="22"/>
      <c r="M258" s="22"/>
      <c r="N258" s="22"/>
      <c r="O258" s="22"/>
      <c r="P258" s="22"/>
      <c r="Q258" s="22"/>
      <c r="R258" s="22"/>
      <c r="S258" s="22"/>
      <c r="T258" s="22"/>
      <c r="U258" s="24" t="str">
        <f>IFERROR(__xludf.DUMMYFUNCTION("SPLIT(E258,""01234567890"")"),"Stephanie
")</f>
        <v>Stephanie
</v>
      </c>
      <c r="V258" s="24" t="str">
        <f>IFERROR(__xludf.DUMMYFUNCTION("SPLIT(D258,"","")"),"Engwall")</f>
        <v>Engwall</v>
      </c>
      <c r="W258" s="25" t="str">
        <f t="shared" si="1"/>
        <v>STEPHANIE
 ENGWALL</v>
      </c>
      <c r="X258" s="25" t="s">
        <v>729</v>
      </c>
      <c r="Y258" s="25">
        <v>75208.0</v>
      </c>
      <c r="Z258" s="25" t="str">
        <f>IFERROR(__xludf.DUMMYFUNCTION("SPLIT(C258,""
"")"),"Engwall, Stephanie")</f>
        <v>Engwall, Stephanie</v>
      </c>
      <c r="AA258" s="25" t="str">
        <f>IFERROR(__xludf.DUMMYFUNCTION("""COMPUTED_VALUE"""),"700 N. Oak Cliff Blvd.")</f>
        <v>700 N. Oak Cliff Blvd.</v>
      </c>
      <c r="AB258" s="25" t="str">
        <f>IFERROR(__xludf.DUMMYFUNCTION("""COMPUTED_VALUE"""),"Dallas, TX 75208")</f>
        <v>Dallas, TX 75208</v>
      </c>
      <c r="AC258" s="24" t="s">
        <v>730</v>
      </c>
      <c r="AD258" s="25"/>
      <c r="AE258" s="25"/>
      <c r="AF258" s="25"/>
      <c r="AG258" s="22" t="s">
        <v>60</v>
      </c>
      <c r="AH258" s="54">
        <v>2441.0</v>
      </c>
      <c r="AI258" s="22" t="s">
        <v>61</v>
      </c>
      <c r="AJ258" s="27">
        <v>50.0</v>
      </c>
      <c r="AK258" s="31" t="s">
        <v>21</v>
      </c>
      <c r="AL258" s="28">
        <v>44742.0</v>
      </c>
      <c r="AM258" s="29">
        <v>44756.4640625</v>
      </c>
      <c r="AN258" s="30">
        <v>2.0</v>
      </c>
      <c r="AO258" s="22"/>
      <c r="AP258" s="22"/>
      <c r="AQ258" s="22"/>
      <c r="AR258" s="22"/>
      <c r="AS258" s="22"/>
      <c r="AT258" s="70"/>
      <c r="AU258" s="22"/>
      <c r="AV258" s="57" t="str">
        <f>IFERROR(__xludf.DUMMYFUNCTION("""COMPUTED_VALUE"""),"Matthews")</f>
        <v>Matthews</v>
      </c>
      <c r="AW258" s="46">
        <f t="shared" si="7"/>
        <v>9250</v>
      </c>
      <c r="AX258" s="47">
        <f t="shared" ref="AX258:BQ258" si="884">SUMIFS($AJ:$AJ,$V:$V,$AV258,$AK:$AK,AX$2)</f>
        <v>1000</v>
      </c>
      <c r="AY258" s="48">
        <f t="shared" si="884"/>
        <v>0</v>
      </c>
      <c r="AZ258" s="48">
        <f t="shared" si="884"/>
        <v>1000</v>
      </c>
      <c r="BA258" s="48">
        <f t="shared" si="884"/>
        <v>2000</v>
      </c>
      <c r="BB258" s="48">
        <f t="shared" si="884"/>
        <v>5250</v>
      </c>
      <c r="BC258" s="48">
        <f t="shared" si="884"/>
        <v>0</v>
      </c>
      <c r="BD258" s="48">
        <f t="shared" si="884"/>
        <v>0</v>
      </c>
      <c r="BE258" s="48">
        <f t="shared" si="884"/>
        <v>0</v>
      </c>
      <c r="BF258" s="48">
        <f t="shared" si="884"/>
        <v>0</v>
      </c>
      <c r="BG258" s="48">
        <f t="shared" si="884"/>
        <v>0</v>
      </c>
      <c r="BH258" s="48">
        <f t="shared" si="884"/>
        <v>0</v>
      </c>
      <c r="BI258" s="48">
        <f t="shared" si="884"/>
        <v>0</v>
      </c>
      <c r="BJ258" s="48">
        <f t="shared" si="884"/>
        <v>0</v>
      </c>
      <c r="BK258" s="48">
        <f t="shared" si="884"/>
        <v>0</v>
      </c>
      <c r="BL258" s="48">
        <f t="shared" si="884"/>
        <v>0</v>
      </c>
      <c r="BM258" s="48">
        <f t="shared" si="884"/>
        <v>0</v>
      </c>
      <c r="BN258" s="48">
        <f t="shared" si="884"/>
        <v>0</v>
      </c>
      <c r="BO258" s="48">
        <f t="shared" si="884"/>
        <v>0</v>
      </c>
      <c r="BP258" s="48">
        <f t="shared" si="884"/>
        <v>0</v>
      </c>
      <c r="BQ258" s="48">
        <f t="shared" si="884"/>
        <v>0</v>
      </c>
      <c r="BR258" s="36">
        <f t="shared" si="9"/>
        <v>1</v>
      </c>
      <c r="BS258" s="38">
        <f t="shared" si="10"/>
        <v>3</v>
      </c>
      <c r="BT258" s="49">
        <f t="shared" si="11"/>
        <v>0</v>
      </c>
      <c r="BU258" s="38">
        <f t="shared" si="12"/>
        <v>3000</v>
      </c>
      <c r="BV258" s="57" t="str">
        <f>IFERROR(__xludf.DUMMYFUNCTION("""COMPUTED_VALUE"""),"Matthews")</f>
        <v>Matthews</v>
      </c>
      <c r="BW258" s="46">
        <f t="shared" si="13"/>
        <v>9250</v>
      </c>
      <c r="BX258" s="47">
        <f t="shared" ref="BX258:CA258" si="885">AX258-$BU258</f>
        <v>-2000</v>
      </c>
      <c r="BY258" s="47">
        <f t="shared" si="885"/>
        <v>-3000</v>
      </c>
      <c r="BZ258" s="47">
        <f t="shared" si="885"/>
        <v>-2000</v>
      </c>
      <c r="CA258" s="47">
        <f t="shared" si="885"/>
        <v>-1000</v>
      </c>
      <c r="CB258" s="47">
        <f t="shared" si="15"/>
        <v>-24750</v>
      </c>
      <c r="CC258" s="47">
        <f t="shared" ref="CC258:CQ258" si="886">BC258-$BU258</f>
        <v>-3000</v>
      </c>
      <c r="CD258" s="47">
        <f t="shared" si="886"/>
        <v>-3000</v>
      </c>
      <c r="CE258" s="47">
        <f t="shared" si="886"/>
        <v>-3000</v>
      </c>
      <c r="CF258" s="47">
        <f t="shared" si="886"/>
        <v>-3000</v>
      </c>
      <c r="CG258" s="47">
        <f t="shared" si="886"/>
        <v>-3000</v>
      </c>
      <c r="CH258" s="47">
        <f t="shared" si="886"/>
        <v>-3000</v>
      </c>
      <c r="CI258" s="47">
        <f t="shared" si="886"/>
        <v>-3000</v>
      </c>
      <c r="CJ258" s="47">
        <f t="shared" si="886"/>
        <v>-3000</v>
      </c>
      <c r="CK258" s="47">
        <f t="shared" si="886"/>
        <v>-3000</v>
      </c>
      <c r="CL258" s="47">
        <f t="shared" si="886"/>
        <v>-3000</v>
      </c>
      <c r="CM258" s="47">
        <f t="shared" si="886"/>
        <v>-3000</v>
      </c>
      <c r="CN258" s="47">
        <f t="shared" si="886"/>
        <v>-3000</v>
      </c>
      <c r="CO258" s="47">
        <f t="shared" si="886"/>
        <v>-3000</v>
      </c>
      <c r="CP258" s="47">
        <f t="shared" si="886"/>
        <v>-3000</v>
      </c>
      <c r="CQ258" s="47">
        <f t="shared" si="886"/>
        <v>-3000</v>
      </c>
      <c r="CR258" s="47"/>
      <c r="CS258" s="47"/>
      <c r="CT258" s="47"/>
      <c r="CU258" s="50" t="str">
        <f>IFERROR(__xludf.DUMMYFUNCTION("""COMPUTED_VALUE"""),"5242 Ravine Dr
Dallas, TX 75220          ")</f>
        <v>5242 Ravine Dr
Dallas, TX 75220          </v>
      </c>
      <c r="CV258" s="51">
        <f>IFERROR(__xludf.DUMMYFUNCTION("IF(REGEXMATCH(UPPER(CU258), ""TX""),0,1)"),0.0)</f>
        <v>0</v>
      </c>
      <c r="CW258" s="51">
        <f>IFERROR(__xludf.DUMMYFUNCTION("IF(REGEXMATCH(UPPER(CU258), ""DALLAS""),0,1)"),0.0)</f>
        <v>0</v>
      </c>
      <c r="CX258" s="51">
        <f t="shared" si="17"/>
        <v>0</v>
      </c>
      <c r="CY258" s="51">
        <f t="shared" si="18"/>
        <v>0</v>
      </c>
      <c r="CZ258" s="52" t="str">
        <f t="shared" si="19"/>
        <v/>
      </c>
      <c r="DA258" s="58"/>
      <c r="DB258" s="52"/>
      <c r="DC258" s="52"/>
      <c r="DD258" s="52"/>
      <c r="DE258" s="52"/>
      <c r="DF258" s="52"/>
      <c r="DG258" s="52"/>
      <c r="DH258" s="52"/>
      <c r="DI258" s="52"/>
      <c r="DJ258" s="52"/>
      <c r="DK258" s="52"/>
      <c r="DL258" s="52"/>
      <c r="DM258" s="52"/>
      <c r="DN258" s="52"/>
      <c r="DO258" s="52"/>
      <c r="DP258" s="52"/>
      <c r="DQ258" s="52"/>
      <c r="DR258" s="52"/>
      <c r="DS258" s="52"/>
      <c r="DT258" s="52"/>
      <c r="DU258" s="52"/>
      <c r="DV258" s="52"/>
      <c r="DW258" s="52"/>
    </row>
    <row r="259">
      <c r="A259" s="40" t="s">
        <v>55</v>
      </c>
      <c r="B259" s="41" t="s">
        <v>56</v>
      </c>
      <c r="C259" s="31" t="s">
        <v>454</v>
      </c>
      <c r="D259" s="25" t="str">
        <f>IFERROR(__xludf.DUMMYFUNCTION("SPLIT(C259,"" "")"),"Black,")</f>
        <v>Black,</v>
      </c>
      <c r="E259" s="40" t="str">
        <f>IFERROR(__xludf.DUMMYFUNCTION("""COMPUTED_VALUE"""),"Tre
751")</f>
        <v>Tre
751</v>
      </c>
      <c r="F259" s="40" t="str">
        <f>IFERROR(__xludf.DUMMYFUNCTION("""COMPUTED_VALUE"""),"Kessler")</f>
        <v>Kessler</v>
      </c>
      <c r="G259" s="40" t="str">
        <f>IFERROR(__xludf.DUMMYFUNCTION("""COMPUTED_VALUE"""),"Lake")</f>
        <v>Lake</v>
      </c>
      <c r="H259" s="40" t="str">
        <f>IFERROR(__xludf.DUMMYFUNCTION("""COMPUTED_VALUE"""),"Dr.
Dallas,")</f>
        <v>Dr.
Dallas,</v>
      </c>
      <c r="I259" s="40" t="str">
        <f>IFERROR(__xludf.DUMMYFUNCTION("""COMPUTED_VALUE"""),"TX")</f>
        <v>TX</v>
      </c>
      <c r="J259" s="40">
        <f>IFERROR(__xludf.DUMMYFUNCTION("""COMPUTED_VALUE"""),75208.0)</f>
        <v>75208</v>
      </c>
      <c r="K259" s="40"/>
      <c r="L259" s="40"/>
      <c r="M259" s="40"/>
      <c r="N259" s="40"/>
      <c r="O259" s="40"/>
      <c r="P259" s="40"/>
      <c r="Q259" s="40"/>
      <c r="R259" s="40"/>
      <c r="S259" s="40"/>
      <c r="T259" s="40"/>
      <c r="U259" s="24" t="str">
        <f>IFERROR(__xludf.DUMMYFUNCTION("SPLIT(E259,""01234567890"")"),"Tre
")</f>
        <v>Tre
</v>
      </c>
      <c r="V259" s="24" t="str">
        <f>IFERROR(__xludf.DUMMYFUNCTION("SPLIT(D259,"","")"),"Black")</f>
        <v>Black</v>
      </c>
      <c r="W259" s="25" t="str">
        <f t="shared" si="1"/>
        <v>TRE
 BLACK</v>
      </c>
      <c r="X259" s="25" t="s">
        <v>455</v>
      </c>
      <c r="Y259" s="25">
        <v>75208.0</v>
      </c>
      <c r="Z259" s="25" t="str">
        <f>IFERROR(__xludf.DUMMYFUNCTION("SPLIT(C259,""
"")"),"Black, Tre")</f>
        <v>Black, Tre</v>
      </c>
      <c r="AA259" s="25" t="str">
        <f>IFERROR(__xludf.DUMMYFUNCTION("""COMPUTED_VALUE"""),"751 Kessler Lake Dr.")</f>
        <v>751 Kessler Lake Dr.</v>
      </c>
      <c r="AB259" s="25" t="str">
        <f>IFERROR(__xludf.DUMMYFUNCTION("""COMPUTED_VALUE"""),"Dallas, TX 75208")</f>
        <v>Dallas, TX 75208</v>
      </c>
      <c r="AC259" s="24" t="s">
        <v>453</v>
      </c>
      <c r="AD259" s="25"/>
      <c r="AE259" s="25"/>
      <c r="AF259" s="25"/>
      <c r="AG259" s="40" t="s">
        <v>60</v>
      </c>
      <c r="AH259" s="42">
        <v>2441.0</v>
      </c>
      <c r="AI259" s="40" t="s">
        <v>61</v>
      </c>
      <c r="AJ259" s="27">
        <v>950.0</v>
      </c>
      <c r="AK259" s="31" t="s">
        <v>21</v>
      </c>
      <c r="AL259" s="43">
        <v>44742.0</v>
      </c>
      <c r="AM259" s="44">
        <v>44756.4640625</v>
      </c>
      <c r="AN259" s="30">
        <v>2.0</v>
      </c>
      <c r="AO259" s="40"/>
      <c r="AP259" s="40"/>
      <c r="AQ259" s="40"/>
      <c r="AR259" s="40"/>
      <c r="AS259" s="40"/>
      <c r="AT259" s="47"/>
      <c r="AU259" s="40"/>
      <c r="AV259" s="46" t="str">
        <f>IFERROR(__xludf.DUMMYFUNCTION("""COMPUTED_VALUE"""),"Walker")</f>
        <v>Walker</v>
      </c>
      <c r="AW259" s="46">
        <f t="shared" si="7"/>
        <v>5500</v>
      </c>
      <c r="AX259" s="47">
        <f t="shared" ref="AX259:BQ259" si="887">SUMIFS($AJ:$AJ,$V:$V,$AV259,$AK:$AK,AX$2)</f>
        <v>0</v>
      </c>
      <c r="AY259" s="48">
        <f t="shared" si="887"/>
        <v>0</v>
      </c>
      <c r="AZ259" s="48">
        <f t="shared" si="887"/>
        <v>0</v>
      </c>
      <c r="BA259" s="48">
        <f t="shared" si="887"/>
        <v>0</v>
      </c>
      <c r="BB259" s="48">
        <f t="shared" si="887"/>
        <v>4500</v>
      </c>
      <c r="BC259" s="48">
        <f t="shared" si="887"/>
        <v>0</v>
      </c>
      <c r="BD259" s="48">
        <f t="shared" si="887"/>
        <v>1000</v>
      </c>
      <c r="BE259" s="48">
        <f t="shared" si="887"/>
        <v>0</v>
      </c>
      <c r="BF259" s="48">
        <f t="shared" si="887"/>
        <v>0</v>
      </c>
      <c r="BG259" s="48">
        <f t="shared" si="887"/>
        <v>0</v>
      </c>
      <c r="BH259" s="48">
        <f t="shared" si="887"/>
        <v>0</v>
      </c>
      <c r="BI259" s="48">
        <f t="shared" si="887"/>
        <v>0</v>
      </c>
      <c r="BJ259" s="48">
        <f t="shared" si="887"/>
        <v>0</v>
      </c>
      <c r="BK259" s="48">
        <f t="shared" si="887"/>
        <v>0</v>
      </c>
      <c r="BL259" s="48">
        <f t="shared" si="887"/>
        <v>0</v>
      </c>
      <c r="BM259" s="48">
        <f t="shared" si="887"/>
        <v>0</v>
      </c>
      <c r="BN259" s="48">
        <f t="shared" si="887"/>
        <v>0</v>
      </c>
      <c r="BO259" s="48">
        <f t="shared" si="887"/>
        <v>0</v>
      </c>
      <c r="BP259" s="48">
        <f t="shared" si="887"/>
        <v>0</v>
      </c>
      <c r="BQ259" s="48">
        <f t="shared" si="887"/>
        <v>0</v>
      </c>
      <c r="BR259" s="36">
        <f t="shared" si="9"/>
        <v>1</v>
      </c>
      <c r="BS259" s="38">
        <f t="shared" si="10"/>
        <v>3</v>
      </c>
      <c r="BT259" s="49">
        <f t="shared" si="11"/>
        <v>0</v>
      </c>
      <c r="BU259" s="38">
        <f t="shared" si="12"/>
        <v>3000</v>
      </c>
      <c r="BV259" s="46" t="str">
        <f>IFERROR(__xludf.DUMMYFUNCTION("""COMPUTED_VALUE"""),"Walker")</f>
        <v>Walker</v>
      </c>
      <c r="BW259" s="46">
        <f t="shared" si="13"/>
        <v>5500</v>
      </c>
      <c r="BX259" s="47">
        <f t="shared" ref="BX259:CA259" si="888">AX259-$BU259</f>
        <v>-3000</v>
      </c>
      <c r="BY259" s="47">
        <f t="shared" si="888"/>
        <v>-3000</v>
      </c>
      <c r="BZ259" s="47">
        <f t="shared" si="888"/>
        <v>-3000</v>
      </c>
      <c r="CA259" s="47">
        <f t="shared" si="888"/>
        <v>-3000</v>
      </c>
      <c r="CB259" s="47">
        <f t="shared" si="15"/>
        <v>-25500</v>
      </c>
      <c r="CC259" s="47">
        <f t="shared" ref="CC259:CQ259" si="889">BC259-$BU259</f>
        <v>-3000</v>
      </c>
      <c r="CD259" s="47">
        <f t="shared" si="889"/>
        <v>-2000</v>
      </c>
      <c r="CE259" s="47">
        <f t="shared" si="889"/>
        <v>-3000</v>
      </c>
      <c r="CF259" s="47">
        <f t="shared" si="889"/>
        <v>-3000</v>
      </c>
      <c r="CG259" s="47">
        <f t="shared" si="889"/>
        <v>-3000</v>
      </c>
      <c r="CH259" s="47">
        <f t="shared" si="889"/>
        <v>-3000</v>
      </c>
      <c r="CI259" s="47">
        <f t="shared" si="889"/>
        <v>-3000</v>
      </c>
      <c r="CJ259" s="47">
        <f t="shared" si="889"/>
        <v>-3000</v>
      </c>
      <c r="CK259" s="47">
        <f t="shared" si="889"/>
        <v>-3000</v>
      </c>
      <c r="CL259" s="47">
        <f t="shared" si="889"/>
        <v>-3000</v>
      </c>
      <c r="CM259" s="47">
        <f t="shared" si="889"/>
        <v>-3000</v>
      </c>
      <c r="CN259" s="47">
        <f t="shared" si="889"/>
        <v>-3000</v>
      </c>
      <c r="CO259" s="47">
        <f t="shared" si="889"/>
        <v>-3000</v>
      </c>
      <c r="CP259" s="47">
        <f t="shared" si="889"/>
        <v>-3000</v>
      </c>
      <c r="CQ259" s="47">
        <f t="shared" si="889"/>
        <v>-3000</v>
      </c>
      <c r="CR259" s="47"/>
      <c r="CS259" s="47"/>
      <c r="CT259" s="47"/>
      <c r="CU259" s="50" t="str">
        <f>IFERROR(__xludf.DUMMYFUNCTION("""COMPUTED_VALUE"""),"2707 Runningbrook
Dallas, TX 75228           ")</f>
        <v>2707 Runningbrook
Dallas, TX 75228           </v>
      </c>
      <c r="CV259" s="51">
        <f>IFERROR(__xludf.DUMMYFUNCTION("IF(REGEXMATCH(UPPER(CU259), ""TX""),0,1)"),0.0)</f>
        <v>0</v>
      </c>
      <c r="CW259" s="51">
        <f>IFERROR(__xludf.DUMMYFUNCTION("IF(REGEXMATCH(UPPER(CU259), ""DALLAS""),0,1)"),0.0)</f>
        <v>0</v>
      </c>
      <c r="CX259" s="51">
        <f t="shared" si="17"/>
        <v>0</v>
      </c>
      <c r="CY259" s="51">
        <f t="shared" si="18"/>
        <v>0</v>
      </c>
      <c r="CZ259" s="52" t="str">
        <f t="shared" si="19"/>
        <v/>
      </c>
      <c r="DA259" s="58"/>
      <c r="DB259" s="52"/>
      <c r="DC259" s="52"/>
      <c r="DD259" s="52"/>
      <c r="DE259" s="52"/>
      <c r="DF259" s="52"/>
      <c r="DG259" s="52"/>
      <c r="DH259" s="52"/>
      <c r="DI259" s="52"/>
      <c r="DJ259" s="52"/>
      <c r="DK259" s="52"/>
      <c r="DL259" s="52"/>
      <c r="DM259" s="52"/>
      <c r="DN259" s="52"/>
      <c r="DO259" s="52"/>
      <c r="DP259" s="52"/>
      <c r="DQ259" s="52"/>
      <c r="DR259" s="52"/>
      <c r="DS259" s="52"/>
      <c r="DT259" s="52"/>
      <c r="DU259" s="52"/>
      <c r="DV259" s="52"/>
      <c r="DW259" s="52"/>
    </row>
    <row r="260">
      <c r="A260" s="22" t="s">
        <v>55</v>
      </c>
      <c r="B260" s="23" t="s">
        <v>56</v>
      </c>
      <c r="C260" s="31" t="s">
        <v>731</v>
      </c>
      <c r="D260" s="25" t="str">
        <f>IFERROR(__xludf.DUMMYFUNCTION("SPLIT(C260,"" "")"),"HBA")</f>
        <v>HBA</v>
      </c>
      <c r="E260" s="22" t="str">
        <f>IFERROR(__xludf.DUMMYFUNCTION("""COMPUTED_VALUE"""),"Greater")</f>
        <v>Greater</v>
      </c>
      <c r="F260" s="22" t="str">
        <f>IFERROR(__xludf.DUMMYFUNCTION("""COMPUTED_VALUE"""),"Dallas")</f>
        <v>Dallas</v>
      </c>
      <c r="G260" s="22" t="str">
        <f>IFERROR(__xludf.DUMMYFUNCTION("""COMPUTED_VALUE"""),"HOME")</f>
        <v>HOME</v>
      </c>
      <c r="H260" s="22" t="str">
        <f>IFERROR(__xludf.DUMMYFUNCTION("""COMPUTED_VALUE"""),"PAC
5816")</f>
        <v>PAC
5816</v>
      </c>
      <c r="I260" s="22" t="str">
        <f>IFERROR(__xludf.DUMMYFUNCTION("""COMPUTED_VALUE"""),"W")</f>
        <v>W</v>
      </c>
      <c r="J260" s="22" t="str">
        <f>IFERROR(__xludf.DUMMYFUNCTION("""COMPUTED_VALUE"""),"Plano")</f>
        <v>Plano</v>
      </c>
      <c r="K260" s="22" t="str">
        <f>IFERROR(__xludf.DUMMYFUNCTION("""COMPUTED_VALUE"""),"Parkway
Plano,")</f>
        <v>Parkway
Plano,</v>
      </c>
      <c r="L260" s="22" t="str">
        <f>IFERROR(__xludf.DUMMYFUNCTION("""COMPUTED_VALUE"""),"TX")</f>
        <v>TX</v>
      </c>
      <c r="M260" s="22">
        <f>IFERROR(__xludf.DUMMYFUNCTION("""COMPUTED_VALUE"""),75093.0)</f>
        <v>75093</v>
      </c>
      <c r="N260" s="22"/>
      <c r="O260" s="22"/>
      <c r="P260" s="22"/>
      <c r="Q260" s="22"/>
      <c r="R260" s="22"/>
      <c r="S260" s="22"/>
      <c r="T260" s="22"/>
      <c r="U260" s="24" t="str">
        <f>IFERROR(__xludf.DUMMYFUNCTION("SPLIT(E260,""01234567890"")"),"Greater")</f>
        <v>Greater</v>
      </c>
      <c r="V260" s="24" t="str">
        <f>IFERROR(__xludf.DUMMYFUNCTION("SPLIT(D260,"","")"),"HBA")</f>
        <v>HBA</v>
      </c>
      <c r="W260" s="25" t="str">
        <f t="shared" si="1"/>
        <v>GREATER HBA</v>
      </c>
      <c r="X260" s="25" t="s">
        <v>732</v>
      </c>
      <c r="Y260" s="25">
        <v>75093.0</v>
      </c>
      <c r="Z260" s="25" t="str">
        <f>IFERROR(__xludf.DUMMYFUNCTION("SPLIT(C260,""
"")"),"HBA Greater Dallas HOME PAC")</f>
        <v>HBA Greater Dallas HOME PAC</v>
      </c>
      <c r="AA260" s="25" t="str">
        <f>IFERROR(__xludf.DUMMYFUNCTION("""COMPUTED_VALUE"""),"5816 W Plano Parkway")</f>
        <v>5816 W Plano Parkway</v>
      </c>
      <c r="AB260" s="25" t="str">
        <f>IFERROR(__xludf.DUMMYFUNCTION("""COMPUTED_VALUE"""),"Plano, TX 75093")</f>
        <v>Plano, TX 75093</v>
      </c>
      <c r="AC260" s="24" t="s">
        <v>733</v>
      </c>
      <c r="AD260" s="25"/>
      <c r="AE260" s="25"/>
      <c r="AF260" s="25"/>
      <c r="AG260" s="22" t="s">
        <v>60</v>
      </c>
      <c r="AH260" s="54">
        <v>2441.0</v>
      </c>
      <c r="AI260" s="22" t="s">
        <v>61</v>
      </c>
      <c r="AJ260" s="27">
        <v>2500.0</v>
      </c>
      <c r="AK260" s="31" t="s">
        <v>21</v>
      </c>
      <c r="AL260" s="28">
        <v>44700.0</v>
      </c>
      <c r="AM260" s="29">
        <v>44756.4640625</v>
      </c>
      <c r="AN260" s="30">
        <v>2.0</v>
      </c>
      <c r="AO260" s="22"/>
      <c r="AP260" s="22"/>
      <c r="AQ260" s="22"/>
      <c r="AR260" s="22"/>
      <c r="AS260" s="22"/>
      <c r="AT260" s="70"/>
      <c r="AU260" s="22"/>
      <c r="AV260" s="57" t="str">
        <f>IFERROR(__xludf.DUMMYFUNCTION("""COMPUTED_VALUE"""),"Chandler")</f>
        <v>Chandler</v>
      </c>
      <c r="AW260" s="46">
        <f t="shared" si="7"/>
        <v>350</v>
      </c>
      <c r="AX260" s="47">
        <f t="shared" ref="AX260:BQ260" si="890">SUMIFS($AJ:$AJ,$V:$V,$AV260,$AK:$AK,AX$2)</f>
        <v>0</v>
      </c>
      <c r="AY260" s="48">
        <f t="shared" si="890"/>
        <v>0</v>
      </c>
      <c r="AZ260" s="48">
        <f t="shared" si="890"/>
        <v>0</v>
      </c>
      <c r="BA260" s="48">
        <f t="shared" si="890"/>
        <v>0</v>
      </c>
      <c r="BB260" s="48">
        <f t="shared" si="890"/>
        <v>350</v>
      </c>
      <c r="BC260" s="48">
        <f t="shared" si="890"/>
        <v>0</v>
      </c>
      <c r="BD260" s="48">
        <f t="shared" si="890"/>
        <v>0</v>
      </c>
      <c r="BE260" s="48">
        <f t="shared" si="890"/>
        <v>0</v>
      </c>
      <c r="BF260" s="48">
        <f t="shared" si="890"/>
        <v>0</v>
      </c>
      <c r="BG260" s="48">
        <f t="shared" si="890"/>
        <v>0</v>
      </c>
      <c r="BH260" s="48">
        <f t="shared" si="890"/>
        <v>0</v>
      </c>
      <c r="BI260" s="48">
        <f t="shared" si="890"/>
        <v>0</v>
      </c>
      <c r="BJ260" s="48">
        <f t="shared" si="890"/>
        <v>0</v>
      </c>
      <c r="BK260" s="48">
        <f t="shared" si="890"/>
        <v>0</v>
      </c>
      <c r="BL260" s="48">
        <f t="shared" si="890"/>
        <v>0</v>
      </c>
      <c r="BM260" s="48">
        <f t="shared" si="890"/>
        <v>0</v>
      </c>
      <c r="BN260" s="48">
        <f t="shared" si="890"/>
        <v>0</v>
      </c>
      <c r="BO260" s="48">
        <f t="shared" si="890"/>
        <v>0</v>
      </c>
      <c r="BP260" s="48">
        <f t="shared" si="890"/>
        <v>0</v>
      </c>
      <c r="BQ260" s="48">
        <f t="shared" si="890"/>
        <v>0</v>
      </c>
      <c r="BR260" s="36">
        <f t="shared" si="9"/>
        <v>0</v>
      </c>
      <c r="BS260" s="38">
        <f t="shared" si="10"/>
        <v>1</v>
      </c>
      <c r="BT260" s="49">
        <f t="shared" si="11"/>
        <v>0</v>
      </c>
      <c r="BU260" s="38">
        <f t="shared" si="12"/>
        <v>1000</v>
      </c>
      <c r="BV260" s="57" t="str">
        <f>IFERROR(__xludf.DUMMYFUNCTION("""COMPUTED_VALUE"""),"Chandler")</f>
        <v>Chandler</v>
      </c>
      <c r="BW260" s="46">
        <f t="shared" si="13"/>
        <v>350</v>
      </c>
      <c r="BX260" s="47">
        <f t="shared" ref="BX260:CA260" si="891">AX260-$BU260</f>
        <v>-1000</v>
      </c>
      <c r="BY260" s="47">
        <f t="shared" si="891"/>
        <v>-1000</v>
      </c>
      <c r="BZ260" s="47">
        <f t="shared" si="891"/>
        <v>-1000</v>
      </c>
      <c r="CA260" s="47">
        <f t="shared" si="891"/>
        <v>-1000</v>
      </c>
      <c r="CB260" s="47">
        <f t="shared" si="15"/>
        <v>-9650</v>
      </c>
      <c r="CC260" s="47">
        <f t="shared" ref="CC260:CQ260" si="892">BC260-$BU260</f>
        <v>-1000</v>
      </c>
      <c r="CD260" s="47">
        <f t="shared" si="892"/>
        <v>-1000</v>
      </c>
      <c r="CE260" s="47">
        <f t="shared" si="892"/>
        <v>-1000</v>
      </c>
      <c r="CF260" s="47">
        <f t="shared" si="892"/>
        <v>-1000</v>
      </c>
      <c r="CG260" s="47">
        <f t="shared" si="892"/>
        <v>-1000</v>
      </c>
      <c r="CH260" s="47">
        <f t="shared" si="892"/>
        <v>-1000</v>
      </c>
      <c r="CI260" s="47">
        <f t="shared" si="892"/>
        <v>-1000</v>
      </c>
      <c r="CJ260" s="47">
        <f t="shared" si="892"/>
        <v>-1000</v>
      </c>
      <c r="CK260" s="47">
        <f t="shared" si="892"/>
        <v>-1000</v>
      </c>
      <c r="CL260" s="47">
        <f t="shared" si="892"/>
        <v>-1000</v>
      </c>
      <c r="CM260" s="47">
        <f t="shared" si="892"/>
        <v>-1000</v>
      </c>
      <c r="CN260" s="47">
        <f t="shared" si="892"/>
        <v>-1000</v>
      </c>
      <c r="CO260" s="47">
        <f t="shared" si="892"/>
        <v>-1000</v>
      </c>
      <c r="CP260" s="47">
        <f t="shared" si="892"/>
        <v>-1000</v>
      </c>
      <c r="CQ260" s="47">
        <f t="shared" si="892"/>
        <v>-1000</v>
      </c>
      <c r="CR260" s="47"/>
      <c r="CS260" s="47"/>
      <c r="CT260" s="47"/>
      <c r="CU260" s="50" t="str">
        <f>IFERROR(__xludf.DUMMYFUNCTION("""COMPUTED_VALUE"""),"733 Mulberry Lane
Desoto, TX 75115          ")</f>
        <v>733 Mulberry Lane
Desoto, TX 75115          </v>
      </c>
      <c r="CV260" s="51">
        <f>IFERROR(__xludf.DUMMYFUNCTION("IF(REGEXMATCH(UPPER(CU260), ""TX""),0,1)"),0.0)</f>
        <v>0</v>
      </c>
      <c r="CW260" s="51">
        <f>IFERROR(__xludf.DUMMYFUNCTION("IF(REGEXMATCH(UPPER(CU260), ""DALLAS""),0,1)"),1.0)</f>
        <v>1</v>
      </c>
      <c r="CX260" s="51">
        <f t="shared" si="17"/>
        <v>0</v>
      </c>
      <c r="CY260" s="51">
        <f t="shared" si="18"/>
        <v>3000</v>
      </c>
      <c r="CZ260" s="52" t="str">
        <f t="shared" si="19"/>
        <v>733 Mulberry Lane
Desoto, TX 75115          </v>
      </c>
      <c r="DA260" s="58"/>
      <c r="DB260" s="52"/>
      <c r="DC260" s="52"/>
      <c r="DD260" s="52"/>
      <c r="DE260" s="52"/>
      <c r="DF260" s="52"/>
      <c r="DG260" s="52"/>
      <c r="DH260" s="52"/>
      <c r="DI260" s="52"/>
      <c r="DJ260" s="52"/>
      <c r="DK260" s="52"/>
      <c r="DL260" s="52"/>
      <c r="DM260" s="52"/>
      <c r="DN260" s="52"/>
      <c r="DO260" s="52"/>
      <c r="DP260" s="52"/>
      <c r="DQ260" s="52"/>
      <c r="DR260" s="52"/>
      <c r="DS260" s="52"/>
      <c r="DT260" s="52"/>
      <c r="DU260" s="52"/>
      <c r="DV260" s="52"/>
      <c r="DW260" s="52"/>
    </row>
    <row r="261">
      <c r="A261" s="40" t="s">
        <v>55</v>
      </c>
      <c r="B261" s="41" t="s">
        <v>56</v>
      </c>
      <c r="C261" s="31" t="s">
        <v>734</v>
      </c>
      <c r="D261" s="25" t="str">
        <f>IFERROR(__xludf.DUMMYFUNCTION("SPLIT(C261,"" "")"),"Stonewall")</f>
        <v>Stonewall</v>
      </c>
      <c r="E261" s="40" t="str">
        <f>IFERROR(__xludf.DUMMYFUNCTION("""COMPUTED_VALUE"""),"Democrats")</f>
        <v>Democrats</v>
      </c>
      <c r="F261" s="40" t="str">
        <f>IFERROR(__xludf.DUMMYFUNCTION("""COMPUTED_VALUE"""),"PAC
PO")</f>
        <v>PAC
PO</v>
      </c>
      <c r="G261" s="40" t="str">
        <f>IFERROR(__xludf.DUMMYFUNCTION("""COMPUTED_VALUE"""),"Box")</f>
        <v>Box</v>
      </c>
      <c r="H261" s="40" t="str">
        <f>IFERROR(__xludf.DUMMYFUNCTION("""COMPUTED_VALUE"""),"192305
Dallas,")</f>
        <v>192305
Dallas,</v>
      </c>
      <c r="I261" s="40" t="str">
        <f>IFERROR(__xludf.DUMMYFUNCTION("""COMPUTED_VALUE"""),"TX")</f>
        <v>TX</v>
      </c>
      <c r="J261" s="40">
        <f>IFERROR(__xludf.DUMMYFUNCTION("""COMPUTED_VALUE"""),75219.0)</f>
        <v>75219</v>
      </c>
      <c r="K261" s="40"/>
      <c r="L261" s="40"/>
      <c r="M261" s="40"/>
      <c r="N261" s="40"/>
      <c r="O261" s="40"/>
      <c r="P261" s="40"/>
      <c r="Q261" s="40"/>
      <c r="R261" s="40"/>
      <c r="S261" s="40"/>
      <c r="T261" s="40"/>
      <c r="U261" s="24" t="str">
        <f>IFERROR(__xludf.DUMMYFUNCTION("SPLIT(E261,""01234567890"")"),"Democrats")</f>
        <v>Democrats</v>
      </c>
      <c r="V261" s="24" t="str">
        <f>IFERROR(__xludf.DUMMYFUNCTION("SPLIT(D261,"","")"),"Stonewall")</f>
        <v>Stonewall</v>
      </c>
      <c r="W261" s="25" t="str">
        <f t="shared" si="1"/>
        <v>DEMOCRATS STONEWALL</v>
      </c>
      <c r="X261" s="25" t="s">
        <v>735</v>
      </c>
      <c r="Y261" s="25">
        <v>75219.0</v>
      </c>
      <c r="Z261" s="25" t="str">
        <f>IFERROR(__xludf.DUMMYFUNCTION("SPLIT(C261,""
"")"),"Stonewall Democrats PAC")</f>
        <v>Stonewall Democrats PAC</v>
      </c>
      <c r="AA261" s="25" t="str">
        <f>IFERROR(__xludf.DUMMYFUNCTION("""COMPUTED_VALUE"""),"PO Box 192305")</f>
        <v>PO Box 192305</v>
      </c>
      <c r="AB261" s="25" t="str">
        <f>IFERROR(__xludf.DUMMYFUNCTION("""COMPUTED_VALUE"""),"Dallas, TX 75219")</f>
        <v>Dallas, TX 75219</v>
      </c>
      <c r="AC261" s="24" t="s">
        <v>736</v>
      </c>
      <c r="AD261" s="25"/>
      <c r="AE261" s="25"/>
      <c r="AF261" s="25"/>
      <c r="AG261" s="40" t="s">
        <v>60</v>
      </c>
      <c r="AH261" s="42">
        <v>2441.0</v>
      </c>
      <c r="AI261" s="40" t="s">
        <v>61</v>
      </c>
      <c r="AJ261" s="27">
        <v>500.0</v>
      </c>
      <c r="AK261" s="31" t="s">
        <v>21</v>
      </c>
      <c r="AL261" s="43">
        <v>44732.0</v>
      </c>
      <c r="AM261" s="44">
        <v>44756.4640625</v>
      </c>
      <c r="AN261" s="30">
        <v>2.0</v>
      </c>
      <c r="AO261" s="40"/>
      <c r="AP261" s="40"/>
      <c r="AQ261" s="40"/>
      <c r="AR261" s="40"/>
      <c r="AS261" s="40"/>
      <c r="AT261" s="47"/>
      <c r="AU261" s="40"/>
      <c r="AV261" s="46" t="str">
        <f>IFERROR(__xludf.DUMMYFUNCTION("""COMPUTED_VALUE"""),"McBee")</f>
        <v>McBee</v>
      </c>
      <c r="AW261" s="46">
        <f t="shared" si="7"/>
        <v>1250</v>
      </c>
      <c r="AX261" s="47">
        <f t="shared" ref="AX261:BQ261" si="893">SUMIFS($AJ:$AJ,$V:$V,$AV261,$AK:$AK,AX$2)</f>
        <v>0</v>
      </c>
      <c r="AY261" s="48">
        <f t="shared" si="893"/>
        <v>0</v>
      </c>
      <c r="AZ261" s="48">
        <f t="shared" si="893"/>
        <v>150</v>
      </c>
      <c r="BA261" s="48">
        <f t="shared" si="893"/>
        <v>100</v>
      </c>
      <c r="BB261" s="48">
        <f t="shared" si="893"/>
        <v>1000</v>
      </c>
      <c r="BC261" s="48">
        <f t="shared" si="893"/>
        <v>0</v>
      </c>
      <c r="BD261" s="48">
        <f t="shared" si="893"/>
        <v>0</v>
      </c>
      <c r="BE261" s="48">
        <f t="shared" si="893"/>
        <v>0</v>
      </c>
      <c r="BF261" s="48">
        <f t="shared" si="893"/>
        <v>0</v>
      </c>
      <c r="BG261" s="48">
        <f t="shared" si="893"/>
        <v>0</v>
      </c>
      <c r="BH261" s="48">
        <f t="shared" si="893"/>
        <v>0</v>
      </c>
      <c r="BI261" s="48">
        <f t="shared" si="893"/>
        <v>0</v>
      </c>
      <c r="BJ261" s="48">
        <f t="shared" si="893"/>
        <v>0</v>
      </c>
      <c r="BK261" s="48">
        <f t="shared" si="893"/>
        <v>0</v>
      </c>
      <c r="BL261" s="48">
        <f t="shared" si="893"/>
        <v>0</v>
      </c>
      <c r="BM261" s="48">
        <f t="shared" si="893"/>
        <v>0</v>
      </c>
      <c r="BN261" s="48">
        <f t="shared" si="893"/>
        <v>0</v>
      </c>
      <c r="BO261" s="48">
        <f t="shared" si="893"/>
        <v>0</v>
      </c>
      <c r="BP261" s="48">
        <f t="shared" si="893"/>
        <v>0</v>
      </c>
      <c r="BQ261" s="48">
        <f t="shared" si="893"/>
        <v>0</v>
      </c>
      <c r="BR261" s="36">
        <f t="shared" si="9"/>
        <v>0</v>
      </c>
      <c r="BS261" s="38">
        <f t="shared" si="10"/>
        <v>1</v>
      </c>
      <c r="BT261" s="49">
        <f t="shared" si="11"/>
        <v>0</v>
      </c>
      <c r="BU261" s="38">
        <f t="shared" si="12"/>
        <v>1000</v>
      </c>
      <c r="BV261" s="46" t="str">
        <f>IFERROR(__xludf.DUMMYFUNCTION("""COMPUTED_VALUE"""),"McBee")</f>
        <v>McBee</v>
      </c>
      <c r="BW261" s="46">
        <f t="shared" si="13"/>
        <v>1250</v>
      </c>
      <c r="BX261" s="47">
        <f t="shared" ref="BX261:CA261" si="894">AX261-$BU261</f>
        <v>-1000</v>
      </c>
      <c r="BY261" s="47">
        <f t="shared" si="894"/>
        <v>-1000</v>
      </c>
      <c r="BZ261" s="47">
        <f t="shared" si="894"/>
        <v>-850</v>
      </c>
      <c r="CA261" s="47">
        <f t="shared" si="894"/>
        <v>-900</v>
      </c>
      <c r="CB261" s="47">
        <f t="shared" si="15"/>
        <v>-9000</v>
      </c>
      <c r="CC261" s="47">
        <f t="shared" ref="CC261:CQ261" si="895">BC261-$BU261</f>
        <v>-1000</v>
      </c>
      <c r="CD261" s="47">
        <f t="shared" si="895"/>
        <v>-1000</v>
      </c>
      <c r="CE261" s="47">
        <f t="shared" si="895"/>
        <v>-1000</v>
      </c>
      <c r="CF261" s="47">
        <f t="shared" si="895"/>
        <v>-1000</v>
      </c>
      <c r="CG261" s="47">
        <f t="shared" si="895"/>
        <v>-1000</v>
      </c>
      <c r="CH261" s="47">
        <f t="shared" si="895"/>
        <v>-1000</v>
      </c>
      <c r="CI261" s="47">
        <f t="shared" si="895"/>
        <v>-1000</v>
      </c>
      <c r="CJ261" s="47">
        <f t="shared" si="895"/>
        <v>-1000</v>
      </c>
      <c r="CK261" s="47">
        <f t="shared" si="895"/>
        <v>-1000</v>
      </c>
      <c r="CL261" s="47">
        <f t="shared" si="895"/>
        <v>-1000</v>
      </c>
      <c r="CM261" s="47">
        <f t="shared" si="895"/>
        <v>-1000</v>
      </c>
      <c r="CN261" s="47">
        <f t="shared" si="895"/>
        <v>-1000</v>
      </c>
      <c r="CO261" s="47">
        <f t="shared" si="895"/>
        <v>-1000</v>
      </c>
      <c r="CP261" s="47">
        <f t="shared" si="895"/>
        <v>-1000</v>
      </c>
      <c r="CQ261" s="47">
        <f t="shared" si="895"/>
        <v>-1000</v>
      </c>
      <c r="CR261" s="47"/>
      <c r="CS261" s="47"/>
      <c r="CT261" s="47"/>
      <c r="CU261" s="50" t="str">
        <f>IFERROR(__xludf.DUMMYFUNCTION("""COMPUTED_VALUE"""),"usa PAC
1 Penn Plaza
New York, NY 10119        ")</f>
        <v>usa PAC
1 Penn Plaza
New York, NY 10119        </v>
      </c>
      <c r="CV261" s="51">
        <f>IFERROR(__xludf.DUMMYFUNCTION("IF(REGEXMATCH(UPPER(CU261), ""TX""),0,1)"),1.0)</f>
        <v>1</v>
      </c>
      <c r="CW261" s="51">
        <f>IFERROR(__xludf.DUMMYFUNCTION("IF(REGEXMATCH(UPPER(CU261), ""DALLAS""),0,1)"),1.0)</f>
        <v>1</v>
      </c>
      <c r="CX261" s="51">
        <f t="shared" si="17"/>
        <v>1000</v>
      </c>
      <c r="CY261" s="51">
        <f t="shared" si="18"/>
        <v>1000</v>
      </c>
      <c r="CZ261" s="52" t="str">
        <f t="shared" si="19"/>
        <v>usa PAC
1 Penn Plaza
New York, NY 10119        </v>
      </c>
      <c r="DA261" s="58"/>
      <c r="DB261" s="52"/>
      <c r="DC261" s="52"/>
      <c r="DD261" s="52"/>
      <c r="DE261" s="52"/>
      <c r="DF261" s="52"/>
      <c r="DG261" s="52"/>
      <c r="DH261" s="52"/>
      <c r="DI261" s="52"/>
      <c r="DJ261" s="52"/>
      <c r="DK261" s="52"/>
      <c r="DL261" s="52"/>
      <c r="DM261" s="52"/>
      <c r="DN261" s="52"/>
      <c r="DO261" s="52"/>
      <c r="DP261" s="52"/>
      <c r="DQ261" s="52"/>
      <c r="DR261" s="52"/>
      <c r="DS261" s="52"/>
      <c r="DT261" s="52"/>
      <c r="DU261" s="52"/>
      <c r="DV261" s="52"/>
      <c r="DW261" s="52"/>
    </row>
    <row r="262">
      <c r="A262" s="22" t="s">
        <v>55</v>
      </c>
      <c r="B262" s="23" t="s">
        <v>56</v>
      </c>
      <c r="C262" s="31" t="s">
        <v>737</v>
      </c>
      <c r="D262" s="25" t="str">
        <f>IFERROR(__xludf.DUMMYFUNCTION("SPLIT(C262,"" "")"),"TREPAC
PO")</f>
        <v>TREPAC
PO</v>
      </c>
      <c r="E262" s="22" t="str">
        <f>IFERROR(__xludf.DUMMYFUNCTION("""COMPUTED_VALUE"""),"Box")</f>
        <v>Box</v>
      </c>
      <c r="F262" s="22" t="str">
        <f>IFERROR(__xludf.DUMMYFUNCTION("""COMPUTED_VALUE"""),"2246
Austin,")</f>
        <v>2246
Austin,</v>
      </c>
      <c r="G262" s="22" t="str">
        <f>IFERROR(__xludf.DUMMYFUNCTION("""COMPUTED_VALUE"""),"TX")</f>
        <v>TX</v>
      </c>
      <c r="H262" s="22">
        <f>IFERROR(__xludf.DUMMYFUNCTION("""COMPUTED_VALUE"""),78768.0)</f>
        <v>78768</v>
      </c>
      <c r="I262" s="22"/>
      <c r="J262" s="22"/>
      <c r="K262" s="22"/>
      <c r="L262" s="22"/>
      <c r="M262" s="22"/>
      <c r="N262" s="22"/>
      <c r="O262" s="22"/>
      <c r="P262" s="22"/>
      <c r="Q262" s="22"/>
      <c r="R262" s="22"/>
      <c r="S262" s="22"/>
      <c r="T262" s="22"/>
      <c r="U262" s="24" t="str">
        <f>IFERROR(__xludf.DUMMYFUNCTION("SPLIT(E262,""01234567890"")"),"Box")</f>
        <v>Box</v>
      </c>
      <c r="V262" s="24" t="str">
        <f>IFERROR(__xludf.DUMMYFUNCTION("SPLIT(D262,"","")"),"TREPAC
PO")</f>
        <v>TREPAC
PO</v>
      </c>
      <c r="W262" s="25" t="str">
        <f t="shared" si="1"/>
        <v>BOX TREPAC
PO</v>
      </c>
      <c r="X262" s="25" t="s">
        <v>738</v>
      </c>
      <c r="Y262" s="25">
        <v>78768.0</v>
      </c>
      <c r="Z262" s="25" t="str">
        <f>IFERROR(__xludf.DUMMYFUNCTION("SPLIT(C262,""
"")"),"TREPAC")</f>
        <v>TREPAC</v>
      </c>
      <c r="AA262" s="25" t="str">
        <f>IFERROR(__xludf.DUMMYFUNCTION("""COMPUTED_VALUE"""),"PO Box 2246")</f>
        <v>PO Box 2246</v>
      </c>
      <c r="AB262" s="25" t="str">
        <f>IFERROR(__xludf.DUMMYFUNCTION("""COMPUTED_VALUE"""),"Austin, TX 78768")</f>
        <v>Austin, TX 78768</v>
      </c>
      <c r="AC262" s="24" t="s">
        <v>739</v>
      </c>
      <c r="AD262" s="25"/>
      <c r="AE262" s="25"/>
      <c r="AF262" s="25"/>
      <c r="AG262" s="22" t="s">
        <v>60</v>
      </c>
      <c r="AH262" s="54">
        <v>2441.0</v>
      </c>
      <c r="AI262" s="22" t="s">
        <v>61</v>
      </c>
      <c r="AJ262" s="27">
        <v>2500.0</v>
      </c>
      <c r="AK262" s="31" t="s">
        <v>21</v>
      </c>
      <c r="AL262" s="28">
        <v>44728.0</v>
      </c>
      <c r="AM262" s="29">
        <v>44756.4640625</v>
      </c>
      <c r="AN262" s="30">
        <v>2.0</v>
      </c>
      <c r="AO262" s="22"/>
      <c r="AP262" s="22"/>
      <c r="AQ262" s="22"/>
      <c r="AR262" s="22"/>
      <c r="AS262" s="22"/>
      <c r="AT262" s="70"/>
      <c r="AU262" s="22"/>
      <c r="AV262" s="57" t="str">
        <f>IFERROR(__xludf.DUMMYFUNCTION("""COMPUTED_VALUE"""),"Genender")</f>
        <v>Genender</v>
      </c>
      <c r="AW262" s="46">
        <f t="shared" si="7"/>
        <v>250</v>
      </c>
      <c r="AX262" s="47">
        <f t="shared" ref="AX262:BQ262" si="896">SUMIFS($AJ:$AJ,$V:$V,$AV262,$AK:$AK,AX$2)</f>
        <v>0</v>
      </c>
      <c r="AY262" s="48">
        <f t="shared" si="896"/>
        <v>0</v>
      </c>
      <c r="AZ262" s="48">
        <f t="shared" si="896"/>
        <v>0</v>
      </c>
      <c r="BA262" s="48">
        <f t="shared" si="896"/>
        <v>0</v>
      </c>
      <c r="BB262" s="48">
        <f t="shared" si="896"/>
        <v>250</v>
      </c>
      <c r="BC262" s="48">
        <f t="shared" si="896"/>
        <v>0</v>
      </c>
      <c r="BD262" s="48">
        <f t="shared" si="896"/>
        <v>0</v>
      </c>
      <c r="BE262" s="48">
        <f t="shared" si="896"/>
        <v>0</v>
      </c>
      <c r="BF262" s="48">
        <f t="shared" si="896"/>
        <v>0</v>
      </c>
      <c r="BG262" s="48">
        <f t="shared" si="896"/>
        <v>0</v>
      </c>
      <c r="BH262" s="48">
        <f t="shared" si="896"/>
        <v>0</v>
      </c>
      <c r="BI262" s="48">
        <f t="shared" si="896"/>
        <v>0</v>
      </c>
      <c r="BJ262" s="48">
        <f t="shared" si="896"/>
        <v>0</v>
      </c>
      <c r="BK262" s="48">
        <f t="shared" si="896"/>
        <v>0</v>
      </c>
      <c r="BL262" s="48">
        <f t="shared" si="896"/>
        <v>0</v>
      </c>
      <c r="BM262" s="48">
        <f t="shared" si="896"/>
        <v>0</v>
      </c>
      <c r="BN262" s="48">
        <f t="shared" si="896"/>
        <v>0</v>
      </c>
      <c r="BO262" s="48">
        <f t="shared" si="896"/>
        <v>0</v>
      </c>
      <c r="BP262" s="48">
        <f t="shared" si="896"/>
        <v>0</v>
      </c>
      <c r="BQ262" s="48">
        <f t="shared" si="896"/>
        <v>0</v>
      </c>
      <c r="BR262" s="36">
        <f t="shared" si="9"/>
        <v>0</v>
      </c>
      <c r="BS262" s="38">
        <f t="shared" si="10"/>
        <v>1</v>
      </c>
      <c r="BT262" s="49">
        <f t="shared" si="11"/>
        <v>0</v>
      </c>
      <c r="BU262" s="38">
        <f t="shared" si="12"/>
        <v>1000</v>
      </c>
      <c r="BV262" s="57" t="str">
        <f>IFERROR(__xludf.DUMMYFUNCTION("""COMPUTED_VALUE"""),"Genender")</f>
        <v>Genender</v>
      </c>
      <c r="BW262" s="46">
        <f t="shared" si="13"/>
        <v>250</v>
      </c>
      <c r="BX262" s="47">
        <f t="shared" ref="BX262:CA262" si="897">AX262-$BU262</f>
        <v>-1000</v>
      </c>
      <c r="BY262" s="47">
        <f t="shared" si="897"/>
        <v>-1000</v>
      </c>
      <c r="BZ262" s="47">
        <f t="shared" si="897"/>
        <v>-1000</v>
      </c>
      <c r="CA262" s="47">
        <f t="shared" si="897"/>
        <v>-1000</v>
      </c>
      <c r="CB262" s="47">
        <f t="shared" si="15"/>
        <v>-9750</v>
      </c>
      <c r="CC262" s="47">
        <f t="shared" ref="CC262:CQ262" si="898">BC262-$BU262</f>
        <v>-1000</v>
      </c>
      <c r="CD262" s="47">
        <f t="shared" si="898"/>
        <v>-1000</v>
      </c>
      <c r="CE262" s="47">
        <f t="shared" si="898"/>
        <v>-1000</v>
      </c>
      <c r="CF262" s="47">
        <f t="shared" si="898"/>
        <v>-1000</v>
      </c>
      <c r="CG262" s="47">
        <f t="shared" si="898"/>
        <v>-1000</v>
      </c>
      <c r="CH262" s="47">
        <f t="shared" si="898"/>
        <v>-1000</v>
      </c>
      <c r="CI262" s="47">
        <f t="shared" si="898"/>
        <v>-1000</v>
      </c>
      <c r="CJ262" s="47">
        <f t="shared" si="898"/>
        <v>-1000</v>
      </c>
      <c r="CK262" s="47">
        <f t="shared" si="898"/>
        <v>-1000</v>
      </c>
      <c r="CL262" s="47">
        <f t="shared" si="898"/>
        <v>-1000</v>
      </c>
      <c r="CM262" s="47">
        <f t="shared" si="898"/>
        <v>-1000</v>
      </c>
      <c r="CN262" s="47">
        <f t="shared" si="898"/>
        <v>-1000</v>
      </c>
      <c r="CO262" s="47">
        <f t="shared" si="898"/>
        <v>-1000</v>
      </c>
      <c r="CP262" s="47">
        <f t="shared" si="898"/>
        <v>-1000</v>
      </c>
      <c r="CQ262" s="47">
        <f t="shared" si="898"/>
        <v>-1000</v>
      </c>
      <c r="CR262" s="47"/>
      <c r="CS262" s="47"/>
      <c r="CT262" s="47"/>
      <c r="CU262" s="50" t="str">
        <f>IFERROR(__xludf.DUMMYFUNCTION("""COMPUTED_VALUE"""),"., Ross
3000 Turtle Creek Blvd
Dallas, TX 75219        ")</f>
        <v>., Ross
3000 Turtle Creek Blvd
Dallas, TX 75219        </v>
      </c>
      <c r="CV262" s="51">
        <f>IFERROR(__xludf.DUMMYFUNCTION("IF(REGEXMATCH(UPPER(CU262), ""TX""),0,1)"),0.0)</f>
        <v>0</v>
      </c>
      <c r="CW262" s="51">
        <f>IFERROR(__xludf.DUMMYFUNCTION("IF(REGEXMATCH(UPPER(CU262), ""DALLAS""),0,1)"),0.0)</f>
        <v>0</v>
      </c>
      <c r="CX262" s="51">
        <f t="shared" si="17"/>
        <v>0</v>
      </c>
      <c r="CY262" s="51">
        <f t="shared" si="18"/>
        <v>0</v>
      </c>
      <c r="CZ262" s="52" t="str">
        <f t="shared" si="19"/>
        <v/>
      </c>
      <c r="DA262" s="58"/>
      <c r="DB262" s="52"/>
      <c r="DC262" s="52"/>
      <c r="DD262" s="52"/>
      <c r="DE262" s="52"/>
      <c r="DF262" s="52"/>
      <c r="DG262" s="52"/>
      <c r="DH262" s="52"/>
      <c r="DI262" s="52"/>
      <c r="DJ262" s="52"/>
      <c r="DK262" s="52"/>
      <c r="DL262" s="52"/>
      <c r="DM262" s="52"/>
      <c r="DN262" s="52"/>
      <c r="DO262" s="52"/>
      <c r="DP262" s="52"/>
      <c r="DQ262" s="52"/>
      <c r="DR262" s="52"/>
      <c r="DS262" s="52"/>
      <c r="DT262" s="52"/>
      <c r="DU262" s="52"/>
      <c r="DV262" s="52"/>
      <c r="DW262" s="52"/>
    </row>
    <row r="263">
      <c r="A263" s="40" t="s">
        <v>55</v>
      </c>
      <c r="B263" s="41" t="s">
        <v>56</v>
      </c>
      <c r="C263" s="31" t="s">
        <v>141</v>
      </c>
      <c r="D263" s="25" t="str">
        <f>IFERROR(__xludf.DUMMYFUNCTION("SPLIT(C263,"" "")"),"Alcantar,")</f>
        <v>Alcantar,</v>
      </c>
      <c r="E263" s="40" t="str">
        <f>IFERROR(__xludf.DUMMYFUNCTION("""COMPUTED_VALUE"""),"Joe
7304")</f>
        <v>Joe
7304</v>
      </c>
      <c r="F263" s="40" t="str">
        <f>IFERROR(__xludf.DUMMYFUNCTION("""COMPUTED_VALUE"""),"Lane")</f>
        <v>Lane</v>
      </c>
      <c r="G263" s="40" t="str">
        <f>IFERROR(__xludf.DUMMYFUNCTION("""COMPUTED_VALUE"""),"Park")</f>
        <v>Park</v>
      </c>
      <c r="H263" s="40" t="str">
        <f>IFERROR(__xludf.DUMMYFUNCTION("""COMPUTED_VALUE"""),"Ct
Dallas,")</f>
        <v>Ct
Dallas,</v>
      </c>
      <c r="I263" s="40" t="str">
        <f>IFERROR(__xludf.DUMMYFUNCTION("""COMPUTED_VALUE"""),"TX")</f>
        <v>TX</v>
      </c>
      <c r="J263" s="40">
        <f>IFERROR(__xludf.DUMMYFUNCTION("""COMPUTED_VALUE"""),75225.0)</f>
        <v>75225</v>
      </c>
      <c r="K263" s="40"/>
      <c r="L263" s="40"/>
      <c r="M263" s="40"/>
      <c r="N263" s="40"/>
      <c r="O263" s="40"/>
      <c r="P263" s="40"/>
      <c r="Q263" s="40"/>
      <c r="R263" s="40"/>
      <c r="S263" s="40"/>
      <c r="T263" s="40"/>
      <c r="U263" s="24" t="str">
        <f>IFERROR(__xludf.DUMMYFUNCTION("SPLIT(E263,""01234567890"")"),"Joe
")</f>
        <v>Joe
</v>
      </c>
      <c r="V263" s="24" t="str">
        <f>IFERROR(__xludf.DUMMYFUNCTION("SPLIT(D263,"","")"),"Alcantar")</f>
        <v>Alcantar</v>
      </c>
      <c r="W263" s="25" t="str">
        <f t="shared" si="1"/>
        <v>JOE
 ALCANTAR</v>
      </c>
      <c r="X263" s="25" t="s">
        <v>142</v>
      </c>
      <c r="Y263" s="25">
        <v>75225.0</v>
      </c>
      <c r="Z263" s="25" t="str">
        <f>IFERROR(__xludf.DUMMYFUNCTION("SPLIT(C263,""
"")"),"Alcantar, Joe")</f>
        <v>Alcantar, Joe</v>
      </c>
      <c r="AA263" s="25" t="str">
        <f>IFERROR(__xludf.DUMMYFUNCTION("""COMPUTED_VALUE"""),"7304 Lane Park Ct")</f>
        <v>7304 Lane Park Ct</v>
      </c>
      <c r="AB263" s="25" t="str">
        <f>IFERROR(__xludf.DUMMYFUNCTION("""COMPUTED_VALUE"""),"Dallas, TX 75225")</f>
        <v>Dallas, TX 75225</v>
      </c>
      <c r="AC263" s="24" t="s">
        <v>138</v>
      </c>
      <c r="AD263" s="25"/>
      <c r="AE263" s="25"/>
      <c r="AF263" s="25"/>
      <c r="AG263" s="40" t="s">
        <v>60</v>
      </c>
      <c r="AH263" s="42">
        <v>2444.0</v>
      </c>
      <c r="AI263" s="40" t="s">
        <v>61</v>
      </c>
      <c r="AJ263" s="27">
        <v>500.0</v>
      </c>
      <c r="AK263" s="31" t="s">
        <v>27</v>
      </c>
      <c r="AL263" s="43">
        <v>44607.0</v>
      </c>
      <c r="AM263" s="44">
        <v>44757.70153935185</v>
      </c>
      <c r="AN263" s="30">
        <v>2.0</v>
      </c>
      <c r="AO263" s="40"/>
      <c r="AP263" s="40"/>
      <c r="AQ263" s="40"/>
      <c r="AR263" s="40"/>
      <c r="AS263" s="40"/>
      <c r="AT263" s="47"/>
      <c r="AU263" s="40"/>
      <c r="AV263" s="46" t="str">
        <f>IFERROR(__xludf.DUMMYFUNCTION("""COMPUTED_VALUE"""),"Booker")</f>
        <v>Booker</v>
      </c>
      <c r="AW263" s="46">
        <f t="shared" si="7"/>
        <v>10</v>
      </c>
      <c r="AX263" s="47">
        <f t="shared" ref="AX263:BQ263" si="899">SUMIFS($AJ:$AJ,$V:$V,$AV263,$AK:$AK,AX$2)</f>
        <v>0</v>
      </c>
      <c r="AY263" s="48">
        <f t="shared" si="899"/>
        <v>0</v>
      </c>
      <c r="AZ263" s="48">
        <f t="shared" si="899"/>
        <v>0</v>
      </c>
      <c r="BA263" s="48">
        <f t="shared" si="899"/>
        <v>0</v>
      </c>
      <c r="BB263" s="48">
        <f t="shared" si="899"/>
        <v>10</v>
      </c>
      <c r="BC263" s="48">
        <f t="shared" si="899"/>
        <v>0</v>
      </c>
      <c r="BD263" s="48">
        <f t="shared" si="899"/>
        <v>0</v>
      </c>
      <c r="BE263" s="48">
        <f t="shared" si="899"/>
        <v>0</v>
      </c>
      <c r="BF263" s="48">
        <f t="shared" si="899"/>
        <v>0</v>
      </c>
      <c r="BG263" s="48">
        <f t="shared" si="899"/>
        <v>0</v>
      </c>
      <c r="BH263" s="48">
        <f t="shared" si="899"/>
        <v>0</v>
      </c>
      <c r="BI263" s="48">
        <f t="shared" si="899"/>
        <v>0</v>
      </c>
      <c r="BJ263" s="48">
        <f t="shared" si="899"/>
        <v>0</v>
      </c>
      <c r="BK263" s="48">
        <f t="shared" si="899"/>
        <v>0</v>
      </c>
      <c r="BL263" s="48">
        <f t="shared" si="899"/>
        <v>0</v>
      </c>
      <c r="BM263" s="48">
        <f t="shared" si="899"/>
        <v>0</v>
      </c>
      <c r="BN263" s="48">
        <f t="shared" si="899"/>
        <v>0</v>
      </c>
      <c r="BO263" s="48">
        <f t="shared" si="899"/>
        <v>0</v>
      </c>
      <c r="BP263" s="48">
        <f t="shared" si="899"/>
        <v>0</v>
      </c>
      <c r="BQ263" s="48">
        <f t="shared" si="899"/>
        <v>0</v>
      </c>
      <c r="BR263" s="36">
        <f t="shared" si="9"/>
        <v>0</v>
      </c>
      <c r="BS263" s="38">
        <f t="shared" si="10"/>
        <v>1</v>
      </c>
      <c r="BT263" s="49">
        <f t="shared" si="11"/>
        <v>0</v>
      </c>
      <c r="BU263" s="38">
        <f t="shared" si="12"/>
        <v>1000</v>
      </c>
      <c r="BV263" s="46" t="str">
        <f>IFERROR(__xludf.DUMMYFUNCTION("""COMPUTED_VALUE"""),"Booker")</f>
        <v>Booker</v>
      </c>
      <c r="BW263" s="46">
        <f t="shared" si="13"/>
        <v>10</v>
      </c>
      <c r="BX263" s="47">
        <f t="shared" ref="BX263:CA263" si="900">AX263-$BU263</f>
        <v>-1000</v>
      </c>
      <c r="BY263" s="47">
        <f t="shared" si="900"/>
        <v>-1000</v>
      </c>
      <c r="BZ263" s="47">
        <f t="shared" si="900"/>
        <v>-1000</v>
      </c>
      <c r="CA263" s="47">
        <f t="shared" si="900"/>
        <v>-1000</v>
      </c>
      <c r="CB263" s="47">
        <f t="shared" si="15"/>
        <v>-9990</v>
      </c>
      <c r="CC263" s="47">
        <f t="shared" ref="CC263:CQ263" si="901">BC263-$BU263</f>
        <v>-1000</v>
      </c>
      <c r="CD263" s="47">
        <f t="shared" si="901"/>
        <v>-1000</v>
      </c>
      <c r="CE263" s="47">
        <f t="shared" si="901"/>
        <v>-1000</v>
      </c>
      <c r="CF263" s="47">
        <f t="shared" si="901"/>
        <v>-1000</v>
      </c>
      <c r="CG263" s="47">
        <f t="shared" si="901"/>
        <v>-1000</v>
      </c>
      <c r="CH263" s="47">
        <f t="shared" si="901"/>
        <v>-1000</v>
      </c>
      <c r="CI263" s="47">
        <f t="shared" si="901"/>
        <v>-1000</v>
      </c>
      <c r="CJ263" s="47">
        <f t="shared" si="901"/>
        <v>-1000</v>
      </c>
      <c r="CK263" s="47">
        <f t="shared" si="901"/>
        <v>-1000</v>
      </c>
      <c r="CL263" s="47">
        <f t="shared" si="901"/>
        <v>-1000</v>
      </c>
      <c r="CM263" s="47">
        <f t="shared" si="901"/>
        <v>-1000</v>
      </c>
      <c r="CN263" s="47">
        <f t="shared" si="901"/>
        <v>-1000</v>
      </c>
      <c r="CO263" s="47">
        <f t="shared" si="901"/>
        <v>-1000</v>
      </c>
      <c r="CP263" s="47">
        <f t="shared" si="901"/>
        <v>-1000</v>
      </c>
      <c r="CQ263" s="47">
        <f t="shared" si="901"/>
        <v>-1000</v>
      </c>
      <c r="CR263" s="47"/>
      <c r="CS263" s="47"/>
      <c r="CT263" s="47"/>
      <c r="CU263" s="50" t="str">
        <f>IFERROR(__xludf.DUMMYFUNCTION("""COMPUTED_VALUE"""),"4515 W Mockingbird Ln
Dallas, TX 75209         ")</f>
        <v>4515 W Mockingbird Ln
Dallas, TX 75209         </v>
      </c>
      <c r="CV263" s="51">
        <f>IFERROR(__xludf.DUMMYFUNCTION("IF(REGEXMATCH(UPPER(CU263), ""TX""),0,1)"),0.0)</f>
        <v>0</v>
      </c>
      <c r="CW263" s="51">
        <f>IFERROR(__xludf.DUMMYFUNCTION("IF(REGEXMATCH(UPPER(CU263), ""DALLAS""),0,1)"),0.0)</f>
        <v>0</v>
      </c>
      <c r="CX263" s="51">
        <f t="shared" si="17"/>
        <v>0</v>
      </c>
      <c r="CY263" s="51">
        <f t="shared" si="18"/>
        <v>0</v>
      </c>
      <c r="CZ263" s="52" t="str">
        <f t="shared" si="19"/>
        <v/>
      </c>
      <c r="DA263" s="58"/>
      <c r="DB263" s="52"/>
      <c r="DC263" s="52"/>
      <c r="DD263" s="52"/>
      <c r="DE263" s="52"/>
      <c r="DF263" s="52"/>
      <c r="DG263" s="52"/>
      <c r="DH263" s="52"/>
      <c r="DI263" s="52"/>
      <c r="DJ263" s="52"/>
      <c r="DK263" s="52"/>
      <c r="DL263" s="52"/>
      <c r="DM263" s="52"/>
      <c r="DN263" s="52"/>
      <c r="DO263" s="52"/>
      <c r="DP263" s="52"/>
      <c r="DQ263" s="52"/>
      <c r="DR263" s="52"/>
      <c r="DS263" s="52"/>
      <c r="DT263" s="52"/>
      <c r="DU263" s="52"/>
      <c r="DV263" s="52"/>
      <c r="DW263" s="52"/>
    </row>
    <row r="264">
      <c r="A264" s="23" t="s">
        <v>64</v>
      </c>
      <c r="B264" s="23" t="s">
        <v>56</v>
      </c>
      <c r="C264" s="31" t="s">
        <v>740</v>
      </c>
      <c r="D264" s="25" t="str">
        <f>IFERROR(__xludf.DUMMYFUNCTION("SPLIT(C264,"" "")"),"Crow,")</f>
        <v>Crow,</v>
      </c>
      <c r="E264" s="22" t="str">
        <f>IFERROR(__xludf.DUMMYFUNCTION("""COMPUTED_VALUE"""),"Patrick
4818")</f>
        <v>Patrick
4818</v>
      </c>
      <c r="F264" s="22" t="str">
        <f>IFERROR(__xludf.DUMMYFUNCTION("""COMPUTED_VALUE"""),"N.")</f>
        <v>N.</v>
      </c>
      <c r="G264" s="22" t="str">
        <f>IFERROR(__xludf.DUMMYFUNCTION("""COMPUTED_VALUE"""),"Lindhurst
Dallas,")</f>
        <v>Lindhurst
Dallas,</v>
      </c>
      <c r="H264" s="22" t="str">
        <f>IFERROR(__xludf.DUMMYFUNCTION("""COMPUTED_VALUE"""),"TX")</f>
        <v>TX</v>
      </c>
      <c r="I264" s="22">
        <f>IFERROR(__xludf.DUMMYFUNCTION("""COMPUTED_VALUE"""),75229.0)</f>
        <v>75229</v>
      </c>
      <c r="J264" s="22"/>
      <c r="K264" s="22"/>
      <c r="L264" s="22"/>
      <c r="M264" s="22"/>
      <c r="N264" s="22"/>
      <c r="O264" s="22"/>
      <c r="P264" s="22"/>
      <c r="Q264" s="22"/>
      <c r="R264" s="22"/>
      <c r="S264" s="22"/>
      <c r="T264" s="22"/>
      <c r="U264" s="24" t="str">
        <f>IFERROR(__xludf.DUMMYFUNCTION("SPLIT(E264,""01234567890"")"),"Patrick
")</f>
        <v>Patrick
</v>
      </c>
      <c r="V264" s="24" t="str">
        <f>IFERROR(__xludf.DUMMYFUNCTION("SPLIT(D264,"","")"),"Crow")</f>
        <v>Crow</v>
      </c>
      <c r="W264" s="25" t="str">
        <f t="shared" si="1"/>
        <v>PATRICK
 CROW</v>
      </c>
      <c r="X264" s="25" t="s">
        <v>741</v>
      </c>
      <c r="Y264" s="25">
        <v>75229.0</v>
      </c>
      <c r="Z264" s="25" t="str">
        <f>IFERROR(__xludf.DUMMYFUNCTION("SPLIT(C264,""
"")"),"Crow, Patrick")</f>
        <v>Crow, Patrick</v>
      </c>
      <c r="AA264" s="25" t="str">
        <f>IFERROR(__xludf.DUMMYFUNCTION("""COMPUTED_VALUE"""),"4818 N. Lindhurst")</f>
        <v>4818 N. Lindhurst</v>
      </c>
      <c r="AB264" s="25" t="str">
        <f>IFERROR(__xludf.DUMMYFUNCTION("""COMPUTED_VALUE"""),"Dallas, TX 75229")</f>
        <v>Dallas, TX 75229</v>
      </c>
      <c r="AC264" s="24" t="s">
        <v>742</v>
      </c>
      <c r="AD264" s="25"/>
      <c r="AE264" s="25"/>
      <c r="AF264" s="25"/>
      <c r="AG264" s="22" t="s">
        <v>60</v>
      </c>
      <c r="AH264" s="54">
        <v>2444.0</v>
      </c>
      <c r="AI264" s="22" t="s">
        <v>61</v>
      </c>
      <c r="AJ264" s="27">
        <v>500.0</v>
      </c>
      <c r="AK264" s="31" t="s">
        <v>27</v>
      </c>
      <c r="AL264" s="28">
        <v>44614.0</v>
      </c>
      <c r="AM264" s="29">
        <v>44757.70153935185</v>
      </c>
      <c r="AN264" s="30">
        <v>2.0</v>
      </c>
      <c r="AO264" s="22"/>
      <c r="AP264" s="22"/>
      <c r="AQ264" s="22"/>
      <c r="AR264" s="22"/>
      <c r="AS264" s="22"/>
      <c r="AT264" s="70"/>
      <c r="AU264" s="22"/>
      <c r="AV264" s="57" t="str">
        <f>IFERROR(__xludf.DUMMYFUNCTION("""COMPUTED_VALUE"""),"McClinton")</f>
        <v>McClinton</v>
      </c>
      <c r="AW264" s="46">
        <f t="shared" si="7"/>
        <v>50</v>
      </c>
      <c r="AX264" s="47">
        <f t="shared" ref="AX264:BQ264" si="902">SUMIFS($AJ:$AJ,$V:$V,$AV264,$AK:$AK,AX$2)</f>
        <v>0</v>
      </c>
      <c r="AY264" s="48">
        <f t="shared" si="902"/>
        <v>0</v>
      </c>
      <c r="AZ264" s="48">
        <f t="shared" si="902"/>
        <v>0</v>
      </c>
      <c r="BA264" s="48">
        <f t="shared" si="902"/>
        <v>0</v>
      </c>
      <c r="BB264" s="48">
        <f t="shared" si="902"/>
        <v>50</v>
      </c>
      <c r="BC264" s="48">
        <f t="shared" si="902"/>
        <v>0</v>
      </c>
      <c r="BD264" s="48">
        <f t="shared" si="902"/>
        <v>0</v>
      </c>
      <c r="BE264" s="48">
        <f t="shared" si="902"/>
        <v>0</v>
      </c>
      <c r="BF264" s="48">
        <f t="shared" si="902"/>
        <v>0</v>
      </c>
      <c r="BG264" s="48">
        <f t="shared" si="902"/>
        <v>0</v>
      </c>
      <c r="BH264" s="48">
        <f t="shared" si="902"/>
        <v>0</v>
      </c>
      <c r="BI264" s="48">
        <f t="shared" si="902"/>
        <v>0</v>
      </c>
      <c r="BJ264" s="48">
        <f t="shared" si="902"/>
        <v>0</v>
      </c>
      <c r="BK264" s="48">
        <f t="shared" si="902"/>
        <v>0</v>
      </c>
      <c r="BL264" s="48">
        <f t="shared" si="902"/>
        <v>0</v>
      </c>
      <c r="BM264" s="48">
        <f t="shared" si="902"/>
        <v>0</v>
      </c>
      <c r="BN264" s="48">
        <f t="shared" si="902"/>
        <v>0</v>
      </c>
      <c r="BO264" s="48">
        <f t="shared" si="902"/>
        <v>0</v>
      </c>
      <c r="BP264" s="48">
        <f t="shared" si="902"/>
        <v>0</v>
      </c>
      <c r="BQ264" s="48">
        <f t="shared" si="902"/>
        <v>0</v>
      </c>
      <c r="BR264" s="36">
        <f t="shared" si="9"/>
        <v>0</v>
      </c>
      <c r="BS264" s="38">
        <f t="shared" si="10"/>
        <v>1</v>
      </c>
      <c r="BT264" s="49">
        <f t="shared" si="11"/>
        <v>0</v>
      </c>
      <c r="BU264" s="38">
        <f t="shared" si="12"/>
        <v>1000</v>
      </c>
      <c r="BV264" s="57" t="str">
        <f>IFERROR(__xludf.DUMMYFUNCTION("""COMPUTED_VALUE"""),"McClinton")</f>
        <v>McClinton</v>
      </c>
      <c r="BW264" s="46">
        <f t="shared" si="13"/>
        <v>50</v>
      </c>
      <c r="BX264" s="47">
        <f t="shared" ref="BX264:CA264" si="903">AX264-$BU264</f>
        <v>-1000</v>
      </c>
      <c r="BY264" s="47">
        <f t="shared" si="903"/>
        <v>-1000</v>
      </c>
      <c r="BZ264" s="47">
        <f t="shared" si="903"/>
        <v>-1000</v>
      </c>
      <c r="CA264" s="47">
        <f t="shared" si="903"/>
        <v>-1000</v>
      </c>
      <c r="CB264" s="47">
        <f t="shared" si="15"/>
        <v>-9950</v>
      </c>
      <c r="CC264" s="47">
        <f t="shared" ref="CC264:CQ264" si="904">BC264-$BU264</f>
        <v>-1000</v>
      </c>
      <c r="CD264" s="47">
        <f t="shared" si="904"/>
        <v>-1000</v>
      </c>
      <c r="CE264" s="47">
        <f t="shared" si="904"/>
        <v>-1000</v>
      </c>
      <c r="CF264" s="47">
        <f t="shared" si="904"/>
        <v>-1000</v>
      </c>
      <c r="CG264" s="47">
        <f t="shared" si="904"/>
        <v>-1000</v>
      </c>
      <c r="CH264" s="47">
        <f t="shared" si="904"/>
        <v>-1000</v>
      </c>
      <c r="CI264" s="47">
        <f t="shared" si="904"/>
        <v>-1000</v>
      </c>
      <c r="CJ264" s="47">
        <f t="shared" si="904"/>
        <v>-1000</v>
      </c>
      <c r="CK264" s="47">
        <f t="shared" si="904"/>
        <v>-1000</v>
      </c>
      <c r="CL264" s="47">
        <f t="shared" si="904"/>
        <v>-1000</v>
      </c>
      <c r="CM264" s="47">
        <f t="shared" si="904"/>
        <v>-1000</v>
      </c>
      <c r="CN264" s="47">
        <f t="shared" si="904"/>
        <v>-1000</v>
      </c>
      <c r="CO264" s="47">
        <f t="shared" si="904"/>
        <v>-1000</v>
      </c>
      <c r="CP264" s="47">
        <f t="shared" si="904"/>
        <v>-1000</v>
      </c>
      <c r="CQ264" s="47">
        <f t="shared" si="904"/>
        <v>-1000</v>
      </c>
      <c r="CR264" s="47"/>
      <c r="CS264" s="47"/>
      <c r="CT264" s="47"/>
      <c r="CU264" s="50" t="str">
        <f>IFERROR(__xludf.DUMMYFUNCTION("""COMPUTED_VALUE"""),"4 Robledo Dr
Dallas, TX 75230          ")</f>
        <v>4 Robledo Dr
Dallas, TX 75230          </v>
      </c>
      <c r="CV264" s="51">
        <f>IFERROR(__xludf.DUMMYFUNCTION("IF(REGEXMATCH(UPPER(CU264), ""TX""),0,1)"),0.0)</f>
        <v>0</v>
      </c>
      <c r="CW264" s="51">
        <f>IFERROR(__xludf.DUMMYFUNCTION("IF(REGEXMATCH(UPPER(CU264), ""DALLAS""),0,1)"),0.0)</f>
        <v>0</v>
      </c>
      <c r="CX264" s="51">
        <f t="shared" si="17"/>
        <v>0</v>
      </c>
      <c r="CY264" s="51">
        <f t="shared" si="18"/>
        <v>0</v>
      </c>
      <c r="CZ264" s="52" t="str">
        <f t="shared" si="19"/>
        <v/>
      </c>
      <c r="DA264" s="58"/>
      <c r="DB264" s="52"/>
      <c r="DC264" s="52"/>
      <c r="DD264" s="52"/>
      <c r="DE264" s="52"/>
      <c r="DF264" s="52"/>
      <c r="DG264" s="52"/>
      <c r="DH264" s="52"/>
      <c r="DI264" s="52"/>
      <c r="DJ264" s="52"/>
      <c r="DK264" s="52"/>
      <c r="DL264" s="52"/>
      <c r="DM264" s="52"/>
      <c r="DN264" s="52"/>
      <c r="DO264" s="52"/>
      <c r="DP264" s="52"/>
      <c r="DQ264" s="52"/>
      <c r="DR264" s="52"/>
      <c r="DS264" s="52"/>
      <c r="DT264" s="52"/>
      <c r="DU264" s="52"/>
      <c r="DV264" s="52"/>
      <c r="DW264" s="52"/>
    </row>
    <row r="265">
      <c r="A265" s="40" t="s">
        <v>55</v>
      </c>
      <c r="B265" s="41" t="s">
        <v>56</v>
      </c>
      <c r="C265" s="31" t="s">
        <v>743</v>
      </c>
      <c r="D265" s="25" t="str">
        <f>IFERROR(__xludf.DUMMYFUNCTION("SPLIT(C265,"" "")"),"Gerber,")</f>
        <v>Gerber,</v>
      </c>
      <c r="E265" s="40" t="str">
        <f>IFERROR(__xludf.DUMMYFUNCTION("""COMPUTED_VALUE"""),"Pam
4435")</f>
        <v>Pam
4435</v>
      </c>
      <c r="F265" s="40" t="str">
        <f>IFERROR(__xludf.DUMMYFUNCTION("""COMPUTED_VALUE"""),"Holland")</f>
        <v>Holland</v>
      </c>
      <c r="G265" s="40" t="str">
        <f>IFERROR(__xludf.DUMMYFUNCTION("""COMPUTED_VALUE"""),"Ave.
Dallas,")</f>
        <v>Ave.
Dallas,</v>
      </c>
      <c r="H265" s="40" t="str">
        <f>IFERROR(__xludf.DUMMYFUNCTION("""COMPUTED_VALUE"""),"TX")</f>
        <v>TX</v>
      </c>
      <c r="I265" s="40">
        <f>IFERROR(__xludf.DUMMYFUNCTION("""COMPUTED_VALUE"""),75219.0)</f>
        <v>75219</v>
      </c>
      <c r="J265" s="40"/>
      <c r="K265" s="40"/>
      <c r="L265" s="40"/>
      <c r="M265" s="40"/>
      <c r="N265" s="40"/>
      <c r="O265" s="40"/>
      <c r="P265" s="40"/>
      <c r="Q265" s="40"/>
      <c r="R265" s="40"/>
      <c r="S265" s="40"/>
      <c r="T265" s="40"/>
      <c r="U265" s="24" t="str">
        <f>IFERROR(__xludf.DUMMYFUNCTION("SPLIT(E265,""01234567890"")"),"Pam
")</f>
        <v>Pam
</v>
      </c>
      <c r="V265" s="24" t="str">
        <f>IFERROR(__xludf.DUMMYFUNCTION("SPLIT(D265,"","")"),"Gerber")</f>
        <v>Gerber</v>
      </c>
      <c r="W265" s="25" t="str">
        <f t="shared" si="1"/>
        <v>PAM
 GERBER</v>
      </c>
      <c r="X265" s="25" t="s">
        <v>744</v>
      </c>
      <c r="Y265" s="25">
        <v>75219.0</v>
      </c>
      <c r="Z265" s="25" t="str">
        <f>IFERROR(__xludf.DUMMYFUNCTION("SPLIT(C265,""
"")"),"Gerber, Pam")</f>
        <v>Gerber, Pam</v>
      </c>
      <c r="AA265" s="25" t="str">
        <f>IFERROR(__xludf.DUMMYFUNCTION("""COMPUTED_VALUE"""),"4435 Holland Ave.")</f>
        <v>4435 Holland Ave.</v>
      </c>
      <c r="AB265" s="25" t="str">
        <f>IFERROR(__xludf.DUMMYFUNCTION("""COMPUTED_VALUE"""),"Dallas, TX 75219")</f>
        <v>Dallas, TX 75219</v>
      </c>
      <c r="AC265" s="24" t="s">
        <v>745</v>
      </c>
      <c r="AD265" s="25"/>
      <c r="AE265" s="25"/>
      <c r="AF265" s="25"/>
      <c r="AG265" s="40" t="s">
        <v>60</v>
      </c>
      <c r="AH265" s="42">
        <v>2444.0</v>
      </c>
      <c r="AI265" s="40" t="s">
        <v>61</v>
      </c>
      <c r="AJ265" s="27">
        <v>250.0</v>
      </c>
      <c r="AK265" s="31" t="s">
        <v>27</v>
      </c>
      <c r="AL265" s="43">
        <v>44740.0</v>
      </c>
      <c r="AM265" s="44">
        <v>44757.70153935185</v>
      </c>
      <c r="AN265" s="30">
        <v>2.0</v>
      </c>
      <c r="AO265" s="40"/>
      <c r="AP265" s="40"/>
      <c r="AQ265" s="40"/>
      <c r="AR265" s="40"/>
      <c r="AS265" s="40"/>
      <c r="AT265" s="47"/>
      <c r="AU265" s="40"/>
      <c r="AV265" s="46" t="str">
        <f>IFERROR(__xludf.DUMMYFUNCTION("""COMPUTED_VALUE"""),"Heiskell")</f>
        <v>Heiskell</v>
      </c>
      <c r="AW265" s="46">
        <f t="shared" si="7"/>
        <v>500</v>
      </c>
      <c r="AX265" s="47">
        <f t="shared" ref="AX265:BQ265" si="905">SUMIFS($AJ:$AJ,$V:$V,$AV265,$AK:$AK,AX$2)</f>
        <v>0</v>
      </c>
      <c r="AY265" s="48">
        <f t="shared" si="905"/>
        <v>0</v>
      </c>
      <c r="AZ265" s="48">
        <f t="shared" si="905"/>
        <v>0</v>
      </c>
      <c r="BA265" s="48">
        <f t="shared" si="905"/>
        <v>0</v>
      </c>
      <c r="BB265" s="48">
        <f t="shared" si="905"/>
        <v>500</v>
      </c>
      <c r="BC265" s="48">
        <f t="shared" si="905"/>
        <v>0</v>
      </c>
      <c r="BD265" s="48">
        <f t="shared" si="905"/>
        <v>0</v>
      </c>
      <c r="BE265" s="48">
        <f t="shared" si="905"/>
        <v>0</v>
      </c>
      <c r="BF265" s="48">
        <f t="shared" si="905"/>
        <v>0</v>
      </c>
      <c r="BG265" s="48">
        <f t="shared" si="905"/>
        <v>0</v>
      </c>
      <c r="BH265" s="48">
        <f t="shared" si="905"/>
        <v>0</v>
      </c>
      <c r="BI265" s="48">
        <f t="shared" si="905"/>
        <v>0</v>
      </c>
      <c r="BJ265" s="48">
        <f t="shared" si="905"/>
        <v>0</v>
      </c>
      <c r="BK265" s="48">
        <f t="shared" si="905"/>
        <v>0</v>
      </c>
      <c r="BL265" s="48">
        <f t="shared" si="905"/>
        <v>0</v>
      </c>
      <c r="BM265" s="48">
        <f t="shared" si="905"/>
        <v>0</v>
      </c>
      <c r="BN265" s="48">
        <f t="shared" si="905"/>
        <v>0</v>
      </c>
      <c r="BO265" s="48">
        <f t="shared" si="905"/>
        <v>0</v>
      </c>
      <c r="BP265" s="48">
        <f t="shared" si="905"/>
        <v>0</v>
      </c>
      <c r="BQ265" s="48">
        <f t="shared" si="905"/>
        <v>0</v>
      </c>
      <c r="BR265" s="36">
        <f t="shared" si="9"/>
        <v>0</v>
      </c>
      <c r="BS265" s="38">
        <f t="shared" si="10"/>
        <v>1</v>
      </c>
      <c r="BT265" s="49">
        <f t="shared" si="11"/>
        <v>0</v>
      </c>
      <c r="BU265" s="38">
        <f t="shared" si="12"/>
        <v>1000</v>
      </c>
      <c r="BV265" s="46" t="str">
        <f>IFERROR(__xludf.DUMMYFUNCTION("""COMPUTED_VALUE"""),"Heiskell")</f>
        <v>Heiskell</v>
      </c>
      <c r="BW265" s="46">
        <f t="shared" si="13"/>
        <v>500</v>
      </c>
      <c r="BX265" s="47">
        <f t="shared" ref="BX265:CA265" si="906">AX265-$BU265</f>
        <v>-1000</v>
      </c>
      <c r="BY265" s="47">
        <f t="shared" si="906"/>
        <v>-1000</v>
      </c>
      <c r="BZ265" s="47">
        <f t="shared" si="906"/>
        <v>-1000</v>
      </c>
      <c r="CA265" s="47">
        <f t="shared" si="906"/>
        <v>-1000</v>
      </c>
      <c r="CB265" s="47">
        <f t="shared" si="15"/>
        <v>-9500</v>
      </c>
      <c r="CC265" s="47">
        <f t="shared" ref="CC265:CQ265" si="907">BC265-$BU265</f>
        <v>-1000</v>
      </c>
      <c r="CD265" s="47">
        <f t="shared" si="907"/>
        <v>-1000</v>
      </c>
      <c r="CE265" s="47">
        <f t="shared" si="907"/>
        <v>-1000</v>
      </c>
      <c r="CF265" s="47">
        <f t="shared" si="907"/>
        <v>-1000</v>
      </c>
      <c r="CG265" s="47">
        <f t="shared" si="907"/>
        <v>-1000</v>
      </c>
      <c r="CH265" s="47">
        <f t="shared" si="907"/>
        <v>-1000</v>
      </c>
      <c r="CI265" s="47">
        <f t="shared" si="907"/>
        <v>-1000</v>
      </c>
      <c r="CJ265" s="47">
        <f t="shared" si="907"/>
        <v>-1000</v>
      </c>
      <c r="CK265" s="47">
        <f t="shared" si="907"/>
        <v>-1000</v>
      </c>
      <c r="CL265" s="47">
        <f t="shared" si="907"/>
        <v>-1000</v>
      </c>
      <c r="CM265" s="47">
        <f t="shared" si="907"/>
        <v>-1000</v>
      </c>
      <c r="CN265" s="47">
        <f t="shared" si="907"/>
        <v>-1000</v>
      </c>
      <c r="CO265" s="47">
        <f t="shared" si="907"/>
        <v>-1000</v>
      </c>
      <c r="CP265" s="47">
        <f t="shared" si="907"/>
        <v>-1000</v>
      </c>
      <c r="CQ265" s="47">
        <f t="shared" si="907"/>
        <v>-1000</v>
      </c>
      <c r="CR265" s="47"/>
      <c r="CS265" s="47"/>
      <c r="CT265" s="47"/>
      <c r="CU265" s="50" t="str">
        <f>IFERROR(__xludf.DUMMYFUNCTION("""COMPUTED_VALUE"""),"3300 Wentwood Dr
Dallas, TX 75225          ")</f>
        <v>3300 Wentwood Dr
Dallas, TX 75225          </v>
      </c>
      <c r="CV265" s="51">
        <f>IFERROR(__xludf.DUMMYFUNCTION("IF(REGEXMATCH(UPPER(CU265), ""TX""),0,1)"),0.0)</f>
        <v>0</v>
      </c>
      <c r="CW265" s="51">
        <f>IFERROR(__xludf.DUMMYFUNCTION("IF(REGEXMATCH(UPPER(CU265), ""DALLAS""),0,1)"),0.0)</f>
        <v>0</v>
      </c>
      <c r="CX265" s="51">
        <f t="shared" si="17"/>
        <v>0</v>
      </c>
      <c r="CY265" s="51">
        <f t="shared" si="18"/>
        <v>0</v>
      </c>
      <c r="CZ265" s="52" t="str">
        <f t="shared" si="19"/>
        <v/>
      </c>
      <c r="DA265" s="58"/>
      <c r="DB265" s="52"/>
      <c r="DC265" s="52"/>
      <c r="DD265" s="52"/>
      <c r="DE265" s="52"/>
      <c r="DF265" s="52"/>
      <c r="DG265" s="52"/>
      <c r="DH265" s="52"/>
      <c r="DI265" s="52"/>
      <c r="DJ265" s="52"/>
      <c r="DK265" s="52"/>
      <c r="DL265" s="52"/>
      <c r="DM265" s="52"/>
      <c r="DN265" s="52"/>
      <c r="DO265" s="52"/>
      <c r="DP265" s="52"/>
      <c r="DQ265" s="52"/>
      <c r="DR265" s="52"/>
      <c r="DS265" s="52"/>
      <c r="DT265" s="52"/>
      <c r="DU265" s="52"/>
      <c r="DV265" s="52"/>
      <c r="DW265" s="52"/>
    </row>
    <row r="266">
      <c r="A266" s="23" t="s">
        <v>64</v>
      </c>
      <c r="B266" s="23" t="s">
        <v>56</v>
      </c>
      <c r="C266" s="31" t="s">
        <v>746</v>
      </c>
      <c r="D266" s="25" t="str">
        <f>IFERROR(__xludf.DUMMYFUNCTION("SPLIT(C266,"" "")"),"Schenkkel,")</f>
        <v>Schenkkel,</v>
      </c>
      <c r="E266" s="22" t="str">
        <f>IFERROR(__xludf.DUMMYFUNCTION("""COMPUTED_VALUE"""),"Pete
4231")</f>
        <v>Pete
4231</v>
      </c>
      <c r="F266" s="22" t="str">
        <f>IFERROR(__xludf.DUMMYFUNCTION("""COMPUTED_VALUE"""),"Belclaire")</f>
        <v>Belclaire</v>
      </c>
      <c r="G266" s="22" t="str">
        <f>IFERROR(__xludf.DUMMYFUNCTION("""COMPUTED_VALUE"""),"Ave
Dallas,")</f>
        <v>Ave
Dallas,</v>
      </c>
      <c r="H266" s="22" t="str">
        <f>IFERROR(__xludf.DUMMYFUNCTION("""COMPUTED_VALUE"""),"TX")</f>
        <v>TX</v>
      </c>
      <c r="I266" s="22">
        <f>IFERROR(__xludf.DUMMYFUNCTION("""COMPUTED_VALUE"""),75205.0)</f>
        <v>75205</v>
      </c>
      <c r="J266" s="22"/>
      <c r="K266" s="22"/>
      <c r="L266" s="22"/>
      <c r="M266" s="22"/>
      <c r="N266" s="22"/>
      <c r="O266" s="22"/>
      <c r="P266" s="22"/>
      <c r="Q266" s="22"/>
      <c r="R266" s="22"/>
      <c r="S266" s="22"/>
      <c r="T266" s="22"/>
      <c r="U266" s="24" t="str">
        <f>IFERROR(__xludf.DUMMYFUNCTION("SPLIT(E266,""01234567890"")"),"Pete
")</f>
        <v>Pete
</v>
      </c>
      <c r="V266" s="24" t="str">
        <f>IFERROR(__xludf.DUMMYFUNCTION("SPLIT(D266,"","")"),"Schenkkel")</f>
        <v>Schenkkel</v>
      </c>
      <c r="W266" s="25" t="str">
        <f t="shared" si="1"/>
        <v>PETE
 SCHENKKEL</v>
      </c>
      <c r="X266" s="25" t="s">
        <v>747</v>
      </c>
      <c r="Y266" s="25">
        <v>75205.0</v>
      </c>
      <c r="Z266" s="25" t="str">
        <f>IFERROR(__xludf.DUMMYFUNCTION("SPLIT(C266,""
"")"),"Schenkkel, Pete")</f>
        <v>Schenkkel, Pete</v>
      </c>
      <c r="AA266" s="25" t="str">
        <f>IFERROR(__xludf.DUMMYFUNCTION("""COMPUTED_VALUE"""),"4231 Belclaire Ave")</f>
        <v>4231 Belclaire Ave</v>
      </c>
      <c r="AB266" s="25" t="str">
        <f>IFERROR(__xludf.DUMMYFUNCTION("""COMPUTED_VALUE"""),"Dallas, TX 75205")</f>
        <v>Dallas, TX 75205</v>
      </c>
      <c r="AC266" s="24" t="s">
        <v>748</v>
      </c>
      <c r="AD266" s="25"/>
      <c r="AE266" s="25"/>
      <c r="AF266" s="25"/>
      <c r="AG266" s="22" t="s">
        <v>60</v>
      </c>
      <c r="AH266" s="54">
        <v>2444.0</v>
      </c>
      <c r="AI266" s="22" t="s">
        <v>61</v>
      </c>
      <c r="AJ266" s="27">
        <v>500.0</v>
      </c>
      <c r="AK266" s="31" t="s">
        <v>27</v>
      </c>
      <c r="AL266" s="28">
        <v>44618.0</v>
      </c>
      <c r="AM266" s="29">
        <v>44757.70153935185</v>
      </c>
      <c r="AN266" s="30">
        <v>2.0</v>
      </c>
      <c r="AO266" s="22"/>
      <c r="AP266" s="22"/>
      <c r="AQ266" s="22"/>
      <c r="AR266" s="22"/>
      <c r="AS266" s="22"/>
      <c r="AT266" s="70"/>
      <c r="AU266" s="22"/>
      <c r="AV266" s="57" t="str">
        <f>IFERROR(__xludf.DUMMYFUNCTION("""COMPUTED_VALUE"""),"Patterson")</f>
        <v>Patterson</v>
      </c>
      <c r="AW266" s="46">
        <f t="shared" si="7"/>
        <v>350</v>
      </c>
      <c r="AX266" s="47">
        <f t="shared" ref="AX266:BQ266" si="908">SUMIFS($AJ:$AJ,$V:$V,$AV266,$AK:$AK,AX$2)</f>
        <v>0</v>
      </c>
      <c r="AY266" s="48">
        <f t="shared" si="908"/>
        <v>0</v>
      </c>
      <c r="AZ266" s="48">
        <f t="shared" si="908"/>
        <v>0</v>
      </c>
      <c r="BA266" s="48">
        <f t="shared" si="908"/>
        <v>0</v>
      </c>
      <c r="BB266" s="48">
        <f t="shared" si="908"/>
        <v>250</v>
      </c>
      <c r="BC266" s="48">
        <f t="shared" si="908"/>
        <v>0</v>
      </c>
      <c r="BD266" s="48">
        <f t="shared" si="908"/>
        <v>0</v>
      </c>
      <c r="BE266" s="48">
        <f t="shared" si="908"/>
        <v>0</v>
      </c>
      <c r="BF266" s="48">
        <f t="shared" si="908"/>
        <v>100</v>
      </c>
      <c r="BG266" s="48">
        <f t="shared" si="908"/>
        <v>0</v>
      </c>
      <c r="BH266" s="48">
        <f t="shared" si="908"/>
        <v>0</v>
      </c>
      <c r="BI266" s="48">
        <f t="shared" si="908"/>
        <v>0</v>
      </c>
      <c r="BJ266" s="48">
        <f t="shared" si="908"/>
        <v>0</v>
      </c>
      <c r="BK266" s="48">
        <f t="shared" si="908"/>
        <v>0</v>
      </c>
      <c r="BL266" s="48">
        <f t="shared" si="908"/>
        <v>0</v>
      </c>
      <c r="BM266" s="48">
        <f t="shared" si="908"/>
        <v>0</v>
      </c>
      <c r="BN266" s="48">
        <f t="shared" si="908"/>
        <v>0</v>
      </c>
      <c r="BO266" s="48">
        <f t="shared" si="908"/>
        <v>0</v>
      </c>
      <c r="BP266" s="48">
        <f t="shared" si="908"/>
        <v>0</v>
      </c>
      <c r="BQ266" s="48">
        <f t="shared" si="908"/>
        <v>0</v>
      </c>
      <c r="BR266" s="36">
        <f t="shared" si="9"/>
        <v>1</v>
      </c>
      <c r="BS266" s="38">
        <f t="shared" si="10"/>
        <v>2</v>
      </c>
      <c r="BT266" s="49">
        <f t="shared" si="11"/>
        <v>0</v>
      </c>
      <c r="BU266" s="38">
        <f t="shared" si="12"/>
        <v>2000</v>
      </c>
      <c r="BV266" s="57" t="str">
        <f>IFERROR(__xludf.DUMMYFUNCTION("""COMPUTED_VALUE"""),"Patterson")</f>
        <v>Patterson</v>
      </c>
      <c r="BW266" s="46">
        <f t="shared" si="13"/>
        <v>350</v>
      </c>
      <c r="BX266" s="47">
        <f t="shared" ref="BX266:CA266" si="909">AX266-$BU266</f>
        <v>-2000</v>
      </c>
      <c r="BY266" s="47">
        <f t="shared" si="909"/>
        <v>-2000</v>
      </c>
      <c r="BZ266" s="47">
        <f t="shared" si="909"/>
        <v>-2000</v>
      </c>
      <c r="CA266" s="47">
        <f t="shared" si="909"/>
        <v>-2000</v>
      </c>
      <c r="CB266" s="47">
        <f t="shared" si="15"/>
        <v>-19750</v>
      </c>
      <c r="CC266" s="47">
        <f t="shared" ref="CC266:CQ266" si="910">BC266-$BU266</f>
        <v>-2000</v>
      </c>
      <c r="CD266" s="47">
        <f t="shared" si="910"/>
        <v>-2000</v>
      </c>
      <c r="CE266" s="47">
        <f t="shared" si="910"/>
        <v>-2000</v>
      </c>
      <c r="CF266" s="47">
        <f t="shared" si="910"/>
        <v>-1900</v>
      </c>
      <c r="CG266" s="47">
        <f t="shared" si="910"/>
        <v>-2000</v>
      </c>
      <c r="CH266" s="47">
        <f t="shared" si="910"/>
        <v>-2000</v>
      </c>
      <c r="CI266" s="47">
        <f t="shared" si="910"/>
        <v>-2000</v>
      </c>
      <c r="CJ266" s="47">
        <f t="shared" si="910"/>
        <v>-2000</v>
      </c>
      <c r="CK266" s="47">
        <f t="shared" si="910"/>
        <v>-2000</v>
      </c>
      <c r="CL266" s="47">
        <f t="shared" si="910"/>
        <v>-2000</v>
      </c>
      <c r="CM266" s="47">
        <f t="shared" si="910"/>
        <v>-2000</v>
      </c>
      <c r="CN266" s="47">
        <f t="shared" si="910"/>
        <v>-2000</v>
      </c>
      <c r="CO266" s="47">
        <f t="shared" si="910"/>
        <v>-2000</v>
      </c>
      <c r="CP266" s="47">
        <f t="shared" si="910"/>
        <v>-2000</v>
      </c>
      <c r="CQ266" s="47">
        <f t="shared" si="910"/>
        <v>-2000</v>
      </c>
      <c r="CR266" s="47"/>
      <c r="CS266" s="47"/>
      <c r="CT266" s="47"/>
      <c r="CU266" s="50" t="str">
        <f>IFERROR(__xludf.DUMMYFUNCTION("""COMPUTED_VALUE"""),"2706 Lawtherwood Ct
Dallas, TX 75214          ")</f>
        <v>2706 Lawtherwood Ct
Dallas, TX 75214          </v>
      </c>
      <c r="CV266" s="51">
        <f>IFERROR(__xludf.DUMMYFUNCTION("IF(REGEXMATCH(UPPER(CU266), ""TX""),0,1)"),0.0)</f>
        <v>0</v>
      </c>
      <c r="CW266" s="51">
        <f>IFERROR(__xludf.DUMMYFUNCTION("IF(REGEXMATCH(UPPER(CU266), ""DALLAS""),0,1)"),0.0)</f>
        <v>0</v>
      </c>
      <c r="CX266" s="51">
        <f t="shared" si="17"/>
        <v>0</v>
      </c>
      <c r="CY266" s="51">
        <f t="shared" si="18"/>
        <v>0</v>
      </c>
      <c r="CZ266" s="52" t="str">
        <f t="shared" si="19"/>
        <v/>
      </c>
      <c r="DA266" s="58"/>
      <c r="DB266" s="52"/>
      <c r="DC266" s="52"/>
      <c r="DD266" s="52"/>
      <c r="DE266" s="52"/>
      <c r="DF266" s="52"/>
      <c r="DG266" s="52"/>
      <c r="DH266" s="52"/>
      <c r="DI266" s="52"/>
      <c r="DJ266" s="52"/>
      <c r="DK266" s="52"/>
      <c r="DL266" s="52"/>
      <c r="DM266" s="52"/>
      <c r="DN266" s="52"/>
      <c r="DO266" s="52"/>
      <c r="DP266" s="52"/>
      <c r="DQ266" s="52"/>
      <c r="DR266" s="52"/>
      <c r="DS266" s="52"/>
      <c r="DT266" s="52"/>
      <c r="DU266" s="52"/>
      <c r="DV266" s="52"/>
      <c r="DW266" s="52"/>
    </row>
    <row r="267">
      <c r="A267" s="40" t="s">
        <v>55</v>
      </c>
      <c r="B267" s="41" t="s">
        <v>56</v>
      </c>
      <c r="C267" s="31" t="s">
        <v>241</v>
      </c>
      <c r="D267" s="25" t="str">
        <f>IFERROR(__xludf.DUMMYFUNCTION("SPLIT(C267,"" "")"),"Arnold,")</f>
        <v>Arnold,</v>
      </c>
      <c r="E267" s="40" t="str">
        <f>IFERROR(__xludf.DUMMYFUNCTION("""COMPUTED_VALUE"""),"Greg")</f>
        <v>Greg</v>
      </c>
      <c r="F267" s="40" t="str">
        <f>IFERROR(__xludf.DUMMYFUNCTION("""COMPUTED_VALUE"""),"&amp;")</f>
        <v>&amp;</v>
      </c>
      <c r="G267" s="40" t="str">
        <f>IFERROR(__xludf.DUMMYFUNCTION("""COMPUTED_VALUE"""),"Ashley
PO")</f>
        <v>Ashley
PO</v>
      </c>
      <c r="H267" s="40" t="str">
        <f>IFERROR(__xludf.DUMMYFUNCTION("""COMPUTED_VALUE"""),"Box")</f>
        <v>Box</v>
      </c>
      <c r="I267" s="40" t="str">
        <f>IFERROR(__xludf.DUMMYFUNCTION("""COMPUTED_VALUE"""),"1481
Texarkana,")</f>
        <v>1481
Texarkana,</v>
      </c>
      <c r="J267" s="40" t="str">
        <f>IFERROR(__xludf.DUMMYFUNCTION("""COMPUTED_VALUE"""),"TX")</f>
        <v>TX</v>
      </c>
      <c r="K267" s="40">
        <f>IFERROR(__xludf.DUMMYFUNCTION("""COMPUTED_VALUE"""),75504.0)</f>
        <v>75504</v>
      </c>
      <c r="L267" s="40"/>
      <c r="M267" s="40"/>
      <c r="N267" s="40"/>
      <c r="O267" s="40"/>
      <c r="P267" s="40"/>
      <c r="Q267" s="40"/>
      <c r="R267" s="40"/>
      <c r="S267" s="40"/>
      <c r="T267" s="40"/>
      <c r="U267" s="24" t="str">
        <f>IFERROR(__xludf.DUMMYFUNCTION("SPLIT(E267,""01234567890"")"),"Greg")</f>
        <v>Greg</v>
      </c>
      <c r="V267" s="24" t="str">
        <f>IFERROR(__xludf.DUMMYFUNCTION("SPLIT(D267,"","")"),"Arnold")</f>
        <v>Arnold</v>
      </c>
      <c r="W267" s="25" t="str">
        <f t="shared" si="1"/>
        <v>GREG ARNOLD</v>
      </c>
      <c r="X267" s="25" t="s">
        <v>242</v>
      </c>
      <c r="Y267" s="25">
        <v>1481.0</v>
      </c>
      <c r="Z267" s="25" t="str">
        <f>IFERROR(__xludf.DUMMYFUNCTION("SPLIT(C267,""
"")"),"Arnold, Greg &amp; Ashley")</f>
        <v>Arnold, Greg &amp; Ashley</v>
      </c>
      <c r="AA267" s="25" t="str">
        <f>IFERROR(__xludf.DUMMYFUNCTION("""COMPUTED_VALUE"""),"PO Box 1481")</f>
        <v>PO Box 1481</v>
      </c>
      <c r="AB267" s="25" t="str">
        <f>IFERROR(__xludf.DUMMYFUNCTION("""COMPUTED_VALUE"""),"Texarkana, TX 75504")</f>
        <v>Texarkana, TX 75504</v>
      </c>
      <c r="AC267" s="24" t="s">
        <v>243</v>
      </c>
      <c r="AD267" s="25"/>
      <c r="AE267" s="25"/>
      <c r="AF267" s="25"/>
      <c r="AG267" s="40" t="s">
        <v>60</v>
      </c>
      <c r="AH267" s="42">
        <v>2437.0</v>
      </c>
      <c r="AI267" s="40" t="s">
        <v>61</v>
      </c>
      <c r="AJ267" s="27">
        <v>10000.0</v>
      </c>
      <c r="AK267" s="31" t="s">
        <v>25</v>
      </c>
      <c r="AL267" s="43">
        <v>44712.0</v>
      </c>
      <c r="AM267" s="44">
        <v>44754.83237268519</v>
      </c>
      <c r="AN267" s="30">
        <v>2.0</v>
      </c>
      <c r="AO267" s="40"/>
      <c r="AP267" s="40"/>
      <c r="AQ267" s="40"/>
      <c r="AR267" s="40"/>
      <c r="AS267" s="40"/>
      <c r="AT267" s="47"/>
      <c r="AU267" s="40"/>
      <c r="AV267" s="46" t="str">
        <f>IFERROR(__xludf.DUMMYFUNCTION("""COMPUTED_VALUE"""),"Lazof")</f>
        <v>Lazof</v>
      </c>
      <c r="AW267" s="46">
        <f t="shared" si="7"/>
        <v>150</v>
      </c>
      <c r="AX267" s="47">
        <f t="shared" ref="AX267:BQ267" si="911">SUMIFS($AJ:$AJ,$V:$V,$AV267,$AK:$AK,AX$2)</f>
        <v>0</v>
      </c>
      <c r="AY267" s="48">
        <f t="shared" si="911"/>
        <v>0</v>
      </c>
      <c r="AZ267" s="48">
        <f t="shared" si="911"/>
        <v>0</v>
      </c>
      <c r="BA267" s="48">
        <f t="shared" si="911"/>
        <v>0</v>
      </c>
      <c r="BB267" s="48">
        <f t="shared" si="911"/>
        <v>150</v>
      </c>
      <c r="BC267" s="48">
        <f t="shared" si="911"/>
        <v>0</v>
      </c>
      <c r="BD267" s="48">
        <f t="shared" si="911"/>
        <v>0</v>
      </c>
      <c r="BE267" s="48">
        <f t="shared" si="911"/>
        <v>0</v>
      </c>
      <c r="BF267" s="48">
        <f t="shared" si="911"/>
        <v>0</v>
      </c>
      <c r="BG267" s="48">
        <f t="shared" si="911"/>
        <v>0</v>
      </c>
      <c r="BH267" s="48">
        <f t="shared" si="911"/>
        <v>0</v>
      </c>
      <c r="BI267" s="48">
        <f t="shared" si="911"/>
        <v>0</v>
      </c>
      <c r="BJ267" s="48">
        <f t="shared" si="911"/>
        <v>0</v>
      </c>
      <c r="BK267" s="48">
        <f t="shared" si="911"/>
        <v>0</v>
      </c>
      <c r="BL267" s="48">
        <f t="shared" si="911"/>
        <v>0</v>
      </c>
      <c r="BM267" s="48">
        <f t="shared" si="911"/>
        <v>0</v>
      </c>
      <c r="BN267" s="48">
        <f t="shared" si="911"/>
        <v>0</v>
      </c>
      <c r="BO267" s="48">
        <f t="shared" si="911"/>
        <v>0</v>
      </c>
      <c r="BP267" s="48">
        <f t="shared" si="911"/>
        <v>0</v>
      </c>
      <c r="BQ267" s="48">
        <f t="shared" si="911"/>
        <v>0</v>
      </c>
      <c r="BR267" s="36">
        <f t="shared" si="9"/>
        <v>0</v>
      </c>
      <c r="BS267" s="38">
        <f t="shared" si="10"/>
        <v>1</v>
      </c>
      <c r="BT267" s="49">
        <f t="shared" si="11"/>
        <v>0</v>
      </c>
      <c r="BU267" s="38">
        <f t="shared" si="12"/>
        <v>1000</v>
      </c>
      <c r="BV267" s="46" t="str">
        <f>IFERROR(__xludf.DUMMYFUNCTION("""COMPUTED_VALUE"""),"Lazof")</f>
        <v>Lazof</v>
      </c>
      <c r="BW267" s="46">
        <f t="shared" si="13"/>
        <v>150</v>
      </c>
      <c r="BX267" s="47">
        <f t="shared" ref="BX267:CA267" si="912">AX267-$BU267</f>
        <v>-1000</v>
      </c>
      <c r="BY267" s="47">
        <f t="shared" si="912"/>
        <v>-1000</v>
      </c>
      <c r="BZ267" s="47">
        <f t="shared" si="912"/>
        <v>-1000</v>
      </c>
      <c r="CA267" s="47">
        <f t="shared" si="912"/>
        <v>-1000</v>
      </c>
      <c r="CB267" s="47">
        <f t="shared" si="15"/>
        <v>-9850</v>
      </c>
      <c r="CC267" s="47">
        <f t="shared" ref="CC267:CQ267" si="913">BC267-$BU267</f>
        <v>-1000</v>
      </c>
      <c r="CD267" s="47">
        <f t="shared" si="913"/>
        <v>-1000</v>
      </c>
      <c r="CE267" s="47">
        <f t="shared" si="913"/>
        <v>-1000</v>
      </c>
      <c r="CF267" s="47">
        <f t="shared" si="913"/>
        <v>-1000</v>
      </c>
      <c r="CG267" s="47">
        <f t="shared" si="913"/>
        <v>-1000</v>
      </c>
      <c r="CH267" s="47">
        <f t="shared" si="913"/>
        <v>-1000</v>
      </c>
      <c r="CI267" s="47">
        <f t="shared" si="913"/>
        <v>-1000</v>
      </c>
      <c r="CJ267" s="47">
        <f t="shared" si="913"/>
        <v>-1000</v>
      </c>
      <c r="CK267" s="47">
        <f t="shared" si="913"/>
        <v>-1000</v>
      </c>
      <c r="CL267" s="47">
        <f t="shared" si="913"/>
        <v>-1000</v>
      </c>
      <c r="CM267" s="47">
        <f t="shared" si="913"/>
        <v>-1000</v>
      </c>
      <c r="CN267" s="47">
        <f t="shared" si="913"/>
        <v>-1000</v>
      </c>
      <c r="CO267" s="47">
        <f t="shared" si="913"/>
        <v>-1000</v>
      </c>
      <c r="CP267" s="47">
        <f t="shared" si="913"/>
        <v>-1000</v>
      </c>
      <c r="CQ267" s="47">
        <f t="shared" si="913"/>
        <v>-1000</v>
      </c>
      <c r="CR267" s="47"/>
      <c r="CS267" s="47"/>
      <c r="CT267" s="47"/>
      <c r="CU267" s="50" t="str">
        <f>IFERROR(__xludf.DUMMYFUNCTION("""COMPUTED_VALUE"""),"5534 West Hanover Ave
Dallas, TX 75209         ")</f>
        <v>5534 West Hanover Ave
Dallas, TX 75209         </v>
      </c>
      <c r="CV267" s="51">
        <f>IFERROR(__xludf.DUMMYFUNCTION("IF(REGEXMATCH(UPPER(CU267), ""TX""),0,1)"),0.0)</f>
        <v>0</v>
      </c>
      <c r="CW267" s="51">
        <f>IFERROR(__xludf.DUMMYFUNCTION("IF(REGEXMATCH(UPPER(CU267), ""DALLAS""),0,1)"),0.0)</f>
        <v>0</v>
      </c>
      <c r="CX267" s="51">
        <f t="shared" si="17"/>
        <v>0</v>
      </c>
      <c r="CY267" s="51">
        <f t="shared" si="18"/>
        <v>0</v>
      </c>
      <c r="CZ267" s="52" t="str">
        <f t="shared" si="19"/>
        <v/>
      </c>
      <c r="DA267" s="58"/>
      <c r="DB267" s="52"/>
      <c r="DC267" s="52"/>
      <c r="DD267" s="52"/>
      <c r="DE267" s="52"/>
      <c r="DF267" s="52"/>
      <c r="DG267" s="52"/>
      <c r="DH267" s="52"/>
      <c r="DI267" s="52"/>
      <c r="DJ267" s="52"/>
      <c r="DK267" s="52"/>
      <c r="DL267" s="52"/>
      <c r="DM267" s="52"/>
      <c r="DN267" s="52"/>
      <c r="DO267" s="52"/>
      <c r="DP267" s="52"/>
      <c r="DQ267" s="52"/>
      <c r="DR267" s="52"/>
      <c r="DS267" s="52"/>
      <c r="DT267" s="52"/>
      <c r="DU267" s="52"/>
      <c r="DV267" s="52"/>
      <c r="DW267" s="52"/>
    </row>
    <row r="268">
      <c r="A268" s="23" t="s">
        <v>64</v>
      </c>
      <c r="B268" s="23" t="s">
        <v>56</v>
      </c>
      <c r="C268" s="31" t="s">
        <v>749</v>
      </c>
      <c r="D268" s="25" t="str">
        <f>IFERROR(__xludf.DUMMYFUNCTION("SPLIT(C268,"" "")"),"Assanie,")</f>
        <v>Assanie,</v>
      </c>
      <c r="E268" s="22" t="str">
        <f>IFERROR(__xludf.DUMMYFUNCTION("""COMPUTED_VALUE"""),"Sadiq
1441")</f>
        <v>Sadiq
1441</v>
      </c>
      <c r="F268" s="22" t="str">
        <f>IFERROR(__xludf.DUMMYFUNCTION("""COMPUTED_VALUE"""),"Van")</f>
        <v>Van</v>
      </c>
      <c r="G268" s="22" t="str">
        <f>IFERROR(__xludf.DUMMYFUNCTION("""COMPUTED_VALUE"""),"Winkle")</f>
        <v>Winkle</v>
      </c>
      <c r="H268" s="22" t="str">
        <f>IFERROR(__xludf.DUMMYFUNCTION("""COMPUTED_VALUE"""),"Drive
Carrollton,")</f>
        <v>Drive
Carrollton,</v>
      </c>
      <c r="I268" s="22" t="str">
        <f>IFERROR(__xludf.DUMMYFUNCTION("""COMPUTED_VALUE"""),"TX")</f>
        <v>TX</v>
      </c>
      <c r="J268" s="22">
        <f>IFERROR(__xludf.DUMMYFUNCTION("""COMPUTED_VALUE"""),75007.0)</f>
        <v>75007</v>
      </c>
      <c r="K268" s="22"/>
      <c r="L268" s="22"/>
      <c r="M268" s="22"/>
      <c r="N268" s="22"/>
      <c r="O268" s="22"/>
      <c r="P268" s="22"/>
      <c r="Q268" s="22"/>
      <c r="R268" s="22"/>
      <c r="S268" s="22"/>
      <c r="T268" s="22"/>
      <c r="U268" s="24" t="str">
        <f>IFERROR(__xludf.DUMMYFUNCTION("SPLIT(E268,""01234567890"")"),"Sadiq
")</f>
        <v>Sadiq
</v>
      </c>
      <c r="V268" s="24" t="str">
        <f>IFERROR(__xludf.DUMMYFUNCTION("SPLIT(D268,"","")"),"Assanie")</f>
        <v>Assanie</v>
      </c>
      <c r="W268" s="25" t="str">
        <f t="shared" si="1"/>
        <v>SADIQ
 ASSANIE</v>
      </c>
      <c r="X268" s="25" t="s">
        <v>750</v>
      </c>
      <c r="Y268" s="25">
        <v>75007.0</v>
      </c>
      <c r="Z268" s="25" t="str">
        <f>IFERROR(__xludf.DUMMYFUNCTION("SPLIT(C268,""
"")"),"Assanie, Sadiq")</f>
        <v>Assanie, Sadiq</v>
      </c>
      <c r="AA268" s="25" t="str">
        <f>IFERROR(__xludf.DUMMYFUNCTION("""COMPUTED_VALUE"""),"1441 Van Winkle Drive")</f>
        <v>1441 Van Winkle Drive</v>
      </c>
      <c r="AB268" s="25" t="str">
        <f>IFERROR(__xludf.DUMMYFUNCTION("""COMPUTED_VALUE"""),"Carrollton, TX 75007")</f>
        <v>Carrollton, TX 75007</v>
      </c>
      <c r="AC268" s="24" t="s">
        <v>751</v>
      </c>
      <c r="AD268" s="25"/>
      <c r="AE268" s="25"/>
      <c r="AF268" s="25"/>
      <c r="AG268" s="22" t="s">
        <v>60</v>
      </c>
      <c r="AH268" s="54">
        <v>2437.0</v>
      </c>
      <c r="AI268" s="22" t="s">
        <v>61</v>
      </c>
      <c r="AJ268" s="27">
        <v>250.0</v>
      </c>
      <c r="AK268" s="31" t="s">
        <v>25</v>
      </c>
      <c r="AL268" s="28">
        <v>44726.0</v>
      </c>
      <c r="AM268" s="29">
        <v>44754.83237268519</v>
      </c>
      <c r="AN268" s="30">
        <v>2.0</v>
      </c>
      <c r="AO268" s="22"/>
      <c r="AP268" s="22"/>
      <c r="AQ268" s="22"/>
      <c r="AR268" s="22"/>
      <c r="AS268" s="22"/>
      <c r="AT268" s="70"/>
      <c r="AU268" s="22"/>
      <c r="AV268" s="57" t="str">
        <f>IFERROR(__xludf.DUMMYFUNCTION("""COMPUTED_VALUE"""),"Walne")</f>
        <v>Walne</v>
      </c>
      <c r="AW268" s="46">
        <f t="shared" si="7"/>
        <v>1500</v>
      </c>
      <c r="AX268" s="47">
        <f t="shared" ref="AX268:BQ268" si="914">SUMIFS($AJ:$AJ,$V:$V,$AV268,$AK:$AK,AX$2)</f>
        <v>0</v>
      </c>
      <c r="AY268" s="48">
        <f t="shared" si="914"/>
        <v>0</v>
      </c>
      <c r="AZ268" s="48">
        <f t="shared" si="914"/>
        <v>0</v>
      </c>
      <c r="BA268" s="48">
        <f t="shared" si="914"/>
        <v>0</v>
      </c>
      <c r="BB268" s="48">
        <f t="shared" si="914"/>
        <v>1500</v>
      </c>
      <c r="BC268" s="48">
        <f t="shared" si="914"/>
        <v>0</v>
      </c>
      <c r="BD268" s="48">
        <f t="shared" si="914"/>
        <v>0</v>
      </c>
      <c r="BE268" s="48">
        <f t="shared" si="914"/>
        <v>0</v>
      </c>
      <c r="BF268" s="48">
        <f t="shared" si="914"/>
        <v>0</v>
      </c>
      <c r="BG268" s="48">
        <f t="shared" si="914"/>
        <v>0</v>
      </c>
      <c r="BH268" s="48">
        <f t="shared" si="914"/>
        <v>0</v>
      </c>
      <c r="BI268" s="48">
        <f t="shared" si="914"/>
        <v>0</v>
      </c>
      <c r="BJ268" s="48">
        <f t="shared" si="914"/>
        <v>0</v>
      </c>
      <c r="BK268" s="48">
        <f t="shared" si="914"/>
        <v>0</v>
      </c>
      <c r="BL268" s="48">
        <f t="shared" si="914"/>
        <v>0</v>
      </c>
      <c r="BM268" s="48">
        <f t="shared" si="914"/>
        <v>0</v>
      </c>
      <c r="BN268" s="48">
        <f t="shared" si="914"/>
        <v>0</v>
      </c>
      <c r="BO268" s="48">
        <f t="shared" si="914"/>
        <v>0</v>
      </c>
      <c r="BP268" s="48">
        <f t="shared" si="914"/>
        <v>0</v>
      </c>
      <c r="BQ268" s="48">
        <f t="shared" si="914"/>
        <v>0</v>
      </c>
      <c r="BR268" s="36">
        <f t="shared" si="9"/>
        <v>1</v>
      </c>
      <c r="BS268" s="38">
        <f t="shared" si="10"/>
        <v>2</v>
      </c>
      <c r="BT268" s="49">
        <f t="shared" si="11"/>
        <v>0</v>
      </c>
      <c r="BU268" s="38">
        <f t="shared" si="12"/>
        <v>2000</v>
      </c>
      <c r="BV268" s="57" t="str">
        <f>IFERROR(__xludf.DUMMYFUNCTION("""COMPUTED_VALUE"""),"Walne")</f>
        <v>Walne</v>
      </c>
      <c r="BW268" s="46">
        <f t="shared" si="13"/>
        <v>1500</v>
      </c>
      <c r="BX268" s="47">
        <f t="shared" ref="BX268:CA268" si="915">AX268-$BU268</f>
        <v>-2000</v>
      </c>
      <c r="BY268" s="47">
        <f t="shared" si="915"/>
        <v>-2000</v>
      </c>
      <c r="BZ268" s="47">
        <f t="shared" si="915"/>
        <v>-2000</v>
      </c>
      <c r="CA268" s="47">
        <f t="shared" si="915"/>
        <v>-2000</v>
      </c>
      <c r="CB268" s="47">
        <f t="shared" si="15"/>
        <v>-18500</v>
      </c>
      <c r="CC268" s="47">
        <f t="shared" ref="CC268:CQ268" si="916">BC268-$BU268</f>
        <v>-2000</v>
      </c>
      <c r="CD268" s="47">
        <f t="shared" si="916"/>
        <v>-2000</v>
      </c>
      <c r="CE268" s="47">
        <f t="shared" si="916"/>
        <v>-2000</v>
      </c>
      <c r="CF268" s="47">
        <f t="shared" si="916"/>
        <v>-2000</v>
      </c>
      <c r="CG268" s="47">
        <f t="shared" si="916"/>
        <v>-2000</v>
      </c>
      <c r="CH268" s="47">
        <f t="shared" si="916"/>
        <v>-2000</v>
      </c>
      <c r="CI268" s="47">
        <f t="shared" si="916"/>
        <v>-2000</v>
      </c>
      <c r="CJ268" s="47">
        <f t="shared" si="916"/>
        <v>-2000</v>
      </c>
      <c r="CK268" s="47">
        <f t="shared" si="916"/>
        <v>-2000</v>
      </c>
      <c r="CL268" s="47">
        <f t="shared" si="916"/>
        <v>-2000</v>
      </c>
      <c r="CM268" s="47">
        <f t="shared" si="916"/>
        <v>-2000</v>
      </c>
      <c r="CN268" s="47">
        <f t="shared" si="916"/>
        <v>-2000</v>
      </c>
      <c r="CO268" s="47">
        <f t="shared" si="916"/>
        <v>-2000</v>
      </c>
      <c r="CP268" s="47">
        <f t="shared" si="916"/>
        <v>-2000</v>
      </c>
      <c r="CQ268" s="47">
        <f t="shared" si="916"/>
        <v>-2000</v>
      </c>
      <c r="CR268" s="47"/>
      <c r="CS268" s="47"/>
      <c r="CT268" s="47"/>
      <c r="CU268" s="50" t="str">
        <f>IFERROR(__xludf.DUMMYFUNCTION("""COMPUTED_VALUE"""),"10808 Strait Ln
Dallas, TX 75229          ")</f>
        <v>10808 Strait Ln
Dallas, TX 75229          </v>
      </c>
      <c r="CV268" s="51">
        <f>IFERROR(__xludf.DUMMYFUNCTION("IF(REGEXMATCH(UPPER(CU268), ""TX""),0,1)"),0.0)</f>
        <v>0</v>
      </c>
      <c r="CW268" s="51">
        <f>IFERROR(__xludf.DUMMYFUNCTION("IF(REGEXMATCH(UPPER(CU268), ""DALLAS""),0,1)"),0.0)</f>
        <v>0</v>
      </c>
      <c r="CX268" s="51">
        <f t="shared" si="17"/>
        <v>0</v>
      </c>
      <c r="CY268" s="51">
        <f t="shared" si="18"/>
        <v>0</v>
      </c>
      <c r="CZ268" s="52" t="str">
        <f t="shared" si="19"/>
        <v/>
      </c>
      <c r="DA268" s="58"/>
      <c r="DB268" s="52"/>
      <c r="DC268" s="52"/>
      <c r="DD268" s="52"/>
      <c r="DE268" s="52"/>
      <c r="DF268" s="52"/>
      <c r="DG268" s="52"/>
      <c r="DH268" s="52"/>
      <c r="DI268" s="52"/>
      <c r="DJ268" s="52"/>
      <c r="DK268" s="52"/>
      <c r="DL268" s="52"/>
      <c r="DM268" s="52"/>
      <c r="DN268" s="52"/>
      <c r="DO268" s="52"/>
      <c r="DP268" s="52"/>
      <c r="DQ268" s="52"/>
      <c r="DR268" s="52"/>
      <c r="DS268" s="52"/>
      <c r="DT268" s="52"/>
      <c r="DU268" s="52"/>
      <c r="DV268" s="52"/>
      <c r="DW268" s="52"/>
    </row>
    <row r="269">
      <c r="A269" s="40" t="s">
        <v>55</v>
      </c>
      <c r="B269" s="41" t="s">
        <v>56</v>
      </c>
      <c r="C269" s="31" t="s">
        <v>393</v>
      </c>
      <c r="D269" s="25" t="str">
        <f>IFERROR(__xludf.DUMMYFUNCTION("SPLIT(C269,"" "")"),"Berry,")</f>
        <v>Berry,</v>
      </c>
      <c r="E269" s="40" t="str">
        <f>IFERROR(__xludf.DUMMYFUNCTION("""COMPUTED_VALUE"""),"Sammie
1219")</f>
        <v>Sammie
1219</v>
      </c>
      <c r="F269" s="40" t="str">
        <f>IFERROR(__xludf.DUMMYFUNCTION("""COMPUTED_VALUE"""),"Coronado")</f>
        <v>Coronado</v>
      </c>
      <c r="G269" s="40" t="str">
        <f>IFERROR(__xludf.DUMMYFUNCTION("""COMPUTED_VALUE"""),"Lane
Duncanville,")</f>
        <v>Lane
Duncanville,</v>
      </c>
      <c r="H269" s="40" t="str">
        <f>IFERROR(__xludf.DUMMYFUNCTION("""COMPUTED_VALUE"""),"TX")</f>
        <v>TX</v>
      </c>
      <c r="I269" s="40">
        <f>IFERROR(__xludf.DUMMYFUNCTION("""COMPUTED_VALUE"""),75137.0)</f>
        <v>75137</v>
      </c>
      <c r="J269" s="40"/>
      <c r="K269" s="40"/>
      <c r="L269" s="40"/>
      <c r="M269" s="40"/>
      <c r="N269" s="40"/>
      <c r="O269" s="40"/>
      <c r="P269" s="40"/>
      <c r="Q269" s="40"/>
      <c r="R269" s="40"/>
      <c r="S269" s="40"/>
      <c r="T269" s="40"/>
      <c r="U269" s="24" t="str">
        <f>IFERROR(__xludf.DUMMYFUNCTION("SPLIT(E269,""01234567890"")"),"Sammie
")</f>
        <v>Sammie
</v>
      </c>
      <c r="V269" s="24" t="str">
        <f>IFERROR(__xludf.DUMMYFUNCTION("SPLIT(D269,"","")"),"Berry")</f>
        <v>Berry</v>
      </c>
      <c r="W269" s="25" t="str">
        <f t="shared" si="1"/>
        <v>SAMMIE
 BERRY</v>
      </c>
      <c r="X269" s="25" t="s">
        <v>394</v>
      </c>
      <c r="Y269" s="25">
        <v>75137.0</v>
      </c>
      <c r="Z269" s="25" t="str">
        <f>IFERROR(__xludf.DUMMYFUNCTION("SPLIT(C269,""
"")"),"Berry, Sammie")</f>
        <v>Berry, Sammie</v>
      </c>
      <c r="AA269" s="25" t="str">
        <f>IFERROR(__xludf.DUMMYFUNCTION("""COMPUTED_VALUE"""),"1219 Coronado Lane")</f>
        <v>1219 Coronado Lane</v>
      </c>
      <c r="AB269" s="25" t="str">
        <f>IFERROR(__xludf.DUMMYFUNCTION("""COMPUTED_VALUE"""),"Duncanville, TX 75137")</f>
        <v>Duncanville, TX 75137</v>
      </c>
      <c r="AC269" s="24" t="s">
        <v>395</v>
      </c>
      <c r="AD269" s="25"/>
      <c r="AE269" s="25"/>
      <c r="AF269" s="25"/>
      <c r="AG269" s="40" t="s">
        <v>60</v>
      </c>
      <c r="AH269" s="42">
        <v>2437.0</v>
      </c>
      <c r="AI269" s="40" t="s">
        <v>61</v>
      </c>
      <c r="AJ269" s="27">
        <v>250.0</v>
      </c>
      <c r="AK269" s="31" t="s">
        <v>25</v>
      </c>
      <c r="AL269" s="43">
        <v>44719.0</v>
      </c>
      <c r="AM269" s="44">
        <v>44754.83237268519</v>
      </c>
      <c r="AN269" s="30">
        <v>2.0</v>
      </c>
      <c r="AO269" s="40"/>
      <c r="AP269" s="40"/>
      <c r="AQ269" s="40"/>
      <c r="AR269" s="40"/>
      <c r="AS269" s="40"/>
      <c r="AT269" s="47"/>
      <c r="AU269" s="40"/>
      <c r="AV269" s="46" t="str">
        <f>IFERROR(__xludf.DUMMYFUNCTION("""COMPUTED_VALUE"""),"ODwyer")</f>
        <v>ODwyer</v>
      </c>
      <c r="AW269" s="46">
        <f t="shared" si="7"/>
        <v>500</v>
      </c>
      <c r="AX269" s="47">
        <f t="shared" ref="AX269:BQ269" si="917">SUMIFS($AJ:$AJ,$V:$V,$AV269,$AK:$AK,AX$2)</f>
        <v>0</v>
      </c>
      <c r="AY269" s="48">
        <f t="shared" si="917"/>
        <v>0</v>
      </c>
      <c r="AZ269" s="48">
        <f t="shared" si="917"/>
        <v>0</v>
      </c>
      <c r="BA269" s="48">
        <f t="shared" si="917"/>
        <v>0</v>
      </c>
      <c r="BB269" s="48">
        <f t="shared" si="917"/>
        <v>500</v>
      </c>
      <c r="BC269" s="48">
        <f t="shared" si="917"/>
        <v>0</v>
      </c>
      <c r="BD269" s="48">
        <f t="shared" si="917"/>
        <v>0</v>
      </c>
      <c r="BE269" s="48">
        <f t="shared" si="917"/>
        <v>0</v>
      </c>
      <c r="BF269" s="48">
        <f t="shared" si="917"/>
        <v>0</v>
      </c>
      <c r="BG269" s="48">
        <f t="shared" si="917"/>
        <v>0</v>
      </c>
      <c r="BH269" s="48">
        <f t="shared" si="917"/>
        <v>0</v>
      </c>
      <c r="BI269" s="48">
        <f t="shared" si="917"/>
        <v>0</v>
      </c>
      <c r="BJ269" s="48">
        <f t="shared" si="917"/>
        <v>0</v>
      </c>
      <c r="BK269" s="48">
        <f t="shared" si="917"/>
        <v>0</v>
      </c>
      <c r="BL269" s="48">
        <f t="shared" si="917"/>
        <v>0</v>
      </c>
      <c r="BM269" s="48">
        <f t="shared" si="917"/>
        <v>0</v>
      </c>
      <c r="BN269" s="48">
        <f t="shared" si="917"/>
        <v>0</v>
      </c>
      <c r="BO269" s="48">
        <f t="shared" si="917"/>
        <v>0</v>
      </c>
      <c r="BP269" s="48">
        <f t="shared" si="917"/>
        <v>0</v>
      </c>
      <c r="BQ269" s="48">
        <f t="shared" si="917"/>
        <v>0</v>
      </c>
      <c r="BR269" s="36">
        <f t="shared" si="9"/>
        <v>0</v>
      </c>
      <c r="BS269" s="38">
        <f t="shared" si="10"/>
        <v>1</v>
      </c>
      <c r="BT269" s="49">
        <f t="shared" si="11"/>
        <v>0</v>
      </c>
      <c r="BU269" s="38">
        <f t="shared" si="12"/>
        <v>1000</v>
      </c>
      <c r="BV269" s="46" t="str">
        <f>IFERROR(__xludf.DUMMYFUNCTION("""COMPUTED_VALUE"""),"ODwyer")</f>
        <v>ODwyer</v>
      </c>
      <c r="BW269" s="46">
        <f t="shared" si="13"/>
        <v>500</v>
      </c>
      <c r="BX269" s="47">
        <f t="shared" ref="BX269:CA269" si="918">AX269-$BU269</f>
        <v>-1000</v>
      </c>
      <c r="BY269" s="47">
        <f t="shared" si="918"/>
        <v>-1000</v>
      </c>
      <c r="BZ269" s="47">
        <f t="shared" si="918"/>
        <v>-1000</v>
      </c>
      <c r="CA269" s="47">
        <f t="shared" si="918"/>
        <v>-1000</v>
      </c>
      <c r="CB269" s="47">
        <f t="shared" si="15"/>
        <v>-9500</v>
      </c>
      <c r="CC269" s="47">
        <f t="shared" ref="CC269:CQ269" si="919">BC269-$BU269</f>
        <v>-1000</v>
      </c>
      <c r="CD269" s="47">
        <f t="shared" si="919"/>
        <v>-1000</v>
      </c>
      <c r="CE269" s="47">
        <f t="shared" si="919"/>
        <v>-1000</v>
      </c>
      <c r="CF269" s="47">
        <f t="shared" si="919"/>
        <v>-1000</v>
      </c>
      <c r="CG269" s="47">
        <f t="shared" si="919"/>
        <v>-1000</v>
      </c>
      <c r="CH269" s="47">
        <f t="shared" si="919"/>
        <v>-1000</v>
      </c>
      <c r="CI269" s="47">
        <f t="shared" si="919"/>
        <v>-1000</v>
      </c>
      <c r="CJ269" s="47">
        <f t="shared" si="919"/>
        <v>-1000</v>
      </c>
      <c r="CK269" s="47">
        <f t="shared" si="919"/>
        <v>-1000</v>
      </c>
      <c r="CL269" s="47">
        <f t="shared" si="919"/>
        <v>-1000</v>
      </c>
      <c r="CM269" s="47">
        <f t="shared" si="919"/>
        <v>-1000</v>
      </c>
      <c r="CN269" s="47">
        <f t="shared" si="919"/>
        <v>-1000</v>
      </c>
      <c r="CO269" s="47">
        <f t="shared" si="919"/>
        <v>-1000</v>
      </c>
      <c r="CP269" s="47">
        <f t="shared" si="919"/>
        <v>-1000</v>
      </c>
      <c r="CQ269" s="47">
        <f t="shared" si="919"/>
        <v>-1000</v>
      </c>
      <c r="CR269" s="47"/>
      <c r="CS269" s="47"/>
      <c r="CT269" s="47"/>
      <c r="CU269" s="50" t="str">
        <f>IFERROR(__xludf.DUMMYFUNCTION("""COMPUTED_VALUE"""),"
 Box 764526
Dallas, TX 75232          ")</f>
        <v>
 Box 764526
Dallas, TX 75232          </v>
      </c>
      <c r="CV269" s="51">
        <f>IFERROR(__xludf.DUMMYFUNCTION("IF(REGEXMATCH(UPPER(CU269), ""TX""),0,1)"),0.0)</f>
        <v>0</v>
      </c>
      <c r="CW269" s="51">
        <f>IFERROR(__xludf.DUMMYFUNCTION("IF(REGEXMATCH(UPPER(CU269), ""DALLAS""),0,1)"),0.0)</f>
        <v>0</v>
      </c>
      <c r="CX269" s="51">
        <f t="shared" si="17"/>
        <v>0</v>
      </c>
      <c r="CY269" s="51">
        <f t="shared" si="18"/>
        <v>0</v>
      </c>
      <c r="CZ269" s="52" t="str">
        <f t="shared" si="19"/>
        <v/>
      </c>
      <c r="DA269" s="58"/>
      <c r="DB269" s="52"/>
      <c r="DC269" s="52"/>
      <c r="DD269" s="52"/>
      <c r="DE269" s="52"/>
      <c r="DF269" s="52"/>
      <c r="DG269" s="52"/>
      <c r="DH269" s="52"/>
      <c r="DI269" s="52"/>
      <c r="DJ269" s="52"/>
      <c r="DK269" s="52"/>
      <c r="DL269" s="52"/>
      <c r="DM269" s="52"/>
      <c r="DN269" s="52"/>
      <c r="DO269" s="52"/>
      <c r="DP269" s="52"/>
      <c r="DQ269" s="52"/>
      <c r="DR269" s="52"/>
      <c r="DS269" s="52"/>
      <c r="DT269" s="52"/>
      <c r="DU269" s="52"/>
      <c r="DV269" s="52"/>
      <c r="DW269" s="52"/>
    </row>
    <row r="270">
      <c r="A270" s="23" t="s">
        <v>64</v>
      </c>
      <c r="B270" s="23" t="s">
        <v>56</v>
      </c>
      <c r="C270" s="31" t="s">
        <v>465</v>
      </c>
      <c r="D270" s="25" t="str">
        <f>IFERROR(__xludf.DUMMYFUNCTION("SPLIT(C270,"" "")"),"Blessing,")</f>
        <v>Blessing,</v>
      </c>
      <c r="E270" s="22" t="str">
        <f>IFERROR(__xludf.DUMMYFUNCTION("""COMPUTED_VALUE"""),"Edward
8235")</f>
        <v>Edward
8235</v>
      </c>
      <c r="F270" s="22" t="str">
        <f>IFERROR(__xludf.DUMMYFUNCTION("""COMPUTED_VALUE"""),"Douglas")</f>
        <v>Douglas</v>
      </c>
      <c r="G270" s="22" t="str">
        <f>IFERROR(__xludf.DUMMYFUNCTION("""COMPUTED_VALUE"""),"Ave
Dallas,")</f>
        <v>Ave
Dallas,</v>
      </c>
      <c r="H270" s="22" t="str">
        <f>IFERROR(__xludf.DUMMYFUNCTION("""COMPUTED_VALUE"""),"TX")</f>
        <v>TX</v>
      </c>
      <c r="I270" s="22">
        <f>IFERROR(__xludf.DUMMYFUNCTION("""COMPUTED_VALUE"""),75225.0)</f>
        <v>75225</v>
      </c>
      <c r="J270" s="22"/>
      <c r="K270" s="22"/>
      <c r="L270" s="22"/>
      <c r="M270" s="22"/>
      <c r="N270" s="22"/>
      <c r="O270" s="22"/>
      <c r="P270" s="22"/>
      <c r="Q270" s="22"/>
      <c r="R270" s="22"/>
      <c r="S270" s="22"/>
      <c r="T270" s="22"/>
      <c r="U270" s="24" t="str">
        <f>IFERROR(__xludf.DUMMYFUNCTION("SPLIT(E270,""01234567890"")"),"Edward
")</f>
        <v>Edward
</v>
      </c>
      <c r="V270" s="24" t="str">
        <f>IFERROR(__xludf.DUMMYFUNCTION("SPLIT(D270,"","")"),"Blessing")</f>
        <v>Blessing</v>
      </c>
      <c r="W270" s="25" t="str">
        <f t="shared" si="1"/>
        <v>EDWARD
 BLESSING</v>
      </c>
      <c r="X270" s="25" t="s">
        <v>466</v>
      </c>
      <c r="Y270" s="25">
        <v>75225.0</v>
      </c>
      <c r="Z270" s="25" t="str">
        <f>IFERROR(__xludf.DUMMYFUNCTION("SPLIT(C270,""
"")"),"Blessing, Edward")</f>
        <v>Blessing, Edward</v>
      </c>
      <c r="AA270" s="25" t="str">
        <f>IFERROR(__xludf.DUMMYFUNCTION("""COMPUTED_VALUE"""),"8235 Douglas Ave")</f>
        <v>8235 Douglas Ave</v>
      </c>
      <c r="AB270" s="25" t="str">
        <f>IFERROR(__xludf.DUMMYFUNCTION("""COMPUTED_VALUE"""),"Dallas, TX 75225")</f>
        <v>Dallas, TX 75225</v>
      </c>
      <c r="AC270" s="24" t="s">
        <v>467</v>
      </c>
      <c r="AD270" s="25"/>
      <c r="AE270" s="25"/>
      <c r="AF270" s="25"/>
      <c r="AG270" s="22" t="s">
        <v>60</v>
      </c>
      <c r="AH270" s="54">
        <v>2437.0</v>
      </c>
      <c r="AI270" s="22" t="s">
        <v>61</v>
      </c>
      <c r="AJ270" s="27">
        <v>1000.0</v>
      </c>
      <c r="AK270" s="31" t="s">
        <v>25</v>
      </c>
      <c r="AL270" s="28">
        <v>44712.0</v>
      </c>
      <c r="AM270" s="29">
        <v>44754.83237268519</v>
      </c>
      <c r="AN270" s="30">
        <v>2.0</v>
      </c>
      <c r="AO270" s="22"/>
      <c r="AP270" s="22"/>
      <c r="AQ270" s="22"/>
      <c r="AR270" s="22"/>
      <c r="AS270" s="22"/>
      <c r="AT270" s="70"/>
      <c r="AU270" s="22"/>
      <c r="AV270" s="57" t="str">
        <f>IFERROR(__xludf.DUMMYFUNCTION("""COMPUTED_VALUE"""),"Mitchell")</f>
        <v>Mitchell</v>
      </c>
      <c r="AW270" s="46">
        <f t="shared" si="7"/>
        <v>300</v>
      </c>
      <c r="AX270" s="47">
        <f t="shared" ref="AX270:BQ270" si="920">SUMIFS($AJ:$AJ,$V:$V,$AV270,$AK:$AK,AX$2)</f>
        <v>0</v>
      </c>
      <c r="AY270" s="48">
        <f t="shared" si="920"/>
        <v>0</v>
      </c>
      <c r="AZ270" s="48">
        <f t="shared" si="920"/>
        <v>50</v>
      </c>
      <c r="BA270" s="48">
        <f t="shared" si="920"/>
        <v>0</v>
      </c>
      <c r="BB270" s="48">
        <f t="shared" si="920"/>
        <v>250</v>
      </c>
      <c r="BC270" s="48">
        <f t="shared" si="920"/>
        <v>0</v>
      </c>
      <c r="BD270" s="48">
        <f t="shared" si="920"/>
        <v>0</v>
      </c>
      <c r="BE270" s="48">
        <f t="shared" si="920"/>
        <v>0</v>
      </c>
      <c r="BF270" s="48">
        <f t="shared" si="920"/>
        <v>0</v>
      </c>
      <c r="BG270" s="48">
        <f t="shared" si="920"/>
        <v>0</v>
      </c>
      <c r="BH270" s="48">
        <f t="shared" si="920"/>
        <v>0</v>
      </c>
      <c r="BI270" s="48">
        <f t="shared" si="920"/>
        <v>0</v>
      </c>
      <c r="BJ270" s="48">
        <f t="shared" si="920"/>
        <v>0</v>
      </c>
      <c r="BK270" s="48">
        <f t="shared" si="920"/>
        <v>0</v>
      </c>
      <c r="BL270" s="48">
        <f t="shared" si="920"/>
        <v>0</v>
      </c>
      <c r="BM270" s="48">
        <f t="shared" si="920"/>
        <v>0</v>
      </c>
      <c r="BN270" s="48">
        <f t="shared" si="920"/>
        <v>0</v>
      </c>
      <c r="BO270" s="48">
        <f t="shared" si="920"/>
        <v>0</v>
      </c>
      <c r="BP270" s="48">
        <f t="shared" si="920"/>
        <v>0</v>
      </c>
      <c r="BQ270" s="48">
        <f t="shared" si="920"/>
        <v>0</v>
      </c>
      <c r="BR270" s="36">
        <f t="shared" si="9"/>
        <v>1</v>
      </c>
      <c r="BS270" s="38">
        <f t="shared" si="10"/>
        <v>2</v>
      </c>
      <c r="BT270" s="49">
        <f t="shared" si="11"/>
        <v>0</v>
      </c>
      <c r="BU270" s="38">
        <f t="shared" si="12"/>
        <v>2000</v>
      </c>
      <c r="BV270" s="57" t="str">
        <f>IFERROR(__xludf.DUMMYFUNCTION("""COMPUTED_VALUE"""),"Mitchell")</f>
        <v>Mitchell</v>
      </c>
      <c r="BW270" s="46">
        <f t="shared" si="13"/>
        <v>300</v>
      </c>
      <c r="BX270" s="47">
        <f t="shared" ref="BX270:CA270" si="921">AX270-$BU270</f>
        <v>-2000</v>
      </c>
      <c r="BY270" s="47">
        <f t="shared" si="921"/>
        <v>-2000</v>
      </c>
      <c r="BZ270" s="47">
        <f t="shared" si="921"/>
        <v>-1950</v>
      </c>
      <c r="CA270" s="47">
        <f t="shared" si="921"/>
        <v>-2000</v>
      </c>
      <c r="CB270" s="47">
        <f t="shared" si="15"/>
        <v>-19750</v>
      </c>
      <c r="CC270" s="47">
        <f t="shared" ref="CC270:CQ270" si="922">BC270-$BU270</f>
        <v>-2000</v>
      </c>
      <c r="CD270" s="47">
        <f t="shared" si="922"/>
        <v>-2000</v>
      </c>
      <c r="CE270" s="47">
        <f t="shared" si="922"/>
        <v>-2000</v>
      </c>
      <c r="CF270" s="47">
        <f t="shared" si="922"/>
        <v>-2000</v>
      </c>
      <c r="CG270" s="47">
        <f t="shared" si="922"/>
        <v>-2000</v>
      </c>
      <c r="CH270" s="47">
        <f t="shared" si="922"/>
        <v>-2000</v>
      </c>
      <c r="CI270" s="47">
        <f t="shared" si="922"/>
        <v>-2000</v>
      </c>
      <c r="CJ270" s="47">
        <f t="shared" si="922"/>
        <v>-2000</v>
      </c>
      <c r="CK270" s="47">
        <f t="shared" si="922"/>
        <v>-2000</v>
      </c>
      <c r="CL270" s="47">
        <f t="shared" si="922"/>
        <v>-2000</v>
      </c>
      <c r="CM270" s="47">
        <f t="shared" si="922"/>
        <v>-2000</v>
      </c>
      <c r="CN270" s="47">
        <f t="shared" si="922"/>
        <v>-2000</v>
      </c>
      <c r="CO270" s="47">
        <f t="shared" si="922"/>
        <v>-2000</v>
      </c>
      <c r="CP270" s="47">
        <f t="shared" si="922"/>
        <v>-2000</v>
      </c>
      <c r="CQ270" s="47">
        <f t="shared" si="922"/>
        <v>-2000</v>
      </c>
      <c r="CR270" s="47"/>
      <c r="CS270" s="47"/>
      <c r="CT270" s="47"/>
      <c r="CU270" s="50" t="str">
        <f>IFERROR(__xludf.DUMMYFUNCTION("""COMPUTED_VALUE"""),"susie &amp; Derrick
1456 Chapman Dr
Lancaster, TX 75134        ")</f>
        <v>susie &amp; Derrick
1456 Chapman Dr
Lancaster, TX 75134        </v>
      </c>
      <c r="CV270" s="51">
        <f>IFERROR(__xludf.DUMMYFUNCTION("IF(REGEXMATCH(UPPER(CU270), ""TX""),0,1)"),0.0)</f>
        <v>0</v>
      </c>
      <c r="CW270" s="51">
        <f>IFERROR(__xludf.DUMMYFUNCTION("IF(REGEXMATCH(UPPER(CU270), ""DALLAS""),0,1)"),1.0)</f>
        <v>1</v>
      </c>
      <c r="CX270" s="51">
        <f t="shared" si="17"/>
        <v>0</v>
      </c>
      <c r="CY270" s="51">
        <f t="shared" si="18"/>
        <v>300</v>
      </c>
      <c r="CZ270" s="52" t="str">
        <f t="shared" si="19"/>
        <v>susie &amp; Derrick
1456 Chapman Dr
Lancaster, TX 75134        </v>
      </c>
      <c r="DA270" s="58"/>
      <c r="DB270" s="52"/>
      <c r="DC270" s="52"/>
      <c r="DD270" s="52"/>
      <c r="DE270" s="52"/>
      <c r="DF270" s="52"/>
      <c r="DG270" s="52"/>
      <c r="DH270" s="52"/>
      <c r="DI270" s="52"/>
      <c r="DJ270" s="52"/>
      <c r="DK270" s="52"/>
      <c r="DL270" s="52"/>
      <c r="DM270" s="52"/>
      <c r="DN270" s="52"/>
      <c r="DO270" s="52"/>
      <c r="DP270" s="52"/>
      <c r="DQ270" s="52"/>
      <c r="DR270" s="52"/>
      <c r="DS270" s="52"/>
      <c r="DT270" s="52"/>
      <c r="DU270" s="52"/>
      <c r="DV270" s="52"/>
      <c r="DW270" s="52"/>
    </row>
    <row r="271">
      <c r="A271" s="40" t="s">
        <v>55</v>
      </c>
      <c r="B271" s="41" t="s">
        <v>56</v>
      </c>
      <c r="C271" s="31" t="s">
        <v>752</v>
      </c>
      <c r="D271" s="25" t="str">
        <f>IFERROR(__xludf.DUMMYFUNCTION("SPLIT(C271,"" "")"),"HealthPAC
PO")</f>
        <v>HealthPAC
PO</v>
      </c>
      <c r="E271" s="40" t="str">
        <f>IFERROR(__xludf.DUMMYFUNCTION("""COMPUTED_VALUE"""),"Box")</f>
        <v>Box</v>
      </c>
      <c r="F271" s="40" t="str">
        <f>IFERROR(__xludf.DUMMYFUNCTION("""COMPUTED_VALUE"""),"4680
Dallas,")</f>
        <v>4680
Dallas,</v>
      </c>
      <c r="G271" s="40" t="str">
        <f>IFERROR(__xludf.DUMMYFUNCTION("""COMPUTED_VALUE"""),"TX")</f>
        <v>TX</v>
      </c>
      <c r="H271" s="40">
        <f>IFERROR(__xludf.DUMMYFUNCTION("""COMPUTED_VALUE"""),75208.0)</f>
        <v>75208</v>
      </c>
      <c r="I271" s="40"/>
      <c r="J271" s="40"/>
      <c r="K271" s="40"/>
      <c r="L271" s="40"/>
      <c r="M271" s="40"/>
      <c r="N271" s="40"/>
      <c r="O271" s="40"/>
      <c r="P271" s="40"/>
      <c r="Q271" s="40"/>
      <c r="R271" s="40"/>
      <c r="S271" s="40"/>
      <c r="T271" s="40"/>
      <c r="U271" s="24" t="str">
        <f>IFERROR(__xludf.DUMMYFUNCTION("SPLIT(E271,""01234567890"")"),"Box")</f>
        <v>Box</v>
      </c>
      <c r="V271" s="24" t="str">
        <f>IFERROR(__xludf.DUMMYFUNCTION("SPLIT(D271,"","")"),"HealthPAC
PO")</f>
        <v>HealthPAC
PO</v>
      </c>
      <c r="W271" s="25" t="str">
        <f t="shared" si="1"/>
        <v>BOX HEALTHPAC
PO</v>
      </c>
      <c r="X271" s="25" t="s">
        <v>753</v>
      </c>
      <c r="Y271" s="25">
        <v>75208.0</v>
      </c>
      <c r="Z271" s="25" t="str">
        <f>IFERROR(__xludf.DUMMYFUNCTION("SPLIT(C271,""
"")"),"HealthPAC")</f>
        <v>HealthPAC</v>
      </c>
      <c r="AA271" s="25" t="str">
        <f>IFERROR(__xludf.DUMMYFUNCTION("""COMPUTED_VALUE"""),"PO Box 4680")</f>
        <v>PO Box 4680</v>
      </c>
      <c r="AB271" s="25" t="str">
        <f>IFERROR(__xludf.DUMMYFUNCTION("""COMPUTED_VALUE"""),"Dallas, TX 75208")</f>
        <v>Dallas, TX 75208</v>
      </c>
      <c r="AC271" s="24" t="s">
        <v>754</v>
      </c>
      <c r="AD271" s="25"/>
      <c r="AE271" s="25"/>
      <c r="AF271" s="25"/>
      <c r="AG271" s="40" t="s">
        <v>60</v>
      </c>
      <c r="AH271" s="42">
        <v>2437.0</v>
      </c>
      <c r="AI271" s="40" t="s">
        <v>61</v>
      </c>
      <c r="AJ271" s="27">
        <v>500.0</v>
      </c>
      <c r="AK271" s="31" t="s">
        <v>25</v>
      </c>
      <c r="AL271" s="43">
        <v>44721.0</v>
      </c>
      <c r="AM271" s="44">
        <v>44754.83237268519</v>
      </c>
      <c r="AN271" s="30">
        <v>2.0</v>
      </c>
      <c r="AO271" s="40"/>
      <c r="AP271" s="40"/>
      <c r="AQ271" s="40"/>
      <c r="AR271" s="40"/>
      <c r="AS271" s="40"/>
      <c r="AT271" s="47"/>
      <c r="AU271" s="40"/>
      <c r="AV271" s="46" t="str">
        <f>IFERROR(__xludf.DUMMYFUNCTION("""COMPUTED_VALUE"""),"Welch")</f>
        <v>Welch</v>
      </c>
      <c r="AW271" s="46">
        <f t="shared" si="7"/>
        <v>1000</v>
      </c>
      <c r="AX271" s="47">
        <f t="shared" ref="AX271:BQ271" si="923">SUMIFS($AJ:$AJ,$V:$V,$AV271,$AK:$AK,AX$2)</f>
        <v>0</v>
      </c>
      <c r="AY271" s="48">
        <f t="shared" si="923"/>
        <v>0</v>
      </c>
      <c r="AZ271" s="48">
        <f t="shared" si="923"/>
        <v>0</v>
      </c>
      <c r="BA271" s="48">
        <f t="shared" si="923"/>
        <v>0</v>
      </c>
      <c r="BB271" s="48">
        <f t="shared" si="923"/>
        <v>1000</v>
      </c>
      <c r="BC271" s="48">
        <f t="shared" si="923"/>
        <v>0</v>
      </c>
      <c r="BD271" s="48">
        <f t="shared" si="923"/>
        <v>0</v>
      </c>
      <c r="BE271" s="48">
        <f t="shared" si="923"/>
        <v>0</v>
      </c>
      <c r="BF271" s="48">
        <f t="shared" si="923"/>
        <v>0</v>
      </c>
      <c r="BG271" s="48">
        <f t="shared" si="923"/>
        <v>0</v>
      </c>
      <c r="BH271" s="48">
        <f t="shared" si="923"/>
        <v>0</v>
      </c>
      <c r="BI271" s="48">
        <f t="shared" si="923"/>
        <v>0</v>
      </c>
      <c r="BJ271" s="48">
        <f t="shared" si="923"/>
        <v>0</v>
      </c>
      <c r="BK271" s="48">
        <f t="shared" si="923"/>
        <v>0</v>
      </c>
      <c r="BL271" s="48">
        <f t="shared" si="923"/>
        <v>0</v>
      </c>
      <c r="BM271" s="48">
        <f t="shared" si="923"/>
        <v>0</v>
      </c>
      <c r="BN271" s="48">
        <f t="shared" si="923"/>
        <v>0</v>
      </c>
      <c r="BO271" s="48">
        <f t="shared" si="923"/>
        <v>0</v>
      </c>
      <c r="BP271" s="48">
        <f t="shared" si="923"/>
        <v>0</v>
      </c>
      <c r="BQ271" s="48">
        <f t="shared" si="923"/>
        <v>0</v>
      </c>
      <c r="BR271" s="36">
        <f t="shared" si="9"/>
        <v>0</v>
      </c>
      <c r="BS271" s="38">
        <f t="shared" si="10"/>
        <v>1</v>
      </c>
      <c r="BT271" s="49">
        <f t="shared" si="11"/>
        <v>0</v>
      </c>
      <c r="BU271" s="38">
        <f t="shared" si="12"/>
        <v>1000</v>
      </c>
      <c r="BV271" s="46" t="str">
        <f>IFERROR(__xludf.DUMMYFUNCTION("""COMPUTED_VALUE"""),"Welch")</f>
        <v>Welch</v>
      </c>
      <c r="BW271" s="46">
        <f t="shared" si="13"/>
        <v>1000</v>
      </c>
      <c r="BX271" s="47">
        <f t="shared" ref="BX271:CA271" si="924">AX271-$BU271</f>
        <v>-1000</v>
      </c>
      <c r="BY271" s="47">
        <f t="shared" si="924"/>
        <v>-1000</v>
      </c>
      <c r="BZ271" s="47">
        <f t="shared" si="924"/>
        <v>-1000</v>
      </c>
      <c r="CA271" s="47">
        <f t="shared" si="924"/>
        <v>-1000</v>
      </c>
      <c r="CB271" s="47">
        <f t="shared" si="15"/>
        <v>-9000</v>
      </c>
      <c r="CC271" s="47">
        <f t="shared" ref="CC271:CQ271" si="925">BC271-$BU271</f>
        <v>-1000</v>
      </c>
      <c r="CD271" s="47">
        <f t="shared" si="925"/>
        <v>-1000</v>
      </c>
      <c r="CE271" s="47">
        <f t="shared" si="925"/>
        <v>-1000</v>
      </c>
      <c r="CF271" s="47">
        <f t="shared" si="925"/>
        <v>-1000</v>
      </c>
      <c r="CG271" s="47">
        <f t="shared" si="925"/>
        <v>-1000</v>
      </c>
      <c r="CH271" s="47">
        <f t="shared" si="925"/>
        <v>-1000</v>
      </c>
      <c r="CI271" s="47">
        <f t="shared" si="925"/>
        <v>-1000</v>
      </c>
      <c r="CJ271" s="47">
        <f t="shared" si="925"/>
        <v>-1000</v>
      </c>
      <c r="CK271" s="47">
        <f t="shared" si="925"/>
        <v>-1000</v>
      </c>
      <c r="CL271" s="47">
        <f t="shared" si="925"/>
        <v>-1000</v>
      </c>
      <c r="CM271" s="47">
        <f t="shared" si="925"/>
        <v>-1000</v>
      </c>
      <c r="CN271" s="47">
        <f t="shared" si="925"/>
        <v>-1000</v>
      </c>
      <c r="CO271" s="47">
        <f t="shared" si="925"/>
        <v>-1000</v>
      </c>
      <c r="CP271" s="47">
        <f t="shared" si="925"/>
        <v>-1000</v>
      </c>
      <c r="CQ271" s="47">
        <f t="shared" si="925"/>
        <v>-1000</v>
      </c>
      <c r="CR271" s="47"/>
      <c r="CS271" s="47"/>
      <c r="CT271" s="47"/>
      <c r="CU271" s="50" t="str">
        <f>IFERROR(__xludf.DUMMYFUNCTION("""COMPUTED_VALUE"""),"5400 Bosque Blvd
Waco, TX 76710          ")</f>
        <v>5400 Bosque Blvd
Waco, TX 76710          </v>
      </c>
      <c r="CV271" s="51">
        <f>IFERROR(__xludf.DUMMYFUNCTION("IF(REGEXMATCH(UPPER(CU271), ""TX""),0,1)"),0.0)</f>
        <v>0</v>
      </c>
      <c r="CW271" s="51">
        <f>IFERROR(__xludf.DUMMYFUNCTION("IF(REGEXMATCH(UPPER(CU271), ""DALLAS""),0,1)"),1.0)</f>
        <v>1</v>
      </c>
      <c r="CX271" s="51">
        <f t="shared" si="17"/>
        <v>0</v>
      </c>
      <c r="CY271" s="51">
        <f t="shared" si="18"/>
        <v>5000</v>
      </c>
      <c r="CZ271" s="52" t="str">
        <f t="shared" si="19"/>
        <v>5400 Bosque Blvd
Waco, TX 76710          </v>
      </c>
      <c r="DA271" s="58"/>
      <c r="DB271" s="52"/>
      <c r="DC271" s="52"/>
      <c r="DD271" s="52"/>
      <c r="DE271" s="52"/>
      <c r="DF271" s="52"/>
      <c r="DG271" s="52"/>
      <c r="DH271" s="52"/>
      <c r="DI271" s="52"/>
      <c r="DJ271" s="52"/>
      <c r="DK271" s="52"/>
      <c r="DL271" s="52"/>
      <c r="DM271" s="52"/>
      <c r="DN271" s="52"/>
      <c r="DO271" s="52"/>
      <c r="DP271" s="52"/>
      <c r="DQ271" s="52"/>
      <c r="DR271" s="52"/>
      <c r="DS271" s="52"/>
      <c r="DT271" s="52"/>
      <c r="DU271" s="52"/>
      <c r="DV271" s="52"/>
      <c r="DW271" s="52"/>
    </row>
    <row r="272">
      <c r="A272" s="23" t="s">
        <v>64</v>
      </c>
      <c r="B272" s="23" t="s">
        <v>56</v>
      </c>
      <c r="C272" s="31" t="s">
        <v>755</v>
      </c>
      <c r="D272" s="25" t="str">
        <f>IFERROR(__xludf.DUMMYFUNCTION("SPLIT(C272,"" "")"),"Deason,")</f>
        <v>Deason,</v>
      </c>
      <c r="E272" s="22" t="str">
        <f>IFERROR(__xludf.DUMMYFUNCTION("""COMPUTED_VALUE"""),"Darwin
3953")</f>
        <v>Darwin
3953</v>
      </c>
      <c r="F272" s="22" t="str">
        <f>IFERROR(__xludf.DUMMYFUNCTION("""COMPUTED_VALUE"""),"Maple")</f>
        <v>Maple</v>
      </c>
      <c r="G272" s="22" t="str">
        <f>IFERROR(__xludf.DUMMYFUNCTION("""COMPUTED_VALUE"""),"Ave
Dallas,")</f>
        <v>Ave
Dallas,</v>
      </c>
      <c r="H272" s="22" t="str">
        <f>IFERROR(__xludf.DUMMYFUNCTION("""COMPUTED_VALUE"""),"TX")</f>
        <v>TX</v>
      </c>
      <c r="I272" s="22">
        <f>IFERROR(__xludf.DUMMYFUNCTION("""COMPUTED_VALUE"""),75219.0)</f>
        <v>75219</v>
      </c>
      <c r="J272" s="22"/>
      <c r="K272" s="22"/>
      <c r="L272" s="22"/>
      <c r="M272" s="22"/>
      <c r="N272" s="22"/>
      <c r="O272" s="22"/>
      <c r="P272" s="22"/>
      <c r="Q272" s="22"/>
      <c r="R272" s="22"/>
      <c r="S272" s="22"/>
      <c r="T272" s="22"/>
      <c r="U272" s="24" t="str">
        <f>IFERROR(__xludf.DUMMYFUNCTION("SPLIT(E272,""01234567890"")"),"Darwin
")</f>
        <v>Darwin
</v>
      </c>
      <c r="V272" s="24" t="str">
        <f>IFERROR(__xludf.DUMMYFUNCTION("SPLIT(D272,"","")"),"Deason")</f>
        <v>Deason</v>
      </c>
      <c r="W272" s="25" t="str">
        <f t="shared" si="1"/>
        <v>DARWIN
 DEASON</v>
      </c>
      <c r="X272" s="25" t="s">
        <v>756</v>
      </c>
      <c r="Y272" s="25">
        <v>75219.0</v>
      </c>
      <c r="Z272" s="25" t="str">
        <f>IFERROR(__xludf.DUMMYFUNCTION("SPLIT(C272,""
"")"),"Deason, Darwin")</f>
        <v>Deason, Darwin</v>
      </c>
      <c r="AA272" s="25" t="str">
        <f>IFERROR(__xludf.DUMMYFUNCTION("""COMPUTED_VALUE"""),"3953 Maple Ave")</f>
        <v>3953 Maple Ave</v>
      </c>
      <c r="AB272" s="25" t="str">
        <f>IFERROR(__xludf.DUMMYFUNCTION("""COMPUTED_VALUE"""),"Dallas, TX 75219")</f>
        <v>Dallas, TX 75219</v>
      </c>
      <c r="AC272" s="24" t="s">
        <v>757</v>
      </c>
      <c r="AD272" s="25"/>
      <c r="AE272" s="25"/>
      <c r="AF272" s="25"/>
      <c r="AG272" s="22" t="s">
        <v>60</v>
      </c>
      <c r="AH272" s="54">
        <v>2437.0</v>
      </c>
      <c r="AI272" s="22" t="s">
        <v>61</v>
      </c>
      <c r="AJ272" s="27">
        <v>5000.0</v>
      </c>
      <c r="AK272" s="31" t="s">
        <v>25</v>
      </c>
      <c r="AL272" s="28">
        <v>44726.0</v>
      </c>
      <c r="AM272" s="29">
        <v>44754.83237268519</v>
      </c>
      <c r="AN272" s="30">
        <v>2.0</v>
      </c>
      <c r="AO272" s="22"/>
      <c r="AP272" s="22"/>
      <c r="AQ272" s="22"/>
      <c r="AR272" s="22"/>
      <c r="AS272" s="22"/>
      <c r="AT272" s="70"/>
      <c r="AU272" s="22"/>
      <c r="AV272" s="57" t="str">
        <f>IFERROR(__xludf.DUMMYFUNCTION("""COMPUTED_VALUE"""),"Steinhart")</f>
        <v>Steinhart</v>
      </c>
      <c r="AW272" s="46">
        <f t="shared" si="7"/>
        <v>2000</v>
      </c>
      <c r="AX272" s="47">
        <f t="shared" ref="AX272:BQ272" si="926">SUMIFS($AJ:$AJ,$V:$V,$AV272,$AK:$AK,AX$2)</f>
        <v>0</v>
      </c>
      <c r="AY272" s="48">
        <f t="shared" si="926"/>
        <v>0</v>
      </c>
      <c r="AZ272" s="48">
        <f t="shared" si="926"/>
        <v>0</v>
      </c>
      <c r="BA272" s="48">
        <f t="shared" si="926"/>
        <v>1000</v>
      </c>
      <c r="BB272" s="48">
        <f t="shared" si="926"/>
        <v>1000</v>
      </c>
      <c r="BC272" s="48">
        <f t="shared" si="926"/>
        <v>0</v>
      </c>
      <c r="BD272" s="48">
        <f t="shared" si="926"/>
        <v>0</v>
      </c>
      <c r="BE272" s="48">
        <f t="shared" si="926"/>
        <v>0</v>
      </c>
      <c r="BF272" s="48">
        <f t="shared" si="926"/>
        <v>0</v>
      </c>
      <c r="BG272" s="48">
        <f t="shared" si="926"/>
        <v>0</v>
      </c>
      <c r="BH272" s="48">
        <f t="shared" si="926"/>
        <v>0</v>
      </c>
      <c r="BI272" s="48">
        <f t="shared" si="926"/>
        <v>0</v>
      </c>
      <c r="BJ272" s="48">
        <f t="shared" si="926"/>
        <v>0</v>
      </c>
      <c r="BK272" s="48">
        <f t="shared" si="926"/>
        <v>0</v>
      </c>
      <c r="BL272" s="48">
        <f t="shared" si="926"/>
        <v>0</v>
      </c>
      <c r="BM272" s="48">
        <f t="shared" si="926"/>
        <v>0</v>
      </c>
      <c r="BN272" s="48">
        <f t="shared" si="926"/>
        <v>0</v>
      </c>
      <c r="BO272" s="48">
        <f t="shared" si="926"/>
        <v>0</v>
      </c>
      <c r="BP272" s="48">
        <f t="shared" si="926"/>
        <v>0</v>
      </c>
      <c r="BQ272" s="48">
        <f t="shared" si="926"/>
        <v>0</v>
      </c>
      <c r="BR272" s="36">
        <f t="shared" si="9"/>
        <v>0</v>
      </c>
      <c r="BS272" s="38">
        <f t="shared" si="10"/>
        <v>1</v>
      </c>
      <c r="BT272" s="49">
        <f t="shared" si="11"/>
        <v>0</v>
      </c>
      <c r="BU272" s="38">
        <f t="shared" si="12"/>
        <v>1000</v>
      </c>
      <c r="BV272" s="57" t="str">
        <f>IFERROR(__xludf.DUMMYFUNCTION("""COMPUTED_VALUE"""),"Steinhart")</f>
        <v>Steinhart</v>
      </c>
      <c r="BW272" s="46">
        <f t="shared" si="13"/>
        <v>2000</v>
      </c>
      <c r="BX272" s="47">
        <f t="shared" ref="BX272:CA272" si="927">AX272-$BU272</f>
        <v>-1000</v>
      </c>
      <c r="BY272" s="47">
        <f t="shared" si="927"/>
        <v>-1000</v>
      </c>
      <c r="BZ272" s="47">
        <f t="shared" si="927"/>
        <v>-1000</v>
      </c>
      <c r="CA272" s="47">
        <f t="shared" si="927"/>
        <v>0</v>
      </c>
      <c r="CB272" s="47">
        <f t="shared" si="15"/>
        <v>-9000</v>
      </c>
      <c r="CC272" s="47">
        <f t="shared" ref="CC272:CQ272" si="928">BC272-$BU272</f>
        <v>-1000</v>
      </c>
      <c r="CD272" s="47">
        <f t="shared" si="928"/>
        <v>-1000</v>
      </c>
      <c r="CE272" s="47">
        <f t="shared" si="928"/>
        <v>-1000</v>
      </c>
      <c r="CF272" s="47">
        <f t="shared" si="928"/>
        <v>-1000</v>
      </c>
      <c r="CG272" s="47">
        <f t="shared" si="928"/>
        <v>-1000</v>
      </c>
      <c r="CH272" s="47">
        <f t="shared" si="928"/>
        <v>-1000</v>
      </c>
      <c r="CI272" s="47">
        <f t="shared" si="928"/>
        <v>-1000</v>
      </c>
      <c r="CJ272" s="47">
        <f t="shared" si="928"/>
        <v>-1000</v>
      </c>
      <c r="CK272" s="47">
        <f t="shared" si="928"/>
        <v>-1000</v>
      </c>
      <c r="CL272" s="47">
        <f t="shared" si="928"/>
        <v>-1000</v>
      </c>
      <c r="CM272" s="47">
        <f t="shared" si="928"/>
        <v>-1000</v>
      </c>
      <c r="CN272" s="47">
        <f t="shared" si="928"/>
        <v>-1000</v>
      </c>
      <c r="CO272" s="47">
        <f t="shared" si="928"/>
        <v>-1000</v>
      </c>
      <c r="CP272" s="47">
        <f t="shared" si="928"/>
        <v>-1000</v>
      </c>
      <c r="CQ272" s="47">
        <f t="shared" si="928"/>
        <v>-1000</v>
      </c>
      <c r="CR272" s="47"/>
      <c r="CS272" s="47"/>
      <c r="CT272" s="47"/>
      <c r="CU272" s="50" t="str">
        <f>IFERROR(__xludf.DUMMYFUNCTION("""COMPUTED_VALUE"""),"6823 S Florence Ave
Tulsa, OK 74136         ")</f>
        <v>6823 S Florence Ave
Tulsa, OK 74136         </v>
      </c>
      <c r="CV272" s="51">
        <f>IFERROR(__xludf.DUMMYFUNCTION("IF(REGEXMATCH(UPPER(CU272), ""TX""),0,1)"),1.0)</f>
        <v>1</v>
      </c>
      <c r="CW272" s="51">
        <f>IFERROR(__xludf.DUMMYFUNCTION("IF(REGEXMATCH(UPPER(CU272), ""DALLAS""),0,1)"),1.0)</f>
        <v>1</v>
      </c>
      <c r="CX272" s="51">
        <f t="shared" si="17"/>
        <v>250</v>
      </c>
      <c r="CY272" s="51">
        <f t="shared" si="18"/>
        <v>250</v>
      </c>
      <c r="CZ272" s="52" t="str">
        <f t="shared" si="19"/>
        <v>6823 S Florence Ave
Tulsa, OK 74136         </v>
      </c>
      <c r="DA272" s="58"/>
      <c r="DB272" s="52"/>
      <c r="DC272" s="52"/>
      <c r="DD272" s="52"/>
      <c r="DE272" s="52"/>
      <c r="DF272" s="52"/>
      <c r="DG272" s="52"/>
      <c r="DH272" s="52"/>
      <c r="DI272" s="52"/>
      <c r="DJ272" s="52"/>
      <c r="DK272" s="52"/>
      <c r="DL272" s="52"/>
      <c r="DM272" s="52"/>
      <c r="DN272" s="52"/>
      <c r="DO272" s="52"/>
      <c r="DP272" s="52"/>
      <c r="DQ272" s="52"/>
      <c r="DR272" s="52"/>
      <c r="DS272" s="52"/>
      <c r="DT272" s="52"/>
      <c r="DU272" s="52"/>
      <c r="DV272" s="52"/>
      <c r="DW272" s="52"/>
    </row>
    <row r="273">
      <c r="A273" s="40" t="s">
        <v>55</v>
      </c>
      <c r="B273" s="41" t="s">
        <v>56</v>
      </c>
      <c r="C273" s="31" t="s">
        <v>758</v>
      </c>
      <c r="D273" s="25" t="str">
        <f>IFERROR(__xludf.DUMMYFUNCTION("SPLIT(C273,"" "")"),"Elk,")</f>
        <v>Elk,</v>
      </c>
      <c r="E273" s="40" t="str">
        <f>IFERROR(__xludf.DUMMYFUNCTION("""COMPUTED_VALUE"""),"Charles
6504")</f>
        <v>Charles
6504</v>
      </c>
      <c r="F273" s="40" t="str">
        <f>IFERROR(__xludf.DUMMYFUNCTION("""COMPUTED_VALUE"""),"Bailey")</f>
        <v>Bailey</v>
      </c>
      <c r="G273" s="40" t="str">
        <f>IFERROR(__xludf.DUMMYFUNCTION("""COMPUTED_VALUE"""),"Road
Sachse,")</f>
        <v>Road
Sachse,</v>
      </c>
      <c r="H273" s="40" t="str">
        <f>IFERROR(__xludf.DUMMYFUNCTION("""COMPUTED_VALUE"""),"TX")</f>
        <v>TX</v>
      </c>
      <c r="I273" s="40">
        <f>IFERROR(__xludf.DUMMYFUNCTION("""COMPUTED_VALUE"""),75048.0)</f>
        <v>75048</v>
      </c>
      <c r="J273" s="40"/>
      <c r="K273" s="40"/>
      <c r="L273" s="40"/>
      <c r="M273" s="40"/>
      <c r="N273" s="40"/>
      <c r="O273" s="40"/>
      <c r="P273" s="40"/>
      <c r="Q273" s="40"/>
      <c r="R273" s="40"/>
      <c r="S273" s="40"/>
      <c r="T273" s="40"/>
      <c r="U273" s="24" t="str">
        <f>IFERROR(__xludf.DUMMYFUNCTION("SPLIT(E273,""01234567890"")"),"Charles
")</f>
        <v>Charles
</v>
      </c>
      <c r="V273" s="24" t="str">
        <f>IFERROR(__xludf.DUMMYFUNCTION("SPLIT(D273,"","")"),"Elk")</f>
        <v>Elk</v>
      </c>
      <c r="W273" s="25" t="str">
        <f t="shared" si="1"/>
        <v>CHARLES
 ELK</v>
      </c>
      <c r="X273" s="25" t="s">
        <v>759</v>
      </c>
      <c r="Y273" s="25">
        <v>75048.0</v>
      </c>
      <c r="Z273" s="25" t="str">
        <f>IFERROR(__xludf.DUMMYFUNCTION("SPLIT(C273,""
"")"),"Elk, Charles")</f>
        <v>Elk, Charles</v>
      </c>
      <c r="AA273" s="25" t="str">
        <f>IFERROR(__xludf.DUMMYFUNCTION("""COMPUTED_VALUE"""),"6504 Bailey Road")</f>
        <v>6504 Bailey Road</v>
      </c>
      <c r="AB273" s="25" t="str">
        <f>IFERROR(__xludf.DUMMYFUNCTION("""COMPUTED_VALUE"""),"Sachse, TX 75048")</f>
        <v>Sachse, TX 75048</v>
      </c>
      <c r="AC273" s="24" t="s">
        <v>760</v>
      </c>
      <c r="AD273" s="25"/>
      <c r="AE273" s="25"/>
      <c r="AF273" s="25"/>
      <c r="AG273" s="40" t="s">
        <v>60</v>
      </c>
      <c r="AH273" s="42">
        <v>2437.0</v>
      </c>
      <c r="AI273" s="40" t="s">
        <v>61</v>
      </c>
      <c r="AJ273" s="27">
        <v>1000.0</v>
      </c>
      <c r="AK273" s="31" t="s">
        <v>25</v>
      </c>
      <c r="AL273" s="43">
        <v>44719.0</v>
      </c>
      <c r="AM273" s="44">
        <v>44754.83237268519</v>
      </c>
      <c r="AN273" s="30">
        <v>2.0</v>
      </c>
      <c r="AO273" s="40"/>
      <c r="AP273" s="40"/>
      <c r="AQ273" s="40"/>
      <c r="AR273" s="40"/>
      <c r="AS273" s="40"/>
      <c r="AT273" s="47"/>
      <c r="AU273" s="40"/>
      <c r="AV273" s="46" t="str">
        <f>IFERROR(__xludf.DUMMYFUNCTION("""COMPUTED_VALUE"""),"Murchison")</f>
        <v>Murchison</v>
      </c>
      <c r="AW273" s="46">
        <f t="shared" si="7"/>
        <v>13600</v>
      </c>
      <c r="AX273" s="47">
        <f t="shared" ref="AX273:BQ273" si="929">SUMIFS($AJ:$AJ,$V:$V,$AV273,$AK:$AK,AX$2)</f>
        <v>0</v>
      </c>
      <c r="AY273" s="48">
        <f t="shared" si="929"/>
        <v>0</v>
      </c>
      <c r="AZ273" s="48">
        <f t="shared" si="929"/>
        <v>0</v>
      </c>
      <c r="BA273" s="48">
        <f t="shared" si="929"/>
        <v>0</v>
      </c>
      <c r="BB273" s="48">
        <f t="shared" si="929"/>
        <v>10000</v>
      </c>
      <c r="BC273" s="48">
        <f t="shared" si="929"/>
        <v>0</v>
      </c>
      <c r="BD273" s="48">
        <f t="shared" si="929"/>
        <v>0</v>
      </c>
      <c r="BE273" s="48">
        <f t="shared" si="929"/>
        <v>0</v>
      </c>
      <c r="BF273" s="48">
        <f t="shared" si="929"/>
        <v>0</v>
      </c>
      <c r="BG273" s="48">
        <f t="shared" si="929"/>
        <v>3600</v>
      </c>
      <c r="BH273" s="48">
        <f t="shared" si="929"/>
        <v>0</v>
      </c>
      <c r="BI273" s="48">
        <f t="shared" si="929"/>
        <v>0</v>
      </c>
      <c r="BJ273" s="48">
        <f t="shared" si="929"/>
        <v>0</v>
      </c>
      <c r="BK273" s="48">
        <f t="shared" si="929"/>
        <v>0</v>
      </c>
      <c r="BL273" s="48">
        <f t="shared" si="929"/>
        <v>0</v>
      </c>
      <c r="BM273" s="48">
        <f t="shared" si="929"/>
        <v>0</v>
      </c>
      <c r="BN273" s="48">
        <f t="shared" si="929"/>
        <v>0</v>
      </c>
      <c r="BO273" s="48">
        <f t="shared" si="929"/>
        <v>0</v>
      </c>
      <c r="BP273" s="48">
        <f t="shared" si="929"/>
        <v>0</v>
      </c>
      <c r="BQ273" s="48">
        <f t="shared" si="929"/>
        <v>0</v>
      </c>
      <c r="BR273" s="36">
        <f t="shared" si="9"/>
        <v>1</v>
      </c>
      <c r="BS273" s="38">
        <f t="shared" si="10"/>
        <v>3</v>
      </c>
      <c r="BT273" s="49">
        <f t="shared" si="11"/>
        <v>0</v>
      </c>
      <c r="BU273" s="38">
        <f t="shared" si="12"/>
        <v>3000</v>
      </c>
      <c r="BV273" s="46" t="str">
        <f>IFERROR(__xludf.DUMMYFUNCTION("""COMPUTED_VALUE"""),"Murchison")</f>
        <v>Murchison</v>
      </c>
      <c r="BW273" s="46">
        <f t="shared" si="13"/>
        <v>13600</v>
      </c>
      <c r="BX273" s="47">
        <f t="shared" ref="BX273:CA273" si="930">AX273-$BU273</f>
        <v>-3000</v>
      </c>
      <c r="BY273" s="47">
        <f t="shared" si="930"/>
        <v>-3000</v>
      </c>
      <c r="BZ273" s="47">
        <f t="shared" si="930"/>
        <v>-3000</v>
      </c>
      <c r="CA273" s="47">
        <f t="shared" si="930"/>
        <v>-3000</v>
      </c>
      <c r="CB273" s="47">
        <f t="shared" si="15"/>
        <v>-20000</v>
      </c>
      <c r="CC273" s="47">
        <f t="shared" ref="CC273:CQ273" si="931">BC273-$BU273</f>
        <v>-3000</v>
      </c>
      <c r="CD273" s="47">
        <f t="shared" si="931"/>
        <v>-3000</v>
      </c>
      <c r="CE273" s="47">
        <f t="shared" si="931"/>
        <v>-3000</v>
      </c>
      <c r="CF273" s="47">
        <f t="shared" si="931"/>
        <v>-3000</v>
      </c>
      <c r="CG273" s="47">
        <f t="shared" si="931"/>
        <v>600</v>
      </c>
      <c r="CH273" s="47">
        <f t="shared" si="931"/>
        <v>-3000</v>
      </c>
      <c r="CI273" s="47">
        <f t="shared" si="931"/>
        <v>-3000</v>
      </c>
      <c r="CJ273" s="47">
        <f t="shared" si="931"/>
        <v>-3000</v>
      </c>
      <c r="CK273" s="47">
        <f t="shared" si="931"/>
        <v>-3000</v>
      </c>
      <c r="CL273" s="47">
        <f t="shared" si="931"/>
        <v>-3000</v>
      </c>
      <c r="CM273" s="47">
        <f t="shared" si="931"/>
        <v>-3000</v>
      </c>
      <c r="CN273" s="47">
        <f t="shared" si="931"/>
        <v>-3000</v>
      </c>
      <c r="CO273" s="47">
        <f t="shared" si="931"/>
        <v>-3000</v>
      </c>
      <c r="CP273" s="47">
        <f t="shared" si="931"/>
        <v>-3000</v>
      </c>
      <c r="CQ273" s="47">
        <f t="shared" si="931"/>
        <v>-3000</v>
      </c>
      <c r="CR273" s="47"/>
      <c r="CS273" s="47"/>
      <c r="CT273" s="47"/>
      <c r="CU273" s="50" t="str">
        <f>IFERROR(__xludf.DUMMYFUNCTION("""COMPUTED_VALUE"""),"4047 Glenhurst Ln
Frisco, TX 75033          ")</f>
        <v>4047 Glenhurst Ln
Frisco, TX 75033          </v>
      </c>
      <c r="CV273" s="51">
        <f>IFERROR(__xludf.DUMMYFUNCTION("IF(REGEXMATCH(UPPER(CU273), ""TX""),0,1)"),0.0)</f>
        <v>0</v>
      </c>
      <c r="CW273" s="51">
        <f>IFERROR(__xludf.DUMMYFUNCTION("IF(REGEXMATCH(UPPER(CU273), ""DALLAS""),0,1)"),1.0)</f>
        <v>1</v>
      </c>
      <c r="CX273" s="51">
        <f t="shared" si="17"/>
        <v>0</v>
      </c>
      <c r="CY273" s="51">
        <f t="shared" si="18"/>
        <v>250</v>
      </c>
      <c r="CZ273" s="52" t="str">
        <f t="shared" si="19"/>
        <v>4047 Glenhurst Ln
Frisco, TX 75033          </v>
      </c>
      <c r="DA273" s="58"/>
      <c r="DB273" s="52"/>
      <c r="DC273" s="52"/>
      <c r="DD273" s="52"/>
      <c r="DE273" s="52"/>
      <c r="DF273" s="52"/>
      <c r="DG273" s="52"/>
      <c r="DH273" s="52"/>
      <c r="DI273" s="52"/>
      <c r="DJ273" s="52"/>
      <c r="DK273" s="52"/>
      <c r="DL273" s="52"/>
      <c r="DM273" s="52"/>
      <c r="DN273" s="52"/>
      <c r="DO273" s="52"/>
      <c r="DP273" s="52"/>
      <c r="DQ273" s="52"/>
      <c r="DR273" s="52"/>
      <c r="DS273" s="52"/>
      <c r="DT273" s="52"/>
      <c r="DU273" s="52"/>
      <c r="DV273" s="52"/>
      <c r="DW273" s="52"/>
    </row>
    <row r="274">
      <c r="A274" s="23" t="s">
        <v>64</v>
      </c>
      <c r="B274" s="23" t="s">
        <v>56</v>
      </c>
      <c r="C274" s="31" t="s">
        <v>761</v>
      </c>
      <c r="D274" s="25" t="str">
        <f>IFERROR(__xludf.DUMMYFUNCTION("SPLIT(C274,"" "")"),"Feyer,")</f>
        <v>Feyer,</v>
      </c>
      <c r="E274" s="22" t="str">
        <f>IFERROR(__xludf.DUMMYFUNCTION("""COMPUTED_VALUE"""),"Robert
2335")</f>
        <v>Robert
2335</v>
      </c>
      <c r="F274" s="22" t="str">
        <f>IFERROR(__xludf.DUMMYFUNCTION("""COMPUTED_VALUE"""),"Hyde")</f>
        <v>Hyde</v>
      </c>
      <c r="G274" s="22" t="str">
        <f>IFERROR(__xludf.DUMMYFUNCTION("""COMPUTED_VALUE"""),"Street
San")</f>
        <v>Street
San</v>
      </c>
      <c r="H274" s="22" t="str">
        <f>IFERROR(__xludf.DUMMYFUNCTION("""COMPUTED_VALUE"""),"Francisco,")</f>
        <v>Francisco,</v>
      </c>
      <c r="I274" s="22" t="str">
        <f>IFERROR(__xludf.DUMMYFUNCTION("""COMPUTED_VALUE"""),"CA")</f>
        <v>CA</v>
      </c>
      <c r="J274" s="22">
        <f>IFERROR(__xludf.DUMMYFUNCTION("""COMPUTED_VALUE"""),94109.0)</f>
        <v>94109</v>
      </c>
      <c r="K274" s="22"/>
      <c r="L274" s="22"/>
      <c r="M274" s="22"/>
      <c r="N274" s="22"/>
      <c r="O274" s="22"/>
      <c r="P274" s="22"/>
      <c r="Q274" s="22"/>
      <c r="R274" s="22"/>
      <c r="S274" s="22"/>
      <c r="T274" s="22"/>
      <c r="U274" s="24" t="str">
        <f>IFERROR(__xludf.DUMMYFUNCTION("SPLIT(E274,""01234567890"")"),"Robert
")</f>
        <v>Robert
</v>
      </c>
      <c r="V274" s="24" t="str">
        <f>IFERROR(__xludf.DUMMYFUNCTION("SPLIT(D274,"","")"),"Feyer")</f>
        <v>Feyer</v>
      </c>
      <c r="W274" s="25" t="str">
        <f t="shared" si="1"/>
        <v>ROBERT
 FEYER</v>
      </c>
      <c r="X274" s="25" t="s">
        <v>762</v>
      </c>
      <c r="Y274" s="25">
        <v>94109.0</v>
      </c>
      <c r="Z274" s="25" t="str">
        <f>IFERROR(__xludf.DUMMYFUNCTION("SPLIT(C274,""
"")"),"Feyer, Robert")</f>
        <v>Feyer, Robert</v>
      </c>
      <c r="AA274" s="25" t="str">
        <f>IFERROR(__xludf.DUMMYFUNCTION("""COMPUTED_VALUE"""),"2335 Hyde Street")</f>
        <v>2335 Hyde Street</v>
      </c>
      <c r="AB274" s="25" t="str">
        <f>IFERROR(__xludf.DUMMYFUNCTION("""COMPUTED_VALUE"""),"San Francisco, CA 94109")</f>
        <v>San Francisco, CA 94109</v>
      </c>
      <c r="AC274" s="24" t="s">
        <v>763</v>
      </c>
      <c r="AD274" s="25"/>
      <c r="AE274" s="25"/>
      <c r="AF274" s="25"/>
      <c r="AG274" s="22" t="s">
        <v>60</v>
      </c>
      <c r="AH274" s="54">
        <v>2437.0</v>
      </c>
      <c r="AI274" s="22" t="s">
        <v>61</v>
      </c>
      <c r="AJ274" s="27">
        <v>100.0</v>
      </c>
      <c r="AK274" s="31" t="s">
        <v>25</v>
      </c>
      <c r="AL274" s="28">
        <v>44720.0</v>
      </c>
      <c r="AM274" s="29">
        <v>44754.83237268519</v>
      </c>
      <c r="AN274" s="30">
        <v>2.0</v>
      </c>
      <c r="AO274" s="22"/>
      <c r="AP274" s="22"/>
      <c r="AQ274" s="22"/>
      <c r="AR274" s="22"/>
      <c r="AS274" s="22"/>
      <c r="AT274" s="70"/>
      <c r="AU274" s="22"/>
      <c r="AV274" s="57" t="str">
        <f>IFERROR(__xludf.DUMMYFUNCTION("""COMPUTED_VALUE"""),"Jordan")</f>
        <v>Jordan</v>
      </c>
      <c r="AW274" s="46">
        <f t="shared" si="7"/>
        <v>1100</v>
      </c>
      <c r="AX274" s="47">
        <f t="shared" ref="AX274:BQ274" si="932">SUMIFS($AJ:$AJ,$V:$V,$AV274,$AK:$AK,AX$2)</f>
        <v>0</v>
      </c>
      <c r="AY274" s="48">
        <f t="shared" si="932"/>
        <v>0</v>
      </c>
      <c r="AZ274" s="48">
        <f t="shared" si="932"/>
        <v>0</v>
      </c>
      <c r="BA274" s="48">
        <f t="shared" si="932"/>
        <v>0</v>
      </c>
      <c r="BB274" s="48">
        <f t="shared" si="932"/>
        <v>1000</v>
      </c>
      <c r="BC274" s="48">
        <f t="shared" si="932"/>
        <v>0</v>
      </c>
      <c r="BD274" s="48">
        <f t="shared" si="932"/>
        <v>0</v>
      </c>
      <c r="BE274" s="48">
        <f t="shared" si="932"/>
        <v>0</v>
      </c>
      <c r="BF274" s="48">
        <f t="shared" si="932"/>
        <v>0</v>
      </c>
      <c r="BG274" s="48">
        <f t="shared" si="932"/>
        <v>0</v>
      </c>
      <c r="BH274" s="48">
        <f t="shared" si="932"/>
        <v>100</v>
      </c>
      <c r="BI274" s="48">
        <f t="shared" si="932"/>
        <v>0</v>
      </c>
      <c r="BJ274" s="48">
        <f t="shared" si="932"/>
        <v>0</v>
      </c>
      <c r="BK274" s="48">
        <f t="shared" si="932"/>
        <v>0</v>
      </c>
      <c r="BL274" s="48">
        <f t="shared" si="932"/>
        <v>0</v>
      </c>
      <c r="BM274" s="48">
        <f t="shared" si="932"/>
        <v>0</v>
      </c>
      <c r="BN274" s="48">
        <f t="shared" si="932"/>
        <v>0</v>
      </c>
      <c r="BO274" s="48">
        <f t="shared" si="932"/>
        <v>0</v>
      </c>
      <c r="BP274" s="48">
        <f t="shared" si="932"/>
        <v>0</v>
      </c>
      <c r="BQ274" s="48">
        <f t="shared" si="932"/>
        <v>0</v>
      </c>
      <c r="BR274" s="36">
        <f t="shared" si="9"/>
        <v>1</v>
      </c>
      <c r="BS274" s="38">
        <f t="shared" si="10"/>
        <v>2</v>
      </c>
      <c r="BT274" s="49">
        <f t="shared" si="11"/>
        <v>0</v>
      </c>
      <c r="BU274" s="38">
        <f t="shared" si="12"/>
        <v>2000</v>
      </c>
      <c r="BV274" s="57" t="str">
        <f>IFERROR(__xludf.DUMMYFUNCTION("""COMPUTED_VALUE"""),"Jordan")</f>
        <v>Jordan</v>
      </c>
      <c r="BW274" s="46">
        <f t="shared" si="13"/>
        <v>1100</v>
      </c>
      <c r="BX274" s="47">
        <f t="shared" ref="BX274:CA274" si="933">AX274-$BU274</f>
        <v>-2000</v>
      </c>
      <c r="BY274" s="47">
        <f t="shared" si="933"/>
        <v>-2000</v>
      </c>
      <c r="BZ274" s="47">
        <f t="shared" si="933"/>
        <v>-2000</v>
      </c>
      <c r="CA274" s="47">
        <f t="shared" si="933"/>
        <v>-2000</v>
      </c>
      <c r="CB274" s="47">
        <f t="shared" si="15"/>
        <v>-19000</v>
      </c>
      <c r="CC274" s="47">
        <f t="shared" ref="CC274:CQ274" si="934">BC274-$BU274</f>
        <v>-2000</v>
      </c>
      <c r="CD274" s="47">
        <f t="shared" si="934"/>
        <v>-2000</v>
      </c>
      <c r="CE274" s="47">
        <f t="shared" si="934"/>
        <v>-2000</v>
      </c>
      <c r="CF274" s="47">
        <f t="shared" si="934"/>
        <v>-2000</v>
      </c>
      <c r="CG274" s="47">
        <f t="shared" si="934"/>
        <v>-2000</v>
      </c>
      <c r="CH274" s="47">
        <f t="shared" si="934"/>
        <v>-1900</v>
      </c>
      <c r="CI274" s="47">
        <f t="shared" si="934"/>
        <v>-2000</v>
      </c>
      <c r="CJ274" s="47">
        <f t="shared" si="934"/>
        <v>-2000</v>
      </c>
      <c r="CK274" s="47">
        <f t="shared" si="934"/>
        <v>-2000</v>
      </c>
      <c r="CL274" s="47">
        <f t="shared" si="934"/>
        <v>-2000</v>
      </c>
      <c r="CM274" s="47">
        <f t="shared" si="934"/>
        <v>-2000</v>
      </c>
      <c r="CN274" s="47">
        <f t="shared" si="934"/>
        <v>-2000</v>
      </c>
      <c r="CO274" s="47">
        <f t="shared" si="934"/>
        <v>-2000</v>
      </c>
      <c r="CP274" s="47">
        <f t="shared" si="934"/>
        <v>-2000</v>
      </c>
      <c r="CQ274" s="47">
        <f t="shared" si="934"/>
        <v>-2000</v>
      </c>
      <c r="CR274" s="47"/>
      <c r="CS274" s="47"/>
      <c r="CT274" s="47"/>
      <c r="CU274" s="50" t="str">
        <f>IFERROR(__xludf.DUMMYFUNCTION("""COMPUTED_VALUE"""),"3812 Holliday Road
Dallas, TX 75224          ")</f>
        <v>3812 Holliday Road
Dallas, TX 75224          </v>
      </c>
      <c r="CV274" s="51">
        <f>IFERROR(__xludf.DUMMYFUNCTION("IF(REGEXMATCH(UPPER(CU274), ""TX""),0,1)"),0.0)</f>
        <v>0</v>
      </c>
      <c r="CW274" s="51">
        <f>IFERROR(__xludf.DUMMYFUNCTION("IF(REGEXMATCH(UPPER(CU274), ""DALLAS""),0,1)"),0.0)</f>
        <v>0</v>
      </c>
      <c r="CX274" s="51">
        <f t="shared" si="17"/>
        <v>0</v>
      </c>
      <c r="CY274" s="51">
        <f t="shared" si="18"/>
        <v>0</v>
      </c>
      <c r="CZ274" s="52" t="str">
        <f t="shared" si="19"/>
        <v/>
      </c>
      <c r="DA274" s="58"/>
      <c r="DB274" s="52"/>
      <c r="DC274" s="52"/>
      <c r="DD274" s="52"/>
      <c r="DE274" s="52"/>
      <c r="DF274" s="52"/>
      <c r="DG274" s="52"/>
      <c r="DH274" s="52"/>
      <c r="DI274" s="52"/>
      <c r="DJ274" s="52"/>
      <c r="DK274" s="52"/>
      <c r="DL274" s="52"/>
      <c r="DM274" s="52"/>
      <c r="DN274" s="52"/>
      <c r="DO274" s="52"/>
      <c r="DP274" s="52"/>
      <c r="DQ274" s="52"/>
      <c r="DR274" s="52"/>
      <c r="DS274" s="52"/>
      <c r="DT274" s="52"/>
      <c r="DU274" s="52"/>
      <c r="DV274" s="52"/>
      <c r="DW274" s="52"/>
    </row>
    <row r="275">
      <c r="A275" s="40" t="s">
        <v>55</v>
      </c>
      <c r="B275" s="41" t="s">
        <v>56</v>
      </c>
      <c r="C275" s="31" t="s">
        <v>764</v>
      </c>
      <c r="D275" s="25" t="str">
        <f>IFERROR(__xludf.DUMMYFUNCTION("SPLIT(C275,"" "")"),"Garraway,")</f>
        <v>Garraway,</v>
      </c>
      <c r="E275" s="40" t="str">
        <f>IFERROR(__xludf.DUMMYFUNCTION("""COMPUTED_VALUE"""),"Selwyn
100")</f>
        <v>Selwyn
100</v>
      </c>
      <c r="F275" s="40" t="str">
        <f>IFERROR(__xludf.DUMMYFUNCTION("""COMPUTED_VALUE"""),"Greenwich")</f>
        <v>Greenwich</v>
      </c>
      <c r="G275" s="40" t="str">
        <f>IFERROR(__xludf.DUMMYFUNCTION("""COMPUTED_VALUE"""),"St
New")</f>
        <v>St
New</v>
      </c>
      <c r="H275" s="40" t="str">
        <f>IFERROR(__xludf.DUMMYFUNCTION("""COMPUTED_VALUE"""),"York,")</f>
        <v>York,</v>
      </c>
      <c r="I275" s="40" t="str">
        <f>IFERROR(__xludf.DUMMYFUNCTION("""COMPUTED_VALUE"""),"NY")</f>
        <v>NY</v>
      </c>
      <c r="J275" s="40">
        <f>IFERROR(__xludf.DUMMYFUNCTION("""COMPUTED_VALUE"""),10006.0)</f>
        <v>10006</v>
      </c>
      <c r="K275" s="40"/>
      <c r="L275" s="40"/>
      <c r="M275" s="40"/>
      <c r="N275" s="40"/>
      <c r="O275" s="40"/>
      <c r="P275" s="40"/>
      <c r="Q275" s="40"/>
      <c r="R275" s="40"/>
      <c r="S275" s="40"/>
      <c r="T275" s="40"/>
      <c r="U275" s="24" t="str">
        <f>IFERROR(__xludf.DUMMYFUNCTION("SPLIT(E275,""01234567890"")"),"Selwyn
")</f>
        <v>Selwyn
</v>
      </c>
      <c r="V275" s="24" t="str">
        <f>IFERROR(__xludf.DUMMYFUNCTION("SPLIT(D275,"","")"),"Garraway")</f>
        <v>Garraway</v>
      </c>
      <c r="W275" s="25" t="str">
        <f t="shared" si="1"/>
        <v>SELWYN
 GARRAWAY</v>
      </c>
      <c r="X275" s="25" t="s">
        <v>765</v>
      </c>
      <c r="Y275" s="25">
        <v>10006.0</v>
      </c>
      <c r="Z275" s="25" t="str">
        <f>IFERROR(__xludf.DUMMYFUNCTION("SPLIT(C275,""
"")"),"Garraway, Selwyn")</f>
        <v>Garraway, Selwyn</v>
      </c>
      <c r="AA275" s="25" t="str">
        <f>IFERROR(__xludf.DUMMYFUNCTION("""COMPUTED_VALUE"""),"100 Greenwich St")</f>
        <v>100 Greenwich St</v>
      </c>
      <c r="AB275" s="25" t="str">
        <f>IFERROR(__xludf.DUMMYFUNCTION("""COMPUTED_VALUE"""),"New York, NY 10006")</f>
        <v>New York, NY 10006</v>
      </c>
      <c r="AC275" s="24" t="s">
        <v>766</v>
      </c>
      <c r="AD275" s="25"/>
      <c r="AE275" s="25"/>
      <c r="AF275" s="25"/>
      <c r="AG275" s="40" t="s">
        <v>60</v>
      </c>
      <c r="AH275" s="42">
        <v>2437.0</v>
      </c>
      <c r="AI275" s="40" t="s">
        <v>61</v>
      </c>
      <c r="AJ275" s="27">
        <v>100.0</v>
      </c>
      <c r="AK275" s="31" t="s">
        <v>25</v>
      </c>
      <c r="AL275" s="43">
        <v>44719.0</v>
      </c>
      <c r="AM275" s="44">
        <v>44754.83237268519</v>
      </c>
      <c r="AN275" s="30">
        <v>2.0</v>
      </c>
      <c r="AO275" s="40"/>
      <c r="AP275" s="40"/>
      <c r="AQ275" s="40"/>
      <c r="AR275" s="40"/>
      <c r="AS275" s="40"/>
      <c r="AT275" s="47"/>
      <c r="AU275" s="40"/>
      <c r="AV275" s="46" t="str">
        <f>IFERROR(__xludf.DUMMYFUNCTION("""COMPUTED_VALUE"""),"Gunnin")</f>
        <v>Gunnin</v>
      </c>
      <c r="AW275" s="46">
        <f t="shared" si="7"/>
        <v>2500</v>
      </c>
      <c r="AX275" s="47">
        <f t="shared" ref="AX275:BQ275" si="935">SUMIFS($AJ:$AJ,$V:$V,$AV275,$AK:$AK,AX$2)</f>
        <v>0</v>
      </c>
      <c r="AY275" s="48">
        <f t="shared" si="935"/>
        <v>0</v>
      </c>
      <c r="AZ275" s="48">
        <f t="shared" si="935"/>
        <v>0</v>
      </c>
      <c r="BA275" s="48">
        <f t="shared" si="935"/>
        <v>0</v>
      </c>
      <c r="BB275" s="48">
        <f t="shared" si="935"/>
        <v>2500</v>
      </c>
      <c r="BC275" s="48">
        <f t="shared" si="935"/>
        <v>0</v>
      </c>
      <c r="BD275" s="48">
        <f t="shared" si="935"/>
        <v>0</v>
      </c>
      <c r="BE275" s="48">
        <f t="shared" si="935"/>
        <v>0</v>
      </c>
      <c r="BF275" s="48">
        <f t="shared" si="935"/>
        <v>0</v>
      </c>
      <c r="BG275" s="48">
        <f t="shared" si="935"/>
        <v>0</v>
      </c>
      <c r="BH275" s="48">
        <f t="shared" si="935"/>
        <v>0</v>
      </c>
      <c r="BI275" s="48">
        <f t="shared" si="935"/>
        <v>0</v>
      </c>
      <c r="BJ275" s="48">
        <f t="shared" si="935"/>
        <v>0</v>
      </c>
      <c r="BK275" s="48">
        <f t="shared" si="935"/>
        <v>0</v>
      </c>
      <c r="BL275" s="48">
        <f t="shared" si="935"/>
        <v>0</v>
      </c>
      <c r="BM275" s="48">
        <f t="shared" si="935"/>
        <v>0</v>
      </c>
      <c r="BN275" s="48">
        <f t="shared" si="935"/>
        <v>0</v>
      </c>
      <c r="BO275" s="48">
        <f t="shared" si="935"/>
        <v>0</v>
      </c>
      <c r="BP275" s="48">
        <f t="shared" si="935"/>
        <v>0</v>
      </c>
      <c r="BQ275" s="48">
        <f t="shared" si="935"/>
        <v>0</v>
      </c>
      <c r="BR275" s="36">
        <f t="shared" si="9"/>
        <v>0</v>
      </c>
      <c r="BS275" s="38">
        <f t="shared" si="10"/>
        <v>1</v>
      </c>
      <c r="BT275" s="49">
        <f t="shared" si="11"/>
        <v>0</v>
      </c>
      <c r="BU275" s="38">
        <f t="shared" si="12"/>
        <v>1000</v>
      </c>
      <c r="BV275" s="46" t="str">
        <f>IFERROR(__xludf.DUMMYFUNCTION("""COMPUTED_VALUE"""),"Gunnin")</f>
        <v>Gunnin</v>
      </c>
      <c r="BW275" s="46">
        <f t="shared" si="13"/>
        <v>2500</v>
      </c>
      <c r="BX275" s="47">
        <f t="shared" ref="BX275:CA275" si="936">AX275-$BU275</f>
        <v>-1000</v>
      </c>
      <c r="BY275" s="47">
        <f t="shared" si="936"/>
        <v>-1000</v>
      </c>
      <c r="BZ275" s="47">
        <f t="shared" si="936"/>
        <v>-1000</v>
      </c>
      <c r="CA275" s="47">
        <f t="shared" si="936"/>
        <v>-1000</v>
      </c>
      <c r="CB275" s="47">
        <f t="shared" si="15"/>
        <v>-7500</v>
      </c>
      <c r="CC275" s="47">
        <f t="shared" ref="CC275:CQ275" si="937">BC275-$BU275</f>
        <v>-1000</v>
      </c>
      <c r="CD275" s="47">
        <f t="shared" si="937"/>
        <v>-1000</v>
      </c>
      <c r="CE275" s="47">
        <f t="shared" si="937"/>
        <v>-1000</v>
      </c>
      <c r="CF275" s="47">
        <f t="shared" si="937"/>
        <v>-1000</v>
      </c>
      <c r="CG275" s="47">
        <f t="shared" si="937"/>
        <v>-1000</v>
      </c>
      <c r="CH275" s="47">
        <f t="shared" si="937"/>
        <v>-1000</v>
      </c>
      <c r="CI275" s="47">
        <f t="shared" si="937"/>
        <v>-1000</v>
      </c>
      <c r="CJ275" s="47">
        <f t="shared" si="937"/>
        <v>-1000</v>
      </c>
      <c r="CK275" s="47">
        <f t="shared" si="937"/>
        <v>-1000</v>
      </c>
      <c r="CL275" s="47">
        <f t="shared" si="937"/>
        <v>-1000</v>
      </c>
      <c r="CM275" s="47">
        <f t="shared" si="937"/>
        <v>-1000</v>
      </c>
      <c r="CN275" s="47">
        <f t="shared" si="937"/>
        <v>-1000</v>
      </c>
      <c r="CO275" s="47">
        <f t="shared" si="937"/>
        <v>-1000</v>
      </c>
      <c r="CP275" s="47">
        <f t="shared" si="937"/>
        <v>-1000</v>
      </c>
      <c r="CQ275" s="47">
        <f t="shared" si="937"/>
        <v>-1000</v>
      </c>
      <c r="CR275" s="47"/>
      <c r="CS275" s="47"/>
      <c r="CT275" s="47"/>
      <c r="CU275" s="50" t="str">
        <f>IFERROR(__xludf.DUMMYFUNCTION("""COMPUTED_VALUE"""),"6123 Orchid Ln
Dallas, TX 75230          ")</f>
        <v>6123 Orchid Ln
Dallas, TX 75230          </v>
      </c>
      <c r="CV275" s="51">
        <f>IFERROR(__xludf.DUMMYFUNCTION("IF(REGEXMATCH(UPPER(CU275), ""TX""),0,1)"),0.0)</f>
        <v>0</v>
      </c>
      <c r="CW275" s="51">
        <f>IFERROR(__xludf.DUMMYFUNCTION("IF(REGEXMATCH(UPPER(CU275), ""DALLAS""),0,1)"),0.0)</f>
        <v>0</v>
      </c>
      <c r="CX275" s="51">
        <f t="shared" si="17"/>
        <v>0</v>
      </c>
      <c r="CY275" s="51">
        <f t="shared" si="18"/>
        <v>0</v>
      </c>
      <c r="CZ275" s="52" t="str">
        <f t="shared" si="19"/>
        <v/>
      </c>
      <c r="DA275" s="58"/>
      <c r="DB275" s="52"/>
      <c r="DC275" s="52"/>
      <c r="DD275" s="52"/>
      <c r="DE275" s="52"/>
      <c r="DF275" s="52"/>
      <c r="DG275" s="52"/>
      <c r="DH275" s="52"/>
      <c r="DI275" s="52"/>
      <c r="DJ275" s="52"/>
      <c r="DK275" s="52"/>
      <c r="DL275" s="52"/>
      <c r="DM275" s="52"/>
      <c r="DN275" s="52"/>
      <c r="DO275" s="52"/>
      <c r="DP275" s="52"/>
      <c r="DQ275" s="52"/>
      <c r="DR275" s="52"/>
      <c r="DS275" s="52"/>
      <c r="DT275" s="52"/>
      <c r="DU275" s="52"/>
      <c r="DV275" s="52"/>
      <c r="DW275" s="52"/>
    </row>
    <row r="276">
      <c r="A276" s="23" t="s">
        <v>64</v>
      </c>
      <c r="B276" s="23" t="s">
        <v>56</v>
      </c>
      <c r="C276" s="31" t="s">
        <v>767</v>
      </c>
      <c r="D276" s="25" t="str">
        <f>IFERROR(__xludf.DUMMYFUNCTION("SPLIT(C276,"" "")"),"Glendenning,")</f>
        <v>Glendenning,</v>
      </c>
      <c r="E276" s="22" t="str">
        <f>IFERROR(__xludf.DUMMYFUNCTION("""COMPUTED_VALUE"""),"Don
2200")</f>
        <v>Don
2200</v>
      </c>
      <c r="F276" s="22" t="str">
        <f>IFERROR(__xludf.DUMMYFUNCTION("""COMPUTED_VALUE"""),"Ross")</f>
        <v>Ross</v>
      </c>
      <c r="G276" s="22" t="str">
        <f>IFERROR(__xludf.DUMMYFUNCTION("""COMPUTED_VALUE"""),"Ave
Dallas,")</f>
        <v>Ave
Dallas,</v>
      </c>
      <c r="H276" s="22" t="str">
        <f>IFERROR(__xludf.DUMMYFUNCTION("""COMPUTED_VALUE"""),"TX")</f>
        <v>TX</v>
      </c>
      <c r="I276" s="22">
        <f>IFERROR(__xludf.DUMMYFUNCTION("""COMPUTED_VALUE"""),75201.0)</f>
        <v>75201</v>
      </c>
      <c r="J276" s="22"/>
      <c r="K276" s="22"/>
      <c r="L276" s="22"/>
      <c r="M276" s="22"/>
      <c r="N276" s="22"/>
      <c r="O276" s="22"/>
      <c r="P276" s="22"/>
      <c r="Q276" s="22"/>
      <c r="R276" s="22"/>
      <c r="S276" s="22"/>
      <c r="T276" s="22"/>
      <c r="U276" s="24" t="str">
        <f>IFERROR(__xludf.DUMMYFUNCTION("SPLIT(E276,""01234567890"")"),"Don
")</f>
        <v>Don
</v>
      </c>
      <c r="V276" s="24" t="str">
        <f>IFERROR(__xludf.DUMMYFUNCTION("SPLIT(D276,"","")"),"Glendenning")</f>
        <v>Glendenning</v>
      </c>
      <c r="W276" s="25" t="str">
        <f t="shared" si="1"/>
        <v>DON
 GLENDENNING</v>
      </c>
      <c r="X276" s="25" t="s">
        <v>768</v>
      </c>
      <c r="Y276" s="25">
        <v>75201.0</v>
      </c>
      <c r="Z276" s="25" t="str">
        <f>IFERROR(__xludf.DUMMYFUNCTION("SPLIT(C276,""
"")"),"Glendenning, Don")</f>
        <v>Glendenning, Don</v>
      </c>
      <c r="AA276" s="25" t="str">
        <f>IFERROR(__xludf.DUMMYFUNCTION("""COMPUTED_VALUE"""),"2200 Ross Ave")</f>
        <v>2200 Ross Ave</v>
      </c>
      <c r="AB276" s="25" t="str">
        <f>IFERROR(__xludf.DUMMYFUNCTION("""COMPUTED_VALUE"""),"Dallas, TX 75201")</f>
        <v>Dallas, TX 75201</v>
      </c>
      <c r="AC276" s="24" t="s">
        <v>769</v>
      </c>
      <c r="AD276" s="25"/>
      <c r="AE276" s="25"/>
      <c r="AF276" s="25"/>
      <c r="AG276" s="22" t="s">
        <v>60</v>
      </c>
      <c r="AH276" s="54">
        <v>2437.0</v>
      </c>
      <c r="AI276" s="22" t="s">
        <v>61</v>
      </c>
      <c r="AJ276" s="27">
        <v>1000.0</v>
      </c>
      <c r="AK276" s="31" t="s">
        <v>25</v>
      </c>
      <c r="AL276" s="28">
        <v>44707.0</v>
      </c>
      <c r="AM276" s="29">
        <v>44754.83237268519</v>
      </c>
      <c r="AN276" s="30">
        <v>2.0</v>
      </c>
      <c r="AO276" s="22"/>
      <c r="AP276" s="22"/>
      <c r="AQ276" s="22"/>
      <c r="AR276" s="22"/>
      <c r="AS276" s="22"/>
      <c r="AT276" s="70"/>
      <c r="AU276" s="22"/>
      <c r="AV276" s="57" t="str">
        <f>IFERROR(__xludf.DUMMYFUNCTION("""COMPUTED_VALUE"""),"Folsom")</f>
        <v>Folsom</v>
      </c>
      <c r="AW276" s="46">
        <f t="shared" si="7"/>
        <v>500</v>
      </c>
      <c r="AX276" s="47">
        <f t="shared" ref="AX276:BQ276" si="938">SUMIFS($AJ:$AJ,$V:$V,$AV276,$AK:$AK,AX$2)</f>
        <v>0</v>
      </c>
      <c r="AY276" s="48">
        <f t="shared" si="938"/>
        <v>0</v>
      </c>
      <c r="AZ276" s="48">
        <f t="shared" si="938"/>
        <v>0</v>
      </c>
      <c r="BA276" s="48">
        <f t="shared" si="938"/>
        <v>0</v>
      </c>
      <c r="BB276" s="48">
        <f t="shared" si="938"/>
        <v>500</v>
      </c>
      <c r="BC276" s="48">
        <f t="shared" si="938"/>
        <v>0</v>
      </c>
      <c r="BD276" s="48">
        <f t="shared" si="938"/>
        <v>0</v>
      </c>
      <c r="BE276" s="48">
        <f t="shared" si="938"/>
        <v>0</v>
      </c>
      <c r="BF276" s="48">
        <f t="shared" si="938"/>
        <v>0</v>
      </c>
      <c r="BG276" s="48">
        <f t="shared" si="938"/>
        <v>0</v>
      </c>
      <c r="BH276" s="48">
        <f t="shared" si="938"/>
        <v>0</v>
      </c>
      <c r="BI276" s="48">
        <f t="shared" si="938"/>
        <v>0</v>
      </c>
      <c r="BJ276" s="48">
        <f t="shared" si="938"/>
        <v>0</v>
      </c>
      <c r="BK276" s="48">
        <f t="shared" si="938"/>
        <v>0</v>
      </c>
      <c r="BL276" s="48">
        <f t="shared" si="938"/>
        <v>0</v>
      </c>
      <c r="BM276" s="48">
        <f t="shared" si="938"/>
        <v>0</v>
      </c>
      <c r="BN276" s="48">
        <f t="shared" si="938"/>
        <v>0</v>
      </c>
      <c r="BO276" s="48">
        <f t="shared" si="938"/>
        <v>0</v>
      </c>
      <c r="BP276" s="48">
        <f t="shared" si="938"/>
        <v>0</v>
      </c>
      <c r="BQ276" s="48">
        <f t="shared" si="938"/>
        <v>0</v>
      </c>
      <c r="BR276" s="36">
        <f t="shared" si="9"/>
        <v>0</v>
      </c>
      <c r="BS276" s="38">
        <f t="shared" si="10"/>
        <v>1</v>
      </c>
      <c r="BT276" s="49">
        <f t="shared" si="11"/>
        <v>0</v>
      </c>
      <c r="BU276" s="38">
        <f t="shared" si="12"/>
        <v>1000</v>
      </c>
      <c r="BV276" s="57" t="str">
        <f>IFERROR(__xludf.DUMMYFUNCTION("""COMPUTED_VALUE"""),"Folsom")</f>
        <v>Folsom</v>
      </c>
      <c r="BW276" s="46">
        <f t="shared" si="13"/>
        <v>500</v>
      </c>
      <c r="BX276" s="47">
        <f t="shared" ref="BX276:CA276" si="939">AX276-$BU276</f>
        <v>-1000</v>
      </c>
      <c r="BY276" s="47">
        <f t="shared" si="939"/>
        <v>-1000</v>
      </c>
      <c r="BZ276" s="47">
        <f t="shared" si="939"/>
        <v>-1000</v>
      </c>
      <c r="CA276" s="47">
        <f t="shared" si="939"/>
        <v>-1000</v>
      </c>
      <c r="CB276" s="47">
        <f t="shared" si="15"/>
        <v>-9500</v>
      </c>
      <c r="CC276" s="47">
        <f t="shared" ref="CC276:CQ276" si="940">BC276-$BU276</f>
        <v>-1000</v>
      </c>
      <c r="CD276" s="47">
        <f t="shared" si="940"/>
        <v>-1000</v>
      </c>
      <c r="CE276" s="47">
        <f t="shared" si="940"/>
        <v>-1000</v>
      </c>
      <c r="CF276" s="47">
        <f t="shared" si="940"/>
        <v>-1000</v>
      </c>
      <c r="CG276" s="47">
        <f t="shared" si="940"/>
        <v>-1000</v>
      </c>
      <c r="CH276" s="47">
        <f t="shared" si="940"/>
        <v>-1000</v>
      </c>
      <c r="CI276" s="47">
        <f t="shared" si="940"/>
        <v>-1000</v>
      </c>
      <c r="CJ276" s="47">
        <f t="shared" si="940"/>
        <v>-1000</v>
      </c>
      <c r="CK276" s="47">
        <f t="shared" si="940"/>
        <v>-1000</v>
      </c>
      <c r="CL276" s="47">
        <f t="shared" si="940"/>
        <v>-1000</v>
      </c>
      <c r="CM276" s="47">
        <f t="shared" si="940"/>
        <v>-1000</v>
      </c>
      <c r="CN276" s="47">
        <f t="shared" si="940"/>
        <v>-1000</v>
      </c>
      <c r="CO276" s="47">
        <f t="shared" si="940"/>
        <v>-1000</v>
      </c>
      <c r="CP276" s="47">
        <f t="shared" si="940"/>
        <v>-1000</v>
      </c>
      <c r="CQ276" s="47">
        <f t="shared" si="940"/>
        <v>-1000</v>
      </c>
      <c r="CR276" s="47"/>
      <c r="CS276" s="47"/>
      <c r="CT276" s="47"/>
      <c r="CU276" s="50" t="str">
        <f>IFERROR(__xludf.DUMMYFUNCTION("""COMPUTED_VALUE"""),"8100 Lomo Alto Dr
Dallas, TX 75225         ")</f>
        <v>8100 Lomo Alto Dr
Dallas, TX 75225         </v>
      </c>
      <c r="CV276" s="51">
        <f>IFERROR(__xludf.DUMMYFUNCTION("IF(REGEXMATCH(UPPER(CU276), ""TX""),0,1)"),0.0)</f>
        <v>0</v>
      </c>
      <c r="CW276" s="51">
        <f>IFERROR(__xludf.DUMMYFUNCTION("IF(REGEXMATCH(UPPER(CU276), ""DALLAS""),0,1)"),0.0)</f>
        <v>0</v>
      </c>
      <c r="CX276" s="51">
        <f t="shared" si="17"/>
        <v>0</v>
      </c>
      <c r="CY276" s="51">
        <f t="shared" si="18"/>
        <v>0</v>
      </c>
      <c r="CZ276" s="52" t="str">
        <f t="shared" si="19"/>
        <v/>
      </c>
      <c r="DA276" s="58"/>
      <c r="DB276" s="52"/>
      <c r="DC276" s="52"/>
      <c r="DD276" s="52"/>
      <c r="DE276" s="52"/>
      <c r="DF276" s="52"/>
      <c r="DG276" s="52"/>
      <c r="DH276" s="52"/>
      <c r="DI276" s="52"/>
      <c r="DJ276" s="52"/>
      <c r="DK276" s="52"/>
      <c r="DL276" s="52"/>
      <c r="DM276" s="52"/>
      <c r="DN276" s="52"/>
      <c r="DO276" s="52"/>
      <c r="DP276" s="52"/>
      <c r="DQ276" s="52"/>
      <c r="DR276" s="52"/>
      <c r="DS276" s="52"/>
      <c r="DT276" s="52"/>
      <c r="DU276" s="52"/>
      <c r="DV276" s="52"/>
      <c r="DW276" s="52"/>
    </row>
    <row r="277">
      <c r="A277" s="40" t="s">
        <v>55</v>
      </c>
      <c r="B277" s="41" t="s">
        <v>56</v>
      </c>
      <c r="C277" s="31" t="s">
        <v>770</v>
      </c>
      <c r="D277" s="25" t="str">
        <f>IFERROR(__xludf.DUMMYFUNCTION("SPLIT(C277,"" "")"),"Hall,")</f>
        <v>Hall,</v>
      </c>
      <c r="E277" s="40" t="str">
        <f>IFERROR(__xludf.DUMMYFUNCTION("""COMPUTED_VALUE"""),"Stephen
11565")</f>
        <v>Stephen
11565</v>
      </c>
      <c r="F277" s="40" t="str">
        <f>IFERROR(__xludf.DUMMYFUNCTION("""COMPUTED_VALUE"""),"E")</f>
        <v>E</v>
      </c>
      <c r="G277" s="40" t="str">
        <f>IFERROR(__xludf.DUMMYFUNCTION("""COMPUTED_VALUE"""),"Ricks")</f>
        <v>Ricks</v>
      </c>
      <c r="H277" s="40" t="str">
        <f>IFERROR(__xludf.DUMMYFUNCTION("""COMPUTED_VALUE"""),"Circle
Dallas,")</f>
        <v>Circle
Dallas,</v>
      </c>
      <c r="I277" s="40" t="str">
        <f>IFERROR(__xludf.DUMMYFUNCTION("""COMPUTED_VALUE"""),"TX")</f>
        <v>TX</v>
      </c>
      <c r="J277" s="40">
        <f>IFERROR(__xludf.DUMMYFUNCTION("""COMPUTED_VALUE"""),75230.0)</f>
        <v>75230</v>
      </c>
      <c r="K277" s="40"/>
      <c r="L277" s="40"/>
      <c r="M277" s="40"/>
      <c r="N277" s="40"/>
      <c r="O277" s="40"/>
      <c r="P277" s="40"/>
      <c r="Q277" s="40"/>
      <c r="R277" s="40"/>
      <c r="S277" s="40"/>
      <c r="T277" s="40"/>
      <c r="U277" s="24" t="str">
        <f>IFERROR(__xludf.DUMMYFUNCTION("SPLIT(E277,""01234567890"")"),"Stephen
")</f>
        <v>Stephen
</v>
      </c>
      <c r="V277" s="24" t="str">
        <f>IFERROR(__xludf.DUMMYFUNCTION("SPLIT(D277,"","")"),"Hall")</f>
        <v>Hall</v>
      </c>
      <c r="W277" s="25" t="str">
        <f t="shared" si="1"/>
        <v>STEPHEN
 HALL</v>
      </c>
      <c r="X277" s="25" t="s">
        <v>771</v>
      </c>
      <c r="Y277" s="25">
        <v>75230.0</v>
      </c>
      <c r="Z277" s="25" t="str">
        <f>IFERROR(__xludf.DUMMYFUNCTION("SPLIT(C277,""
"")"),"Hall, Stephen")</f>
        <v>Hall, Stephen</v>
      </c>
      <c r="AA277" s="25" t="str">
        <f>IFERROR(__xludf.DUMMYFUNCTION("""COMPUTED_VALUE"""),"11565 E Ricks Circle")</f>
        <v>11565 E Ricks Circle</v>
      </c>
      <c r="AB277" s="25" t="str">
        <f>IFERROR(__xludf.DUMMYFUNCTION("""COMPUTED_VALUE"""),"Dallas, TX 75230")</f>
        <v>Dallas, TX 75230</v>
      </c>
      <c r="AC277" s="24" t="s">
        <v>772</v>
      </c>
      <c r="AD277" s="25"/>
      <c r="AE277" s="25"/>
      <c r="AF277" s="25"/>
      <c r="AG277" s="40" t="s">
        <v>60</v>
      </c>
      <c r="AH277" s="42">
        <v>2437.0</v>
      </c>
      <c r="AI277" s="40" t="s">
        <v>61</v>
      </c>
      <c r="AJ277" s="27">
        <v>10000.0</v>
      </c>
      <c r="AK277" s="31" t="s">
        <v>25</v>
      </c>
      <c r="AL277" s="43">
        <v>44712.0</v>
      </c>
      <c r="AM277" s="44">
        <v>44754.83237268519</v>
      </c>
      <c r="AN277" s="30">
        <v>2.0</v>
      </c>
      <c r="AO277" s="40"/>
      <c r="AP277" s="40"/>
      <c r="AQ277" s="40"/>
      <c r="AR277" s="40"/>
      <c r="AS277" s="40"/>
      <c r="AT277" s="47"/>
      <c r="AU277" s="40"/>
      <c r="AV277" s="46" t="str">
        <f>IFERROR(__xludf.DUMMYFUNCTION("""COMPUTED_VALUE"""),"Heinbaugh")</f>
        <v>Heinbaugh</v>
      </c>
      <c r="AW277" s="46">
        <f t="shared" si="7"/>
        <v>425</v>
      </c>
      <c r="AX277" s="47">
        <f t="shared" ref="AX277:BQ277" si="941">SUMIFS($AJ:$AJ,$V:$V,$AV277,$AK:$AK,AX$2)</f>
        <v>0</v>
      </c>
      <c r="AY277" s="48">
        <f t="shared" si="941"/>
        <v>0</v>
      </c>
      <c r="AZ277" s="48">
        <f t="shared" si="941"/>
        <v>50</v>
      </c>
      <c r="BA277" s="48">
        <f t="shared" si="941"/>
        <v>100</v>
      </c>
      <c r="BB277" s="48">
        <f t="shared" si="941"/>
        <v>200</v>
      </c>
      <c r="BC277" s="48">
        <f t="shared" si="941"/>
        <v>0</v>
      </c>
      <c r="BD277" s="48">
        <f t="shared" si="941"/>
        <v>0</v>
      </c>
      <c r="BE277" s="48">
        <f t="shared" si="941"/>
        <v>0</v>
      </c>
      <c r="BF277" s="48">
        <f t="shared" si="941"/>
        <v>0</v>
      </c>
      <c r="BG277" s="48">
        <f t="shared" si="941"/>
        <v>0</v>
      </c>
      <c r="BH277" s="48">
        <f t="shared" si="941"/>
        <v>75</v>
      </c>
      <c r="BI277" s="48">
        <f t="shared" si="941"/>
        <v>0</v>
      </c>
      <c r="BJ277" s="48">
        <f t="shared" si="941"/>
        <v>0</v>
      </c>
      <c r="BK277" s="48">
        <f t="shared" si="941"/>
        <v>0</v>
      </c>
      <c r="BL277" s="48">
        <f t="shared" si="941"/>
        <v>0</v>
      </c>
      <c r="BM277" s="48">
        <f t="shared" si="941"/>
        <v>0</v>
      </c>
      <c r="BN277" s="48">
        <f t="shared" si="941"/>
        <v>0</v>
      </c>
      <c r="BO277" s="48">
        <f t="shared" si="941"/>
        <v>0</v>
      </c>
      <c r="BP277" s="48">
        <f t="shared" si="941"/>
        <v>0</v>
      </c>
      <c r="BQ277" s="48">
        <f t="shared" si="941"/>
        <v>0</v>
      </c>
      <c r="BR277" s="36">
        <f t="shared" si="9"/>
        <v>0</v>
      </c>
      <c r="BS277" s="38">
        <f t="shared" si="10"/>
        <v>1</v>
      </c>
      <c r="BT277" s="49">
        <f t="shared" si="11"/>
        <v>0</v>
      </c>
      <c r="BU277" s="38">
        <f t="shared" si="12"/>
        <v>1000</v>
      </c>
      <c r="BV277" s="46" t="str">
        <f>IFERROR(__xludf.DUMMYFUNCTION("""COMPUTED_VALUE"""),"Heinbaugh")</f>
        <v>Heinbaugh</v>
      </c>
      <c r="BW277" s="46">
        <f t="shared" si="13"/>
        <v>425</v>
      </c>
      <c r="BX277" s="47">
        <f t="shared" ref="BX277:CA277" si="942">AX277-$BU277</f>
        <v>-1000</v>
      </c>
      <c r="BY277" s="47">
        <f t="shared" si="942"/>
        <v>-1000</v>
      </c>
      <c r="BZ277" s="47">
        <f t="shared" si="942"/>
        <v>-950</v>
      </c>
      <c r="CA277" s="47">
        <f t="shared" si="942"/>
        <v>-900</v>
      </c>
      <c r="CB277" s="47">
        <f t="shared" si="15"/>
        <v>-9800</v>
      </c>
      <c r="CC277" s="47">
        <f t="shared" ref="CC277:CQ277" si="943">BC277-$BU277</f>
        <v>-1000</v>
      </c>
      <c r="CD277" s="47">
        <f t="shared" si="943"/>
        <v>-1000</v>
      </c>
      <c r="CE277" s="47">
        <f t="shared" si="943"/>
        <v>-1000</v>
      </c>
      <c r="CF277" s="47">
        <f t="shared" si="943"/>
        <v>-1000</v>
      </c>
      <c r="CG277" s="47">
        <f t="shared" si="943"/>
        <v>-1000</v>
      </c>
      <c r="CH277" s="47">
        <f t="shared" si="943"/>
        <v>-925</v>
      </c>
      <c r="CI277" s="47">
        <f t="shared" si="943"/>
        <v>-1000</v>
      </c>
      <c r="CJ277" s="47">
        <f t="shared" si="943"/>
        <v>-1000</v>
      </c>
      <c r="CK277" s="47">
        <f t="shared" si="943"/>
        <v>-1000</v>
      </c>
      <c r="CL277" s="47">
        <f t="shared" si="943"/>
        <v>-1000</v>
      </c>
      <c r="CM277" s="47">
        <f t="shared" si="943"/>
        <v>-1000</v>
      </c>
      <c r="CN277" s="47">
        <f t="shared" si="943"/>
        <v>-1000</v>
      </c>
      <c r="CO277" s="47">
        <f t="shared" si="943"/>
        <v>-1000</v>
      </c>
      <c r="CP277" s="47">
        <f t="shared" si="943"/>
        <v>-1000</v>
      </c>
      <c r="CQ277" s="47">
        <f t="shared" si="943"/>
        <v>-1000</v>
      </c>
      <c r="CR277" s="47"/>
      <c r="CS277" s="47"/>
      <c r="CT277" s="47"/>
      <c r="CU277" s="50" t="str">
        <f>IFERROR(__xludf.DUMMYFUNCTION("""COMPUTED_VALUE"""),"6739 Avalon Ave
Dallas, TX 75214          ")</f>
        <v>6739 Avalon Ave
Dallas, TX 75214          </v>
      </c>
      <c r="CV277" s="51">
        <f>IFERROR(__xludf.DUMMYFUNCTION("IF(REGEXMATCH(UPPER(CU277), ""TX""),0,1)"),0.0)</f>
        <v>0</v>
      </c>
      <c r="CW277" s="51">
        <f>IFERROR(__xludf.DUMMYFUNCTION("IF(REGEXMATCH(UPPER(CU277), ""DALLAS""),0,1)"),0.0)</f>
        <v>0</v>
      </c>
      <c r="CX277" s="51">
        <f t="shared" si="17"/>
        <v>0</v>
      </c>
      <c r="CY277" s="51">
        <f t="shared" si="18"/>
        <v>0</v>
      </c>
      <c r="CZ277" s="52" t="str">
        <f t="shared" si="19"/>
        <v/>
      </c>
      <c r="DA277" s="58"/>
      <c r="DB277" s="52"/>
      <c r="DC277" s="52"/>
      <c r="DD277" s="52"/>
      <c r="DE277" s="52"/>
      <c r="DF277" s="52"/>
      <c r="DG277" s="52"/>
      <c r="DH277" s="52"/>
      <c r="DI277" s="52"/>
      <c r="DJ277" s="52"/>
      <c r="DK277" s="52"/>
      <c r="DL277" s="52"/>
      <c r="DM277" s="52"/>
      <c r="DN277" s="52"/>
      <c r="DO277" s="52"/>
      <c r="DP277" s="52"/>
      <c r="DQ277" s="52"/>
      <c r="DR277" s="52"/>
      <c r="DS277" s="52"/>
      <c r="DT277" s="52"/>
      <c r="DU277" s="52"/>
      <c r="DV277" s="52"/>
      <c r="DW277" s="52"/>
    </row>
    <row r="278">
      <c r="A278" s="23" t="s">
        <v>64</v>
      </c>
      <c r="B278" s="23" t="s">
        <v>56</v>
      </c>
      <c r="C278" s="31" t="s">
        <v>773</v>
      </c>
      <c r="D278" s="25" t="str">
        <f>IFERROR(__xludf.DUMMYFUNCTION("SPLIT(C278,"" "")"),"Hasty,")</f>
        <v>Hasty,</v>
      </c>
      <c r="E278" s="22" t="str">
        <f>IFERROR(__xludf.DUMMYFUNCTION("""COMPUTED_VALUE"""),"Gary
1001")</f>
        <v>Gary
1001</v>
      </c>
      <c r="F278" s="22" t="str">
        <f>IFERROR(__xludf.DUMMYFUNCTION("""COMPUTED_VALUE"""),"Clinton")</f>
        <v>Clinton</v>
      </c>
      <c r="G278" s="22" t="str">
        <f>IFERROR(__xludf.DUMMYFUNCTION("""COMPUTED_VALUE"""),"St
Carrollton,")</f>
        <v>St
Carrollton,</v>
      </c>
      <c r="H278" s="22" t="str">
        <f>IFERROR(__xludf.DUMMYFUNCTION("""COMPUTED_VALUE"""),"TX")</f>
        <v>TX</v>
      </c>
      <c r="I278" s="22">
        <f>IFERROR(__xludf.DUMMYFUNCTION("""COMPUTED_VALUE"""),75007.0)</f>
        <v>75007</v>
      </c>
      <c r="J278" s="22"/>
      <c r="K278" s="22"/>
      <c r="L278" s="22"/>
      <c r="M278" s="22"/>
      <c r="N278" s="22"/>
      <c r="O278" s="22"/>
      <c r="P278" s="22"/>
      <c r="Q278" s="22"/>
      <c r="R278" s="22"/>
      <c r="S278" s="22"/>
      <c r="T278" s="22"/>
      <c r="U278" s="24" t="str">
        <f>IFERROR(__xludf.DUMMYFUNCTION("SPLIT(E278,""01234567890"")"),"Gary
")</f>
        <v>Gary
</v>
      </c>
      <c r="V278" s="24" t="str">
        <f>IFERROR(__xludf.DUMMYFUNCTION("SPLIT(D278,"","")"),"Hasty")</f>
        <v>Hasty</v>
      </c>
      <c r="W278" s="25" t="str">
        <f t="shared" si="1"/>
        <v>GARY
 HASTY</v>
      </c>
      <c r="X278" s="25" t="s">
        <v>774</v>
      </c>
      <c r="Y278" s="25">
        <v>75007.0</v>
      </c>
      <c r="Z278" s="25" t="str">
        <f>IFERROR(__xludf.DUMMYFUNCTION("SPLIT(C278,""
"")"),"Hasty, Gary")</f>
        <v>Hasty, Gary</v>
      </c>
      <c r="AA278" s="25" t="str">
        <f>IFERROR(__xludf.DUMMYFUNCTION("""COMPUTED_VALUE"""),"1001 Clinton St")</f>
        <v>1001 Clinton St</v>
      </c>
      <c r="AB278" s="25" t="str">
        <f>IFERROR(__xludf.DUMMYFUNCTION("""COMPUTED_VALUE"""),"Carrollton, TX 75007")</f>
        <v>Carrollton, TX 75007</v>
      </c>
      <c r="AC278" s="24" t="s">
        <v>775</v>
      </c>
      <c r="AD278" s="25"/>
      <c r="AE278" s="25"/>
      <c r="AF278" s="25"/>
      <c r="AG278" s="22" t="s">
        <v>60</v>
      </c>
      <c r="AH278" s="54">
        <v>2437.0</v>
      </c>
      <c r="AI278" s="22" t="s">
        <v>61</v>
      </c>
      <c r="AJ278" s="27">
        <v>1000.0</v>
      </c>
      <c r="AK278" s="31" t="s">
        <v>25</v>
      </c>
      <c r="AL278" s="28">
        <v>44726.0</v>
      </c>
      <c r="AM278" s="29">
        <v>44754.83237268519</v>
      </c>
      <c r="AN278" s="30">
        <v>2.0</v>
      </c>
      <c r="AO278" s="22"/>
      <c r="AP278" s="22"/>
      <c r="AQ278" s="22"/>
      <c r="AR278" s="22"/>
      <c r="AS278" s="22"/>
      <c r="AT278" s="70"/>
      <c r="AU278" s="22"/>
      <c r="AV278" s="57" t="str">
        <f>IFERROR(__xludf.DUMMYFUNCTION("""COMPUTED_VALUE"""),"Kang")</f>
        <v>Kang</v>
      </c>
      <c r="AW278" s="46">
        <f t="shared" si="7"/>
        <v>1000</v>
      </c>
      <c r="AX278" s="47">
        <f t="shared" ref="AX278:BQ278" si="944">SUMIFS($AJ:$AJ,$V:$V,$AV278,$AK:$AK,AX$2)</f>
        <v>0</v>
      </c>
      <c r="AY278" s="48">
        <f t="shared" si="944"/>
        <v>0</v>
      </c>
      <c r="AZ278" s="48">
        <f t="shared" si="944"/>
        <v>0</v>
      </c>
      <c r="BA278" s="48">
        <f t="shared" si="944"/>
        <v>0</v>
      </c>
      <c r="BB278" s="48">
        <f t="shared" si="944"/>
        <v>1000</v>
      </c>
      <c r="BC278" s="48">
        <f t="shared" si="944"/>
        <v>0</v>
      </c>
      <c r="BD278" s="48">
        <f t="shared" si="944"/>
        <v>0</v>
      </c>
      <c r="BE278" s="48">
        <f t="shared" si="944"/>
        <v>0</v>
      </c>
      <c r="BF278" s="48">
        <f t="shared" si="944"/>
        <v>0</v>
      </c>
      <c r="BG278" s="48">
        <f t="shared" si="944"/>
        <v>0</v>
      </c>
      <c r="BH278" s="48">
        <f t="shared" si="944"/>
        <v>0</v>
      </c>
      <c r="BI278" s="48">
        <f t="shared" si="944"/>
        <v>0</v>
      </c>
      <c r="BJ278" s="48">
        <f t="shared" si="944"/>
        <v>0</v>
      </c>
      <c r="BK278" s="48">
        <f t="shared" si="944"/>
        <v>0</v>
      </c>
      <c r="BL278" s="48">
        <f t="shared" si="944"/>
        <v>0</v>
      </c>
      <c r="BM278" s="48">
        <f t="shared" si="944"/>
        <v>0</v>
      </c>
      <c r="BN278" s="48">
        <f t="shared" si="944"/>
        <v>0</v>
      </c>
      <c r="BO278" s="48">
        <f t="shared" si="944"/>
        <v>0</v>
      </c>
      <c r="BP278" s="48">
        <f t="shared" si="944"/>
        <v>0</v>
      </c>
      <c r="BQ278" s="48">
        <f t="shared" si="944"/>
        <v>0</v>
      </c>
      <c r="BR278" s="36">
        <f t="shared" si="9"/>
        <v>0</v>
      </c>
      <c r="BS278" s="38">
        <f t="shared" si="10"/>
        <v>1</v>
      </c>
      <c r="BT278" s="49">
        <f t="shared" si="11"/>
        <v>0</v>
      </c>
      <c r="BU278" s="38">
        <f t="shared" si="12"/>
        <v>1000</v>
      </c>
      <c r="BV278" s="57" t="str">
        <f>IFERROR(__xludf.DUMMYFUNCTION("""COMPUTED_VALUE"""),"Kang")</f>
        <v>Kang</v>
      </c>
      <c r="BW278" s="46">
        <f t="shared" si="13"/>
        <v>1000</v>
      </c>
      <c r="BX278" s="47">
        <f t="shared" ref="BX278:CA278" si="945">AX278-$BU278</f>
        <v>-1000</v>
      </c>
      <c r="BY278" s="47">
        <f t="shared" si="945"/>
        <v>-1000</v>
      </c>
      <c r="BZ278" s="47">
        <f t="shared" si="945"/>
        <v>-1000</v>
      </c>
      <c r="CA278" s="47">
        <f t="shared" si="945"/>
        <v>-1000</v>
      </c>
      <c r="CB278" s="47">
        <f t="shared" si="15"/>
        <v>-9000</v>
      </c>
      <c r="CC278" s="47">
        <f t="shared" ref="CC278:CQ278" si="946">BC278-$BU278</f>
        <v>-1000</v>
      </c>
      <c r="CD278" s="47">
        <f t="shared" si="946"/>
        <v>-1000</v>
      </c>
      <c r="CE278" s="47">
        <f t="shared" si="946"/>
        <v>-1000</v>
      </c>
      <c r="CF278" s="47">
        <f t="shared" si="946"/>
        <v>-1000</v>
      </c>
      <c r="CG278" s="47">
        <f t="shared" si="946"/>
        <v>-1000</v>
      </c>
      <c r="CH278" s="47">
        <f t="shared" si="946"/>
        <v>-1000</v>
      </c>
      <c r="CI278" s="47">
        <f t="shared" si="946"/>
        <v>-1000</v>
      </c>
      <c r="CJ278" s="47">
        <f t="shared" si="946"/>
        <v>-1000</v>
      </c>
      <c r="CK278" s="47">
        <f t="shared" si="946"/>
        <v>-1000</v>
      </c>
      <c r="CL278" s="47">
        <f t="shared" si="946"/>
        <v>-1000</v>
      </c>
      <c r="CM278" s="47">
        <f t="shared" si="946"/>
        <v>-1000</v>
      </c>
      <c r="CN278" s="47">
        <f t="shared" si="946"/>
        <v>-1000</v>
      </c>
      <c r="CO278" s="47">
        <f t="shared" si="946"/>
        <v>-1000</v>
      </c>
      <c r="CP278" s="47">
        <f t="shared" si="946"/>
        <v>-1000</v>
      </c>
      <c r="CQ278" s="47">
        <f t="shared" si="946"/>
        <v>-1000</v>
      </c>
      <c r="CR278" s="47"/>
      <c r="CS278" s="47"/>
      <c r="CT278" s="47"/>
      <c r="CU278" s="50" t="str">
        <f>IFERROR(__xludf.DUMMYFUNCTION("""COMPUTED_VALUE"""),"2408 Victory Park Ln
Dallas, TX 75219         ")</f>
        <v>2408 Victory Park Ln
Dallas, TX 75219         </v>
      </c>
      <c r="CV278" s="51">
        <f>IFERROR(__xludf.DUMMYFUNCTION("IF(REGEXMATCH(UPPER(CU278), ""TX""),0,1)"),0.0)</f>
        <v>0</v>
      </c>
      <c r="CW278" s="51">
        <f>IFERROR(__xludf.DUMMYFUNCTION("IF(REGEXMATCH(UPPER(CU278), ""DALLAS""),0,1)"),0.0)</f>
        <v>0</v>
      </c>
      <c r="CX278" s="51">
        <f t="shared" si="17"/>
        <v>0</v>
      </c>
      <c r="CY278" s="51">
        <f t="shared" si="18"/>
        <v>0</v>
      </c>
      <c r="CZ278" s="52" t="str">
        <f t="shared" si="19"/>
        <v/>
      </c>
      <c r="DA278" s="58"/>
      <c r="DB278" s="52"/>
      <c r="DC278" s="52"/>
      <c r="DD278" s="52"/>
      <c r="DE278" s="52"/>
      <c r="DF278" s="52"/>
      <c r="DG278" s="52"/>
      <c r="DH278" s="52"/>
      <c r="DI278" s="52"/>
      <c r="DJ278" s="52"/>
      <c r="DK278" s="52"/>
      <c r="DL278" s="52"/>
      <c r="DM278" s="52"/>
      <c r="DN278" s="52"/>
      <c r="DO278" s="52"/>
      <c r="DP278" s="52"/>
      <c r="DQ278" s="52"/>
      <c r="DR278" s="52"/>
      <c r="DS278" s="52"/>
      <c r="DT278" s="52"/>
      <c r="DU278" s="52"/>
      <c r="DV278" s="52"/>
      <c r="DW278" s="52"/>
    </row>
    <row r="279">
      <c r="A279" s="40" t="s">
        <v>55</v>
      </c>
      <c r="B279" s="41" t="s">
        <v>56</v>
      </c>
      <c r="C279" s="31" t="s">
        <v>776</v>
      </c>
      <c r="D279" s="25" t="str">
        <f>IFERROR(__xludf.DUMMYFUNCTION("SPLIT(C279,"" "")"),"Hunt,")</f>
        <v>Hunt,</v>
      </c>
      <c r="E279" s="40" t="str">
        <f>IFERROR(__xludf.DUMMYFUNCTION("""COMPUTED_VALUE"""),"Hunter
1900")</f>
        <v>Hunter
1900</v>
      </c>
      <c r="F279" s="40" t="str">
        <f>IFERROR(__xludf.DUMMYFUNCTION("""COMPUTED_VALUE"""),"N.")</f>
        <v>N.</v>
      </c>
      <c r="G279" s="40" t="str">
        <f>IFERROR(__xludf.DUMMYFUNCTION("""COMPUTED_VALUE"""),"Akard")</f>
        <v>Akard</v>
      </c>
      <c r="H279" s="40" t="str">
        <f>IFERROR(__xludf.DUMMYFUNCTION("""COMPUTED_VALUE"""),"St
Dallas,")</f>
        <v>St
Dallas,</v>
      </c>
      <c r="I279" s="40" t="str">
        <f>IFERROR(__xludf.DUMMYFUNCTION("""COMPUTED_VALUE"""),"TX")</f>
        <v>TX</v>
      </c>
      <c r="J279" s="40">
        <f>IFERROR(__xludf.DUMMYFUNCTION("""COMPUTED_VALUE"""),75201.0)</f>
        <v>75201</v>
      </c>
      <c r="K279" s="40"/>
      <c r="L279" s="40"/>
      <c r="M279" s="40"/>
      <c r="N279" s="40"/>
      <c r="O279" s="40"/>
      <c r="P279" s="40"/>
      <c r="Q279" s="40"/>
      <c r="R279" s="40"/>
      <c r="S279" s="40"/>
      <c r="T279" s="40"/>
      <c r="U279" s="24" t="str">
        <f>IFERROR(__xludf.DUMMYFUNCTION("SPLIT(E279,""01234567890"")"),"Hunter
")</f>
        <v>Hunter
</v>
      </c>
      <c r="V279" s="24" t="str">
        <f>IFERROR(__xludf.DUMMYFUNCTION("SPLIT(D279,"","")"),"Hunt")</f>
        <v>Hunt</v>
      </c>
      <c r="W279" s="25" t="str">
        <f t="shared" si="1"/>
        <v>HUNTER
 HUNT</v>
      </c>
      <c r="X279" s="25" t="s">
        <v>777</v>
      </c>
      <c r="Y279" s="25">
        <v>75201.0</v>
      </c>
      <c r="Z279" s="25" t="str">
        <f>IFERROR(__xludf.DUMMYFUNCTION("SPLIT(C279,""
"")"),"Hunt, Hunter")</f>
        <v>Hunt, Hunter</v>
      </c>
      <c r="AA279" s="25" t="str">
        <f>IFERROR(__xludf.DUMMYFUNCTION("""COMPUTED_VALUE"""),"1900 N. Akard St")</f>
        <v>1900 N. Akard St</v>
      </c>
      <c r="AB279" s="25" t="str">
        <f>IFERROR(__xludf.DUMMYFUNCTION("""COMPUTED_VALUE"""),"Dallas, TX 75201")</f>
        <v>Dallas, TX 75201</v>
      </c>
      <c r="AC279" s="24" t="s">
        <v>778</v>
      </c>
      <c r="AD279" s="25"/>
      <c r="AE279" s="25"/>
      <c r="AF279" s="25"/>
      <c r="AG279" s="40" t="s">
        <v>60</v>
      </c>
      <c r="AH279" s="42">
        <v>2437.0</v>
      </c>
      <c r="AI279" s="40" t="s">
        <v>61</v>
      </c>
      <c r="AJ279" s="27">
        <v>2500.0</v>
      </c>
      <c r="AK279" s="31" t="s">
        <v>25</v>
      </c>
      <c r="AL279" s="43">
        <v>44714.0</v>
      </c>
      <c r="AM279" s="44">
        <v>44754.83237268519</v>
      </c>
      <c r="AN279" s="30">
        <v>2.0</v>
      </c>
      <c r="AO279" s="40"/>
      <c r="AP279" s="40"/>
      <c r="AQ279" s="40"/>
      <c r="AR279" s="40"/>
      <c r="AS279" s="40"/>
      <c r="AT279" s="47"/>
      <c r="AU279" s="40"/>
      <c r="AV279" s="46" t="str">
        <f>IFERROR(__xludf.DUMMYFUNCTION("""COMPUTED_VALUE"""),"Poss")</f>
        <v>Poss</v>
      </c>
      <c r="AW279" s="46">
        <f t="shared" si="7"/>
        <v>1000</v>
      </c>
      <c r="AX279" s="47">
        <f t="shared" ref="AX279:BQ279" si="947">SUMIFS($AJ:$AJ,$V:$V,$AV279,$AK:$AK,AX$2)</f>
        <v>0</v>
      </c>
      <c r="AY279" s="48">
        <f t="shared" si="947"/>
        <v>0</v>
      </c>
      <c r="AZ279" s="48">
        <f t="shared" si="947"/>
        <v>0</v>
      </c>
      <c r="BA279" s="48">
        <f t="shared" si="947"/>
        <v>0</v>
      </c>
      <c r="BB279" s="48">
        <f t="shared" si="947"/>
        <v>1000</v>
      </c>
      <c r="BC279" s="48">
        <f t="shared" si="947"/>
        <v>0</v>
      </c>
      <c r="BD279" s="48">
        <f t="shared" si="947"/>
        <v>0</v>
      </c>
      <c r="BE279" s="48">
        <f t="shared" si="947"/>
        <v>0</v>
      </c>
      <c r="BF279" s="48">
        <f t="shared" si="947"/>
        <v>0</v>
      </c>
      <c r="BG279" s="48">
        <f t="shared" si="947"/>
        <v>0</v>
      </c>
      <c r="BH279" s="48">
        <f t="shared" si="947"/>
        <v>0</v>
      </c>
      <c r="BI279" s="48">
        <f t="shared" si="947"/>
        <v>0</v>
      </c>
      <c r="BJ279" s="48">
        <f t="shared" si="947"/>
        <v>0</v>
      </c>
      <c r="BK279" s="48">
        <f t="shared" si="947"/>
        <v>0</v>
      </c>
      <c r="BL279" s="48">
        <f t="shared" si="947"/>
        <v>0</v>
      </c>
      <c r="BM279" s="48">
        <f t="shared" si="947"/>
        <v>0</v>
      </c>
      <c r="BN279" s="48">
        <f t="shared" si="947"/>
        <v>0</v>
      </c>
      <c r="BO279" s="48">
        <f t="shared" si="947"/>
        <v>0</v>
      </c>
      <c r="BP279" s="48">
        <f t="shared" si="947"/>
        <v>0</v>
      </c>
      <c r="BQ279" s="48">
        <f t="shared" si="947"/>
        <v>0</v>
      </c>
      <c r="BR279" s="36">
        <f t="shared" si="9"/>
        <v>0</v>
      </c>
      <c r="BS279" s="38">
        <f t="shared" si="10"/>
        <v>1</v>
      </c>
      <c r="BT279" s="49">
        <f t="shared" si="11"/>
        <v>0</v>
      </c>
      <c r="BU279" s="38">
        <f t="shared" si="12"/>
        <v>1000</v>
      </c>
      <c r="BV279" s="46" t="str">
        <f>IFERROR(__xludf.DUMMYFUNCTION("""COMPUTED_VALUE"""),"Poss")</f>
        <v>Poss</v>
      </c>
      <c r="BW279" s="46">
        <f t="shared" si="13"/>
        <v>1000</v>
      </c>
      <c r="BX279" s="47">
        <f t="shared" ref="BX279:CA279" si="948">AX279-$BU279</f>
        <v>-1000</v>
      </c>
      <c r="BY279" s="47">
        <f t="shared" si="948"/>
        <v>-1000</v>
      </c>
      <c r="BZ279" s="47">
        <f t="shared" si="948"/>
        <v>-1000</v>
      </c>
      <c r="CA279" s="47">
        <f t="shared" si="948"/>
        <v>-1000</v>
      </c>
      <c r="CB279" s="47">
        <f t="shared" si="15"/>
        <v>-9000</v>
      </c>
      <c r="CC279" s="47">
        <f t="shared" ref="CC279:CQ279" si="949">BC279-$BU279</f>
        <v>-1000</v>
      </c>
      <c r="CD279" s="47">
        <f t="shared" si="949"/>
        <v>-1000</v>
      </c>
      <c r="CE279" s="47">
        <f t="shared" si="949"/>
        <v>-1000</v>
      </c>
      <c r="CF279" s="47">
        <f t="shared" si="949"/>
        <v>-1000</v>
      </c>
      <c r="CG279" s="47">
        <f t="shared" si="949"/>
        <v>-1000</v>
      </c>
      <c r="CH279" s="47">
        <f t="shared" si="949"/>
        <v>-1000</v>
      </c>
      <c r="CI279" s="47">
        <f t="shared" si="949"/>
        <v>-1000</v>
      </c>
      <c r="CJ279" s="47">
        <f t="shared" si="949"/>
        <v>-1000</v>
      </c>
      <c r="CK279" s="47">
        <f t="shared" si="949"/>
        <v>-1000</v>
      </c>
      <c r="CL279" s="47">
        <f t="shared" si="949"/>
        <v>-1000</v>
      </c>
      <c r="CM279" s="47">
        <f t="shared" si="949"/>
        <v>-1000</v>
      </c>
      <c r="CN279" s="47">
        <f t="shared" si="949"/>
        <v>-1000</v>
      </c>
      <c r="CO279" s="47">
        <f t="shared" si="949"/>
        <v>-1000</v>
      </c>
      <c r="CP279" s="47">
        <f t="shared" si="949"/>
        <v>-1000</v>
      </c>
      <c r="CQ279" s="47">
        <f t="shared" si="949"/>
        <v>-1000</v>
      </c>
      <c r="CR279" s="47"/>
      <c r="CS279" s="47"/>
      <c r="CT279" s="47"/>
      <c r="CU279" s="50" t="str">
        <f>IFERROR(__xludf.DUMMYFUNCTION("""COMPUTED_VALUE"""),"4001 Ross Ave
Dallas, TX 75204          ")</f>
        <v>4001 Ross Ave
Dallas, TX 75204          </v>
      </c>
      <c r="CV279" s="51">
        <f>IFERROR(__xludf.DUMMYFUNCTION("IF(REGEXMATCH(UPPER(CU279), ""TX""),0,1)"),0.0)</f>
        <v>0</v>
      </c>
      <c r="CW279" s="51">
        <f>IFERROR(__xludf.DUMMYFUNCTION("IF(REGEXMATCH(UPPER(CU279), ""DALLAS""),0,1)"),0.0)</f>
        <v>0</v>
      </c>
      <c r="CX279" s="51">
        <f t="shared" si="17"/>
        <v>0</v>
      </c>
      <c r="CY279" s="51">
        <f t="shared" si="18"/>
        <v>0</v>
      </c>
      <c r="CZ279" s="52" t="str">
        <f t="shared" si="19"/>
        <v/>
      </c>
      <c r="DA279" s="58"/>
      <c r="DB279" s="52"/>
      <c r="DC279" s="52"/>
      <c r="DD279" s="52"/>
      <c r="DE279" s="52"/>
      <c r="DF279" s="52"/>
      <c r="DG279" s="52"/>
      <c r="DH279" s="52"/>
      <c r="DI279" s="52"/>
      <c r="DJ279" s="52"/>
      <c r="DK279" s="52"/>
      <c r="DL279" s="52"/>
      <c r="DM279" s="52"/>
      <c r="DN279" s="52"/>
      <c r="DO279" s="52"/>
      <c r="DP279" s="52"/>
      <c r="DQ279" s="52"/>
      <c r="DR279" s="52"/>
      <c r="DS279" s="52"/>
      <c r="DT279" s="52"/>
      <c r="DU279" s="52"/>
      <c r="DV279" s="52"/>
      <c r="DW279" s="52"/>
    </row>
    <row r="280">
      <c r="A280" s="23" t="s">
        <v>64</v>
      </c>
      <c r="B280" s="23" t="s">
        <v>56</v>
      </c>
      <c r="C280" s="31" t="s">
        <v>779</v>
      </c>
      <c r="D280" s="25" t="str">
        <f>IFERROR(__xludf.DUMMYFUNCTION("SPLIT(C280,"" "")"),"Hutchison,")</f>
        <v>Hutchison,</v>
      </c>
      <c r="E280" s="22" t="str">
        <f>IFERROR(__xludf.DUMMYFUNCTION("""COMPUTED_VALUE"""),"Kay
25")</f>
        <v>Kay
25</v>
      </c>
      <c r="F280" s="22" t="str">
        <f>IFERROR(__xludf.DUMMYFUNCTION("""COMPUTED_VALUE"""),"Downs")</f>
        <v>Downs</v>
      </c>
      <c r="G280" s="22" t="str">
        <f>IFERROR(__xludf.DUMMYFUNCTION("""COMPUTED_VALUE"""),"Lake")</f>
        <v>Lake</v>
      </c>
      <c r="H280" s="22" t="str">
        <f>IFERROR(__xludf.DUMMYFUNCTION("""COMPUTED_VALUE"""),"Circle
Dallas,")</f>
        <v>Circle
Dallas,</v>
      </c>
      <c r="I280" s="22" t="str">
        <f>IFERROR(__xludf.DUMMYFUNCTION("""COMPUTED_VALUE"""),"TX")</f>
        <v>TX</v>
      </c>
      <c r="J280" s="22">
        <f>IFERROR(__xludf.DUMMYFUNCTION("""COMPUTED_VALUE"""),75230.0)</f>
        <v>75230</v>
      </c>
      <c r="K280" s="22"/>
      <c r="L280" s="22"/>
      <c r="M280" s="22"/>
      <c r="N280" s="22"/>
      <c r="O280" s="22"/>
      <c r="P280" s="22"/>
      <c r="Q280" s="22"/>
      <c r="R280" s="22"/>
      <c r="S280" s="22"/>
      <c r="T280" s="22"/>
      <c r="U280" s="24" t="str">
        <f>IFERROR(__xludf.DUMMYFUNCTION("SPLIT(E280,""01234567890"")"),"Kay
")</f>
        <v>Kay
</v>
      </c>
      <c r="V280" s="24" t="str">
        <f>IFERROR(__xludf.DUMMYFUNCTION("SPLIT(D280,"","")"),"Hutchison")</f>
        <v>Hutchison</v>
      </c>
      <c r="W280" s="25" t="str">
        <f t="shared" si="1"/>
        <v>KAY
 HUTCHISON</v>
      </c>
      <c r="X280" s="25" t="s">
        <v>780</v>
      </c>
      <c r="Y280" s="25">
        <v>75230.0</v>
      </c>
      <c r="Z280" s="25" t="str">
        <f>IFERROR(__xludf.DUMMYFUNCTION("SPLIT(C280,""
"")"),"Hutchison, Kay")</f>
        <v>Hutchison, Kay</v>
      </c>
      <c r="AA280" s="25" t="str">
        <f>IFERROR(__xludf.DUMMYFUNCTION("""COMPUTED_VALUE"""),"25 Downs Lake Circle")</f>
        <v>25 Downs Lake Circle</v>
      </c>
      <c r="AB280" s="25" t="str">
        <f>IFERROR(__xludf.DUMMYFUNCTION("""COMPUTED_VALUE"""),"Dallas, TX 75230")</f>
        <v>Dallas, TX 75230</v>
      </c>
      <c r="AC280" s="24" t="s">
        <v>781</v>
      </c>
      <c r="AD280" s="25"/>
      <c r="AE280" s="25"/>
      <c r="AF280" s="25"/>
      <c r="AG280" s="22" t="s">
        <v>60</v>
      </c>
      <c r="AH280" s="54">
        <v>2437.0</v>
      </c>
      <c r="AI280" s="22" t="s">
        <v>61</v>
      </c>
      <c r="AJ280" s="27">
        <v>250.0</v>
      </c>
      <c r="AK280" s="31" t="s">
        <v>25</v>
      </c>
      <c r="AL280" s="28">
        <v>44726.0</v>
      </c>
      <c r="AM280" s="29">
        <v>44754.83237268519</v>
      </c>
      <c r="AN280" s="30">
        <v>2.0</v>
      </c>
      <c r="AO280" s="22"/>
      <c r="AP280" s="22"/>
      <c r="AQ280" s="22"/>
      <c r="AR280" s="22"/>
      <c r="AS280" s="22"/>
      <c r="AT280" s="70"/>
      <c r="AU280" s="22"/>
      <c r="AV280" s="57" t="str">
        <f>IFERROR(__xludf.DUMMYFUNCTION("""COMPUTED_VALUE"""),"Lawry")</f>
        <v>Lawry</v>
      </c>
      <c r="AW280" s="46">
        <f t="shared" si="7"/>
        <v>500</v>
      </c>
      <c r="AX280" s="47">
        <f t="shared" ref="AX280:BQ280" si="950">SUMIFS($AJ:$AJ,$V:$V,$AV280,$AK:$AK,AX$2)</f>
        <v>0</v>
      </c>
      <c r="AY280" s="48">
        <f t="shared" si="950"/>
        <v>0</v>
      </c>
      <c r="AZ280" s="48">
        <f t="shared" si="950"/>
        <v>0</v>
      </c>
      <c r="BA280" s="48">
        <f t="shared" si="950"/>
        <v>0</v>
      </c>
      <c r="BB280" s="48">
        <f t="shared" si="950"/>
        <v>500</v>
      </c>
      <c r="BC280" s="48">
        <f t="shared" si="950"/>
        <v>0</v>
      </c>
      <c r="BD280" s="48">
        <f t="shared" si="950"/>
        <v>0</v>
      </c>
      <c r="BE280" s="48">
        <f t="shared" si="950"/>
        <v>0</v>
      </c>
      <c r="BF280" s="48">
        <f t="shared" si="950"/>
        <v>0</v>
      </c>
      <c r="BG280" s="48">
        <f t="shared" si="950"/>
        <v>0</v>
      </c>
      <c r="BH280" s="48">
        <f t="shared" si="950"/>
        <v>0</v>
      </c>
      <c r="BI280" s="48">
        <f t="shared" si="950"/>
        <v>0</v>
      </c>
      <c r="BJ280" s="48">
        <f t="shared" si="950"/>
        <v>0</v>
      </c>
      <c r="BK280" s="48">
        <f t="shared" si="950"/>
        <v>0</v>
      </c>
      <c r="BL280" s="48">
        <f t="shared" si="950"/>
        <v>0</v>
      </c>
      <c r="BM280" s="48">
        <f t="shared" si="950"/>
        <v>0</v>
      </c>
      <c r="BN280" s="48">
        <f t="shared" si="950"/>
        <v>0</v>
      </c>
      <c r="BO280" s="48">
        <f t="shared" si="950"/>
        <v>0</v>
      </c>
      <c r="BP280" s="48">
        <f t="shared" si="950"/>
        <v>0</v>
      </c>
      <c r="BQ280" s="48">
        <f t="shared" si="950"/>
        <v>0</v>
      </c>
      <c r="BR280" s="36">
        <f t="shared" si="9"/>
        <v>0</v>
      </c>
      <c r="BS280" s="38">
        <f t="shared" si="10"/>
        <v>1</v>
      </c>
      <c r="BT280" s="49">
        <f t="shared" si="11"/>
        <v>0</v>
      </c>
      <c r="BU280" s="38">
        <f t="shared" si="12"/>
        <v>1000</v>
      </c>
      <c r="BV280" s="57" t="str">
        <f>IFERROR(__xludf.DUMMYFUNCTION("""COMPUTED_VALUE"""),"Lawry")</f>
        <v>Lawry</v>
      </c>
      <c r="BW280" s="46">
        <f t="shared" si="13"/>
        <v>500</v>
      </c>
      <c r="BX280" s="47">
        <f t="shared" ref="BX280:CA280" si="951">AX280-$BU280</f>
        <v>-1000</v>
      </c>
      <c r="BY280" s="47">
        <f t="shared" si="951"/>
        <v>-1000</v>
      </c>
      <c r="BZ280" s="47">
        <f t="shared" si="951"/>
        <v>-1000</v>
      </c>
      <c r="CA280" s="47">
        <f t="shared" si="951"/>
        <v>-1000</v>
      </c>
      <c r="CB280" s="47">
        <f t="shared" si="15"/>
        <v>-9500</v>
      </c>
      <c r="CC280" s="47">
        <f t="shared" ref="CC280:CQ280" si="952">BC280-$BU280</f>
        <v>-1000</v>
      </c>
      <c r="CD280" s="47">
        <f t="shared" si="952"/>
        <v>-1000</v>
      </c>
      <c r="CE280" s="47">
        <f t="shared" si="952"/>
        <v>-1000</v>
      </c>
      <c r="CF280" s="47">
        <f t="shared" si="952"/>
        <v>-1000</v>
      </c>
      <c r="CG280" s="47">
        <f t="shared" si="952"/>
        <v>-1000</v>
      </c>
      <c r="CH280" s="47">
        <f t="shared" si="952"/>
        <v>-1000</v>
      </c>
      <c r="CI280" s="47">
        <f t="shared" si="952"/>
        <v>-1000</v>
      </c>
      <c r="CJ280" s="47">
        <f t="shared" si="952"/>
        <v>-1000</v>
      </c>
      <c r="CK280" s="47">
        <f t="shared" si="952"/>
        <v>-1000</v>
      </c>
      <c r="CL280" s="47">
        <f t="shared" si="952"/>
        <v>-1000</v>
      </c>
      <c r="CM280" s="47">
        <f t="shared" si="952"/>
        <v>-1000</v>
      </c>
      <c r="CN280" s="47">
        <f t="shared" si="952"/>
        <v>-1000</v>
      </c>
      <c r="CO280" s="47">
        <f t="shared" si="952"/>
        <v>-1000</v>
      </c>
      <c r="CP280" s="47">
        <f t="shared" si="952"/>
        <v>-1000</v>
      </c>
      <c r="CQ280" s="47">
        <f t="shared" si="952"/>
        <v>-1000</v>
      </c>
      <c r="CR280" s="47"/>
      <c r="CS280" s="47"/>
      <c r="CT280" s="47"/>
      <c r="CU280" s="50" t="str">
        <f>IFERROR(__xludf.DUMMYFUNCTION("""COMPUTED_VALUE"""),"9254 Forest Lane
Dallas, TX 75243          ")</f>
        <v>9254 Forest Lane
Dallas, TX 75243          </v>
      </c>
      <c r="CV280" s="51">
        <f>IFERROR(__xludf.DUMMYFUNCTION("IF(REGEXMATCH(UPPER(CU280), ""TX""),0,1)"),0.0)</f>
        <v>0</v>
      </c>
      <c r="CW280" s="51">
        <f>IFERROR(__xludf.DUMMYFUNCTION("IF(REGEXMATCH(UPPER(CU280), ""DALLAS""),0,1)"),0.0)</f>
        <v>0</v>
      </c>
      <c r="CX280" s="51">
        <f t="shared" si="17"/>
        <v>0</v>
      </c>
      <c r="CY280" s="51">
        <f t="shared" si="18"/>
        <v>0</v>
      </c>
      <c r="CZ280" s="52" t="str">
        <f t="shared" si="19"/>
        <v/>
      </c>
      <c r="DA280" s="58"/>
      <c r="DB280" s="52"/>
      <c r="DC280" s="52"/>
      <c r="DD280" s="52"/>
      <c r="DE280" s="52"/>
      <c r="DF280" s="52"/>
      <c r="DG280" s="52"/>
      <c r="DH280" s="52"/>
      <c r="DI280" s="52"/>
      <c r="DJ280" s="52"/>
      <c r="DK280" s="52"/>
      <c r="DL280" s="52"/>
      <c r="DM280" s="52"/>
      <c r="DN280" s="52"/>
      <c r="DO280" s="52"/>
      <c r="DP280" s="52"/>
      <c r="DQ280" s="52"/>
      <c r="DR280" s="52"/>
      <c r="DS280" s="52"/>
      <c r="DT280" s="52"/>
      <c r="DU280" s="52"/>
      <c r="DV280" s="52"/>
      <c r="DW280" s="52"/>
    </row>
    <row r="281">
      <c r="A281" s="40" t="s">
        <v>55</v>
      </c>
      <c r="B281" s="41" t="s">
        <v>56</v>
      </c>
      <c r="C281" s="31" t="s">
        <v>782</v>
      </c>
      <c r="D281" s="25" t="str">
        <f>IFERROR(__xludf.DUMMYFUNCTION("SPLIT(C281,"" "")"),"Jones,")</f>
        <v>Jones,</v>
      </c>
      <c r="E281" s="40" t="str">
        <f>IFERROR(__xludf.DUMMYFUNCTION("""COMPUTED_VALUE"""),"Stuart
5522")</f>
        <v>Stuart
5522</v>
      </c>
      <c r="F281" s="40" t="str">
        <f>IFERROR(__xludf.DUMMYFUNCTION("""COMPUTED_VALUE"""),"Waneta")</f>
        <v>Waneta</v>
      </c>
      <c r="G281" s="40" t="str">
        <f>IFERROR(__xludf.DUMMYFUNCTION("""COMPUTED_VALUE"""),"Drive
Dallas,")</f>
        <v>Drive
Dallas,</v>
      </c>
      <c r="H281" s="40" t="str">
        <f>IFERROR(__xludf.DUMMYFUNCTION("""COMPUTED_VALUE"""),"TX")</f>
        <v>TX</v>
      </c>
      <c r="I281" s="40">
        <f>IFERROR(__xludf.DUMMYFUNCTION("""COMPUTED_VALUE"""),75209.0)</f>
        <v>75209</v>
      </c>
      <c r="J281" s="40"/>
      <c r="K281" s="40"/>
      <c r="L281" s="40"/>
      <c r="M281" s="40"/>
      <c r="N281" s="40"/>
      <c r="O281" s="40"/>
      <c r="P281" s="40"/>
      <c r="Q281" s="40"/>
      <c r="R281" s="40"/>
      <c r="S281" s="40"/>
      <c r="T281" s="40"/>
      <c r="U281" s="24" t="str">
        <f>IFERROR(__xludf.DUMMYFUNCTION("SPLIT(E281,""01234567890"")"),"Stuart
")</f>
        <v>Stuart
</v>
      </c>
      <c r="V281" s="24" t="str">
        <f>IFERROR(__xludf.DUMMYFUNCTION("SPLIT(D281,"","")"),"Jones")</f>
        <v>Jones</v>
      </c>
      <c r="W281" s="25" t="str">
        <f t="shared" si="1"/>
        <v>STUART
 JONES</v>
      </c>
      <c r="X281" s="25" t="s">
        <v>783</v>
      </c>
      <c r="Y281" s="25">
        <v>75209.0</v>
      </c>
      <c r="Z281" s="25" t="str">
        <f>IFERROR(__xludf.DUMMYFUNCTION("SPLIT(C281,""
"")"),"Jones, Stuart")</f>
        <v>Jones, Stuart</v>
      </c>
      <c r="AA281" s="25" t="str">
        <f>IFERROR(__xludf.DUMMYFUNCTION("""COMPUTED_VALUE"""),"5522 Waneta Drive")</f>
        <v>5522 Waneta Drive</v>
      </c>
      <c r="AB281" s="25" t="str">
        <f>IFERROR(__xludf.DUMMYFUNCTION("""COMPUTED_VALUE"""),"Dallas, TX 75209")</f>
        <v>Dallas, TX 75209</v>
      </c>
      <c r="AC281" s="24" t="s">
        <v>784</v>
      </c>
      <c r="AD281" s="25"/>
      <c r="AE281" s="25"/>
      <c r="AF281" s="25"/>
      <c r="AG281" s="40" t="s">
        <v>60</v>
      </c>
      <c r="AH281" s="42">
        <v>2437.0</v>
      </c>
      <c r="AI281" s="40" t="s">
        <v>61</v>
      </c>
      <c r="AJ281" s="27">
        <v>250.0</v>
      </c>
      <c r="AK281" s="31" t="s">
        <v>25</v>
      </c>
      <c r="AL281" s="43">
        <v>44726.0</v>
      </c>
      <c r="AM281" s="44">
        <v>44754.83237268519</v>
      </c>
      <c r="AN281" s="30">
        <v>2.0</v>
      </c>
      <c r="AO281" s="40"/>
      <c r="AP281" s="40"/>
      <c r="AQ281" s="40"/>
      <c r="AR281" s="40"/>
      <c r="AS281" s="40"/>
      <c r="AT281" s="47"/>
      <c r="AU281" s="40"/>
      <c r="AV281" s="46" t="str">
        <f>IFERROR(__xludf.DUMMYFUNCTION("""COMPUTED_VALUE"""),"Lanier")</f>
        <v>Lanier</v>
      </c>
      <c r="AW281" s="46">
        <f t="shared" si="7"/>
        <v>500</v>
      </c>
      <c r="AX281" s="47">
        <f t="shared" ref="AX281:BQ281" si="953">SUMIFS($AJ:$AJ,$V:$V,$AV281,$AK:$AK,AX$2)</f>
        <v>0</v>
      </c>
      <c r="AY281" s="48">
        <f t="shared" si="953"/>
        <v>0</v>
      </c>
      <c r="AZ281" s="48">
        <f t="shared" si="953"/>
        <v>0</v>
      </c>
      <c r="BA281" s="48">
        <f t="shared" si="953"/>
        <v>0</v>
      </c>
      <c r="BB281" s="48">
        <f t="shared" si="953"/>
        <v>500</v>
      </c>
      <c r="BC281" s="48">
        <f t="shared" si="953"/>
        <v>0</v>
      </c>
      <c r="BD281" s="48">
        <f t="shared" si="953"/>
        <v>0</v>
      </c>
      <c r="BE281" s="48">
        <f t="shared" si="953"/>
        <v>0</v>
      </c>
      <c r="BF281" s="48">
        <f t="shared" si="953"/>
        <v>0</v>
      </c>
      <c r="BG281" s="48">
        <f t="shared" si="953"/>
        <v>0</v>
      </c>
      <c r="BH281" s="48">
        <f t="shared" si="953"/>
        <v>0</v>
      </c>
      <c r="BI281" s="48">
        <f t="shared" si="953"/>
        <v>0</v>
      </c>
      <c r="BJ281" s="48">
        <f t="shared" si="953"/>
        <v>0</v>
      </c>
      <c r="BK281" s="48">
        <f t="shared" si="953"/>
        <v>0</v>
      </c>
      <c r="BL281" s="48">
        <f t="shared" si="953"/>
        <v>0</v>
      </c>
      <c r="BM281" s="48">
        <f t="shared" si="953"/>
        <v>0</v>
      </c>
      <c r="BN281" s="48">
        <f t="shared" si="953"/>
        <v>0</v>
      </c>
      <c r="BO281" s="48">
        <f t="shared" si="953"/>
        <v>0</v>
      </c>
      <c r="BP281" s="48">
        <f t="shared" si="953"/>
        <v>0</v>
      </c>
      <c r="BQ281" s="48">
        <f t="shared" si="953"/>
        <v>0</v>
      </c>
      <c r="BR281" s="36">
        <f t="shared" si="9"/>
        <v>0</v>
      </c>
      <c r="BS281" s="38">
        <f t="shared" si="10"/>
        <v>1</v>
      </c>
      <c r="BT281" s="49">
        <f t="shared" si="11"/>
        <v>0</v>
      </c>
      <c r="BU281" s="38">
        <f t="shared" si="12"/>
        <v>1000</v>
      </c>
      <c r="BV281" s="46" t="str">
        <f>IFERROR(__xludf.DUMMYFUNCTION("""COMPUTED_VALUE"""),"Lanier")</f>
        <v>Lanier</v>
      </c>
      <c r="BW281" s="46">
        <f t="shared" si="13"/>
        <v>500</v>
      </c>
      <c r="BX281" s="47">
        <f t="shared" ref="BX281:CA281" si="954">AX281-$BU281</f>
        <v>-1000</v>
      </c>
      <c r="BY281" s="47">
        <f t="shared" si="954"/>
        <v>-1000</v>
      </c>
      <c r="BZ281" s="47">
        <f t="shared" si="954"/>
        <v>-1000</v>
      </c>
      <c r="CA281" s="47">
        <f t="shared" si="954"/>
        <v>-1000</v>
      </c>
      <c r="CB281" s="47">
        <f t="shared" si="15"/>
        <v>-9500</v>
      </c>
      <c r="CC281" s="47">
        <f t="shared" ref="CC281:CQ281" si="955">BC281-$BU281</f>
        <v>-1000</v>
      </c>
      <c r="CD281" s="47">
        <f t="shared" si="955"/>
        <v>-1000</v>
      </c>
      <c r="CE281" s="47">
        <f t="shared" si="955"/>
        <v>-1000</v>
      </c>
      <c r="CF281" s="47">
        <f t="shared" si="955"/>
        <v>-1000</v>
      </c>
      <c r="CG281" s="47">
        <f t="shared" si="955"/>
        <v>-1000</v>
      </c>
      <c r="CH281" s="47">
        <f t="shared" si="955"/>
        <v>-1000</v>
      </c>
      <c r="CI281" s="47">
        <f t="shared" si="955"/>
        <v>-1000</v>
      </c>
      <c r="CJ281" s="47">
        <f t="shared" si="955"/>
        <v>-1000</v>
      </c>
      <c r="CK281" s="47">
        <f t="shared" si="955"/>
        <v>-1000</v>
      </c>
      <c r="CL281" s="47">
        <f t="shared" si="955"/>
        <v>-1000</v>
      </c>
      <c r="CM281" s="47">
        <f t="shared" si="955"/>
        <v>-1000</v>
      </c>
      <c r="CN281" s="47">
        <f t="shared" si="955"/>
        <v>-1000</v>
      </c>
      <c r="CO281" s="47">
        <f t="shared" si="955"/>
        <v>-1000</v>
      </c>
      <c r="CP281" s="47">
        <f t="shared" si="955"/>
        <v>-1000</v>
      </c>
      <c r="CQ281" s="47">
        <f t="shared" si="955"/>
        <v>-1000</v>
      </c>
      <c r="CR281" s="47"/>
      <c r="CS281" s="47"/>
      <c r="CT281" s="47"/>
      <c r="CU281" s="50" t="str">
        <f>IFERROR(__xludf.DUMMYFUNCTION("""COMPUTED_VALUE"""),"4311 Valley Ridge Rd
Dallas, TX 75220         ")</f>
        <v>4311 Valley Ridge Rd
Dallas, TX 75220         </v>
      </c>
      <c r="CV281" s="51">
        <f>IFERROR(__xludf.DUMMYFUNCTION("IF(REGEXMATCH(UPPER(CU281), ""TX""),0,1)"),0.0)</f>
        <v>0</v>
      </c>
      <c r="CW281" s="51">
        <f>IFERROR(__xludf.DUMMYFUNCTION("IF(REGEXMATCH(UPPER(CU281), ""DALLAS""),0,1)"),0.0)</f>
        <v>0</v>
      </c>
      <c r="CX281" s="51">
        <f t="shared" si="17"/>
        <v>0</v>
      </c>
      <c r="CY281" s="51">
        <f t="shared" si="18"/>
        <v>0</v>
      </c>
      <c r="CZ281" s="52" t="str">
        <f t="shared" si="19"/>
        <v/>
      </c>
      <c r="DA281" s="58"/>
      <c r="DB281" s="52"/>
      <c r="DC281" s="52"/>
      <c r="DD281" s="52"/>
      <c r="DE281" s="52"/>
      <c r="DF281" s="52"/>
      <c r="DG281" s="52"/>
      <c r="DH281" s="52"/>
      <c r="DI281" s="52"/>
      <c r="DJ281" s="52"/>
      <c r="DK281" s="52"/>
      <c r="DL281" s="52"/>
      <c r="DM281" s="52"/>
      <c r="DN281" s="52"/>
      <c r="DO281" s="52"/>
      <c r="DP281" s="52"/>
      <c r="DQ281" s="52"/>
      <c r="DR281" s="52"/>
      <c r="DS281" s="52"/>
      <c r="DT281" s="52"/>
      <c r="DU281" s="52"/>
      <c r="DV281" s="52"/>
      <c r="DW281" s="52"/>
    </row>
    <row r="282">
      <c r="A282" s="23" t="s">
        <v>64</v>
      </c>
      <c r="B282" s="23" t="s">
        <v>56</v>
      </c>
      <c r="C282" s="31" t="s">
        <v>785</v>
      </c>
      <c r="D282" s="25" t="str">
        <f>IFERROR(__xludf.DUMMYFUNCTION("SPLIT(C282,"" "")"),"Kumar,")</f>
        <v>Kumar,</v>
      </c>
      <c r="E282" s="22" t="str">
        <f>IFERROR(__xludf.DUMMYFUNCTION("""COMPUTED_VALUE"""),"Pankaj
5333")</f>
        <v>Pankaj
5333</v>
      </c>
      <c r="F282" s="22" t="str">
        <f>IFERROR(__xludf.DUMMYFUNCTION("""COMPUTED_VALUE"""),"Deloache")</f>
        <v>Deloache</v>
      </c>
      <c r="G282" s="22" t="str">
        <f>IFERROR(__xludf.DUMMYFUNCTION("""COMPUTED_VALUE"""),"Ave
Dallas,")</f>
        <v>Ave
Dallas,</v>
      </c>
      <c r="H282" s="22" t="str">
        <f>IFERROR(__xludf.DUMMYFUNCTION("""COMPUTED_VALUE"""),"TX")</f>
        <v>TX</v>
      </c>
      <c r="I282" s="22">
        <f>IFERROR(__xludf.DUMMYFUNCTION("""COMPUTED_VALUE"""),75220.0)</f>
        <v>75220</v>
      </c>
      <c r="J282" s="22"/>
      <c r="K282" s="22"/>
      <c r="L282" s="22"/>
      <c r="M282" s="22"/>
      <c r="N282" s="22"/>
      <c r="O282" s="22"/>
      <c r="P282" s="22"/>
      <c r="Q282" s="22"/>
      <c r="R282" s="22"/>
      <c r="S282" s="22"/>
      <c r="T282" s="22"/>
      <c r="U282" s="24" t="str">
        <f>IFERROR(__xludf.DUMMYFUNCTION("SPLIT(E282,""01234567890"")"),"Pankaj
")</f>
        <v>Pankaj
</v>
      </c>
      <c r="V282" s="24" t="str">
        <f>IFERROR(__xludf.DUMMYFUNCTION("SPLIT(D282,"","")"),"Kumar")</f>
        <v>Kumar</v>
      </c>
      <c r="W282" s="25" t="str">
        <f t="shared" si="1"/>
        <v>PANKAJ
 KUMAR</v>
      </c>
      <c r="X282" s="25" t="s">
        <v>786</v>
      </c>
      <c r="Y282" s="25">
        <v>75220.0</v>
      </c>
      <c r="Z282" s="25" t="str">
        <f>IFERROR(__xludf.DUMMYFUNCTION("SPLIT(C282,""
"")"),"Kumar, Pankaj")</f>
        <v>Kumar, Pankaj</v>
      </c>
      <c r="AA282" s="25" t="str">
        <f>IFERROR(__xludf.DUMMYFUNCTION("""COMPUTED_VALUE"""),"5333 Deloache Ave")</f>
        <v>5333 Deloache Ave</v>
      </c>
      <c r="AB282" s="25" t="str">
        <f>IFERROR(__xludf.DUMMYFUNCTION("""COMPUTED_VALUE"""),"Dallas, TX 75220")</f>
        <v>Dallas, TX 75220</v>
      </c>
      <c r="AC282" s="24" t="s">
        <v>787</v>
      </c>
      <c r="AD282" s="25"/>
      <c r="AE282" s="25"/>
      <c r="AF282" s="25"/>
      <c r="AG282" s="22" t="s">
        <v>60</v>
      </c>
      <c r="AH282" s="54">
        <v>2437.0</v>
      </c>
      <c r="AI282" s="22" t="s">
        <v>61</v>
      </c>
      <c r="AJ282" s="27">
        <v>1000.0</v>
      </c>
      <c r="AK282" s="31" t="s">
        <v>25</v>
      </c>
      <c r="AL282" s="28">
        <v>44715.0</v>
      </c>
      <c r="AM282" s="29">
        <v>44754.83237268519</v>
      </c>
      <c r="AN282" s="30">
        <v>2.0</v>
      </c>
      <c r="AO282" s="22"/>
      <c r="AP282" s="22"/>
      <c r="AQ282" s="22"/>
      <c r="AR282" s="22"/>
      <c r="AS282" s="22"/>
      <c r="AT282" s="70"/>
      <c r="AU282" s="22"/>
      <c r="AV282" s="57" t="str">
        <f>IFERROR(__xludf.DUMMYFUNCTION("""COMPUTED_VALUE"""),"Bumpas")</f>
        <v>Bumpas</v>
      </c>
      <c r="AW282" s="46">
        <f t="shared" si="7"/>
        <v>500</v>
      </c>
      <c r="AX282" s="47">
        <f t="shared" ref="AX282:BQ282" si="956">SUMIFS($AJ:$AJ,$V:$V,$AV282,$AK:$AK,AX$2)</f>
        <v>0</v>
      </c>
      <c r="AY282" s="48">
        <f t="shared" si="956"/>
        <v>0</v>
      </c>
      <c r="AZ282" s="48">
        <f t="shared" si="956"/>
        <v>0</v>
      </c>
      <c r="BA282" s="48">
        <f t="shared" si="956"/>
        <v>0</v>
      </c>
      <c r="BB282" s="48">
        <f t="shared" si="956"/>
        <v>500</v>
      </c>
      <c r="BC282" s="48">
        <f t="shared" si="956"/>
        <v>0</v>
      </c>
      <c r="BD282" s="48">
        <f t="shared" si="956"/>
        <v>0</v>
      </c>
      <c r="BE282" s="48">
        <f t="shared" si="956"/>
        <v>0</v>
      </c>
      <c r="BF282" s="48">
        <f t="shared" si="956"/>
        <v>0</v>
      </c>
      <c r="BG282" s="48">
        <f t="shared" si="956"/>
        <v>0</v>
      </c>
      <c r="BH282" s="48">
        <f t="shared" si="956"/>
        <v>0</v>
      </c>
      <c r="BI282" s="48">
        <f t="shared" si="956"/>
        <v>0</v>
      </c>
      <c r="BJ282" s="48">
        <f t="shared" si="956"/>
        <v>0</v>
      </c>
      <c r="BK282" s="48">
        <f t="shared" si="956"/>
        <v>0</v>
      </c>
      <c r="BL282" s="48">
        <f t="shared" si="956"/>
        <v>0</v>
      </c>
      <c r="BM282" s="48">
        <f t="shared" si="956"/>
        <v>0</v>
      </c>
      <c r="BN282" s="48">
        <f t="shared" si="956"/>
        <v>0</v>
      </c>
      <c r="BO282" s="48">
        <f t="shared" si="956"/>
        <v>0</v>
      </c>
      <c r="BP282" s="48">
        <f t="shared" si="956"/>
        <v>0</v>
      </c>
      <c r="BQ282" s="48">
        <f t="shared" si="956"/>
        <v>0</v>
      </c>
      <c r="BR282" s="36">
        <f t="shared" si="9"/>
        <v>0</v>
      </c>
      <c r="BS282" s="38">
        <f t="shared" si="10"/>
        <v>1</v>
      </c>
      <c r="BT282" s="49">
        <f t="shared" si="11"/>
        <v>0</v>
      </c>
      <c r="BU282" s="38">
        <f t="shared" si="12"/>
        <v>1000</v>
      </c>
      <c r="BV282" s="57" t="str">
        <f>IFERROR(__xludf.DUMMYFUNCTION("""COMPUTED_VALUE"""),"Bumpas")</f>
        <v>Bumpas</v>
      </c>
      <c r="BW282" s="46">
        <f t="shared" si="13"/>
        <v>500</v>
      </c>
      <c r="BX282" s="47">
        <f t="shared" ref="BX282:CA282" si="957">AX282-$BU282</f>
        <v>-1000</v>
      </c>
      <c r="BY282" s="47">
        <f t="shared" si="957"/>
        <v>-1000</v>
      </c>
      <c r="BZ282" s="47">
        <f t="shared" si="957"/>
        <v>-1000</v>
      </c>
      <c r="CA282" s="47">
        <f t="shared" si="957"/>
        <v>-1000</v>
      </c>
      <c r="CB282" s="47">
        <f t="shared" si="15"/>
        <v>-9500</v>
      </c>
      <c r="CC282" s="47">
        <f t="shared" ref="CC282:CQ282" si="958">BC282-$BU282</f>
        <v>-1000</v>
      </c>
      <c r="CD282" s="47">
        <f t="shared" si="958"/>
        <v>-1000</v>
      </c>
      <c r="CE282" s="47">
        <f t="shared" si="958"/>
        <v>-1000</v>
      </c>
      <c r="CF282" s="47">
        <f t="shared" si="958"/>
        <v>-1000</v>
      </c>
      <c r="CG282" s="47">
        <f t="shared" si="958"/>
        <v>-1000</v>
      </c>
      <c r="CH282" s="47">
        <f t="shared" si="958"/>
        <v>-1000</v>
      </c>
      <c r="CI282" s="47">
        <f t="shared" si="958"/>
        <v>-1000</v>
      </c>
      <c r="CJ282" s="47">
        <f t="shared" si="958"/>
        <v>-1000</v>
      </c>
      <c r="CK282" s="47">
        <f t="shared" si="958"/>
        <v>-1000</v>
      </c>
      <c r="CL282" s="47">
        <f t="shared" si="958"/>
        <v>-1000</v>
      </c>
      <c r="CM282" s="47">
        <f t="shared" si="958"/>
        <v>-1000</v>
      </c>
      <c r="CN282" s="47">
        <f t="shared" si="958"/>
        <v>-1000</v>
      </c>
      <c r="CO282" s="47">
        <f t="shared" si="958"/>
        <v>-1000</v>
      </c>
      <c r="CP282" s="47">
        <f t="shared" si="958"/>
        <v>-1000</v>
      </c>
      <c r="CQ282" s="47">
        <f t="shared" si="958"/>
        <v>-1000</v>
      </c>
      <c r="CR282" s="47"/>
      <c r="CS282" s="47"/>
      <c r="CT282" s="47"/>
      <c r="CU282" s="50" t="str">
        <f>IFERROR(__xludf.DUMMYFUNCTION("""COMPUTED_VALUE"""),"608 Belhaven Dr
Allen, TX 75013          ")</f>
        <v>608 Belhaven Dr
Allen, TX 75013          </v>
      </c>
      <c r="CV282" s="51">
        <f>IFERROR(__xludf.DUMMYFUNCTION("IF(REGEXMATCH(UPPER(CU282), ""TX""),0,1)"),0.0)</f>
        <v>0</v>
      </c>
      <c r="CW282" s="51">
        <f>IFERROR(__xludf.DUMMYFUNCTION("IF(REGEXMATCH(UPPER(CU282), ""DALLAS""),0,1)"),1.0)</f>
        <v>1</v>
      </c>
      <c r="CX282" s="51">
        <f t="shared" si="17"/>
        <v>0</v>
      </c>
      <c r="CY282" s="51">
        <f t="shared" si="18"/>
        <v>2500</v>
      </c>
      <c r="CZ282" s="52" t="str">
        <f t="shared" si="19"/>
        <v>608 Belhaven Dr
Allen, TX 75013          </v>
      </c>
      <c r="DA282" s="58"/>
      <c r="DB282" s="52"/>
      <c r="DC282" s="52"/>
      <c r="DD282" s="52"/>
      <c r="DE282" s="52"/>
      <c r="DF282" s="52"/>
      <c r="DG282" s="52"/>
      <c r="DH282" s="52"/>
      <c r="DI282" s="52"/>
      <c r="DJ282" s="52"/>
      <c r="DK282" s="52"/>
      <c r="DL282" s="52"/>
      <c r="DM282" s="52"/>
      <c r="DN282" s="52"/>
      <c r="DO282" s="52"/>
      <c r="DP282" s="52"/>
      <c r="DQ282" s="52"/>
      <c r="DR282" s="52"/>
      <c r="DS282" s="52"/>
      <c r="DT282" s="52"/>
      <c r="DU282" s="52"/>
      <c r="DV282" s="52"/>
      <c r="DW282" s="52"/>
    </row>
    <row r="283">
      <c r="A283" s="40" t="s">
        <v>55</v>
      </c>
      <c r="B283" s="41" t="s">
        <v>56</v>
      </c>
      <c r="C283" s="31" t="s">
        <v>788</v>
      </c>
      <c r="D283" s="25" t="str">
        <f>IFERROR(__xludf.DUMMYFUNCTION("SPLIT(C283,"" "")"),"McCants,")</f>
        <v>McCants,</v>
      </c>
      <c r="E283" s="40" t="str">
        <f>IFERROR(__xludf.DUMMYFUNCTION("""COMPUTED_VALUE"""),"Rick
613")</f>
        <v>Rick
613</v>
      </c>
      <c r="F283" s="40" t="str">
        <f>IFERROR(__xludf.DUMMYFUNCTION("""COMPUTED_VALUE"""),"Birch")</f>
        <v>Birch</v>
      </c>
      <c r="G283" s="40" t="str">
        <f>IFERROR(__xludf.DUMMYFUNCTION("""COMPUTED_VALUE"""),"Lane
Richardson,")</f>
        <v>Lane
Richardson,</v>
      </c>
      <c r="H283" s="40" t="str">
        <f>IFERROR(__xludf.DUMMYFUNCTION("""COMPUTED_VALUE"""),"TX")</f>
        <v>TX</v>
      </c>
      <c r="I283" s="40">
        <f>IFERROR(__xludf.DUMMYFUNCTION("""COMPUTED_VALUE"""),75081.0)</f>
        <v>75081</v>
      </c>
      <c r="J283" s="40"/>
      <c r="K283" s="40"/>
      <c r="L283" s="40"/>
      <c r="M283" s="40"/>
      <c r="N283" s="40"/>
      <c r="O283" s="40"/>
      <c r="P283" s="40"/>
      <c r="Q283" s="40"/>
      <c r="R283" s="40"/>
      <c r="S283" s="40"/>
      <c r="T283" s="40"/>
      <c r="U283" s="24" t="str">
        <f>IFERROR(__xludf.DUMMYFUNCTION("SPLIT(E283,""01234567890"")"),"Rick
")</f>
        <v>Rick
</v>
      </c>
      <c r="V283" s="24" t="str">
        <f>IFERROR(__xludf.DUMMYFUNCTION("SPLIT(D283,"","")"),"McCants")</f>
        <v>McCants</v>
      </c>
      <c r="W283" s="25" t="str">
        <f t="shared" si="1"/>
        <v>RICK
 MCCANTS</v>
      </c>
      <c r="X283" s="25" t="s">
        <v>789</v>
      </c>
      <c r="Y283" s="25">
        <v>75081.0</v>
      </c>
      <c r="Z283" s="25" t="str">
        <f>IFERROR(__xludf.DUMMYFUNCTION("SPLIT(C283,""
"")"),"McCants, Rick")</f>
        <v>McCants, Rick</v>
      </c>
      <c r="AA283" s="25" t="str">
        <f>IFERROR(__xludf.DUMMYFUNCTION("""COMPUTED_VALUE"""),"613 Birch Lane")</f>
        <v>613 Birch Lane</v>
      </c>
      <c r="AB283" s="25" t="str">
        <f>IFERROR(__xludf.DUMMYFUNCTION("""COMPUTED_VALUE"""),"Richardson, TX 75081")</f>
        <v>Richardson, TX 75081</v>
      </c>
      <c r="AC283" s="24" t="s">
        <v>790</v>
      </c>
      <c r="AD283" s="25"/>
      <c r="AE283" s="25"/>
      <c r="AF283" s="25"/>
      <c r="AG283" s="40" t="s">
        <v>60</v>
      </c>
      <c r="AH283" s="42">
        <v>2437.0</v>
      </c>
      <c r="AI283" s="40" t="s">
        <v>61</v>
      </c>
      <c r="AJ283" s="27">
        <v>250.0</v>
      </c>
      <c r="AK283" s="31" t="s">
        <v>25</v>
      </c>
      <c r="AL283" s="43">
        <v>44726.0</v>
      </c>
      <c r="AM283" s="44">
        <v>44754.83237268519</v>
      </c>
      <c r="AN283" s="30">
        <v>2.0</v>
      </c>
      <c r="AO283" s="40"/>
      <c r="AP283" s="40"/>
      <c r="AQ283" s="40"/>
      <c r="AR283" s="40"/>
      <c r="AS283" s="40"/>
      <c r="AT283" s="47"/>
      <c r="AU283" s="40"/>
      <c r="AV283" s="46" t="str">
        <f>IFERROR(__xludf.DUMMYFUNCTION("""COMPUTED_VALUE"""),"Gruber")</f>
        <v>Gruber</v>
      </c>
      <c r="AW283" s="46">
        <f t="shared" si="7"/>
        <v>8500</v>
      </c>
      <c r="AX283" s="47">
        <f t="shared" ref="AX283:BQ283" si="959">SUMIFS($AJ:$AJ,$V:$V,$AV283,$AK:$AK,AX$2)</f>
        <v>1000</v>
      </c>
      <c r="AY283" s="48">
        <f t="shared" si="959"/>
        <v>0</v>
      </c>
      <c r="AZ283" s="48">
        <f t="shared" si="959"/>
        <v>0</v>
      </c>
      <c r="BA283" s="48">
        <f t="shared" si="959"/>
        <v>0</v>
      </c>
      <c r="BB283" s="48">
        <f t="shared" si="959"/>
        <v>7500</v>
      </c>
      <c r="BC283" s="48">
        <f t="shared" si="959"/>
        <v>0</v>
      </c>
      <c r="BD283" s="48">
        <f t="shared" si="959"/>
        <v>0</v>
      </c>
      <c r="BE283" s="48">
        <f t="shared" si="959"/>
        <v>0</v>
      </c>
      <c r="BF283" s="48">
        <f t="shared" si="959"/>
        <v>0</v>
      </c>
      <c r="BG283" s="48">
        <f t="shared" si="959"/>
        <v>0</v>
      </c>
      <c r="BH283" s="48">
        <f t="shared" si="959"/>
        <v>0</v>
      </c>
      <c r="BI283" s="48">
        <f t="shared" si="959"/>
        <v>0</v>
      </c>
      <c r="BJ283" s="48">
        <f t="shared" si="959"/>
        <v>0</v>
      </c>
      <c r="BK283" s="48">
        <f t="shared" si="959"/>
        <v>0</v>
      </c>
      <c r="BL283" s="48">
        <f t="shared" si="959"/>
        <v>0</v>
      </c>
      <c r="BM283" s="48">
        <f t="shared" si="959"/>
        <v>0</v>
      </c>
      <c r="BN283" s="48">
        <f t="shared" si="959"/>
        <v>0</v>
      </c>
      <c r="BO283" s="48">
        <f t="shared" si="959"/>
        <v>0</v>
      </c>
      <c r="BP283" s="48">
        <f t="shared" si="959"/>
        <v>0</v>
      </c>
      <c r="BQ283" s="48">
        <f t="shared" si="959"/>
        <v>0</v>
      </c>
      <c r="BR283" s="36">
        <f t="shared" si="9"/>
        <v>0</v>
      </c>
      <c r="BS283" s="38">
        <f t="shared" si="10"/>
        <v>1</v>
      </c>
      <c r="BT283" s="49">
        <f t="shared" si="11"/>
        <v>0</v>
      </c>
      <c r="BU283" s="38">
        <f t="shared" si="12"/>
        <v>1000</v>
      </c>
      <c r="BV283" s="46" t="str">
        <f>IFERROR(__xludf.DUMMYFUNCTION("""COMPUTED_VALUE"""),"Gruber")</f>
        <v>Gruber</v>
      </c>
      <c r="BW283" s="46">
        <f t="shared" si="13"/>
        <v>8500</v>
      </c>
      <c r="BX283" s="47">
        <f t="shared" ref="BX283:CA283" si="960">AX283-$BU283</f>
        <v>0</v>
      </c>
      <c r="BY283" s="47">
        <f t="shared" si="960"/>
        <v>-1000</v>
      </c>
      <c r="BZ283" s="47">
        <f t="shared" si="960"/>
        <v>-1000</v>
      </c>
      <c r="CA283" s="47">
        <f t="shared" si="960"/>
        <v>-1000</v>
      </c>
      <c r="CB283" s="47">
        <f t="shared" si="15"/>
        <v>-2500</v>
      </c>
      <c r="CC283" s="47">
        <f t="shared" ref="CC283:CQ283" si="961">BC283-$BU283</f>
        <v>-1000</v>
      </c>
      <c r="CD283" s="47">
        <f t="shared" si="961"/>
        <v>-1000</v>
      </c>
      <c r="CE283" s="47">
        <f t="shared" si="961"/>
        <v>-1000</v>
      </c>
      <c r="CF283" s="47">
        <f t="shared" si="961"/>
        <v>-1000</v>
      </c>
      <c r="CG283" s="47">
        <f t="shared" si="961"/>
        <v>-1000</v>
      </c>
      <c r="CH283" s="47">
        <f t="shared" si="961"/>
        <v>-1000</v>
      </c>
      <c r="CI283" s="47">
        <f t="shared" si="961"/>
        <v>-1000</v>
      </c>
      <c r="CJ283" s="47">
        <f t="shared" si="961"/>
        <v>-1000</v>
      </c>
      <c r="CK283" s="47">
        <f t="shared" si="961"/>
        <v>-1000</v>
      </c>
      <c r="CL283" s="47">
        <f t="shared" si="961"/>
        <v>-1000</v>
      </c>
      <c r="CM283" s="47">
        <f t="shared" si="961"/>
        <v>-1000</v>
      </c>
      <c r="CN283" s="47">
        <f t="shared" si="961"/>
        <v>-1000</v>
      </c>
      <c r="CO283" s="47">
        <f t="shared" si="961"/>
        <v>-1000</v>
      </c>
      <c r="CP283" s="47">
        <f t="shared" si="961"/>
        <v>-1000</v>
      </c>
      <c r="CQ283" s="47">
        <f t="shared" si="961"/>
        <v>-1000</v>
      </c>
      <c r="CR283" s="47"/>
      <c r="CS283" s="47"/>
      <c r="CT283" s="47"/>
      <c r="CU283" s="50" t="str">
        <f>IFERROR(__xludf.DUMMYFUNCTION("""COMPUTED_VALUE"""),"8226 Douglas Ave
Dallas, TX 75225          ")</f>
        <v>8226 Douglas Ave
Dallas, TX 75225          </v>
      </c>
      <c r="CV283" s="51">
        <f>IFERROR(__xludf.DUMMYFUNCTION("IF(REGEXMATCH(UPPER(CU283), ""TX""),0,1)"),0.0)</f>
        <v>0</v>
      </c>
      <c r="CW283" s="51">
        <f>IFERROR(__xludf.DUMMYFUNCTION("IF(REGEXMATCH(UPPER(CU283), ""DALLAS""),0,1)"),0.0)</f>
        <v>0</v>
      </c>
      <c r="CX283" s="51">
        <f t="shared" si="17"/>
        <v>0</v>
      </c>
      <c r="CY283" s="51">
        <f t="shared" si="18"/>
        <v>0</v>
      </c>
      <c r="CZ283" s="52" t="str">
        <f t="shared" si="19"/>
        <v/>
      </c>
      <c r="DA283" s="58"/>
      <c r="DB283" s="52"/>
      <c r="DC283" s="52"/>
      <c r="DD283" s="52"/>
      <c r="DE283" s="52"/>
      <c r="DF283" s="52"/>
      <c r="DG283" s="52"/>
      <c r="DH283" s="52"/>
      <c r="DI283" s="52"/>
      <c r="DJ283" s="52"/>
      <c r="DK283" s="52"/>
      <c r="DL283" s="52"/>
      <c r="DM283" s="52"/>
      <c r="DN283" s="52"/>
      <c r="DO283" s="52"/>
      <c r="DP283" s="52"/>
      <c r="DQ283" s="52"/>
      <c r="DR283" s="52"/>
      <c r="DS283" s="52"/>
      <c r="DT283" s="52"/>
      <c r="DU283" s="52"/>
      <c r="DV283" s="52"/>
      <c r="DW283" s="52"/>
    </row>
    <row r="284">
      <c r="A284" s="23" t="s">
        <v>64</v>
      </c>
      <c r="B284" s="23" t="s">
        <v>56</v>
      </c>
      <c r="C284" s="31" t="s">
        <v>791</v>
      </c>
      <c r="D284" s="25" t="str">
        <f>IFERROR(__xludf.DUMMYFUNCTION("SPLIT(C284,"" "")"),"Mihalopoulos,")</f>
        <v>Mihalopoulos,</v>
      </c>
      <c r="E284" s="22" t="str">
        <f>IFERROR(__xludf.DUMMYFUNCTION("""COMPUTED_VALUE"""),"Frank
4645")</f>
        <v>Frank
4645</v>
      </c>
      <c r="F284" s="22" t="str">
        <f>IFERROR(__xludf.DUMMYFUNCTION("""COMPUTED_VALUE"""),"N")</f>
        <v>N</v>
      </c>
      <c r="G284" s="22" t="str">
        <f>IFERROR(__xludf.DUMMYFUNCTION("""COMPUTED_VALUE"""),"Central")</f>
        <v>Central</v>
      </c>
      <c r="H284" s="22" t="str">
        <f>IFERROR(__xludf.DUMMYFUNCTION("""COMPUTED_VALUE"""),"Exp
Dallas,")</f>
        <v>Exp
Dallas,</v>
      </c>
      <c r="I284" s="22" t="str">
        <f>IFERROR(__xludf.DUMMYFUNCTION("""COMPUTED_VALUE"""),"TX")</f>
        <v>TX</v>
      </c>
      <c r="J284" s="22">
        <f>IFERROR(__xludf.DUMMYFUNCTION("""COMPUTED_VALUE"""),75205.0)</f>
        <v>75205</v>
      </c>
      <c r="K284" s="22"/>
      <c r="L284" s="22"/>
      <c r="M284" s="22"/>
      <c r="N284" s="22"/>
      <c r="O284" s="22"/>
      <c r="P284" s="22"/>
      <c r="Q284" s="22"/>
      <c r="R284" s="22"/>
      <c r="S284" s="22"/>
      <c r="T284" s="22"/>
      <c r="U284" s="24" t="str">
        <f>IFERROR(__xludf.DUMMYFUNCTION("SPLIT(E284,""01234567890"")"),"Frank
")</f>
        <v>Frank
</v>
      </c>
      <c r="V284" s="24" t="str">
        <f>IFERROR(__xludf.DUMMYFUNCTION("SPLIT(D284,"","")"),"Mihalopoulos")</f>
        <v>Mihalopoulos</v>
      </c>
      <c r="W284" s="25" t="str">
        <f t="shared" si="1"/>
        <v>FRANK
 MIHALOPOULOS</v>
      </c>
      <c r="X284" s="25" t="s">
        <v>792</v>
      </c>
      <c r="Y284" s="25">
        <v>75205.0</v>
      </c>
      <c r="Z284" s="25" t="str">
        <f>IFERROR(__xludf.DUMMYFUNCTION("SPLIT(C284,""
"")"),"Mihalopoulos, Frank")</f>
        <v>Mihalopoulos, Frank</v>
      </c>
      <c r="AA284" s="25" t="str">
        <f>IFERROR(__xludf.DUMMYFUNCTION("""COMPUTED_VALUE"""),"4645 N Central Exp")</f>
        <v>4645 N Central Exp</v>
      </c>
      <c r="AB284" s="25" t="str">
        <f>IFERROR(__xludf.DUMMYFUNCTION("""COMPUTED_VALUE"""),"Dallas, TX 75205")</f>
        <v>Dallas, TX 75205</v>
      </c>
      <c r="AC284" s="24" t="s">
        <v>793</v>
      </c>
      <c r="AD284" s="25"/>
      <c r="AE284" s="25"/>
      <c r="AF284" s="25"/>
      <c r="AG284" s="22" t="s">
        <v>60</v>
      </c>
      <c r="AH284" s="54">
        <v>2437.0</v>
      </c>
      <c r="AI284" s="22" t="s">
        <v>61</v>
      </c>
      <c r="AJ284" s="27">
        <v>1000.0</v>
      </c>
      <c r="AK284" s="31" t="s">
        <v>25</v>
      </c>
      <c r="AL284" s="28">
        <v>44699.0</v>
      </c>
      <c r="AM284" s="29">
        <v>44754.83237268519</v>
      </c>
      <c r="AN284" s="30">
        <v>2.0</v>
      </c>
      <c r="AO284" s="22"/>
      <c r="AP284" s="22"/>
      <c r="AQ284" s="22"/>
      <c r="AR284" s="22"/>
      <c r="AS284" s="22"/>
      <c r="AT284" s="70"/>
      <c r="AU284" s="22"/>
      <c r="AV284" s="57" t="str">
        <f>IFERROR(__xludf.DUMMYFUNCTION("""COMPUTED_VALUE"""),"Higgins")</f>
        <v>Higgins</v>
      </c>
      <c r="AW284" s="46">
        <f t="shared" si="7"/>
        <v>250</v>
      </c>
      <c r="AX284" s="47">
        <f t="shared" ref="AX284:BQ284" si="962">SUMIFS($AJ:$AJ,$V:$V,$AV284,$AK:$AK,AX$2)</f>
        <v>0</v>
      </c>
      <c r="AY284" s="48">
        <f t="shared" si="962"/>
        <v>0</v>
      </c>
      <c r="AZ284" s="48">
        <f t="shared" si="962"/>
        <v>0</v>
      </c>
      <c r="BA284" s="48">
        <f t="shared" si="962"/>
        <v>0</v>
      </c>
      <c r="BB284" s="48">
        <f t="shared" si="962"/>
        <v>250</v>
      </c>
      <c r="BC284" s="48">
        <f t="shared" si="962"/>
        <v>0</v>
      </c>
      <c r="BD284" s="48">
        <f t="shared" si="962"/>
        <v>0</v>
      </c>
      <c r="BE284" s="48">
        <f t="shared" si="962"/>
        <v>0</v>
      </c>
      <c r="BF284" s="48">
        <f t="shared" si="962"/>
        <v>0</v>
      </c>
      <c r="BG284" s="48">
        <f t="shared" si="962"/>
        <v>0</v>
      </c>
      <c r="BH284" s="48">
        <f t="shared" si="962"/>
        <v>0</v>
      </c>
      <c r="BI284" s="48">
        <f t="shared" si="962"/>
        <v>0</v>
      </c>
      <c r="BJ284" s="48">
        <f t="shared" si="962"/>
        <v>0</v>
      </c>
      <c r="BK284" s="48">
        <f t="shared" si="962"/>
        <v>0</v>
      </c>
      <c r="BL284" s="48">
        <f t="shared" si="962"/>
        <v>0</v>
      </c>
      <c r="BM284" s="48">
        <f t="shared" si="962"/>
        <v>0</v>
      </c>
      <c r="BN284" s="48">
        <f t="shared" si="962"/>
        <v>0</v>
      </c>
      <c r="BO284" s="48">
        <f t="shared" si="962"/>
        <v>0</v>
      </c>
      <c r="BP284" s="48">
        <f t="shared" si="962"/>
        <v>0</v>
      </c>
      <c r="BQ284" s="48">
        <f t="shared" si="962"/>
        <v>0</v>
      </c>
      <c r="BR284" s="36">
        <f t="shared" si="9"/>
        <v>0</v>
      </c>
      <c r="BS284" s="38">
        <f t="shared" si="10"/>
        <v>1</v>
      </c>
      <c r="BT284" s="49">
        <f t="shared" si="11"/>
        <v>0</v>
      </c>
      <c r="BU284" s="38">
        <f t="shared" si="12"/>
        <v>1000</v>
      </c>
      <c r="BV284" s="57" t="str">
        <f>IFERROR(__xludf.DUMMYFUNCTION("""COMPUTED_VALUE"""),"Higgins")</f>
        <v>Higgins</v>
      </c>
      <c r="BW284" s="46">
        <f t="shared" si="13"/>
        <v>250</v>
      </c>
      <c r="BX284" s="47">
        <f t="shared" ref="BX284:CA284" si="963">AX284-$BU284</f>
        <v>-1000</v>
      </c>
      <c r="BY284" s="47">
        <f t="shared" si="963"/>
        <v>-1000</v>
      </c>
      <c r="BZ284" s="47">
        <f t="shared" si="963"/>
        <v>-1000</v>
      </c>
      <c r="CA284" s="47">
        <f t="shared" si="963"/>
        <v>-1000</v>
      </c>
      <c r="CB284" s="47">
        <f t="shared" si="15"/>
        <v>-9750</v>
      </c>
      <c r="CC284" s="47">
        <f t="shared" ref="CC284:CQ284" si="964">BC284-$BU284</f>
        <v>-1000</v>
      </c>
      <c r="CD284" s="47">
        <f t="shared" si="964"/>
        <v>-1000</v>
      </c>
      <c r="CE284" s="47">
        <f t="shared" si="964"/>
        <v>-1000</v>
      </c>
      <c r="CF284" s="47">
        <f t="shared" si="964"/>
        <v>-1000</v>
      </c>
      <c r="CG284" s="47">
        <f t="shared" si="964"/>
        <v>-1000</v>
      </c>
      <c r="CH284" s="47">
        <f t="shared" si="964"/>
        <v>-1000</v>
      </c>
      <c r="CI284" s="47">
        <f t="shared" si="964"/>
        <v>-1000</v>
      </c>
      <c r="CJ284" s="47">
        <f t="shared" si="964"/>
        <v>-1000</v>
      </c>
      <c r="CK284" s="47">
        <f t="shared" si="964"/>
        <v>-1000</v>
      </c>
      <c r="CL284" s="47">
        <f t="shared" si="964"/>
        <v>-1000</v>
      </c>
      <c r="CM284" s="47">
        <f t="shared" si="964"/>
        <v>-1000</v>
      </c>
      <c r="CN284" s="47">
        <f t="shared" si="964"/>
        <v>-1000</v>
      </c>
      <c r="CO284" s="47">
        <f t="shared" si="964"/>
        <v>-1000</v>
      </c>
      <c r="CP284" s="47">
        <f t="shared" si="964"/>
        <v>-1000</v>
      </c>
      <c r="CQ284" s="47">
        <f t="shared" si="964"/>
        <v>-1000</v>
      </c>
      <c r="CR284" s="47"/>
      <c r="CS284" s="47"/>
      <c r="CT284" s="47"/>
      <c r="CU284" s="50" t="str">
        <f>IFERROR(__xludf.DUMMYFUNCTION("""COMPUTED_VALUE"""),"3864 W Beverly Dr
Dallas, TX 75209         ")</f>
        <v>3864 W Beverly Dr
Dallas, TX 75209         </v>
      </c>
      <c r="CV284" s="51">
        <f>IFERROR(__xludf.DUMMYFUNCTION("IF(REGEXMATCH(UPPER(CU284), ""TX""),0,1)"),0.0)</f>
        <v>0</v>
      </c>
      <c r="CW284" s="51">
        <f>IFERROR(__xludf.DUMMYFUNCTION("IF(REGEXMATCH(UPPER(CU284), ""DALLAS""),0,1)"),0.0)</f>
        <v>0</v>
      </c>
      <c r="CX284" s="51">
        <f t="shared" si="17"/>
        <v>0</v>
      </c>
      <c r="CY284" s="51">
        <f t="shared" si="18"/>
        <v>0</v>
      </c>
      <c r="CZ284" s="52" t="str">
        <f t="shared" si="19"/>
        <v/>
      </c>
      <c r="DA284" s="58"/>
      <c r="DB284" s="52"/>
      <c r="DC284" s="52"/>
      <c r="DD284" s="52"/>
      <c r="DE284" s="52"/>
      <c r="DF284" s="52"/>
      <c r="DG284" s="52"/>
      <c r="DH284" s="52"/>
      <c r="DI284" s="52"/>
      <c r="DJ284" s="52"/>
      <c r="DK284" s="52"/>
      <c r="DL284" s="52"/>
      <c r="DM284" s="52"/>
      <c r="DN284" s="52"/>
      <c r="DO284" s="52"/>
      <c r="DP284" s="52"/>
      <c r="DQ284" s="52"/>
      <c r="DR284" s="52"/>
      <c r="DS284" s="52"/>
      <c r="DT284" s="52"/>
      <c r="DU284" s="52"/>
      <c r="DV284" s="52"/>
      <c r="DW284" s="52"/>
    </row>
    <row r="285">
      <c r="A285" s="40" t="s">
        <v>55</v>
      </c>
      <c r="B285" s="41" t="s">
        <v>56</v>
      </c>
      <c r="C285" s="31" t="s">
        <v>794</v>
      </c>
      <c r="D285" s="25" t="str">
        <f>IFERROR(__xludf.DUMMYFUNCTION("SPLIT(C285,"" "")"),"Murphy,")</f>
        <v>Murphy,</v>
      </c>
      <c r="E285" s="40" t="str">
        <f>IFERROR(__xludf.DUMMYFUNCTION("""COMPUTED_VALUE"""),"James
7725")</f>
        <v>James
7725</v>
      </c>
      <c r="F285" s="40" t="str">
        <f>IFERROR(__xludf.DUMMYFUNCTION("""COMPUTED_VALUE"""),"La")</f>
        <v>La</v>
      </c>
      <c r="G285" s="40" t="str">
        <f>IFERROR(__xludf.DUMMYFUNCTION("""COMPUTED_VALUE"""),"Cosa")</f>
        <v>Cosa</v>
      </c>
      <c r="H285" s="40" t="str">
        <f>IFERROR(__xludf.DUMMYFUNCTION("""COMPUTED_VALUE"""),"Dr
Dallas,")</f>
        <v>Dr
Dallas,</v>
      </c>
      <c r="I285" s="40" t="str">
        <f>IFERROR(__xludf.DUMMYFUNCTION("""COMPUTED_VALUE"""),"TX")</f>
        <v>TX</v>
      </c>
      <c r="J285" s="40">
        <f>IFERROR(__xludf.DUMMYFUNCTION("""COMPUTED_VALUE"""),75248.0)</f>
        <v>75248</v>
      </c>
      <c r="K285" s="40"/>
      <c r="L285" s="40"/>
      <c r="M285" s="40"/>
      <c r="N285" s="40"/>
      <c r="O285" s="40"/>
      <c r="P285" s="40"/>
      <c r="Q285" s="40"/>
      <c r="R285" s="40"/>
      <c r="S285" s="40"/>
      <c r="T285" s="40"/>
      <c r="U285" s="24" t="str">
        <f>IFERROR(__xludf.DUMMYFUNCTION("SPLIT(E285,""01234567890"")"),"James
")</f>
        <v>James
</v>
      </c>
      <c r="V285" s="24" t="str">
        <f>IFERROR(__xludf.DUMMYFUNCTION("SPLIT(D285,"","")"),"Murphy")</f>
        <v>Murphy</v>
      </c>
      <c r="W285" s="25" t="str">
        <f t="shared" si="1"/>
        <v>JAMES
 MURPHY</v>
      </c>
      <c r="X285" s="25" t="s">
        <v>795</v>
      </c>
      <c r="Y285" s="25">
        <v>75248.0</v>
      </c>
      <c r="Z285" s="25" t="str">
        <f>IFERROR(__xludf.DUMMYFUNCTION("SPLIT(C285,""
"")"),"Murphy, James")</f>
        <v>Murphy, James</v>
      </c>
      <c r="AA285" s="25" t="str">
        <f>IFERROR(__xludf.DUMMYFUNCTION("""COMPUTED_VALUE"""),"7725 La Cosa Dr")</f>
        <v>7725 La Cosa Dr</v>
      </c>
      <c r="AB285" s="25" t="str">
        <f>IFERROR(__xludf.DUMMYFUNCTION("""COMPUTED_VALUE"""),"Dallas, TX 75248")</f>
        <v>Dallas, TX 75248</v>
      </c>
      <c r="AC285" s="24" t="s">
        <v>796</v>
      </c>
      <c r="AD285" s="25"/>
      <c r="AE285" s="25"/>
      <c r="AF285" s="25"/>
      <c r="AG285" s="40" t="s">
        <v>60</v>
      </c>
      <c r="AH285" s="42">
        <v>2437.0</v>
      </c>
      <c r="AI285" s="40" t="s">
        <v>61</v>
      </c>
      <c r="AJ285" s="27">
        <v>100.0</v>
      </c>
      <c r="AK285" s="31" t="s">
        <v>25</v>
      </c>
      <c r="AL285" s="43">
        <v>44716.0</v>
      </c>
      <c r="AM285" s="44">
        <v>44754.83237268519</v>
      </c>
      <c r="AN285" s="30">
        <v>2.0</v>
      </c>
      <c r="AO285" s="40"/>
      <c r="AP285" s="40"/>
      <c r="AQ285" s="40"/>
      <c r="AR285" s="40"/>
      <c r="AS285" s="40"/>
      <c r="AT285" s="47"/>
      <c r="AU285" s="40"/>
      <c r="AV285" s="46" t="str">
        <f>IFERROR(__xludf.DUMMYFUNCTION("""COMPUTED_VALUE"""),"Magnis")</f>
        <v>Magnis</v>
      </c>
      <c r="AW285" s="46">
        <f t="shared" si="7"/>
        <v>1000</v>
      </c>
      <c r="AX285" s="47">
        <f t="shared" ref="AX285:BQ285" si="965">SUMIFS($AJ:$AJ,$V:$V,$AV285,$AK:$AK,AX$2)</f>
        <v>0</v>
      </c>
      <c r="AY285" s="48">
        <f t="shared" si="965"/>
        <v>0</v>
      </c>
      <c r="AZ285" s="48">
        <f t="shared" si="965"/>
        <v>0</v>
      </c>
      <c r="BA285" s="48">
        <f t="shared" si="965"/>
        <v>0</v>
      </c>
      <c r="BB285" s="48">
        <f t="shared" si="965"/>
        <v>1000</v>
      </c>
      <c r="BC285" s="48">
        <f t="shared" si="965"/>
        <v>0</v>
      </c>
      <c r="BD285" s="48">
        <f t="shared" si="965"/>
        <v>0</v>
      </c>
      <c r="BE285" s="48">
        <f t="shared" si="965"/>
        <v>0</v>
      </c>
      <c r="BF285" s="48">
        <f t="shared" si="965"/>
        <v>0</v>
      </c>
      <c r="BG285" s="48">
        <f t="shared" si="965"/>
        <v>0</v>
      </c>
      <c r="BH285" s="48">
        <f t="shared" si="965"/>
        <v>0</v>
      </c>
      <c r="BI285" s="48">
        <f t="shared" si="965"/>
        <v>0</v>
      </c>
      <c r="BJ285" s="48">
        <f t="shared" si="965"/>
        <v>0</v>
      </c>
      <c r="BK285" s="48">
        <f t="shared" si="965"/>
        <v>0</v>
      </c>
      <c r="BL285" s="48">
        <f t="shared" si="965"/>
        <v>0</v>
      </c>
      <c r="BM285" s="48">
        <f t="shared" si="965"/>
        <v>0</v>
      </c>
      <c r="BN285" s="48">
        <f t="shared" si="965"/>
        <v>0</v>
      </c>
      <c r="BO285" s="48">
        <f t="shared" si="965"/>
        <v>0</v>
      </c>
      <c r="BP285" s="48">
        <f t="shared" si="965"/>
        <v>0</v>
      </c>
      <c r="BQ285" s="48">
        <f t="shared" si="965"/>
        <v>0</v>
      </c>
      <c r="BR285" s="36">
        <f t="shared" si="9"/>
        <v>0</v>
      </c>
      <c r="BS285" s="38">
        <f t="shared" si="10"/>
        <v>1</v>
      </c>
      <c r="BT285" s="49">
        <f t="shared" si="11"/>
        <v>0</v>
      </c>
      <c r="BU285" s="38">
        <f t="shared" si="12"/>
        <v>1000</v>
      </c>
      <c r="BV285" s="46" t="str">
        <f>IFERROR(__xludf.DUMMYFUNCTION("""COMPUTED_VALUE"""),"Magnis")</f>
        <v>Magnis</v>
      </c>
      <c r="BW285" s="46">
        <f t="shared" si="13"/>
        <v>1000</v>
      </c>
      <c r="BX285" s="47">
        <f t="shared" ref="BX285:CA285" si="966">AX285-$BU285</f>
        <v>-1000</v>
      </c>
      <c r="BY285" s="47">
        <f t="shared" si="966"/>
        <v>-1000</v>
      </c>
      <c r="BZ285" s="47">
        <f t="shared" si="966"/>
        <v>-1000</v>
      </c>
      <c r="CA285" s="47">
        <f t="shared" si="966"/>
        <v>-1000</v>
      </c>
      <c r="CB285" s="47">
        <f t="shared" si="15"/>
        <v>-9000</v>
      </c>
      <c r="CC285" s="47">
        <f t="shared" ref="CC285:CQ285" si="967">BC285-$BU285</f>
        <v>-1000</v>
      </c>
      <c r="CD285" s="47">
        <f t="shared" si="967"/>
        <v>-1000</v>
      </c>
      <c r="CE285" s="47">
        <f t="shared" si="967"/>
        <v>-1000</v>
      </c>
      <c r="CF285" s="47">
        <f t="shared" si="967"/>
        <v>-1000</v>
      </c>
      <c r="CG285" s="47">
        <f t="shared" si="967"/>
        <v>-1000</v>
      </c>
      <c r="CH285" s="47">
        <f t="shared" si="967"/>
        <v>-1000</v>
      </c>
      <c r="CI285" s="47">
        <f t="shared" si="967"/>
        <v>-1000</v>
      </c>
      <c r="CJ285" s="47">
        <f t="shared" si="967"/>
        <v>-1000</v>
      </c>
      <c r="CK285" s="47">
        <f t="shared" si="967"/>
        <v>-1000</v>
      </c>
      <c r="CL285" s="47">
        <f t="shared" si="967"/>
        <v>-1000</v>
      </c>
      <c r="CM285" s="47">
        <f t="shared" si="967"/>
        <v>-1000</v>
      </c>
      <c r="CN285" s="47">
        <f t="shared" si="967"/>
        <v>-1000</v>
      </c>
      <c r="CO285" s="47">
        <f t="shared" si="967"/>
        <v>-1000</v>
      </c>
      <c r="CP285" s="47">
        <f t="shared" si="967"/>
        <v>-1000</v>
      </c>
      <c r="CQ285" s="47">
        <f t="shared" si="967"/>
        <v>-1000</v>
      </c>
      <c r="CR285" s="47"/>
      <c r="CS285" s="47"/>
      <c r="CT285" s="47"/>
      <c r="CU285" s="50" t="str">
        <f>IFERROR(__xludf.DUMMYFUNCTION("""COMPUTED_VALUE"""),"18723 Mapletree Ln
Dallas, TX 75209          ")</f>
        <v>18723 Mapletree Ln
Dallas, TX 75209          </v>
      </c>
      <c r="CV285" s="51">
        <f>IFERROR(__xludf.DUMMYFUNCTION("IF(REGEXMATCH(UPPER(CU285), ""TX""),0,1)"),0.0)</f>
        <v>0</v>
      </c>
      <c r="CW285" s="51">
        <f>IFERROR(__xludf.DUMMYFUNCTION("IF(REGEXMATCH(UPPER(CU285), ""DALLAS""),0,1)"),0.0)</f>
        <v>0</v>
      </c>
      <c r="CX285" s="51">
        <f t="shared" si="17"/>
        <v>0</v>
      </c>
      <c r="CY285" s="51">
        <f t="shared" si="18"/>
        <v>0</v>
      </c>
      <c r="CZ285" s="52" t="str">
        <f t="shared" si="19"/>
        <v/>
      </c>
      <c r="DA285" s="58"/>
      <c r="DB285" s="52"/>
      <c r="DC285" s="52"/>
      <c r="DD285" s="52"/>
      <c r="DE285" s="52"/>
      <c r="DF285" s="52"/>
      <c r="DG285" s="52"/>
      <c r="DH285" s="52"/>
      <c r="DI285" s="52"/>
      <c r="DJ285" s="52"/>
      <c r="DK285" s="52"/>
      <c r="DL285" s="52"/>
      <c r="DM285" s="52"/>
      <c r="DN285" s="52"/>
      <c r="DO285" s="52"/>
      <c r="DP285" s="52"/>
      <c r="DQ285" s="52"/>
      <c r="DR285" s="52"/>
      <c r="DS285" s="52"/>
      <c r="DT285" s="52"/>
      <c r="DU285" s="52"/>
      <c r="DV285" s="52"/>
      <c r="DW285" s="52"/>
    </row>
    <row r="286">
      <c r="A286" s="23" t="s">
        <v>64</v>
      </c>
      <c r="B286" s="23" t="s">
        <v>56</v>
      </c>
      <c r="C286" s="31" t="s">
        <v>797</v>
      </c>
      <c r="D286" s="25" t="str">
        <f>IFERROR(__xludf.DUMMYFUNCTION("SPLIT(C286,"" "")"),"Myers,")</f>
        <v>Myers,</v>
      </c>
      <c r="E286" s="22" t="str">
        <f>IFERROR(__xludf.DUMMYFUNCTION("""COMPUTED_VALUE"""),"Mike
6310")</f>
        <v>Mike
6310</v>
      </c>
      <c r="F286" s="22" t="str">
        <f>IFERROR(__xludf.DUMMYFUNCTION("""COMPUTED_VALUE"""),"Lemmon")</f>
        <v>Lemmon</v>
      </c>
      <c r="G286" s="22" t="str">
        <f>IFERROR(__xludf.DUMMYFUNCTION("""COMPUTED_VALUE"""),"Ave
Dallas,")</f>
        <v>Ave
Dallas,</v>
      </c>
      <c r="H286" s="22" t="str">
        <f>IFERROR(__xludf.DUMMYFUNCTION("""COMPUTED_VALUE"""),"TX")</f>
        <v>TX</v>
      </c>
      <c r="I286" s="22">
        <f>IFERROR(__xludf.DUMMYFUNCTION("""COMPUTED_VALUE"""),75209.0)</f>
        <v>75209</v>
      </c>
      <c r="J286" s="22"/>
      <c r="K286" s="22"/>
      <c r="L286" s="22"/>
      <c r="M286" s="22"/>
      <c r="N286" s="22"/>
      <c r="O286" s="22"/>
      <c r="P286" s="22"/>
      <c r="Q286" s="22"/>
      <c r="R286" s="22"/>
      <c r="S286" s="22"/>
      <c r="T286" s="22"/>
      <c r="U286" s="24" t="str">
        <f>IFERROR(__xludf.DUMMYFUNCTION("SPLIT(E286,""01234567890"")"),"Mike
")</f>
        <v>Mike
</v>
      </c>
      <c r="V286" s="24" t="str">
        <f>IFERROR(__xludf.DUMMYFUNCTION("SPLIT(D286,"","")"),"Myers")</f>
        <v>Myers</v>
      </c>
      <c r="W286" s="25" t="str">
        <f t="shared" si="1"/>
        <v>MIKE
 MYERS</v>
      </c>
      <c r="X286" s="25" t="s">
        <v>798</v>
      </c>
      <c r="Y286" s="25">
        <v>75209.0</v>
      </c>
      <c r="Z286" s="25" t="str">
        <f>IFERROR(__xludf.DUMMYFUNCTION("SPLIT(C286,""
"")"),"Myers, Mike")</f>
        <v>Myers, Mike</v>
      </c>
      <c r="AA286" s="25" t="str">
        <f>IFERROR(__xludf.DUMMYFUNCTION("""COMPUTED_VALUE"""),"6310 Lemmon Ave")</f>
        <v>6310 Lemmon Ave</v>
      </c>
      <c r="AB286" s="25" t="str">
        <f>IFERROR(__xludf.DUMMYFUNCTION("""COMPUTED_VALUE"""),"Dallas, TX 75209")</f>
        <v>Dallas, TX 75209</v>
      </c>
      <c r="AC286" s="24" t="s">
        <v>799</v>
      </c>
      <c r="AD286" s="25"/>
      <c r="AE286" s="25"/>
      <c r="AF286" s="25"/>
      <c r="AG286" s="22" t="s">
        <v>60</v>
      </c>
      <c r="AH286" s="54">
        <v>2437.0</v>
      </c>
      <c r="AI286" s="22" t="s">
        <v>61</v>
      </c>
      <c r="AJ286" s="27">
        <v>1000.0</v>
      </c>
      <c r="AK286" s="31" t="s">
        <v>25</v>
      </c>
      <c r="AL286" s="28">
        <v>44726.0</v>
      </c>
      <c r="AM286" s="29">
        <v>44754.83237268519</v>
      </c>
      <c r="AN286" s="30">
        <v>2.0</v>
      </c>
      <c r="AO286" s="22"/>
      <c r="AP286" s="22"/>
      <c r="AQ286" s="22"/>
      <c r="AR286" s="22"/>
      <c r="AS286" s="22"/>
      <c r="AT286" s="70"/>
      <c r="AU286" s="22"/>
      <c r="AV286" s="57" t="str">
        <f>IFERROR(__xludf.DUMMYFUNCTION("""COMPUTED_VALUE"""),"Chaisson")</f>
        <v>Chaisson</v>
      </c>
      <c r="AW286" s="46">
        <f t="shared" si="7"/>
        <v>250</v>
      </c>
      <c r="AX286" s="47">
        <f t="shared" ref="AX286:BQ286" si="968">SUMIFS($AJ:$AJ,$V:$V,$AV286,$AK:$AK,AX$2)</f>
        <v>0</v>
      </c>
      <c r="AY286" s="48">
        <f t="shared" si="968"/>
        <v>0</v>
      </c>
      <c r="AZ286" s="48">
        <f t="shared" si="968"/>
        <v>0</v>
      </c>
      <c r="BA286" s="48">
        <f t="shared" si="968"/>
        <v>0</v>
      </c>
      <c r="BB286" s="48">
        <f t="shared" si="968"/>
        <v>250</v>
      </c>
      <c r="BC286" s="48">
        <f t="shared" si="968"/>
        <v>0</v>
      </c>
      <c r="BD286" s="48">
        <f t="shared" si="968"/>
        <v>0</v>
      </c>
      <c r="BE286" s="48">
        <f t="shared" si="968"/>
        <v>0</v>
      </c>
      <c r="BF286" s="48">
        <f t="shared" si="968"/>
        <v>0</v>
      </c>
      <c r="BG286" s="48">
        <f t="shared" si="968"/>
        <v>0</v>
      </c>
      <c r="BH286" s="48">
        <f t="shared" si="968"/>
        <v>0</v>
      </c>
      <c r="BI286" s="48">
        <f t="shared" si="968"/>
        <v>0</v>
      </c>
      <c r="BJ286" s="48">
        <f t="shared" si="968"/>
        <v>0</v>
      </c>
      <c r="BK286" s="48">
        <f t="shared" si="968"/>
        <v>0</v>
      </c>
      <c r="BL286" s="48">
        <f t="shared" si="968"/>
        <v>0</v>
      </c>
      <c r="BM286" s="48">
        <f t="shared" si="968"/>
        <v>0</v>
      </c>
      <c r="BN286" s="48">
        <f t="shared" si="968"/>
        <v>0</v>
      </c>
      <c r="BO286" s="48">
        <f t="shared" si="968"/>
        <v>0</v>
      </c>
      <c r="BP286" s="48">
        <f t="shared" si="968"/>
        <v>0</v>
      </c>
      <c r="BQ286" s="48">
        <f t="shared" si="968"/>
        <v>0</v>
      </c>
      <c r="BR286" s="36">
        <f t="shared" si="9"/>
        <v>0</v>
      </c>
      <c r="BS286" s="38">
        <f t="shared" si="10"/>
        <v>1</v>
      </c>
      <c r="BT286" s="49">
        <f t="shared" si="11"/>
        <v>0</v>
      </c>
      <c r="BU286" s="38">
        <f t="shared" si="12"/>
        <v>1000</v>
      </c>
      <c r="BV286" s="57" t="str">
        <f>IFERROR(__xludf.DUMMYFUNCTION("""COMPUTED_VALUE"""),"Chaisson")</f>
        <v>Chaisson</v>
      </c>
      <c r="BW286" s="46">
        <f t="shared" si="13"/>
        <v>250</v>
      </c>
      <c r="BX286" s="47">
        <f t="shared" ref="BX286:CA286" si="969">AX286-$BU286</f>
        <v>-1000</v>
      </c>
      <c r="BY286" s="47">
        <f t="shared" si="969"/>
        <v>-1000</v>
      </c>
      <c r="BZ286" s="47">
        <f t="shared" si="969"/>
        <v>-1000</v>
      </c>
      <c r="CA286" s="47">
        <f t="shared" si="969"/>
        <v>-1000</v>
      </c>
      <c r="CB286" s="47">
        <f t="shared" si="15"/>
        <v>-9750</v>
      </c>
      <c r="CC286" s="47">
        <f t="shared" ref="CC286:CQ286" si="970">BC286-$BU286</f>
        <v>-1000</v>
      </c>
      <c r="CD286" s="47">
        <f t="shared" si="970"/>
        <v>-1000</v>
      </c>
      <c r="CE286" s="47">
        <f t="shared" si="970"/>
        <v>-1000</v>
      </c>
      <c r="CF286" s="47">
        <f t="shared" si="970"/>
        <v>-1000</v>
      </c>
      <c r="CG286" s="47">
        <f t="shared" si="970"/>
        <v>-1000</v>
      </c>
      <c r="CH286" s="47">
        <f t="shared" si="970"/>
        <v>-1000</v>
      </c>
      <c r="CI286" s="47">
        <f t="shared" si="970"/>
        <v>-1000</v>
      </c>
      <c r="CJ286" s="47">
        <f t="shared" si="970"/>
        <v>-1000</v>
      </c>
      <c r="CK286" s="47">
        <f t="shared" si="970"/>
        <v>-1000</v>
      </c>
      <c r="CL286" s="47">
        <f t="shared" si="970"/>
        <v>-1000</v>
      </c>
      <c r="CM286" s="47">
        <f t="shared" si="970"/>
        <v>-1000</v>
      </c>
      <c r="CN286" s="47">
        <f t="shared" si="970"/>
        <v>-1000</v>
      </c>
      <c r="CO286" s="47">
        <f t="shared" si="970"/>
        <v>-1000</v>
      </c>
      <c r="CP286" s="47">
        <f t="shared" si="970"/>
        <v>-1000</v>
      </c>
      <c r="CQ286" s="47">
        <f t="shared" si="970"/>
        <v>-1000</v>
      </c>
      <c r="CR286" s="47"/>
      <c r="CS286" s="47"/>
      <c r="CT286" s="47"/>
      <c r="CU286" s="50" t="str">
        <f>IFERROR(__xludf.DUMMYFUNCTION("""COMPUTED_VALUE"""),"1910 Pacific Ave
Dallas, TX 75201          ")</f>
        <v>1910 Pacific Ave
Dallas, TX 75201          </v>
      </c>
      <c r="CV286" s="51">
        <f>IFERROR(__xludf.DUMMYFUNCTION("IF(REGEXMATCH(UPPER(CU286), ""TX""),0,1)"),0.0)</f>
        <v>0</v>
      </c>
      <c r="CW286" s="51">
        <f>IFERROR(__xludf.DUMMYFUNCTION("IF(REGEXMATCH(UPPER(CU286), ""DALLAS""),0,1)"),0.0)</f>
        <v>0</v>
      </c>
      <c r="CX286" s="51">
        <f t="shared" si="17"/>
        <v>0</v>
      </c>
      <c r="CY286" s="51">
        <f t="shared" si="18"/>
        <v>0</v>
      </c>
      <c r="CZ286" s="52" t="str">
        <f t="shared" si="19"/>
        <v/>
      </c>
      <c r="DA286" s="58"/>
      <c r="DB286" s="52"/>
      <c r="DC286" s="52"/>
      <c r="DD286" s="52"/>
      <c r="DE286" s="52"/>
      <c r="DF286" s="52"/>
      <c r="DG286" s="52"/>
      <c r="DH286" s="52"/>
      <c r="DI286" s="52"/>
      <c r="DJ286" s="52"/>
      <c r="DK286" s="52"/>
      <c r="DL286" s="52"/>
      <c r="DM286" s="52"/>
      <c r="DN286" s="52"/>
      <c r="DO286" s="52"/>
      <c r="DP286" s="52"/>
      <c r="DQ286" s="52"/>
      <c r="DR286" s="52"/>
      <c r="DS286" s="52"/>
      <c r="DT286" s="52"/>
      <c r="DU286" s="52"/>
      <c r="DV286" s="52"/>
      <c r="DW286" s="52"/>
    </row>
    <row r="287">
      <c r="A287" s="40" t="s">
        <v>55</v>
      </c>
      <c r="B287" s="41" t="s">
        <v>56</v>
      </c>
      <c r="C287" s="31" t="s">
        <v>800</v>
      </c>
      <c r="D287" s="25" t="str">
        <f>IFERROR(__xludf.DUMMYFUNCTION("SPLIT(C287,"" "")"),"Norris,")</f>
        <v>Norris,</v>
      </c>
      <c r="E287" s="40" t="str">
        <f>IFERROR(__xludf.DUMMYFUNCTION("""COMPUTED_VALUE"""),"Gina
4240")</f>
        <v>Gina
4240</v>
      </c>
      <c r="F287" s="40" t="str">
        <f>IFERROR(__xludf.DUMMYFUNCTION("""COMPUTED_VALUE"""),"Prescott")</f>
        <v>Prescott</v>
      </c>
      <c r="G287" s="40" t="str">
        <f>IFERROR(__xludf.DUMMYFUNCTION("""COMPUTED_VALUE"""),"Ave
Dallas,")</f>
        <v>Ave
Dallas,</v>
      </c>
      <c r="H287" s="40" t="str">
        <f>IFERROR(__xludf.DUMMYFUNCTION("""COMPUTED_VALUE"""),"TX")</f>
        <v>TX</v>
      </c>
      <c r="I287" s="40">
        <f>IFERROR(__xludf.DUMMYFUNCTION("""COMPUTED_VALUE"""),75219.0)</f>
        <v>75219</v>
      </c>
      <c r="J287" s="40"/>
      <c r="K287" s="40"/>
      <c r="L287" s="40"/>
      <c r="M287" s="40"/>
      <c r="N287" s="40"/>
      <c r="O287" s="40"/>
      <c r="P287" s="40"/>
      <c r="Q287" s="40"/>
      <c r="R287" s="40"/>
      <c r="S287" s="40"/>
      <c r="T287" s="40"/>
      <c r="U287" s="24" t="str">
        <f>IFERROR(__xludf.DUMMYFUNCTION("SPLIT(E287,""01234567890"")"),"Gina
")</f>
        <v>Gina
</v>
      </c>
      <c r="V287" s="24" t="str">
        <f>IFERROR(__xludf.DUMMYFUNCTION("SPLIT(D287,"","")"),"Norris")</f>
        <v>Norris</v>
      </c>
      <c r="W287" s="25" t="str">
        <f t="shared" si="1"/>
        <v>GINA
 NORRIS</v>
      </c>
      <c r="X287" s="25" t="s">
        <v>801</v>
      </c>
      <c r="Y287" s="25">
        <v>75219.0</v>
      </c>
      <c r="Z287" s="25" t="str">
        <f>IFERROR(__xludf.DUMMYFUNCTION("SPLIT(C287,""
"")"),"Norris, Gina")</f>
        <v>Norris, Gina</v>
      </c>
      <c r="AA287" s="25" t="str">
        <f>IFERROR(__xludf.DUMMYFUNCTION("""COMPUTED_VALUE"""),"4240 Prescott Ave")</f>
        <v>4240 Prescott Ave</v>
      </c>
      <c r="AB287" s="25" t="str">
        <f>IFERROR(__xludf.DUMMYFUNCTION("""COMPUTED_VALUE"""),"Dallas, TX 75219")</f>
        <v>Dallas, TX 75219</v>
      </c>
      <c r="AC287" s="24" t="s">
        <v>802</v>
      </c>
      <c r="AD287" s="25"/>
      <c r="AE287" s="25"/>
      <c r="AF287" s="25"/>
      <c r="AG287" s="40" t="s">
        <v>60</v>
      </c>
      <c r="AH287" s="42">
        <v>2437.0</v>
      </c>
      <c r="AI287" s="40" t="s">
        <v>61</v>
      </c>
      <c r="AJ287" s="27">
        <v>250.0</v>
      </c>
      <c r="AK287" s="31" t="s">
        <v>25</v>
      </c>
      <c r="AL287" s="43">
        <v>44720.0</v>
      </c>
      <c r="AM287" s="44">
        <v>44754.83237268519</v>
      </c>
      <c r="AN287" s="30">
        <v>2.0</v>
      </c>
      <c r="AO287" s="40"/>
      <c r="AP287" s="40"/>
      <c r="AQ287" s="40"/>
      <c r="AR287" s="40"/>
      <c r="AS287" s="40"/>
      <c r="AT287" s="47"/>
      <c r="AU287" s="40"/>
      <c r="AV287" s="46" t="str">
        <f>IFERROR(__xludf.DUMMYFUNCTION("""COMPUTED_VALUE"""),"Huth")</f>
        <v>Huth</v>
      </c>
      <c r="AW287" s="46">
        <f t="shared" si="7"/>
        <v>250</v>
      </c>
      <c r="AX287" s="47">
        <f t="shared" ref="AX287:BQ287" si="971">SUMIFS($AJ:$AJ,$V:$V,$AV287,$AK:$AK,AX$2)</f>
        <v>0</v>
      </c>
      <c r="AY287" s="48">
        <f t="shared" si="971"/>
        <v>0</v>
      </c>
      <c r="AZ287" s="48">
        <f t="shared" si="971"/>
        <v>0</v>
      </c>
      <c r="BA287" s="48">
        <f t="shared" si="971"/>
        <v>0</v>
      </c>
      <c r="BB287" s="48">
        <f t="shared" si="971"/>
        <v>250</v>
      </c>
      <c r="BC287" s="48">
        <f t="shared" si="971"/>
        <v>0</v>
      </c>
      <c r="BD287" s="48">
        <f t="shared" si="971"/>
        <v>0</v>
      </c>
      <c r="BE287" s="48">
        <f t="shared" si="971"/>
        <v>0</v>
      </c>
      <c r="BF287" s="48">
        <f t="shared" si="971"/>
        <v>0</v>
      </c>
      <c r="BG287" s="48">
        <f t="shared" si="971"/>
        <v>0</v>
      </c>
      <c r="BH287" s="48">
        <f t="shared" si="971"/>
        <v>0</v>
      </c>
      <c r="BI287" s="48">
        <f t="shared" si="971"/>
        <v>0</v>
      </c>
      <c r="BJ287" s="48">
        <f t="shared" si="971"/>
        <v>0</v>
      </c>
      <c r="BK287" s="48">
        <f t="shared" si="971"/>
        <v>0</v>
      </c>
      <c r="BL287" s="48">
        <f t="shared" si="971"/>
        <v>0</v>
      </c>
      <c r="BM287" s="48">
        <f t="shared" si="971"/>
        <v>0</v>
      </c>
      <c r="BN287" s="48">
        <f t="shared" si="971"/>
        <v>0</v>
      </c>
      <c r="BO287" s="48">
        <f t="shared" si="971"/>
        <v>0</v>
      </c>
      <c r="BP287" s="48">
        <f t="shared" si="971"/>
        <v>0</v>
      </c>
      <c r="BQ287" s="48">
        <f t="shared" si="971"/>
        <v>0</v>
      </c>
      <c r="BR287" s="36">
        <f t="shared" si="9"/>
        <v>0</v>
      </c>
      <c r="BS287" s="38">
        <f t="shared" si="10"/>
        <v>1</v>
      </c>
      <c r="BT287" s="49">
        <f t="shared" si="11"/>
        <v>0</v>
      </c>
      <c r="BU287" s="38">
        <f t="shared" si="12"/>
        <v>1000</v>
      </c>
      <c r="BV287" s="46" t="str">
        <f>IFERROR(__xludf.DUMMYFUNCTION("""COMPUTED_VALUE"""),"Huth")</f>
        <v>Huth</v>
      </c>
      <c r="BW287" s="46">
        <f t="shared" si="13"/>
        <v>250</v>
      </c>
      <c r="BX287" s="47">
        <f t="shared" ref="BX287:CA287" si="972">AX287-$BU287</f>
        <v>-1000</v>
      </c>
      <c r="BY287" s="47">
        <f t="shared" si="972"/>
        <v>-1000</v>
      </c>
      <c r="BZ287" s="47">
        <f t="shared" si="972"/>
        <v>-1000</v>
      </c>
      <c r="CA287" s="47">
        <f t="shared" si="972"/>
        <v>-1000</v>
      </c>
      <c r="CB287" s="47">
        <f t="shared" si="15"/>
        <v>-9750</v>
      </c>
      <c r="CC287" s="47">
        <f t="shared" ref="CC287:CQ287" si="973">BC287-$BU287</f>
        <v>-1000</v>
      </c>
      <c r="CD287" s="47">
        <f t="shared" si="973"/>
        <v>-1000</v>
      </c>
      <c r="CE287" s="47">
        <f t="shared" si="973"/>
        <v>-1000</v>
      </c>
      <c r="CF287" s="47">
        <f t="shared" si="973"/>
        <v>-1000</v>
      </c>
      <c r="CG287" s="47">
        <f t="shared" si="973"/>
        <v>-1000</v>
      </c>
      <c r="CH287" s="47">
        <f t="shared" si="973"/>
        <v>-1000</v>
      </c>
      <c r="CI287" s="47">
        <f t="shared" si="973"/>
        <v>-1000</v>
      </c>
      <c r="CJ287" s="47">
        <f t="shared" si="973"/>
        <v>-1000</v>
      </c>
      <c r="CK287" s="47">
        <f t="shared" si="973"/>
        <v>-1000</v>
      </c>
      <c r="CL287" s="47">
        <f t="shared" si="973"/>
        <v>-1000</v>
      </c>
      <c r="CM287" s="47">
        <f t="shared" si="973"/>
        <v>-1000</v>
      </c>
      <c r="CN287" s="47">
        <f t="shared" si="973"/>
        <v>-1000</v>
      </c>
      <c r="CO287" s="47">
        <f t="shared" si="973"/>
        <v>-1000</v>
      </c>
      <c r="CP287" s="47">
        <f t="shared" si="973"/>
        <v>-1000</v>
      </c>
      <c r="CQ287" s="47">
        <f t="shared" si="973"/>
        <v>-1000</v>
      </c>
      <c r="CR287" s="47"/>
      <c r="CS287" s="47"/>
      <c r="CT287" s="47"/>
      <c r="CU287" s="50" t="str">
        <f>IFERROR(__xludf.DUMMYFUNCTION("""COMPUTED_VALUE"""),"16555 Preston Trail Dr
Dallas, TX 75201         ")</f>
        <v>16555 Preston Trail Dr
Dallas, TX 75201         </v>
      </c>
      <c r="CV287" s="51">
        <f>IFERROR(__xludf.DUMMYFUNCTION("IF(REGEXMATCH(UPPER(CU287), ""TX""),0,1)"),0.0)</f>
        <v>0</v>
      </c>
      <c r="CW287" s="51">
        <f>IFERROR(__xludf.DUMMYFUNCTION("IF(REGEXMATCH(UPPER(CU287), ""DALLAS""),0,1)"),0.0)</f>
        <v>0</v>
      </c>
      <c r="CX287" s="51">
        <f t="shared" si="17"/>
        <v>0</v>
      </c>
      <c r="CY287" s="51">
        <f t="shared" si="18"/>
        <v>0</v>
      </c>
      <c r="CZ287" s="52" t="str">
        <f t="shared" si="19"/>
        <v/>
      </c>
      <c r="DA287" s="58"/>
      <c r="DB287" s="52"/>
      <c r="DC287" s="52"/>
      <c r="DD287" s="52"/>
      <c r="DE287" s="52"/>
      <c r="DF287" s="52"/>
      <c r="DG287" s="52"/>
      <c r="DH287" s="52"/>
      <c r="DI287" s="52"/>
      <c r="DJ287" s="52"/>
      <c r="DK287" s="52"/>
      <c r="DL287" s="52"/>
      <c r="DM287" s="52"/>
      <c r="DN287" s="52"/>
      <c r="DO287" s="52"/>
      <c r="DP287" s="52"/>
      <c r="DQ287" s="52"/>
      <c r="DR287" s="52"/>
      <c r="DS287" s="52"/>
      <c r="DT287" s="52"/>
      <c r="DU287" s="52"/>
      <c r="DV287" s="52"/>
      <c r="DW287" s="52"/>
    </row>
    <row r="288">
      <c r="A288" s="23" t="s">
        <v>64</v>
      </c>
      <c r="B288" s="23" t="s">
        <v>56</v>
      </c>
      <c r="C288" s="31" t="s">
        <v>803</v>
      </c>
      <c r="D288" s="25" t="str">
        <f>IFERROR(__xludf.DUMMYFUNCTION("SPLIT(C288,"" "")"),"Nye,")</f>
        <v>Nye,</v>
      </c>
      <c r="E288" s="22" t="str">
        <f>IFERROR(__xludf.DUMMYFUNCTION("""COMPUTED_VALUE"""),"Erle
8523")</f>
        <v>Erle
8523</v>
      </c>
      <c r="F288" s="22" t="str">
        <f>IFERROR(__xludf.DUMMYFUNCTION("""COMPUTED_VALUE"""),"Thackery")</f>
        <v>Thackery</v>
      </c>
      <c r="G288" s="22" t="str">
        <f>IFERROR(__xludf.DUMMYFUNCTION("""COMPUTED_VALUE"""),"St
Dallas,")</f>
        <v>St
Dallas,</v>
      </c>
      <c r="H288" s="22" t="str">
        <f>IFERROR(__xludf.DUMMYFUNCTION("""COMPUTED_VALUE"""),"TX")</f>
        <v>TX</v>
      </c>
      <c r="I288" s="22">
        <f>IFERROR(__xludf.DUMMYFUNCTION("""COMPUTED_VALUE"""),75225.0)</f>
        <v>75225</v>
      </c>
      <c r="J288" s="22"/>
      <c r="K288" s="22"/>
      <c r="L288" s="22"/>
      <c r="M288" s="22"/>
      <c r="N288" s="22"/>
      <c r="O288" s="22"/>
      <c r="P288" s="22"/>
      <c r="Q288" s="22"/>
      <c r="R288" s="22"/>
      <c r="S288" s="22"/>
      <c r="T288" s="22"/>
      <c r="U288" s="24" t="str">
        <f>IFERROR(__xludf.DUMMYFUNCTION("SPLIT(E288,""01234567890"")"),"Erle
")</f>
        <v>Erle
</v>
      </c>
      <c r="V288" s="24" t="str">
        <f>IFERROR(__xludf.DUMMYFUNCTION("SPLIT(D288,"","")"),"Nye")</f>
        <v>Nye</v>
      </c>
      <c r="W288" s="25" t="str">
        <f t="shared" si="1"/>
        <v>ERLE
 NYE</v>
      </c>
      <c r="X288" s="25" t="s">
        <v>804</v>
      </c>
      <c r="Y288" s="25">
        <v>75225.0</v>
      </c>
      <c r="Z288" s="25" t="str">
        <f>IFERROR(__xludf.DUMMYFUNCTION("SPLIT(C288,""
"")"),"Nye, Erle")</f>
        <v>Nye, Erle</v>
      </c>
      <c r="AA288" s="25" t="str">
        <f>IFERROR(__xludf.DUMMYFUNCTION("""COMPUTED_VALUE"""),"8523 Thackery St")</f>
        <v>8523 Thackery St</v>
      </c>
      <c r="AB288" s="25" t="str">
        <f>IFERROR(__xludf.DUMMYFUNCTION("""COMPUTED_VALUE"""),"Dallas, TX 75225")</f>
        <v>Dallas, TX 75225</v>
      </c>
      <c r="AC288" s="24" t="s">
        <v>805</v>
      </c>
      <c r="AD288" s="25"/>
      <c r="AE288" s="25"/>
      <c r="AF288" s="25"/>
      <c r="AG288" s="22" t="s">
        <v>60</v>
      </c>
      <c r="AH288" s="54">
        <v>2437.0</v>
      </c>
      <c r="AI288" s="22" t="s">
        <v>61</v>
      </c>
      <c r="AJ288" s="27">
        <v>1000.0</v>
      </c>
      <c r="AK288" s="31" t="s">
        <v>25</v>
      </c>
      <c r="AL288" s="28">
        <v>44691.0</v>
      </c>
      <c r="AM288" s="29">
        <v>44754.83237268519</v>
      </c>
      <c r="AN288" s="30">
        <v>2.0</v>
      </c>
      <c r="AO288" s="22"/>
      <c r="AP288" s="22"/>
      <c r="AQ288" s="22"/>
      <c r="AR288" s="22"/>
      <c r="AS288" s="22"/>
      <c r="AT288" s="70"/>
      <c r="AU288" s="22"/>
      <c r="AV288" s="57" t="str">
        <f>IFERROR(__xludf.DUMMYFUNCTION("""COMPUTED_VALUE"""),"Falvo")</f>
        <v>Falvo</v>
      </c>
      <c r="AW288" s="46">
        <f t="shared" si="7"/>
        <v>500</v>
      </c>
      <c r="AX288" s="47">
        <f t="shared" ref="AX288:BQ288" si="974">SUMIFS($AJ:$AJ,$V:$V,$AV288,$AK:$AK,AX$2)</f>
        <v>0</v>
      </c>
      <c r="AY288" s="48">
        <f t="shared" si="974"/>
        <v>0</v>
      </c>
      <c r="AZ288" s="48">
        <f t="shared" si="974"/>
        <v>0</v>
      </c>
      <c r="BA288" s="48">
        <f t="shared" si="974"/>
        <v>0</v>
      </c>
      <c r="BB288" s="48">
        <f t="shared" si="974"/>
        <v>500</v>
      </c>
      <c r="BC288" s="48">
        <f t="shared" si="974"/>
        <v>0</v>
      </c>
      <c r="BD288" s="48">
        <f t="shared" si="974"/>
        <v>0</v>
      </c>
      <c r="BE288" s="48">
        <f t="shared" si="974"/>
        <v>0</v>
      </c>
      <c r="BF288" s="48">
        <f t="shared" si="974"/>
        <v>0</v>
      </c>
      <c r="BG288" s="48">
        <f t="shared" si="974"/>
        <v>0</v>
      </c>
      <c r="BH288" s="48">
        <f t="shared" si="974"/>
        <v>0</v>
      </c>
      <c r="BI288" s="48">
        <f t="shared" si="974"/>
        <v>0</v>
      </c>
      <c r="BJ288" s="48">
        <f t="shared" si="974"/>
        <v>0</v>
      </c>
      <c r="BK288" s="48">
        <f t="shared" si="974"/>
        <v>0</v>
      </c>
      <c r="BL288" s="48">
        <f t="shared" si="974"/>
        <v>0</v>
      </c>
      <c r="BM288" s="48">
        <f t="shared" si="974"/>
        <v>0</v>
      </c>
      <c r="BN288" s="48">
        <f t="shared" si="974"/>
        <v>0</v>
      </c>
      <c r="BO288" s="48">
        <f t="shared" si="974"/>
        <v>0</v>
      </c>
      <c r="BP288" s="48">
        <f t="shared" si="974"/>
        <v>0</v>
      </c>
      <c r="BQ288" s="48">
        <f t="shared" si="974"/>
        <v>0</v>
      </c>
      <c r="BR288" s="36">
        <f t="shared" si="9"/>
        <v>0</v>
      </c>
      <c r="BS288" s="38">
        <f t="shared" si="10"/>
        <v>1</v>
      </c>
      <c r="BT288" s="49">
        <f t="shared" si="11"/>
        <v>0</v>
      </c>
      <c r="BU288" s="38">
        <f t="shared" si="12"/>
        <v>1000</v>
      </c>
      <c r="BV288" s="57" t="str">
        <f>IFERROR(__xludf.DUMMYFUNCTION("""COMPUTED_VALUE"""),"Falvo")</f>
        <v>Falvo</v>
      </c>
      <c r="BW288" s="46">
        <f t="shared" si="13"/>
        <v>500</v>
      </c>
      <c r="BX288" s="47">
        <f t="shared" ref="BX288:CA288" si="975">AX288-$BU288</f>
        <v>-1000</v>
      </c>
      <c r="BY288" s="47">
        <f t="shared" si="975"/>
        <v>-1000</v>
      </c>
      <c r="BZ288" s="47">
        <f t="shared" si="975"/>
        <v>-1000</v>
      </c>
      <c r="CA288" s="47">
        <f t="shared" si="975"/>
        <v>-1000</v>
      </c>
      <c r="CB288" s="47">
        <f t="shared" si="15"/>
        <v>-9500</v>
      </c>
      <c r="CC288" s="47">
        <f t="shared" ref="CC288:CQ288" si="976">BC288-$BU288</f>
        <v>-1000</v>
      </c>
      <c r="CD288" s="47">
        <f t="shared" si="976"/>
        <v>-1000</v>
      </c>
      <c r="CE288" s="47">
        <f t="shared" si="976"/>
        <v>-1000</v>
      </c>
      <c r="CF288" s="47">
        <f t="shared" si="976"/>
        <v>-1000</v>
      </c>
      <c r="CG288" s="47">
        <f t="shared" si="976"/>
        <v>-1000</v>
      </c>
      <c r="CH288" s="47">
        <f t="shared" si="976"/>
        <v>-1000</v>
      </c>
      <c r="CI288" s="47">
        <f t="shared" si="976"/>
        <v>-1000</v>
      </c>
      <c r="CJ288" s="47">
        <f t="shared" si="976"/>
        <v>-1000</v>
      </c>
      <c r="CK288" s="47">
        <f t="shared" si="976"/>
        <v>-1000</v>
      </c>
      <c r="CL288" s="47">
        <f t="shared" si="976"/>
        <v>-1000</v>
      </c>
      <c r="CM288" s="47">
        <f t="shared" si="976"/>
        <v>-1000</v>
      </c>
      <c r="CN288" s="47">
        <f t="shared" si="976"/>
        <v>-1000</v>
      </c>
      <c r="CO288" s="47">
        <f t="shared" si="976"/>
        <v>-1000</v>
      </c>
      <c r="CP288" s="47">
        <f t="shared" si="976"/>
        <v>-1000</v>
      </c>
      <c r="CQ288" s="47">
        <f t="shared" si="976"/>
        <v>-1000</v>
      </c>
      <c r="CR288" s="47"/>
      <c r="CS288" s="47"/>
      <c r="CT288" s="47"/>
      <c r="CU288" s="50" t="str">
        <f>IFERROR(__xludf.DUMMYFUNCTION("""COMPUTED_VALUE"""),"5310 Stonegate Dr
Dallas, TX 75209          ")</f>
        <v>5310 Stonegate Dr
Dallas, TX 75209          </v>
      </c>
      <c r="CV288" s="51">
        <f>IFERROR(__xludf.DUMMYFUNCTION("IF(REGEXMATCH(UPPER(CU288), ""TX""),0,1)"),0.0)</f>
        <v>0</v>
      </c>
      <c r="CW288" s="51">
        <f>IFERROR(__xludf.DUMMYFUNCTION("IF(REGEXMATCH(UPPER(CU288), ""DALLAS""),0,1)"),0.0)</f>
        <v>0</v>
      </c>
      <c r="CX288" s="51">
        <f t="shared" si="17"/>
        <v>0</v>
      </c>
      <c r="CY288" s="51">
        <f t="shared" si="18"/>
        <v>0</v>
      </c>
      <c r="CZ288" s="52" t="str">
        <f t="shared" si="19"/>
        <v/>
      </c>
      <c r="DA288" s="58"/>
      <c r="DB288" s="52"/>
      <c r="DC288" s="52"/>
      <c r="DD288" s="52"/>
      <c r="DE288" s="52"/>
      <c r="DF288" s="52"/>
      <c r="DG288" s="52"/>
      <c r="DH288" s="52"/>
      <c r="DI288" s="52"/>
      <c r="DJ288" s="52"/>
      <c r="DK288" s="52"/>
      <c r="DL288" s="52"/>
      <c r="DM288" s="52"/>
      <c r="DN288" s="52"/>
      <c r="DO288" s="52"/>
      <c r="DP288" s="52"/>
      <c r="DQ288" s="52"/>
      <c r="DR288" s="52"/>
      <c r="DS288" s="52"/>
      <c r="DT288" s="52"/>
      <c r="DU288" s="52"/>
      <c r="DV288" s="52"/>
      <c r="DW288" s="52"/>
    </row>
    <row r="289">
      <c r="A289" s="40" t="s">
        <v>55</v>
      </c>
      <c r="B289" s="41" t="s">
        <v>56</v>
      </c>
      <c r="C289" s="31" t="s">
        <v>806</v>
      </c>
      <c r="D289" s="25" t="str">
        <f>IFERROR(__xludf.DUMMYFUNCTION("SPLIT(C289,"" "")"),"Rajani,")</f>
        <v>Rajani,</v>
      </c>
      <c r="E289" s="40" t="str">
        <f>IFERROR(__xludf.DUMMYFUNCTION("""COMPUTED_VALUE"""),"Saleem
515")</f>
        <v>Saleem
515</v>
      </c>
      <c r="F289" s="40" t="str">
        <f>IFERROR(__xludf.DUMMYFUNCTION("""COMPUTED_VALUE"""),"W")</f>
        <v>W</v>
      </c>
      <c r="G289" s="40" t="str">
        <f>IFERROR(__xludf.DUMMYFUNCTION("""COMPUTED_VALUE"""),"Main")</f>
        <v>Main</v>
      </c>
      <c r="H289" s="40" t="str">
        <f>IFERROR(__xludf.DUMMYFUNCTION("""COMPUTED_VALUE"""),"St
Allen,")</f>
        <v>St
Allen,</v>
      </c>
      <c r="I289" s="40" t="str">
        <f>IFERROR(__xludf.DUMMYFUNCTION("""COMPUTED_VALUE"""),"TX")</f>
        <v>TX</v>
      </c>
      <c r="J289" s="40">
        <f>IFERROR(__xludf.DUMMYFUNCTION("""COMPUTED_VALUE"""),75013.0)</f>
        <v>75013</v>
      </c>
      <c r="K289" s="40"/>
      <c r="L289" s="40"/>
      <c r="M289" s="40"/>
      <c r="N289" s="40"/>
      <c r="O289" s="40"/>
      <c r="P289" s="40"/>
      <c r="Q289" s="40"/>
      <c r="R289" s="40"/>
      <c r="S289" s="40"/>
      <c r="T289" s="40"/>
      <c r="U289" s="24" t="str">
        <f>IFERROR(__xludf.DUMMYFUNCTION("SPLIT(E289,""01234567890"")"),"Saleem
")</f>
        <v>Saleem
</v>
      </c>
      <c r="V289" s="24" t="str">
        <f>IFERROR(__xludf.DUMMYFUNCTION("SPLIT(D289,"","")"),"Rajani")</f>
        <v>Rajani</v>
      </c>
      <c r="W289" s="25" t="str">
        <f t="shared" si="1"/>
        <v>SALEEM
 RAJANI</v>
      </c>
      <c r="X289" s="25" t="s">
        <v>807</v>
      </c>
      <c r="Y289" s="25">
        <v>75013.0</v>
      </c>
      <c r="Z289" s="25" t="str">
        <f>IFERROR(__xludf.DUMMYFUNCTION("SPLIT(C289,""
"")"),"Rajani, Saleem")</f>
        <v>Rajani, Saleem</v>
      </c>
      <c r="AA289" s="25" t="str">
        <f>IFERROR(__xludf.DUMMYFUNCTION("""COMPUTED_VALUE"""),"515 W Main St")</f>
        <v>515 W Main St</v>
      </c>
      <c r="AB289" s="25" t="str">
        <f>IFERROR(__xludf.DUMMYFUNCTION("""COMPUTED_VALUE"""),"Allen, TX 75013")</f>
        <v>Allen, TX 75013</v>
      </c>
      <c r="AC289" s="24" t="s">
        <v>808</v>
      </c>
      <c r="AD289" s="25"/>
      <c r="AE289" s="25"/>
      <c r="AF289" s="25"/>
      <c r="AG289" s="40" t="s">
        <v>60</v>
      </c>
      <c r="AH289" s="42">
        <v>2437.0</v>
      </c>
      <c r="AI289" s="40" t="s">
        <v>61</v>
      </c>
      <c r="AJ289" s="27">
        <v>250.0</v>
      </c>
      <c r="AK289" s="31" t="s">
        <v>25</v>
      </c>
      <c r="AL289" s="43">
        <v>44726.0</v>
      </c>
      <c r="AM289" s="44">
        <v>44754.83237268519</v>
      </c>
      <c r="AN289" s="30">
        <v>2.0</v>
      </c>
      <c r="AO289" s="40"/>
      <c r="AP289" s="40"/>
      <c r="AQ289" s="40"/>
      <c r="AR289" s="40"/>
      <c r="AS289" s="40"/>
      <c r="AT289" s="47"/>
      <c r="AU289" s="40"/>
      <c r="AV289" s="46" t="str">
        <f>IFERROR(__xludf.DUMMYFUNCTION("""COMPUTED_VALUE"""),"Bullock")</f>
        <v>Bullock</v>
      </c>
      <c r="AW289" s="46">
        <f t="shared" si="7"/>
        <v>85</v>
      </c>
      <c r="AX289" s="47">
        <f t="shared" ref="AX289:BQ289" si="977">SUMIFS($AJ:$AJ,$V:$V,$AV289,$AK:$AK,AX$2)</f>
        <v>0</v>
      </c>
      <c r="AY289" s="48">
        <f t="shared" si="977"/>
        <v>0</v>
      </c>
      <c r="AZ289" s="48">
        <f t="shared" si="977"/>
        <v>0</v>
      </c>
      <c r="BA289" s="48">
        <f t="shared" si="977"/>
        <v>0</v>
      </c>
      <c r="BB289" s="48">
        <f t="shared" si="977"/>
        <v>85</v>
      </c>
      <c r="BC289" s="48">
        <f t="shared" si="977"/>
        <v>0</v>
      </c>
      <c r="BD289" s="48">
        <f t="shared" si="977"/>
        <v>0</v>
      </c>
      <c r="BE289" s="48">
        <f t="shared" si="977"/>
        <v>0</v>
      </c>
      <c r="BF289" s="48">
        <f t="shared" si="977"/>
        <v>0</v>
      </c>
      <c r="BG289" s="48">
        <f t="shared" si="977"/>
        <v>0</v>
      </c>
      <c r="BH289" s="48">
        <f t="shared" si="977"/>
        <v>0</v>
      </c>
      <c r="BI289" s="48">
        <f t="shared" si="977"/>
        <v>0</v>
      </c>
      <c r="BJ289" s="48">
        <f t="shared" si="977"/>
        <v>0</v>
      </c>
      <c r="BK289" s="48">
        <f t="shared" si="977"/>
        <v>0</v>
      </c>
      <c r="BL289" s="48">
        <f t="shared" si="977"/>
        <v>0</v>
      </c>
      <c r="BM289" s="48">
        <f t="shared" si="977"/>
        <v>0</v>
      </c>
      <c r="BN289" s="48">
        <f t="shared" si="977"/>
        <v>0</v>
      </c>
      <c r="BO289" s="48">
        <f t="shared" si="977"/>
        <v>0</v>
      </c>
      <c r="BP289" s="48">
        <f t="shared" si="977"/>
        <v>0</v>
      </c>
      <c r="BQ289" s="48">
        <f t="shared" si="977"/>
        <v>0</v>
      </c>
      <c r="BR289" s="36">
        <f t="shared" si="9"/>
        <v>1</v>
      </c>
      <c r="BS289" s="38">
        <f t="shared" si="10"/>
        <v>2</v>
      </c>
      <c r="BT289" s="49">
        <f t="shared" si="11"/>
        <v>0</v>
      </c>
      <c r="BU289" s="38">
        <f t="shared" si="12"/>
        <v>2000</v>
      </c>
      <c r="BV289" s="46" t="str">
        <f>IFERROR(__xludf.DUMMYFUNCTION("""COMPUTED_VALUE"""),"Bullock")</f>
        <v>Bullock</v>
      </c>
      <c r="BW289" s="46">
        <f t="shared" si="13"/>
        <v>85</v>
      </c>
      <c r="BX289" s="47">
        <f t="shared" ref="BX289:CA289" si="978">AX289-$BU289</f>
        <v>-2000</v>
      </c>
      <c r="BY289" s="47">
        <f t="shared" si="978"/>
        <v>-2000</v>
      </c>
      <c r="BZ289" s="47">
        <f t="shared" si="978"/>
        <v>-2000</v>
      </c>
      <c r="CA289" s="47">
        <f t="shared" si="978"/>
        <v>-2000</v>
      </c>
      <c r="CB289" s="47">
        <f t="shared" si="15"/>
        <v>-19915</v>
      </c>
      <c r="CC289" s="47">
        <f t="shared" ref="CC289:CQ289" si="979">BC289-$BU289</f>
        <v>-2000</v>
      </c>
      <c r="CD289" s="47">
        <f t="shared" si="979"/>
        <v>-2000</v>
      </c>
      <c r="CE289" s="47">
        <f t="shared" si="979"/>
        <v>-2000</v>
      </c>
      <c r="CF289" s="47">
        <f t="shared" si="979"/>
        <v>-2000</v>
      </c>
      <c r="CG289" s="47">
        <f t="shared" si="979"/>
        <v>-2000</v>
      </c>
      <c r="CH289" s="47">
        <f t="shared" si="979"/>
        <v>-2000</v>
      </c>
      <c r="CI289" s="47">
        <f t="shared" si="979"/>
        <v>-2000</v>
      </c>
      <c r="CJ289" s="47">
        <f t="shared" si="979"/>
        <v>-2000</v>
      </c>
      <c r="CK289" s="47">
        <f t="shared" si="979"/>
        <v>-2000</v>
      </c>
      <c r="CL289" s="47">
        <f t="shared" si="979"/>
        <v>-2000</v>
      </c>
      <c r="CM289" s="47">
        <f t="shared" si="979"/>
        <v>-2000</v>
      </c>
      <c r="CN289" s="47">
        <f t="shared" si="979"/>
        <v>-2000</v>
      </c>
      <c r="CO289" s="47">
        <f t="shared" si="979"/>
        <v>-2000</v>
      </c>
      <c r="CP289" s="47">
        <f t="shared" si="979"/>
        <v>-2000</v>
      </c>
      <c r="CQ289" s="47">
        <f t="shared" si="979"/>
        <v>-2000</v>
      </c>
      <c r="CR289" s="47"/>
      <c r="CS289" s="47"/>
      <c r="CT289" s="47"/>
      <c r="CU289" s="50" t="str">
        <f>IFERROR(__xludf.DUMMYFUNCTION("""COMPUTED_VALUE"""),"5500 Caruth Haven Ln
Dallas, TX 75225         ")</f>
        <v>5500 Caruth Haven Ln
Dallas, TX 75225         </v>
      </c>
      <c r="CV289" s="51">
        <f>IFERROR(__xludf.DUMMYFUNCTION("IF(REGEXMATCH(UPPER(CU289), ""TX""),0,1)"),0.0)</f>
        <v>0</v>
      </c>
      <c r="CW289" s="51">
        <f>IFERROR(__xludf.DUMMYFUNCTION("IF(REGEXMATCH(UPPER(CU289), ""DALLAS""),0,1)"),0.0)</f>
        <v>0</v>
      </c>
      <c r="CX289" s="51">
        <f t="shared" si="17"/>
        <v>0</v>
      </c>
      <c r="CY289" s="51">
        <f t="shared" si="18"/>
        <v>0</v>
      </c>
      <c r="CZ289" s="52" t="str">
        <f t="shared" si="19"/>
        <v/>
      </c>
      <c r="DA289" s="58"/>
      <c r="DB289" s="52"/>
      <c r="DC289" s="52"/>
      <c r="DD289" s="52"/>
      <c r="DE289" s="52"/>
      <c r="DF289" s="52"/>
      <c r="DG289" s="52"/>
      <c r="DH289" s="52"/>
      <c r="DI289" s="52"/>
      <c r="DJ289" s="52"/>
      <c r="DK289" s="52"/>
      <c r="DL289" s="52"/>
      <c r="DM289" s="52"/>
      <c r="DN289" s="52"/>
      <c r="DO289" s="52"/>
      <c r="DP289" s="52"/>
      <c r="DQ289" s="52"/>
      <c r="DR289" s="52"/>
      <c r="DS289" s="52"/>
      <c r="DT289" s="52"/>
      <c r="DU289" s="52"/>
      <c r="DV289" s="52"/>
      <c r="DW289" s="52"/>
    </row>
    <row r="290">
      <c r="A290" s="23" t="s">
        <v>64</v>
      </c>
      <c r="B290" s="23" t="s">
        <v>56</v>
      </c>
      <c r="C290" s="31" t="s">
        <v>809</v>
      </c>
      <c r="D290" s="25" t="str">
        <f>IFERROR(__xludf.DUMMYFUNCTION("SPLIT(C290,"" "")"),"Rose,")</f>
        <v>Rose,</v>
      </c>
      <c r="E290" s="22" t="str">
        <f>IFERROR(__xludf.DUMMYFUNCTION("""COMPUTED_VALUE"""),"Deedie
3963")</f>
        <v>Deedie
3963</v>
      </c>
      <c r="F290" s="22" t="str">
        <f>IFERROR(__xludf.DUMMYFUNCTION("""COMPUTED_VALUE"""),"Maple")</f>
        <v>Maple</v>
      </c>
      <c r="G290" s="22" t="str">
        <f>IFERROR(__xludf.DUMMYFUNCTION("""COMPUTED_VALUE"""),"Ave
Dallas,")</f>
        <v>Ave
Dallas,</v>
      </c>
      <c r="H290" s="22" t="str">
        <f>IFERROR(__xludf.DUMMYFUNCTION("""COMPUTED_VALUE"""),"TX")</f>
        <v>TX</v>
      </c>
      <c r="I290" s="22">
        <f>IFERROR(__xludf.DUMMYFUNCTION("""COMPUTED_VALUE"""),75219.0)</f>
        <v>75219</v>
      </c>
      <c r="J290" s="22"/>
      <c r="K290" s="22"/>
      <c r="L290" s="22"/>
      <c r="M290" s="22"/>
      <c r="N290" s="22"/>
      <c r="O290" s="22"/>
      <c r="P290" s="22"/>
      <c r="Q290" s="22"/>
      <c r="R290" s="22"/>
      <c r="S290" s="22"/>
      <c r="T290" s="22"/>
      <c r="U290" s="24" t="str">
        <f>IFERROR(__xludf.DUMMYFUNCTION("SPLIT(E290,""01234567890"")"),"Deedie
")</f>
        <v>Deedie
</v>
      </c>
      <c r="V290" s="24" t="str">
        <f>IFERROR(__xludf.DUMMYFUNCTION("SPLIT(D290,"","")"),"Rose")</f>
        <v>Rose</v>
      </c>
      <c r="W290" s="25" t="str">
        <f t="shared" si="1"/>
        <v>DEEDIE
 ROSE</v>
      </c>
      <c r="X290" s="25" t="s">
        <v>810</v>
      </c>
      <c r="Y290" s="25">
        <v>75219.0</v>
      </c>
      <c r="Z290" s="25" t="str">
        <f>IFERROR(__xludf.DUMMYFUNCTION("SPLIT(C290,""
"")"),"Rose, Deedie")</f>
        <v>Rose, Deedie</v>
      </c>
      <c r="AA290" s="25" t="str">
        <f>IFERROR(__xludf.DUMMYFUNCTION("""COMPUTED_VALUE"""),"3963 Maple Ave")</f>
        <v>3963 Maple Ave</v>
      </c>
      <c r="AB290" s="25" t="str">
        <f>IFERROR(__xludf.DUMMYFUNCTION("""COMPUTED_VALUE"""),"Dallas, TX 75219")</f>
        <v>Dallas, TX 75219</v>
      </c>
      <c r="AC290" s="24" t="s">
        <v>811</v>
      </c>
      <c r="AD290" s="25"/>
      <c r="AE290" s="25"/>
      <c r="AF290" s="25"/>
      <c r="AG290" s="22" t="s">
        <v>60</v>
      </c>
      <c r="AH290" s="54">
        <v>2437.0</v>
      </c>
      <c r="AI290" s="22" t="s">
        <v>61</v>
      </c>
      <c r="AJ290" s="27">
        <v>5000.0</v>
      </c>
      <c r="AK290" s="31" t="s">
        <v>25</v>
      </c>
      <c r="AL290" s="28">
        <v>44708.0</v>
      </c>
      <c r="AM290" s="29">
        <v>44754.83237268519</v>
      </c>
      <c r="AN290" s="30">
        <v>2.0</v>
      </c>
      <c r="AO290" s="22"/>
      <c r="AP290" s="22"/>
      <c r="AQ290" s="22"/>
      <c r="AR290" s="22"/>
      <c r="AS290" s="22"/>
      <c r="AT290" s="70"/>
      <c r="AU290" s="22"/>
      <c r="AV290" s="57" t="str">
        <f>IFERROR(__xludf.DUMMYFUNCTION("""COMPUTED_VALUE"""),"Nash-Huntley")</f>
        <v>Nash-Huntley</v>
      </c>
      <c r="AW290" s="46">
        <f t="shared" si="7"/>
        <v>500</v>
      </c>
      <c r="AX290" s="47">
        <f t="shared" ref="AX290:BQ290" si="980">SUMIFS($AJ:$AJ,$V:$V,$AV290,$AK:$AK,AX$2)</f>
        <v>0</v>
      </c>
      <c r="AY290" s="48">
        <f t="shared" si="980"/>
        <v>0</v>
      </c>
      <c r="AZ290" s="48">
        <f t="shared" si="980"/>
        <v>0</v>
      </c>
      <c r="BA290" s="48">
        <f t="shared" si="980"/>
        <v>0</v>
      </c>
      <c r="BB290" s="48">
        <f t="shared" si="980"/>
        <v>500</v>
      </c>
      <c r="BC290" s="48">
        <f t="shared" si="980"/>
        <v>0</v>
      </c>
      <c r="BD290" s="48">
        <f t="shared" si="980"/>
        <v>0</v>
      </c>
      <c r="BE290" s="48">
        <f t="shared" si="980"/>
        <v>0</v>
      </c>
      <c r="BF290" s="48">
        <f t="shared" si="980"/>
        <v>0</v>
      </c>
      <c r="BG290" s="48">
        <f t="shared" si="980"/>
        <v>0</v>
      </c>
      <c r="BH290" s="48">
        <f t="shared" si="980"/>
        <v>0</v>
      </c>
      <c r="BI290" s="48">
        <f t="shared" si="980"/>
        <v>0</v>
      </c>
      <c r="BJ290" s="48">
        <f t="shared" si="980"/>
        <v>0</v>
      </c>
      <c r="BK290" s="48">
        <f t="shared" si="980"/>
        <v>0</v>
      </c>
      <c r="BL290" s="48">
        <f t="shared" si="980"/>
        <v>0</v>
      </c>
      <c r="BM290" s="48">
        <f t="shared" si="980"/>
        <v>0</v>
      </c>
      <c r="BN290" s="48">
        <f t="shared" si="980"/>
        <v>0</v>
      </c>
      <c r="BO290" s="48">
        <f t="shared" si="980"/>
        <v>0</v>
      </c>
      <c r="BP290" s="48">
        <f t="shared" si="980"/>
        <v>0</v>
      </c>
      <c r="BQ290" s="48">
        <f t="shared" si="980"/>
        <v>0</v>
      </c>
      <c r="BR290" s="36">
        <f t="shared" si="9"/>
        <v>0</v>
      </c>
      <c r="BS290" s="38">
        <f t="shared" si="10"/>
        <v>1</v>
      </c>
      <c r="BT290" s="49">
        <f t="shared" si="11"/>
        <v>0</v>
      </c>
      <c r="BU290" s="38">
        <f t="shared" si="12"/>
        <v>1000</v>
      </c>
      <c r="BV290" s="57" t="str">
        <f>IFERROR(__xludf.DUMMYFUNCTION("""COMPUTED_VALUE"""),"Nash-Huntley")</f>
        <v>Nash-Huntley</v>
      </c>
      <c r="BW290" s="46">
        <f t="shared" si="13"/>
        <v>500</v>
      </c>
      <c r="BX290" s="47">
        <f t="shared" ref="BX290:CA290" si="981">AX290-$BU290</f>
        <v>-1000</v>
      </c>
      <c r="BY290" s="47">
        <f t="shared" si="981"/>
        <v>-1000</v>
      </c>
      <c r="BZ290" s="47">
        <f t="shared" si="981"/>
        <v>-1000</v>
      </c>
      <c r="CA290" s="47">
        <f t="shared" si="981"/>
        <v>-1000</v>
      </c>
      <c r="CB290" s="47">
        <f t="shared" si="15"/>
        <v>-9500</v>
      </c>
      <c r="CC290" s="47">
        <f t="shared" ref="CC290:CQ290" si="982">BC290-$BU290</f>
        <v>-1000</v>
      </c>
      <c r="CD290" s="47">
        <f t="shared" si="982"/>
        <v>-1000</v>
      </c>
      <c r="CE290" s="47">
        <f t="shared" si="982"/>
        <v>-1000</v>
      </c>
      <c r="CF290" s="47">
        <f t="shared" si="982"/>
        <v>-1000</v>
      </c>
      <c r="CG290" s="47">
        <f t="shared" si="982"/>
        <v>-1000</v>
      </c>
      <c r="CH290" s="47">
        <f t="shared" si="982"/>
        <v>-1000</v>
      </c>
      <c r="CI290" s="47">
        <f t="shared" si="982"/>
        <v>-1000</v>
      </c>
      <c r="CJ290" s="47">
        <f t="shared" si="982"/>
        <v>-1000</v>
      </c>
      <c r="CK290" s="47">
        <f t="shared" si="982"/>
        <v>-1000</v>
      </c>
      <c r="CL290" s="47">
        <f t="shared" si="982"/>
        <v>-1000</v>
      </c>
      <c r="CM290" s="47">
        <f t="shared" si="982"/>
        <v>-1000</v>
      </c>
      <c r="CN290" s="47">
        <f t="shared" si="982"/>
        <v>-1000</v>
      </c>
      <c r="CO290" s="47">
        <f t="shared" si="982"/>
        <v>-1000</v>
      </c>
      <c r="CP290" s="47">
        <f t="shared" si="982"/>
        <v>-1000</v>
      </c>
      <c r="CQ290" s="47">
        <f t="shared" si="982"/>
        <v>-1000</v>
      </c>
      <c r="CR290" s="47"/>
      <c r="CS290" s="47"/>
      <c r="CT290" s="47"/>
      <c r="CU290" s="50" t="str">
        <f>IFERROR(__xludf.DUMMYFUNCTION("""COMPUTED_VALUE"""),"4117 COLGATE AVE
Dallas, TX 75225          ")</f>
        <v>4117 COLGATE AVE
Dallas, TX 75225          </v>
      </c>
      <c r="CV290" s="51">
        <f>IFERROR(__xludf.DUMMYFUNCTION("IF(REGEXMATCH(UPPER(CU290), ""TX""),0,1)"),0.0)</f>
        <v>0</v>
      </c>
      <c r="CW290" s="51">
        <f>IFERROR(__xludf.DUMMYFUNCTION("IF(REGEXMATCH(UPPER(CU290), ""DALLAS""),0,1)"),0.0)</f>
        <v>0</v>
      </c>
      <c r="CX290" s="51">
        <f t="shared" si="17"/>
        <v>0</v>
      </c>
      <c r="CY290" s="51">
        <f t="shared" si="18"/>
        <v>0</v>
      </c>
      <c r="CZ290" s="52" t="str">
        <f t="shared" si="19"/>
        <v/>
      </c>
      <c r="DA290" s="58"/>
      <c r="DB290" s="52"/>
      <c r="DC290" s="52"/>
      <c r="DD290" s="52"/>
      <c r="DE290" s="52"/>
      <c r="DF290" s="52"/>
      <c r="DG290" s="52"/>
      <c r="DH290" s="52"/>
      <c r="DI290" s="52"/>
      <c r="DJ290" s="52"/>
      <c r="DK290" s="52"/>
      <c r="DL290" s="52"/>
      <c r="DM290" s="52"/>
      <c r="DN290" s="52"/>
      <c r="DO290" s="52"/>
      <c r="DP290" s="52"/>
      <c r="DQ290" s="52"/>
      <c r="DR290" s="52"/>
      <c r="DS290" s="52"/>
      <c r="DT290" s="52"/>
      <c r="DU290" s="52"/>
      <c r="DV290" s="52"/>
      <c r="DW290" s="52"/>
    </row>
    <row r="291">
      <c r="A291" s="40" t="s">
        <v>55</v>
      </c>
      <c r="B291" s="41" t="s">
        <v>56</v>
      </c>
      <c r="C291" s="31" t="s">
        <v>812</v>
      </c>
      <c r="D291" s="25" t="str">
        <f>IFERROR(__xludf.DUMMYFUNCTION("SPLIT(C291,"" "")"),"Sampson,")</f>
        <v>Sampson,</v>
      </c>
      <c r="E291" s="40" t="str">
        <f>IFERROR(__xludf.DUMMYFUNCTION("""COMPUTED_VALUE"""),"Demetris
PO")</f>
        <v>Demetris
PO</v>
      </c>
      <c r="F291" s="40" t="str">
        <f>IFERROR(__xludf.DUMMYFUNCTION("""COMPUTED_VALUE"""),"Box")</f>
        <v>Box</v>
      </c>
      <c r="G291" s="40" t="str">
        <f>IFERROR(__xludf.DUMMYFUNCTION("""COMPUTED_VALUE"""),"763834
Dallas,")</f>
        <v>763834
Dallas,</v>
      </c>
      <c r="H291" s="40" t="str">
        <f>IFERROR(__xludf.DUMMYFUNCTION("""COMPUTED_VALUE"""),"TX")</f>
        <v>TX</v>
      </c>
      <c r="I291" s="40">
        <f>IFERROR(__xludf.DUMMYFUNCTION("""COMPUTED_VALUE"""),75376.0)</f>
        <v>75376</v>
      </c>
      <c r="J291" s="40"/>
      <c r="K291" s="40"/>
      <c r="L291" s="40"/>
      <c r="M291" s="40"/>
      <c r="N291" s="40"/>
      <c r="O291" s="40"/>
      <c r="P291" s="40"/>
      <c r="Q291" s="40"/>
      <c r="R291" s="40"/>
      <c r="S291" s="40"/>
      <c r="T291" s="40"/>
      <c r="U291" s="24" t="str">
        <f>IFERROR(__xludf.DUMMYFUNCTION("SPLIT(E291,""01234567890"")"),"Demetris
PO")</f>
        <v>Demetris
PO</v>
      </c>
      <c r="V291" s="24" t="str">
        <f>IFERROR(__xludf.DUMMYFUNCTION("SPLIT(D291,"","")"),"Sampson")</f>
        <v>Sampson</v>
      </c>
      <c r="W291" s="25" t="str">
        <f t="shared" si="1"/>
        <v>DEMETRIS
PO SAMPSON</v>
      </c>
      <c r="X291" s="25" t="s">
        <v>813</v>
      </c>
      <c r="Y291" s="25">
        <v>75376.0</v>
      </c>
      <c r="Z291" s="25" t="str">
        <f>IFERROR(__xludf.DUMMYFUNCTION("SPLIT(C291,""
"")"),"Sampson, Demetris")</f>
        <v>Sampson, Demetris</v>
      </c>
      <c r="AA291" s="25" t="str">
        <f>IFERROR(__xludf.DUMMYFUNCTION("""COMPUTED_VALUE"""),"PO Box 763834")</f>
        <v>PO Box 763834</v>
      </c>
      <c r="AB291" s="25" t="str">
        <f>IFERROR(__xludf.DUMMYFUNCTION("""COMPUTED_VALUE"""),"Dallas, TX 75376")</f>
        <v>Dallas, TX 75376</v>
      </c>
      <c r="AC291" s="24" t="s">
        <v>814</v>
      </c>
      <c r="AD291" s="25"/>
      <c r="AE291" s="25"/>
      <c r="AF291" s="25"/>
      <c r="AG291" s="40" t="s">
        <v>60</v>
      </c>
      <c r="AH291" s="42">
        <v>2437.0</v>
      </c>
      <c r="AI291" s="40" t="s">
        <v>61</v>
      </c>
      <c r="AJ291" s="27">
        <v>1000.0</v>
      </c>
      <c r="AK291" s="31" t="s">
        <v>25</v>
      </c>
      <c r="AL291" s="43">
        <v>44718.0</v>
      </c>
      <c r="AM291" s="44">
        <v>44754.83237268519</v>
      </c>
      <c r="AN291" s="30">
        <v>2.0</v>
      </c>
      <c r="AO291" s="40"/>
      <c r="AP291" s="40"/>
      <c r="AQ291" s="40"/>
      <c r="AR291" s="40"/>
      <c r="AS291" s="40"/>
      <c r="AT291" s="47"/>
      <c r="AU291" s="40"/>
      <c r="AV291" s="46" t="str">
        <f>IFERROR(__xludf.DUMMYFUNCTION("""COMPUTED_VALUE"""),"Parobek")</f>
        <v>Parobek</v>
      </c>
      <c r="AW291" s="46">
        <f t="shared" si="7"/>
        <v>350</v>
      </c>
      <c r="AX291" s="47">
        <f t="shared" ref="AX291:BQ291" si="983">SUMIFS($AJ:$AJ,$V:$V,$AV291,$AK:$AK,AX$2)</f>
        <v>0</v>
      </c>
      <c r="AY291" s="48">
        <f t="shared" si="983"/>
        <v>0</v>
      </c>
      <c r="AZ291" s="48">
        <f t="shared" si="983"/>
        <v>0</v>
      </c>
      <c r="BA291" s="48">
        <f t="shared" si="983"/>
        <v>0</v>
      </c>
      <c r="BB291" s="48">
        <f t="shared" si="983"/>
        <v>350</v>
      </c>
      <c r="BC291" s="48">
        <f t="shared" si="983"/>
        <v>0</v>
      </c>
      <c r="BD291" s="48">
        <f t="shared" si="983"/>
        <v>0</v>
      </c>
      <c r="BE291" s="48">
        <f t="shared" si="983"/>
        <v>0</v>
      </c>
      <c r="BF291" s="48">
        <f t="shared" si="983"/>
        <v>0</v>
      </c>
      <c r="BG291" s="48">
        <f t="shared" si="983"/>
        <v>0</v>
      </c>
      <c r="BH291" s="48">
        <f t="shared" si="983"/>
        <v>0</v>
      </c>
      <c r="BI291" s="48">
        <f t="shared" si="983"/>
        <v>0</v>
      </c>
      <c r="BJ291" s="48">
        <f t="shared" si="983"/>
        <v>0</v>
      </c>
      <c r="BK291" s="48">
        <f t="shared" si="983"/>
        <v>0</v>
      </c>
      <c r="BL291" s="48">
        <f t="shared" si="983"/>
        <v>0</v>
      </c>
      <c r="BM291" s="48">
        <f t="shared" si="983"/>
        <v>0</v>
      </c>
      <c r="BN291" s="48">
        <f t="shared" si="983"/>
        <v>0</v>
      </c>
      <c r="BO291" s="48">
        <f t="shared" si="983"/>
        <v>0</v>
      </c>
      <c r="BP291" s="48">
        <f t="shared" si="983"/>
        <v>0</v>
      </c>
      <c r="BQ291" s="48">
        <f t="shared" si="983"/>
        <v>0</v>
      </c>
      <c r="BR291" s="36">
        <f t="shared" si="9"/>
        <v>0</v>
      </c>
      <c r="BS291" s="38">
        <f t="shared" si="10"/>
        <v>1</v>
      </c>
      <c r="BT291" s="49">
        <f t="shared" si="11"/>
        <v>0</v>
      </c>
      <c r="BU291" s="38">
        <f t="shared" si="12"/>
        <v>1000</v>
      </c>
      <c r="BV291" s="46" t="str">
        <f>IFERROR(__xludf.DUMMYFUNCTION("""COMPUTED_VALUE"""),"Parobek")</f>
        <v>Parobek</v>
      </c>
      <c r="BW291" s="46">
        <f t="shared" si="13"/>
        <v>350</v>
      </c>
      <c r="BX291" s="47">
        <f t="shared" ref="BX291:CA291" si="984">AX291-$BU291</f>
        <v>-1000</v>
      </c>
      <c r="BY291" s="47">
        <f t="shared" si="984"/>
        <v>-1000</v>
      </c>
      <c r="BZ291" s="47">
        <f t="shared" si="984"/>
        <v>-1000</v>
      </c>
      <c r="CA291" s="47">
        <f t="shared" si="984"/>
        <v>-1000</v>
      </c>
      <c r="CB291" s="47">
        <f t="shared" si="15"/>
        <v>-9650</v>
      </c>
      <c r="CC291" s="47">
        <f t="shared" ref="CC291:CQ291" si="985">BC291-$BU291</f>
        <v>-1000</v>
      </c>
      <c r="CD291" s="47">
        <f t="shared" si="985"/>
        <v>-1000</v>
      </c>
      <c r="CE291" s="47">
        <f t="shared" si="985"/>
        <v>-1000</v>
      </c>
      <c r="CF291" s="47">
        <f t="shared" si="985"/>
        <v>-1000</v>
      </c>
      <c r="CG291" s="47">
        <f t="shared" si="985"/>
        <v>-1000</v>
      </c>
      <c r="CH291" s="47">
        <f t="shared" si="985"/>
        <v>-1000</v>
      </c>
      <c r="CI291" s="47">
        <f t="shared" si="985"/>
        <v>-1000</v>
      </c>
      <c r="CJ291" s="47">
        <f t="shared" si="985"/>
        <v>-1000</v>
      </c>
      <c r="CK291" s="47">
        <f t="shared" si="985"/>
        <v>-1000</v>
      </c>
      <c r="CL291" s="47">
        <f t="shared" si="985"/>
        <v>-1000</v>
      </c>
      <c r="CM291" s="47">
        <f t="shared" si="985"/>
        <v>-1000</v>
      </c>
      <c r="CN291" s="47">
        <f t="shared" si="985"/>
        <v>-1000</v>
      </c>
      <c r="CO291" s="47">
        <f t="shared" si="985"/>
        <v>-1000</v>
      </c>
      <c r="CP291" s="47">
        <f t="shared" si="985"/>
        <v>-1000</v>
      </c>
      <c r="CQ291" s="47">
        <f t="shared" si="985"/>
        <v>-1000</v>
      </c>
      <c r="CR291" s="47"/>
      <c r="CS291" s="47"/>
      <c r="CT291" s="47"/>
      <c r="CU291" s="50" t="str">
        <f>IFERROR(__xludf.DUMMYFUNCTION("""COMPUTED_VALUE"""),"113 Cree Dr
Forest Heights, MD 20745         ")</f>
        <v>113 Cree Dr
Forest Heights, MD 20745         </v>
      </c>
      <c r="CV291" s="51">
        <f>IFERROR(__xludf.DUMMYFUNCTION("IF(REGEXMATCH(UPPER(CU291), ""TX""),0,1)"),1.0)</f>
        <v>1</v>
      </c>
      <c r="CW291" s="51">
        <f>IFERROR(__xludf.DUMMYFUNCTION("IF(REGEXMATCH(UPPER(CU291), ""DALLAS""),0,1)"),1.0)</f>
        <v>1</v>
      </c>
      <c r="CX291" s="51">
        <f t="shared" si="17"/>
        <v>1000</v>
      </c>
      <c r="CY291" s="51">
        <f t="shared" si="18"/>
        <v>1000</v>
      </c>
      <c r="CZ291" s="52" t="str">
        <f t="shared" si="19"/>
        <v>113 Cree Dr
Forest Heights, MD 20745         </v>
      </c>
      <c r="DA291" s="58"/>
      <c r="DB291" s="52"/>
      <c r="DC291" s="52"/>
      <c r="DD291" s="52"/>
      <c r="DE291" s="52"/>
      <c r="DF291" s="52"/>
      <c r="DG291" s="52"/>
      <c r="DH291" s="52"/>
      <c r="DI291" s="52"/>
      <c r="DJ291" s="52"/>
      <c r="DK291" s="52"/>
      <c r="DL291" s="52"/>
      <c r="DM291" s="52"/>
      <c r="DN291" s="52"/>
      <c r="DO291" s="52"/>
      <c r="DP291" s="52"/>
      <c r="DQ291" s="52"/>
      <c r="DR291" s="52"/>
      <c r="DS291" s="52"/>
      <c r="DT291" s="52"/>
      <c r="DU291" s="52"/>
      <c r="DV291" s="52"/>
      <c r="DW291" s="52"/>
    </row>
    <row r="292">
      <c r="A292" s="23" t="s">
        <v>64</v>
      </c>
      <c r="B292" s="23" t="s">
        <v>56</v>
      </c>
      <c r="C292" s="31" t="s">
        <v>815</v>
      </c>
      <c r="D292" s="25" t="str">
        <f>IFERROR(__xludf.DUMMYFUNCTION("SPLIT(C292,"" "")"),"Sewell,")</f>
        <v>Sewell,</v>
      </c>
      <c r="E292" s="22" t="str">
        <f>IFERROR(__xludf.DUMMYFUNCTION("""COMPUTED_VALUE"""),"Carl
3860")</f>
        <v>Carl
3860</v>
      </c>
      <c r="F292" s="22" t="str">
        <f>IFERROR(__xludf.DUMMYFUNCTION("""COMPUTED_VALUE"""),"W")</f>
        <v>W</v>
      </c>
      <c r="G292" s="22" t="str">
        <f>IFERROR(__xludf.DUMMYFUNCTION("""COMPUTED_VALUE"""),"Northwest")</f>
        <v>Northwest</v>
      </c>
      <c r="H292" s="22" t="str">
        <f>IFERROR(__xludf.DUMMYFUNCTION("""COMPUTED_VALUE"""),"Hwy
Dallas,")</f>
        <v>Hwy
Dallas,</v>
      </c>
      <c r="I292" s="22" t="str">
        <f>IFERROR(__xludf.DUMMYFUNCTION("""COMPUTED_VALUE"""),"TX")</f>
        <v>TX</v>
      </c>
      <c r="J292" s="22">
        <f>IFERROR(__xludf.DUMMYFUNCTION("""COMPUTED_VALUE"""),75220.0)</f>
        <v>75220</v>
      </c>
      <c r="K292" s="22"/>
      <c r="L292" s="22"/>
      <c r="M292" s="22"/>
      <c r="N292" s="22"/>
      <c r="O292" s="22"/>
      <c r="P292" s="22"/>
      <c r="Q292" s="22"/>
      <c r="R292" s="22"/>
      <c r="S292" s="22"/>
      <c r="T292" s="22"/>
      <c r="U292" s="24" t="str">
        <f>IFERROR(__xludf.DUMMYFUNCTION("SPLIT(E292,""01234567890"")"),"Carl
")</f>
        <v>Carl
</v>
      </c>
      <c r="V292" s="24" t="str">
        <f>IFERROR(__xludf.DUMMYFUNCTION("SPLIT(D292,"","")"),"Sewell")</f>
        <v>Sewell</v>
      </c>
      <c r="W292" s="25" t="str">
        <f t="shared" si="1"/>
        <v>CARL
 SEWELL</v>
      </c>
      <c r="X292" s="25" t="s">
        <v>816</v>
      </c>
      <c r="Y292" s="25">
        <v>75220.0</v>
      </c>
      <c r="Z292" s="25" t="str">
        <f>IFERROR(__xludf.DUMMYFUNCTION("SPLIT(C292,""
"")"),"Sewell, Carl")</f>
        <v>Sewell, Carl</v>
      </c>
      <c r="AA292" s="25" t="str">
        <f>IFERROR(__xludf.DUMMYFUNCTION("""COMPUTED_VALUE"""),"3860 W Northwest Hwy")</f>
        <v>3860 W Northwest Hwy</v>
      </c>
      <c r="AB292" s="25" t="str">
        <f>IFERROR(__xludf.DUMMYFUNCTION("""COMPUTED_VALUE"""),"Dallas, TX 75220")</f>
        <v>Dallas, TX 75220</v>
      </c>
      <c r="AC292" s="24" t="s">
        <v>817</v>
      </c>
      <c r="AD292" s="25"/>
      <c r="AE292" s="25"/>
      <c r="AF292" s="25"/>
      <c r="AG292" s="22" t="s">
        <v>60</v>
      </c>
      <c r="AH292" s="54">
        <v>2437.0</v>
      </c>
      <c r="AI292" s="22" t="s">
        <v>61</v>
      </c>
      <c r="AJ292" s="27">
        <v>10000.0</v>
      </c>
      <c r="AK292" s="31" t="s">
        <v>25</v>
      </c>
      <c r="AL292" s="28">
        <v>44718.0</v>
      </c>
      <c r="AM292" s="29">
        <v>44754.83237268519</v>
      </c>
      <c r="AN292" s="30">
        <v>2.0</v>
      </c>
      <c r="AO292" s="22"/>
      <c r="AP292" s="22"/>
      <c r="AQ292" s="22"/>
      <c r="AR292" s="22"/>
      <c r="AS292" s="22"/>
      <c r="AT292" s="70"/>
      <c r="AU292" s="22"/>
      <c r="AV292" s="57" t="str">
        <f>IFERROR(__xludf.DUMMYFUNCTION("""COMPUTED_VALUE"""),"Margolin")</f>
        <v>Margolin</v>
      </c>
      <c r="AW292" s="46">
        <f t="shared" si="7"/>
        <v>2250</v>
      </c>
      <c r="AX292" s="47">
        <f t="shared" ref="AX292:BQ292" si="986">SUMIFS($AJ:$AJ,$V:$V,$AV292,$AK:$AK,AX$2)</f>
        <v>0</v>
      </c>
      <c r="AY292" s="48">
        <f t="shared" si="986"/>
        <v>0</v>
      </c>
      <c r="AZ292" s="48">
        <f t="shared" si="986"/>
        <v>0</v>
      </c>
      <c r="BA292" s="48">
        <f t="shared" si="986"/>
        <v>250</v>
      </c>
      <c r="BB292" s="48">
        <f t="shared" si="986"/>
        <v>1000</v>
      </c>
      <c r="BC292" s="48">
        <f t="shared" si="986"/>
        <v>0</v>
      </c>
      <c r="BD292" s="48">
        <f t="shared" si="986"/>
        <v>0</v>
      </c>
      <c r="BE292" s="48">
        <f t="shared" si="986"/>
        <v>0</v>
      </c>
      <c r="BF292" s="48">
        <f t="shared" si="986"/>
        <v>0</v>
      </c>
      <c r="BG292" s="48">
        <f t="shared" si="986"/>
        <v>0</v>
      </c>
      <c r="BH292" s="48">
        <f t="shared" si="986"/>
        <v>1000</v>
      </c>
      <c r="BI292" s="48">
        <f t="shared" si="986"/>
        <v>0</v>
      </c>
      <c r="BJ292" s="48">
        <f t="shared" si="986"/>
        <v>0</v>
      </c>
      <c r="BK292" s="48">
        <f t="shared" si="986"/>
        <v>0</v>
      </c>
      <c r="BL292" s="48">
        <f t="shared" si="986"/>
        <v>0</v>
      </c>
      <c r="BM292" s="48">
        <f t="shared" si="986"/>
        <v>0</v>
      </c>
      <c r="BN292" s="48">
        <f t="shared" si="986"/>
        <v>0</v>
      </c>
      <c r="BO292" s="48">
        <f t="shared" si="986"/>
        <v>0</v>
      </c>
      <c r="BP292" s="48">
        <f t="shared" si="986"/>
        <v>0</v>
      </c>
      <c r="BQ292" s="48">
        <f t="shared" si="986"/>
        <v>0</v>
      </c>
      <c r="BR292" s="36">
        <f t="shared" si="9"/>
        <v>0</v>
      </c>
      <c r="BS292" s="38">
        <f t="shared" si="10"/>
        <v>1</v>
      </c>
      <c r="BT292" s="49">
        <f t="shared" si="11"/>
        <v>0</v>
      </c>
      <c r="BU292" s="38">
        <f t="shared" si="12"/>
        <v>1000</v>
      </c>
      <c r="BV292" s="57" t="str">
        <f>IFERROR(__xludf.DUMMYFUNCTION("""COMPUTED_VALUE"""),"Margolin")</f>
        <v>Margolin</v>
      </c>
      <c r="BW292" s="46">
        <f t="shared" si="13"/>
        <v>2250</v>
      </c>
      <c r="BX292" s="47">
        <f t="shared" ref="BX292:CA292" si="987">AX292-$BU292</f>
        <v>-1000</v>
      </c>
      <c r="BY292" s="47">
        <f t="shared" si="987"/>
        <v>-1000</v>
      </c>
      <c r="BZ292" s="47">
        <f t="shared" si="987"/>
        <v>-1000</v>
      </c>
      <c r="CA292" s="47">
        <f t="shared" si="987"/>
        <v>-750</v>
      </c>
      <c r="CB292" s="47">
        <f t="shared" si="15"/>
        <v>-9000</v>
      </c>
      <c r="CC292" s="47">
        <f t="shared" ref="CC292:CQ292" si="988">BC292-$BU292</f>
        <v>-1000</v>
      </c>
      <c r="CD292" s="47">
        <f t="shared" si="988"/>
        <v>-1000</v>
      </c>
      <c r="CE292" s="47">
        <f t="shared" si="988"/>
        <v>-1000</v>
      </c>
      <c r="CF292" s="47">
        <f t="shared" si="988"/>
        <v>-1000</v>
      </c>
      <c r="CG292" s="47">
        <f t="shared" si="988"/>
        <v>-1000</v>
      </c>
      <c r="CH292" s="47">
        <f t="shared" si="988"/>
        <v>0</v>
      </c>
      <c r="CI292" s="47">
        <f t="shared" si="988"/>
        <v>-1000</v>
      </c>
      <c r="CJ292" s="47">
        <f t="shared" si="988"/>
        <v>-1000</v>
      </c>
      <c r="CK292" s="47">
        <f t="shared" si="988"/>
        <v>-1000</v>
      </c>
      <c r="CL292" s="47">
        <f t="shared" si="988"/>
        <v>-1000</v>
      </c>
      <c r="CM292" s="47">
        <f t="shared" si="988"/>
        <v>-1000</v>
      </c>
      <c r="CN292" s="47">
        <f t="shared" si="988"/>
        <v>-1000</v>
      </c>
      <c r="CO292" s="47">
        <f t="shared" si="988"/>
        <v>-1000</v>
      </c>
      <c r="CP292" s="47">
        <f t="shared" si="988"/>
        <v>-1000</v>
      </c>
      <c r="CQ292" s="47">
        <f t="shared" si="988"/>
        <v>-1000</v>
      </c>
      <c r="CR292" s="47"/>
      <c r="CS292" s="47"/>
      <c r="CT292" s="47"/>
      <c r="CU292" s="50" t="str">
        <f>IFERROR(__xludf.DUMMYFUNCTION("""COMPUTED_VALUE"""),"3600 Rosedale
Dallas, TX 75205           ")</f>
        <v>3600 Rosedale
Dallas, TX 75205           </v>
      </c>
      <c r="CV292" s="51">
        <f>IFERROR(__xludf.DUMMYFUNCTION("IF(REGEXMATCH(UPPER(CU292), ""TX""),0,1)"),0.0)</f>
        <v>0</v>
      </c>
      <c r="CW292" s="51">
        <f>IFERROR(__xludf.DUMMYFUNCTION("IF(REGEXMATCH(UPPER(CU292), ""DALLAS""),0,1)"),0.0)</f>
        <v>0</v>
      </c>
      <c r="CX292" s="51">
        <f t="shared" si="17"/>
        <v>0</v>
      </c>
      <c r="CY292" s="51">
        <f t="shared" si="18"/>
        <v>0</v>
      </c>
      <c r="CZ292" s="52" t="str">
        <f t="shared" si="19"/>
        <v/>
      </c>
      <c r="DA292" s="58"/>
      <c r="DB292" s="52"/>
      <c r="DC292" s="52"/>
      <c r="DD292" s="52"/>
      <c r="DE292" s="52"/>
      <c r="DF292" s="52"/>
      <c r="DG292" s="52"/>
      <c r="DH292" s="52"/>
      <c r="DI292" s="52"/>
      <c r="DJ292" s="52"/>
      <c r="DK292" s="52"/>
      <c r="DL292" s="52"/>
      <c r="DM292" s="52"/>
      <c r="DN292" s="52"/>
      <c r="DO292" s="52"/>
      <c r="DP292" s="52"/>
      <c r="DQ292" s="52"/>
      <c r="DR292" s="52"/>
      <c r="DS292" s="52"/>
      <c r="DT292" s="52"/>
      <c r="DU292" s="52"/>
      <c r="DV292" s="52"/>
      <c r="DW292" s="52"/>
    </row>
    <row r="293">
      <c r="A293" s="40" t="s">
        <v>55</v>
      </c>
      <c r="B293" s="41" t="s">
        <v>56</v>
      </c>
      <c r="C293" s="31" t="s">
        <v>818</v>
      </c>
      <c r="D293" s="25" t="str">
        <f>IFERROR(__xludf.DUMMYFUNCTION("SPLIT(C293,"" "")"),"Staubach,")</f>
        <v>Staubach,</v>
      </c>
      <c r="E293" s="40" t="str">
        <f>IFERROR(__xludf.DUMMYFUNCTION("""COMPUTED_VALUE"""),"Roger
5242")</f>
        <v>Roger
5242</v>
      </c>
      <c r="F293" s="40" t="str">
        <f>IFERROR(__xludf.DUMMYFUNCTION("""COMPUTED_VALUE"""),"Ravine")</f>
        <v>Ravine</v>
      </c>
      <c r="G293" s="40" t="str">
        <f>IFERROR(__xludf.DUMMYFUNCTION("""COMPUTED_VALUE"""),"Dr
Dallas,")</f>
        <v>Dr
Dallas,</v>
      </c>
      <c r="H293" s="40" t="str">
        <f>IFERROR(__xludf.DUMMYFUNCTION("""COMPUTED_VALUE"""),"TX")</f>
        <v>TX</v>
      </c>
      <c r="I293" s="40">
        <f>IFERROR(__xludf.DUMMYFUNCTION("""COMPUTED_VALUE"""),75220.0)</f>
        <v>75220</v>
      </c>
      <c r="J293" s="40"/>
      <c r="K293" s="40"/>
      <c r="L293" s="40"/>
      <c r="M293" s="40"/>
      <c r="N293" s="40"/>
      <c r="O293" s="40"/>
      <c r="P293" s="40"/>
      <c r="Q293" s="40"/>
      <c r="R293" s="40"/>
      <c r="S293" s="40"/>
      <c r="T293" s="40"/>
      <c r="U293" s="24" t="str">
        <f>IFERROR(__xludf.DUMMYFUNCTION("SPLIT(E293,""01234567890"")"),"Roger
")</f>
        <v>Roger
</v>
      </c>
      <c r="V293" s="24" t="str">
        <f>IFERROR(__xludf.DUMMYFUNCTION("SPLIT(D293,"","")"),"Staubach")</f>
        <v>Staubach</v>
      </c>
      <c r="W293" s="25" t="str">
        <f t="shared" si="1"/>
        <v>ROGER
 STAUBACH</v>
      </c>
      <c r="X293" s="25" t="s">
        <v>819</v>
      </c>
      <c r="Y293" s="25">
        <v>75220.0</v>
      </c>
      <c r="Z293" s="25" t="str">
        <f>IFERROR(__xludf.DUMMYFUNCTION("SPLIT(C293,""
"")"),"Staubach, Roger")</f>
        <v>Staubach, Roger</v>
      </c>
      <c r="AA293" s="25" t="str">
        <f>IFERROR(__xludf.DUMMYFUNCTION("""COMPUTED_VALUE"""),"5242 Ravine Dr")</f>
        <v>5242 Ravine Dr</v>
      </c>
      <c r="AB293" s="25" t="str">
        <f>IFERROR(__xludf.DUMMYFUNCTION("""COMPUTED_VALUE"""),"Dallas, TX 75220")</f>
        <v>Dallas, TX 75220</v>
      </c>
      <c r="AC293" s="24" t="s">
        <v>820</v>
      </c>
      <c r="AD293" s="25"/>
      <c r="AE293" s="25"/>
      <c r="AF293" s="25"/>
      <c r="AG293" s="40" t="s">
        <v>60</v>
      </c>
      <c r="AH293" s="42">
        <v>2437.0</v>
      </c>
      <c r="AI293" s="40" t="s">
        <v>61</v>
      </c>
      <c r="AJ293" s="27">
        <v>5000.0</v>
      </c>
      <c r="AK293" s="31" t="s">
        <v>25</v>
      </c>
      <c r="AL293" s="43">
        <v>44714.0</v>
      </c>
      <c r="AM293" s="44">
        <v>44754.83237268519</v>
      </c>
      <c r="AN293" s="30">
        <v>2.0</v>
      </c>
      <c r="AO293" s="40"/>
      <c r="AP293" s="40"/>
      <c r="AQ293" s="40"/>
      <c r="AR293" s="40"/>
      <c r="AS293" s="40"/>
      <c r="AT293" s="47"/>
      <c r="AU293" s="40"/>
      <c r="AV293" s="46" t="str">
        <f>IFERROR(__xludf.DUMMYFUNCTION("""COMPUTED_VALUE"""),"Payne")</f>
        <v>Payne</v>
      </c>
      <c r="AW293" s="46">
        <f t="shared" si="7"/>
        <v>100</v>
      </c>
      <c r="AX293" s="47">
        <f t="shared" ref="AX293:BQ293" si="989">SUMIFS($AJ:$AJ,$V:$V,$AV293,$AK:$AK,AX$2)</f>
        <v>0</v>
      </c>
      <c r="AY293" s="48">
        <f t="shared" si="989"/>
        <v>0</v>
      </c>
      <c r="AZ293" s="48">
        <f t="shared" si="989"/>
        <v>0</v>
      </c>
      <c r="BA293" s="48">
        <f t="shared" si="989"/>
        <v>0</v>
      </c>
      <c r="BB293" s="48">
        <f t="shared" si="989"/>
        <v>100</v>
      </c>
      <c r="BC293" s="48">
        <f t="shared" si="989"/>
        <v>0</v>
      </c>
      <c r="BD293" s="48">
        <f t="shared" si="989"/>
        <v>0</v>
      </c>
      <c r="BE293" s="48">
        <f t="shared" si="989"/>
        <v>0</v>
      </c>
      <c r="BF293" s="48">
        <f t="shared" si="989"/>
        <v>0</v>
      </c>
      <c r="BG293" s="48">
        <f t="shared" si="989"/>
        <v>0</v>
      </c>
      <c r="BH293" s="48">
        <f t="shared" si="989"/>
        <v>0</v>
      </c>
      <c r="BI293" s="48">
        <f t="shared" si="989"/>
        <v>0</v>
      </c>
      <c r="BJ293" s="48">
        <f t="shared" si="989"/>
        <v>0</v>
      </c>
      <c r="BK293" s="48">
        <f t="shared" si="989"/>
        <v>0</v>
      </c>
      <c r="BL293" s="48">
        <f t="shared" si="989"/>
        <v>0</v>
      </c>
      <c r="BM293" s="48">
        <f t="shared" si="989"/>
        <v>0</v>
      </c>
      <c r="BN293" s="48">
        <f t="shared" si="989"/>
        <v>0</v>
      </c>
      <c r="BO293" s="48">
        <f t="shared" si="989"/>
        <v>0</v>
      </c>
      <c r="BP293" s="48">
        <f t="shared" si="989"/>
        <v>0</v>
      </c>
      <c r="BQ293" s="48">
        <f t="shared" si="989"/>
        <v>0</v>
      </c>
      <c r="BR293" s="36">
        <f t="shared" si="9"/>
        <v>0</v>
      </c>
      <c r="BS293" s="38">
        <f t="shared" si="10"/>
        <v>1</v>
      </c>
      <c r="BT293" s="49">
        <f t="shared" si="11"/>
        <v>0</v>
      </c>
      <c r="BU293" s="38">
        <f t="shared" si="12"/>
        <v>1000</v>
      </c>
      <c r="BV293" s="46" t="str">
        <f>IFERROR(__xludf.DUMMYFUNCTION("""COMPUTED_VALUE"""),"Payne")</f>
        <v>Payne</v>
      </c>
      <c r="BW293" s="46">
        <f t="shared" si="13"/>
        <v>100</v>
      </c>
      <c r="BX293" s="47">
        <f t="shared" ref="BX293:CA293" si="990">AX293-$BU293</f>
        <v>-1000</v>
      </c>
      <c r="BY293" s="47">
        <f t="shared" si="990"/>
        <v>-1000</v>
      </c>
      <c r="BZ293" s="47">
        <f t="shared" si="990"/>
        <v>-1000</v>
      </c>
      <c r="CA293" s="47">
        <f t="shared" si="990"/>
        <v>-1000</v>
      </c>
      <c r="CB293" s="47">
        <f t="shared" si="15"/>
        <v>-9900</v>
      </c>
      <c r="CC293" s="47">
        <f t="shared" ref="CC293:CQ293" si="991">BC293-$BU293</f>
        <v>-1000</v>
      </c>
      <c r="CD293" s="47">
        <f t="shared" si="991"/>
        <v>-1000</v>
      </c>
      <c r="CE293" s="47">
        <f t="shared" si="991"/>
        <v>-1000</v>
      </c>
      <c r="CF293" s="47">
        <f t="shared" si="991"/>
        <v>-1000</v>
      </c>
      <c r="CG293" s="47">
        <f t="shared" si="991"/>
        <v>-1000</v>
      </c>
      <c r="CH293" s="47">
        <f t="shared" si="991"/>
        <v>-1000</v>
      </c>
      <c r="CI293" s="47">
        <f t="shared" si="991"/>
        <v>-1000</v>
      </c>
      <c r="CJ293" s="47">
        <f t="shared" si="991"/>
        <v>-1000</v>
      </c>
      <c r="CK293" s="47">
        <f t="shared" si="991"/>
        <v>-1000</v>
      </c>
      <c r="CL293" s="47">
        <f t="shared" si="991"/>
        <v>-1000</v>
      </c>
      <c r="CM293" s="47">
        <f t="shared" si="991"/>
        <v>-1000</v>
      </c>
      <c r="CN293" s="47">
        <f t="shared" si="991"/>
        <v>-1000</v>
      </c>
      <c r="CO293" s="47">
        <f t="shared" si="991"/>
        <v>-1000</v>
      </c>
      <c r="CP293" s="47">
        <f t="shared" si="991"/>
        <v>-1000</v>
      </c>
      <c r="CQ293" s="47">
        <f t="shared" si="991"/>
        <v>-1000</v>
      </c>
      <c r="CR293" s="47"/>
      <c r="CS293" s="47"/>
      <c r="CT293" s="47"/>
      <c r="CU293" s="50" t="str">
        <f>IFERROR(__xludf.DUMMYFUNCTION("""COMPUTED_VALUE"""),"1243 W Pleasant Run Rd
DeSoto, TX 75043        ")</f>
        <v>1243 W Pleasant Run Rd
DeSoto, TX 75043        </v>
      </c>
      <c r="CV293" s="51">
        <f>IFERROR(__xludf.DUMMYFUNCTION("IF(REGEXMATCH(UPPER(CU293), ""TX""),0,1)"),0.0)</f>
        <v>0</v>
      </c>
      <c r="CW293" s="51">
        <f>IFERROR(__xludf.DUMMYFUNCTION("IF(REGEXMATCH(UPPER(CU293), ""DALLAS""),0,1)"),1.0)</f>
        <v>1</v>
      </c>
      <c r="CX293" s="51">
        <f t="shared" si="17"/>
        <v>0</v>
      </c>
      <c r="CY293" s="51">
        <f t="shared" si="18"/>
        <v>5000</v>
      </c>
      <c r="CZ293" s="52" t="str">
        <f t="shared" si="19"/>
        <v>1243 W Pleasant Run Rd
DeSoto, TX 75043        </v>
      </c>
      <c r="DA293" s="58"/>
      <c r="DB293" s="52"/>
      <c r="DC293" s="52"/>
      <c r="DD293" s="52"/>
      <c r="DE293" s="52"/>
      <c r="DF293" s="52"/>
      <c r="DG293" s="52"/>
      <c r="DH293" s="52"/>
      <c r="DI293" s="52"/>
      <c r="DJ293" s="52"/>
      <c r="DK293" s="52"/>
      <c r="DL293" s="52"/>
      <c r="DM293" s="52"/>
      <c r="DN293" s="52"/>
      <c r="DO293" s="52"/>
      <c r="DP293" s="52"/>
      <c r="DQ293" s="52"/>
      <c r="DR293" s="52"/>
      <c r="DS293" s="52"/>
      <c r="DT293" s="52"/>
      <c r="DU293" s="52"/>
      <c r="DV293" s="52"/>
      <c r="DW293" s="52"/>
    </row>
    <row r="294">
      <c r="A294" s="23" t="s">
        <v>64</v>
      </c>
      <c r="B294" s="23" t="s">
        <v>56</v>
      </c>
      <c r="C294" s="31" t="s">
        <v>821</v>
      </c>
      <c r="D294" s="25" t="str">
        <f>IFERROR(__xludf.DUMMYFUNCTION("SPLIT(C294,"" "")"),"Tanner,")</f>
        <v>Tanner,</v>
      </c>
      <c r="E294" s="22" t="str">
        <f>IFERROR(__xludf.DUMMYFUNCTION("""COMPUTED_VALUE"""),"Desi
2707")</f>
        <v>Desi
2707</v>
      </c>
      <c r="F294" s="22" t="str">
        <f>IFERROR(__xludf.DUMMYFUNCTION("""COMPUTED_VALUE"""),"Runningbrook
Dallas,")</f>
        <v>Runningbrook
Dallas,</v>
      </c>
      <c r="G294" s="22" t="str">
        <f>IFERROR(__xludf.DUMMYFUNCTION("""COMPUTED_VALUE"""),"TX")</f>
        <v>TX</v>
      </c>
      <c r="H294" s="22">
        <f>IFERROR(__xludf.DUMMYFUNCTION("""COMPUTED_VALUE"""),75228.0)</f>
        <v>75228</v>
      </c>
      <c r="I294" s="22"/>
      <c r="J294" s="22"/>
      <c r="K294" s="22"/>
      <c r="L294" s="22"/>
      <c r="M294" s="22"/>
      <c r="N294" s="22"/>
      <c r="O294" s="22"/>
      <c r="P294" s="22"/>
      <c r="Q294" s="22"/>
      <c r="R294" s="22"/>
      <c r="S294" s="22"/>
      <c r="T294" s="22"/>
      <c r="U294" s="24" t="str">
        <f>IFERROR(__xludf.DUMMYFUNCTION("SPLIT(E294,""01234567890"")"),"Desi
")</f>
        <v>Desi
</v>
      </c>
      <c r="V294" s="24" t="str">
        <f>IFERROR(__xludf.DUMMYFUNCTION("SPLIT(D294,"","")"),"Tanner")</f>
        <v>Tanner</v>
      </c>
      <c r="W294" s="25" t="str">
        <f t="shared" si="1"/>
        <v>DESI
 TANNER</v>
      </c>
      <c r="X294" s="25" t="s">
        <v>822</v>
      </c>
      <c r="Y294" s="25">
        <v>75228.0</v>
      </c>
      <c r="Z294" s="25" t="str">
        <f>IFERROR(__xludf.DUMMYFUNCTION("SPLIT(C294,""
"")"),"Tanner, Desi")</f>
        <v>Tanner, Desi</v>
      </c>
      <c r="AA294" s="25" t="str">
        <f>IFERROR(__xludf.DUMMYFUNCTION("""COMPUTED_VALUE"""),"2707 Runningbrook")</f>
        <v>2707 Runningbrook</v>
      </c>
      <c r="AB294" s="25" t="str">
        <f>IFERROR(__xludf.DUMMYFUNCTION("""COMPUTED_VALUE"""),"Dallas, TX 75228")</f>
        <v>Dallas, TX 75228</v>
      </c>
      <c r="AC294" s="24" t="s">
        <v>823</v>
      </c>
      <c r="AD294" s="25"/>
      <c r="AE294" s="25"/>
      <c r="AF294" s="25"/>
      <c r="AG294" s="22" t="s">
        <v>60</v>
      </c>
      <c r="AH294" s="54">
        <v>2437.0</v>
      </c>
      <c r="AI294" s="22" t="s">
        <v>61</v>
      </c>
      <c r="AJ294" s="27">
        <v>25.0</v>
      </c>
      <c r="AK294" s="31" t="s">
        <v>25</v>
      </c>
      <c r="AL294" s="28">
        <v>44711.0</v>
      </c>
      <c r="AM294" s="29">
        <v>44754.83237268519</v>
      </c>
      <c r="AN294" s="30">
        <v>2.0</v>
      </c>
      <c r="AO294" s="22"/>
      <c r="AP294" s="22"/>
      <c r="AQ294" s="22"/>
      <c r="AR294" s="22"/>
      <c r="AS294" s="22"/>
      <c r="AT294" s="70"/>
      <c r="AU294" s="22"/>
      <c r="AV294" s="57" t="str">
        <f>IFERROR(__xludf.DUMMYFUNCTION("""COMPUTED_VALUE"""),"Petree")</f>
        <v>Petree</v>
      </c>
      <c r="AW294" s="46">
        <f t="shared" si="7"/>
        <v>130</v>
      </c>
      <c r="AX294" s="47">
        <f t="shared" ref="AX294:BQ294" si="992">SUMIFS($AJ:$AJ,$V:$V,$AV294,$AK:$AK,AX$2)</f>
        <v>0</v>
      </c>
      <c r="AY294" s="48">
        <f t="shared" si="992"/>
        <v>0</v>
      </c>
      <c r="AZ294" s="48">
        <f t="shared" si="992"/>
        <v>0</v>
      </c>
      <c r="BA294" s="48">
        <f t="shared" si="992"/>
        <v>0</v>
      </c>
      <c r="BB294" s="48">
        <f t="shared" si="992"/>
        <v>100</v>
      </c>
      <c r="BC294" s="48">
        <f t="shared" si="992"/>
        <v>0</v>
      </c>
      <c r="BD294" s="48">
        <f t="shared" si="992"/>
        <v>0</v>
      </c>
      <c r="BE294" s="48">
        <f t="shared" si="992"/>
        <v>0</v>
      </c>
      <c r="BF294" s="48">
        <f t="shared" si="992"/>
        <v>0</v>
      </c>
      <c r="BG294" s="48">
        <f t="shared" si="992"/>
        <v>30</v>
      </c>
      <c r="BH294" s="48">
        <f t="shared" si="992"/>
        <v>0</v>
      </c>
      <c r="BI294" s="48">
        <f t="shared" si="992"/>
        <v>0</v>
      </c>
      <c r="BJ294" s="48">
        <f t="shared" si="992"/>
        <v>0</v>
      </c>
      <c r="BK294" s="48">
        <f t="shared" si="992"/>
        <v>0</v>
      </c>
      <c r="BL294" s="48">
        <f t="shared" si="992"/>
        <v>0</v>
      </c>
      <c r="BM294" s="48">
        <f t="shared" si="992"/>
        <v>0</v>
      </c>
      <c r="BN294" s="48">
        <f t="shared" si="992"/>
        <v>0</v>
      </c>
      <c r="BO294" s="48">
        <f t="shared" si="992"/>
        <v>0</v>
      </c>
      <c r="BP294" s="48">
        <f t="shared" si="992"/>
        <v>0</v>
      </c>
      <c r="BQ294" s="48">
        <f t="shared" si="992"/>
        <v>0</v>
      </c>
      <c r="BR294" s="36">
        <f t="shared" si="9"/>
        <v>0</v>
      </c>
      <c r="BS294" s="38">
        <f t="shared" si="10"/>
        <v>1</v>
      </c>
      <c r="BT294" s="49">
        <f t="shared" si="11"/>
        <v>0</v>
      </c>
      <c r="BU294" s="38">
        <f t="shared" si="12"/>
        <v>1000</v>
      </c>
      <c r="BV294" s="57" t="str">
        <f>IFERROR(__xludf.DUMMYFUNCTION("""COMPUTED_VALUE"""),"Petree")</f>
        <v>Petree</v>
      </c>
      <c r="BW294" s="46">
        <f t="shared" si="13"/>
        <v>130</v>
      </c>
      <c r="BX294" s="47">
        <f t="shared" ref="BX294:CA294" si="993">AX294-$BU294</f>
        <v>-1000</v>
      </c>
      <c r="BY294" s="47">
        <f t="shared" si="993"/>
        <v>-1000</v>
      </c>
      <c r="BZ294" s="47">
        <f t="shared" si="993"/>
        <v>-1000</v>
      </c>
      <c r="CA294" s="47">
        <f t="shared" si="993"/>
        <v>-1000</v>
      </c>
      <c r="CB294" s="47">
        <f t="shared" si="15"/>
        <v>-9900</v>
      </c>
      <c r="CC294" s="47">
        <f t="shared" ref="CC294:CQ294" si="994">BC294-$BU294</f>
        <v>-1000</v>
      </c>
      <c r="CD294" s="47">
        <f t="shared" si="994"/>
        <v>-1000</v>
      </c>
      <c r="CE294" s="47">
        <f t="shared" si="994"/>
        <v>-1000</v>
      </c>
      <c r="CF294" s="47">
        <f t="shared" si="994"/>
        <v>-1000</v>
      </c>
      <c r="CG294" s="47">
        <f t="shared" si="994"/>
        <v>-970</v>
      </c>
      <c r="CH294" s="47">
        <f t="shared" si="994"/>
        <v>-1000</v>
      </c>
      <c r="CI294" s="47">
        <f t="shared" si="994"/>
        <v>-1000</v>
      </c>
      <c r="CJ294" s="47">
        <f t="shared" si="994"/>
        <v>-1000</v>
      </c>
      <c r="CK294" s="47">
        <f t="shared" si="994"/>
        <v>-1000</v>
      </c>
      <c r="CL294" s="47">
        <f t="shared" si="994"/>
        <v>-1000</v>
      </c>
      <c r="CM294" s="47">
        <f t="shared" si="994"/>
        <v>-1000</v>
      </c>
      <c r="CN294" s="47">
        <f t="shared" si="994"/>
        <v>-1000</v>
      </c>
      <c r="CO294" s="47">
        <f t="shared" si="994"/>
        <v>-1000</v>
      </c>
      <c r="CP294" s="47">
        <f t="shared" si="994"/>
        <v>-1000</v>
      </c>
      <c r="CQ294" s="47">
        <f t="shared" si="994"/>
        <v>-1000</v>
      </c>
      <c r="CR294" s="47"/>
      <c r="CS294" s="47"/>
      <c r="CT294" s="47"/>
      <c r="CU294" s="50" t="str">
        <f>IFERROR(__xludf.DUMMYFUNCTION("""COMPUTED_VALUE"""),"8515 San Benito Way
Dallas, TX 75218         ")</f>
        <v>8515 San Benito Way
Dallas, TX 75218         </v>
      </c>
      <c r="CV294" s="51">
        <f>IFERROR(__xludf.DUMMYFUNCTION("IF(REGEXMATCH(UPPER(CU294), ""TX""),0,1)"),0.0)</f>
        <v>0</v>
      </c>
      <c r="CW294" s="51">
        <f>IFERROR(__xludf.DUMMYFUNCTION("IF(REGEXMATCH(UPPER(CU294), ""DALLAS""),0,1)"),0.0)</f>
        <v>0</v>
      </c>
      <c r="CX294" s="51">
        <f t="shared" si="17"/>
        <v>0</v>
      </c>
      <c r="CY294" s="51">
        <f t="shared" si="18"/>
        <v>0</v>
      </c>
      <c r="CZ294" s="52" t="str">
        <f t="shared" si="19"/>
        <v/>
      </c>
      <c r="DA294" s="58"/>
      <c r="DB294" s="52"/>
      <c r="DC294" s="52"/>
      <c r="DD294" s="52"/>
      <c r="DE294" s="52"/>
      <c r="DF294" s="52"/>
      <c r="DG294" s="52"/>
      <c r="DH294" s="52"/>
      <c r="DI294" s="52"/>
      <c r="DJ294" s="52"/>
      <c r="DK294" s="52"/>
      <c r="DL294" s="52"/>
      <c r="DM294" s="52"/>
      <c r="DN294" s="52"/>
      <c r="DO294" s="52"/>
      <c r="DP294" s="52"/>
      <c r="DQ294" s="52"/>
      <c r="DR294" s="52"/>
      <c r="DS294" s="52"/>
      <c r="DT294" s="52"/>
      <c r="DU294" s="52"/>
      <c r="DV294" s="52"/>
      <c r="DW294" s="52"/>
    </row>
    <row r="295">
      <c r="A295" s="40" t="s">
        <v>55</v>
      </c>
      <c r="B295" s="41" t="s">
        <v>56</v>
      </c>
      <c r="C295" s="31" t="s">
        <v>824</v>
      </c>
      <c r="D295" s="25" t="str">
        <f>IFERROR(__xludf.DUMMYFUNCTION("SPLIT(C295,"" "")"),"White,")</f>
        <v>White,</v>
      </c>
      <c r="E295" s="40" t="str">
        <f>IFERROR(__xludf.DUMMYFUNCTION("""COMPUTED_VALUE"""),"Carlos
733")</f>
        <v>Carlos
733</v>
      </c>
      <c r="F295" s="40" t="str">
        <f>IFERROR(__xludf.DUMMYFUNCTION("""COMPUTED_VALUE"""),"Mulberry")</f>
        <v>Mulberry</v>
      </c>
      <c r="G295" s="40" t="str">
        <f>IFERROR(__xludf.DUMMYFUNCTION("""COMPUTED_VALUE"""),"Lane
Desoto,")</f>
        <v>Lane
Desoto,</v>
      </c>
      <c r="H295" s="40" t="str">
        <f>IFERROR(__xludf.DUMMYFUNCTION("""COMPUTED_VALUE"""),"TX")</f>
        <v>TX</v>
      </c>
      <c r="I295" s="40">
        <f>IFERROR(__xludf.DUMMYFUNCTION("""COMPUTED_VALUE"""),75115.0)</f>
        <v>75115</v>
      </c>
      <c r="J295" s="40"/>
      <c r="K295" s="40"/>
      <c r="L295" s="40"/>
      <c r="M295" s="40"/>
      <c r="N295" s="40"/>
      <c r="O295" s="40"/>
      <c r="P295" s="40"/>
      <c r="Q295" s="40"/>
      <c r="R295" s="40"/>
      <c r="S295" s="40"/>
      <c r="T295" s="40"/>
      <c r="U295" s="24" t="str">
        <f>IFERROR(__xludf.DUMMYFUNCTION("SPLIT(E295,""01234567890"")"),"Carlos
")</f>
        <v>Carlos
</v>
      </c>
      <c r="V295" s="24" t="str">
        <f>IFERROR(__xludf.DUMMYFUNCTION("SPLIT(D295,"","")"),"White")</f>
        <v>White</v>
      </c>
      <c r="W295" s="25" t="str">
        <f t="shared" si="1"/>
        <v>CARLOS
 WHITE</v>
      </c>
      <c r="X295" s="25" t="s">
        <v>825</v>
      </c>
      <c r="Y295" s="25">
        <v>75115.0</v>
      </c>
      <c r="Z295" s="25" t="str">
        <f>IFERROR(__xludf.DUMMYFUNCTION("SPLIT(C295,""
"")"),"White, Carlos")</f>
        <v>White, Carlos</v>
      </c>
      <c r="AA295" s="25" t="str">
        <f>IFERROR(__xludf.DUMMYFUNCTION("""COMPUTED_VALUE"""),"733 Mulberry Lane")</f>
        <v>733 Mulberry Lane</v>
      </c>
      <c r="AB295" s="25" t="str">
        <f>IFERROR(__xludf.DUMMYFUNCTION("""COMPUTED_VALUE"""),"Desoto, TX 75115")</f>
        <v>Desoto, TX 75115</v>
      </c>
      <c r="AC295" s="24" t="s">
        <v>826</v>
      </c>
      <c r="AD295" s="25"/>
      <c r="AE295" s="25"/>
      <c r="AF295" s="25"/>
      <c r="AG295" s="40" t="s">
        <v>60</v>
      </c>
      <c r="AH295" s="42">
        <v>2437.0</v>
      </c>
      <c r="AI295" s="40" t="s">
        <v>61</v>
      </c>
      <c r="AJ295" s="27">
        <v>3000.0</v>
      </c>
      <c r="AK295" s="31" t="s">
        <v>25</v>
      </c>
      <c r="AL295" s="43">
        <v>44711.0</v>
      </c>
      <c r="AM295" s="44">
        <v>44754.83237268519</v>
      </c>
      <c r="AN295" s="30">
        <v>2.0</v>
      </c>
      <c r="AO295" s="40"/>
      <c r="AP295" s="40"/>
      <c r="AQ295" s="40"/>
      <c r="AR295" s="40"/>
      <c r="AS295" s="40"/>
      <c r="AT295" s="47"/>
      <c r="AU295" s="40"/>
      <c r="AV295" s="46" t="str">
        <f>IFERROR(__xludf.DUMMYFUNCTION("""COMPUTED_VALUE"""),"Reis")</f>
        <v>Reis</v>
      </c>
      <c r="AW295" s="46">
        <f t="shared" si="7"/>
        <v>2500</v>
      </c>
      <c r="AX295" s="47">
        <f t="shared" ref="AX295:BQ295" si="995">SUMIFS($AJ:$AJ,$V:$V,$AV295,$AK:$AK,AX$2)</f>
        <v>0</v>
      </c>
      <c r="AY295" s="48">
        <f t="shared" si="995"/>
        <v>0</v>
      </c>
      <c r="AZ295" s="48">
        <f t="shared" si="995"/>
        <v>0</v>
      </c>
      <c r="BA295" s="48">
        <f t="shared" si="995"/>
        <v>0</v>
      </c>
      <c r="BB295" s="48">
        <f t="shared" si="995"/>
        <v>2500</v>
      </c>
      <c r="BC295" s="48">
        <f t="shared" si="995"/>
        <v>0</v>
      </c>
      <c r="BD295" s="48">
        <f t="shared" si="995"/>
        <v>0</v>
      </c>
      <c r="BE295" s="48">
        <f t="shared" si="995"/>
        <v>0</v>
      </c>
      <c r="BF295" s="48">
        <f t="shared" si="995"/>
        <v>0</v>
      </c>
      <c r="BG295" s="48">
        <f t="shared" si="995"/>
        <v>0</v>
      </c>
      <c r="BH295" s="48">
        <f t="shared" si="995"/>
        <v>0</v>
      </c>
      <c r="BI295" s="48">
        <f t="shared" si="995"/>
        <v>0</v>
      </c>
      <c r="BJ295" s="48">
        <f t="shared" si="995"/>
        <v>0</v>
      </c>
      <c r="BK295" s="48">
        <f t="shared" si="995"/>
        <v>0</v>
      </c>
      <c r="BL295" s="48">
        <f t="shared" si="995"/>
        <v>0</v>
      </c>
      <c r="BM295" s="48">
        <f t="shared" si="995"/>
        <v>0</v>
      </c>
      <c r="BN295" s="48">
        <f t="shared" si="995"/>
        <v>0</v>
      </c>
      <c r="BO295" s="48">
        <f t="shared" si="995"/>
        <v>0</v>
      </c>
      <c r="BP295" s="48">
        <f t="shared" si="995"/>
        <v>0</v>
      </c>
      <c r="BQ295" s="48">
        <f t="shared" si="995"/>
        <v>0</v>
      </c>
      <c r="BR295" s="36">
        <f t="shared" si="9"/>
        <v>0</v>
      </c>
      <c r="BS295" s="38">
        <f t="shared" si="10"/>
        <v>1</v>
      </c>
      <c r="BT295" s="49">
        <f t="shared" si="11"/>
        <v>0</v>
      </c>
      <c r="BU295" s="38">
        <f t="shared" si="12"/>
        <v>1000</v>
      </c>
      <c r="BV295" s="46" t="str">
        <f>IFERROR(__xludf.DUMMYFUNCTION("""COMPUTED_VALUE"""),"Reis")</f>
        <v>Reis</v>
      </c>
      <c r="BW295" s="46">
        <f t="shared" si="13"/>
        <v>2500</v>
      </c>
      <c r="BX295" s="47">
        <f t="shared" ref="BX295:CA295" si="996">AX295-$BU295</f>
        <v>-1000</v>
      </c>
      <c r="BY295" s="47">
        <f t="shared" si="996"/>
        <v>-1000</v>
      </c>
      <c r="BZ295" s="47">
        <f t="shared" si="996"/>
        <v>-1000</v>
      </c>
      <c r="CA295" s="47">
        <f t="shared" si="996"/>
        <v>-1000</v>
      </c>
      <c r="CB295" s="47">
        <f t="shared" si="15"/>
        <v>-7500</v>
      </c>
      <c r="CC295" s="47">
        <f t="shared" ref="CC295:CQ295" si="997">BC295-$BU295</f>
        <v>-1000</v>
      </c>
      <c r="CD295" s="47">
        <f t="shared" si="997"/>
        <v>-1000</v>
      </c>
      <c r="CE295" s="47">
        <f t="shared" si="997"/>
        <v>-1000</v>
      </c>
      <c r="CF295" s="47">
        <f t="shared" si="997"/>
        <v>-1000</v>
      </c>
      <c r="CG295" s="47">
        <f t="shared" si="997"/>
        <v>-1000</v>
      </c>
      <c r="CH295" s="47">
        <f t="shared" si="997"/>
        <v>-1000</v>
      </c>
      <c r="CI295" s="47">
        <f t="shared" si="997"/>
        <v>-1000</v>
      </c>
      <c r="CJ295" s="47">
        <f t="shared" si="997"/>
        <v>-1000</v>
      </c>
      <c r="CK295" s="47">
        <f t="shared" si="997"/>
        <v>-1000</v>
      </c>
      <c r="CL295" s="47">
        <f t="shared" si="997"/>
        <v>-1000</v>
      </c>
      <c r="CM295" s="47">
        <f t="shared" si="997"/>
        <v>-1000</v>
      </c>
      <c r="CN295" s="47">
        <f t="shared" si="997"/>
        <v>-1000</v>
      </c>
      <c r="CO295" s="47">
        <f t="shared" si="997"/>
        <v>-1000</v>
      </c>
      <c r="CP295" s="47">
        <f t="shared" si="997"/>
        <v>-1000</v>
      </c>
      <c r="CQ295" s="47">
        <f t="shared" si="997"/>
        <v>-1000</v>
      </c>
      <c r="CR295" s="47"/>
      <c r="CS295" s="47"/>
      <c r="CT295" s="47"/>
      <c r="CU295" s="50" t="str">
        <f>IFERROR(__xludf.DUMMYFUNCTION("""COMPUTED_VALUE"""),"jennifer &amp; John
4915 Keyhole Ln
Dallas, TX 75229        ")</f>
        <v>jennifer &amp; John
4915 Keyhole Ln
Dallas, TX 75229        </v>
      </c>
      <c r="CV295" s="51">
        <f>IFERROR(__xludf.DUMMYFUNCTION("IF(REGEXMATCH(UPPER(CU295), ""TX""),0,1)"),0.0)</f>
        <v>0</v>
      </c>
      <c r="CW295" s="51">
        <f>IFERROR(__xludf.DUMMYFUNCTION("IF(REGEXMATCH(UPPER(CU295), ""DALLAS""),0,1)"),0.0)</f>
        <v>0</v>
      </c>
      <c r="CX295" s="51">
        <f t="shared" si="17"/>
        <v>0</v>
      </c>
      <c r="CY295" s="51">
        <f t="shared" si="18"/>
        <v>0</v>
      </c>
      <c r="CZ295" s="52" t="str">
        <f t="shared" si="19"/>
        <v/>
      </c>
      <c r="DA295" s="58"/>
      <c r="DB295" s="52"/>
      <c r="DC295" s="52"/>
      <c r="DD295" s="52"/>
      <c r="DE295" s="52"/>
      <c r="DF295" s="52"/>
      <c r="DG295" s="52"/>
      <c r="DH295" s="52"/>
      <c r="DI295" s="52"/>
      <c r="DJ295" s="52"/>
      <c r="DK295" s="52"/>
      <c r="DL295" s="52"/>
      <c r="DM295" s="52"/>
      <c r="DN295" s="52"/>
      <c r="DO295" s="52"/>
      <c r="DP295" s="52"/>
      <c r="DQ295" s="52"/>
      <c r="DR295" s="52"/>
      <c r="DS295" s="52"/>
      <c r="DT295" s="52"/>
      <c r="DU295" s="52"/>
      <c r="DV295" s="52"/>
      <c r="DW295" s="52"/>
    </row>
    <row r="296">
      <c r="A296" s="23" t="s">
        <v>64</v>
      </c>
      <c r="B296" s="23" t="s">
        <v>56</v>
      </c>
      <c r="C296" s="31" t="s">
        <v>827</v>
      </c>
      <c r="D296" s="25" t="str">
        <f>IFERROR(__xludf.DUMMYFUNCTION("SPLIT(C296,"" "")"),"WSP")</f>
        <v>WSP</v>
      </c>
      <c r="E296" s="22" t="str">
        <f>IFERROR(__xludf.DUMMYFUNCTION("""COMPUTED_VALUE"""),"USA")</f>
        <v>USA</v>
      </c>
      <c r="F296" s="22" t="str">
        <f>IFERROR(__xludf.DUMMYFUNCTION("""COMPUTED_VALUE"""),"PAC
1")</f>
        <v>PAC
1</v>
      </c>
      <c r="G296" s="22" t="str">
        <f>IFERROR(__xludf.DUMMYFUNCTION("""COMPUTED_VALUE"""),"Penn")</f>
        <v>Penn</v>
      </c>
      <c r="H296" s="22" t="str">
        <f>IFERROR(__xludf.DUMMYFUNCTION("""COMPUTED_VALUE"""),"Plaza
New")</f>
        <v>Plaza
New</v>
      </c>
      <c r="I296" s="22" t="str">
        <f>IFERROR(__xludf.DUMMYFUNCTION("""COMPUTED_VALUE"""),"York,")</f>
        <v>York,</v>
      </c>
      <c r="J296" s="22" t="str">
        <f>IFERROR(__xludf.DUMMYFUNCTION("""COMPUTED_VALUE"""),"NY")</f>
        <v>NY</v>
      </c>
      <c r="K296" s="22">
        <f>IFERROR(__xludf.DUMMYFUNCTION("""COMPUTED_VALUE"""),10119.0)</f>
        <v>10119</v>
      </c>
      <c r="L296" s="22"/>
      <c r="M296" s="22"/>
      <c r="N296" s="22"/>
      <c r="O296" s="22"/>
      <c r="P296" s="22"/>
      <c r="Q296" s="22"/>
      <c r="R296" s="22"/>
      <c r="S296" s="22"/>
      <c r="T296" s="22"/>
      <c r="U296" s="24" t="str">
        <f>IFERROR(__xludf.DUMMYFUNCTION("SPLIT(E296,""01234567890"")"),"USA")</f>
        <v>USA</v>
      </c>
      <c r="V296" s="24" t="str">
        <f>IFERROR(__xludf.DUMMYFUNCTION("SPLIT(D296,"","")"),"WSP")</f>
        <v>WSP</v>
      </c>
      <c r="W296" s="25" t="str">
        <f t="shared" si="1"/>
        <v>USA WSP</v>
      </c>
      <c r="X296" s="25" t="s">
        <v>828</v>
      </c>
      <c r="Y296" s="25">
        <v>10119.0</v>
      </c>
      <c r="Z296" s="25" t="str">
        <f>IFERROR(__xludf.DUMMYFUNCTION("SPLIT(C296,""
"")"),"WSP USA PAC")</f>
        <v>WSP USA PAC</v>
      </c>
      <c r="AA296" s="25" t="str">
        <f>IFERROR(__xludf.DUMMYFUNCTION("""COMPUTED_VALUE"""),"1 Penn Plaza")</f>
        <v>1 Penn Plaza</v>
      </c>
      <c r="AB296" s="25" t="str">
        <f>IFERROR(__xludf.DUMMYFUNCTION("""COMPUTED_VALUE"""),"New York, NY 10119")</f>
        <v>New York, NY 10119</v>
      </c>
      <c r="AC296" s="24" t="s">
        <v>829</v>
      </c>
      <c r="AD296" s="25"/>
      <c r="AE296" s="25"/>
      <c r="AF296" s="25"/>
      <c r="AG296" s="22" t="s">
        <v>60</v>
      </c>
      <c r="AH296" s="54">
        <v>2437.0</v>
      </c>
      <c r="AI296" s="22" t="s">
        <v>61</v>
      </c>
      <c r="AJ296" s="27">
        <v>1000.0</v>
      </c>
      <c r="AK296" s="31" t="s">
        <v>25</v>
      </c>
      <c r="AL296" s="28">
        <v>44725.0</v>
      </c>
      <c r="AM296" s="29">
        <v>44754.83237268519</v>
      </c>
      <c r="AN296" s="30">
        <v>2.0</v>
      </c>
      <c r="AO296" s="22"/>
      <c r="AP296" s="22"/>
      <c r="AQ296" s="22"/>
      <c r="AR296" s="22"/>
      <c r="AS296" s="22"/>
      <c r="AT296" s="70"/>
      <c r="AU296" s="22"/>
      <c r="AV296" s="57" t="str">
        <f>IFERROR(__xludf.DUMMYFUNCTION("""COMPUTED_VALUE"""),"Byrne")</f>
        <v>Byrne</v>
      </c>
      <c r="AW296" s="46">
        <f t="shared" si="7"/>
        <v>18000</v>
      </c>
      <c r="AX296" s="47">
        <f t="shared" ref="AX296:BQ296" si="998">SUMIFS($AJ:$AJ,$V:$V,$AV296,$AK:$AK,AX$2)</f>
        <v>5000</v>
      </c>
      <c r="AY296" s="48">
        <f t="shared" si="998"/>
        <v>0</v>
      </c>
      <c r="AZ296" s="48">
        <f t="shared" si="998"/>
        <v>0</v>
      </c>
      <c r="BA296" s="48">
        <f t="shared" si="998"/>
        <v>6000</v>
      </c>
      <c r="BB296" s="48">
        <f t="shared" si="998"/>
        <v>5000</v>
      </c>
      <c r="BC296" s="48">
        <f t="shared" si="998"/>
        <v>0</v>
      </c>
      <c r="BD296" s="48">
        <f t="shared" si="998"/>
        <v>0</v>
      </c>
      <c r="BE296" s="48">
        <f t="shared" si="998"/>
        <v>0</v>
      </c>
      <c r="BF296" s="48">
        <f t="shared" si="998"/>
        <v>0</v>
      </c>
      <c r="BG296" s="48">
        <f t="shared" si="998"/>
        <v>0</v>
      </c>
      <c r="BH296" s="48">
        <f t="shared" si="998"/>
        <v>0</v>
      </c>
      <c r="BI296" s="48">
        <f t="shared" si="998"/>
        <v>0</v>
      </c>
      <c r="BJ296" s="48">
        <f t="shared" si="998"/>
        <v>0</v>
      </c>
      <c r="BK296" s="48">
        <f t="shared" si="998"/>
        <v>0</v>
      </c>
      <c r="BL296" s="48">
        <f t="shared" si="998"/>
        <v>2000</v>
      </c>
      <c r="BM296" s="48">
        <f t="shared" si="998"/>
        <v>0</v>
      </c>
      <c r="BN296" s="48">
        <f t="shared" si="998"/>
        <v>0</v>
      </c>
      <c r="BO296" s="48">
        <f t="shared" si="998"/>
        <v>0</v>
      </c>
      <c r="BP296" s="48">
        <f t="shared" si="998"/>
        <v>0</v>
      </c>
      <c r="BQ296" s="48">
        <f t="shared" si="998"/>
        <v>0</v>
      </c>
      <c r="BR296" s="36">
        <f t="shared" si="9"/>
        <v>1</v>
      </c>
      <c r="BS296" s="38">
        <f t="shared" si="10"/>
        <v>2</v>
      </c>
      <c r="BT296" s="49">
        <f t="shared" si="11"/>
        <v>0</v>
      </c>
      <c r="BU296" s="38">
        <f t="shared" si="12"/>
        <v>2000</v>
      </c>
      <c r="BV296" s="57" t="str">
        <f>IFERROR(__xludf.DUMMYFUNCTION("""COMPUTED_VALUE"""),"Byrne")</f>
        <v>Byrne</v>
      </c>
      <c r="BW296" s="46">
        <f t="shared" si="13"/>
        <v>18000</v>
      </c>
      <c r="BX296" s="47">
        <f t="shared" ref="BX296:CA296" si="999">AX296-$BU296</f>
        <v>3000</v>
      </c>
      <c r="BY296" s="47">
        <f t="shared" si="999"/>
        <v>-2000</v>
      </c>
      <c r="BZ296" s="47">
        <f t="shared" si="999"/>
        <v>-2000</v>
      </c>
      <c r="CA296" s="47">
        <f t="shared" si="999"/>
        <v>4000</v>
      </c>
      <c r="CB296" s="47">
        <f t="shared" si="15"/>
        <v>-15000</v>
      </c>
      <c r="CC296" s="47">
        <f t="shared" ref="CC296:CQ296" si="1000">BC296-$BU296</f>
        <v>-2000</v>
      </c>
      <c r="CD296" s="47">
        <f t="shared" si="1000"/>
        <v>-2000</v>
      </c>
      <c r="CE296" s="47">
        <f t="shared" si="1000"/>
        <v>-2000</v>
      </c>
      <c r="CF296" s="47">
        <f t="shared" si="1000"/>
        <v>-2000</v>
      </c>
      <c r="CG296" s="47">
        <f t="shared" si="1000"/>
        <v>-2000</v>
      </c>
      <c r="CH296" s="47">
        <f t="shared" si="1000"/>
        <v>-2000</v>
      </c>
      <c r="CI296" s="47">
        <f t="shared" si="1000"/>
        <v>-2000</v>
      </c>
      <c r="CJ296" s="47">
        <f t="shared" si="1000"/>
        <v>-2000</v>
      </c>
      <c r="CK296" s="47">
        <f t="shared" si="1000"/>
        <v>-2000</v>
      </c>
      <c r="CL296" s="47">
        <f t="shared" si="1000"/>
        <v>0</v>
      </c>
      <c r="CM296" s="47">
        <f t="shared" si="1000"/>
        <v>-2000</v>
      </c>
      <c r="CN296" s="47">
        <f t="shared" si="1000"/>
        <v>-2000</v>
      </c>
      <c r="CO296" s="47">
        <f t="shared" si="1000"/>
        <v>-2000</v>
      </c>
      <c r="CP296" s="47">
        <f t="shared" si="1000"/>
        <v>-2000</v>
      </c>
      <c r="CQ296" s="47">
        <f t="shared" si="1000"/>
        <v>-2000</v>
      </c>
      <c r="CR296" s="47"/>
      <c r="CS296" s="47"/>
      <c r="CT296" s="47"/>
      <c r="CU296" s="50" t="str">
        <f>IFERROR(__xludf.DUMMYFUNCTION("""COMPUTED_VALUE"""),"3606 Greenville Ave
Dallas, TX 75206          ")</f>
        <v>3606 Greenville Ave
Dallas, TX 75206          </v>
      </c>
      <c r="CV296" s="51">
        <f>IFERROR(__xludf.DUMMYFUNCTION("IF(REGEXMATCH(UPPER(CU296), ""TX""),0,1)"),0.0)</f>
        <v>0</v>
      </c>
      <c r="CW296" s="51">
        <f>IFERROR(__xludf.DUMMYFUNCTION("IF(REGEXMATCH(UPPER(CU296), ""DALLAS""),0,1)"),0.0)</f>
        <v>0</v>
      </c>
      <c r="CX296" s="51">
        <f t="shared" si="17"/>
        <v>0</v>
      </c>
      <c r="CY296" s="51">
        <f t="shared" si="18"/>
        <v>0</v>
      </c>
      <c r="CZ296" s="52" t="str">
        <f t="shared" si="19"/>
        <v/>
      </c>
      <c r="DA296" s="58"/>
      <c r="DB296" s="52"/>
      <c r="DC296" s="52"/>
      <c r="DD296" s="52"/>
      <c r="DE296" s="52"/>
      <c r="DF296" s="52"/>
      <c r="DG296" s="52"/>
      <c r="DH296" s="52"/>
      <c r="DI296" s="52"/>
      <c r="DJ296" s="52"/>
      <c r="DK296" s="52"/>
      <c r="DL296" s="52"/>
      <c r="DM296" s="52"/>
      <c r="DN296" s="52"/>
      <c r="DO296" s="52"/>
      <c r="DP296" s="52"/>
      <c r="DQ296" s="52"/>
      <c r="DR296" s="52"/>
      <c r="DS296" s="52"/>
      <c r="DT296" s="52"/>
      <c r="DU296" s="52"/>
      <c r="DV296" s="52"/>
      <c r="DW296" s="52"/>
    </row>
    <row r="297">
      <c r="A297" s="40" t="s">
        <v>55</v>
      </c>
      <c r="B297" s="41" t="s">
        <v>56</v>
      </c>
      <c r="C297" s="31" t="s">
        <v>830</v>
      </c>
      <c r="D297" s="25" t="str">
        <f>IFERROR(__xludf.DUMMYFUNCTION("SPLIT(C297,"" "")"),"Perot")</f>
        <v>Perot</v>
      </c>
      <c r="E297" s="40" t="str">
        <f>IFERROR(__xludf.DUMMYFUNCTION("""COMPUTED_VALUE"""),"Jr.,")</f>
        <v>Jr.,</v>
      </c>
      <c r="F297" s="40" t="str">
        <f>IFERROR(__xludf.DUMMYFUNCTION("""COMPUTED_VALUE"""),"Ross
3000")</f>
        <v>Ross
3000</v>
      </c>
      <c r="G297" s="40" t="str">
        <f>IFERROR(__xludf.DUMMYFUNCTION("""COMPUTED_VALUE"""),"Turtle")</f>
        <v>Turtle</v>
      </c>
      <c r="H297" s="40" t="str">
        <f>IFERROR(__xludf.DUMMYFUNCTION("""COMPUTED_VALUE"""),"Creek")</f>
        <v>Creek</v>
      </c>
      <c r="I297" s="40" t="str">
        <f>IFERROR(__xludf.DUMMYFUNCTION("""COMPUTED_VALUE"""),"Blvd
Dallas,")</f>
        <v>Blvd
Dallas,</v>
      </c>
      <c r="J297" s="40" t="str">
        <f>IFERROR(__xludf.DUMMYFUNCTION("""COMPUTED_VALUE"""),"TX")</f>
        <v>TX</v>
      </c>
      <c r="K297" s="40">
        <f>IFERROR(__xludf.DUMMYFUNCTION("""COMPUTED_VALUE"""),75219.0)</f>
        <v>75219</v>
      </c>
      <c r="L297" s="40"/>
      <c r="M297" s="40"/>
      <c r="N297" s="40"/>
      <c r="O297" s="40"/>
      <c r="P297" s="40"/>
      <c r="Q297" s="40"/>
      <c r="R297" s="40"/>
      <c r="S297" s="40"/>
      <c r="T297" s="40"/>
      <c r="U297" s="24" t="str">
        <f>IFERROR(__xludf.DUMMYFUNCTION("SPLIT(E297,""01234567890"")"),"Jr.,")</f>
        <v>Jr.,</v>
      </c>
      <c r="V297" s="24" t="str">
        <f>IFERROR(__xludf.DUMMYFUNCTION("SPLIT(D297,"","")"),"Perot")</f>
        <v>Perot</v>
      </c>
      <c r="W297" s="25" t="str">
        <f t="shared" si="1"/>
        <v>JR., PEROT</v>
      </c>
      <c r="X297" s="25" t="s">
        <v>831</v>
      </c>
      <c r="Y297" s="25">
        <v>75219.0</v>
      </c>
      <c r="Z297" s="25" t="str">
        <f>IFERROR(__xludf.DUMMYFUNCTION("SPLIT(C297,""
"")"),"Perot Jr., Ross")</f>
        <v>Perot Jr., Ross</v>
      </c>
      <c r="AA297" s="25" t="str">
        <f>IFERROR(__xludf.DUMMYFUNCTION("""COMPUTED_VALUE"""),"3000 Turtle Creek Blvd")</f>
        <v>3000 Turtle Creek Blvd</v>
      </c>
      <c r="AB297" s="25" t="str">
        <f>IFERROR(__xludf.DUMMYFUNCTION("""COMPUTED_VALUE"""),"Dallas, TX 75219")</f>
        <v>Dallas, TX 75219</v>
      </c>
      <c r="AC297" s="24" t="s">
        <v>832</v>
      </c>
      <c r="AD297" s="25"/>
      <c r="AE297" s="25"/>
      <c r="AF297" s="25"/>
      <c r="AG297" s="40" t="s">
        <v>60</v>
      </c>
      <c r="AH297" s="42">
        <v>2437.0</v>
      </c>
      <c r="AI297" s="40" t="s">
        <v>61</v>
      </c>
      <c r="AJ297" s="27">
        <v>10000.0</v>
      </c>
      <c r="AK297" s="31" t="s">
        <v>25</v>
      </c>
      <c r="AL297" s="43">
        <v>44739.0</v>
      </c>
      <c r="AM297" s="44">
        <v>44754.83237268519</v>
      </c>
      <c r="AN297" s="30">
        <v>2.0</v>
      </c>
      <c r="AO297" s="40"/>
      <c r="AP297" s="40"/>
      <c r="AQ297" s="40"/>
      <c r="AR297" s="40"/>
      <c r="AS297" s="40"/>
      <c r="AT297" s="47"/>
      <c r="AU297" s="40"/>
      <c r="AV297" s="46" t="str">
        <f>IFERROR(__xludf.DUMMYFUNCTION("""COMPUTED_VALUE"""),"Headington")</f>
        <v>Headington</v>
      </c>
      <c r="AW297" s="46">
        <f t="shared" si="7"/>
        <v>10000</v>
      </c>
      <c r="AX297" s="47">
        <f t="shared" ref="AX297:BQ297" si="1001">SUMIFS($AJ:$AJ,$V:$V,$AV297,$AK:$AK,AX$2)</f>
        <v>10000</v>
      </c>
      <c r="AY297" s="48">
        <f t="shared" si="1001"/>
        <v>0</v>
      </c>
      <c r="AZ297" s="48">
        <f t="shared" si="1001"/>
        <v>0</v>
      </c>
      <c r="BA297" s="48">
        <f t="shared" si="1001"/>
        <v>0</v>
      </c>
      <c r="BB297" s="48">
        <f t="shared" si="1001"/>
        <v>0</v>
      </c>
      <c r="BC297" s="48">
        <f t="shared" si="1001"/>
        <v>0</v>
      </c>
      <c r="BD297" s="48">
        <f t="shared" si="1001"/>
        <v>0</v>
      </c>
      <c r="BE297" s="48">
        <f t="shared" si="1001"/>
        <v>0</v>
      </c>
      <c r="BF297" s="48">
        <f t="shared" si="1001"/>
        <v>0</v>
      </c>
      <c r="BG297" s="48">
        <f t="shared" si="1001"/>
        <v>0</v>
      </c>
      <c r="BH297" s="48">
        <f t="shared" si="1001"/>
        <v>0</v>
      </c>
      <c r="BI297" s="48">
        <f t="shared" si="1001"/>
        <v>0</v>
      </c>
      <c r="BJ297" s="48">
        <f t="shared" si="1001"/>
        <v>0</v>
      </c>
      <c r="BK297" s="48">
        <f t="shared" si="1001"/>
        <v>0</v>
      </c>
      <c r="BL297" s="48">
        <f t="shared" si="1001"/>
        <v>0</v>
      </c>
      <c r="BM297" s="48">
        <f t="shared" si="1001"/>
        <v>0</v>
      </c>
      <c r="BN297" s="48">
        <f t="shared" si="1001"/>
        <v>0</v>
      </c>
      <c r="BO297" s="48">
        <f t="shared" si="1001"/>
        <v>0</v>
      </c>
      <c r="BP297" s="48">
        <f t="shared" si="1001"/>
        <v>0</v>
      </c>
      <c r="BQ297" s="48">
        <f t="shared" si="1001"/>
        <v>0</v>
      </c>
      <c r="BR297" s="36">
        <f t="shared" si="9"/>
        <v>1</v>
      </c>
      <c r="BS297" s="38">
        <f t="shared" si="10"/>
        <v>2</v>
      </c>
      <c r="BT297" s="49">
        <f t="shared" si="11"/>
        <v>0</v>
      </c>
      <c r="BU297" s="38">
        <f t="shared" si="12"/>
        <v>2000</v>
      </c>
      <c r="BV297" s="46" t="str">
        <f>IFERROR(__xludf.DUMMYFUNCTION("""COMPUTED_VALUE"""),"Headington")</f>
        <v>Headington</v>
      </c>
      <c r="BW297" s="46">
        <f t="shared" si="13"/>
        <v>10000</v>
      </c>
      <c r="BX297" s="47">
        <f t="shared" ref="BX297:CA297" si="1002">AX297-$BU297</f>
        <v>8000</v>
      </c>
      <c r="BY297" s="47">
        <f t="shared" si="1002"/>
        <v>-2000</v>
      </c>
      <c r="BZ297" s="47">
        <f t="shared" si="1002"/>
        <v>-2000</v>
      </c>
      <c r="CA297" s="47">
        <f t="shared" si="1002"/>
        <v>-2000</v>
      </c>
      <c r="CB297" s="47">
        <f t="shared" si="15"/>
        <v>-20000</v>
      </c>
      <c r="CC297" s="47">
        <f t="shared" ref="CC297:CQ297" si="1003">BC297-$BU297</f>
        <v>-2000</v>
      </c>
      <c r="CD297" s="47">
        <f t="shared" si="1003"/>
        <v>-2000</v>
      </c>
      <c r="CE297" s="47">
        <f t="shared" si="1003"/>
        <v>-2000</v>
      </c>
      <c r="CF297" s="47">
        <f t="shared" si="1003"/>
        <v>-2000</v>
      </c>
      <c r="CG297" s="47">
        <f t="shared" si="1003"/>
        <v>-2000</v>
      </c>
      <c r="CH297" s="47">
        <f t="shared" si="1003"/>
        <v>-2000</v>
      </c>
      <c r="CI297" s="47">
        <f t="shared" si="1003"/>
        <v>-2000</v>
      </c>
      <c r="CJ297" s="47">
        <f t="shared" si="1003"/>
        <v>-2000</v>
      </c>
      <c r="CK297" s="47">
        <f t="shared" si="1003"/>
        <v>-2000</v>
      </c>
      <c r="CL297" s="47">
        <f t="shared" si="1003"/>
        <v>-2000</v>
      </c>
      <c r="CM297" s="47">
        <f t="shared" si="1003"/>
        <v>-2000</v>
      </c>
      <c r="CN297" s="47">
        <f t="shared" si="1003"/>
        <v>-2000</v>
      </c>
      <c r="CO297" s="47">
        <f t="shared" si="1003"/>
        <v>-2000</v>
      </c>
      <c r="CP297" s="47">
        <f t="shared" si="1003"/>
        <v>-2000</v>
      </c>
      <c r="CQ297" s="47">
        <f t="shared" si="1003"/>
        <v>-2000</v>
      </c>
      <c r="CR297" s="47"/>
      <c r="CS297" s="47"/>
      <c r="CT297" s="47"/>
      <c r="CU297" s="50" t="str">
        <f>IFERROR(__xludf.DUMMYFUNCTION("""COMPUTED_VALUE"""),"1159 Cottonwood Ln
Irving, TX 75038          ")</f>
        <v>1159 Cottonwood Ln
Irving, TX 75038          </v>
      </c>
      <c r="CV297" s="51">
        <f>IFERROR(__xludf.DUMMYFUNCTION("IF(REGEXMATCH(UPPER(CU297), ""TX""),0,1)"),0.0)</f>
        <v>0</v>
      </c>
      <c r="CW297" s="51">
        <f>IFERROR(__xludf.DUMMYFUNCTION("IF(REGEXMATCH(UPPER(CU297), ""DALLAS""),0,1)"),1.0)</f>
        <v>1</v>
      </c>
      <c r="CX297" s="51">
        <f t="shared" si="17"/>
        <v>0</v>
      </c>
      <c r="CY297" s="51">
        <f t="shared" si="18"/>
        <v>2500</v>
      </c>
      <c r="CZ297" s="52" t="str">
        <f t="shared" si="19"/>
        <v>1159 Cottonwood Ln
Irving, TX 75038          </v>
      </c>
      <c r="DA297" s="58"/>
      <c r="DB297" s="52"/>
      <c r="DC297" s="52"/>
      <c r="DD297" s="52"/>
      <c r="DE297" s="52"/>
      <c r="DF297" s="52"/>
      <c r="DG297" s="52"/>
      <c r="DH297" s="52"/>
      <c r="DI297" s="52"/>
      <c r="DJ297" s="52"/>
      <c r="DK297" s="52"/>
      <c r="DL297" s="52"/>
      <c r="DM297" s="52"/>
      <c r="DN297" s="52"/>
      <c r="DO297" s="52"/>
      <c r="DP297" s="52"/>
      <c r="DQ297" s="52"/>
      <c r="DR297" s="52"/>
      <c r="DS297" s="52"/>
      <c r="DT297" s="52"/>
      <c r="DU297" s="52"/>
      <c r="DV297" s="52"/>
      <c r="DW297" s="52"/>
    </row>
    <row r="298">
      <c r="A298" s="23" t="s">
        <v>64</v>
      </c>
      <c r="B298" s="23" t="s">
        <v>56</v>
      </c>
      <c r="C298" s="31" t="s">
        <v>833</v>
      </c>
      <c r="D298" s="25" t="str">
        <f>IFERROR(__xludf.DUMMYFUNCTION("SPLIT(C298,"" "")"),"Tillotson,")</f>
        <v>Tillotson,</v>
      </c>
      <c r="E298" s="22" t="str">
        <f>IFERROR(__xludf.DUMMYFUNCTION("""COMPUTED_VALUE"""),"Jeffrey
4515")</f>
        <v>Jeffrey
4515</v>
      </c>
      <c r="F298" s="22" t="str">
        <f>IFERROR(__xludf.DUMMYFUNCTION("""COMPUTED_VALUE"""),"W")</f>
        <v>W</v>
      </c>
      <c r="G298" s="22" t="str">
        <f>IFERROR(__xludf.DUMMYFUNCTION("""COMPUTED_VALUE"""),"Mockingbird")</f>
        <v>Mockingbird</v>
      </c>
      <c r="H298" s="22" t="str">
        <f>IFERROR(__xludf.DUMMYFUNCTION("""COMPUTED_VALUE"""),"Ln
Dallas,")</f>
        <v>Ln
Dallas,</v>
      </c>
      <c r="I298" s="22" t="str">
        <f>IFERROR(__xludf.DUMMYFUNCTION("""COMPUTED_VALUE"""),"TX")</f>
        <v>TX</v>
      </c>
      <c r="J298" s="22">
        <f>IFERROR(__xludf.DUMMYFUNCTION("""COMPUTED_VALUE"""),75209.0)</f>
        <v>75209</v>
      </c>
      <c r="K298" s="22"/>
      <c r="L298" s="22"/>
      <c r="M298" s="22"/>
      <c r="N298" s="22"/>
      <c r="O298" s="22"/>
      <c r="P298" s="22"/>
      <c r="Q298" s="22"/>
      <c r="R298" s="22"/>
      <c r="S298" s="22"/>
      <c r="T298" s="22"/>
      <c r="U298" s="24" t="str">
        <f>IFERROR(__xludf.DUMMYFUNCTION("SPLIT(E298,""01234567890"")"),"Jeffrey
")</f>
        <v>Jeffrey
</v>
      </c>
      <c r="V298" s="24" t="str">
        <f>IFERROR(__xludf.DUMMYFUNCTION("SPLIT(D298,"","")"),"Tillotson")</f>
        <v>Tillotson</v>
      </c>
      <c r="W298" s="25" t="str">
        <f t="shared" si="1"/>
        <v>JEFFREY
 TILLOTSON</v>
      </c>
      <c r="X298" s="25" t="s">
        <v>834</v>
      </c>
      <c r="Y298" s="25">
        <v>75209.0</v>
      </c>
      <c r="Z298" s="25" t="str">
        <f>IFERROR(__xludf.DUMMYFUNCTION("SPLIT(C298,""
"")"),"Tillotson, Jeffrey")</f>
        <v>Tillotson, Jeffrey</v>
      </c>
      <c r="AA298" s="25" t="str">
        <f>IFERROR(__xludf.DUMMYFUNCTION("""COMPUTED_VALUE"""),"4515 W Mockingbird Ln")</f>
        <v>4515 W Mockingbird Ln</v>
      </c>
      <c r="AB298" s="25" t="str">
        <f>IFERROR(__xludf.DUMMYFUNCTION("""COMPUTED_VALUE"""),"Dallas, TX 75209")</f>
        <v>Dallas, TX 75209</v>
      </c>
      <c r="AC298" s="24" t="s">
        <v>835</v>
      </c>
      <c r="AD298" s="25"/>
      <c r="AE298" s="25"/>
      <c r="AF298" s="25"/>
      <c r="AG298" s="22" t="s">
        <v>60</v>
      </c>
      <c r="AH298" s="54">
        <v>2437.0</v>
      </c>
      <c r="AI298" s="22" t="s">
        <v>61</v>
      </c>
      <c r="AJ298" s="27">
        <v>2500.0</v>
      </c>
      <c r="AK298" s="31" t="s">
        <v>25</v>
      </c>
      <c r="AL298" s="28">
        <v>44741.0</v>
      </c>
      <c r="AM298" s="29">
        <v>44754.83237268519</v>
      </c>
      <c r="AN298" s="30">
        <v>2.0</v>
      </c>
      <c r="AO298" s="22"/>
      <c r="AP298" s="22"/>
      <c r="AQ298" s="22"/>
      <c r="AR298" s="22"/>
      <c r="AS298" s="22"/>
      <c r="AT298" s="70"/>
      <c r="AU298" s="22"/>
      <c r="AV298" s="57" t="str">
        <f>IFERROR(__xludf.DUMMYFUNCTION("""COMPUTED_VALUE"""),"Hancock")</f>
        <v>Hancock</v>
      </c>
      <c r="AW298" s="46">
        <f t="shared" si="7"/>
        <v>1000</v>
      </c>
      <c r="AX298" s="47">
        <f t="shared" ref="AX298:BQ298" si="1004">SUMIFS($AJ:$AJ,$V:$V,$AV298,$AK:$AK,AX$2)</f>
        <v>1000</v>
      </c>
      <c r="AY298" s="48">
        <f t="shared" si="1004"/>
        <v>0</v>
      </c>
      <c r="AZ298" s="48">
        <f t="shared" si="1004"/>
        <v>0</v>
      </c>
      <c r="BA298" s="48">
        <f t="shared" si="1004"/>
        <v>0</v>
      </c>
      <c r="BB298" s="48">
        <f t="shared" si="1004"/>
        <v>0</v>
      </c>
      <c r="BC298" s="48">
        <f t="shared" si="1004"/>
        <v>0</v>
      </c>
      <c r="BD298" s="48">
        <f t="shared" si="1004"/>
        <v>0</v>
      </c>
      <c r="BE298" s="48">
        <f t="shared" si="1004"/>
        <v>0</v>
      </c>
      <c r="BF298" s="48">
        <f t="shared" si="1004"/>
        <v>0</v>
      </c>
      <c r="BG298" s="48">
        <f t="shared" si="1004"/>
        <v>0</v>
      </c>
      <c r="BH298" s="48">
        <f t="shared" si="1004"/>
        <v>0</v>
      </c>
      <c r="BI298" s="48">
        <f t="shared" si="1004"/>
        <v>0</v>
      </c>
      <c r="BJ298" s="48">
        <f t="shared" si="1004"/>
        <v>0</v>
      </c>
      <c r="BK298" s="48">
        <f t="shared" si="1004"/>
        <v>0</v>
      </c>
      <c r="BL298" s="48">
        <f t="shared" si="1004"/>
        <v>0</v>
      </c>
      <c r="BM298" s="48">
        <f t="shared" si="1004"/>
        <v>0</v>
      </c>
      <c r="BN298" s="48">
        <f t="shared" si="1004"/>
        <v>0</v>
      </c>
      <c r="BO298" s="48">
        <f t="shared" si="1004"/>
        <v>0</v>
      </c>
      <c r="BP298" s="48">
        <f t="shared" si="1004"/>
        <v>0</v>
      </c>
      <c r="BQ298" s="48">
        <f t="shared" si="1004"/>
        <v>0</v>
      </c>
      <c r="BR298" s="36">
        <f t="shared" si="9"/>
        <v>0</v>
      </c>
      <c r="BS298" s="38">
        <f t="shared" si="10"/>
        <v>1</v>
      </c>
      <c r="BT298" s="49">
        <f t="shared" si="11"/>
        <v>0</v>
      </c>
      <c r="BU298" s="38">
        <f t="shared" si="12"/>
        <v>1000</v>
      </c>
      <c r="BV298" s="57" t="str">
        <f>IFERROR(__xludf.DUMMYFUNCTION("""COMPUTED_VALUE"""),"Hancock")</f>
        <v>Hancock</v>
      </c>
      <c r="BW298" s="46">
        <f t="shared" si="13"/>
        <v>1000</v>
      </c>
      <c r="BX298" s="47">
        <f t="shared" ref="BX298:CA298" si="1005">AX298-$BU298</f>
        <v>0</v>
      </c>
      <c r="BY298" s="47">
        <f t="shared" si="1005"/>
        <v>-1000</v>
      </c>
      <c r="BZ298" s="47">
        <f t="shared" si="1005"/>
        <v>-1000</v>
      </c>
      <c r="CA298" s="47">
        <f t="shared" si="1005"/>
        <v>-1000</v>
      </c>
      <c r="CB298" s="47">
        <f t="shared" si="15"/>
        <v>-10000</v>
      </c>
      <c r="CC298" s="47">
        <f t="shared" ref="CC298:CQ298" si="1006">BC298-$BU298</f>
        <v>-1000</v>
      </c>
      <c r="CD298" s="47">
        <f t="shared" si="1006"/>
        <v>-1000</v>
      </c>
      <c r="CE298" s="47">
        <f t="shared" si="1006"/>
        <v>-1000</v>
      </c>
      <c r="CF298" s="47">
        <f t="shared" si="1006"/>
        <v>-1000</v>
      </c>
      <c r="CG298" s="47">
        <f t="shared" si="1006"/>
        <v>-1000</v>
      </c>
      <c r="CH298" s="47">
        <f t="shared" si="1006"/>
        <v>-1000</v>
      </c>
      <c r="CI298" s="47">
        <f t="shared" si="1006"/>
        <v>-1000</v>
      </c>
      <c r="CJ298" s="47">
        <f t="shared" si="1006"/>
        <v>-1000</v>
      </c>
      <c r="CK298" s="47">
        <f t="shared" si="1006"/>
        <v>-1000</v>
      </c>
      <c r="CL298" s="47">
        <f t="shared" si="1006"/>
        <v>-1000</v>
      </c>
      <c r="CM298" s="47">
        <f t="shared" si="1006"/>
        <v>-1000</v>
      </c>
      <c r="CN298" s="47">
        <f t="shared" si="1006"/>
        <v>-1000</v>
      </c>
      <c r="CO298" s="47">
        <f t="shared" si="1006"/>
        <v>-1000</v>
      </c>
      <c r="CP298" s="47">
        <f t="shared" si="1006"/>
        <v>-1000</v>
      </c>
      <c r="CQ298" s="47">
        <f t="shared" si="1006"/>
        <v>-1000</v>
      </c>
      <c r="CR298" s="47"/>
      <c r="CS298" s="47"/>
      <c r="CT298" s="47"/>
      <c r="CU298" s="50" t="str">
        <f>IFERROR(__xludf.DUMMYFUNCTION("""COMPUTED_VALUE"""),"400 Oak Ridge Dr
Fairview, TX 75069         ")</f>
        <v>400 Oak Ridge Dr
Fairview, TX 75069         </v>
      </c>
      <c r="CV298" s="51">
        <f>IFERROR(__xludf.DUMMYFUNCTION("IF(REGEXMATCH(UPPER(CU298), ""TX""),0,1)"),0.0)</f>
        <v>0</v>
      </c>
      <c r="CW298" s="51">
        <f>IFERROR(__xludf.DUMMYFUNCTION("IF(REGEXMATCH(UPPER(CU298), ""DALLAS""),0,1)"),1.0)</f>
        <v>1</v>
      </c>
      <c r="CX298" s="51">
        <f t="shared" si="17"/>
        <v>0</v>
      </c>
      <c r="CY298" s="51">
        <f t="shared" si="18"/>
        <v>250</v>
      </c>
      <c r="CZ298" s="52" t="str">
        <f t="shared" si="19"/>
        <v>400 Oak Ridge Dr
Fairview, TX 75069         </v>
      </c>
      <c r="DA298" s="58"/>
      <c r="DB298" s="52"/>
      <c r="DC298" s="52"/>
      <c r="DD298" s="52"/>
      <c r="DE298" s="52"/>
      <c r="DF298" s="52"/>
      <c r="DG298" s="52"/>
      <c r="DH298" s="52"/>
      <c r="DI298" s="52"/>
      <c r="DJ298" s="52"/>
      <c r="DK298" s="52"/>
      <c r="DL298" s="52"/>
      <c r="DM298" s="52"/>
      <c r="DN298" s="52"/>
      <c r="DO298" s="52"/>
      <c r="DP298" s="52"/>
      <c r="DQ298" s="52"/>
      <c r="DR298" s="52"/>
      <c r="DS298" s="52"/>
      <c r="DT298" s="52"/>
      <c r="DU298" s="52"/>
      <c r="DV298" s="52"/>
      <c r="DW298" s="52"/>
    </row>
    <row r="299">
      <c r="A299" s="41" t="s">
        <v>64</v>
      </c>
      <c r="B299" s="41" t="s">
        <v>56</v>
      </c>
      <c r="C299" s="31" t="s">
        <v>743</v>
      </c>
      <c r="D299" s="25" t="str">
        <f>IFERROR(__xludf.DUMMYFUNCTION("SPLIT(C299,"" "")"),"Gerber,")</f>
        <v>Gerber,</v>
      </c>
      <c r="E299" s="40" t="str">
        <f>IFERROR(__xludf.DUMMYFUNCTION("""COMPUTED_VALUE"""),"Pam
4435")</f>
        <v>Pam
4435</v>
      </c>
      <c r="F299" s="40" t="str">
        <f>IFERROR(__xludf.DUMMYFUNCTION("""COMPUTED_VALUE"""),"Holland")</f>
        <v>Holland</v>
      </c>
      <c r="G299" s="40" t="str">
        <f>IFERROR(__xludf.DUMMYFUNCTION("""COMPUTED_VALUE"""),"Ave.
Dallas,")</f>
        <v>Ave.
Dallas,</v>
      </c>
      <c r="H299" s="40" t="str">
        <f>IFERROR(__xludf.DUMMYFUNCTION("""COMPUTED_VALUE"""),"TX")</f>
        <v>TX</v>
      </c>
      <c r="I299" s="40">
        <f>IFERROR(__xludf.DUMMYFUNCTION("""COMPUTED_VALUE"""),75219.0)</f>
        <v>75219</v>
      </c>
      <c r="J299" s="40"/>
      <c r="K299" s="40"/>
      <c r="L299" s="40"/>
      <c r="M299" s="40"/>
      <c r="N299" s="40"/>
      <c r="O299" s="40"/>
      <c r="P299" s="40"/>
      <c r="Q299" s="40"/>
      <c r="R299" s="40"/>
      <c r="S299" s="40"/>
      <c r="T299" s="40"/>
      <c r="U299" s="24" t="str">
        <f>IFERROR(__xludf.DUMMYFUNCTION("SPLIT(E299,""01234567890"")"),"Pam
")</f>
        <v>Pam
</v>
      </c>
      <c r="V299" s="24" t="str">
        <f>IFERROR(__xludf.DUMMYFUNCTION("SPLIT(D299,"","")"),"Gerber")</f>
        <v>Gerber</v>
      </c>
      <c r="W299" s="25" t="str">
        <f t="shared" si="1"/>
        <v>PAM
 GERBER</v>
      </c>
      <c r="X299" s="25" t="s">
        <v>744</v>
      </c>
      <c r="Y299" s="25">
        <v>75219.0</v>
      </c>
      <c r="Z299" s="25" t="str">
        <f>IFERROR(__xludf.DUMMYFUNCTION("SPLIT(C299,""
"")"),"Gerber, Pam")</f>
        <v>Gerber, Pam</v>
      </c>
      <c r="AA299" s="25" t="str">
        <f>IFERROR(__xludf.DUMMYFUNCTION("""COMPUTED_VALUE"""),"4435 Holland Ave.")</f>
        <v>4435 Holland Ave.</v>
      </c>
      <c r="AB299" s="25" t="str">
        <f>IFERROR(__xludf.DUMMYFUNCTION("""COMPUTED_VALUE"""),"Dallas, TX 75219")</f>
        <v>Dallas, TX 75219</v>
      </c>
      <c r="AC299" s="24" t="s">
        <v>745</v>
      </c>
      <c r="AD299" s="25"/>
      <c r="AE299" s="25"/>
      <c r="AF299" s="25"/>
      <c r="AG299" s="40" t="s">
        <v>60</v>
      </c>
      <c r="AH299" s="42">
        <v>2435.0</v>
      </c>
      <c r="AI299" s="40" t="s">
        <v>61</v>
      </c>
      <c r="AJ299" s="27">
        <v>500.0</v>
      </c>
      <c r="AK299" s="31" t="s">
        <v>34</v>
      </c>
      <c r="AL299" s="43">
        <v>44740.0</v>
      </c>
      <c r="AM299" s="44">
        <v>44753.89824074074</v>
      </c>
      <c r="AN299" s="30">
        <v>2.0</v>
      </c>
      <c r="AO299" s="40"/>
      <c r="AP299" s="40"/>
      <c r="AQ299" s="40"/>
      <c r="AR299" s="40"/>
      <c r="AS299" s="40"/>
      <c r="AT299" s="47"/>
      <c r="AU299" s="40"/>
      <c r="AV299" s="46" t="str">
        <f>IFERROR(__xludf.DUMMYFUNCTION("""COMPUTED_VALUE"""),"Panipinto")</f>
        <v>Panipinto</v>
      </c>
      <c r="AW299" s="46">
        <f t="shared" si="7"/>
        <v>100</v>
      </c>
      <c r="AX299" s="47">
        <f t="shared" ref="AX299:BQ299" si="1007">SUMIFS($AJ:$AJ,$V:$V,$AV299,$AK:$AK,AX$2)</f>
        <v>0</v>
      </c>
      <c r="AY299" s="48">
        <f t="shared" si="1007"/>
        <v>0</v>
      </c>
      <c r="AZ299" s="48">
        <f t="shared" si="1007"/>
        <v>0</v>
      </c>
      <c r="BA299" s="48">
        <f t="shared" si="1007"/>
        <v>0</v>
      </c>
      <c r="BB299" s="48">
        <f t="shared" si="1007"/>
        <v>0</v>
      </c>
      <c r="BC299" s="48">
        <f t="shared" si="1007"/>
        <v>0</v>
      </c>
      <c r="BD299" s="48">
        <f t="shared" si="1007"/>
        <v>0</v>
      </c>
      <c r="BE299" s="48">
        <f t="shared" si="1007"/>
        <v>0</v>
      </c>
      <c r="BF299" s="48">
        <f t="shared" si="1007"/>
        <v>0</v>
      </c>
      <c r="BG299" s="48">
        <f t="shared" si="1007"/>
        <v>100</v>
      </c>
      <c r="BH299" s="48">
        <f t="shared" si="1007"/>
        <v>0</v>
      </c>
      <c r="BI299" s="48">
        <f t="shared" si="1007"/>
        <v>0</v>
      </c>
      <c r="BJ299" s="48">
        <f t="shared" si="1007"/>
        <v>0</v>
      </c>
      <c r="BK299" s="48">
        <f t="shared" si="1007"/>
        <v>0</v>
      </c>
      <c r="BL299" s="48">
        <f t="shared" si="1007"/>
        <v>0</v>
      </c>
      <c r="BM299" s="48">
        <f t="shared" si="1007"/>
        <v>0</v>
      </c>
      <c r="BN299" s="48">
        <f t="shared" si="1007"/>
        <v>0</v>
      </c>
      <c r="BO299" s="48">
        <f t="shared" si="1007"/>
        <v>0</v>
      </c>
      <c r="BP299" s="48">
        <f t="shared" si="1007"/>
        <v>0</v>
      </c>
      <c r="BQ299" s="48">
        <f t="shared" si="1007"/>
        <v>0</v>
      </c>
      <c r="BR299" s="36">
        <f t="shared" si="9"/>
        <v>0</v>
      </c>
      <c r="BS299" s="38">
        <f t="shared" si="10"/>
        <v>1</v>
      </c>
      <c r="BT299" s="49">
        <f t="shared" si="11"/>
        <v>0</v>
      </c>
      <c r="BU299" s="38">
        <f t="shared" si="12"/>
        <v>1000</v>
      </c>
      <c r="BV299" s="46" t="str">
        <f>IFERROR(__xludf.DUMMYFUNCTION("""COMPUTED_VALUE"""),"Panipinto")</f>
        <v>Panipinto</v>
      </c>
      <c r="BW299" s="46">
        <f t="shared" si="13"/>
        <v>100</v>
      </c>
      <c r="BX299" s="47">
        <f t="shared" ref="BX299:CA299" si="1008">AX299-$BU299</f>
        <v>-1000</v>
      </c>
      <c r="BY299" s="47">
        <f t="shared" si="1008"/>
        <v>-1000</v>
      </c>
      <c r="BZ299" s="47">
        <f t="shared" si="1008"/>
        <v>-1000</v>
      </c>
      <c r="CA299" s="47">
        <f t="shared" si="1008"/>
        <v>-1000</v>
      </c>
      <c r="CB299" s="47">
        <f t="shared" si="15"/>
        <v>-10000</v>
      </c>
      <c r="CC299" s="47">
        <f t="shared" ref="CC299:CQ299" si="1009">BC299-$BU299</f>
        <v>-1000</v>
      </c>
      <c r="CD299" s="47">
        <f t="shared" si="1009"/>
        <v>-1000</v>
      </c>
      <c r="CE299" s="47">
        <f t="shared" si="1009"/>
        <v>-1000</v>
      </c>
      <c r="CF299" s="47">
        <f t="shared" si="1009"/>
        <v>-1000</v>
      </c>
      <c r="CG299" s="47">
        <f t="shared" si="1009"/>
        <v>-900</v>
      </c>
      <c r="CH299" s="47">
        <f t="shared" si="1009"/>
        <v>-1000</v>
      </c>
      <c r="CI299" s="47">
        <f t="shared" si="1009"/>
        <v>-1000</v>
      </c>
      <c r="CJ299" s="47">
        <f t="shared" si="1009"/>
        <v>-1000</v>
      </c>
      <c r="CK299" s="47">
        <f t="shared" si="1009"/>
        <v>-1000</v>
      </c>
      <c r="CL299" s="47">
        <f t="shared" si="1009"/>
        <v>-1000</v>
      </c>
      <c r="CM299" s="47">
        <f t="shared" si="1009"/>
        <v>-1000</v>
      </c>
      <c r="CN299" s="47">
        <f t="shared" si="1009"/>
        <v>-1000</v>
      </c>
      <c r="CO299" s="47">
        <f t="shared" si="1009"/>
        <v>-1000</v>
      </c>
      <c r="CP299" s="47">
        <f t="shared" si="1009"/>
        <v>-1000</v>
      </c>
      <c r="CQ299" s="47">
        <f t="shared" si="1009"/>
        <v>-1000</v>
      </c>
      <c r="CR299" s="47"/>
      <c r="CS299" s="47"/>
      <c r="CT299" s="47"/>
      <c r="CU299" s="50" t="str">
        <f>IFERROR(__xludf.DUMMYFUNCTION("""COMPUTED_VALUE"""),"1633 Prince William Ln
Frisco, TX 75034         ")</f>
        <v>1633 Prince William Ln
Frisco, TX 75034         </v>
      </c>
      <c r="CV299" s="51">
        <f>IFERROR(__xludf.DUMMYFUNCTION("IF(REGEXMATCH(UPPER(CU299), ""TX""),0,1)"),0.0)</f>
        <v>0</v>
      </c>
      <c r="CW299" s="51">
        <f>IFERROR(__xludf.DUMMYFUNCTION("IF(REGEXMATCH(UPPER(CU299), ""DALLAS""),0,1)"),1.0)</f>
        <v>1</v>
      </c>
      <c r="CX299" s="51">
        <f t="shared" si="17"/>
        <v>0</v>
      </c>
      <c r="CY299" s="51">
        <f t="shared" si="18"/>
        <v>2500</v>
      </c>
      <c r="CZ299" s="52" t="str">
        <f t="shared" si="19"/>
        <v>1633 Prince William Ln
Frisco, TX 75034         </v>
      </c>
      <c r="DA299" s="58"/>
      <c r="DB299" s="52"/>
      <c r="DC299" s="52"/>
      <c r="DD299" s="52"/>
      <c r="DE299" s="52"/>
      <c r="DF299" s="52"/>
      <c r="DG299" s="52"/>
      <c r="DH299" s="52"/>
      <c r="DI299" s="52"/>
      <c r="DJ299" s="52"/>
      <c r="DK299" s="52"/>
      <c r="DL299" s="52"/>
      <c r="DM299" s="52"/>
      <c r="DN299" s="52"/>
      <c r="DO299" s="52"/>
      <c r="DP299" s="52"/>
      <c r="DQ299" s="52"/>
      <c r="DR299" s="52"/>
      <c r="DS299" s="52"/>
      <c r="DT299" s="52"/>
      <c r="DU299" s="52"/>
      <c r="DV299" s="52"/>
      <c r="DW299" s="52"/>
    </row>
    <row r="300">
      <c r="A300" s="22" t="s">
        <v>55</v>
      </c>
      <c r="B300" s="23" t="s">
        <v>56</v>
      </c>
      <c r="C300" s="31" t="s">
        <v>836</v>
      </c>
      <c r="D300" s="25" t="str">
        <f>IFERROR(__xludf.DUMMYFUNCTION("SPLIT(C300,"" "")"),"Goldberg,")</f>
        <v>Goldberg,</v>
      </c>
      <c r="E300" s="22" t="str">
        <f>IFERROR(__xludf.DUMMYFUNCTION("""COMPUTED_VALUE"""),"Kenneth
4")</f>
        <v>Kenneth
4</v>
      </c>
      <c r="F300" s="22" t="str">
        <f>IFERROR(__xludf.DUMMYFUNCTION("""COMPUTED_VALUE"""),"Robledo")</f>
        <v>Robledo</v>
      </c>
      <c r="G300" s="22" t="str">
        <f>IFERROR(__xludf.DUMMYFUNCTION("""COMPUTED_VALUE"""),"Dr
Dallas,")</f>
        <v>Dr
Dallas,</v>
      </c>
      <c r="H300" s="22" t="str">
        <f>IFERROR(__xludf.DUMMYFUNCTION("""COMPUTED_VALUE"""),"TX")</f>
        <v>TX</v>
      </c>
      <c r="I300" s="22">
        <f>IFERROR(__xludf.DUMMYFUNCTION("""COMPUTED_VALUE"""),75230.0)</f>
        <v>75230</v>
      </c>
      <c r="J300" s="22"/>
      <c r="K300" s="22"/>
      <c r="L300" s="22"/>
      <c r="M300" s="22"/>
      <c r="N300" s="22"/>
      <c r="O300" s="22"/>
      <c r="P300" s="22"/>
      <c r="Q300" s="22"/>
      <c r="R300" s="22"/>
      <c r="S300" s="22"/>
      <c r="T300" s="22"/>
      <c r="U300" s="24" t="str">
        <f>IFERROR(__xludf.DUMMYFUNCTION("SPLIT(E300,""01234567890"")"),"Kenneth
")</f>
        <v>Kenneth
</v>
      </c>
      <c r="V300" s="24" t="str">
        <f>IFERROR(__xludf.DUMMYFUNCTION("SPLIT(D300,"","")"),"Goldberg")</f>
        <v>Goldberg</v>
      </c>
      <c r="W300" s="25" t="str">
        <f t="shared" si="1"/>
        <v>KENNETH
 GOLDBERG</v>
      </c>
      <c r="X300" s="25" t="s">
        <v>837</v>
      </c>
      <c r="Y300" s="25">
        <v>75230.0</v>
      </c>
      <c r="Z300" s="25" t="str">
        <f>IFERROR(__xludf.DUMMYFUNCTION("SPLIT(C300,""
"")"),"Goldberg, Kenneth")</f>
        <v>Goldberg, Kenneth</v>
      </c>
      <c r="AA300" s="25" t="str">
        <f>IFERROR(__xludf.DUMMYFUNCTION("""COMPUTED_VALUE"""),"4 Robledo Dr")</f>
        <v>4 Robledo Dr</v>
      </c>
      <c r="AB300" s="25" t="str">
        <f>IFERROR(__xludf.DUMMYFUNCTION("""COMPUTED_VALUE"""),"Dallas, TX 75230")</f>
        <v>Dallas, TX 75230</v>
      </c>
      <c r="AC300" s="24" t="s">
        <v>838</v>
      </c>
      <c r="AD300" s="25"/>
      <c r="AE300" s="25"/>
      <c r="AF300" s="25"/>
      <c r="AG300" s="22" t="s">
        <v>60</v>
      </c>
      <c r="AH300" s="54">
        <v>2437.0</v>
      </c>
      <c r="AI300" s="22" t="s">
        <v>61</v>
      </c>
      <c r="AJ300" s="27">
        <v>500.0</v>
      </c>
      <c r="AK300" s="31" t="s">
        <v>25</v>
      </c>
      <c r="AL300" s="28">
        <v>44741.0</v>
      </c>
      <c r="AM300" s="29">
        <v>44754.83237268519</v>
      </c>
      <c r="AN300" s="30">
        <v>2.0</v>
      </c>
      <c r="AO300" s="22"/>
      <c r="AP300" s="22"/>
      <c r="AQ300" s="22"/>
      <c r="AR300" s="22"/>
      <c r="AS300" s="22"/>
      <c r="AT300" s="70"/>
      <c r="AU300" s="22"/>
      <c r="AV300" s="57" t="str">
        <f>IFERROR(__xludf.DUMMYFUNCTION("""COMPUTED_VALUE"""),"Perkins")</f>
        <v>Perkins</v>
      </c>
      <c r="AW300" s="46">
        <f t="shared" si="7"/>
        <v>710</v>
      </c>
      <c r="AX300" s="47">
        <f t="shared" ref="AX300:BQ300" si="1010">SUMIFS($AJ:$AJ,$V:$V,$AV300,$AK:$AK,AX$2)</f>
        <v>0</v>
      </c>
      <c r="AY300" s="48">
        <f t="shared" si="1010"/>
        <v>0</v>
      </c>
      <c r="AZ300" s="48">
        <f t="shared" si="1010"/>
        <v>0</v>
      </c>
      <c r="BA300" s="48">
        <f t="shared" si="1010"/>
        <v>0</v>
      </c>
      <c r="BB300" s="48">
        <f t="shared" si="1010"/>
        <v>0</v>
      </c>
      <c r="BC300" s="48">
        <f t="shared" si="1010"/>
        <v>0</v>
      </c>
      <c r="BD300" s="48">
        <f t="shared" si="1010"/>
        <v>0</v>
      </c>
      <c r="BE300" s="48">
        <f t="shared" si="1010"/>
        <v>0</v>
      </c>
      <c r="BF300" s="48">
        <f t="shared" si="1010"/>
        <v>0</v>
      </c>
      <c r="BG300" s="48">
        <f t="shared" si="1010"/>
        <v>710</v>
      </c>
      <c r="BH300" s="48">
        <f t="shared" si="1010"/>
        <v>0</v>
      </c>
      <c r="BI300" s="48">
        <f t="shared" si="1010"/>
        <v>0</v>
      </c>
      <c r="BJ300" s="48">
        <f t="shared" si="1010"/>
        <v>0</v>
      </c>
      <c r="BK300" s="48">
        <f t="shared" si="1010"/>
        <v>0</v>
      </c>
      <c r="BL300" s="48">
        <f t="shared" si="1010"/>
        <v>0</v>
      </c>
      <c r="BM300" s="48">
        <f t="shared" si="1010"/>
        <v>0</v>
      </c>
      <c r="BN300" s="48">
        <f t="shared" si="1010"/>
        <v>0</v>
      </c>
      <c r="BO300" s="48">
        <f t="shared" si="1010"/>
        <v>0</v>
      </c>
      <c r="BP300" s="48">
        <f t="shared" si="1010"/>
        <v>0</v>
      </c>
      <c r="BQ300" s="48">
        <f t="shared" si="1010"/>
        <v>0</v>
      </c>
      <c r="BR300" s="36">
        <f t="shared" si="9"/>
        <v>0</v>
      </c>
      <c r="BS300" s="38">
        <f t="shared" si="10"/>
        <v>1</v>
      </c>
      <c r="BT300" s="49">
        <f t="shared" si="11"/>
        <v>0</v>
      </c>
      <c r="BU300" s="38">
        <f t="shared" si="12"/>
        <v>1000</v>
      </c>
      <c r="BV300" s="57" t="str">
        <f>IFERROR(__xludf.DUMMYFUNCTION("""COMPUTED_VALUE"""),"Perkins")</f>
        <v>Perkins</v>
      </c>
      <c r="BW300" s="46">
        <f t="shared" si="13"/>
        <v>710</v>
      </c>
      <c r="BX300" s="47">
        <f t="shared" ref="BX300:CA300" si="1011">AX300-$BU300</f>
        <v>-1000</v>
      </c>
      <c r="BY300" s="47">
        <f t="shared" si="1011"/>
        <v>-1000</v>
      </c>
      <c r="BZ300" s="47">
        <f t="shared" si="1011"/>
        <v>-1000</v>
      </c>
      <c r="CA300" s="47">
        <f t="shared" si="1011"/>
        <v>-1000</v>
      </c>
      <c r="CB300" s="47">
        <f t="shared" si="15"/>
        <v>-10000</v>
      </c>
      <c r="CC300" s="47">
        <f t="shared" ref="CC300:CQ300" si="1012">BC300-$BU300</f>
        <v>-1000</v>
      </c>
      <c r="CD300" s="47">
        <f t="shared" si="1012"/>
        <v>-1000</v>
      </c>
      <c r="CE300" s="47">
        <f t="shared" si="1012"/>
        <v>-1000</v>
      </c>
      <c r="CF300" s="47">
        <f t="shared" si="1012"/>
        <v>-1000</v>
      </c>
      <c r="CG300" s="47">
        <f t="shared" si="1012"/>
        <v>-290</v>
      </c>
      <c r="CH300" s="47">
        <f t="shared" si="1012"/>
        <v>-1000</v>
      </c>
      <c r="CI300" s="47">
        <f t="shared" si="1012"/>
        <v>-1000</v>
      </c>
      <c r="CJ300" s="47">
        <f t="shared" si="1012"/>
        <v>-1000</v>
      </c>
      <c r="CK300" s="47">
        <f t="shared" si="1012"/>
        <v>-1000</v>
      </c>
      <c r="CL300" s="47">
        <f t="shared" si="1012"/>
        <v>-1000</v>
      </c>
      <c r="CM300" s="47">
        <f t="shared" si="1012"/>
        <v>-1000</v>
      </c>
      <c r="CN300" s="47">
        <f t="shared" si="1012"/>
        <v>-1000</v>
      </c>
      <c r="CO300" s="47">
        <f t="shared" si="1012"/>
        <v>-1000</v>
      </c>
      <c r="CP300" s="47">
        <f t="shared" si="1012"/>
        <v>-1000</v>
      </c>
      <c r="CQ300" s="47">
        <f t="shared" si="1012"/>
        <v>-1000</v>
      </c>
      <c r="CR300" s="47"/>
      <c r="CS300" s="47"/>
      <c r="CT300" s="47"/>
      <c r="CU300" s="50" t="str">
        <f>IFERROR(__xludf.DUMMYFUNCTION("""COMPUTED_VALUE"""),"4425 San Carlos Dr
Dallas, TX 75205         ")</f>
        <v>4425 San Carlos Dr
Dallas, TX 75205         </v>
      </c>
      <c r="CV300" s="51">
        <f>IFERROR(__xludf.DUMMYFUNCTION("IF(REGEXMATCH(UPPER(CU300), ""TX""),0,1)"),0.0)</f>
        <v>0</v>
      </c>
      <c r="CW300" s="51">
        <f>IFERROR(__xludf.DUMMYFUNCTION("IF(REGEXMATCH(UPPER(CU300), ""DALLAS""),0,1)"),0.0)</f>
        <v>0</v>
      </c>
      <c r="CX300" s="51">
        <f t="shared" si="17"/>
        <v>0</v>
      </c>
      <c r="CY300" s="51">
        <f t="shared" si="18"/>
        <v>0</v>
      </c>
      <c r="CZ300" s="52" t="str">
        <f t="shared" si="19"/>
        <v/>
      </c>
      <c r="DA300" s="58"/>
      <c r="DB300" s="52"/>
      <c r="DC300" s="52"/>
      <c r="DD300" s="52"/>
      <c r="DE300" s="52"/>
      <c r="DF300" s="52"/>
      <c r="DG300" s="52"/>
      <c r="DH300" s="52"/>
      <c r="DI300" s="52"/>
      <c r="DJ300" s="52"/>
      <c r="DK300" s="52"/>
      <c r="DL300" s="52"/>
      <c r="DM300" s="52"/>
      <c r="DN300" s="52"/>
      <c r="DO300" s="52"/>
      <c r="DP300" s="52"/>
      <c r="DQ300" s="52"/>
      <c r="DR300" s="52"/>
      <c r="DS300" s="52"/>
      <c r="DT300" s="52"/>
      <c r="DU300" s="52"/>
      <c r="DV300" s="52"/>
      <c r="DW300" s="52"/>
    </row>
    <row r="301">
      <c r="A301" s="41" t="s">
        <v>64</v>
      </c>
      <c r="B301" s="41" t="s">
        <v>56</v>
      </c>
      <c r="C301" s="31" t="s">
        <v>839</v>
      </c>
      <c r="D301" s="25" t="str">
        <f>IFERROR(__xludf.DUMMYFUNCTION("SPLIT(C301,"" "")"),"Drysdale,")</f>
        <v>Drysdale,</v>
      </c>
      <c r="E301" s="40" t="str">
        <f>IFERROR(__xludf.DUMMYFUNCTION("""COMPUTED_VALUE"""),"Joseph
3300")</f>
        <v>Joseph
3300</v>
      </c>
      <c r="F301" s="40" t="str">
        <f>IFERROR(__xludf.DUMMYFUNCTION("""COMPUTED_VALUE"""),"Wentwood")</f>
        <v>Wentwood</v>
      </c>
      <c r="G301" s="40" t="str">
        <f>IFERROR(__xludf.DUMMYFUNCTION("""COMPUTED_VALUE"""),"Dr
Dallas,")</f>
        <v>Dr
Dallas,</v>
      </c>
      <c r="H301" s="40" t="str">
        <f>IFERROR(__xludf.DUMMYFUNCTION("""COMPUTED_VALUE"""),"TX")</f>
        <v>TX</v>
      </c>
      <c r="I301" s="40">
        <f>IFERROR(__xludf.DUMMYFUNCTION("""COMPUTED_VALUE"""),75225.0)</f>
        <v>75225</v>
      </c>
      <c r="J301" s="40"/>
      <c r="K301" s="40"/>
      <c r="L301" s="40"/>
      <c r="M301" s="40"/>
      <c r="N301" s="40"/>
      <c r="O301" s="40"/>
      <c r="P301" s="40"/>
      <c r="Q301" s="40"/>
      <c r="R301" s="40"/>
      <c r="S301" s="40"/>
      <c r="T301" s="40"/>
      <c r="U301" s="24" t="str">
        <f>IFERROR(__xludf.DUMMYFUNCTION("SPLIT(E301,""01234567890"")"),"Joseph
")</f>
        <v>Joseph
</v>
      </c>
      <c r="V301" s="24" t="str">
        <f>IFERROR(__xludf.DUMMYFUNCTION("SPLIT(D301,"","")"),"Drysdale")</f>
        <v>Drysdale</v>
      </c>
      <c r="W301" s="25" t="str">
        <f t="shared" si="1"/>
        <v>JOSEPH
 DRYSDALE</v>
      </c>
      <c r="X301" s="25" t="s">
        <v>840</v>
      </c>
      <c r="Y301" s="25">
        <v>75225.0</v>
      </c>
      <c r="Z301" s="25" t="str">
        <f>IFERROR(__xludf.DUMMYFUNCTION("SPLIT(C301,""
"")"),"Drysdale, Joseph")</f>
        <v>Drysdale, Joseph</v>
      </c>
      <c r="AA301" s="25" t="str">
        <f>IFERROR(__xludf.DUMMYFUNCTION("""COMPUTED_VALUE"""),"3300 Wentwood Dr")</f>
        <v>3300 Wentwood Dr</v>
      </c>
      <c r="AB301" s="25" t="str">
        <f>IFERROR(__xludf.DUMMYFUNCTION("""COMPUTED_VALUE"""),"Dallas, TX 75225")</f>
        <v>Dallas, TX 75225</v>
      </c>
      <c r="AC301" s="24" t="s">
        <v>841</v>
      </c>
      <c r="AD301" s="25"/>
      <c r="AE301" s="25"/>
      <c r="AF301" s="25"/>
      <c r="AG301" s="40" t="s">
        <v>60</v>
      </c>
      <c r="AH301" s="42">
        <v>2437.0</v>
      </c>
      <c r="AI301" s="40" t="s">
        <v>61</v>
      </c>
      <c r="AJ301" s="27">
        <v>2500.0</v>
      </c>
      <c r="AK301" s="31" t="s">
        <v>25</v>
      </c>
      <c r="AL301" s="43">
        <v>44739.0</v>
      </c>
      <c r="AM301" s="44">
        <v>44754.83237268519</v>
      </c>
      <c r="AN301" s="30">
        <v>2.0</v>
      </c>
      <c r="AO301" s="40"/>
      <c r="AP301" s="40"/>
      <c r="AQ301" s="40"/>
      <c r="AR301" s="40"/>
      <c r="AS301" s="40"/>
      <c r="AT301" s="47"/>
      <c r="AU301" s="40"/>
      <c r="AV301" s="46" t="str">
        <f>IFERROR(__xludf.DUMMYFUNCTION("""COMPUTED_VALUE"""),"Crumpecker")</f>
        <v>Crumpecker</v>
      </c>
      <c r="AW301" s="46">
        <f t="shared" si="7"/>
        <v>100</v>
      </c>
      <c r="AX301" s="47">
        <f t="shared" ref="AX301:BQ301" si="1013">SUMIFS($AJ:$AJ,$V:$V,$AV301,$AK:$AK,AX$2)</f>
        <v>0</v>
      </c>
      <c r="AY301" s="48">
        <f t="shared" si="1013"/>
        <v>0</v>
      </c>
      <c r="AZ301" s="48">
        <f t="shared" si="1013"/>
        <v>0</v>
      </c>
      <c r="BA301" s="48">
        <f t="shared" si="1013"/>
        <v>0</v>
      </c>
      <c r="BB301" s="48">
        <f t="shared" si="1013"/>
        <v>0</v>
      </c>
      <c r="BC301" s="48">
        <f t="shared" si="1013"/>
        <v>0</v>
      </c>
      <c r="BD301" s="48">
        <f t="shared" si="1013"/>
        <v>0</v>
      </c>
      <c r="BE301" s="48">
        <f t="shared" si="1013"/>
        <v>0</v>
      </c>
      <c r="BF301" s="48">
        <f t="shared" si="1013"/>
        <v>0</v>
      </c>
      <c r="BG301" s="48">
        <f t="shared" si="1013"/>
        <v>100</v>
      </c>
      <c r="BH301" s="48">
        <f t="shared" si="1013"/>
        <v>0</v>
      </c>
      <c r="BI301" s="48">
        <f t="shared" si="1013"/>
        <v>0</v>
      </c>
      <c r="BJ301" s="48">
        <f t="shared" si="1013"/>
        <v>0</v>
      </c>
      <c r="BK301" s="48">
        <f t="shared" si="1013"/>
        <v>0</v>
      </c>
      <c r="BL301" s="48">
        <f t="shared" si="1013"/>
        <v>0</v>
      </c>
      <c r="BM301" s="48">
        <f t="shared" si="1013"/>
        <v>0</v>
      </c>
      <c r="BN301" s="48">
        <f t="shared" si="1013"/>
        <v>0</v>
      </c>
      <c r="BO301" s="48">
        <f t="shared" si="1013"/>
        <v>0</v>
      </c>
      <c r="BP301" s="48">
        <f t="shared" si="1013"/>
        <v>0</v>
      </c>
      <c r="BQ301" s="48">
        <f t="shared" si="1013"/>
        <v>0</v>
      </c>
      <c r="BR301" s="36">
        <f t="shared" si="9"/>
        <v>0</v>
      </c>
      <c r="BS301" s="38">
        <f t="shared" si="10"/>
        <v>1</v>
      </c>
      <c r="BT301" s="49">
        <f t="shared" si="11"/>
        <v>0</v>
      </c>
      <c r="BU301" s="38">
        <f t="shared" si="12"/>
        <v>1000</v>
      </c>
      <c r="BV301" s="46" t="str">
        <f>IFERROR(__xludf.DUMMYFUNCTION("""COMPUTED_VALUE"""),"Crumpecker")</f>
        <v>Crumpecker</v>
      </c>
      <c r="BW301" s="46">
        <f t="shared" si="13"/>
        <v>100</v>
      </c>
      <c r="BX301" s="47">
        <f t="shared" ref="BX301:CA301" si="1014">AX301-$BU301</f>
        <v>-1000</v>
      </c>
      <c r="BY301" s="47">
        <f t="shared" si="1014"/>
        <v>-1000</v>
      </c>
      <c r="BZ301" s="47">
        <f t="shared" si="1014"/>
        <v>-1000</v>
      </c>
      <c r="CA301" s="47">
        <f t="shared" si="1014"/>
        <v>-1000</v>
      </c>
      <c r="CB301" s="47">
        <f t="shared" si="15"/>
        <v>-10000</v>
      </c>
      <c r="CC301" s="47">
        <f t="shared" ref="CC301:CQ301" si="1015">BC301-$BU301</f>
        <v>-1000</v>
      </c>
      <c r="CD301" s="47">
        <f t="shared" si="1015"/>
        <v>-1000</v>
      </c>
      <c r="CE301" s="47">
        <f t="shared" si="1015"/>
        <v>-1000</v>
      </c>
      <c r="CF301" s="47">
        <f t="shared" si="1015"/>
        <v>-1000</v>
      </c>
      <c r="CG301" s="47">
        <f t="shared" si="1015"/>
        <v>-900</v>
      </c>
      <c r="CH301" s="47">
        <f t="shared" si="1015"/>
        <v>-1000</v>
      </c>
      <c r="CI301" s="47">
        <f t="shared" si="1015"/>
        <v>-1000</v>
      </c>
      <c r="CJ301" s="47">
        <f t="shared" si="1015"/>
        <v>-1000</v>
      </c>
      <c r="CK301" s="47">
        <f t="shared" si="1015"/>
        <v>-1000</v>
      </c>
      <c r="CL301" s="47">
        <f t="shared" si="1015"/>
        <v>-1000</v>
      </c>
      <c r="CM301" s="47">
        <f t="shared" si="1015"/>
        <v>-1000</v>
      </c>
      <c r="CN301" s="47">
        <f t="shared" si="1015"/>
        <v>-1000</v>
      </c>
      <c r="CO301" s="47">
        <f t="shared" si="1015"/>
        <v>-1000</v>
      </c>
      <c r="CP301" s="47">
        <f t="shared" si="1015"/>
        <v>-1000</v>
      </c>
      <c r="CQ301" s="47">
        <f t="shared" si="1015"/>
        <v>-1000</v>
      </c>
      <c r="CR301" s="47"/>
      <c r="CS301" s="47"/>
      <c r="CT301" s="47"/>
      <c r="CU301" s="50" t="str">
        <f>IFERROR(__xludf.DUMMYFUNCTION("""COMPUTED_VALUE"""),"7928 Fallmeadow Ln
Dallas, TX 75248          ")</f>
        <v>7928 Fallmeadow Ln
Dallas, TX 75248          </v>
      </c>
      <c r="CV301" s="51">
        <f>IFERROR(__xludf.DUMMYFUNCTION("IF(REGEXMATCH(UPPER(CU301), ""TX""),0,1)"),0.0)</f>
        <v>0</v>
      </c>
      <c r="CW301" s="51">
        <f>IFERROR(__xludf.DUMMYFUNCTION("IF(REGEXMATCH(UPPER(CU301), ""DALLAS""),0,1)"),0.0)</f>
        <v>0</v>
      </c>
      <c r="CX301" s="51">
        <f t="shared" si="17"/>
        <v>0</v>
      </c>
      <c r="CY301" s="51">
        <f t="shared" si="18"/>
        <v>0</v>
      </c>
      <c r="CZ301" s="52" t="str">
        <f t="shared" si="19"/>
        <v/>
      </c>
      <c r="DA301" s="58"/>
      <c r="DB301" s="52"/>
      <c r="DC301" s="52"/>
      <c r="DD301" s="52"/>
      <c r="DE301" s="52"/>
      <c r="DF301" s="52"/>
      <c r="DG301" s="52"/>
      <c r="DH301" s="52"/>
      <c r="DI301" s="52"/>
      <c r="DJ301" s="52"/>
      <c r="DK301" s="52"/>
      <c r="DL301" s="52"/>
      <c r="DM301" s="52"/>
      <c r="DN301" s="52"/>
      <c r="DO301" s="52"/>
      <c r="DP301" s="52"/>
      <c r="DQ301" s="52"/>
      <c r="DR301" s="52"/>
      <c r="DS301" s="52"/>
      <c r="DT301" s="52"/>
      <c r="DU301" s="52"/>
      <c r="DV301" s="52"/>
      <c r="DW301" s="52"/>
    </row>
    <row r="302">
      <c r="A302" s="22" t="s">
        <v>55</v>
      </c>
      <c r="B302" s="23" t="s">
        <v>56</v>
      </c>
      <c r="C302" s="31" t="s">
        <v>842</v>
      </c>
      <c r="D302" s="25" t="str">
        <f>IFERROR(__xludf.DUMMYFUNCTION("SPLIT(C302,"" "")"),"Welsh,")</f>
        <v>Welsh,</v>
      </c>
      <c r="E302" s="22" t="str">
        <f>IFERROR(__xludf.DUMMYFUNCTION("""COMPUTED_VALUE"""),"Fred
2706")</f>
        <v>Fred
2706</v>
      </c>
      <c r="F302" s="22" t="str">
        <f>IFERROR(__xludf.DUMMYFUNCTION("""COMPUTED_VALUE"""),"Lawtherwood")</f>
        <v>Lawtherwood</v>
      </c>
      <c r="G302" s="22" t="str">
        <f>IFERROR(__xludf.DUMMYFUNCTION("""COMPUTED_VALUE"""),"Ct
Dallas,")</f>
        <v>Ct
Dallas,</v>
      </c>
      <c r="H302" s="22" t="str">
        <f>IFERROR(__xludf.DUMMYFUNCTION("""COMPUTED_VALUE"""),"TX")</f>
        <v>TX</v>
      </c>
      <c r="I302" s="22">
        <f>IFERROR(__xludf.DUMMYFUNCTION("""COMPUTED_VALUE"""),75214.0)</f>
        <v>75214</v>
      </c>
      <c r="J302" s="22"/>
      <c r="K302" s="22"/>
      <c r="L302" s="22"/>
      <c r="M302" s="22"/>
      <c r="N302" s="22"/>
      <c r="O302" s="22"/>
      <c r="P302" s="22"/>
      <c r="Q302" s="22"/>
      <c r="R302" s="22"/>
      <c r="S302" s="22"/>
      <c r="T302" s="22"/>
      <c r="U302" s="24" t="str">
        <f>IFERROR(__xludf.DUMMYFUNCTION("SPLIT(E302,""01234567890"")"),"Fred
")</f>
        <v>Fred
</v>
      </c>
      <c r="V302" s="24" t="str">
        <f>IFERROR(__xludf.DUMMYFUNCTION("SPLIT(D302,"","")"),"Welsh")</f>
        <v>Welsh</v>
      </c>
      <c r="W302" s="25" t="str">
        <f t="shared" si="1"/>
        <v>FRED
 WELSH</v>
      </c>
      <c r="X302" s="25" t="s">
        <v>843</v>
      </c>
      <c r="Y302" s="25">
        <v>75214.0</v>
      </c>
      <c r="Z302" s="25" t="str">
        <f>IFERROR(__xludf.DUMMYFUNCTION("SPLIT(C302,""
"")"),"Welsh, Fred")</f>
        <v>Welsh, Fred</v>
      </c>
      <c r="AA302" s="25" t="str">
        <f>IFERROR(__xludf.DUMMYFUNCTION("""COMPUTED_VALUE"""),"2706 Lawtherwood Ct")</f>
        <v>2706 Lawtherwood Ct</v>
      </c>
      <c r="AB302" s="25" t="str">
        <f>IFERROR(__xludf.DUMMYFUNCTION("""COMPUTED_VALUE"""),"Dallas, TX 75214")</f>
        <v>Dallas, TX 75214</v>
      </c>
      <c r="AC302" s="24" t="s">
        <v>844</v>
      </c>
      <c r="AD302" s="25"/>
      <c r="AE302" s="25"/>
      <c r="AF302" s="25"/>
      <c r="AG302" s="22" t="s">
        <v>60</v>
      </c>
      <c r="AH302" s="54">
        <v>2437.0</v>
      </c>
      <c r="AI302" s="22" t="s">
        <v>61</v>
      </c>
      <c r="AJ302" s="27">
        <v>250.0</v>
      </c>
      <c r="AK302" s="31" t="s">
        <v>25</v>
      </c>
      <c r="AL302" s="28">
        <v>44734.0</v>
      </c>
      <c r="AM302" s="29">
        <v>44754.83237268519</v>
      </c>
      <c r="AN302" s="30">
        <v>2.0</v>
      </c>
      <c r="AO302" s="22"/>
      <c r="AP302" s="22"/>
      <c r="AQ302" s="22"/>
      <c r="AR302" s="22"/>
      <c r="AS302" s="22"/>
      <c r="AT302" s="70"/>
      <c r="AU302" s="22"/>
      <c r="AV302" s="57" t="str">
        <f>IFERROR(__xludf.DUMMYFUNCTION("""COMPUTED_VALUE"""),"Cowger")</f>
        <v>Cowger</v>
      </c>
      <c r="AW302" s="46">
        <f t="shared" si="7"/>
        <v>100</v>
      </c>
      <c r="AX302" s="47">
        <f t="shared" ref="AX302:BQ302" si="1016">SUMIFS($AJ:$AJ,$V:$V,$AV302,$AK:$AK,AX$2)</f>
        <v>0</v>
      </c>
      <c r="AY302" s="48">
        <f t="shared" si="1016"/>
        <v>0</v>
      </c>
      <c r="AZ302" s="48">
        <f t="shared" si="1016"/>
        <v>0</v>
      </c>
      <c r="BA302" s="48">
        <f t="shared" si="1016"/>
        <v>0</v>
      </c>
      <c r="BB302" s="48">
        <f t="shared" si="1016"/>
        <v>0</v>
      </c>
      <c r="BC302" s="48">
        <f t="shared" si="1016"/>
        <v>0</v>
      </c>
      <c r="BD302" s="48">
        <f t="shared" si="1016"/>
        <v>0</v>
      </c>
      <c r="BE302" s="48">
        <f t="shared" si="1016"/>
        <v>0</v>
      </c>
      <c r="BF302" s="48">
        <f t="shared" si="1016"/>
        <v>0</v>
      </c>
      <c r="BG302" s="48">
        <f t="shared" si="1016"/>
        <v>100</v>
      </c>
      <c r="BH302" s="48">
        <f t="shared" si="1016"/>
        <v>0</v>
      </c>
      <c r="BI302" s="48">
        <f t="shared" si="1016"/>
        <v>0</v>
      </c>
      <c r="BJ302" s="48">
        <f t="shared" si="1016"/>
        <v>0</v>
      </c>
      <c r="BK302" s="48">
        <f t="shared" si="1016"/>
        <v>0</v>
      </c>
      <c r="BL302" s="48">
        <f t="shared" si="1016"/>
        <v>0</v>
      </c>
      <c r="BM302" s="48">
        <f t="shared" si="1016"/>
        <v>0</v>
      </c>
      <c r="BN302" s="48">
        <f t="shared" si="1016"/>
        <v>0</v>
      </c>
      <c r="BO302" s="48">
        <f t="shared" si="1016"/>
        <v>0</v>
      </c>
      <c r="BP302" s="48">
        <f t="shared" si="1016"/>
        <v>0</v>
      </c>
      <c r="BQ302" s="48">
        <f t="shared" si="1016"/>
        <v>0</v>
      </c>
      <c r="BR302" s="36">
        <f t="shared" si="9"/>
        <v>0</v>
      </c>
      <c r="BS302" s="38">
        <f t="shared" si="10"/>
        <v>1</v>
      </c>
      <c r="BT302" s="49">
        <f t="shared" si="11"/>
        <v>0</v>
      </c>
      <c r="BU302" s="38">
        <f t="shared" si="12"/>
        <v>1000</v>
      </c>
      <c r="BV302" s="57" t="str">
        <f>IFERROR(__xludf.DUMMYFUNCTION("""COMPUTED_VALUE"""),"Cowger")</f>
        <v>Cowger</v>
      </c>
      <c r="BW302" s="46">
        <f t="shared" si="13"/>
        <v>100</v>
      </c>
      <c r="BX302" s="47">
        <f t="shared" ref="BX302:CA302" si="1017">AX302-$BU302</f>
        <v>-1000</v>
      </c>
      <c r="BY302" s="47">
        <f t="shared" si="1017"/>
        <v>-1000</v>
      </c>
      <c r="BZ302" s="47">
        <f t="shared" si="1017"/>
        <v>-1000</v>
      </c>
      <c r="CA302" s="47">
        <f t="shared" si="1017"/>
        <v>-1000</v>
      </c>
      <c r="CB302" s="47">
        <f t="shared" si="15"/>
        <v>-10000</v>
      </c>
      <c r="CC302" s="47">
        <f t="shared" ref="CC302:CQ302" si="1018">BC302-$BU302</f>
        <v>-1000</v>
      </c>
      <c r="CD302" s="47">
        <f t="shared" si="1018"/>
        <v>-1000</v>
      </c>
      <c r="CE302" s="47">
        <f t="shared" si="1018"/>
        <v>-1000</v>
      </c>
      <c r="CF302" s="47">
        <f t="shared" si="1018"/>
        <v>-1000</v>
      </c>
      <c r="CG302" s="47">
        <f t="shared" si="1018"/>
        <v>-900</v>
      </c>
      <c r="CH302" s="47">
        <f t="shared" si="1018"/>
        <v>-1000</v>
      </c>
      <c r="CI302" s="47">
        <f t="shared" si="1018"/>
        <v>-1000</v>
      </c>
      <c r="CJ302" s="47">
        <f t="shared" si="1018"/>
        <v>-1000</v>
      </c>
      <c r="CK302" s="47">
        <f t="shared" si="1018"/>
        <v>-1000</v>
      </c>
      <c r="CL302" s="47">
        <f t="shared" si="1018"/>
        <v>-1000</v>
      </c>
      <c r="CM302" s="47">
        <f t="shared" si="1018"/>
        <v>-1000</v>
      </c>
      <c r="CN302" s="47">
        <f t="shared" si="1018"/>
        <v>-1000</v>
      </c>
      <c r="CO302" s="47">
        <f t="shared" si="1018"/>
        <v>-1000</v>
      </c>
      <c r="CP302" s="47">
        <f t="shared" si="1018"/>
        <v>-1000</v>
      </c>
      <c r="CQ302" s="47">
        <f t="shared" si="1018"/>
        <v>-1000</v>
      </c>
      <c r="CR302" s="47"/>
      <c r="CS302" s="47"/>
      <c r="CT302" s="47"/>
      <c r="CU302" s="50" t="str">
        <f>IFERROR(__xludf.DUMMYFUNCTION("""COMPUTED_VALUE"""),"2920 State Street
Dallas, TX 75204          ")</f>
        <v>2920 State Street
Dallas, TX 75204          </v>
      </c>
      <c r="CV302" s="51">
        <f>IFERROR(__xludf.DUMMYFUNCTION("IF(REGEXMATCH(UPPER(CU302), ""TX""),0,1)"),0.0)</f>
        <v>0</v>
      </c>
      <c r="CW302" s="51">
        <f>IFERROR(__xludf.DUMMYFUNCTION("IF(REGEXMATCH(UPPER(CU302), ""DALLAS""),0,1)"),0.0)</f>
        <v>0</v>
      </c>
      <c r="CX302" s="51">
        <f t="shared" si="17"/>
        <v>0</v>
      </c>
      <c r="CY302" s="51">
        <f t="shared" si="18"/>
        <v>0</v>
      </c>
      <c r="CZ302" s="52" t="str">
        <f t="shared" si="19"/>
        <v/>
      </c>
      <c r="DA302" s="58"/>
      <c r="DB302" s="52"/>
      <c r="DC302" s="52"/>
      <c r="DD302" s="52"/>
      <c r="DE302" s="52"/>
      <c r="DF302" s="52"/>
      <c r="DG302" s="52"/>
      <c r="DH302" s="52"/>
      <c r="DI302" s="52"/>
      <c r="DJ302" s="52"/>
      <c r="DK302" s="52"/>
      <c r="DL302" s="52"/>
      <c r="DM302" s="52"/>
      <c r="DN302" s="52"/>
      <c r="DO302" s="52"/>
      <c r="DP302" s="52"/>
      <c r="DQ302" s="52"/>
      <c r="DR302" s="52"/>
      <c r="DS302" s="52"/>
      <c r="DT302" s="52"/>
      <c r="DU302" s="52"/>
      <c r="DV302" s="52"/>
      <c r="DW302" s="52"/>
    </row>
    <row r="303">
      <c r="A303" s="41" t="s">
        <v>64</v>
      </c>
      <c r="B303" s="41" t="s">
        <v>56</v>
      </c>
      <c r="C303" s="31" t="s">
        <v>160</v>
      </c>
      <c r="D303" s="25" t="str">
        <f>IFERROR(__xludf.DUMMYFUNCTION("SPLIT(C303,"" "")"),"Alpert,")</f>
        <v>Alpert,</v>
      </c>
      <c r="E303" s="40" t="str">
        <f>IFERROR(__xludf.DUMMYFUNCTION("""COMPUTED_VALUE"""),"Robert
4514")</f>
        <v>Robert
4514</v>
      </c>
      <c r="F303" s="40" t="str">
        <f>IFERROR(__xludf.DUMMYFUNCTION("""COMPUTED_VALUE"""),"Cole")</f>
        <v>Cole</v>
      </c>
      <c r="G303" s="40" t="str">
        <f>IFERROR(__xludf.DUMMYFUNCTION("""COMPUTED_VALUE"""),"Ave
Dallas,")</f>
        <v>Ave
Dallas,</v>
      </c>
      <c r="H303" s="40" t="str">
        <f>IFERROR(__xludf.DUMMYFUNCTION("""COMPUTED_VALUE"""),"TX")</f>
        <v>TX</v>
      </c>
      <c r="I303" s="40">
        <f>IFERROR(__xludf.DUMMYFUNCTION("""COMPUTED_VALUE"""),75205.0)</f>
        <v>75205</v>
      </c>
      <c r="J303" s="40"/>
      <c r="K303" s="40"/>
      <c r="L303" s="40"/>
      <c r="M303" s="40"/>
      <c r="N303" s="40"/>
      <c r="O303" s="40"/>
      <c r="P303" s="40"/>
      <c r="Q303" s="40"/>
      <c r="R303" s="40"/>
      <c r="S303" s="40"/>
      <c r="T303" s="40"/>
      <c r="U303" s="24" t="str">
        <f>IFERROR(__xludf.DUMMYFUNCTION("SPLIT(E303,""01234567890"")"),"Robert
")</f>
        <v>Robert
</v>
      </c>
      <c r="V303" s="24" t="str">
        <f>IFERROR(__xludf.DUMMYFUNCTION("SPLIT(D303,"","")"),"Alpert")</f>
        <v>Alpert</v>
      </c>
      <c r="W303" s="25" t="str">
        <f t="shared" si="1"/>
        <v>ROBERT
 ALPERT</v>
      </c>
      <c r="X303" s="25" t="s">
        <v>161</v>
      </c>
      <c r="Y303" s="25">
        <v>75205.0</v>
      </c>
      <c r="Z303" s="25" t="str">
        <f>IFERROR(__xludf.DUMMYFUNCTION("SPLIT(C303,""
"")"),"Alpert, Robert")</f>
        <v>Alpert, Robert</v>
      </c>
      <c r="AA303" s="25" t="str">
        <f>IFERROR(__xludf.DUMMYFUNCTION("""COMPUTED_VALUE"""),"4514 Cole Ave")</f>
        <v>4514 Cole Ave</v>
      </c>
      <c r="AB303" s="25" t="str">
        <f>IFERROR(__xludf.DUMMYFUNCTION("""COMPUTED_VALUE"""),"Dallas, TX 75205")</f>
        <v>Dallas, TX 75205</v>
      </c>
      <c r="AC303" s="24" t="s">
        <v>162</v>
      </c>
      <c r="AD303" s="25"/>
      <c r="AE303" s="25"/>
      <c r="AF303" s="25"/>
      <c r="AG303" s="40" t="s">
        <v>60</v>
      </c>
      <c r="AH303" s="42">
        <v>2437.0</v>
      </c>
      <c r="AI303" s="40" t="s">
        <v>61</v>
      </c>
      <c r="AJ303" s="27">
        <v>1000.0</v>
      </c>
      <c r="AK303" s="31" t="s">
        <v>25</v>
      </c>
      <c r="AL303" s="43">
        <v>44734.0</v>
      </c>
      <c r="AM303" s="44">
        <v>44754.83237268519</v>
      </c>
      <c r="AN303" s="30">
        <v>2.0</v>
      </c>
      <c r="AO303" s="40"/>
      <c r="AP303" s="40"/>
      <c r="AQ303" s="40"/>
      <c r="AR303" s="40"/>
      <c r="AS303" s="40"/>
      <c r="AT303" s="47"/>
      <c r="AU303" s="40"/>
      <c r="AV303" s="46" t="str">
        <f>IFERROR(__xludf.DUMMYFUNCTION("""COMPUTED_VALUE"""),"Frank")</f>
        <v>Frank</v>
      </c>
      <c r="AW303" s="46">
        <f t="shared" si="7"/>
        <v>800</v>
      </c>
      <c r="AX303" s="47">
        <f t="shared" ref="AX303:BQ303" si="1019">SUMIFS($AJ:$AJ,$V:$V,$AV303,$AK:$AK,AX$2)</f>
        <v>0</v>
      </c>
      <c r="AY303" s="48">
        <f t="shared" si="1019"/>
        <v>0</v>
      </c>
      <c r="AZ303" s="48">
        <f t="shared" si="1019"/>
        <v>0</v>
      </c>
      <c r="BA303" s="48">
        <f t="shared" si="1019"/>
        <v>500</v>
      </c>
      <c r="BB303" s="48">
        <f t="shared" si="1019"/>
        <v>0</v>
      </c>
      <c r="BC303" s="48">
        <f t="shared" si="1019"/>
        <v>0</v>
      </c>
      <c r="BD303" s="48">
        <f t="shared" si="1019"/>
        <v>0</v>
      </c>
      <c r="BE303" s="48">
        <f t="shared" si="1019"/>
        <v>0</v>
      </c>
      <c r="BF303" s="48">
        <f t="shared" si="1019"/>
        <v>0</v>
      </c>
      <c r="BG303" s="48">
        <f t="shared" si="1019"/>
        <v>300</v>
      </c>
      <c r="BH303" s="48">
        <f t="shared" si="1019"/>
        <v>0</v>
      </c>
      <c r="BI303" s="48">
        <f t="shared" si="1019"/>
        <v>0</v>
      </c>
      <c r="BJ303" s="48">
        <f t="shared" si="1019"/>
        <v>0</v>
      </c>
      <c r="BK303" s="48">
        <f t="shared" si="1019"/>
        <v>0</v>
      </c>
      <c r="BL303" s="48">
        <f t="shared" si="1019"/>
        <v>0</v>
      </c>
      <c r="BM303" s="48">
        <f t="shared" si="1019"/>
        <v>0</v>
      </c>
      <c r="BN303" s="48">
        <f t="shared" si="1019"/>
        <v>0</v>
      </c>
      <c r="BO303" s="48">
        <f t="shared" si="1019"/>
        <v>0</v>
      </c>
      <c r="BP303" s="48">
        <f t="shared" si="1019"/>
        <v>0</v>
      </c>
      <c r="BQ303" s="48">
        <f t="shared" si="1019"/>
        <v>0</v>
      </c>
      <c r="BR303" s="36">
        <f t="shared" si="9"/>
        <v>0</v>
      </c>
      <c r="BS303" s="38">
        <f t="shared" si="10"/>
        <v>1</v>
      </c>
      <c r="BT303" s="49">
        <f t="shared" si="11"/>
        <v>0</v>
      </c>
      <c r="BU303" s="38">
        <f t="shared" si="12"/>
        <v>1000</v>
      </c>
      <c r="BV303" s="46" t="str">
        <f>IFERROR(__xludf.DUMMYFUNCTION("""COMPUTED_VALUE"""),"Frank")</f>
        <v>Frank</v>
      </c>
      <c r="BW303" s="46">
        <f t="shared" si="13"/>
        <v>800</v>
      </c>
      <c r="BX303" s="47">
        <f t="shared" ref="BX303:CA303" si="1020">AX303-$BU303</f>
        <v>-1000</v>
      </c>
      <c r="BY303" s="47">
        <f t="shared" si="1020"/>
        <v>-1000</v>
      </c>
      <c r="BZ303" s="47">
        <f t="shared" si="1020"/>
        <v>-1000</v>
      </c>
      <c r="CA303" s="47">
        <f t="shared" si="1020"/>
        <v>-500</v>
      </c>
      <c r="CB303" s="47">
        <f t="shared" si="15"/>
        <v>-10000</v>
      </c>
      <c r="CC303" s="47">
        <f t="shared" ref="CC303:CQ303" si="1021">BC303-$BU303</f>
        <v>-1000</v>
      </c>
      <c r="CD303" s="47">
        <f t="shared" si="1021"/>
        <v>-1000</v>
      </c>
      <c r="CE303" s="47">
        <f t="shared" si="1021"/>
        <v>-1000</v>
      </c>
      <c r="CF303" s="47">
        <f t="shared" si="1021"/>
        <v>-1000</v>
      </c>
      <c r="CG303" s="47">
        <f t="shared" si="1021"/>
        <v>-700</v>
      </c>
      <c r="CH303" s="47">
        <f t="shared" si="1021"/>
        <v>-1000</v>
      </c>
      <c r="CI303" s="47">
        <f t="shared" si="1021"/>
        <v>-1000</v>
      </c>
      <c r="CJ303" s="47">
        <f t="shared" si="1021"/>
        <v>-1000</v>
      </c>
      <c r="CK303" s="47">
        <f t="shared" si="1021"/>
        <v>-1000</v>
      </c>
      <c r="CL303" s="47">
        <f t="shared" si="1021"/>
        <v>-1000</v>
      </c>
      <c r="CM303" s="47">
        <f t="shared" si="1021"/>
        <v>-1000</v>
      </c>
      <c r="CN303" s="47">
        <f t="shared" si="1021"/>
        <v>-1000</v>
      </c>
      <c r="CO303" s="47">
        <f t="shared" si="1021"/>
        <v>-1000</v>
      </c>
      <c r="CP303" s="47">
        <f t="shared" si="1021"/>
        <v>-1000</v>
      </c>
      <c r="CQ303" s="47">
        <f t="shared" si="1021"/>
        <v>-1000</v>
      </c>
      <c r="CR303" s="47"/>
      <c r="CS303" s="47"/>
      <c r="CT303" s="47"/>
      <c r="CU303" s="50" t="str">
        <f>IFERROR(__xludf.DUMMYFUNCTION("""COMPUTED_VALUE"""),"58 Country Oaks Dr
Buda, TX 78610         ")</f>
        <v>58 Country Oaks Dr
Buda, TX 78610         </v>
      </c>
      <c r="CV303" s="51">
        <f>IFERROR(__xludf.DUMMYFUNCTION("IF(REGEXMATCH(UPPER(CU303), ""TX""),0,1)"),0.0)</f>
        <v>0</v>
      </c>
      <c r="CW303" s="51">
        <f>IFERROR(__xludf.DUMMYFUNCTION("IF(REGEXMATCH(UPPER(CU303), ""DALLAS""),0,1)"),1.0)</f>
        <v>1</v>
      </c>
      <c r="CX303" s="51">
        <f t="shared" si="17"/>
        <v>0</v>
      </c>
      <c r="CY303" s="51">
        <f t="shared" si="18"/>
        <v>800</v>
      </c>
      <c r="CZ303" s="52" t="str">
        <f t="shared" si="19"/>
        <v>58 Country Oaks Dr
Buda, TX 78610         </v>
      </c>
      <c r="DA303" s="58"/>
      <c r="DB303" s="52"/>
      <c r="DC303" s="52"/>
      <c r="DD303" s="52"/>
      <c r="DE303" s="52"/>
      <c r="DF303" s="52"/>
      <c r="DG303" s="52"/>
      <c r="DH303" s="52"/>
      <c r="DI303" s="52"/>
      <c r="DJ303" s="52"/>
      <c r="DK303" s="52"/>
      <c r="DL303" s="52"/>
      <c r="DM303" s="52"/>
      <c r="DN303" s="52"/>
      <c r="DO303" s="52"/>
      <c r="DP303" s="52"/>
      <c r="DQ303" s="52"/>
      <c r="DR303" s="52"/>
      <c r="DS303" s="52"/>
      <c r="DT303" s="52"/>
      <c r="DU303" s="52"/>
      <c r="DV303" s="52"/>
      <c r="DW303" s="52"/>
    </row>
    <row r="304">
      <c r="A304" s="22" t="s">
        <v>55</v>
      </c>
      <c r="B304" s="23" t="s">
        <v>56</v>
      </c>
      <c r="C304" s="31" t="s">
        <v>845</v>
      </c>
      <c r="D304" s="25" t="str">
        <f>IFERROR(__xludf.DUMMYFUNCTION("SPLIT(C304,"" "")"),"Nambiar,")</f>
        <v>Nambiar,</v>
      </c>
      <c r="E304" s="22" t="str">
        <f>IFERROR(__xludf.DUMMYFUNCTION("""COMPUTED_VALUE"""),"Vipin
5534")</f>
        <v>Vipin
5534</v>
      </c>
      <c r="F304" s="22" t="str">
        <f>IFERROR(__xludf.DUMMYFUNCTION("""COMPUTED_VALUE"""),"West")</f>
        <v>West</v>
      </c>
      <c r="G304" s="22" t="str">
        <f>IFERROR(__xludf.DUMMYFUNCTION("""COMPUTED_VALUE"""),"Hanover")</f>
        <v>Hanover</v>
      </c>
      <c r="H304" s="22" t="str">
        <f>IFERROR(__xludf.DUMMYFUNCTION("""COMPUTED_VALUE"""),"Ave
Dallas,")</f>
        <v>Ave
Dallas,</v>
      </c>
      <c r="I304" s="22" t="str">
        <f>IFERROR(__xludf.DUMMYFUNCTION("""COMPUTED_VALUE"""),"TX")</f>
        <v>TX</v>
      </c>
      <c r="J304" s="22">
        <f>IFERROR(__xludf.DUMMYFUNCTION("""COMPUTED_VALUE"""),75209.0)</f>
        <v>75209</v>
      </c>
      <c r="K304" s="22"/>
      <c r="L304" s="22"/>
      <c r="M304" s="22"/>
      <c r="N304" s="22"/>
      <c r="O304" s="22"/>
      <c r="P304" s="22"/>
      <c r="Q304" s="22"/>
      <c r="R304" s="22"/>
      <c r="S304" s="22"/>
      <c r="T304" s="22"/>
      <c r="U304" s="24" t="str">
        <f>IFERROR(__xludf.DUMMYFUNCTION("SPLIT(E304,""01234567890"")"),"Vipin
")</f>
        <v>Vipin
</v>
      </c>
      <c r="V304" s="24" t="str">
        <f>IFERROR(__xludf.DUMMYFUNCTION("SPLIT(D304,"","")"),"Nambiar")</f>
        <v>Nambiar</v>
      </c>
      <c r="W304" s="25" t="str">
        <f t="shared" si="1"/>
        <v>VIPIN
 NAMBIAR</v>
      </c>
      <c r="X304" s="25" t="s">
        <v>846</v>
      </c>
      <c r="Y304" s="25">
        <v>75209.0</v>
      </c>
      <c r="Z304" s="25" t="str">
        <f>IFERROR(__xludf.DUMMYFUNCTION("SPLIT(C304,""
"")"),"Nambiar, Vipin")</f>
        <v>Nambiar, Vipin</v>
      </c>
      <c r="AA304" s="25" t="str">
        <f>IFERROR(__xludf.DUMMYFUNCTION("""COMPUTED_VALUE"""),"5534 West Hanover Ave")</f>
        <v>5534 West Hanover Ave</v>
      </c>
      <c r="AB304" s="25" t="str">
        <f>IFERROR(__xludf.DUMMYFUNCTION("""COMPUTED_VALUE"""),"Dallas, TX 75209")</f>
        <v>Dallas, TX 75209</v>
      </c>
      <c r="AC304" s="24" t="s">
        <v>847</v>
      </c>
      <c r="AD304" s="25"/>
      <c r="AE304" s="25"/>
      <c r="AF304" s="25"/>
      <c r="AG304" s="22" t="s">
        <v>60</v>
      </c>
      <c r="AH304" s="54">
        <v>2437.0</v>
      </c>
      <c r="AI304" s="22" t="s">
        <v>61</v>
      </c>
      <c r="AJ304" s="27">
        <v>10000.0</v>
      </c>
      <c r="AK304" s="31" t="s">
        <v>25</v>
      </c>
      <c r="AL304" s="28">
        <v>44733.0</v>
      </c>
      <c r="AM304" s="29">
        <v>44754.83237268519</v>
      </c>
      <c r="AN304" s="30">
        <v>2.0</v>
      </c>
      <c r="AO304" s="22"/>
      <c r="AP304" s="22"/>
      <c r="AQ304" s="22"/>
      <c r="AR304" s="22"/>
      <c r="AS304" s="22"/>
      <c r="AT304" s="70"/>
      <c r="AU304" s="22"/>
      <c r="AV304" s="57" t="str">
        <f>IFERROR(__xludf.DUMMYFUNCTION("""COMPUTED_VALUE"""),"Music")</f>
        <v>Music</v>
      </c>
      <c r="AW304" s="46">
        <f t="shared" si="7"/>
        <v>200</v>
      </c>
      <c r="AX304" s="47">
        <f t="shared" ref="AX304:BQ304" si="1022">SUMIFS($AJ:$AJ,$V:$V,$AV304,$AK:$AK,AX$2)</f>
        <v>0</v>
      </c>
      <c r="AY304" s="48">
        <f t="shared" si="1022"/>
        <v>0</v>
      </c>
      <c r="AZ304" s="48">
        <f t="shared" si="1022"/>
        <v>0</v>
      </c>
      <c r="BA304" s="48">
        <f t="shared" si="1022"/>
        <v>0</v>
      </c>
      <c r="BB304" s="48">
        <f t="shared" si="1022"/>
        <v>0</v>
      </c>
      <c r="BC304" s="48">
        <f t="shared" si="1022"/>
        <v>0</v>
      </c>
      <c r="BD304" s="48">
        <f t="shared" si="1022"/>
        <v>0</v>
      </c>
      <c r="BE304" s="48">
        <f t="shared" si="1022"/>
        <v>0</v>
      </c>
      <c r="BF304" s="48">
        <f t="shared" si="1022"/>
        <v>0</v>
      </c>
      <c r="BG304" s="48">
        <f t="shared" si="1022"/>
        <v>200</v>
      </c>
      <c r="BH304" s="48">
        <f t="shared" si="1022"/>
        <v>0</v>
      </c>
      <c r="BI304" s="48">
        <f t="shared" si="1022"/>
        <v>0</v>
      </c>
      <c r="BJ304" s="48">
        <f t="shared" si="1022"/>
        <v>0</v>
      </c>
      <c r="BK304" s="48">
        <f t="shared" si="1022"/>
        <v>0</v>
      </c>
      <c r="BL304" s="48">
        <f t="shared" si="1022"/>
        <v>0</v>
      </c>
      <c r="BM304" s="48">
        <f t="shared" si="1022"/>
        <v>0</v>
      </c>
      <c r="BN304" s="48">
        <f t="shared" si="1022"/>
        <v>0</v>
      </c>
      <c r="BO304" s="48">
        <f t="shared" si="1022"/>
        <v>0</v>
      </c>
      <c r="BP304" s="48">
        <f t="shared" si="1022"/>
        <v>0</v>
      </c>
      <c r="BQ304" s="48">
        <f t="shared" si="1022"/>
        <v>0</v>
      </c>
      <c r="BR304" s="36">
        <f t="shared" si="9"/>
        <v>0</v>
      </c>
      <c r="BS304" s="38">
        <f t="shared" si="10"/>
        <v>1</v>
      </c>
      <c r="BT304" s="49">
        <f t="shared" si="11"/>
        <v>0</v>
      </c>
      <c r="BU304" s="38">
        <f t="shared" si="12"/>
        <v>1000</v>
      </c>
      <c r="BV304" s="57" t="str">
        <f>IFERROR(__xludf.DUMMYFUNCTION("""COMPUTED_VALUE"""),"Music")</f>
        <v>Music</v>
      </c>
      <c r="BW304" s="46">
        <f t="shared" si="13"/>
        <v>200</v>
      </c>
      <c r="BX304" s="47">
        <f t="shared" ref="BX304:CA304" si="1023">AX304-$BU304</f>
        <v>-1000</v>
      </c>
      <c r="BY304" s="47">
        <f t="shared" si="1023"/>
        <v>-1000</v>
      </c>
      <c r="BZ304" s="47">
        <f t="shared" si="1023"/>
        <v>-1000</v>
      </c>
      <c r="CA304" s="47">
        <f t="shared" si="1023"/>
        <v>-1000</v>
      </c>
      <c r="CB304" s="47">
        <f t="shared" si="15"/>
        <v>-10000</v>
      </c>
      <c r="CC304" s="47">
        <f t="shared" ref="CC304:CQ304" si="1024">BC304-$BU304</f>
        <v>-1000</v>
      </c>
      <c r="CD304" s="47">
        <f t="shared" si="1024"/>
        <v>-1000</v>
      </c>
      <c r="CE304" s="47">
        <f t="shared" si="1024"/>
        <v>-1000</v>
      </c>
      <c r="CF304" s="47">
        <f t="shared" si="1024"/>
        <v>-1000</v>
      </c>
      <c r="CG304" s="47">
        <f t="shared" si="1024"/>
        <v>-800</v>
      </c>
      <c r="CH304" s="47">
        <f t="shared" si="1024"/>
        <v>-1000</v>
      </c>
      <c r="CI304" s="47">
        <f t="shared" si="1024"/>
        <v>-1000</v>
      </c>
      <c r="CJ304" s="47">
        <f t="shared" si="1024"/>
        <v>-1000</v>
      </c>
      <c r="CK304" s="47">
        <f t="shared" si="1024"/>
        <v>-1000</v>
      </c>
      <c r="CL304" s="47">
        <f t="shared" si="1024"/>
        <v>-1000</v>
      </c>
      <c r="CM304" s="47">
        <f t="shared" si="1024"/>
        <v>-1000</v>
      </c>
      <c r="CN304" s="47">
        <f t="shared" si="1024"/>
        <v>-1000</v>
      </c>
      <c r="CO304" s="47">
        <f t="shared" si="1024"/>
        <v>-1000</v>
      </c>
      <c r="CP304" s="47">
        <f t="shared" si="1024"/>
        <v>-1000</v>
      </c>
      <c r="CQ304" s="47">
        <f t="shared" si="1024"/>
        <v>-1000</v>
      </c>
      <c r="CR304" s="47"/>
      <c r="CS304" s="47"/>
      <c r="CT304" s="47"/>
      <c r="CU304" s="50" t="str">
        <f>IFERROR(__xludf.DUMMYFUNCTION("""COMPUTED_VALUE"""),"8366 Santa Clara Dr
Dallas, TX 75218         ")</f>
        <v>8366 Santa Clara Dr
Dallas, TX 75218         </v>
      </c>
      <c r="CV304" s="51">
        <f>IFERROR(__xludf.DUMMYFUNCTION("IF(REGEXMATCH(UPPER(CU304), ""TX""),0,1)"),0.0)</f>
        <v>0</v>
      </c>
      <c r="CW304" s="51">
        <f>IFERROR(__xludf.DUMMYFUNCTION("IF(REGEXMATCH(UPPER(CU304), ""DALLAS""),0,1)"),0.0)</f>
        <v>0</v>
      </c>
      <c r="CX304" s="51">
        <f t="shared" si="17"/>
        <v>0</v>
      </c>
      <c r="CY304" s="51">
        <f t="shared" si="18"/>
        <v>0</v>
      </c>
      <c r="CZ304" s="52" t="str">
        <f t="shared" si="19"/>
        <v/>
      </c>
      <c r="DA304" s="58"/>
      <c r="DB304" s="52"/>
      <c r="DC304" s="52"/>
      <c r="DD304" s="52"/>
      <c r="DE304" s="52"/>
      <c r="DF304" s="52"/>
      <c r="DG304" s="52"/>
      <c r="DH304" s="52"/>
      <c r="DI304" s="52"/>
      <c r="DJ304" s="52"/>
      <c r="DK304" s="52"/>
      <c r="DL304" s="52"/>
      <c r="DM304" s="52"/>
      <c r="DN304" s="52"/>
      <c r="DO304" s="52"/>
      <c r="DP304" s="52"/>
      <c r="DQ304" s="52"/>
      <c r="DR304" s="52"/>
      <c r="DS304" s="52"/>
      <c r="DT304" s="52"/>
      <c r="DU304" s="52"/>
      <c r="DV304" s="52"/>
      <c r="DW304" s="52"/>
    </row>
    <row r="305">
      <c r="A305" s="41" t="s">
        <v>64</v>
      </c>
      <c r="B305" s="41" t="s">
        <v>56</v>
      </c>
      <c r="C305" s="31" t="s">
        <v>286</v>
      </c>
      <c r="D305" s="25" t="str">
        <f>IFERROR(__xludf.DUMMYFUNCTION("SPLIT(C305,"" "")"),"Bailey,")</f>
        <v>Bailey,</v>
      </c>
      <c r="E305" s="40" t="str">
        <f>IFERROR(__xludf.DUMMYFUNCTION("""COMPUTED_VALUE"""),"Roy
4211")</f>
        <v>Roy
4211</v>
      </c>
      <c r="F305" s="40" t="str">
        <f>IFERROR(__xludf.DUMMYFUNCTION("""COMPUTED_VALUE"""),"Brookview")</f>
        <v>Brookview</v>
      </c>
      <c r="G305" s="40" t="str">
        <f>IFERROR(__xludf.DUMMYFUNCTION("""COMPUTED_VALUE"""),"Drive
Dallas,")</f>
        <v>Drive
Dallas,</v>
      </c>
      <c r="H305" s="40" t="str">
        <f>IFERROR(__xludf.DUMMYFUNCTION("""COMPUTED_VALUE"""),"TX")</f>
        <v>TX</v>
      </c>
      <c r="I305" s="40">
        <f>IFERROR(__xludf.DUMMYFUNCTION("""COMPUTED_VALUE"""),75220.0)</f>
        <v>75220</v>
      </c>
      <c r="J305" s="40"/>
      <c r="K305" s="40"/>
      <c r="L305" s="40"/>
      <c r="M305" s="40"/>
      <c r="N305" s="40"/>
      <c r="O305" s="40"/>
      <c r="P305" s="40"/>
      <c r="Q305" s="40"/>
      <c r="R305" s="40"/>
      <c r="S305" s="40"/>
      <c r="T305" s="40"/>
      <c r="U305" s="24" t="str">
        <f>IFERROR(__xludf.DUMMYFUNCTION("SPLIT(E305,""01234567890"")"),"Roy
")</f>
        <v>Roy
</v>
      </c>
      <c r="V305" s="24" t="str">
        <f>IFERROR(__xludf.DUMMYFUNCTION("SPLIT(D305,"","")"),"Bailey")</f>
        <v>Bailey</v>
      </c>
      <c r="W305" s="25" t="str">
        <f t="shared" si="1"/>
        <v>ROY
 BAILEY</v>
      </c>
      <c r="X305" s="25" t="s">
        <v>287</v>
      </c>
      <c r="Y305" s="25">
        <v>75220.0</v>
      </c>
      <c r="Z305" s="25" t="str">
        <f>IFERROR(__xludf.DUMMYFUNCTION("SPLIT(C305,""
"")"),"Bailey, Roy")</f>
        <v>Bailey, Roy</v>
      </c>
      <c r="AA305" s="25" t="str">
        <f>IFERROR(__xludf.DUMMYFUNCTION("""COMPUTED_VALUE"""),"4211 Brookview Drive")</f>
        <v>4211 Brookview Drive</v>
      </c>
      <c r="AB305" s="25" t="str">
        <f>IFERROR(__xludf.DUMMYFUNCTION("""COMPUTED_VALUE"""),"Dallas, TX 75220")</f>
        <v>Dallas, TX 75220</v>
      </c>
      <c r="AC305" s="24" t="s">
        <v>288</v>
      </c>
      <c r="AD305" s="25"/>
      <c r="AE305" s="25"/>
      <c r="AF305" s="25"/>
      <c r="AG305" s="40" t="s">
        <v>60</v>
      </c>
      <c r="AH305" s="42">
        <v>2437.0</v>
      </c>
      <c r="AI305" s="40" t="s">
        <v>61</v>
      </c>
      <c r="AJ305" s="27">
        <v>500.0</v>
      </c>
      <c r="AK305" s="31" t="s">
        <v>25</v>
      </c>
      <c r="AL305" s="43">
        <v>44733.0</v>
      </c>
      <c r="AM305" s="44">
        <v>44754.83237268519</v>
      </c>
      <c r="AN305" s="30">
        <v>2.0</v>
      </c>
      <c r="AO305" s="40"/>
      <c r="AP305" s="40"/>
      <c r="AQ305" s="40"/>
      <c r="AR305" s="40"/>
      <c r="AS305" s="40"/>
      <c r="AT305" s="47"/>
      <c r="AU305" s="40"/>
      <c r="AV305" s="46" t="str">
        <f>IFERROR(__xludf.DUMMYFUNCTION("""COMPUTED_VALUE"""),"Lunceford")</f>
        <v>Lunceford</v>
      </c>
      <c r="AW305" s="46">
        <f t="shared" si="7"/>
        <v>650</v>
      </c>
      <c r="AX305" s="47">
        <f t="shared" ref="AX305:BQ305" si="1025">SUMIFS($AJ:$AJ,$V:$V,$AV305,$AK:$AK,AX$2)</f>
        <v>0</v>
      </c>
      <c r="AY305" s="48">
        <f t="shared" si="1025"/>
        <v>0</v>
      </c>
      <c r="AZ305" s="48">
        <f t="shared" si="1025"/>
        <v>0</v>
      </c>
      <c r="BA305" s="48">
        <f t="shared" si="1025"/>
        <v>0</v>
      </c>
      <c r="BB305" s="48">
        <f t="shared" si="1025"/>
        <v>0</v>
      </c>
      <c r="BC305" s="48">
        <f t="shared" si="1025"/>
        <v>0</v>
      </c>
      <c r="BD305" s="48">
        <f t="shared" si="1025"/>
        <v>0</v>
      </c>
      <c r="BE305" s="48">
        <f t="shared" si="1025"/>
        <v>0</v>
      </c>
      <c r="BF305" s="48">
        <f t="shared" si="1025"/>
        <v>250</v>
      </c>
      <c r="BG305" s="48">
        <f t="shared" si="1025"/>
        <v>400</v>
      </c>
      <c r="BH305" s="48">
        <f t="shared" si="1025"/>
        <v>0</v>
      </c>
      <c r="BI305" s="48">
        <f t="shared" si="1025"/>
        <v>0</v>
      </c>
      <c r="BJ305" s="48">
        <f t="shared" si="1025"/>
        <v>0</v>
      </c>
      <c r="BK305" s="48">
        <f t="shared" si="1025"/>
        <v>0</v>
      </c>
      <c r="BL305" s="48">
        <f t="shared" si="1025"/>
        <v>0</v>
      </c>
      <c r="BM305" s="48">
        <f t="shared" si="1025"/>
        <v>0</v>
      </c>
      <c r="BN305" s="48">
        <f t="shared" si="1025"/>
        <v>0</v>
      </c>
      <c r="BO305" s="48">
        <f t="shared" si="1025"/>
        <v>0</v>
      </c>
      <c r="BP305" s="48">
        <f t="shared" si="1025"/>
        <v>0</v>
      </c>
      <c r="BQ305" s="48">
        <f t="shared" si="1025"/>
        <v>0</v>
      </c>
      <c r="BR305" s="36">
        <f t="shared" si="9"/>
        <v>1</v>
      </c>
      <c r="BS305" s="38">
        <f t="shared" si="10"/>
        <v>2</v>
      </c>
      <c r="BT305" s="49">
        <f t="shared" si="11"/>
        <v>0</v>
      </c>
      <c r="BU305" s="38">
        <f t="shared" si="12"/>
        <v>2000</v>
      </c>
      <c r="BV305" s="46" t="str">
        <f>IFERROR(__xludf.DUMMYFUNCTION("""COMPUTED_VALUE"""),"Lunceford")</f>
        <v>Lunceford</v>
      </c>
      <c r="BW305" s="46">
        <f t="shared" si="13"/>
        <v>650</v>
      </c>
      <c r="BX305" s="47">
        <f t="shared" ref="BX305:CA305" si="1026">AX305-$BU305</f>
        <v>-2000</v>
      </c>
      <c r="BY305" s="47">
        <f t="shared" si="1026"/>
        <v>-2000</v>
      </c>
      <c r="BZ305" s="47">
        <f t="shared" si="1026"/>
        <v>-2000</v>
      </c>
      <c r="CA305" s="47">
        <f t="shared" si="1026"/>
        <v>-2000</v>
      </c>
      <c r="CB305" s="47">
        <f t="shared" si="15"/>
        <v>-20000</v>
      </c>
      <c r="CC305" s="47">
        <f t="shared" ref="CC305:CQ305" si="1027">BC305-$BU305</f>
        <v>-2000</v>
      </c>
      <c r="CD305" s="47">
        <f t="shared" si="1027"/>
        <v>-2000</v>
      </c>
      <c r="CE305" s="47">
        <f t="shared" si="1027"/>
        <v>-2000</v>
      </c>
      <c r="CF305" s="47">
        <f t="shared" si="1027"/>
        <v>-1750</v>
      </c>
      <c r="CG305" s="47">
        <f t="shared" si="1027"/>
        <v>-1600</v>
      </c>
      <c r="CH305" s="47">
        <f t="shared" si="1027"/>
        <v>-2000</v>
      </c>
      <c r="CI305" s="47">
        <f t="shared" si="1027"/>
        <v>-2000</v>
      </c>
      <c r="CJ305" s="47">
        <f t="shared" si="1027"/>
        <v>-2000</v>
      </c>
      <c r="CK305" s="47">
        <f t="shared" si="1027"/>
        <v>-2000</v>
      </c>
      <c r="CL305" s="47">
        <f t="shared" si="1027"/>
        <v>-2000</v>
      </c>
      <c r="CM305" s="47">
        <f t="shared" si="1027"/>
        <v>-2000</v>
      </c>
      <c r="CN305" s="47">
        <f t="shared" si="1027"/>
        <v>-2000</v>
      </c>
      <c r="CO305" s="47">
        <f t="shared" si="1027"/>
        <v>-2000</v>
      </c>
      <c r="CP305" s="47">
        <f t="shared" si="1027"/>
        <v>-2000</v>
      </c>
      <c r="CQ305" s="47">
        <f t="shared" si="1027"/>
        <v>-2000</v>
      </c>
      <c r="CR305" s="47"/>
      <c r="CS305" s="47"/>
      <c r="CT305" s="47"/>
      <c r="CU305" s="50" t="str">
        <f>IFERROR(__xludf.DUMMYFUNCTION("""COMPUTED_VALUE"""),"682 W Alamosa Dr
Chandler, AZ 85248         ")</f>
        <v>682 W Alamosa Dr
Chandler, AZ 85248         </v>
      </c>
      <c r="CV305" s="51">
        <f>IFERROR(__xludf.DUMMYFUNCTION("IF(REGEXMATCH(UPPER(CU305), ""TX""),0,1)"),1.0)</f>
        <v>1</v>
      </c>
      <c r="CW305" s="51">
        <f>IFERROR(__xludf.DUMMYFUNCTION("IF(REGEXMATCH(UPPER(CU305), ""DALLAS""),0,1)"),1.0)</f>
        <v>1</v>
      </c>
      <c r="CX305" s="51">
        <f t="shared" si="17"/>
        <v>500</v>
      </c>
      <c r="CY305" s="51">
        <f t="shared" si="18"/>
        <v>500</v>
      </c>
      <c r="CZ305" s="52" t="str">
        <f t="shared" si="19"/>
        <v>682 W Alamosa Dr
Chandler, AZ 85248         </v>
      </c>
      <c r="DA305" s="58"/>
      <c r="DB305" s="52"/>
      <c r="DC305" s="52"/>
      <c r="DD305" s="52"/>
      <c r="DE305" s="52"/>
      <c r="DF305" s="52"/>
      <c r="DG305" s="52"/>
      <c r="DH305" s="52"/>
      <c r="DI305" s="52"/>
      <c r="DJ305" s="52"/>
      <c r="DK305" s="52"/>
      <c r="DL305" s="52"/>
      <c r="DM305" s="52"/>
      <c r="DN305" s="52"/>
      <c r="DO305" s="52"/>
      <c r="DP305" s="52"/>
      <c r="DQ305" s="52"/>
      <c r="DR305" s="52"/>
      <c r="DS305" s="52"/>
      <c r="DT305" s="52"/>
      <c r="DU305" s="52"/>
      <c r="DV305" s="52"/>
      <c r="DW305" s="52"/>
    </row>
    <row r="306">
      <c r="A306" s="22" t="s">
        <v>55</v>
      </c>
      <c r="B306" s="23" t="s">
        <v>56</v>
      </c>
      <c r="C306" s="31" t="s">
        <v>848</v>
      </c>
      <c r="D306" s="25" t="str">
        <f>IFERROR(__xludf.DUMMYFUNCTION("SPLIT(C306,"" "")"),"Purdy,")</f>
        <v>Purdy,</v>
      </c>
      <c r="E306" s="22" t="str">
        <f>IFERROR(__xludf.DUMMYFUNCTION("""COMPUTED_VALUE"""),"Torbejorne
10808")</f>
        <v>Torbejorne
10808</v>
      </c>
      <c r="F306" s="22" t="str">
        <f>IFERROR(__xludf.DUMMYFUNCTION("""COMPUTED_VALUE"""),"Strait")</f>
        <v>Strait</v>
      </c>
      <c r="G306" s="22" t="str">
        <f>IFERROR(__xludf.DUMMYFUNCTION("""COMPUTED_VALUE"""),"Ln
Dallas,")</f>
        <v>Ln
Dallas,</v>
      </c>
      <c r="H306" s="22" t="str">
        <f>IFERROR(__xludf.DUMMYFUNCTION("""COMPUTED_VALUE"""),"TX")</f>
        <v>TX</v>
      </c>
      <c r="I306" s="22">
        <f>IFERROR(__xludf.DUMMYFUNCTION("""COMPUTED_VALUE"""),75229.0)</f>
        <v>75229</v>
      </c>
      <c r="J306" s="22"/>
      <c r="K306" s="22"/>
      <c r="L306" s="22"/>
      <c r="M306" s="22"/>
      <c r="N306" s="22"/>
      <c r="O306" s="22"/>
      <c r="P306" s="22"/>
      <c r="Q306" s="22"/>
      <c r="R306" s="22"/>
      <c r="S306" s="22"/>
      <c r="T306" s="22"/>
      <c r="U306" s="24" t="str">
        <f>IFERROR(__xludf.DUMMYFUNCTION("SPLIT(E306,""01234567890"")"),"Torbejorne
")</f>
        <v>Torbejorne
</v>
      </c>
      <c r="V306" s="24" t="str">
        <f>IFERROR(__xludf.DUMMYFUNCTION("SPLIT(D306,"","")"),"Purdy")</f>
        <v>Purdy</v>
      </c>
      <c r="W306" s="25" t="str">
        <f t="shared" si="1"/>
        <v>TORBEJORNE
 PURDY</v>
      </c>
      <c r="X306" s="25" t="s">
        <v>849</v>
      </c>
      <c r="Y306" s="25">
        <v>75229.0</v>
      </c>
      <c r="Z306" s="25" t="str">
        <f>IFERROR(__xludf.DUMMYFUNCTION("SPLIT(C306,""
"")"),"Purdy, Torbejorne")</f>
        <v>Purdy, Torbejorne</v>
      </c>
      <c r="AA306" s="25" t="str">
        <f>IFERROR(__xludf.DUMMYFUNCTION("""COMPUTED_VALUE"""),"10808 Strait Ln")</f>
        <v>10808 Strait Ln</v>
      </c>
      <c r="AB306" s="25" t="str">
        <f>IFERROR(__xludf.DUMMYFUNCTION("""COMPUTED_VALUE"""),"Dallas, TX 75229")</f>
        <v>Dallas, TX 75229</v>
      </c>
      <c r="AC306" s="24" t="s">
        <v>850</v>
      </c>
      <c r="AD306" s="25"/>
      <c r="AE306" s="25"/>
      <c r="AF306" s="25"/>
      <c r="AG306" s="22" t="s">
        <v>60</v>
      </c>
      <c r="AH306" s="54">
        <v>2437.0</v>
      </c>
      <c r="AI306" s="22" t="s">
        <v>61</v>
      </c>
      <c r="AJ306" s="27">
        <v>250.0</v>
      </c>
      <c r="AK306" s="31" t="s">
        <v>25</v>
      </c>
      <c r="AL306" s="28">
        <v>44733.0</v>
      </c>
      <c r="AM306" s="29">
        <v>44754.83237268519</v>
      </c>
      <c r="AN306" s="30">
        <v>2.0</v>
      </c>
      <c r="AO306" s="22"/>
      <c r="AP306" s="22"/>
      <c r="AQ306" s="22"/>
      <c r="AR306" s="22"/>
      <c r="AS306" s="22"/>
      <c r="AT306" s="70"/>
      <c r="AU306" s="22"/>
      <c r="AV306" s="57" t="str">
        <f>IFERROR(__xludf.DUMMYFUNCTION("""COMPUTED_VALUE"""),"Henry")</f>
        <v>Henry</v>
      </c>
      <c r="AW306" s="46">
        <f t="shared" si="7"/>
        <v>1500</v>
      </c>
      <c r="AX306" s="47">
        <f t="shared" ref="AX306:BQ306" si="1028">SUMIFS($AJ:$AJ,$V:$V,$AV306,$AK:$AK,AX$2)</f>
        <v>0</v>
      </c>
      <c r="AY306" s="48">
        <f t="shared" si="1028"/>
        <v>0</v>
      </c>
      <c r="AZ306" s="48">
        <f t="shared" si="1028"/>
        <v>0</v>
      </c>
      <c r="BA306" s="48">
        <f t="shared" si="1028"/>
        <v>250</v>
      </c>
      <c r="BB306" s="48">
        <f t="shared" si="1028"/>
        <v>500</v>
      </c>
      <c r="BC306" s="48">
        <f t="shared" si="1028"/>
        <v>50</v>
      </c>
      <c r="BD306" s="48">
        <f t="shared" si="1028"/>
        <v>0</v>
      </c>
      <c r="BE306" s="48">
        <f t="shared" si="1028"/>
        <v>0</v>
      </c>
      <c r="BF306" s="48">
        <f t="shared" si="1028"/>
        <v>0</v>
      </c>
      <c r="BG306" s="48">
        <f t="shared" si="1028"/>
        <v>700</v>
      </c>
      <c r="BH306" s="48">
        <f t="shared" si="1028"/>
        <v>0</v>
      </c>
      <c r="BI306" s="48">
        <f t="shared" si="1028"/>
        <v>0</v>
      </c>
      <c r="BJ306" s="48">
        <f t="shared" si="1028"/>
        <v>0</v>
      </c>
      <c r="BK306" s="48">
        <f t="shared" si="1028"/>
        <v>0</v>
      </c>
      <c r="BL306" s="48">
        <f t="shared" si="1028"/>
        <v>0</v>
      </c>
      <c r="BM306" s="48">
        <f t="shared" si="1028"/>
        <v>0</v>
      </c>
      <c r="BN306" s="48">
        <f t="shared" si="1028"/>
        <v>0</v>
      </c>
      <c r="BO306" s="48">
        <f t="shared" si="1028"/>
        <v>0</v>
      </c>
      <c r="BP306" s="48">
        <f t="shared" si="1028"/>
        <v>0</v>
      </c>
      <c r="BQ306" s="48">
        <f t="shared" si="1028"/>
        <v>0</v>
      </c>
      <c r="BR306" s="36">
        <f t="shared" si="9"/>
        <v>1</v>
      </c>
      <c r="BS306" s="38">
        <f t="shared" si="10"/>
        <v>4</v>
      </c>
      <c r="BT306" s="49">
        <f t="shared" si="11"/>
        <v>0</v>
      </c>
      <c r="BU306" s="38">
        <f t="shared" si="12"/>
        <v>4000</v>
      </c>
      <c r="BV306" s="57" t="str">
        <f>IFERROR(__xludf.DUMMYFUNCTION("""COMPUTED_VALUE"""),"Henry")</f>
        <v>Henry</v>
      </c>
      <c r="BW306" s="46">
        <f t="shared" si="13"/>
        <v>1500</v>
      </c>
      <c r="BX306" s="47">
        <f t="shared" ref="BX306:CA306" si="1029">AX306-$BU306</f>
        <v>-4000</v>
      </c>
      <c r="BY306" s="47">
        <f t="shared" si="1029"/>
        <v>-4000</v>
      </c>
      <c r="BZ306" s="47">
        <f t="shared" si="1029"/>
        <v>-4000</v>
      </c>
      <c r="CA306" s="47">
        <f t="shared" si="1029"/>
        <v>-3750</v>
      </c>
      <c r="CB306" s="47">
        <f t="shared" si="15"/>
        <v>-39500</v>
      </c>
      <c r="CC306" s="47">
        <f t="shared" ref="CC306:CQ306" si="1030">BC306-$BU306</f>
        <v>-3950</v>
      </c>
      <c r="CD306" s="47">
        <f t="shared" si="1030"/>
        <v>-4000</v>
      </c>
      <c r="CE306" s="47">
        <f t="shared" si="1030"/>
        <v>-4000</v>
      </c>
      <c r="CF306" s="47">
        <f t="shared" si="1030"/>
        <v>-4000</v>
      </c>
      <c r="CG306" s="47">
        <f t="shared" si="1030"/>
        <v>-3300</v>
      </c>
      <c r="CH306" s="47">
        <f t="shared" si="1030"/>
        <v>-4000</v>
      </c>
      <c r="CI306" s="47">
        <f t="shared" si="1030"/>
        <v>-4000</v>
      </c>
      <c r="CJ306" s="47">
        <f t="shared" si="1030"/>
        <v>-4000</v>
      </c>
      <c r="CK306" s="47">
        <f t="shared" si="1030"/>
        <v>-4000</v>
      </c>
      <c r="CL306" s="47">
        <f t="shared" si="1030"/>
        <v>-4000</v>
      </c>
      <c r="CM306" s="47">
        <f t="shared" si="1030"/>
        <v>-4000</v>
      </c>
      <c r="CN306" s="47">
        <f t="shared" si="1030"/>
        <v>-4000</v>
      </c>
      <c r="CO306" s="47">
        <f t="shared" si="1030"/>
        <v>-4000</v>
      </c>
      <c r="CP306" s="47">
        <f t="shared" si="1030"/>
        <v>-4000</v>
      </c>
      <c r="CQ306" s="47">
        <f t="shared" si="1030"/>
        <v>-4000</v>
      </c>
      <c r="CR306" s="47"/>
      <c r="CS306" s="47"/>
      <c r="CT306" s="47"/>
      <c r="CU306" s="50" t="str">
        <f>IFERROR(__xludf.DUMMYFUNCTION("""COMPUTED_VALUE"""),"512 Cool Meadow Ct
DeSoto, TX 75115         ")</f>
        <v>512 Cool Meadow Ct
DeSoto, TX 75115         </v>
      </c>
      <c r="CV306" s="51">
        <f>IFERROR(__xludf.DUMMYFUNCTION("IF(REGEXMATCH(UPPER(CU306), ""TX""),0,1)"),0.0)</f>
        <v>0</v>
      </c>
      <c r="CW306" s="51">
        <f>IFERROR(__xludf.DUMMYFUNCTION("IF(REGEXMATCH(UPPER(CU306), ""DALLAS""),0,1)"),1.0)</f>
        <v>1</v>
      </c>
      <c r="CX306" s="51">
        <f t="shared" si="17"/>
        <v>0</v>
      </c>
      <c r="CY306" s="51">
        <f t="shared" si="18"/>
        <v>250</v>
      </c>
      <c r="CZ306" s="52" t="str">
        <f t="shared" si="19"/>
        <v>512 Cool Meadow Ct
DeSoto, TX 75115         </v>
      </c>
      <c r="DA306" s="58"/>
      <c r="DB306" s="52"/>
      <c r="DC306" s="52"/>
      <c r="DD306" s="52"/>
      <c r="DE306" s="52"/>
      <c r="DF306" s="52"/>
      <c r="DG306" s="52"/>
      <c r="DH306" s="52"/>
      <c r="DI306" s="52"/>
      <c r="DJ306" s="52"/>
      <c r="DK306" s="52"/>
      <c r="DL306" s="52"/>
      <c r="DM306" s="52"/>
      <c r="DN306" s="52"/>
      <c r="DO306" s="52"/>
      <c r="DP306" s="52"/>
      <c r="DQ306" s="52"/>
      <c r="DR306" s="52"/>
      <c r="DS306" s="52"/>
      <c r="DT306" s="52"/>
      <c r="DU306" s="52"/>
      <c r="DV306" s="52"/>
      <c r="DW306" s="52"/>
    </row>
    <row r="307">
      <c r="A307" s="41" t="s">
        <v>64</v>
      </c>
      <c r="B307" s="41" t="s">
        <v>56</v>
      </c>
      <c r="C307" s="31" t="s">
        <v>118</v>
      </c>
      <c r="D307" s="25" t="str">
        <f>IFERROR(__xludf.DUMMYFUNCTION("SPLIT(C307,"" "")"),"Agarwal,")</f>
        <v>Agarwal,</v>
      </c>
      <c r="E307" s="40" t="str">
        <f>IFERROR(__xludf.DUMMYFUNCTION("""COMPUTED_VALUE"""),"Arun
123")</f>
        <v>Arun
123</v>
      </c>
      <c r="F307" s="40" t="str">
        <f>IFERROR(__xludf.DUMMYFUNCTION("""COMPUTED_VALUE"""),"Oak")</f>
        <v>Oak</v>
      </c>
      <c r="G307" s="40" t="str">
        <f>IFERROR(__xludf.DUMMYFUNCTION("""COMPUTED_VALUE"""),"Lawn")</f>
        <v>Lawn</v>
      </c>
      <c r="H307" s="40" t="str">
        <f>IFERROR(__xludf.DUMMYFUNCTION("""COMPUTED_VALUE"""),"Ave
Dallas,")</f>
        <v>Ave
Dallas,</v>
      </c>
      <c r="I307" s="40" t="str">
        <f>IFERROR(__xludf.DUMMYFUNCTION("""COMPUTED_VALUE"""),"TX")</f>
        <v>TX</v>
      </c>
      <c r="J307" s="40">
        <f>IFERROR(__xludf.DUMMYFUNCTION("""COMPUTED_VALUE"""),75207.0)</f>
        <v>75207</v>
      </c>
      <c r="K307" s="40"/>
      <c r="L307" s="40"/>
      <c r="M307" s="40"/>
      <c r="N307" s="40"/>
      <c r="O307" s="40"/>
      <c r="P307" s="40"/>
      <c r="Q307" s="40"/>
      <c r="R307" s="40"/>
      <c r="S307" s="40"/>
      <c r="T307" s="40"/>
      <c r="U307" s="24" t="str">
        <f>IFERROR(__xludf.DUMMYFUNCTION("SPLIT(E307,""01234567890"")"),"Arun
")</f>
        <v>Arun
</v>
      </c>
      <c r="V307" s="24" t="str">
        <f>IFERROR(__xludf.DUMMYFUNCTION("SPLIT(D307,"","")"),"Agarwal")</f>
        <v>Agarwal</v>
      </c>
      <c r="W307" s="25" t="str">
        <f t="shared" si="1"/>
        <v>ARUN
 AGARWAL</v>
      </c>
      <c r="X307" s="25" t="s">
        <v>119</v>
      </c>
      <c r="Y307" s="25">
        <v>75207.0</v>
      </c>
      <c r="Z307" s="25" t="str">
        <f>IFERROR(__xludf.DUMMYFUNCTION("SPLIT(C307,""
"")"),"Agarwal, Arun")</f>
        <v>Agarwal, Arun</v>
      </c>
      <c r="AA307" s="25" t="str">
        <f>IFERROR(__xludf.DUMMYFUNCTION("""COMPUTED_VALUE"""),"123 Oak Lawn Ave")</f>
        <v>123 Oak Lawn Ave</v>
      </c>
      <c r="AB307" s="25" t="str">
        <f>IFERROR(__xludf.DUMMYFUNCTION("""COMPUTED_VALUE"""),"Dallas, TX 75207")</f>
        <v>Dallas, TX 75207</v>
      </c>
      <c r="AC307" s="24" t="s">
        <v>117</v>
      </c>
      <c r="AD307" s="25"/>
      <c r="AE307" s="25"/>
      <c r="AF307" s="25"/>
      <c r="AG307" s="40" t="s">
        <v>60</v>
      </c>
      <c r="AH307" s="42">
        <v>2437.0</v>
      </c>
      <c r="AI307" s="40" t="s">
        <v>61</v>
      </c>
      <c r="AJ307" s="27">
        <v>10000.0</v>
      </c>
      <c r="AK307" s="31" t="s">
        <v>25</v>
      </c>
      <c r="AL307" s="43">
        <v>44733.0</v>
      </c>
      <c r="AM307" s="44">
        <v>44754.83237268519</v>
      </c>
      <c r="AN307" s="30">
        <v>2.0</v>
      </c>
      <c r="AO307" s="40"/>
      <c r="AP307" s="40"/>
      <c r="AQ307" s="40"/>
      <c r="AR307" s="40"/>
      <c r="AS307" s="40"/>
      <c r="AT307" s="47"/>
      <c r="AU307" s="40"/>
      <c r="AV307" s="46" t="str">
        <f>IFERROR(__xludf.DUMMYFUNCTION("""COMPUTED_VALUE"""),"Minic")</f>
        <v>Minic</v>
      </c>
      <c r="AW307" s="46">
        <f t="shared" si="7"/>
        <v>30</v>
      </c>
      <c r="AX307" s="47">
        <f t="shared" ref="AX307:BQ307" si="1031">SUMIFS($AJ:$AJ,$V:$V,$AV307,$AK:$AK,AX$2)</f>
        <v>0</v>
      </c>
      <c r="AY307" s="48">
        <f t="shared" si="1031"/>
        <v>0</v>
      </c>
      <c r="AZ307" s="48">
        <f t="shared" si="1031"/>
        <v>0</v>
      </c>
      <c r="BA307" s="48">
        <f t="shared" si="1031"/>
        <v>0</v>
      </c>
      <c r="BB307" s="48">
        <f t="shared" si="1031"/>
        <v>0</v>
      </c>
      <c r="BC307" s="48">
        <f t="shared" si="1031"/>
        <v>0</v>
      </c>
      <c r="BD307" s="48">
        <f t="shared" si="1031"/>
        <v>0</v>
      </c>
      <c r="BE307" s="48">
        <f t="shared" si="1031"/>
        <v>0</v>
      </c>
      <c r="BF307" s="48">
        <f t="shared" si="1031"/>
        <v>0</v>
      </c>
      <c r="BG307" s="48">
        <f t="shared" si="1031"/>
        <v>30</v>
      </c>
      <c r="BH307" s="48">
        <f t="shared" si="1031"/>
        <v>0</v>
      </c>
      <c r="BI307" s="48">
        <f t="shared" si="1031"/>
        <v>0</v>
      </c>
      <c r="BJ307" s="48">
        <f t="shared" si="1031"/>
        <v>0</v>
      </c>
      <c r="BK307" s="48">
        <f t="shared" si="1031"/>
        <v>0</v>
      </c>
      <c r="BL307" s="48">
        <f t="shared" si="1031"/>
        <v>0</v>
      </c>
      <c r="BM307" s="48">
        <f t="shared" si="1031"/>
        <v>0</v>
      </c>
      <c r="BN307" s="48">
        <f t="shared" si="1031"/>
        <v>0</v>
      </c>
      <c r="BO307" s="48">
        <f t="shared" si="1031"/>
        <v>0</v>
      </c>
      <c r="BP307" s="48">
        <f t="shared" si="1031"/>
        <v>0</v>
      </c>
      <c r="BQ307" s="48">
        <f t="shared" si="1031"/>
        <v>0</v>
      </c>
      <c r="BR307" s="36">
        <f t="shared" si="9"/>
        <v>1</v>
      </c>
      <c r="BS307" s="38">
        <f t="shared" si="10"/>
        <v>2</v>
      </c>
      <c r="BT307" s="49">
        <f t="shared" si="11"/>
        <v>0</v>
      </c>
      <c r="BU307" s="38">
        <f t="shared" si="12"/>
        <v>2000</v>
      </c>
      <c r="BV307" s="46" t="str">
        <f>IFERROR(__xludf.DUMMYFUNCTION("""COMPUTED_VALUE"""),"Minic")</f>
        <v>Minic</v>
      </c>
      <c r="BW307" s="46">
        <f t="shared" si="13"/>
        <v>30</v>
      </c>
      <c r="BX307" s="47">
        <f t="shared" ref="BX307:CA307" si="1032">AX307-$BU307</f>
        <v>-2000</v>
      </c>
      <c r="BY307" s="47">
        <f t="shared" si="1032"/>
        <v>-2000</v>
      </c>
      <c r="BZ307" s="47">
        <f t="shared" si="1032"/>
        <v>-2000</v>
      </c>
      <c r="CA307" s="47">
        <f t="shared" si="1032"/>
        <v>-2000</v>
      </c>
      <c r="CB307" s="47">
        <f t="shared" si="15"/>
        <v>-20000</v>
      </c>
      <c r="CC307" s="47">
        <f t="shared" ref="CC307:CQ307" si="1033">BC307-$BU307</f>
        <v>-2000</v>
      </c>
      <c r="CD307" s="47">
        <f t="shared" si="1033"/>
        <v>-2000</v>
      </c>
      <c r="CE307" s="47">
        <f t="shared" si="1033"/>
        <v>-2000</v>
      </c>
      <c r="CF307" s="47">
        <f t="shared" si="1033"/>
        <v>-2000</v>
      </c>
      <c r="CG307" s="47">
        <f t="shared" si="1033"/>
        <v>-1970</v>
      </c>
      <c r="CH307" s="47">
        <f t="shared" si="1033"/>
        <v>-2000</v>
      </c>
      <c r="CI307" s="47">
        <f t="shared" si="1033"/>
        <v>-2000</v>
      </c>
      <c r="CJ307" s="47">
        <f t="shared" si="1033"/>
        <v>-2000</v>
      </c>
      <c r="CK307" s="47">
        <f t="shared" si="1033"/>
        <v>-2000</v>
      </c>
      <c r="CL307" s="47">
        <f t="shared" si="1033"/>
        <v>-2000</v>
      </c>
      <c r="CM307" s="47">
        <f t="shared" si="1033"/>
        <v>-2000</v>
      </c>
      <c r="CN307" s="47">
        <f t="shared" si="1033"/>
        <v>-2000</v>
      </c>
      <c r="CO307" s="47">
        <f t="shared" si="1033"/>
        <v>-2000</v>
      </c>
      <c r="CP307" s="47">
        <f t="shared" si="1033"/>
        <v>-2000</v>
      </c>
      <c r="CQ307" s="47">
        <f t="shared" si="1033"/>
        <v>-2000</v>
      </c>
      <c r="CR307" s="47"/>
      <c r="CS307" s="47"/>
      <c r="CT307" s="47"/>
      <c r="CU307" s="50" t="str">
        <f>IFERROR(__xludf.DUMMYFUNCTION("""COMPUTED_VALUE"""),"14911 Quorum Dr
Dallas, TX 75254          ")</f>
        <v>14911 Quorum Dr
Dallas, TX 75254          </v>
      </c>
      <c r="CV307" s="51">
        <f>IFERROR(__xludf.DUMMYFUNCTION("IF(REGEXMATCH(UPPER(CU307), ""TX""),0,1)"),0.0)</f>
        <v>0</v>
      </c>
      <c r="CW307" s="51">
        <f>IFERROR(__xludf.DUMMYFUNCTION("IF(REGEXMATCH(UPPER(CU307), ""DALLAS""),0,1)"),0.0)</f>
        <v>0</v>
      </c>
      <c r="CX307" s="51">
        <f t="shared" si="17"/>
        <v>0</v>
      </c>
      <c r="CY307" s="51">
        <f t="shared" si="18"/>
        <v>0</v>
      </c>
      <c r="CZ307" s="52" t="str">
        <f t="shared" si="19"/>
        <v/>
      </c>
      <c r="DA307" s="58"/>
      <c r="DB307" s="52"/>
      <c r="DC307" s="52"/>
      <c r="DD307" s="52"/>
      <c r="DE307" s="52"/>
      <c r="DF307" s="52"/>
      <c r="DG307" s="52"/>
      <c r="DH307" s="52"/>
      <c r="DI307" s="52"/>
      <c r="DJ307" s="52"/>
      <c r="DK307" s="52"/>
      <c r="DL307" s="52"/>
      <c r="DM307" s="52"/>
      <c r="DN307" s="52"/>
      <c r="DO307" s="52"/>
      <c r="DP307" s="52"/>
      <c r="DQ307" s="52"/>
      <c r="DR307" s="52"/>
      <c r="DS307" s="52"/>
      <c r="DT307" s="52"/>
      <c r="DU307" s="52"/>
      <c r="DV307" s="52"/>
      <c r="DW307" s="52"/>
    </row>
    <row r="308">
      <c r="A308" s="22" t="s">
        <v>55</v>
      </c>
      <c r="B308" s="23" t="s">
        <v>56</v>
      </c>
      <c r="C308" s="31" t="s">
        <v>851</v>
      </c>
      <c r="D308" s="25" t="str">
        <f>IFERROR(__xludf.DUMMYFUNCTION("SPLIT(C308,"" "")"),"Bradshaw,")</f>
        <v>Bradshaw,</v>
      </c>
      <c r="E308" s="22" t="str">
        <f>IFERROR(__xludf.DUMMYFUNCTION("""COMPUTED_VALUE"""),"Horace
PO")</f>
        <v>Horace
PO</v>
      </c>
      <c r="F308" s="22" t="str">
        <f>IFERROR(__xludf.DUMMYFUNCTION("""COMPUTED_VALUE"""),"Box")</f>
        <v>Box</v>
      </c>
      <c r="G308" s="22" t="str">
        <f>IFERROR(__xludf.DUMMYFUNCTION("""COMPUTED_VALUE"""),"764526
Dallas,")</f>
        <v>764526
Dallas,</v>
      </c>
      <c r="H308" s="22" t="str">
        <f>IFERROR(__xludf.DUMMYFUNCTION("""COMPUTED_VALUE"""),"TX")</f>
        <v>TX</v>
      </c>
      <c r="I308" s="22">
        <f>IFERROR(__xludf.DUMMYFUNCTION("""COMPUTED_VALUE"""),75232.0)</f>
        <v>75232</v>
      </c>
      <c r="J308" s="22"/>
      <c r="K308" s="22"/>
      <c r="L308" s="22"/>
      <c r="M308" s="22"/>
      <c r="N308" s="22"/>
      <c r="O308" s="22"/>
      <c r="P308" s="22"/>
      <c r="Q308" s="22"/>
      <c r="R308" s="22"/>
      <c r="S308" s="22"/>
      <c r="T308" s="22"/>
      <c r="U308" s="24" t="str">
        <f>IFERROR(__xludf.DUMMYFUNCTION("SPLIT(E308,""01234567890"")"),"Horace
PO")</f>
        <v>Horace
PO</v>
      </c>
      <c r="V308" s="24" t="str">
        <f>IFERROR(__xludf.DUMMYFUNCTION("SPLIT(D308,"","")"),"Bradshaw")</f>
        <v>Bradshaw</v>
      </c>
      <c r="W308" s="25" t="str">
        <f t="shared" si="1"/>
        <v>HORACE
PO BRADSHAW</v>
      </c>
      <c r="X308" s="25" t="s">
        <v>852</v>
      </c>
      <c r="Y308" s="25">
        <v>75232.0</v>
      </c>
      <c r="Z308" s="25" t="str">
        <f>IFERROR(__xludf.DUMMYFUNCTION("SPLIT(C308,""
"")"),"Bradshaw, Horace")</f>
        <v>Bradshaw, Horace</v>
      </c>
      <c r="AA308" s="25" t="str">
        <f>IFERROR(__xludf.DUMMYFUNCTION("""COMPUTED_VALUE"""),"PO Box 764526")</f>
        <v>PO Box 764526</v>
      </c>
      <c r="AB308" s="25" t="str">
        <f>IFERROR(__xludf.DUMMYFUNCTION("""COMPUTED_VALUE"""),"Dallas, TX 75232")</f>
        <v>Dallas, TX 75232</v>
      </c>
      <c r="AC308" s="24" t="s">
        <v>853</v>
      </c>
      <c r="AD308" s="25"/>
      <c r="AE308" s="25"/>
      <c r="AF308" s="25"/>
      <c r="AG308" s="22" t="s">
        <v>60</v>
      </c>
      <c r="AH308" s="54">
        <v>2437.0</v>
      </c>
      <c r="AI308" s="22" t="s">
        <v>61</v>
      </c>
      <c r="AJ308" s="27">
        <v>100.0</v>
      </c>
      <c r="AK308" s="31" t="s">
        <v>25</v>
      </c>
      <c r="AL308" s="28">
        <v>44731.0</v>
      </c>
      <c r="AM308" s="29">
        <v>44754.83237268519</v>
      </c>
      <c r="AN308" s="30">
        <v>2.0</v>
      </c>
      <c r="AO308" s="22"/>
      <c r="AP308" s="22"/>
      <c r="AQ308" s="22"/>
      <c r="AR308" s="22"/>
      <c r="AS308" s="22"/>
      <c r="AT308" s="70"/>
      <c r="AU308" s="22"/>
      <c r="AV308" s="57" t="str">
        <f>IFERROR(__xludf.DUMMYFUNCTION("""COMPUTED_VALUE"""),"Worsham")</f>
        <v>Worsham</v>
      </c>
      <c r="AW308" s="46">
        <f t="shared" si="7"/>
        <v>200</v>
      </c>
      <c r="AX308" s="47">
        <f t="shared" ref="AX308:BQ308" si="1034">SUMIFS($AJ:$AJ,$V:$V,$AV308,$AK:$AK,AX$2)</f>
        <v>0</v>
      </c>
      <c r="AY308" s="48">
        <f t="shared" si="1034"/>
        <v>0</v>
      </c>
      <c r="AZ308" s="48">
        <f t="shared" si="1034"/>
        <v>0</v>
      </c>
      <c r="BA308" s="48">
        <f t="shared" si="1034"/>
        <v>0</v>
      </c>
      <c r="BB308" s="48">
        <f t="shared" si="1034"/>
        <v>0</v>
      </c>
      <c r="BC308" s="48">
        <f t="shared" si="1034"/>
        <v>0</v>
      </c>
      <c r="BD308" s="48">
        <f t="shared" si="1034"/>
        <v>0</v>
      </c>
      <c r="BE308" s="48">
        <f t="shared" si="1034"/>
        <v>0</v>
      </c>
      <c r="BF308" s="48">
        <f t="shared" si="1034"/>
        <v>0</v>
      </c>
      <c r="BG308" s="48">
        <f t="shared" si="1034"/>
        <v>200</v>
      </c>
      <c r="BH308" s="48">
        <f t="shared" si="1034"/>
        <v>0</v>
      </c>
      <c r="BI308" s="48">
        <f t="shared" si="1034"/>
        <v>0</v>
      </c>
      <c r="BJ308" s="48">
        <f t="shared" si="1034"/>
        <v>0</v>
      </c>
      <c r="BK308" s="48">
        <f t="shared" si="1034"/>
        <v>0</v>
      </c>
      <c r="BL308" s="48">
        <f t="shared" si="1034"/>
        <v>0</v>
      </c>
      <c r="BM308" s="48">
        <f t="shared" si="1034"/>
        <v>0</v>
      </c>
      <c r="BN308" s="48">
        <f t="shared" si="1034"/>
        <v>0</v>
      </c>
      <c r="BO308" s="48">
        <f t="shared" si="1034"/>
        <v>0</v>
      </c>
      <c r="BP308" s="48">
        <f t="shared" si="1034"/>
        <v>0</v>
      </c>
      <c r="BQ308" s="48">
        <f t="shared" si="1034"/>
        <v>0</v>
      </c>
      <c r="BR308" s="36">
        <f t="shared" si="9"/>
        <v>1</v>
      </c>
      <c r="BS308" s="38">
        <f t="shared" si="10"/>
        <v>2</v>
      </c>
      <c r="BT308" s="49">
        <f t="shared" si="11"/>
        <v>0</v>
      </c>
      <c r="BU308" s="38">
        <f t="shared" si="12"/>
        <v>2000</v>
      </c>
      <c r="BV308" s="57" t="str">
        <f>IFERROR(__xludf.DUMMYFUNCTION("""COMPUTED_VALUE"""),"Worsham")</f>
        <v>Worsham</v>
      </c>
      <c r="BW308" s="46">
        <f t="shared" si="13"/>
        <v>200</v>
      </c>
      <c r="BX308" s="47">
        <f t="shared" ref="BX308:CA308" si="1035">AX308-$BU308</f>
        <v>-2000</v>
      </c>
      <c r="BY308" s="47">
        <f t="shared" si="1035"/>
        <v>-2000</v>
      </c>
      <c r="BZ308" s="47">
        <f t="shared" si="1035"/>
        <v>-2000</v>
      </c>
      <c r="CA308" s="47">
        <f t="shared" si="1035"/>
        <v>-2000</v>
      </c>
      <c r="CB308" s="47">
        <f t="shared" si="15"/>
        <v>-20000</v>
      </c>
      <c r="CC308" s="47">
        <f t="shared" ref="CC308:CQ308" si="1036">BC308-$BU308</f>
        <v>-2000</v>
      </c>
      <c r="CD308" s="47">
        <f t="shared" si="1036"/>
        <v>-2000</v>
      </c>
      <c r="CE308" s="47">
        <f t="shared" si="1036"/>
        <v>-2000</v>
      </c>
      <c r="CF308" s="47">
        <f t="shared" si="1036"/>
        <v>-2000</v>
      </c>
      <c r="CG308" s="47">
        <f t="shared" si="1036"/>
        <v>-1800</v>
      </c>
      <c r="CH308" s="47">
        <f t="shared" si="1036"/>
        <v>-2000</v>
      </c>
      <c r="CI308" s="47">
        <f t="shared" si="1036"/>
        <v>-2000</v>
      </c>
      <c r="CJ308" s="47">
        <f t="shared" si="1036"/>
        <v>-2000</v>
      </c>
      <c r="CK308" s="47">
        <f t="shared" si="1036"/>
        <v>-2000</v>
      </c>
      <c r="CL308" s="47">
        <f t="shared" si="1036"/>
        <v>-2000</v>
      </c>
      <c r="CM308" s="47">
        <f t="shared" si="1036"/>
        <v>-2000</v>
      </c>
      <c r="CN308" s="47">
        <f t="shared" si="1036"/>
        <v>-2000</v>
      </c>
      <c r="CO308" s="47">
        <f t="shared" si="1036"/>
        <v>-2000</v>
      </c>
      <c r="CP308" s="47">
        <f t="shared" si="1036"/>
        <v>-2000</v>
      </c>
      <c r="CQ308" s="47">
        <f t="shared" si="1036"/>
        <v>-2000</v>
      </c>
      <c r="CR308" s="47"/>
      <c r="CS308" s="47"/>
      <c r="CT308" s="47"/>
      <c r="CU308" s="50" t="str">
        <f>IFERROR(__xludf.DUMMYFUNCTION("""COMPUTED_VALUE"""),"10244 Epping Ln
Dallas, TX 75229          ")</f>
        <v>10244 Epping Ln
Dallas, TX 75229          </v>
      </c>
      <c r="CV308" s="51">
        <f>IFERROR(__xludf.DUMMYFUNCTION("IF(REGEXMATCH(UPPER(CU308), ""TX""),0,1)"),0.0)</f>
        <v>0</v>
      </c>
      <c r="CW308" s="51">
        <f>IFERROR(__xludf.DUMMYFUNCTION("IF(REGEXMATCH(UPPER(CU308), ""DALLAS""),0,1)"),0.0)</f>
        <v>0</v>
      </c>
      <c r="CX308" s="51">
        <f t="shared" si="17"/>
        <v>0</v>
      </c>
      <c r="CY308" s="51">
        <f t="shared" si="18"/>
        <v>0</v>
      </c>
      <c r="CZ308" s="52" t="str">
        <f t="shared" si="19"/>
        <v/>
      </c>
      <c r="DA308" s="58"/>
      <c r="DB308" s="52"/>
      <c r="DC308" s="52"/>
      <c r="DD308" s="52"/>
      <c r="DE308" s="52"/>
      <c r="DF308" s="52"/>
      <c r="DG308" s="52"/>
      <c r="DH308" s="52"/>
      <c r="DI308" s="52"/>
      <c r="DJ308" s="52"/>
      <c r="DK308" s="52"/>
      <c r="DL308" s="52"/>
      <c r="DM308" s="52"/>
      <c r="DN308" s="52"/>
      <c r="DO308" s="52"/>
      <c r="DP308" s="52"/>
      <c r="DQ308" s="52"/>
      <c r="DR308" s="52"/>
      <c r="DS308" s="52"/>
      <c r="DT308" s="52"/>
      <c r="DU308" s="52"/>
      <c r="DV308" s="52"/>
      <c r="DW308" s="52"/>
    </row>
    <row r="309">
      <c r="A309" s="41" t="s">
        <v>64</v>
      </c>
      <c r="B309" s="41" t="s">
        <v>56</v>
      </c>
      <c r="C309" s="31" t="s">
        <v>854</v>
      </c>
      <c r="D309" s="25" t="str">
        <f>IFERROR(__xludf.DUMMYFUNCTION("SPLIT(C309,"" "")"),"Battie,")</f>
        <v>Battie,</v>
      </c>
      <c r="E309" s="40" t="str">
        <f>IFERROR(__xludf.DUMMYFUNCTION("""COMPUTED_VALUE"""),"Susie")</f>
        <v>Susie</v>
      </c>
      <c r="F309" s="40" t="str">
        <f>IFERROR(__xludf.DUMMYFUNCTION("""COMPUTED_VALUE"""),"&amp;")</f>
        <v>&amp;</v>
      </c>
      <c r="G309" s="40" t="str">
        <f>IFERROR(__xludf.DUMMYFUNCTION("""COMPUTED_VALUE"""),"Derrick
1456")</f>
        <v>Derrick
1456</v>
      </c>
      <c r="H309" s="40" t="str">
        <f>IFERROR(__xludf.DUMMYFUNCTION("""COMPUTED_VALUE"""),"Chapman")</f>
        <v>Chapman</v>
      </c>
      <c r="I309" s="40" t="str">
        <f>IFERROR(__xludf.DUMMYFUNCTION("""COMPUTED_VALUE"""),"Dr
Lancaster,")</f>
        <v>Dr
Lancaster,</v>
      </c>
      <c r="J309" s="40" t="str">
        <f>IFERROR(__xludf.DUMMYFUNCTION("""COMPUTED_VALUE"""),"TX")</f>
        <v>TX</v>
      </c>
      <c r="K309" s="40">
        <f>IFERROR(__xludf.DUMMYFUNCTION("""COMPUTED_VALUE"""),75134.0)</f>
        <v>75134</v>
      </c>
      <c r="L309" s="40"/>
      <c r="M309" s="40"/>
      <c r="N309" s="40"/>
      <c r="O309" s="40"/>
      <c r="P309" s="40"/>
      <c r="Q309" s="40"/>
      <c r="R309" s="40"/>
      <c r="S309" s="40"/>
      <c r="T309" s="40"/>
      <c r="U309" s="24" t="str">
        <f>IFERROR(__xludf.DUMMYFUNCTION("SPLIT(E309,""01234567890"")"),"Susie")</f>
        <v>Susie</v>
      </c>
      <c r="V309" s="24" t="str">
        <f>IFERROR(__xludf.DUMMYFUNCTION("SPLIT(D309,"","")"),"Battie")</f>
        <v>Battie</v>
      </c>
      <c r="W309" s="25" t="str">
        <f t="shared" si="1"/>
        <v>SUSIE BATTIE</v>
      </c>
      <c r="X309" s="25" t="s">
        <v>855</v>
      </c>
      <c r="Y309" s="25">
        <v>1456.0</v>
      </c>
      <c r="Z309" s="25" t="str">
        <f>IFERROR(__xludf.DUMMYFUNCTION("SPLIT(C309,""
"")"),"Battie, Susie &amp; Derrick")</f>
        <v>Battie, Susie &amp; Derrick</v>
      </c>
      <c r="AA309" s="25" t="str">
        <f>IFERROR(__xludf.DUMMYFUNCTION("""COMPUTED_VALUE"""),"1456 Chapman Dr")</f>
        <v>1456 Chapman Dr</v>
      </c>
      <c r="AB309" s="25" t="str">
        <f>IFERROR(__xludf.DUMMYFUNCTION("""COMPUTED_VALUE"""),"Lancaster, TX 75134")</f>
        <v>Lancaster, TX 75134</v>
      </c>
      <c r="AC309" s="24" t="s">
        <v>856</v>
      </c>
      <c r="AD309" s="25"/>
      <c r="AE309" s="25"/>
      <c r="AF309" s="25"/>
      <c r="AG309" s="40" t="s">
        <v>60</v>
      </c>
      <c r="AH309" s="42">
        <v>2437.0</v>
      </c>
      <c r="AI309" s="40" t="s">
        <v>61</v>
      </c>
      <c r="AJ309" s="27">
        <v>300.0</v>
      </c>
      <c r="AK309" s="31" t="s">
        <v>25</v>
      </c>
      <c r="AL309" s="43">
        <v>44731.0</v>
      </c>
      <c r="AM309" s="44">
        <v>44754.83237268519</v>
      </c>
      <c r="AN309" s="30">
        <v>2.0</v>
      </c>
      <c r="AO309" s="40"/>
      <c r="AP309" s="40"/>
      <c r="AQ309" s="40"/>
      <c r="AR309" s="40"/>
      <c r="AS309" s="40"/>
      <c r="AT309" s="47"/>
      <c r="AU309" s="40"/>
      <c r="AV309" s="46" t="str">
        <f>IFERROR(__xludf.DUMMYFUNCTION("""COMPUTED_VALUE"""),"Gonzales")</f>
        <v>Gonzales</v>
      </c>
      <c r="AW309" s="46">
        <f t="shared" si="7"/>
        <v>900</v>
      </c>
      <c r="AX309" s="47">
        <f t="shared" ref="AX309:BQ309" si="1037">SUMIFS($AJ:$AJ,$V:$V,$AV309,$AK:$AK,AX$2)</f>
        <v>0</v>
      </c>
      <c r="AY309" s="48">
        <f t="shared" si="1037"/>
        <v>0</v>
      </c>
      <c r="AZ309" s="48">
        <f t="shared" si="1037"/>
        <v>0</v>
      </c>
      <c r="BA309" s="48">
        <f t="shared" si="1037"/>
        <v>0</v>
      </c>
      <c r="BB309" s="48">
        <f t="shared" si="1037"/>
        <v>0</v>
      </c>
      <c r="BC309" s="48">
        <f t="shared" si="1037"/>
        <v>0</v>
      </c>
      <c r="BD309" s="48">
        <f t="shared" si="1037"/>
        <v>0</v>
      </c>
      <c r="BE309" s="48">
        <f t="shared" si="1037"/>
        <v>0</v>
      </c>
      <c r="BF309" s="48">
        <f t="shared" si="1037"/>
        <v>0</v>
      </c>
      <c r="BG309" s="48">
        <f t="shared" si="1037"/>
        <v>400</v>
      </c>
      <c r="BH309" s="48">
        <f t="shared" si="1037"/>
        <v>0</v>
      </c>
      <c r="BI309" s="48">
        <f t="shared" si="1037"/>
        <v>0</v>
      </c>
      <c r="BJ309" s="48">
        <f t="shared" si="1037"/>
        <v>0</v>
      </c>
      <c r="BK309" s="48">
        <f t="shared" si="1037"/>
        <v>0</v>
      </c>
      <c r="BL309" s="48">
        <f t="shared" si="1037"/>
        <v>0</v>
      </c>
      <c r="BM309" s="48">
        <f t="shared" si="1037"/>
        <v>0</v>
      </c>
      <c r="BN309" s="48">
        <f t="shared" si="1037"/>
        <v>0</v>
      </c>
      <c r="BO309" s="48">
        <f t="shared" si="1037"/>
        <v>500</v>
      </c>
      <c r="BP309" s="48">
        <f t="shared" si="1037"/>
        <v>0</v>
      </c>
      <c r="BQ309" s="48">
        <f t="shared" si="1037"/>
        <v>0</v>
      </c>
      <c r="BR309" s="36">
        <f t="shared" si="9"/>
        <v>1</v>
      </c>
      <c r="BS309" s="38">
        <f t="shared" si="10"/>
        <v>2</v>
      </c>
      <c r="BT309" s="49">
        <f t="shared" si="11"/>
        <v>0</v>
      </c>
      <c r="BU309" s="38">
        <f t="shared" si="12"/>
        <v>2000</v>
      </c>
      <c r="BV309" s="46" t="str">
        <f>IFERROR(__xludf.DUMMYFUNCTION("""COMPUTED_VALUE"""),"Gonzales")</f>
        <v>Gonzales</v>
      </c>
      <c r="BW309" s="46">
        <f t="shared" si="13"/>
        <v>900</v>
      </c>
      <c r="BX309" s="47">
        <f t="shared" ref="BX309:CA309" si="1038">AX309-$BU309</f>
        <v>-2000</v>
      </c>
      <c r="BY309" s="47">
        <f t="shared" si="1038"/>
        <v>-2000</v>
      </c>
      <c r="BZ309" s="47">
        <f t="shared" si="1038"/>
        <v>-2000</v>
      </c>
      <c r="CA309" s="47">
        <f t="shared" si="1038"/>
        <v>-2000</v>
      </c>
      <c r="CB309" s="47">
        <f t="shared" si="15"/>
        <v>-20000</v>
      </c>
      <c r="CC309" s="47">
        <f t="shared" ref="CC309:CQ309" si="1039">BC309-$BU309</f>
        <v>-2000</v>
      </c>
      <c r="CD309" s="47">
        <f t="shared" si="1039"/>
        <v>-2000</v>
      </c>
      <c r="CE309" s="47">
        <f t="shared" si="1039"/>
        <v>-2000</v>
      </c>
      <c r="CF309" s="47">
        <f t="shared" si="1039"/>
        <v>-2000</v>
      </c>
      <c r="CG309" s="47">
        <f t="shared" si="1039"/>
        <v>-1600</v>
      </c>
      <c r="CH309" s="47">
        <f t="shared" si="1039"/>
        <v>-2000</v>
      </c>
      <c r="CI309" s="47">
        <f t="shared" si="1039"/>
        <v>-2000</v>
      </c>
      <c r="CJ309" s="47">
        <f t="shared" si="1039"/>
        <v>-2000</v>
      </c>
      <c r="CK309" s="47">
        <f t="shared" si="1039"/>
        <v>-2000</v>
      </c>
      <c r="CL309" s="47">
        <f t="shared" si="1039"/>
        <v>-2000</v>
      </c>
      <c r="CM309" s="47">
        <f t="shared" si="1039"/>
        <v>-2000</v>
      </c>
      <c r="CN309" s="47">
        <f t="shared" si="1039"/>
        <v>-2000</v>
      </c>
      <c r="CO309" s="47">
        <f t="shared" si="1039"/>
        <v>-1500</v>
      </c>
      <c r="CP309" s="47">
        <f t="shared" si="1039"/>
        <v>-2000</v>
      </c>
      <c r="CQ309" s="47">
        <f t="shared" si="1039"/>
        <v>-2000</v>
      </c>
      <c r="CR309" s="47"/>
      <c r="CS309" s="47"/>
      <c r="CT309" s="47"/>
      <c r="CU309" s="50" t="str">
        <f>IFERROR(__xludf.DUMMYFUNCTION("""COMPUTED_VALUE"""),"7034 Alexander Dr
Dallas, TX 75214          ")</f>
        <v>7034 Alexander Dr
Dallas, TX 75214          </v>
      </c>
      <c r="CV309" s="51">
        <f>IFERROR(__xludf.DUMMYFUNCTION("IF(REGEXMATCH(UPPER(CU309), ""TX""),0,1)"),0.0)</f>
        <v>0</v>
      </c>
      <c r="CW309" s="51">
        <f>IFERROR(__xludf.DUMMYFUNCTION("IF(REGEXMATCH(UPPER(CU309), ""DALLAS""),0,1)"),0.0)</f>
        <v>0</v>
      </c>
      <c r="CX309" s="51">
        <f t="shared" si="17"/>
        <v>0</v>
      </c>
      <c r="CY309" s="51">
        <f t="shared" si="18"/>
        <v>0</v>
      </c>
      <c r="CZ309" s="52" t="str">
        <f t="shared" si="19"/>
        <v/>
      </c>
      <c r="DA309" s="58"/>
      <c r="DB309" s="52"/>
      <c r="DC309" s="52"/>
      <c r="DD309" s="52"/>
      <c r="DE309" s="52"/>
      <c r="DF309" s="52"/>
      <c r="DG309" s="52"/>
      <c r="DH309" s="52"/>
      <c r="DI309" s="52"/>
      <c r="DJ309" s="52"/>
      <c r="DK309" s="52"/>
      <c r="DL309" s="52"/>
      <c r="DM309" s="52"/>
      <c r="DN309" s="52"/>
      <c r="DO309" s="52"/>
      <c r="DP309" s="52"/>
      <c r="DQ309" s="52"/>
      <c r="DR309" s="52"/>
      <c r="DS309" s="52"/>
      <c r="DT309" s="52"/>
      <c r="DU309" s="52"/>
      <c r="DV309" s="52"/>
      <c r="DW309" s="52"/>
    </row>
    <row r="310">
      <c r="A310" s="22" t="s">
        <v>55</v>
      </c>
      <c r="B310" s="23" t="s">
        <v>56</v>
      </c>
      <c r="C310" s="31" t="s">
        <v>857</v>
      </c>
      <c r="D310" s="25" t="str">
        <f>IFERROR(__xludf.DUMMYFUNCTION("SPLIT(C310,"" "")"),"Olson,")</f>
        <v>Olson,</v>
      </c>
      <c r="E310" s="22" t="str">
        <f>IFERROR(__xludf.DUMMYFUNCTION("""COMPUTED_VALUE"""),"Lyndon
5400")</f>
        <v>Lyndon
5400</v>
      </c>
      <c r="F310" s="22" t="str">
        <f>IFERROR(__xludf.DUMMYFUNCTION("""COMPUTED_VALUE"""),"Bosque")</f>
        <v>Bosque</v>
      </c>
      <c r="G310" s="22" t="str">
        <f>IFERROR(__xludf.DUMMYFUNCTION("""COMPUTED_VALUE"""),"Blvd
Waco,")</f>
        <v>Blvd
Waco,</v>
      </c>
      <c r="H310" s="22" t="str">
        <f>IFERROR(__xludf.DUMMYFUNCTION("""COMPUTED_VALUE"""),"TX")</f>
        <v>TX</v>
      </c>
      <c r="I310" s="22">
        <f>IFERROR(__xludf.DUMMYFUNCTION("""COMPUTED_VALUE"""),76710.0)</f>
        <v>76710</v>
      </c>
      <c r="J310" s="22"/>
      <c r="K310" s="22"/>
      <c r="L310" s="22"/>
      <c r="M310" s="22"/>
      <c r="N310" s="22"/>
      <c r="O310" s="22"/>
      <c r="P310" s="22"/>
      <c r="Q310" s="22"/>
      <c r="R310" s="22"/>
      <c r="S310" s="22"/>
      <c r="T310" s="22"/>
      <c r="U310" s="24" t="str">
        <f>IFERROR(__xludf.DUMMYFUNCTION("SPLIT(E310,""01234567890"")"),"Lyndon
")</f>
        <v>Lyndon
</v>
      </c>
      <c r="V310" s="24" t="str">
        <f>IFERROR(__xludf.DUMMYFUNCTION("SPLIT(D310,"","")"),"Olson")</f>
        <v>Olson</v>
      </c>
      <c r="W310" s="25" t="str">
        <f t="shared" si="1"/>
        <v>LYNDON
 OLSON</v>
      </c>
      <c r="X310" s="25" t="s">
        <v>858</v>
      </c>
      <c r="Y310" s="25">
        <v>76710.0</v>
      </c>
      <c r="Z310" s="25" t="str">
        <f>IFERROR(__xludf.DUMMYFUNCTION("SPLIT(C310,""
"")"),"Olson, Lyndon")</f>
        <v>Olson, Lyndon</v>
      </c>
      <c r="AA310" s="25" t="str">
        <f>IFERROR(__xludf.DUMMYFUNCTION("""COMPUTED_VALUE"""),"5400 Bosque Blvd")</f>
        <v>5400 Bosque Blvd</v>
      </c>
      <c r="AB310" s="25" t="str">
        <f>IFERROR(__xludf.DUMMYFUNCTION("""COMPUTED_VALUE"""),"Waco, TX 76710")</f>
        <v>Waco, TX 76710</v>
      </c>
      <c r="AC310" s="24" t="s">
        <v>859</v>
      </c>
      <c r="AD310" s="25"/>
      <c r="AE310" s="25"/>
      <c r="AF310" s="25"/>
      <c r="AG310" s="22" t="s">
        <v>60</v>
      </c>
      <c r="AH310" s="54">
        <v>2437.0</v>
      </c>
      <c r="AI310" s="22" t="s">
        <v>61</v>
      </c>
      <c r="AJ310" s="27">
        <v>5000.0</v>
      </c>
      <c r="AK310" s="31" t="s">
        <v>25</v>
      </c>
      <c r="AL310" s="28">
        <v>44727.0</v>
      </c>
      <c r="AM310" s="29">
        <v>44754.83237268519</v>
      </c>
      <c r="AN310" s="30">
        <v>2.0</v>
      </c>
      <c r="AO310" s="22"/>
      <c r="AP310" s="22"/>
      <c r="AQ310" s="22"/>
      <c r="AR310" s="22"/>
      <c r="AS310" s="22"/>
      <c r="AT310" s="70"/>
      <c r="AU310" s="22"/>
      <c r="AV310" s="57" t="str">
        <f>IFERROR(__xludf.DUMMYFUNCTION("""COMPUTED_VALUE"""),"Perdue")</f>
        <v>Perdue</v>
      </c>
      <c r="AW310" s="46">
        <f t="shared" si="7"/>
        <v>2000</v>
      </c>
      <c r="AX310" s="47">
        <f t="shared" ref="AX310:BQ310" si="1040">SUMIFS($AJ:$AJ,$V:$V,$AV310,$AK:$AK,AX$2)</f>
        <v>0</v>
      </c>
      <c r="AY310" s="48">
        <f t="shared" si="1040"/>
        <v>0</v>
      </c>
      <c r="AZ310" s="48">
        <f t="shared" si="1040"/>
        <v>0</v>
      </c>
      <c r="BA310" s="48">
        <f t="shared" si="1040"/>
        <v>1000</v>
      </c>
      <c r="BB310" s="48">
        <f t="shared" si="1040"/>
        <v>0</v>
      </c>
      <c r="BC310" s="48">
        <f t="shared" si="1040"/>
        <v>0</v>
      </c>
      <c r="BD310" s="48">
        <f t="shared" si="1040"/>
        <v>0</v>
      </c>
      <c r="BE310" s="48">
        <f t="shared" si="1040"/>
        <v>0</v>
      </c>
      <c r="BF310" s="48">
        <f t="shared" si="1040"/>
        <v>0</v>
      </c>
      <c r="BG310" s="48">
        <f t="shared" si="1040"/>
        <v>1000</v>
      </c>
      <c r="BH310" s="48">
        <f t="shared" si="1040"/>
        <v>0</v>
      </c>
      <c r="BI310" s="48">
        <f t="shared" si="1040"/>
        <v>0</v>
      </c>
      <c r="BJ310" s="48">
        <f t="shared" si="1040"/>
        <v>0</v>
      </c>
      <c r="BK310" s="48">
        <f t="shared" si="1040"/>
        <v>0</v>
      </c>
      <c r="BL310" s="48">
        <f t="shared" si="1040"/>
        <v>0</v>
      </c>
      <c r="BM310" s="48">
        <f t="shared" si="1040"/>
        <v>0</v>
      </c>
      <c r="BN310" s="48">
        <f t="shared" si="1040"/>
        <v>0</v>
      </c>
      <c r="BO310" s="48">
        <f t="shared" si="1040"/>
        <v>0</v>
      </c>
      <c r="BP310" s="48">
        <f t="shared" si="1040"/>
        <v>0</v>
      </c>
      <c r="BQ310" s="48">
        <f t="shared" si="1040"/>
        <v>0</v>
      </c>
      <c r="BR310" s="36">
        <f t="shared" si="9"/>
        <v>0</v>
      </c>
      <c r="BS310" s="38">
        <f t="shared" si="10"/>
        <v>1</v>
      </c>
      <c r="BT310" s="49">
        <f t="shared" si="11"/>
        <v>0</v>
      </c>
      <c r="BU310" s="38">
        <f t="shared" si="12"/>
        <v>1000</v>
      </c>
      <c r="BV310" s="57" t="str">
        <f>IFERROR(__xludf.DUMMYFUNCTION("""COMPUTED_VALUE"""),"Perdue")</f>
        <v>Perdue</v>
      </c>
      <c r="BW310" s="46">
        <f t="shared" si="13"/>
        <v>2000</v>
      </c>
      <c r="BX310" s="47">
        <f t="shared" ref="BX310:CA310" si="1041">AX310-$BU310</f>
        <v>-1000</v>
      </c>
      <c r="BY310" s="47">
        <f t="shared" si="1041"/>
        <v>-1000</v>
      </c>
      <c r="BZ310" s="47">
        <f t="shared" si="1041"/>
        <v>-1000</v>
      </c>
      <c r="CA310" s="47">
        <f t="shared" si="1041"/>
        <v>0</v>
      </c>
      <c r="CB310" s="47">
        <f t="shared" si="15"/>
        <v>-10000</v>
      </c>
      <c r="CC310" s="47">
        <f t="shared" ref="CC310:CQ310" si="1042">BC310-$BU310</f>
        <v>-1000</v>
      </c>
      <c r="CD310" s="47">
        <f t="shared" si="1042"/>
        <v>-1000</v>
      </c>
      <c r="CE310" s="47">
        <f t="shared" si="1042"/>
        <v>-1000</v>
      </c>
      <c r="CF310" s="47">
        <f t="shared" si="1042"/>
        <v>-1000</v>
      </c>
      <c r="CG310" s="47">
        <f t="shared" si="1042"/>
        <v>0</v>
      </c>
      <c r="CH310" s="47">
        <f t="shared" si="1042"/>
        <v>-1000</v>
      </c>
      <c r="CI310" s="47">
        <f t="shared" si="1042"/>
        <v>-1000</v>
      </c>
      <c r="CJ310" s="47">
        <f t="shared" si="1042"/>
        <v>-1000</v>
      </c>
      <c r="CK310" s="47">
        <f t="shared" si="1042"/>
        <v>-1000</v>
      </c>
      <c r="CL310" s="47">
        <f t="shared" si="1042"/>
        <v>-1000</v>
      </c>
      <c r="CM310" s="47">
        <f t="shared" si="1042"/>
        <v>-1000</v>
      </c>
      <c r="CN310" s="47">
        <f t="shared" si="1042"/>
        <v>-1000</v>
      </c>
      <c r="CO310" s="47">
        <f t="shared" si="1042"/>
        <v>-1000</v>
      </c>
      <c r="CP310" s="47">
        <f t="shared" si="1042"/>
        <v>-1000</v>
      </c>
      <c r="CQ310" s="47">
        <f t="shared" si="1042"/>
        <v>-1000</v>
      </c>
      <c r="CR310" s="47"/>
      <c r="CS310" s="47"/>
      <c r="CT310" s="47"/>
      <c r="CU310" s="50" t="str">
        <f>IFERROR(__xludf.DUMMYFUNCTION("""COMPUTED_VALUE"""),"12601 Natalie Dr
Balch Springs, TX 75180         ")</f>
        <v>12601 Natalie Dr
Balch Springs, TX 75180         </v>
      </c>
      <c r="CV310" s="51">
        <f>IFERROR(__xludf.DUMMYFUNCTION("IF(REGEXMATCH(UPPER(CU310), ""TX""),0,1)"),0.0)</f>
        <v>0</v>
      </c>
      <c r="CW310" s="51">
        <f>IFERROR(__xludf.DUMMYFUNCTION("IF(REGEXMATCH(UPPER(CU310), ""DALLAS""),0,1)"),1.0)</f>
        <v>1</v>
      </c>
      <c r="CX310" s="51">
        <f t="shared" si="17"/>
        <v>0</v>
      </c>
      <c r="CY310" s="51">
        <f t="shared" si="18"/>
        <v>50</v>
      </c>
      <c r="CZ310" s="52" t="str">
        <f t="shared" si="19"/>
        <v>12601 Natalie Dr
Balch Springs, TX 75180         </v>
      </c>
      <c r="DA310" s="58"/>
      <c r="DB310" s="52"/>
      <c r="DC310" s="52"/>
      <c r="DD310" s="52"/>
      <c r="DE310" s="52"/>
      <c r="DF310" s="52"/>
      <c r="DG310" s="52"/>
      <c r="DH310" s="52"/>
      <c r="DI310" s="52"/>
      <c r="DJ310" s="52"/>
      <c r="DK310" s="52"/>
      <c r="DL310" s="52"/>
      <c r="DM310" s="52"/>
      <c r="DN310" s="52"/>
      <c r="DO310" s="52"/>
      <c r="DP310" s="52"/>
      <c r="DQ310" s="52"/>
      <c r="DR310" s="52"/>
      <c r="DS310" s="52"/>
      <c r="DT310" s="52"/>
      <c r="DU310" s="52"/>
      <c r="DV310" s="52"/>
      <c r="DW310" s="52"/>
    </row>
    <row r="311">
      <c r="A311" s="41" t="s">
        <v>64</v>
      </c>
      <c r="B311" s="41" t="s">
        <v>56</v>
      </c>
      <c r="C311" s="31" t="s">
        <v>860</v>
      </c>
      <c r="D311" s="25" t="str">
        <f>IFERROR(__xludf.DUMMYFUNCTION("SPLIT(C311,"" "")"),"Moore,")</f>
        <v>Moore,</v>
      </c>
      <c r="E311" s="40" t="str">
        <f>IFERROR(__xludf.DUMMYFUNCTION("""COMPUTED_VALUE"""),"Tony
6823")</f>
        <v>Tony
6823</v>
      </c>
      <c r="F311" s="40" t="str">
        <f>IFERROR(__xludf.DUMMYFUNCTION("""COMPUTED_VALUE"""),"S")</f>
        <v>S</v>
      </c>
      <c r="G311" s="40" t="str">
        <f>IFERROR(__xludf.DUMMYFUNCTION("""COMPUTED_VALUE"""),"Florence")</f>
        <v>Florence</v>
      </c>
      <c r="H311" s="40" t="str">
        <f>IFERROR(__xludf.DUMMYFUNCTION("""COMPUTED_VALUE"""),"Ave
Tulsa,")</f>
        <v>Ave
Tulsa,</v>
      </c>
      <c r="I311" s="40" t="str">
        <f>IFERROR(__xludf.DUMMYFUNCTION("""COMPUTED_VALUE"""),"OK")</f>
        <v>OK</v>
      </c>
      <c r="J311" s="40">
        <f>IFERROR(__xludf.DUMMYFUNCTION("""COMPUTED_VALUE"""),74136.0)</f>
        <v>74136</v>
      </c>
      <c r="K311" s="40"/>
      <c r="L311" s="40"/>
      <c r="M311" s="40"/>
      <c r="N311" s="40"/>
      <c r="O311" s="40"/>
      <c r="P311" s="40"/>
      <c r="Q311" s="40"/>
      <c r="R311" s="40"/>
      <c r="S311" s="40"/>
      <c r="T311" s="40"/>
      <c r="U311" s="24" t="str">
        <f>IFERROR(__xludf.DUMMYFUNCTION("SPLIT(E311,""01234567890"")"),"Tony
")</f>
        <v>Tony
</v>
      </c>
      <c r="V311" s="24" t="str">
        <f>IFERROR(__xludf.DUMMYFUNCTION("SPLIT(D311,"","")"),"Moore")</f>
        <v>Moore</v>
      </c>
      <c r="W311" s="25" t="str">
        <f t="shared" si="1"/>
        <v>TONY
 MOORE</v>
      </c>
      <c r="X311" s="25" t="s">
        <v>861</v>
      </c>
      <c r="Y311" s="25">
        <v>74136.0</v>
      </c>
      <c r="Z311" s="25" t="str">
        <f>IFERROR(__xludf.DUMMYFUNCTION("SPLIT(C311,""
"")"),"Moore, Tony")</f>
        <v>Moore, Tony</v>
      </c>
      <c r="AA311" s="25" t="str">
        <f>IFERROR(__xludf.DUMMYFUNCTION("""COMPUTED_VALUE"""),"6823 S Florence Ave")</f>
        <v>6823 S Florence Ave</v>
      </c>
      <c r="AB311" s="25" t="str">
        <f>IFERROR(__xludf.DUMMYFUNCTION("""COMPUTED_VALUE"""),"Tulsa, OK 74136")</f>
        <v>Tulsa, OK 74136</v>
      </c>
      <c r="AC311" s="24" t="s">
        <v>862</v>
      </c>
      <c r="AD311" s="25"/>
      <c r="AE311" s="25"/>
      <c r="AF311" s="25"/>
      <c r="AG311" s="40" t="s">
        <v>60</v>
      </c>
      <c r="AH311" s="42">
        <v>2437.0</v>
      </c>
      <c r="AI311" s="40" t="s">
        <v>61</v>
      </c>
      <c r="AJ311" s="27">
        <v>250.0</v>
      </c>
      <c r="AK311" s="31" t="s">
        <v>25</v>
      </c>
      <c r="AL311" s="43">
        <v>44727.0</v>
      </c>
      <c r="AM311" s="44">
        <v>44754.83237268519</v>
      </c>
      <c r="AN311" s="30">
        <v>2.0</v>
      </c>
      <c r="AO311" s="40"/>
      <c r="AP311" s="40"/>
      <c r="AQ311" s="40"/>
      <c r="AR311" s="40"/>
      <c r="AS311" s="40"/>
      <c r="AT311" s="47"/>
      <c r="AU311" s="40"/>
      <c r="AV311" s="46" t="str">
        <f>IFERROR(__xludf.DUMMYFUNCTION("""COMPUTED_VALUE"""),"Reisenbichler")</f>
        <v>Reisenbichler</v>
      </c>
      <c r="AW311" s="46">
        <f t="shared" si="7"/>
        <v>500</v>
      </c>
      <c r="AX311" s="47">
        <f t="shared" ref="AX311:BQ311" si="1043">SUMIFS($AJ:$AJ,$V:$V,$AV311,$AK:$AK,AX$2)</f>
        <v>0</v>
      </c>
      <c r="AY311" s="48">
        <f t="shared" si="1043"/>
        <v>0</v>
      </c>
      <c r="AZ311" s="48">
        <f t="shared" si="1043"/>
        <v>0</v>
      </c>
      <c r="BA311" s="48">
        <f t="shared" si="1043"/>
        <v>0</v>
      </c>
      <c r="BB311" s="48">
        <f t="shared" si="1043"/>
        <v>0</v>
      </c>
      <c r="BC311" s="48">
        <f t="shared" si="1043"/>
        <v>0</v>
      </c>
      <c r="BD311" s="48">
        <f t="shared" si="1043"/>
        <v>0</v>
      </c>
      <c r="BE311" s="48">
        <f t="shared" si="1043"/>
        <v>0</v>
      </c>
      <c r="BF311" s="48">
        <f t="shared" si="1043"/>
        <v>0</v>
      </c>
      <c r="BG311" s="48">
        <f t="shared" si="1043"/>
        <v>500</v>
      </c>
      <c r="BH311" s="48">
        <f t="shared" si="1043"/>
        <v>0</v>
      </c>
      <c r="BI311" s="48">
        <f t="shared" si="1043"/>
        <v>0</v>
      </c>
      <c r="BJ311" s="48">
        <f t="shared" si="1043"/>
        <v>0</v>
      </c>
      <c r="BK311" s="48">
        <f t="shared" si="1043"/>
        <v>0</v>
      </c>
      <c r="BL311" s="48">
        <f t="shared" si="1043"/>
        <v>0</v>
      </c>
      <c r="BM311" s="48">
        <f t="shared" si="1043"/>
        <v>0</v>
      </c>
      <c r="BN311" s="48">
        <f t="shared" si="1043"/>
        <v>0</v>
      </c>
      <c r="BO311" s="48">
        <f t="shared" si="1043"/>
        <v>0</v>
      </c>
      <c r="BP311" s="48">
        <f t="shared" si="1043"/>
        <v>0</v>
      </c>
      <c r="BQ311" s="48">
        <f t="shared" si="1043"/>
        <v>0</v>
      </c>
      <c r="BR311" s="36">
        <f t="shared" si="9"/>
        <v>0</v>
      </c>
      <c r="BS311" s="38">
        <f t="shared" si="10"/>
        <v>1</v>
      </c>
      <c r="BT311" s="49">
        <f t="shared" si="11"/>
        <v>0</v>
      </c>
      <c r="BU311" s="38">
        <f t="shared" si="12"/>
        <v>1000</v>
      </c>
      <c r="BV311" s="46" t="str">
        <f>IFERROR(__xludf.DUMMYFUNCTION("""COMPUTED_VALUE"""),"Reisenbichler")</f>
        <v>Reisenbichler</v>
      </c>
      <c r="BW311" s="46">
        <f t="shared" si="13"/>
        <v>500</v>
      </c>
      <c r="BX311" s="47">
        <f t="shared" ref="BX311:CA311" si="1044">AX311-$BU311</f>
        <v>-1000</v>
      </c>
      <c r="BY311" s="47">
        <f t="shared" si="1044"/>
        <v>-1000</v>
      </c>
      <c r="BZ311" s="47">
        <f t="shared" si="1044"/>
        <v>-1000</v>
      </c>
      <c r="CA311" s="47">
        <f t="shared" si="1044"/>
        <v>-1000</v>
      </c>
      <c r="CB311" s="47">
        <f t="shared" si="15"/>
        <v>-10000</v>
      </c>
      <c r="CC311" s="47">
        <f t="shared" ref="CC311:CQ311" si="1045">BC311-$BU311</f>
        <v>-1000</v>
      </c>
      <c r="CD311" s="47">
        <f t="shared" si="1045"/>
        <v>-1000</v>
      </c>
      <c r="CE311" s="47">
        <f t="shared" si="1045"/>
        <v>-1000</v>
      </c>
      <c r="CF311" s="47">
        <f t="shared" si="1045"/>
        <v>-1000</v>
      </c>
      <c r="CG311" s="47">
        <f t="shared" si="1045"/>
        <v>-500</v>
      </c>
      <c r="CH311" s="47">
        <f t="shared" si="1045"/>
        <v>-1000</v>
      </c>
      <c r="CI311" s="47">
        <f t="shared" si="1045"/>
        <v>-1000</v>
      </c>
      <c r="CJ311" s="47">
        <f t="shared" si="1045"/>
        <v>-1000</v>
      </c>
      <c r="CK311" s="47">
        <f t="shared" si="1045"/>
        <v>-1000</v>
      </c>
      <c r="CL311" s="47">
        <f t="shared" si="1045"/>
        <v>-1000</v>
      </c>
      <c r="CM311" s="47">
        <f t="shared" si="1045"/>
        <v>-1000</v>
      </c>
      <c r="CN311" s="47">
        <f t="shared" si="1045"/>
        <v>-1000</v>
      </c>
      <c r="CO311" s="47">
        <f t="shared" si="1045"/>
        <v>-1000</v>
      </c>
      <c r="CP311" s="47">
        <f t="shared" si="1045"/>
        <v>-1000</v>
      </c>
      <c r="CQ311" s="47">
        <f t="shared" si="1045"/>
        <v>-1000</v>
      </c>
      <c r="CR311" s="47"/>
      <c r="CS311" s="47"/>
      <c r="CT311" s="47"/>
      <c r="CU311" s="50" t="str">
        <f>IFERROR(__xludf.DUMMYFUNCTION("""COMPUTED_VALUE"""),"2739 Vela
Grand Prairie, TX 75054          ")</f>
        <v>2739 Vela
Grand Prairie, TX 75054          </v>
      </c>
      <c r="CV311" s="51">
        <f>IFERROR(__xludf.DUMMYFUNCTION("IF(REGEXMATCH(UPPER(CU311), ""TX""),0,1)"),0.0)</f>
        <v>0</v>
      </c>
      <c r="CW311" s="51">
        <f>IFERROR(__xludf.DUMMYFUNCTION("IF(REGEXMATCH(UPPER(CU311), ""DALLAS""),0,1)"),1.0)</f>
        <v>1</v>
      </c>
      <c r="CX311" s="51">
        <f t="shared" si="17"/>
        <v>0</v>
      </c>
      <c r="CY311" s="51">
        <f t="shared" si="18"/>
        <v>250</v>
      </c>
      <c r="CZ311" s="52" t="str">
        <f t="shared" si="19"/>
        <v>2739 Vela
Grand Prairie, TX 75054          </v>
      </c>
      <c r="DA311" s="58"/>
      <c r="DB311" s="52"/>
      <c r="DC311" s="52"/>
      <c r="DD311" s="52"/>
      <c r="DE311" s="52"/>
      <c r="DF311" s="52"/>
      <c r="DG311" s="52"/>
      <c r="DH311" s="52"/>
      <c r="DI311" s="52"/>
      <c r="DJ311" s="52"/>
      <c r="DK311" s="52"/>
      <c r="DL311" s="52"/>
      <c r="DM311" s="52"/>
      <c r="DN311" s="52"/>
      <c r="DO311" s="52"/>
      <c r="DP311" s="52"/>
      <c r="DQ311" s="52"/>
      <c r="DR311" s="52"/>
      <c r="DS311" s="52"/>
      <c r="DT311" s="52"/>
      <c r="DU311" s="52"/>
      <c r="DV311" s="52"/>
      <c r="DW311" s="52"/>
    </row>
    <row r="312">
      <c r="A312" s="22" t="s">
        <v>55</v>
      </c>
      <c r="B312" s="23" t="s">
        <v>56</v>
      </c>
      <c r="C312" s="31" t="s">
        <v>863</v>
      </c>
      <c r="D312" s="25" t="str">
        <f>IFERROR(__xludf.DUMMYFUNCTION("SPLIT(C312,"" "")"),"Desai,")</f>
        <v>Desai,</v>
      </c>
      <c r="E312" s="22" t="str">
        <f>IFERROR(__xludf.DUMMYFUNCTION("""COMPUTED_VALUE"""),"Seemal
4047")</f>
        <v>Seemal
4047</v>
      </c>
      <c r="F312" s="22" t="str">
        <f>IFERROR(__xludf.DUMMYFUNCTION("""COMPUTED_VALUE"""),"Glenhurst")</f>
        <v>Glenhurst</v>
      </c>
      <c r="G312" s="22" t="str">
        <f>IFERROR(__xludf.DUMMYFUNCTION("""COMPUTED_VALUE"""),"Ln
Frisco,")</f>
        <v>Ln
Frisco,</v>
      </c>
      <c r="H312" s="22" t="str">
        <f>IFERROR(__xludf.DUMMYFUNCTION("""COMPUTED_VALUE"""),"TX")</f>
        <v>TX</v>
      </c>
      <c r="I312" s="22">
        <f>IFERROR(__xludf.DUMMYFUNCTION("""COMPUTED_VALUE"""),75033.0)</f>
        <v>75033</v>
      </c>
      <c r="J312" s="22"/>
      <c r="K312" s="22"/>
      <c r="L312" s="22"/>
      <c r="M312" s="22"/>
      <c r="N312" s="22"/>
      <c r="O312" s="22"/>
      <c r="P312" s="22"/>
      <c r="Q312" s="22"/>
      <c r="R312" s="22"/>
      <c r="S312" s="22"/>
      <c r="T312" s="22"/>
      <c r="U312" s="24" t="str">
        <f>IFERROR(__xludf.DUMMYFUNCTION("SPLIT(E312,""01234567890"")"),"Seemal
")</f>
        <v>Seemal
</v>
      </c>
      <c r="V312" s="24" t="str">
        <f>IFERROR(__xludf.DUMMYFUNCTION("SPLIT(D312,"","")"),"Desai")</f>
        <v>Desai</v>
      </c>
      <c r="W312" s="25" t="str">
        <f t="shared" si="1"/>
        <v>SEEMAL
 DESAI</v>
      </c>
      <c r="X312" s="25" t="s">
        <v>864</v>
      </c>
      <c r="Y312" s="25">
        <v>75033.0</v>
      </c>
      <c r="Z312" s="25" t="str">
        <f>IFERROR(__xludf.DUMMYFUNCTION("SPLIT(C312,""
"")"),"Desai, Seemal")</f>
        <v>Desai, Seemal</v>
      </c>
      <c r="AA312" s="25" t="str">
        <f>IFERROR(__xludf.DUMMYFUNCTION("""COMPUTED_VALUE"""),"4047 Glenhurst Ln")</f>
        <v>4047 Glenhurst Ln</v>
      </c>
      <c r="AB312" s="25" t="str">
        <f>IFERROR(__xludf.DUMMYFUNCTION("""COMPUTED_VALUE"""),"Frisco, TX 75033")</f>
        <v>Frisco, TX 75033</v>
      </c>
      <c r="AC312" s="24" t="s">
        <v>865</v>
      </c>
      <c r="AD312" s="25"/>
      <c r="AE312" s="25"/>
      <c r="AF312" s="25"/>
      <c r="AG312" s="22" t="s">
        <v>60</v>
      </c>
      <c r="AH312" s="54">
        <v>2437.0</v>
      </c>
      <c r="AI312" s="22" t="s">
        <v>61</v>
      </c>
      <c r="AJ312" s="27">
        <v>250.0</v>
      </c>
      <c r="AK312" s="31" t="s">
        <v>25</v>
      </c>
      <c r="AL312" s="28">
        <v>44727.0</v>
      </c>
      <c r="AM312" s="29">
        <v>44754.83237268519</v>
      </c>
      <c r="AN312" s="30">
        <v>2.0</v>
      </c>
      <c r="AO312" s="22"/>
      <c r="AP312" s="22"/>
      <c r="AQ312" s="22"/>
      <c r="AR312" s="22"/>
      <c r="AS312" s="22"/>
      <c r="AT312" s="70"/>
      <c r="AU312" s="22"/>
      <c r="AV312" s="57" t="str">
        <f>IFERROR(__xludf.DUMMYFUNCTION("""COMPUTED_VALUE"""),"Corman")</f>
        <v>Corman</v>
      </c>
      <c r="AW312" s="46">
        <f t="shared" si="7"/>
        <v>200</v>
      </c>
      <c r="AX312" s="47">
        <f t="shared" ref="AX312:BQ312" si="1046">SUMIFS($AJ:$AJ,$V:$V,$AV312,$AK:$AK,AX$2)</f>
        <v>0</v>
      </c>
      <c r="AY312" s="48">
        <f t="shared" si="1046"/>
        <v>0</v>
      </c>
      <c r="AZ312" s="48">
        <f t="shared" si="1046"/>
        <v>0</v>
      </c>
      <c r="BA312" s="48">
        <f t="shared" si="1046"/>
        <v>0</v>
      </c>
      <c r="BB312" s="48">
        <f t="shared" si="1046"/>
        <v>0</v>
      </c>
      <c r="BC312" s="48">
        <f t="shared" si="1046"/>
        <v>0</v>
      </c>
      <c r="BD312" s="48">
        <f t="shared" si="1046"/>
        <v>0</v>
      </c>
      <c r="BE312" s="48">
        <f t="shared" si="1046"/>
        <v>0</v>
      </c>
      <c r="BF312" s="48">
        <f t="shared" si="1046"/>
        <v>0</v>
      </c>
      <c r="BG312" s="48">
        <f t="shared" si="1046"/>
        <v>200</v>
      </c>
      <c r="BH312" s="48">
        <f t="shared" si="1046"/>
        <v>0</v>
      </c>
      <c r="BI312" s="48">
        <f t="shared" si="1046"/>
        <v>0</v>
      </c>
      <c r="BJ312" s="48">
        <f t="shared" si="1046"/>
        <v>0</v>
      </c>
      <c r="BK312" s="48">
        <f t="shared" si="1046"/>
        <v>0</v>
      </c>
      <c r="BL312" s="48">
        <f t="shared" si="1046"/>
        <v>0</v>
      </c>
      <c r="BM312" s="48">
        <f t="shared" si="1046"/>
        <v>0</v>
      </c>
      <c r="BN312" s="48">
        <f t="shared" si="1046"/>
        <v>0</v>
      </c>
      <c r="BO312" s="48">
        <f t="shared" si="1046"/>
        <v>0</v>
      </c>
      <c r="BP312" s="48">
        <f t="shared" si="1046"/>
        <v>0</v>
      </c>
      <c r="BQ312" s="48">
        <f t="shared" si="1046"/>
        <v>0</v>
      </c>
      <c r="BR312" s="36">
        <f t="shared" si="9"/>
        <v>0</v>
      </c>
      <c r="BS312" s="38">
        <f t="shared" si="10"/>
        <v>1</v>
      </c>
      <c r="BT312" s="49">
        <f t="shared" si="11"/>
        <v>0</v>
      </c>
      <c r="BU312" s="38">
        <f t="shared" si="12"/>
        <v>1000</v>
      </c>
      <c r="BV312" s="57" t="str">
        <f>IFERROR(__xludf.DUMMYFUNCTION("""COMPUTED_VALUE"""),"Corman")</f>
        <v>Corman</v>
      </c>
      <c r="BW312" s="46">
        <f t="shared" si="13"/>
        <v>200</v>
      </c>
      <c r="BX312" s="47">
        <f t="shared" ref="BX312:CA312" si="1047">AX312-$BU312</f>
        <v>-1000</v>
      </c>
      <c r="BY312" s="47">
        <f t="shared" si="1047"/>
        <v>-1000</v>
      </c>
      <c r="BZ312" s="47">
        <f t="shared" si="1047"/>
        <v>-1000</v>
      </c>
      <c r="CA312" s="47">
        <f t="shared" si="1047"/>
        <v>-1000</v>
      </c>
      <c r="CB312" s="47">
        <f t="shared" si="15"/>
        <v>-10000</v>
      </c>
      <c r="CC312" s="47">
        <f t="shared" ref="CC312:CQ312" si="1048">BC312-$BU312</f>
        <v>-1000</v>
      </c>
      <c r="CD312" s="47">
        <f t="shared" si="1048"/>
        <v>-1000</v>
      </c>
      <c r="CE312" s="47">
        <f t="shared" si="1048"/>
        <v>-1000</v>
      </c>
      <c r="CF312" s="47">
        <f t="shared" si="1048"/>
        <v>-1000</v>
      </c>
      <c r="CG312" s="47">
        <f t="shared" si="1048"/>
        <v>-800</v>
      </c>
      <c r="CH312" s="47">
        <f t="shared" si="1048"/>
        <v>-1000</v>
      </c>
      <c r="CI312" s="47">
        <f t="shared" si="1048"/>
        <v>-1000</v>
      </c>
      <c r="CJ312" s="47">
        <f t="shared" si="1048"/>
        <v>-1000</v>
      </c>
      <c r="CK312" s="47">
        <f t="shared" si="1048"/>
        <v>-1000</v>
      </c>
      <c r="CL312" s="47">
        <f t="shared" si="1048"/>
        <v>-1000</v>
      </c>
      <c r="CM312" s="47">
        <f t="shared" si="1048"/>
        <v>-1000</v>
      </c>
      <c r="CN312" s="47">
        <f t="shared" si="1048"/>
        <v>-1000</v>
      </c>
      <c r="CO312" s="47">
        <f t="shared" si="1048"/>
        <v>-1000</v>
      </c>
      <c r="CP312" s="47">
        <f t="shared" si="1048"/>
        <v>-1000</v>
      </c>
      <c r="CQ312" s="47">
        <f t="shared" si="1048"/>
        <v>-1000</v>
      </c>
      <c r="CR312" s="47"/>
      <c r="CS312" s="47"/>
      <c r="CT312" s="47"/>
      <c r="CU312" s="50" t="str">
        <f>IFERROR(__xludf.DUMMYFUNCTION("""COMPUTED_VALUE"""),"6502 Deloache Ave
Dallas, TX 75225          ")</f>
        <v>6502 Deloache Ave
Dallas, TX 75225          </v>
      </c>
      <c r="CV312" s="51">
        <f>IFERROR(__xludf.DUMMYFUNCTION("IF(REGEXMATCH(UPPER(CU312), ""TX""),0,1)"),0.0)</f>
        <v>0</v>
      </c>
      <c r="CW312" s="51">
        <f>IFERROR(__xludf.DUMMYFUNCTION("IF(REGEXMATCH(UPPER(CU312), ""DALLAS""),0,1)"),0.0)</f>
        <v>0</v>
      </c>
      <c r="CX312" s="51">
        <f t="shared" si="17"/>
        <v>0</v>
      </c>
      <c r="CY312" s="51">
        <f t="shared" si="18"/>
        <v>0</v>
      </c>
      <c r="CZ312" s="52" t="str">
        <f t="shared" si="19"/>
        <v/>
      </c>
      <c r="DA312" s="58"/>
      <c r="DB312" s="52"/>
      <c r="DC312" s="52"/>
      <c r="DD312" s="52"/>
      <c r="DE312" s="52"/>
      <c r="DF312" s="52"/>
      <c r="DG312" s="52"/>
      <c r="DH312" s="52"/>
      <c r="DI312" s="52"/>
      <c r="DJ312" s="52"/>
      <c r="DK312" s="52"/>
      <c r="DL312" s="52"/>
      <c r="DM312" s="52"/>
      <c r="DN312" s="52"/>
      <c r="DO312" s="52"/>
      <c r="DP312" s="52"/>
      <c r="DQ312" s="52"/>
      <c r="DR312" s="52"/>
      <c r="DS312" s="52"/>
      <c r="DT312" s="52"/>
      <c r="DU312" s="52"/>
      <c r="DV312" s="52"/>
      <c r="DW312" s="52"/>
    </row>
    <row r="313">
      <c r="A313" s="41" t="s">
        <v>64</v>
      </c>
      <c r="B313" s="41" t="s">
        <v>56</v>
      </c>
      <c r="C313" s="31" t="s">
        <v>866</v>
      </c>
      <c r="D313" s="25" t="str">
        <f>IFERROR(__xludf.DUMMYFUNCTION("SPLIT(C313,"" "")"),"Oliver,")</f>
        <v>Oliver,</v>
      </c>
      <c r="E313" s="40" t="str">
        <f>IFERROR(__xludf.DUMMYFUNCTION("""COMPUTED_VALUE"""),"Jesse
3812")</f>
        <v>Jesse
3812</v>
      </c>
      <c r="F313" s="40" t="str">
        <f>IFERROR(__xludf.DUMMYFUNCTION("""COMPUTED_VALUE"""),"Holliday")</f>
        <v>Holliday</v>
      </c>
      <c r="G313" s="40" t="str">
        <f>IFERROR(__xludf.DUMMYFUNCTION("""COMPUTED_VALUE"""),"Road
Dallas,")</f>
        <v>Road
Dallas,</v>
      </c>
      <c r="H313" s="40" t="str">
        <f>IFERROR(__xludf.DUMMYFUNCTION("""COMPUTED_VALUE"""),"TX")</f>
        <v>TX</v>
      </c>
      <c r="I313" s="40">
        <f>IFERROR(__xludf.DUMMYFUNCTION("""COMPUTED_VALUE"""),75224.0)</f>
        <v>75224</v>
      </c>
      <c r="J313" s="40"/>
      <c r="K313" s="40"/>
      <c r="L313" s="40"/>
      <c r="M313" s="40"/>
      <c r="N313" s="40"/>
      <c r="O313" s="40"/>
      <c r="P313" s="40"/>
      <c r="Q313" s="40"/>
      <c r="R313" s="40"/>
      <c r="S313" s="40"/>
      <c r="T313" s="40"/>
      <c r="U313" s="24" t="str">
        <f>IFERROR(__xludf.DUMMYFUNCTION("SPLIT(E313,""01234567890"")"),"Jesse
")</f>
        <v>Jesse
</v>
      </c>
      <c r="V313" s="24" t="str">
        <f>IFERROR(__xludf.DUMMYFUNCTION("SPLIT(D313,"","")"),"Oliver")</f>
        <v>Oliver</v>
      </c>
      <c r="W313" s="25" t="str">
        <f t="shared" si="1"/>
        <v>JESSE
 OLIVER</v>
      </c>
      <c r="X313" s="25" t="s">
        <v>867</v>
      </c>
      <c r="Y313" s="25">
        <v>75224.0</v>
      </c>
      <c r="Z313" s="25" t="str">
        <f>IFERROR(__xludf.DUMMYFUNCTION("SPLIT(C313,""
"")"),"Oliver, Jesse")</f>
        <v>Oliver, Jesse</v>
      </c>
      <c r="AA313" s="25" t="str">
        <f>IFERROR(__xludf.DUMMYFUNCTION("""COMPUTED_VALUE"""),"3812 Holliday Road")</f>
        <v>3812 Holliday Road</v>
      </c>
      <c r="AB313" s="25" t="str">
        <f>IFERROR(__xludf.DUMMYFUNCTION("""COMPUTED_VALUE"""),"Dallas, TX 75224")</f>
        <v>Dallas, TX 75224</v>
      </c>
      <c r="AC313" s="24" t="s">
        <v>868</v>
      </c>
      <c r="AD313" s="25"/>
      <c r="AE313" s="25"/>
      <c r="AF313" s="25"/>
      <c r="AG313" s="40" t="s">
        <v>60</v>
      </c>
      <c r="AH313" s="42">
        <v>2437.0</v>
      </c>
      <c r="AI313" s="40" t="s">
        <v>61</v>
      </c>
      <c r="AJ313" s="27">
        <v>250.0</v>
      </c>
      <c r="AK313" s="31" t="s">
        <v>25</v>
      </c>
      <c r="AL313" s="43">
        <v>44727.0</v>
      </c>
      <c r="AM313" s="44">
        <v>44754.83237268519</v>
      </c>
      <c r="AN313" s="30">
        <v>2.0</v>
      </c>
      <c r="AO313" s="40"/>
      <c r="AP313" s="40"/>
      <c r="AQ313" s="40"/>
      <c r="AR313" s="40"/>
      <c r="AS313" s="40"/>
      <c r="AT313" s="47"/>
      <c r="AU313" s="40"/>
      <c r="AV313" s="46" t="str">
        <f>IFERROR(__xludf.DUMMYFUNCTION("""COMPUTED_VALUE"""),"Name")</f>
        <v>Name</v>
      </c>
      <c r="AW313" s="46">
        <f t="shared" si="7"/>
        <v>50</v>
      </c>
      <c r="AX313" s="47">
        <f t="shared" ref="AX313:BQ313" si="1049">SUMIFS($AJ:$AJ,$V:$V,$AV313,$AK:$AK,AX$2)</f>
        <v>0</v>
      </c>
      <c r="AY313" s="48">
        <f t="shared" si="1049"/>
        <v>0</v>
      </c>
      <c r="AZ313" s="48">
        <f t="shared" si="1049"/>
        <v>0</v>
      </c>
      <c r="BA313" s="48">
        <f t="shared" si="1049"/>
        <v>0</v>
      </c>
      <c r="BB313" s="48">
        <f t="shared" si="1049"/>
        <v>0</v>
      </c>
      <c r="BC313" s="48">
        <f t="shared" si="1049"/>
        <v>0</v>
      </c>
      <c r="BD313" s="48">
        <f t="shared" si="1049"/>
        <v>0</v>
      </c>
      <c r="BE313" s="48">
        <f t="shared" si="1049"/>
        <v>0</v>
      </c>
      <c r="BF313" s="48">
        <f t="shared" si="1049"/>
        <v>0</v>
      </c>
      <c r="BG313" s="48">
        <f t="shared" si="1049"/>
        <v>50</v>
      </c>
      <c r="BH313" s="48">
        <f t="shared" si="1049"/>
        <v>0</v>
      </c>
      <c r="BI313" s="48">
        <f t="shared" si="1049"/>
        <v>0</v>
      </c>
      <c r="BJ313" s="48">
        <f t="shared" si="1049"/>
        <v>0</v>
      </c>
      <c r="BK313" s="48">
        <f t="shared" si="1049"/>
        <v>0</v>
      </c>
      <c r="BL313" s="48">
        <f t="shared" si="1049"/>
        <v>0</v>
      </c>
      <c r="BM313" s="48">
        <f t="shared" si="1049"/>
        <v>0</v>
      </c>
      <c r="BN313" s="48">
        <f t="shared" si="1049"/>
        <v>0</v>
      </c>
      <c r="BO313" s="48">
        <f t="shared" si="1049"/>
        <v>0</v>
      </c>
      <c r="BP313" s="48">
        <f t="shared" si="1049"/>
        <v>0</v>
      </c>
      <c r="BQ313" s="48">
        <f t="shared" si="1049"/>
        <v>0</v>
      </c>
      <c r="BR313" s="36">
        <f t="shared" si="9"/>
        <v>0</v>
      </c>
      <c r="BS313" s="38">
        <f t="shared" si="10"/>
        <v>1</v>
      </c>
      <c r="BT313" s="49">
        <f t="shared" si="11"/>
        <v>0</v>
      </c>
      <c r="BU313" s="38">
        <f t="shared" si="12"/>
        <v>1000</v>
      </c>
      <c r="BV313" s="46" t="str">
        <f>IFERROR(__xludf.DUMMYFUNCTION("""COMPUTED_VALUE"""),"Name")</f>
        <v>Name</v>
      </c>
      <c r="BW313" s="46">
        <f t="shared" si="13"/>
        <v>50</v>
      </c>
      <c r="BX313" s="47">
        <f t="shared" ref="BX313:CA313" si="1050">AX313-$BU313</f>
        <v>-1000</v>
      </c>
      <c r="BY313" s="47">
        <f t="shared" si="1050"/>
        <v>-1000</v>
      </c>
      <c r="BZ313" s="47">
        <f t="shared" si="1050"/>
        <v>-1000</v>
      </c>
      <c r="CA313" s="47">
        <f t="shared" si="1050"/>
        <v>-1000</v>
      </c>
      <c r="CB313" s="47">
        <f t="shared" si="15"/>
        <v>-10000</v>
      </c>
      <c r="CC313" s="47">
        <f t="shared" ref="CC313:CQ313" si="1051">BC313-$BU313</f>
        <v>-1000</v>
      </c>
      <c r="CD313" s="47">
        <f t="shared" si="1051"/>
        <v>-1000</v>
      </c>
      <c r="CE313" s="47">
        <f t="shared" si="1051"/>
        <v>-1000</v>
      </c>
      <c r="CF313" s="47">
        <f t="shared" si="1051"/>
        <v>-1000</v>
      </c>
      <c r="CG313" s="47">
        <f t="shared" si="1051"/>
        <v>-950</v>
      </c>
      <c r="CH313" s="47">
        <f t="shared" si="1051"/>
        <v>-1000</v>
      </c>
      <c r="CI313" s="47">
        <f t="shared" si="1051"/>
        <v>-1000</v>
      </c>
      <c r="CJ313" s="47">
        <f t="shared" si="1051"/>
        <v>-1000</v>
      </c>
      <c r="CK313" s="47">
        <f t="shared" si="1051"/>
        <v>-1000</v>
      </c>
      <c r="CL313" s="47">
        <f t="shared" si="1051"/>
        <v>-1000</v>
      </c>
      <c r="CM313" s="47">
        <f t="shared" si="1051"/>
        <v>-1000</v>
      </c>
      <c r="CN313" s="47">
        <f t="shared" si="1051"/>
        <v>-1000</v>
      </c>
      <c r="CO313" s="47">
        <f t="shared" si="1051"/>
        <v>-1000</v>
      </c>
      <c r="CP313" s="47">
        <f t="shared" si="1051"/>
        <v>-1000</v>
      </c>
      <c r="CQ313" s="47">
        <f t="shared" si="1051"/>
        <v>-1000</v>
      </c>
      <c r="CR313" s="47"/>
      <c r="CS313" s="47"/>
      <c r="CT313" s="47"/>
      <c r="CU313" s="50" t="str">
        <f>IFERROR(__xludf.DUMMYFUNCTION("""COMPUTED_VALUE"""),"6208 Copperhill Dr
Dallas, TX 75248          ")</f>
        <v>6208 Copperhill Dr
Dallas, TX 75248          </v>
      </c>
      <c r="CV313" s="51">
        <f>IFERROR(__xludf.DUMMYFUNCTION("IF(REGEXMATCH(UPPER(CU313), ""TX""),0,1)"),0.0)</f>
        <v>0</v>
      </c>
      <c r="CW313" s="51">
        <f>IFERROR(__xludf.DUMMYFUNCTION("IF(REGEXMATCH(UPPER(CU313), ""DALLAS""),0,1)"),0.0)</f>
        <v>0</v>
      </c>
      <c r="CX313" s="51">
        <f t="shared" si="17"/>
        <v>0</v>
      </c>
      <c r="CY313" s="51">
        <f t="shared" si="18"/>
        <v>0</v>
      </c>
      <c r="CZ313" s="52" t="str">
        <f t="shared" si="19"/>
        <v/>
      </c>
      <c r="DA313" s="58"/>
      <c r="DB313" s="52"/>
      <c r="DC313" s="52"/>
      <c r="DD313" s="52"/>
      <c r="DE313" s="52"/>
      <c r="DF313" s="52"/>
      <c r="DG313" s="52"/>
      <c r="DH313" s="52"/>
      <c r="DI313" s="52"/>
      <c r="DJ313" s="52"/>
      <c r="DK313" s="52"/>
      <c r="DL313" s="52"/>
      <c r="DM313" s="52"/>
      <c r="DN313" s="52"/>
      <c r="DO313" s="52"/>
      <c r="DP313" s="52"/>
      <c r="DQ313" s="52"/>
      <c r="DR313" s="52"/>
      <c r="DS313" s="52"/>
      <c r="DT313" s="52"/>
      <c r="DU313" s="52"/>
      <c r="DV313" s="52"/>
      <c r="DW313" s="52"/>
    </row>
    <row r="314">
      <c r="A314" s="22" t="s">
        <v>55</v>
      </c>
      <c r="B314" s="23" t="s">
        <v>56</v>
      </c>
      <c r="C314" s="31" t="s">
        <v>869</v>
      </c>
      <c r="D314" s="25" t="str">
        <f>IFERROR(__xludf.DUMMYFUNCTION("SPLIT(C314,"" "")"),"Idoux,")</f>
        <v>Idoux,</v>
      </c>
      <c r="E314" s="22" t="str">
        <f>IFERROR(__xludf.DUMMYFUNCTION("""COMPUTED_VALUE"""),"Kathryn
6123")</f>
        <v>Kathryn
6123</v>
      </c>
      <c r="F314" s="22" t="str">
        <f>IFERROR(__xludf.DUMMYFUNCTION("""COMPUTED_VALUE"""),"Orchid")</f>
        <v>Orchid</v>
      </c>
      <c r="G314" s="22" t="str">
        <f>IFERROR(__xludf.DUMMYFUNCTION("""COMPUTED_VALUE"""),"Ln
Dallas,")</f>
        <v>Ln
Dallas,</v>
      </c>
      <c r="H314" s="22" t="str">
        <f>IFERROR(__xludf.DUMMYFUNCTION("""COMPUTED_VALUE"""),"TX")</f>
        <v>TX</v>
      </c>
      <c r="I314" s="22">
        <f>IFERROR(__xludf.DUMMYFUNCTION("""COMPUTED_VALUE"""),75230.0)</f>
        <v>75230</v>
      </c>
      <c r="J314" s="22"/>
      <c r="K314" s="22"/>
      <c r="L314" s="22"/>
      <c r="M314" s="22"/>
      <c r="N314" s="22"/>
      <c r="O314" s="22"/>
      <c r="P314" s="22"/>
      <c r="Q314" s="22"/>
      <c r="R314" s="22"/>
      <c r="S314" s="22"/>
      <c r="T314" s="22"/>
      <c r="U314" s="24" t="str">
        <f>IFERROR(__xludf.DUMMYFUNCTION("SPLIT(E314,""01234567890"")"),"Kathryn
")</f>
        <v>Kathryn
</v>
      </c>
      <c r="V314" s="24" t="str">
        <f>IFERROR(__xludf.DUMMYFUNCTION("SPLIT(D314,"","")"),"Idoux")</f>
        <v>Idoux</v>
      </c>
      <c r="W314" s="25" t="str">
        <f t="shared" si="1"/>
        <v>KATHRYN
 IDOUX</v>
      </c>
      <c r="X314" s="25" t="s">
        <v>870</v>
      </c>
      <c r="Y314" s="25">
        <v>75230.0</v>
      </c>
      <c r="Z314" s="25" t="str">
        <f>IFERROR(__xludf.DUMMYFUNCTION("SPLIT(C314,""
"")"),"Idoux, Kathryn")</f>
        <v>Idoux, Kathryn</v>
      </c>
      <c r="AA314" s="25" t="str">
        <f>IFERROR(__xludf.DUMMYFUNCTION("""COMPUTED_VALUE"""),"6123 Orchid Ln")</f>
        <v>6123 Orchid Ln</v>
      </c>
      <c r="AB314" s="25" t="str">
        <f>IFERROR(__xludf.DUMMYFUNCTION("""COMPUTED_VALUE"""),"Dallas, TX 75230")</f>
        <v>Dallas, TX 75230</v>
      </c>
      <c r="AC314" s="24" t="s">
        <v>871</v>
      </c>
      <c r="AD314" s="25"/>
      <c r="AE314" s="25"/>
      <c r="AF314" s="25"/>
      <c r="AG314" s="22" t="s">
        <v>60</v>
      </c>
      <c r="AH314" s="54">
        <v>2437.0</v>
      </c>
      <c r="AI314" s="22" t="s">
        <v>61</v>
      </c>
      <c r="AJ314" s="27">
        <v>10000.0</v>
      </c>
      <c r="AK314" s="31" t="s">
        <v>25</v>
      </c>
      <c r="AL314" s="28">
        <v>44727.0</v>
      </c>
      <c r="AM314" s="29">
        <v>44754.83237268519</v>
      </c>
      <c r="AN314" s="30">
        <v>2.0</v>
      </c>
      <c r="AO314" s="22"/>
      <c r="AP314" s="22"/>
      <c r="AQ314" s="22"/>
      <c r="AR314" s="22"/>
      <c r="AS314" s="22"/>
      <c r="AT314" s="70"/>
      <c r="AU314" s="22"/>
      <c r="AV314" s="57" t="str">
        <f>IFERROR(__xludf.DUMMYFUNCTION("""COMPUTED_VALUE"""),"Horwitz")</f>
        <v>Horwitz</v>
      </c>
      <c r="AW314" s="46">
        <f t="shared" si="7"/>
        <v>25</v>
      </c>
      <c r="AX314" s="47">
        <f t="shared" ref="AX314:BQ314" si="1052">SUMIFS($AJ:$AJ,$V:$V,$AV314,$AK:$AK,AX$2)</f>
        <v>0</v>
      </c>
      <c r="AY314" s="48">
        <f t="shared" si="1052"/>
        <v>0</v>
      </c>
      <c r="AZ314" s="48">
        <f t="shared" si="1052"/>
        <v>0</v>
      </c>
      <c r="BA314" s="48">
        <f t="shared" si="1052"/>
        <v>0</v>
      </c>
      <c r="BB314" s="48">
        <f t="shared" si="1052"/>
        <v>0</v>
      </c>
      <c r="BC314" s="48">
        <f t="shared" si="1052"/>
        <v>0</v>
      </c>
      <c r="BD314" s="48">
        <f t="shared" si="1052"/>
        <v>0</v>
      </c>
      <c r="BE314" s="48">
        <f t="shared" si="1052"/>
        <v>0</v>
      </c>
      <c r="BF314" s="48">
        <f t="shared" si="1052"/>
        <v>0</v>
      </c>
      <c r="BG314" s="48">
        <f t="shared" si="1052"/>
        <v>25</v>
      </c>
      <c r="BH314" s="48">
        <f t="shared" si="1052"/>
        <v>0</v>
      </c>
      <c r="BI314" s="48">
        <f t="shared" si="1052"/>
        <v>0</v>
      </c>
      <c r="BJ314" s="48">
        <f t="shared" si="1052"/>
        <v>0</v>
      </c>
      <c r="BK314" s="48">
        <f t="shared" si="1052"/>
        <v>0</v>
      </c>
      <c r="BL314" s="48">
        <f t="shared" si="1052"/>
        <v>0</v>
      </c>
      <c r="BM314" s="48">
        <f t="shared" si="1052"/>
        <v>0</v>
      </c>
      <c r="BN314" s="48">
        <f t="shared" si="1052"/>
        <v>0</v>
      </c>
      <c r="BO314" s="48">
        <f t="shared" si="1052"/>
        <v>0</v>
      </c>
      <c r="BP314" s="48">
        <f t="shared" si="1052"/>
        <v>0</v>
      </c>
      <c r="BQ314" s="48">
        <f t="shared" si="1052"/>
        <v>0</v>
      </c>
      <c r="BR314" s="36">
        <f t="shared" si="9"/>
        <v>0</v>
      </c>
      <c r="BS314" s="38">
        <f t="shared" si="10"/>
        <v>1</v>
      </c>
      <c r="BT314" s="49">
        <f t="shared" si="11"/>
        <v>0</v>
      </c>
      <c r="BU314" s="38">
        <f t="shared" si="12"/>
        <v>1000</v>
      </c>
      <c r="BV314" s="57" t="str">
        <f>IFERROR(__xludf.DUMMYFUNCTION("""COMPUTED_VALUE"""),"Horwitz")</f>
        <v>Horwitz</v>
      </c>
      <c r="BW314" s="46">
        <f t="shared" si="13"/>
        <v>25</v>
      </c>
      <c r="BX314" s="47">
        <f t="shared" ref="BX314:CA314" si="1053">AX314-$BU314</f>
        <v>-1000</v>
      </c>
      <c r="BY314" s="47">
        <f t="shared" si="1053"/>
        <v>-1000</v>
      </c>
      <c r="BZ314" s="47">
        <f t="shared" si="1053"/>
        <v>-1000</v>
      </c>
      <c r="CA314" s="47">
        <f t="shared" si="1053"/>
        <v>-1000</v>
      </c>
      <c r="CB314" s="47">
        <f t="shared" si="15"/>
        <v>-10000</v>
      </c>
      <c r="CC314" s="47">
        <f t="shared" ref="CC314:CQ314" si="1054">BC314-$BU314</f>
        <v>-1000</v>
      </c>
      <c r="CD314" s="47">
        <f t="shared" si="1054"/>
        <v>-1000</v>
      </c>
      <c r="CE314" s="47">
        <f t="shared" si="1054"/>
        <v>-1000</v>
      </c>
      <c r="CF314" s="47">
        <f t="shared" si="1054"/>
        <v>-1000</v>
      </c>
      <c r="CG314" s="47">
        <f t="shared" si="1054"/>
        <v>-975</v>
      </c>
      <c r="CH314" s="47">
        <f t="shared" si="1054"/>
        <v>-1000</v>
      </c>
      <c r="CI314" s="47">
        <f t="shared" si="1054"/>
        <v>-1000</v>
      </c>
      <c r="CJ314" s="47">
        <f t="shared" si="1054"/>
        <v>-1000</v>
      </c>
      <c r="CK314" s="47">
        <f t="shared" si="1054"/>
        <v>-1000</v>
      </c>
      <c r="CL314" s="47">
        <f t="shared" si="1054"/>
        <v>-1000</v>
      </c>
      <c r="CM314" s="47">
        <f t="shared" si="1054"/>
        <v>-1000</v>
      </c>
      <c r="CN314" s="47">
        <f t="shared" si="1054"/>
        <v>-1000</v>
      </c>
      <c r="CO314" s="47">
        <f t="shared" si="1054"/>
        <v>-1000</v>
      </c>
      <c r="CP314" s="47">
        <f t="shared" si="1054"/>
        <v>-1000</v>
      </c>
      <c r="CQ314" s="47">
        <f t="shared" si="1054"/>
        <v>-1000</v>
      </c>
      <c r="CR314" s="47"/>
      <c r="CS314" s="47"/>
      <c r="CT314" s="47"/>
      <c r="CU314" s="50" t="str">
        <f>IFERROR(__xludf.DUMMYFUNCTION("""COMPUTED_VALUE"""),"8249 Forest Hills Blvd
Dallas, TX 75218         ")</f>
        <v>8249 Forest Hills Blvd
Dallas, TX 75218         </v>
      </c>
      <c r="CV314" s="51">
        <f>IFERROR(__xludf.DUMMYFUNCTION("IF(REGEXMATCH(UPPER(CU314), ""TX""),0,1)"),0.0)</f>
        <v>0</v>
      </c>
      <c r="CW314" s="51">
        <f>IFERROR(__xludf.DUMMYFUNCTION("IF(REGEXMATCH(UPPER(CU314), ""DALLAS""),0,1)"),0.0)</f>
        <v>0</v>
      </c>
      <c r="CX314" s="51">
        <f t="shared" si="17"/>
        <v>0</v>
      </c>
      <c r="CY314" s="51">
        <f t="shared" si="18"/>
        <v>0</v>
      </c>
      <c r="CZ314" s="52" t="str">
        <f t="shared" si="19"/>
        <v/>
      </c>
      <c r="DA314" s="58"/>
      <c r="DB314" s="52"/>
      <c r="DC314" s="52"/>
      <c r="DD314" s="52"/>
      <c r="DE314" s="52"/>
      <c r="DF314" s="52"/>
      <c r="DG314" s="52"/>
      <c r="DH314" s="52"/>
      <c r="DI314" s="52"/>
      <c r="DJ314" s="52"/>
      <c r="DK314" s="52"/>
      <c r="DL314" s="52"/>
      <c r="DM314" s="52"/>
      <c r="DN314" s="52"/>
      <c r="DO314" s="52"/>
      <c r="DP314" s="52"/>
      <c r="DQ314" s="52"/>
      <c r="DR314" s="52"/>
      <c r="DS314" s="52"/>
      <c r="DT314" s="52"/>
      <c r="DU314" s="52"/>
      <c r="DV314" s="52"/>
      <c r="DW314" s="52"/>
    </row>
    <row r="315">
      <c r="A315" s="41" t="s">
        <v>64</v>
      </c>
      <c r="B315" s="41" t="s">
        <v>56</v>
      </c>
      <c r="C315" s="31" t="s">
        <v>872</v>
      </c>
      <c r="D315" s="25" t="str">
        <f>IFERROR(__xludf.DUMMYFUNCTION("SPLIT(C315,"" "")"),"Idoux,")</f>
        <v>Idoux,</v>
      </c>
      <c r="E315" s="40" t="str">
        <f>IFERROR(__xludf.DUMMYFUNCTION("""COMPUTED_VALUE"""),"Stephen
6123")</f>
        <v>Stephen
6123</v>
      </c>
      <c r="F315" s="40" t="str">
        <f>IFERROR(__xludf.DUMMYFUNCTION("""COMPUTED_VALUE"""),"Orchid")</f>
        <v>Orchid</v>
      </c>
      <c r="G315" s="40" t="str">
        <f>IFERROR(__xludf.DUMMYFUNCTION("""COMPUTED_VALUE"""),"Ln
Dallas,")</f>
        <v>Ln
Dallas,</v>
      </c>
      <c r="H315" s="40" t="str">
        <f>IFERROR(__xludf.DUMMYFUNCTION("""COMPUTED_VALUE"""),"TX")</f>
        <v>TX</v>
      </c>
      <c r="I315" s="40">
        <f>IFERROR(__xludf.DUMMYFUNCTION("""COMPUTED_VALUE"""),75230.0)</f>
        <v>75230</v>
      </c>
      <c r="J315" s="40"/>
      <c r="K315" s="40"/>
      <c r="L315" s="40"/>
      <c r="M315" s="40"/>
      <c r="N315" s="40"/>
      <c r="O315" s="40"/>
      <c r="P315" s="40"/>
      <c r="Q315" s="40"/>
      <c r="R315" s="40"/>
      <c r="S315" s="40"/>
      <c r="T315" s="40"/>
      <c r="U315" s="24" t="str">
        <f>IFERROR(__xludf.DUMMYFUNCTION("SPLIT(E315,""01234567890"")"),"Stephen
")</f>
        <v>Stephen
</v>
      </c>
      <c r="V315" s="24" t="str">
        <f>IFERROR(__xludf.DUMMYFUNCTION("SPLIT(D315,"","")"),"Idoux")</f>
        <v>Idoux</v>
      </c>
      <c r="W315" s="25" t="str">
        <f t="shared" si="1"/>
        <v>STEPHEN
 IDOUX</v>
      </c>
      <c r="X315" s="25" t="s">
        <v>870</v>
      </c>
      <c r="Y315" s="25">
        <v>75230.0</v>
      </c>
      <c r="Z315" s="25" t="str">
        <f>IFERROR(__xludf.DUMMYFUNCTION("SPLIT(C315,""
"")"),"Idoux, Stephen")</f>
        <v>Idoux, Stephen</v>
      </c>
      <c r="AA315" s="25" t="str">
        <f>IFERROR(__xludf.DUMMYFUNCTION("""COMPUTED_VALUE"""),"6123 Orchid Ln")</f>
        <v>6123 Orchid Ln</v>
      </c>
      <c r="AB315" s="25" t="str">
        <f>IFERROR(__xludf.DUMMYFUNCTION("""COMPUTED_VALUE"""),"Dallas, TX 75230")</f>
        <v>Dallas, TX 75230</v>
      </c>
      <c r="AC315" s="24" t="s">
        <v>873</v>
      </c>
      <c r="AD315" s="25"/>
      <c r="AE315" s="25"/>
      <c r="AF315" s="25"/>
      <c r="AG315" s="40" t="s">
        <v>60</v>
      </c>
      <c r="AH315" s="42">
        <v>2437.0</v>
      </c>
      <c r="AI315" s="40" t="s">
        <v>61</v>
      </c>
      <c r="AJ315" s="27">
        <v>10000.0</v>
      </c>
      <c r="AK315" s="31" t="s">
        <v>25</v>
      </c>
      <c r="AL315" s="43">
        <v>44727.0</v>
      </c>
      <c r="AM315" s="44">
        <v>44754.83237268519</v>
      </c>
      <c r="AN315" s="30">
        <v>2.0</v>
      </c>
      <c r="AO315" s="40"/>
      <c r="AP315" s="40"/>
      <c r="AQ315" s="40"/>
      <c r="AR315" s="40"/>
      <c r="AS315" s="40"/>
      <c r="AT315" s="47"/>
      <c r="AU315" s="40"/>
      <c r="AV315" s="46" t="str">
        <f>IFERROR(__xludf.DUMMYFUNCTION("""COMPUTED_VALUE"""),"Edmondson")</f>
        <v>Edmondson</v>
      </c>
      <c r="AW315" s="46">
        <f t="shared" si="7"/>
        <v>300</v>
      </c>
      <c r="AX315" s="47">
        <f t="shared" ref="AX315:BQ315" si="1055">SUMIFS($AJ:$AJ,$V:$V,$AV315,$AK:$AK,AX$2)</f>
        <v>0</v>
      </c>
      <c r="AY315" s="48">
        <f t="shared" si="1055"/>
        <v>0</v>
      </c>
      <c r="AZ315" s="48">
        <f t="shared" si="1055"/>
        <v>0</v>
      </c>
      <c r="BA315" s="48">
        <f t="shared" si="1055"/>
        <v>0</v>
      </c>
      <c r="BB315" s="48">
        <f t="shared" si="1055"/>
        <v>0</v>
      </c>
      <c r="BC315" s="48">
        <f t="shared" si="1055"/>
        <v>0</v>
      </c>
      <c r="BD315" s="48">
        <f t="shared" si="1055"/>
        <v>0</v>
      </c>
      <c r="BE315" s="48">
        <f t="shared" si="1055"/>
        <v>0</v>
      </c>
      <c r="BF315" s="48">
        <f t="shared" si="1055"/>
        <v>0</v>
      </c>
      <c r="BG315" s="48">
        <f t="shared" si="1055"/>
        <v>300</v>
      </c>
      <c r="BH315" s="48">
        <f t="shared" si="1055"/>
        <v>0</v>
      </c>
      <c r="BI315" s="48">
        <f t="shared" si="1055"/>
        <v>0</v>
      </c>
      <c r="BJ315" s="48">
        <f t="shared" si="1055"/>
        <v>0</v>
      </c>
      <c r="BK315" s="48">
        <f t="shared" si="1055"/>
        <v>0</v>
      </c>
      <c r="BL315" s="48">
        <f t="shared" si="1055"/>
        <v>0</v>
      </c>
      <c r="BM315" s="48">
        <f t="shared" si="1055"/>
        <v>0</v>
      </c>
      <c r="BN315" s="48">
        <f t="shared" si="1055"/>
        <v>0</v>
      </c>
      <c r="BO315" s="48">
        <f t="shared" si="1055"/>
        <v>0</v>
      </c>
      <c r="BP315" s="48">
        <f t="shared" si="1055"/>
        <v>0</v>
      </c>
      <c r="BQ315" s="48">
        <f t="shared" si="1055"/>
        <v>0</v>
      </c>
      <c r="BR315" s="36">
        <f t="shared" si="9"/>
        <v>0</v>
      </c>
      <c r="BS315" s="38">
        <f t="shared" si="10"/>
        <v>1</v>
      </c>
      <c r="BT315" s="49">
        <f t="shared" si="11"/>
        <v>0</v>
      </c>
      <c r="BU315" s="38">
        <f t="shared" si="12"/>
        <v>1000</v>
      </c>
      <c r="BV315" s="46" t="str">
        <f>IFERROR(__xludf.DUMMYFUNCTION("""COMPUTED_VALUE"""),"Edmondson")</f>
        <v>Edmondson</v>
      </c>
      <c r="BW315" s="46">
        <f t="shared" si="13"/>
        <v>300</v>
      </c>
      <c r="BX315" s="47">
        <f t="shared" ref="BX315:CA315" si="1056">AX315-$BU315</f>
        <v>-1000</v>
      </c>
      <c r="BY315" s="47">
        <f t="shared" si="1056"/>
        <v>-1000</v>
      </c>
      <c r="BZ315" s="47">
        <f t="shared" si="1056"/>
        <v>-1000</v>
      </c>
      <c r="CA315" s="47">
        <f t="shared" si="1056"/>
        <v>-1000</v>
      </c>
      <c r="CB315" s="47">
        <f t="shared" si="15"/>
        <v>-10000</v>
      </c>
      <c r="CC315" s="47">
        <f t="shared" ref="CC315:CQ315" si="1057">BC315-$BU315</f>
        <v>-1000</v>
      </c>
      <c r="CD315" s="47">
        <f t="shared" si="1057"/>
        <v>-1000</v>
      </c>
      <c r="CE315" s="47">
        <f t="shared" si="1057"/>
        <v>-1000</v>
      </c>
      <c r="CF315" s="47">
        <f t="shared" si="1057"/>
        <v>-1000</v>
      </c>
      <c r="CG315" s="47">
        <f t="shared" si="1057"/>
        <v>-700</v>
      </c>
      <c r="CH315" s="47">
        <f t="shared" si="1057"/>
        <v>-1000</v>
      </c>
      <c r="CI315" s="47">
        <f t="shared" si="1057"/>
        <v>-1000</v>
      </c>
      <c r="CJ315" s="47">
        <f t="shared" si="1057"/>
        <v>-1000</v>
      </c>
      <c r="CK315" s="47">
        <f t="shared" si="1057"/>
        <v>-1000</v>
      </c>
      <c r="CL315" s="47">
        <f t="shared" si="1057"/>
        <v>-1000</v>
      </c>
      <c r="CM315" s="47">
        <f t="shared" si="1057"/>
        <v>-1000</v>
      </c>
      <c r="CN315" s="47">
        <f t="shared" si="1057"/>
        <v>-1000</v>
      </c>
      <c r="CO315" s="47">
        <f t="shared" si="1057"/>
        <v>-1000</v>
      </c>
      <c r="CP315" s="47">
        <f t="shared" si="1057"/>
        <v>-1000</v>
      </c>
      <c r="CQ315" s="47">
        <f t="shared" si="1057"/>
        <v>-1000</v>
      </c>
      <c r="CR315" s="47"/>
      <c r="CS315" s="47"/>
      <c r="CT315" s="47"/>
      <c r="CU315" s="50" t="str">
        <f>IFERROR(__xludf.DUMMYFUNCTION("""COMPUTED_VALUE"""),"6949 Clay Academy Blvd
Dallas, TX 75236         ")</f>
        <v>6949 Clay Academy Blvd
Dallas, TX 75236         </v>
      </c>
      <c r="CV315" s="51">
        <f>IFERROR(__xludf.DUMMYFUNCTION("IF(REGEXMATCH(UPPER(CU315), ""TX""),0,1)"),0.0)</f>
        <v>0</v>
      </c>
      <c r="CW315" s="51">
        <f>IFERROR(__xludf.DUMMYFUNCTION("IF(REGEXMATCH(UPPER(CU315), ""DALLAS""),0,1)"),0.0)</f>
        <v>0</v>
      </c>
      <c r="CX315" s="51">
        <f t="shared" si="17"/>
        <v>0</v>
      </c>
      <c r="CY315" s="51">
        <f t="shared" si="18"/>
        <v>0</v>
      </c>
      <c r="CZ315" s="52" t="str">
        <f t="shared" si="19"/>
        <v/>
      </c>
      <c r="DA315" s="58"/>
      <c r="DB315" s="52"/>
      <c r="DC315" s="52"/>
      <c r="DD315" s="52"/>
      <c r="DE315" s="52"/>
      <c r="DF315" s="52"/>
      <c r="DG315" s="52"/>
      <c r="DH315" s="52"/>
      <c r="DI315" s="52"/>
      <c r="DJ315" s="52"/>
      <c r="DK315" s="52"/>
      <c r="DL315" s="52"/>
      <c r="DM315" s="52"/>
      <c r="DN315" s="52"/>
      <c r="DO315" s="52"/>
      <c r="DP315" s="52"/>
      <c r="DQ315" s="52"/>
      <c r="DR315" s="52"/>
      <c r="DS315" s="52"/>
      <c r="DT315" s="52"/>
      <c r="DU315" s="52"/>
      <c r="DV315" s="52"/>
      <c r="DW315" s="52"/>
    </row>
    <row r="316">
      <c r="A316" s="22" t="s">
        <v>55</v>
      </c>
      <c r="B316" s="23" t="s">
        <v>56</v>
      </c>
      <c r="C316" s="31" t="s">
        <v>874</v>
      </c>
      <c r="D316" s="25" t="str">
        <f>IFERROR(__xludf.DUMMYFUNCTION("SPLIT(C316,"" "")"),"Coffman,")</f>
        <v>Coffman,</v>
      </c>
      <c r="E316" s="22" t="str">
        <f>IFERROR(__xludf.DUMMYFUNCTION("""COMPUTED_VALUE"""),"Barbara
8100")</f>
        <v>Barbara
8100</v>
      </c>
      <c r="F316" s="22" t="str">
        <f>IFERROR(__xludf.DUMMYFUNCTION("""COMPUTED_VALUE"""),"Lomo")</f>
        <v>Lomo</v>
      </c>
      <c r="G316" s="22" t="str">
        <f>IFERROR(__xludf.DUMMYFUNCTION("""COMPUTED_VALUE"""),"Alto")</f>
        <v>Alto</v>
      </c>
      <c r="H316" s="22" t="str">
        <f>IFERROR(__xludf.DUMMYFUNCTION("""COMPUTED_VALUE"""),"Dr
Dallas,")</f>
        <v>Dr
Dallas,</v>
      </c>
      <c r="I316" s="22" t="str">
        <f>IFERROR(__xludf.DUMMYFUNCTION("""COMPUTED_VALUE"""),"TX")</f>
        <v>TX</v>
      </c>
      <c r="J316" s="22">
        <f>IFERROR(__xludf.DUMMYFUNCTION("""COMPUTED_VALUE"""),75225.0)</f>
        <v>75225</v>
      </c>
      <c r="K316" s="22"/>
      <c r="L316" s="22"/>
      <c r="M316" s="22"/>
      <c r="N316" s="22"/>
      <c r="O316" s="22"/>
      <c r="P316" s="22"/>
      <c r="Q316" s="22"/>
      <c r="R316" s="22"/>
      <c r="S316" s="22"/>
      <c r="T316" s="22"/>
      <c r="U316" s="24" t="str">
        <f>IFERROR(__xludf.DUMMYFUNCTION("SPLIT(E316,""01234567890"")"),"Barbara
")</f>
        <v>Barbara
</v>
      </c>
      <c r="V316" s="24" t="str">
        <f>IFERROR(__xludf.DUMMYFUNCTION("SPLIT(D316,"","")"),"Coffman")</f>
        <v>Coffman</v>
      </c>
      <c r="W316" s="25" t="str">
        <f t="shared" si="1"/>
        <v>BARBARA
 COFFMAN</v>
      </c>
      <c r="X316" s="25" t="s">
        <v>875</v>
      </c>
      <c r="Y316" s="25">
        <v>75225.0</v>
      </c>
      <c r="Z316" s="25" t="str">
        <f>IFERROR(__xludf.DUMMYFUNCTION("SPLIT(C316,""
"")"),"Coffman, Barbara")</f>
        <v>Coffman, Barbara</v>
      </c>
      <c r="AA316" s="25" t="str">
        <f>IFERROR(__xludf.DUMMYFUNCTION("""COMPUTED_VALUE"""),"8100 Lomo Alto Dr")</f>
        <v>8100 Lomo Alto Dr</v>
      </c>
      <c r="AB316" s="25" t="str">
        <f>IFERROR(__xludf.DUMMYFUNCTION("""COMPUTED_VALUE"""),"Dallas, TX 75225")</f>
        <v>Dallas, TX 75225</v>
      </c>
      <c r="AC316" s="24" t="s">
        <v>876</v>
      </c>
      <c r="AD316" s="25"/>
      <c r="AE316" s="25"/>
      <c r="AF316" s="25"/>
      <c r="AG316" s="22" t="s">
        <v>60</v>
      </c>
      <c r="AH316" s="54">
        <v>2437.0</v>
      </c>
      <c r="AI316" s="22" t="s">
        <v>61</v>
      </c>
      <c r="AJ316" s="27">
        <v>750.0</v>
      </c>
      <c r="AK316" s="31" t="s">
        <v>25</v>
      </c>
      <c r="AL316" s="28">
        <v>44727.0</v>
      </c>
      <c r="AM316" s="29">
        <v>44754.83237268519</v>
      </c>
      <c r="AN316" s="30">
        <v>2.0</v>
      </c>
      <c r="AO316" s="22"/>
      <c r="AP316" s="22"/>
      <c r="AQ316" s="22"/>
      <c r="AR316" s="22"/>
      <c r="AS316" s="22"/>
      <c r="AT316" s="70"/>
      <c r="AU316" s="22"/>
      <c r="AV316" s="57" t="str">
        <f>IFERROR(__xludf.DUMMYFUNCTION("""COMPUTED_VALUE"""),"Nugent")</f>
        <v>Nugent</v>
      </c>
      <c r="AW316" s="46">
        <f t="shared" si="7"/>
        <v>750</v>
      </c>
      <c r="AX316" s="47">
        <f t="shared" ref="AX316:BQ316" si="1058">SUMIFS($AJ:$AJ,$V:$V,$AV316,$AK:$AK,AX$2)</f>
        <v>0</v>
      </c>
      <c r="AY316" s="48">
        <f t="shared" si="1058"/>
        <v>0</v>
      </c>
      <c r="AZ316" s="48">
        <f t="shared" si="1058"/>
        <v>0</v>
      </c>
      <c r="BA316" s="48">
        <f t="shared" si="1058"/>
        <v>0</v>
      </c>
      <c r="BB316" s="48">
        <f t="shared" si="1058"/>
        <v>0</v>
      </c>
      <c r="BC316" s="48">
        <f t="shared" si="1058"/>
        <v>0</v>
      </c>
      <c r="BD316" s="48">
        <f t="shared" si="1058"/>
        <v>0</v>
      </c>
      <c r="BE316" s="48">
        <f t="shared" si="1058"/>
        <v>0</v>
      </c>
      <c r="BF316" s="48">
        <f t="shared" si="1058"/>
        <v>0</v>
      </c>
      <c r="BG316" s="48">
        <f t="shared" si="1058"/>
        <v>750</v>
      </c>
      <c r="BH316" s="48">
        <f t="shared" si="1058"/>
        <v>0</v>
      </c>
      <c r="BI316" s="48">
        <f t="shared" si="1058"/>
        <v>0</v>
      </c>
      <c r="BJ316" s="48">
        <f t="shared" si="1058"/>
        <v>0</v>
      </c>
      <c r="BK316" s="48">
        <f t="shared" si="1058"/>
        <v>0</v>
      </c>
      <c r="BL316" s="48">
        <f t="shared" si="1058"/>
        <v>0</v>
      </c>
      <c r="BM316" s="48">
        <f t="shared" si="1058"/>
        <v>0</v>
      </c>
      <c r="BN316" s="48">
        <f t="shared" si="1058"/>
        <v>0</v>
      </c>
      <c r="BO316" s="48">
        <f t="shared" si="1058"/>
        <v>0</v>
      </c>
      <c r="BP316" s="48">
        <f t="shared" si="1058"/>
        <v>0</v>
      </c>
      <c r="BQ316" s="48">
        <f t="shared" si="1058"/>
        <v>0</v>
      </c>
      <c r="BR316" s="36">
        <f t="shared" si="9"/>
        <v>1</v>
      </c>
      <c r="BS316" s="38">
        <f t="shared" si="10"/>
        <v>2</v>
      </c>
      <c r="BT316" s="49">
        <f t="shared" si="11"/>
        <v>0</v>
      </c>
      <c r="BU316" s="38">
        <f t="shared" si="12"/>
        <v>2000</v>
      </c>
      <c r="BV316" s="57" t="str">
        <f>IFERROR(__xludf.DUMMYFUNCTION("""COMPUTED_VALUE"""),"Nugent")</f>
        <v>Nugent</v>
      </c>
      <c r="BW316" s="46">
        <f t="shared" si="13"/>
        <v>750</v>
      </c>
      <c r="BX316" s="47">
        <f t="shared" ref="BX316:CA316" si="1059">AX316-$BU316</f>
        <v>-2000</v>
      </c>
      <c r="BY316" s="47">
        <f t="shared" si="1059"/>
        <v>-2000</v>
      </c>
      <c r="BZ316" s="47">
        <f t="shared" si="1059"/>
        <v>-2000</v>
      </c>
      <c r="CA316" s="47">
        <f t="shared" si="1059"/>
        <v>-2000</v>
      </c>
      <c r="CB316" s="47">
        <f t="shared" si="15"/>
        <v>-20000</v>
      </c>
      <c r="CC316" s="47">
        <f t="shared" ref="CC316:CQ316" si="1060">BC316-$BU316</f>
        <v>-2000</v>
      </c>
      <c r="CD316" s="47">
        <f t="shared" si="1060"/>
        <v>-2000</v>
      </c>
      <c r="CE316" s="47">
        <f t="shared" si="1060"/>
        <v>-2000</v>
      </c>
      <c r="CF316" s="47">
        <f t="shared" si="1060"/>
        <v>-2000</v>
      </c>
      <c r="CG316" s="47">
        <f t="shared" si="1060"/>
        <v>-1250</v>
      </c>
      <c r="CH316" s="47">
        <f t="shared" si="1060"/>
        <v>-2000</v>
      </c>
      <c r="CI316" s="47">
        <f t="shared" si="1060"/>
        <v>-2000</v>
      </c>
      <c r="CJ316" s="47">
        <f t="shared" si="1060"/>
        <v>-2000</v>
      </c>
      <c r="CK316" s="47">
        <f t="shared" si="1060"/>
        <v>-2000</v>
      </c>
      <c r="CL316" s="47">
        <f t="shared" si="1060"/>
        <v>-2000</v>
      </c>
      <c r="CM316" s="47">
        <f t="shared" si="1060"/>
        <v>-2000</v>
      </c>
      <c r="CN316" s="47">
        <f t="shared" si="1060"/>
        <v>-2000</v>
      </c>
      <c r="CO316" s="47">
        <f t="shared" si="1060"/>
        <v>-2000</v>
      </c>
      <c r="CP316" s="47">
        <f t="shared" si="1060"/>
        <v>-2000</v>
      </c>
      <c r="CQ316" s="47">
        <f t="shared" si="1060"/>
        <v>-2000</v>
      </c>
      <c r="CR316" s="47"/>
      <c r="CS316" s="47"/>
      <c r="CT316" s="47"/>
      <c r="CU316" s="50" t="str">
        <f>IFERROR(__xludf.DUMMYFUNCTION("""COMPUTED_VALUE"""),"3107 West Camp Wisdom Rd
Dallas, TX 75237        ")</f>
        <v>3107 West Camp Wisdom Rd
Dallas, TX 75237        </v>
      </c>
      <c r="CV316" s="51">
        <f>IFERROR(__xludf.DUMMYFUNCTION("IF(REGEXMATCH(UPPER(CU316), ""TX""),0,1)"),0.0)</f>
        <v>0</v>
      </c>
      <c r="CW316" s="51">
        <f>IFERROR(__xludf.DUMMYFUNCTION("IF(REGEXMATCH(UPPER(CU316), ""DALLAS""),0,1)"),0.0)</f>
        <v>0</v>
      </c>
      <c r="CX316" s="51">
        <f t="shared" si="17"/>
        <v>0</v>
      </c>
      <c r="CY316" s="51">
        <f t="shared" si="18"/>
        <v>0</v>
      </c>
      <c r="CZ316" s="52" t="str">
        <f t="shared" si="19"/>
        <v/>
      </c>
      <c r="DA316" s="58"/>
      <c r="DB316" s="52"/>
      <c r="DC316" s="52"/>
      <c r="DD316" s="52"/>
      <c r="DE316" s="52"/>
      <c r="DF316" s="52"/>
      <c r="DG316" s="52"/>
      <c r="DH316" s="52"/>
      <c r="DI316" s="52"/>
      <c r="DJ316" s="52"/>
      <c r="DK316" s="52"/>
      <c r="DL316" s="52"/>
      <c r="DM316" s="52"/>
      <c r="DN316" s="52"/>
      <c r="DO316" s="52"/>
      <c r="DP316" s="52"/>
      <c r="DQ316" s="52"/>
      <c r="DR316" s="52"/>
      <c r="DS316" s="52"/>
      <c r="DT316" s="52"/>
      <c r="DU316" s="52"/>
      <c r="DV316" s="52"/>
      <c r="DW316" s="52"/>
    </row>
    <row r="317">
      <c r="A317" s="41" t="s">
        <v>64</v>
      </c>
      <c r="B317" s="41" t="s">
        <v>56</v>
      </c>
      <c r="C317" s="31" t="s">
        <v>877</v>
      </c>
      <c r="D317" s="25" t="str">
        <f>IFERROR(__xludf.DUMMYFUNCTION("SPLIT(C317,"" "")"),"Wilson,")</f>
        <v>Wilson,</v>
      </c>
      <c r="E317" s="40" t="str">
        <f>IFERROR(__xludf.DUMMYFUNCTION("""COMPUTED_VALUE"""),"Michael
6739")</f>
        <v>Michael
6739</v>
      </c>
      <c r="F317" s="40" t="str">
        <f>IFERROR(__xludf.DUMMYFUNCTION("""COMPUTED_VALUE"""),"Avalon")</f>
        <v>Avalon</v>
      </c>
      <c r="G317" s="40" t="str">
        <f>IFERROR(__xludf.DUMMYFUNCTION("""COMPUTED_VALUE"""),"Ave
Dallas,")</f>
        <v>Ave
Dallas,</v>
      </c>
      <c r="H317" s="40" t="str">
        <f>IFERROR(__xludf.DUMMYFUNCTION("""COMPUTED_VALUE"""),"TX")</f>
        <v>TX</v>
      </c>
      <c r="I317" s="40">
        <f>IFERROR(__xludf.DUMMYFUNCTION("""COMPUTED_VALUE"""),75214.0)</f>
        <v>75214</v>
      </c>
      <c r="J317" s="40"/>
      <c r="K317" s="40"/>
      <c r="L317" s="40"/>
      <c r="M317" s="40"/>
      <c r="N317" s="40"/>
      <c r="O317" s="40"/>
      <c r="P317" s="40"/>
      <c r="Q317" s="40"/>
      <c r="R317" s="40"/>
      <c r="S317" s="40"/>
      <c r="T317" s="40"/>
      <c r="U317" s="24" t="str">
        <f>IFERROR(__xludf.DUMMYFUNCTION("SPLIT(E317,""01234567890"")"),"Michael
")</f>
        <v>Michael
</v>
      </c>
      <c r="V317" s="24" t="str">
        <f>IFERROR(__xludf.DUMMYFUNCTION("SPLIT(D317,"","")"),"Wilson")</f>
        <v>Wilson</v>
      </c>
      <c r="W317" s="25" t="str">
        <f t="shared" si="1"/>
        <v>MICHAEL
 WILSON</v>
      </c>
      <c r="X317" s="25" t="s">
        <v>878</v>
      </c>
      <c r="Y317" s="25">
        <v>75214.0</v>
      </c>
      <c r="Z317" s="25" t="str">
        <f>IFERROR(__xludf.DUMMYFUNCTION("SPLIT(C317,""
"")"),"Wilson, Michael")</f>
        <v>Wilson, Michael</v>
      </c>
      <c r="AA317" s="25" t="str">
        <f>IFERROR(__xludf.DUMMYFUNCTION("""COMPUTED_VALUE"""),"6739 Avalon Ave")</f>
        <v>6739 Avalon Ave</v>
      </c>
      <c r="AB317" s="25" t="str">
        <f>IFERROR(__xludf.DUMMYFUNCTION("""COMPUTED_VALUE"""),"Dallas, TX 75214")</f>
        <v>Dallas, TX 75214</v>
      </c>
      <c r="AC317" s="24" t="s">
        <v>879</v>
      </c>
      <c r="AD317" s="25"/>
      <c r="AE317" s="25"/>
      <c r="AF317" s="25"/>
      <c r="AG317" s="40" t="s">
        <v>60</v>
      </c>
      <c r="AH317" s="42">
        <v>2437.0</v>
      </c>
      <c r="AI317" s="40" t="s">
        <v>61</v>
      </c>
      <c r="AJ317" s="27">
        <v>250.0</v>
      </c>
      <c r="AK317" s="31" t="s">
        <v>25</v>
      </c>
      <c r="AL317" s="43">
        <v>44727.0</v>
      </c>
      <c r="AM317" s="44">
        <v>44754.83237268519</v>
      </c>
      <c r="AN317" s="30">
        <v>2.0</v>
      </c>
      <c r="AO317" s="40"/>
      <c r="AP317" s="40"/>
      <c r="AQ317" s="40"/>
      <c r="AR317" s="40"/>
      <c r="AS317" s="40"/>
      <c r="AT317" s="47"/>
      <c r="AU317" s="40"/>
      <c r="AV317" s="46" t="str">
        <f>IFERROR(__xludf.DUMMYFUNCTION("""COMPUTED_VALUE"""),"Harding")</f>
        <v>Harding</v>
      </c>
      <c r="AW317" s="46">
        <f t="shared" si="7"/>
        <v>250</v>
      </c>
      <c r="AX317" s="47">
        <f t="shared" ref="AX317:BQ317" si="1061">SUMIFS($AJ:$AJ,$V:$V,$AV317,$AK:$AK,AX$2)</f>
        <v>0</v>
      </c>
      <c r="AY317" s="48">
        <f t="shared" si="1061"/>
        <v>0</v>
      </c>
      <c r="AZ317" s="48">
        <f t="shared" si="1061"/>
        <v>0</v>
      </c>
      <c r="BA317" s="48">
        <f t="shared" si="1061"/>
        <v>0</v>
      </c>
      <c r="BB317" s="48">
        <f t="shared" si="1061"/>
        <v>0</v>
      </c>
      <c r="BC317" s="48">
        <f t="shared" si="1061"/>
        <v>0</v>
      </c>
      <c r="BD317" s="48">
        <f t="shared" si="1061"/>
        <v>0</v>
      </c>
      <c r="BE317" s="48">
        <f t="shared" si="1061"/>
        <v>0</v>
      </c>
      <c r="BF317" s="48">
        <f t="shared" si="1061"/>
        <v>0</v>
      </c>
      <c r="BG317" s="48">
        <f t="shared" si="1061"/>
        <v>250</v>
      </c>
      <c r="BH317" s="48">
        <f t="shared" si="1061"/>
        <v>0</v>
      </c>
      <c r="BI317" s="48">
        <f t="shared" si="1061"/>
        <v>0</v>
      </c>
      <c r="BJ317" s="48">
        <f t="shared" si="1061"/>
        <v>0</v>
      </c>
      <c r="BK317" s="48">
        <f t="shared" si="1061"/>
        <v>0</v>
      </c>
      <c r="BL317" s="48">
        <f t="shared" si="1061"/>
        <v>0</v>
      </c>
      <c r="BM317" s="48">
        <f t="shared" si="1061"/>
        <v>0</v>
      </c>
      <c r="BN317" s="48">
        <f t="shared" si="1061"/>
        <v>0</v>
      </c>
      <c r="BO317" s="48">
        <f t="shared" si="1061"/>
        <v>0</v>
      </c>
      <c r="BP317" s="48">
        <f t="shared" si="1061"/>
        <v>0</v>
      </c>
      <c r="BQ317" s="48">
        <f t="shared" si="1061"/>
        <v>0</v>
      </c>
      <c r="BR317" s="36">
        <f t="shared" si="9"/>
        <v>0</v>
      </c>
      <c r="BS317" s="38">
        <f t="shared" si="10"/>
        <v>1</v>
      </c>
      <c r="BT317" s="49">
        <f t="shared" si="11"/>
        <v>0</v>
      </c>
      <c r="BU317" s="38">
        <f t="shared" si="12"/>
        <v>1000</v>
      </c>
      <c r="BV317" s="46" t="str">
        <f>IFERROR(__xludf.DUMMYFUNCTION("""COMPUTED_VALUE"""),"Harding")</f>
        <v>Harding</v>
      </c>
      <c r="BW317" s="46">
        <f t="shared" si="13"/>
        <v>250</v>
      </c>
      <c r="BX317" s="47">
        <f t="shared" ref="BX317:CA317" si="1062">AX317-$BU317</f>
        <v>-1000</v>
      </c>
      <c r="BY317" s="47">
        <f t="shared" si="1062"/>
        <v>-1000</v>
      </c>
      <c r="BZ317" s="47">
        <f t="shared" si="1062"/>
        <v>-1000</v>
      </c>
      <c r="CA317" s="47">
        <f t="shared" si="1062"/>
        <v>-1000</v>
      </c>
      <c r="CB317" s="47">
        <f t="shared" si="15"/>
        <v>-10000</v>
      </c>
      <c r="CC317" s="47">
        <f t="shared" ref="CC317:CQ317" si="1063">BC317-$BU317</f>
        <v>-1000</v>
      </c>
      <c r="CD317" s="47">
        <f t="shared" si="1063"/>
        <v>-1000</v>
      </c>
      <c r="CE317" s="47">
        <f t="shared" si="1063"/>
        <v>-1000</v>
      </c>
      <c r="CF317" s="47">
        <f t="shared" si="1063"/>
        <v>-1000</v>
      </c>
      <c r="CG317" s="47">
        <f t="shared" si="1063"/>
        <v>-750</v>
      </c>
      <c r="CH317" s="47">
        <f t="shared" si="1063"/>
        <v>-1000</v>
      </c>
      <c r="CI317" s="47">
        <f t="shared" si="1063"/>
        <v>-1000</v>
      </c>
      <c r="CJ317" s="47">
        <f t="shared" si="1063"/>
        <v>-1000</v>
      </c>
      <c r="CK317" s="47">
        <f t="shared" si="1063"/>
        <v>-1000</v>
      </c>
      <c r="CL317" s="47">
        <f t="shared" si="1063"/>
        <v>-1000</v>
      </c>
      <c r="CM317" s="47">
        <f t="shared" si="1063"/>
        <v>-1000</v>
      </c>
      <c r="CN317" s="47">
        <f t="shared" si="1063"/>
        <v>-1000</v>
      </c>
      <c r="CO317" s="47">
        <f t="shared" si="1063"/>
        <v>-1000</v>
      </c>
      <c r="CP317" s="47">
        <f t="shared" si="1063"/>
        <v>-1000</v>
      </c>
      <c r="CQ317" s="47">
        <f t="shared" si="1063"/>
        <v>-1000</v>
      </c>
      <c r="CR317" s="47"/>
      <c r="CS317" s="47"/>
      <c r="CT317" s="47"/>
      <c r="CU317" s="50" t="str">
        <f>IFERROR(__xludf.DUMMYFUNCTION("""COMPUTED_VALUE"""),"811 Main Street
Houston, TX 77002          ")</f>
        <v>811 Main Street
Houston, TX 77002          </v>
      </c>
      <c r="CV317" s="51">
        <f>IFERROR(__xludf.DUMMYFUNCTION("IF(REGEXMATCH(UPPER(CU317), ""TX""),0,1)"),0.0)</f>
        <v>0</v>
      </c>
      <c r="CW317" s="51">
        <f>IFERROR(__xludf.DUMMYFUNCTION("IF(REGEXMATCH(UPPER(CU317), ""DALLAS""),0,1)"),1.0)</f>
        <v>1</v>
      </c>
      <c r="CX317" s="51">
        <f t="shared" si="17"/>
        <v>0</v>
      </c>
      <c r="CY317" s="51">
        <f t="shared" si="18"/>
        <v>500</v>
      </c>
      <c r="CZ317" s="52" t="str">
        <f t="shared" si="19"/>
        <v>811 Main Street
Houston, TX 77002          </v>
      </c>
      <c r="DA317" s="58"/>
      <c r="DB317" s="52"/>
      <c r="DC317" s="52"/>
      <c r="DD317" s="52"/>
      <c r="DE317" s="52"/>
      <c r="DF317" s="52"/>
      <c r="DG317" s="52"/>
      <c r="DH317" s="52"/>
      <c r="DI317" s="52"/>
      <c r="DJ317" s="52"/>
      <c r="DK317" s="52"/>
      <c r="DL317" s="52"/>
      <c r="DM317" s="52"/>
      <c r="DN317" s="52"/>
      <c r="DO317" s="52"/>
      <c r="DP317" s="52"/>
      <c r="DQ317" s="52"/>
      <c r="DR317" s="52"/>
      <c r="DS317" s="52"/>
      <c r="DT317" s="52"/>
      <c r="DU317" s="52"/>
      <c r="DV317" s="52"/>
      <c r="DW317" s="52"/>
    </row>
    <row r="318">
      <c r="A318" s="22" t="s">
        <v>55</v>
      </c>
      <c r="B318" s="23" t="s">
        <v>56</v>
      </c>
      <c r="C318" s="31" t="s">
        <v>880</v>
      </c>
      <c r="D318" s="25" t="str">
        <f>IFERROR(__xludf.DUMMYFUNCTION("SPLIT(C318,"" "")"),"Carter,")</f>
        <v>Carter,</v>
      </c>
      <c r="E318" s="22" t="str">
        <f>IFERROR(__xludf.DUMMYFUNCTION("""COMPUTED_VALUE"""),"Stefani
2408")</f>
        <v>Stefani
2408</v>
      </c>
      <c r="F318" s="22" t="str">
        <f>IFERROR(__xludf.DUMMYFUNCTION("""COMPUTED_VALUE"""),"Victory")</f>
        <v>Victory</v>
      </c>
      <c r="G318" s="22" t="str">
        <f>IFERROR(__xludf.DUMMYFUNCTION("""COMPUTED_VALUE"""),"Park")</f>
        <v>Park</v>
      </c>
      <c r="H318" s="22" t="str">
        <f>IFERROR(__xludf.DUMMYFUNCTION("""COMPUTED_VALUE"""),"Ln
Dallas,")</f>
        <v>Ln
Dallas,</v>
      </c>
      <c r="I318" s="22" t="str">
        <f>IFERROR(__xludf.DUMMYFUNCTION("""COMPUTED_VALUE"""),"TX")</f>
        <v>TX</v>
      </c>
      <c r="J318" s="22">
        <f>IFERROR(__xludf.DUMMYFUNCTION("""COMPUTED_VALUE"""),75219.0)</f>
        <v>75219</v>
      </c>
      <c r="K318" s="22"/>
      <c r="L318" s="22"/>
      <c r="M318" s="22"/>
      <c r="N318" s="22"/>
      <c r="O318" s="22"/>
      <c r="P318" s="22"/>
      <c r="Q318" s="22"/>
      <c r="R318" s="22"/>
      <c r="S318" s="22"/>
      <c r="T318" s="22"/>
      <c r="U318" s="24" t="str">
        <f>IFERROR(__xludf.DUMMYFUNCTION("SPLIT(E318,""01234567890"")"),"Stefani
")</f>
        <v>Stefani
</v>
      </c>
      <c r="V318" s="24" t="str">
        <f>IFERROR(__xludf.DUMMYFUNCTION("SPLIT(D318,"","")"),"Carter")</f>
        <v>Carter</v>
      </c>
      <c r="W318" s="25" t="str">
        <f t="shared" si="1"/>
        <v>STEFANI
 CARTER</v>
      </c>
      <c r="X318" s="25" t="s">
        <v>881</v>
      </c>
      <c r="Y318" s="25">
        <v>75219.0</v>
      </c>
      <c r="Z318" s="25" t="str">
        <f>IFERROR(__xludf.DUMMYFUNCTION("SPLIT(C318,""
"")"),"Carter, Stefani")</f>
        <v>Carter, Stefani</v>
      </c>
      <c r="AA318" s="25" t="str">
        <f>IFERROR(__xludf.DUMMYFUNCTION("""COMPUTED_VALUE"""),"2408 Victory Park Ln")</f>
        <v>2408 Victory Park Ln</v>
      </c>
      <c r="AB318" s="25" t="str">
        <f>IFERROR(__xludf.DUMMYFUNCTION("""COMPUTED_VALUE"""),"Dallas, TX 75219")</f>
        <v>Dallas, TX 75219</v>
      </c>
      <c r="AC318" s="24" t="s">
        <v>882</v>
      </c>
      <c r="AD318" s="25"/>
      <c r="AE318" s="25"/>
      <c r="AF318" s="25"/>
      <c r="AG318" s="22" t="s">
        <v>60</v>
      </c>
      <c r="AH318" s="54">
        <v>2437.0</v>
      </c>
      <c r="AI318" s="22" t="s">
        <v>61</v>
      </c>
      <c r="AJ318" s="27">
        <v>250.0</v>
      </c>
      <c r="AK318" s="31" t="s">
        <v>25</v>
      </c>
      <c r="AL318" s="28">
        <v>44726.0</v>
      </c>
      <c r="AM318" s="29">
        <v>44754.83237268519</v>
      </c>
      <c r="AN318" s="30">
        <v>2.0</v>
      </c>
      <c r="AO318" s="22"/>
      <c r="AP318" s="22"/>
      <c r="AQ318" s="22"/>
      <c r="AR318" s="22"/>
      <c r="AS318" s="22"/>
      <c r="AT318" s="70"/>
      <c r="AU318" s="22"/>
      <c r="AV318" s="57" t="str">
        <f>IFERROR(__xludf.DUMMYFUNCTION("""COMPUTED_VALUE"""),"Spalding")</f>
        <v>Spalding</v>
      </c>
      <c r="AW318" s="46">
        <f t="shared" si="7"/>
        <v>50</v>
      </c>
      <c r="AX318" s="47">
        <f t="shared" ref="AX318:BQ318" si="1064">SUMIFS($AJ:$AJ,$V:$V,$AV318,$AK:$AK,AX$2)</f>
        <v>0</v>
      </c>
      <c r="AY318" s="48">
        <f t="shared" si="1064"/>
        <v>0</v>
      </c>
      <c r="AZ318" s="48">
        <f t="shared" si="1064"/>
        <v>0</v>
      </c>
      <c r="BA318" s="48">
        <f t="shared" si="1064"/>
        <v>0</v>
      </c>
      <c r="BB318" s="48">
        <f t="shared" si="1064"/>
        <v>0</v>
      </c>
      <c r="BC318" s="48">
        <f t="shared" si="1064"/>
        <v>0</v>
      </c>
      <c r="BD318" s="48">
        <f t="shared" si="1064"/>
        <v>0</v>
      </c>
      <c r="BE318" s="48">
        <f t="shared" si="1064"/>
        <v>0</v>
      </c>
      <c r="BF318" s="48">
        <f t="shared" si="1064"/>
        <v>0</v>
      </c>
      <c r="BG318" s="48">
        <f t="shared" si="1064"/>
        <v>50</v>
      </c>
      <c r="BH318" s="48">
        <f t="shared" si="1064"/>
        <v>0</v>
      </c>
      <c r="BI318" s="48">
        <f t="shared" si="1064"/>
        <v>0</v>
      </c>
      <c r="BJ318" s="48">
        <f t="shared" si="1064"/>
        <v>0</v>
      </c>
      <c r="BK318" s="48">
        <f t="shared" si="1064"/>
        <v>0</v>
      </c>
      <c r="BL318" s="48">
        <f t="shared" si="1064"/>
        <v>0</v>
      </c>
      <c r="BM318" s="48">
        <f t="shared" si="1064"/>
        <v>0</v>
      </c>
      <c r="BN318" s="48">
        <f t="shared" si="1064"/>
        <v>0</v>
      </c>
      <c r="BO318" s="48">
        <f t="shared" si="1064"/>
        <v>0</v>
      </c>
      <c r="BP318" s="48">
        <f t="shared" si="1064"/>
        <v>0</v>
      </c>
      <c r="BQ318" s="48">
        <f t="shared" si="1064"/>
        <v>0</v>
      </c>
      <c r="BR318" s="36">
        <f t="shared" si="9"/>
        <v>0</v>
      </c>
      <c r="BS318" s="38">
        <f t="shared" si="10"/>
        <v>1</v>
      </c>
      <c r="BT318" s="49">
        <f t="shared" si="11"/>
        <v>0</v>
      </c>
      <c r="BU318" s="38">
        <f t="shared" si="12"/>
        <v>1000</v>
      </c>
      <c r="BV318" s="57" t="str">
        <f>IFERROR(__xludf.DUMMYFUNCTION("""COMPUTED_VALUE"""),"Spalding")</f>
        <v>Spalding</v>
      </c>
      <c r="BW318" s="46">
        <f t="shared" si="13"/>
        <v>50</v>
      </c>
      <c r="BX318" s="47">
        <f t="shared" ref="BX318:CA318" si="1065">AX318-$BU318</f>
        <v>-1000</v>
      </c>
      <c r="BY318" s="47">
        <f t="shared" si="1065"/>
        <v>-1000</v>
      </c>
      <c r="BZ318" s="47">
        <f t="shared" si="1065"/>
        <v>-1000</v>
      </c>
      <c r="CA318" s="47">
        <f t="shared" si="1065"/>
        <v>-1000</v>
      </c>
      <c r="CB318" s="47">
        <f t="shared" si="15"/>
        <v>-10000</v>
      </c>
      <c r="CC318" s="47">
        <f t="shared" ref="CC318:CQ318" si="1066">BC318-$BU318</f>
        <v>-1000</v>
      </c>
      <c r="CD318" s="47">
        <f t="shared" si="1066"/>
        <v>-1000</v>
      </c>
      <c r="CE318" s="47">
        <f t="shared" si="1066"/>
        <v>-1000</v>
      </c>
      <c r="CF318" s="47">
        <f t="shared" si="1066"/>
        <v>-1000</v>
      </c>
      <c r="CG318" s="47">
        <f t="shared" si="1066"/>
        <v>-950</v>
      </c>
      <c r="CH318" s="47">
        <f t="shared" si="1066"/>
        <v>-1000</v>
      </c>
      <c r="CI318" s="47">
        <f t="shared" si="1066"/>
        <v>-1000</v>
      </c>
      <c r="CJ318" s="47">
        <f t="shared" si="1066"/>
        <v>-1000</v>
      </c>
      <c r="CK318" s="47">
        <f t="shared" si="1066"/>
        <v>-1000</v>
      </c>
      <c r="CL318" s="47">
        <f t="shared" si="1066"/>
        <v>-1000</v>
      </c>
      <c r="CM318" s="47">
        <f t="shared" si="1066"/>
        <v>-1000</v>
      </c>
      <c r="CN318" s="47">
        <f t="shared" si="1066"/>
        <v>-1000</v>
      </c>
      <c r="CO318" s="47">
        <f t="shared" si="1066"/>
        <v>-1000</v>
      </c>
      <c r="CP318" s="47">
        <f t="shared" si="1066"/>
        <v>-1000</v>
      </c>
      <c r="CQ318" s="47">
        <f t="shared" si="1066"/>
        <v>-1000</v>
      </c>
      <c r="CR318" s="47"/>
      <c r="CS318" s="47"/>
      <c r="CT318" s="47"/>
      <c r="CU318" s="50" t="str">
        <f>IFERROR(__xludf.DUMMYFUNCTION("""COMPUTED_VALUE"""),"6522 Orchid Lane
Dallas, TX 75230          ")</f>
        <v>6522 Orchid Lane
Dallas, TX 75230          </v>
      </c>
      <c r="CV318" s="51">
        <f>IFERROR(__xludf.DUMMYFUNCTION("IF(REGEXMATCH(UPPER(CU318), ""TX""),0,1)"),0.0)</f>
        <v>0</v>
      </c>
      <c r="CW318" s="51">
        <f>IFERROR(__xludf.DUMMYFUNCTION("IF(REGEXMATCH(UPPER(CU318), ""DALLAS""),0,1)"),0.0)</f>
        <v>0</v>
      </c>
      <c r="CX318" s="51">
        <f t="shared" si="17"/>
        <v>0</v>
      </c>
      <c r="CY318" s="51">
        <f t="shared" si="18"/>
        <v>0</v>
      </c>
      <c r="CZ318" s="52" t="str">
        <f t="shared" si="19"/>
        <v/>
      </c>
      <c r="DA318" s="58"/>
      <c r="DB318" s="52"/>
      <c r="DC318" s="52"/>
      <c r="DD318" s="52"/>
      <c r="DE318" s="52"/>
      <c r="DF318" s="52"/>
      <c r="DG318" s="52"/>
      <c r="DH318" s="52"/>
      <c r="DI318" s="52"/>
      <c r="DJ318" s="52"/>
      <c r="DK318" s="52"/>
      <c r="DL318" s="52"/>
      <c r="DM318" s="52"/>
      <c r="DN318" s="52"/>
      <c r="DO318" s="52"/>
      <c r="DP318" s="52"/>
      <c r="DQ318" s="52"/>
      <c r="DR318" s="52"/>
      <c r="DS318" s="52"/>
      <c r="DT318" s="52"/>
      <c r="DU318" s="52"/>
      <c r="DV318" s="52"/>
      <c r="DW318" s="52"/>
    </row>
    <row r="319">
      <c r="A319" s="41" t="s">
        <v>64</v>
      </c>
      <c r="B319" s="41" t="s">
        <v>56</v>
      </c>
      <c r="C319" s="31" t="s">
        <v>883</v>
      </c>
      <c r="D319" s="25" t="str">
        <f>IFERROR(__xludf.DUMMYFUNCTION("SPLIT(C319,"" "")"),"McDougal,")</f>
        <v>McDougal,</v>
      </c>
      <c r="E319" s="40" t="str">
        <f>IFERROR(__xludf.DUMMYFUNCTION("""COMPUTED_VALUE"""),"Matthew
4001")</f>
        <v>Matthew
4001</v>
      </c>
      <c r="F319" s="40" t="str">
        <f>IFERROR(__xludf.DUMMYFUNCTION("""COMPUTED_VALUE"""),"Ross")</f>
        <v>Ross</v>
      </c>
      <c r="G319" s="40" t="str">
        <f>IFERROR(__xludf.DUMMYFUNCTION("""COMPUTED_VALUE"""),"Ave
Dallas,")</f>
        <v>Ave
Dallas,</v>
      </c>
      <c r="H319" s="40" t="str">
        <f>IFERROR(__xludf.DUMMYFUNCTION("""COMPUTED_VALUE"""),"TX")</f>
        <v>TX</v>
      </c>
      <c r="I319" s="40">
        <f>IFERROR(__xludf.DUMMYFUNCTION("""COMPUTED_VALUE"""),75204.0)</f>
        <v>75204</v>
      </c>
      <c r="J319" s="40"/>
      <c r="K319" s="40"/>
      <c r="L319" s="40"/>
      <c r="M319" s="40"/>
      <c r="N319" s="40"/>
      <c r="O319" s="40"/>
      <c r="P319" s="40"/>
      <c r="Q319" s="40"/>
      <c r="R319" s="40"/>
      <c r="S319" s="40"/>
      <c r="T319" s="40"/>
      <c r="U319" s="24" t="str">
        <f>IFERROR(__xludf.DUMMYFUNCTION("SPLIT(E319,""01234567890"")"),"Matthew
")</f>
        <v>Matthew
</v>
      </c>
      <c r="V319" s="24" t="str">
        <f>IFERROR(__xludf.DUMMYFUNCTION("SPLIT(D319,"","")"),"McDougal")</f>
        <v>McDougal</v>
      </c>
      <c r="W319" s="25" t="str">
        <f t="shared" si="1"/>
        <v>MATTHEW
 MCDOUGAL</v>
      </c>
      <c r="X319" s="25" t="s">
        <v>884</v>
      </c>
      <c r="Y319" s="25">
        <v>75204.0</v>
      </c>
      <c r="Z319" s="25" t="str">
        <f>IFERROR(__xludf.DUMMYFUNCTION("SPLIT(C319,""
"")"),"McDougal, Matthew")</f>
        <v>McDougal, Matthew</v>
      </c>
      <c r="AA319" s="25" t="str">
        <f>IFERROR(__xludf.DUMMYFUNCTION("""COMPUTED_VALUE"""),"4001 Ross Ave")</f>
        <v>4001 Ross Ave</v>
      </c>
      <c r="AB319" s="25" t="str">
        <f>IFERROR(__xludf.DUMMYFUNCTION("""COMPUTED_VALUE"""),"Dallas, TX 75204")</f>
        <v>Dallas, TX 75204</v>
      </c>
      <c r="AC319" s="24" t="s">
        <v>885</v>
      </c>
      <c r="AD319" s="25"/>
      <c r="AE319" s="25"/>
      <c r="AF319" s="25"/>
      <c r="AG319" s="40" t="s">
        <v>60</v>
      </c>
      <c r="AH319" s="42">
        <v>2437.0</v>
      </c>
      <c r="AI319" s="40" t="s">
        <v>61</v>
      </c>
      <c r="AJ319" s="27">
        <v>250.0</v>
      </c>
      <c r="AK319" s="31" t="s">
        <v>25</v>
      </c>
      <c r="AL319" s="43">
        <v>44726.0</v>
      </c>
      <c r="AM319" s="44">
        <v>44754.83237268519</v>
      </c>
      <c r="AN319" s="30">
        <v>2.0</v>
      </c>
      <c r="AO319" s="40"/>
      <c r="AP319" s="40"/>
      <c r="AQ319" s="40"/>
      <c r="AR319" s="40"/>
      <c r="AS319" s="40"/>
      <c r="AT319" s="47"/>
      <c r="AU319" s="40"/>
      <c r="AV319" s="46" t="str">
        <f>IFERROR(__xludf.DUMMYFUNCTION("""COMPUTED_VALUE"""),"Huntington")</f>
        <v>Huntington</v>
      </c>
      <c r="AW319" s="46">
        <f t="shared" si="7"/>
        <v>200</v>
      </c>
      <c r="AX319" s="47">
        <f t="shared" ref="AX319:BQ319" si="1067">SUMIFS($AJ:$AJ,$V:$V,$AV319,$AK:$AK,AX$2)</f>
        <v>0</v>
      </c>
      <c r="AY319" s="48">
        <f t="shared" si="1067"/>
        <v>0</v>
      </c>
      <c r="AZ319" s="48">
        <f t="shared" si="1067"/>
        <v>0</v>
      </c>
      <c r="BA319" s="48">
        <f t="shared" si="1067"/>
        <v>0</v>
      </c>
      <c r="BB319" s="48">
        <f t="shared" si="1067"/>
        <v>0</v>
      </c>
      <c r="BC319" s="48">
        <f t="shared" si="1067"/>
        <v>0</v>
      </c>
      <c r="BD319" s="48">
        <f t="shared" si="1067"/>
        <v>0</v>
      </c>
      <c r="BE319" s="48">
        <f t="shared" si="1067"/>
        <v>0</v>
      </c>
      <c r="BF319" s="48">
        <f t="shared" si="1067"/>
        <v>0</v>
      </c>
      <c r="BG319" s="48">
        <f t="shared" si="1067"/>
        <v>200</v>
      </c>
      <c r="BH319" s="48">
        <f t="shared" si="1067"/>
        <v>0</v>
      </c>
      <c r="BI319" s="48">
        <f t="shared" si="1067"/>
        <v>0</v>
      </c>
      <c r="BJ319" s="48">
        <f t="shared" si="1067"/>
        <v>0</v>
      </c>
      <c r="BK319" s="48">
        <f t="shared" si="1067"/>
        <v>0</v>
      </c>
      <c r="BL319" s="48">
        <f t="shared" si="1067"/>
        <v>0</v>
      </c>
      <c r="BM319" s="48">
        <f t="shared" si="1067"/>
        <v>0</v>
      </c>
      <c r="BN319" s="48">
        <f t="shared" si="1067"/>
        <v>0</v>
      </c>
      <c r="BO319" s="48">
        <f t="shared" si="1067"/>
        <v>0</v>
      </c>
      <c r="BP319" s="48">
        <f t="shared" si="1067"/>
        <v>0</v>
      </c>
      <c r="BQ319" s="48">
        <f t="shared" si="1067"/>
        <v>0</v>
      </c>
      <c r="BR319" s="36">
        <f t="shared" si="9"/>
        <v>0</v>
      </c>
      <c r="BS319" s="38">
        <f t="shared" si="10"/>
        <v>1</v>
      </c>
      <c r="BT319" s="49">
        <f t="shared" si="11"/>
        <v>0</v>
      </c>
      <c r="BU319" s="38">
        <f t="shared" si="12"/>
        <v>1000</v>
      </c>
      <c r="BV319" s="46" t="str">
        <f>IFERROR(__xludf.DUMMYFUNCTION("""COMPUTED_VALUE"""),"Huntington")</f>
        <v>Huntington</v>
      </c>
      <c r="BW319" s="46">
        <f t="shared" si="13"/>
        <v>200</v>
      </c>
      <c r="BX319" s="47">
        <f t="shared" ref="BX319:CA319" si="1068">AX319-$BU319</f>
        <v>-1000</v>
      </c>
      <c r="BY319" s="47">
        <f t="shared" si="1068"/>
        <v>-1000</v>
      </c>
      <c r="BZ319" s="47">
        <f t="shared" si="1068"/>
        <v>-1000</v>
      </c>
      <c r="CA319" s="47">
        <f t="shared" si="1068"/>
        <v>-1000</v>
      </c>
      <c r="CB319" s="47">
        <f t="shared" si="15"/>
        <v>-10000</v>
      </c>
      <c r="CC319" s="47">
        <f t="shared" ref="CC319:CQ319" si="1069">BC319-$BU319</f>
        <v>-1000</v>
      </c>
      <c r="CD319" s="47">
        <f t="shared" si="1069"/>
        <v>-1000</v>
      </c>
      <c r="CE319" s="47">
        <f t="shared" si="1069"/>
        <v>-1000</v>
      </c>
      <c r="CF319" s="47">
        <f t="shared" si="1069"/>
        <v>-1000</v>
      </c>
      <c r="CG319" s="47">
        <f t="shared" si="1069"/>
        <v>-800</v>
      </c>
      <c r="CH319" s="47">
        <f t="shared" si="1069"/>
        <v>-1000</v>
      </c>
      <c r="CI319" s="47">
        <f t="shared" si="1069"/>
        <v>-1000</v>
      </c>
      <c r="CJ319" s="47">
        <f t="shared" si="1069"/>
        <v>-1000</v>
      </c>
      <c r="CK319" s="47">
        <f t="shared" si="1069"/>
        <v>-1000</v>
      </c>
      <c r="CL319" s="47">
        <f t="shared" si="1069"/>
        <v>-1000</v>
      </c>
      <c r="CM319" s="47">
        <f t="shared" si="1069"/>
        <v>-1000</v>
      </c>
      <c r="CN319" s="47">
        <f t="shared" si="1069"/>
        <v>-1000</v>
      </c>
      <c r="CO319" s="47">
        <f t="shared" si="1069"/>
        <v>-1000</v>
      </c>
      <c r="CP319" s="47">
        <f t="shared" si="1069"/>
        <v>-1000</v>
      </c>
      <c r="CQ319" s="47">
        <f t="shared" si="1069"/>
        <v>-1000</v>
      </c>
      <c r="CR319" s="47"/>
      <c r="CS319" s="47"/>
      <c r="CT319" s="47"/>
      <c r="CU319" s="50" t="str">
        <f>IFERROR(__xludf.DUMMYFUNCTION("""COMPUTED_VALUE"""),"dee Anna
1721 Woodsong Dr
Brentwood, TN 37027         ")</f>
        <v>dee Anna
1721 Woodsong Dr
Brentwood, TN 37027         </v>
      </c>
      <c r="CV319" s="51">
        <f>IFERROR(__xludf.DUMMYFUNCTION("IF(REGEXMATCH(UPPER(CU319), ""TX""),0,1)"),1.0)</f>
        <v>1</v>
      </c>
      <c r="CW319" s="51">
        <f>IFERROR(__xludf.DUMMYFUNCTION("IF(REGEXMATCH(UPPER(CU319), ""DALLAS""),0,1)"),1.0)</f>
        <v>1</v>
      </c>
      <c r="CX319" s="51">
        <f t="shared" si="17"/>
        <v>1000</v>
      </c>
      <c r="CY319" s="51">
        <f t="shared" si="18"/>
        <v>1000</v>
      </c>
      <c r="CZ319" s="52" t="str">
        <f t="shared" si="19"/>
        <v>dee Anna
1721 Woodsong Dr
Brentwood, TN 37027         </v>
      </c>
      <c r="DA319" s="58"/>
      <c r="DB319" s="52"/>
      <c r="DC319" s="52"/>
      <c r="DD319" s="52"/>
      <c r="DE319" s="52"/>
      <c r="DF319" s="52"/>
      <c r="DG319" s="52"/>
      <c r="DH319" s="52"/>
      <c r="DI319" s="52"/>
      <c r="DJ319" s="52"/>
      <c r="DK319" s="52"/>
      <c r="DL319" s="52"/>
      <c r="DM319" s="52"/>
      <c r="DN319" s="52"/>
      <c r="DO319" s="52"/>
      <c r="DP319" s="52"/>
      <c r="DQ319" s="52"/>
      <c r="DR319" s="52"/>
      <c r="DS319" s="52"/>
      <c r="DT319" s="52"/>
      <c r="DU319" s="52"/>
      <c r="DV319" s="52"/>
      <c r="DW319" s="52"/>
    </row>
    <row r="320">
      <c r="A320" s="22" t="s">
        <v>55</v>
      </c>
      <c r="B320" s="23" t="s">
        <v>56</v>
      </c>
      <c r="C320" s="31" t="s">
        <v>886</v>
      </c>
      <c r="D320" s="25" t="str">
        <f>IFERROR(__xludf.DUMMYFUNCTION("SPLIT(C320,"" "")"),"Smith,")</f>
        <v>Smith,</v>
      </c>
      <c r="E320" s="22" t="str">
        <f>IFERROR(__xludf.DUMMYFUNCTION("""COMPUTED_VALUE"""),"William
9254")</f>
        <v>William
9254</v>
      </c>
      <c r="F320" s="22" t="str">
        <f>IFERROR(__xludf.DUMMYFUNCTION("""COMPUTED_VALUE"""),"Forest")</f>
        <v>Forest</v>
      </c>
      <c r="G320" s="22" t="str">
        <f>IFERROR(__xludf.DUMMYFUNCTION("""COMPUTED_VALUE"""),"Lane
Dallas,")</f>
        <v>Lane
Dallas,</v>
      </c>
      <c r="H320" s="22" t="str">
        <f>IFERROR(__xludf.DUMMYFUNCTION("""COMPUTED_VALUE"""),"TX")</f>
        <v>TX</v>
      </c>
      <c r="I320" s="22">
        <f>IFERROR(__xludf.DUMMYFUNCTION("""COMPUTED_VALUE"""),75243.0)</f>
        <v>75243</v>
      </c>
      <c r="J320" s="22"/>
      <c r="K320" s="22"/>
      <c r="L320" s="22"/>
      <c r="M320" s="22"/>
      <c r="N320" s="22"/>
      <c r="O320" s="22"/>
      <c r="P320" s="22"/>
      <c r="Q320" s="22"/>
      <c r="R320" s="22"/>
      <c r="S320" s="22"/>
      <c r="T320" s="22"/>
      <c r="U320" s="24" t="str">
        <f>IFERROR(__xludf.DUMMYFUNCTION("SPLIT(E320,""01234567890"")"),"William
")</f>
        <v>William
</v>
      </c>
      <c r="V320" s="24" t="str">
        <f>IFERROR(__xludf.DUMMYFUNCTION("SPLIT(D320,"","")"),"Smith")</f>
        <v>Smith</v>
      </c>
      <c r="W320" s="25" t="str">
        <f t="shared" si="1"/>
        <v>WILLIAM
 SMITH</v>
      </c>
      <c r="X320" s="25" t="s">
        <v>887</v>
      </c>
      <c r="Y320" s="25">
        <v>75243.0</v>
      </c>
      <c r="Z320" s="25" t="str">
        <f>IFERROR(__xludf.DUMMYFUNCTION("SPLIT(C320,""
"")"),"Smith, William")</f>
        <v>Smith, William</v>
      </c>
      <c r="AA320" s="25" t="str">
        <f>IFERROR(__xludf.DUMMYFUNCTION("""COMPUTED_VALUE"""),"9254 Forest Lane")</f>
        <v>9254 Forest Lane</v>
      </c>
      <c r="AB320" s="25" t="str">
        <f>IFERROR(__xludf.DUMMYFUNCTION("""COMPUTED_VALUE"""),"Dallas, TX 75243")</f>
        <v>Dallas, TX 75243</v>
      </c>
      <c r="AC320" s="24" t="s">
        <v>888</v>
      </c>
      <c r="AD320" s="25"/>
      <c r="AE320" s="25"/>
      <c r="AF320" s="25"/>
      <c r="AG320" s="22" t="s">
        <v>60</v>
      </c>
      <c r="AH320" s="54">
        <v>2437.0</v>
      </c>
      <c r="AI320" s="22" t="s">
        <v>61</v>
      </c>
      <c r="AJ320" s="27">
        <v>500.0</v>
      </c>
      <c r="AK320" s="31" t="s">
        <v>25</v>
      </c>
      <c r="AL320" s="28">
        <v>44726.0</v>
      </c>
      <c r="AM320" s="29">
        <v>44754.83237268519</v>
      </c>
      <c r="AN320" s="30">
        <v>2.0</v>
      </c>
      <c r="AO320" s="22"/>
      <c r="AP320" s="22"/>
      <c r="AQ320" s="22"/>
      <c r="AR320" s="22"/>
      <c r="AS320" s="22"/>
      <c r="AT320" s="70"/>
      <c r="AU320" s="22"/>
      <c r="AV320" s="57" t="str">
        <f>IFERROR(__xludf.DUMMYFUNCTION("""COMPUTED_VALUE"""),"Hazelton")</f>
        <v>Hazelton</v>
      </c>
      <c r="AW320" s="46">
        <f t="shared" si="7"/>
        <v>500</v>
      </c>
      <c r="AX320" s="47">
        <f t="shared" ref="AX320:BQ320" si="1070">SUMIFS($AJ:$AJ,$V:$V,$AV320,$AK:$AK,AX$2)</f>
        <v>0</v>
      </c>
      <c r="AY320" s="48">
        <f t="shared" si="1070"/>
        <v>0</v>
      </c>
      <c r="AZ320" s="48">
        <f t="shared" si="1070"/>
        <v>0</v>
      </c>
      <c r="BA320" s="48">
        <f t="shared" si="1070"/>
        <v>0</v>
      </c>
      <c r="BB320" s="48">
        <f t="shared" si="1070"/>
        <v>0</v>
      </c>
      <c r="BC320" s="48">
        <f t="shared" si="1070"/>
        <v>0</v>
      </c>
      <c r="BD320" s="48">
        <f t="shared" si="1070"/>
        <v>0</v>
      </c>
      <c r="BE320" s="48">
        <f t="shared" si="1070"/>
        <v>0</v>
      </c>
      <c r="BF320" s="48">
        <f t="shared" si="1070"/>
        <v>0</v>
      </c>
      <c r="BG320" s="48">
        <f t="shared" si="1070"/>
        <v>500</v>
      </c>
      <c r="BH320" s="48">
        <f t="shared" si="1070"/>
        <v>0</v>
      </c>
      <c r="BI320" s="48">
        <f t="shared" si="1070"/>
        <v>0</v>
      </c>
      <c r="BJ320" s="48">
        <f t="shared" si="1070"/>
        <v>0</v>
      </c>
      <c r="BK320" s="48">
        <f t="shared" si="1070"/>
        <v>0</v>
      </c>
      <c r="BL320" s="48">
        <f t="shared" si="1070"/>
        <v>0</v>
      </c>
      <c r="BM320" s="48">
        <f t="shared" si="1070"/>
        <v>0</v>
      </c>
      <c r="BN320" s="48">
        <f t="shared" si="1070"/>
        <v>0</v>
      </c>
      <c r="BO320" s="48">
        <f t="shared" si="1070"/>
        <v>0</v>
      </c>
      <c r="BP320" s="48">
        <f t="shared" si="1070"/>
        <v>0</v>
      </c>
      <c r="BQ320" s="48">
        <f t="shared" si="1070"/>
        <v>0</v>
      </c>
      <c r="BR320" s="36">
        <f t="shared" si="9"/>
        <v>0</v>
      </c>
      <c r="BS320" s="38">
        <f t="shared" si="10"/>
        <v>1</v>
      </c>
      <c r="BT320" s="49">
        <f t="shared" si="11"/>
        <v>0</v>
      </c>
      <c r="BU320" s="38">
        <f t="shared" si="12"/>
        <v>1000</v>
      </c>
      <c r="BV320" s="57" t="str">
        <f>IFERROR(__xludf.DUMMYFUNCTION("""COMPUTED_VALUE"""),"Hazelton")</f>
        <v>Hazelton</v>
      </c>
      <c r="BW320" s="46">
        <f t="shared" si="13"/>
        <v>500</v>
      </c>
      <c r="BX320" s="47">
        <f t="shared" ref="BX320:CA320" si="1071">AX320-$BU320</f>
        <v>-1000</v>
      </c>
      <c r="BY320" s="47">
        <f t="shared" si="1071"/>
        <v>-1000</v>
      </c>
      <c r="BZ320" s="47">
        <f t="shared" si="1071"/>
        <v>-1000</v>
      </c>
      <c r="CA320" s="47">
        <f t="shared" si="1071"/>
        <v>-1000</v>
      </c>
      <c r="CB320" s="47">
        <f t="shared" si="15"/>
        <v>-10000</v>
      </c>
      <c r="CC320" s="47">
        <f t="shared" ref="CC320:CQ320" si="1072">BC320-$BU320</f>
        <v>-1000</v>
      </c>
      <c r="CD320" s="47">
        <f t="shared" si="1072"/>
        <v>-1000</v>
      </c>
      <c r="CE320" s="47">
        <f t="shared" si="1072"/>
        <v>-1000</v>
      </c>
      <c r="CF320" s="47">
        <f t="shared" si="1072"/>
        <v>-1000</v>
      </c>
      <c r="CG320" s="47">
        <f t="shared" si="1072"/>
        <v>-500</v>
      </c>
      <c r="CH320" s="47">
        <f t="shared" si="1072"/>
        <v>-1000</v>
      </c>
      <c r="CI320" s="47">
        <f t="shared" si="1072"/>
        <v>-1000</v>
      </c>
      <c r="CJ320" s="47">
        <f t="shared" si="1072"/>
        <v>-1000</v>
      </c>
      <c r="CK320" s="47">
        <f t="shared" si="1072"/>
        <v>-1000</v>
      </c>
      <c r="CL320" s="47">
        <f t="shared" si="1072"/>
        <v>-1000</v>
      </c>
      <c r="CM320" s="47">
        <f t="shared" si="1072"/>
        <v>-1000</v>
      </c>
      <c r="CN320" s="47">
        <f t="shared" si="1072"/>
        <v>-1000</v>
      </c>
      <c r="CO320" s="47">
        <f t="shared" si="1072"/>
        <v>-1000</v>
      </c>
      <c r="CP320" s="47">
        <f t="shared" si="1072"/>
        <v>-1000</v>
      </c>
      <c r="CQ320" s="47">
        <f t="shared" si="1072"/>
        <v>-1000</v>
      </c>
      <c r="CR320" s="47"/>
      <c r="CS320" s="47"/>
      <c r="CT320" s="47"/>
      <c r="CU320" s="50" t="str">
        <f>IFERROR(__xludf.DUMMYFUNCTION("""COMPUTED_VALUE"""),"8112 Fox Creek Trail
Dallas, TX 75249         ")</f>
        <v>8112 Fox Creek Trail
Dallas, TX 75249         </v>
      </c>
      <c r="CV320" s="51">
        <f>IFERROR(__xludf.DUMMYFUNCTION("IF(REGEXMATCH(UPPER(CU320), ""TX""),0,1)"),0.0)</f>
        <v>0</v>
      </c>
      <c r="CW320" s="51">
        <f>IFERROR(__xludf.DUMMYFUNCTION("IF(REGEXMATCH(UPPER(CU320), ""DALLAS""),0,1)"),0.0)</f>
        <v>0</v>
      </c>
      <c r="CX320" s="51">
        <f t="shared" si="17"/>
        <v>0</v>
      </c>
      <c r="CY320" s="51">
        <f t="shared" si="18"/>
        <v>0</v>
      </c>
      <c r="CZ320" s="52" t="str">
        <f t="shared" si="19"/>
        <v/>
      </c>
      <c r="DA320" s="58"/>
      <c r="DB320" s="52"/>
      <c r="DC320" s="52"/>
      <c r="DD320" s="52"/>
      <c r="DE320" s="52"/>
      <c r="DF320" s="52"/>
      <c r="DG320" s="52"/>
      <c r="DH320" s="52"/>
      <c r="DI320" s="52"/>
      <c r="DJ320" s="52"/>
      <c r="DK320" s="52"/>
      <c r="DL320" s="52"/>
      <c r="DM320" s="52"/>
      <c r="DN320" s="52"/>
      <c r="DO320" s="52"/>
      <c r="DP320" s="52"/>
      <c r="DQ320" s="52"/>
      <c r="DR320" s="52"/>
      <c r="DS320" s="52"/>
      <c r="DT320" s="52"/>
      <c r="DU320" s="52"/>
      <c r="DV320" s="52"/>
      <c r="DW320" s="52"/>
    </row>
    <row r="321">
      <c r="A321" s="41" t="s">
        <v>64</v>
      </c>
      <c r="B321" s="41" t="s">
        <v>56</v>
      </c>
      <c r="C321" s="31" t="s">
        <v>889</v>
      </c>
      <c r="D321" s="25" t="str">
        <f>IFERROR(__xludf.DUMMYFUNCTION("SPLIT(C321,"" "")"),"Mittal,")</f>
        <v>Mittal,</v>
      </c>
      <c r="E321" s="40" t="str">
        <f>IFERROR(__xludf.DUMMYFUNCTION("""COMPUTED_VALUE"""),"Shridhar
4311")</f>
        <v>Shridhar
4311</v>
      </c>
      <c r="F321" s="40" t="str">
        <f>IFERROR(__xludf.DUMMYFUNCTION("""COMPUTED_VALUE"""),"Valley")</f>
        <v>Valley</v>
      </c>
      <c r="G321" s="40" t="str">
        <f>IFERROR(__xludf.DUMMYFUNCTION("""COMPUTED_VALUE"""),"Ridge")</f>
        <v>Ridge</v>
      </c>
      <c r="H321" s="40" t="str">
        <f>IFERROR(__xludf.DUMMYFUNCTION("""COMPUTED_VALUE"""),"Rd
Dallas,")</f>
        <v>Rd
Dallas,</v>
      </c>
      <c r="I321" s="40" t="str">
        <f>IFERROR(__xludf.DUMMYFUNCTION("""COMPUTED_VALUE"""),"TX")</f>
        <v>TX</v>
      </c>
      <c r="J321" s="40">
        <f>IFERROR(__xludf.DUMMYFUNCTION("""COMPUTED_VALUE"""),75220.0)</f>
        <v>75220</v>
      </c>
      <c r="K321" s="40"/>
      <c r="L321" s="40"/>
      <c r="M321" s="40"/>
      <c r="N321" s="40"/>
      <c r="O321" s="40"/>
      <c r="P321" s="40"/>
      <c r="Q321" s="40"/>
      <c r="R321" s="40"/>
      <c r="S321" s="40"/>
      <c r="T321" s="40"/>
      <c r="U321" s="24" t="str">
        <f>IFERROR(__xludf.DUMMYFUNCTION("SPLIT(E321,""01234567890"")"),"Shridhar
")</f>
        <v>Shridhar
</v>
      </c>
      <c r="V321" s="24" t="str">
        <f>IFERROR(__xludf.DUMMYFUNCTION("SPLIT(D321,"","")"),"Mittal")</f>
        <v>Mittal</v>
      </c>
      <c r="W321" s="25" t="str">
        <f t="shared" si="1"/>
        <v>SHRIDHAR
 MITTAL</v>
      </c>
      <c r="X321" s="25" t="s">
        <v>890</v>
      </c>
      <c r="Y321" s="25">
        <v>75220.0</v>
      </c>
      <c r="Z321" s="25" t="str">
        <f>IFERROR(__xludf.DUMMYFUNCTION("SPLIT(C321,""
"")"),"Mittal, Shridhar")</f>
        <v>Mittal, Shridhar</v>
      </c>
      <c r="AA321" s="25" t="str">
        <f>IFERROR(__xludf.DUMMYFUNCTION("""COMPUTED_VALUE"""),"4311 Valley Ridge Rd")</f>
        <v>4311 Valley Ridge Rd</v>
      </c>
      <c r="AB321" s="25" t="str">
        <f>IFERROR(__xludf.DUMMYFUNCTION("""COMPUTED_VALUE"""),"Dallas, TX 75220")</f>
        <v>Dallas, TX 75220</v>
      </c>
      <c r="AC321" s="24" t="s">
        <v>891</v>
      </c>
      <c r="AD321" s="25"/>
      <c r="AE321" s="25"/>
      <c r="AF321" s="25"/>
      <c r="AG321" s="40" t="s">
        <v>60</v>
      </c>
      <c r="AH321" s="42">
        <v>2437.0</v>
      </c>
      <c r="AI321" s="40" t="s">
        <v>61</v>
      </c>
      <c r="AJ321" s="27">
        <v>5000.0</v>
      </c>
      <c r="AK321" s="31" t="s">
        <v>25</v>
      </c>
      <c r="AL321" s="43">
        <v>44726.0</v>
      </c>
      <c r="AM321" s="44">
        <v>44754.83237268519</v>
      </c>
      <c r="AN321" s="30">
        <v>2.0</v>
      </c>
      <c r="AO321" s="40"/>
      <c r="AP321" s="40"/>
      <c r="AQ321" s="40"/>
      <c r="AR321" s="40"/>
      <c r="AS321" s="40"/>
      <c r="AT321" s="47"/>
      <c r="AU321" s="40"/>
      <c r="AV321" s="46" t="str">
        <f>IFERROR(__xludf.DUMMYFUNCTION("""COMPUTED_VALUE"""),"Trimble")</f>
        <v>Trimble</v>
      </c>
      <c r="AW321" s="46">
        <f t="shared" si="7"/>
        <v>1000</v>
      </c>
      <c r="AX321" s="47">
        <f t="shared" ref="AX321:BQ321" si="1073">SUMIFS($AJ:$AJ,$V:$V,$AV321,$AK:$AK,AX$2)</f>
        <v>0</v>
      </c>
      <c r="AY321" s="48">
        <f t="shared" si="1073"/>
        <v>0</v>
      </c>
      <c r="AZ321" s="48">
        <f t="shared" si="1073"/>
        <v>0</v>
      </c>
      <c r="BA321" s="48">
        <f t="shared" si="1073"/>
        <v>0</v>
      </c>
      <c r="BB321" s="48">
        <f t="shared" si="1073"/>
        <v>0</v>
      </c>
      <c r="BC321" s="48">
        <f t="shared" si="1073"/>
        <v>0</v>
      </c>
      <c r="BD321" s="48">
        <f t="shared" si="1073"/>
        <v>0</v>
      </c>
      <c r="BE321" s="48">
        <f t="shared" si="1073"/>
        <v>0</v>
      </c>
      <c r="BF321" s="48">
        <f t="shared" si="1073"/>
        <v>0</v>
      </c>
      <c r="BG321" s="48">
        <f t="shared" si="1073"/>
        <v>1000</v>
      </c>
      <c r="BH321" s="48">
        <f t="shared" si="1073"/>
        <v>0</v>
      </c>
      <c r="BI321" s="48">
        <f t="shared" si="1073"/>
        <v>0</v>
      </c>
      <c r="BJ321" s="48">
        <f t="shared" si="1073"/>
        <v>0</v>
      </c>
      <c r="BK321" s="48">
        <f t="shared" si="1073"/>
        <v>0</v>
      </c>
      <c r="BL321" s="48">
        <f t="shared" si="1073"/>
        <v>0</v>
      </c>
      <c r="BM321" s="48">
        <f t="shared" si="1073"/>
        <v>0</v>
      </c>
      <c r="BN321" s="48">
        <f t="shared" si="1073"/>
        <v>0</v>
      </c>
      <c r="BO321" s="48">
        <f t="shared" si="1073"/>
        <v>0</v>
      </c>
      <c r="BP321" s="48">
        <f t="shared" si="1073"/>
        <v>0</v>
      </c>
      <c r="BQ321" s="48">
        <f t="shared" si="1073"/>
        <v>0</v>
      </c>
      <c r="BR321" s="36">
        <f t="shared" si="9"/>
        <v>0</v>
      </c>
      <c r="BS321" s="38">
        <f t="shared" si="10"/>
        <v>1</v>
      </c>
      <c r="BT321" s="49">
        <f t="shared" si="11"/>
        <v>0</v>
      </c>
      <c r="BU321" s="38">
        <f t="shared" si="12"/>
        <v>1000</v>
      </c>
      <c r="BV321" s="46" t="str">
        <f>IFERROR(__xludf.DUMMYFUNCTION("""COMPUTED_VALUE"""),"Trimble")</f>
        <v>Trimble</v>
      </c>
      <c r="BW321" s="46">
        <f t="shared" si="13"/>
        <v>1000</v>
      </c>
      <c r="BX321" s="47">
        <f t="shared" ref="BX321:CA321" si="1074">AX321-$BU321</f>
        <v>-1000</v>
      </c>
      <c r="BY321" s="47">
        <f t="shared" si="1074"/>
        <v>-1000</v>
      </c>
      <c r="BZ321" s="47">
        <f t="shared" si="1074"/>
        <v>-1000</v>
      </c>
      <c r="CA321" s="47">
        <f t="shared" si="1074"/>
        <v>-1000</v>
      </c>
      <c r="CB321" s="47">
        <f t="shared" si="15"/>
        <v>-10000</v>
      </c>
      <c r="CC321" s="47">
        <f t="shared" ref="CC321:CQ321" si="1075">BC321-$BU321</f>
        <v>-1000</v>
      </c>
      <c r="CD321" s="47">
        <f t="shared" si="1075"/>
        <v>-1000</v>
      </c>
      <c r="CE321" s="47">
        <f t="shared" si="1075"/>
        <v>-1000</v>
      </c>
      <c r="CF321" s="47">
        <f t="shared" si="1075"/>
        <v>-1000</v>
      </c>
      <c r="CG321" s="47">
        <f t="shared" si="1075"/>
        <v>0</v>
      </c>
      <c r="CH321" s="47">
        <f t="shared" si="1075"/>
        <v>-1000</v>
      </c>
      <c r="CI321" s="47">
        <f t="shared" si="1075"/>
        <v>-1000</v>
      </c>
      <c r="CJ321" s="47">
        <f t="shared" si="1075"/>
        <v>-1000</v>
      </c>
      <c r="CK321" s="47">
        <f t="shared" si="1075"/>
        <v>-1000</v>
      </c>
      <c r="CL321" s="47">
        <f t="shared" si="1075"/>
        <v>-1000</v>
      </c>
      <c r="CM321" s="47">
        <f t="shared" si="1075"/>
        <v>-1000</v>
      </c>
      <c r="CN321" s="47">
        <f t="shared" si="1075"/>
        <v>-1000</v>
      </c>
      <c r="CO321" s="47">
        <f t="shared" si="1075"/>
        <v>-1000</v>
      </c>
      <c r="CP321" s="47">
        <f t="shared" si="1075"/>
        <v>-1000</v>
      </c>
      <c r="CQ321" s="47">
        <f t="shared" si="1075"/>
        <v>-1000</v>
      </c>
      <c r="CR321" s="47"/>
      <c r="CS321" s="47"/>
      <c r="CT321" s="47"/>
      <c r="CU321" s="50" t="str">
        <f>IFERROR(__xludf.DUMMYFUNCTION("""COMPUTED_VALUE"""),"aubrey Nick
100 Crescent Court
Dallas, TX 75201         ")</f>
        <v>aubrey Nick
100 Crescent Court
Dallas, TX 75201         </v>
      </c>
      <c r="CV321" s="51">
        <f>IFERROR(__xludf.DUMMYFUNCTION("IF(REGEXMATCH(UPPER(CU321), ""TX""),0,1)"),0.0)</f>
        <v>0</v>
      </c>
      <c r="CW321" s="51">
        <f>IFERROR(__xludf.DUMMYFUNCTION("IF(REGEXMATCH(UPPER(CU321), ""DALLAS""),0,1)"),0.0)</f>
        <v>0</v>
      </c>
      <c r="CX321" s="51">
        <f t="shared" si="17"/>
        <v>0</v>
      </c>
      <c r="CY321" s="51">
        <f t="shared" si="18"/>
        <v>0</v>
      </c>
      <c r="CZ321" s="52" t="str">
        <f t="shared" si="19"/>
        <v/>
      </c>
      <c r="DA321" s="58"/>
      <c r="DB321" s="52"/>
      <c r="DC321" s="52"/>
      <c r="DD321" s="52"/>
      <c r="DE321" s="52"/>
      <c r="DF321" s="52"/>
      <c r="DG321" s="52"/>
      <c r="DH321" s="52"/>
      <c r="DI321" s="52"/>
      <c r="DJ321" s="52"/>
      <c r="DK321" s="52"/>
      <c r="DL321" s="52"/>
      <c r="DM321" s="52"/>
      <c r="DN321" s="52"/>
      <c r="DO321" s="52"/>
      <c r="DP321" s="52"/>
      <c r="DQ321" s="52"/>
      <c r="DR321" s="52"/>
      <c r="DS321" s="52"/>
      <c r="DT321" s="52"/>
      <c r="DU321" s="52"/>
      <c r="DV321" s="52"/>
      <c r="DW321" s="52"/>
    </row>
    <row r="322">
      <c r="A322" s="22" t="s">
        <v>55</v>
      </c>
      <c r="B322" s="23" t="s">
        <v>56</v>
      </c>
      <c r="C322" s="31" t="s">
        <v>892</v>
      </c>
      <c r="D322" s="25" t="str">
        <f>IFERROR(__xludf.DUMMYFUNCTION("SPLIT(C322,"" "")"),"Thomas,")</f>
        <v>Thomas,</v>
      </c>
      <c r="E322" s="22" t="str">
        <f>IFERROR(__xludf.DUMMYFUNCTION("""COMPUTED_VALUE"""),"Cheri
608")</f>
        <v>Cheri
608</v>
      </c>
      <c r="F322" s="22" t="str">
        <f>IFERROR(__xludf.DUMMYFUNCTION("""COMPUTED_VALUE"""),"Belhaven")</f>
        <v>Belhaven</v>
      </c>
      <c r="G322" s="22" t="str">
        <f>IFERROR(__xludf.DUMMYFUNCTION("""COMPUTED_VALUE"""),"Dr
Allen,")</f>
        <v>Dr
Allen,</v>
      </c>
      <c r="H322" s="22" t="str">
        <f>IFERROR(__xludf.DUMMYFUNCTION("""COMPUTED_VALUE"""),"TX")</f>
        <v>TX</v>
      </c>
      <c r="I322" s="22">
        <f>IFERROR(__xludf.DUMMYFUNCTION("""COMPUTED_VALUE"""),75013.0)</f>
        <v>75013</v>
      </c>
      <c r="J322" s="22"/>
      <c r="K322" s="22"/>
      <c r="L322" s="22"/>
      <c r="M322" s="22"/>
      <c r="N322" s="22"/>
      <c r="O322" s="22"/>
      <c r="P322" s="22"/>
      <c r="Q322" s="22"/>
      <c r="R322" s="22"/>
      <c r="S322" s="22"/>
      <c r="T322" s="22"/>
      <c r="U322" s="24" t="str">
        <f>IFERROR(__xludf.DUMMYFUNCTION("SPLIT(E322,""01234567890"")"),"Cheri
")</f>
        <v>Cheri
</v>
      </c>
      <c r="V322" s="24" t="str">
        <f>IFERROR(__xludf.DUMMYFUNCTION("SPLIT(D322,"","")"),"Thomas")</f>
        <v>Thomas</v>
      </c>
      <c r="W322" s="25" t="str">
        <f t="shared" si="1"/>
        <v>CHERI
 THOMAS</v>
      </c>
      <c r="X322" s="25" t="s">
        <v>893</v>
      </c>
      <c r="Y322" s="25">
        <v>75013.0</v>
      </c>
      <c r="Z322" s="25" t="str">
        <f>IFERROR(__xludf.DUMMYFUNCTION("SPLIT(C322,""
"")"),"Thomas, Cheri")</f>
        <v>Thomas, Cheri</v>
      </c>
      <c r="AA322" s="25" t="str">
        <f>IFERROR(__xludf.DUMMYFUNCTION("""COMPUTED_VALUE"""),"608 Belhaven Dr")</f>
        <v>608 Belhaven Dr</v>
      </c>
      <c r="AB322" s="25" t="str">
        <f>IFERROR(__xludf.DUMMYFUNCTION("""COMPUTED_VALUE"""),"Allen, TX 75013")</f>
        <v>Allen, TX 75013</v>
      </c>
      <c r="AC322" s="24" t="s">
        <v>894</v>
      </c>
      <c r="AD322" s="25"/>
      <c r="AE322" s="25"/>
      <c r="AF322" s="25"/>
      <c r="AG322" s="22" t="s">
        <v>60</v>
      </c>
      <c r="AH322" s="54">
        <v>2437.0</v>
      </c>
      <c r="AI322" s="22" t="s">
        <v>61</v>
      </c>
      <c r="AJ322" s="27">
        <v>2500.0</v>
      </c>
      <c r="AK322" s="31" t="s">
        <v>25</v>
      </c>
      <c r="AL322" s="28">
        <v>44726.0</v>
      </c>
      <c r="AM322" s="29">
        <v>44754.83237268519</v>
      </c>
      <c r="AN322" s="30">
        <v>2.0</v>
      </c>
      <c r="AO322" s="22"/>
      <c r="AP322" s="22"/>
      <c r="AQ322" s="22"/>
      <c r="AR322" s="22"/>
      <c r="AS322" s="22"/>
      <c r="AT322" s="70"/>
      <c r="AU322" s="22"/>
      <c r="AV322" s="57" t="str">
        <f>IFERROR(__xludf.DUMMYFUNCTION("""COMPUTED_VALUE"""),"Dunlap")</f>
        <v>Dunlap</v>
      </c>
      <c r="AW322" s="46">
        <f t="shared" si="7"/>
        <v>100</v>
      </c>
      <c r="AX322" s="47">
        <f t="shared" ref="AX322:BQ322" si="1076">SUMIFS($AJ:$AJ,$V:$V,$AV322,$AK:$AK,AX$2)</f>
        <v>0</v>
      </c>
      <c r="AY322" s="48">
        <f t="shared" si="1076"/>
        <v>0</v>
      </c>
      <c r="AZ322" s="48">
        <f t="shared" si="1076"/>
        <v>0</v>
      </c>
      <c r="BA322" s="48">
        <f t="shared" si="1076"/>
        <v>0</v>
      </c>
      <c r="BB322" s="48">
        <f t="shared" si="1076"/>
        <v>0</v>
      </c>
      <c r="BC322" s="48">
        <f t="shared" si="1076"/>
        <v>0</v>
      </c>
      <c r="BD322" s="48">
        <f t="shared" si="1076"/>
        <v>0</v>
      </c>
      <c r="BE322" s="48">
        <f t="shared" si="1076"/>
        <v>0</v>
      </c>
      <c r="BF322" s="48">
        <f t="shared" si="1076"/>
        <v>0</v>
      </c>
      <c r="BG322" s="48">
        <f t="shared" si="1076"/>
        <v>100</v>
      </c>
      <c r="BH322" s="48">
        <f t="shared" si="1076"/>
        <v>0</v>
      </c>
      <c r="BI322" s="48">
        <f t="shared" si="1076"/>
        <v>0</v>
      </c>
      <c r="BJ322" s="48">
        <f t="shared" si="1076"/>
        <v>0</v>
      </c>
      <c r="BK322" s="48">
        <f t="shared" si="1076"/>
        <v>0</v>
      </c>
      <c r="BL322" s="48">
        <f t="shared" si="1076"/>
        <v>0</v>
      </c>
      <c r="BM322" s="48">
        <f t="shared" si="1076"/>
        <v>0</v>
      </c>
      <c r="BN322" s="48">
        <f t="shared" si="1076"/>
        <v>0</v>
      </c>
      <c r="BO322" s="48">
        <f t="shared" si="1076"/>
        <v>0</v>
      </c>
      <c r="BP322" s="48">
        <f t="shared" si="1076"/>
        <v>0</v>
      </c>
      <c r="BQ322" s="48">
        <f t="shared" si="1076"/>
        <v>0</v>
      </c>
      <c r="BR322" s="36">
        <f t="shared" si="9"/>
        <v>0</v>
      </c>
      <c r="BS322" s="38">
        <f t="shared" si="10"/>
        <v>1</v>
      </c>
      <c r="BT322" s="49">
        <f t="shared" si="11"/>
        <v>0</v>
      </c>
      <c r="BU322" s="38">
        <f t="shared" si="12"/>
        <v>1000</v>
      </c>
      <c r="BV322" s="57" t="str">
        <f>IFERROR(__xludf.DUMMYFUNCTION("""COMPUTED_VALUE"""),"Dunlap")</f>
        <v>Dunlap</v>
      </c>
      <c r="BW322" s="46">
        <f t="shared" si="13"/>
        <v>100</v>
      </c>
      <c r="BX322" s="47">
        <f t="shared" ref="BX322:CA322" si="1077">AX322-$BU322</f>
        <v>-1000</v>
      </c>
      <c r="BY322" s="47">
        <f t="shared" si="1077"/>
        <v>-1000</v>
      </c>
      <c r="BZ322" s="47">
        <f t="shared" si="1077"/>
        <v>-1000</v>
      </c>
      <c r="CA322" s="47">
        <f t="shared" si="1077"/>
        <v>-1000</v>
      </c>
      <c r="CB322" s="47">
        <f t="shared" si="15"/>
        <v>-10000</v>
      </c>
      <c r="CC322" s="47">
        <f t="shared" ref="CC322:CQ322" si="1078">BC322-$BU322</f>
        <v>-1000</v>
      </c>
      <c r="CD322" s="47">
        <f t="shared" si="1078"/>
        <v>-1000</v>
      </c>
      <c r="CE322" s="47">
        <f t="shared" si="1078"/>
        <v>-1000</v>
      </c>
      <c r="CF322" s="47">
        <f t="shared" si="1078"/>
        <v>-1000</v>
      </c>
      <c r="CG322" s="47">
        <f t="shared" si="1078"/>
        <v>-900</v>
      </c>
      <c r="CH322" s="47">
        <f t="shared" si="1078"/>
        <v>-1000</v>
      </c>
      <c r="CI322" s="47">
        <f t="shared" si="1078"/>
        <v>-1000</v>
      </c>
      <c r="CJ322" s="47">
        <f t="shared" si="1078"/>
        <v>-1000</v>
      </c>
      <c r="CK322" s="47">
        <f t="shared" si="1078"/>
        <v>-1000</v>
      </c>
      <c r="CL322" s="47">
        <f t="shared" si="1078"/>
        <v>-1000</v>
      </c>
      <c r="CM322" s="47">
        <f t="shared" si="1078"/>
        <v>-1000</v>
      </c>
      <c r="CN322" s="47">
        <f t="shared" si="1078"/>
        <v>-1000</v>
      </c>
      <c r="CO322" s="47">
        <f t="shared" si="1078"/>
        <v>-1000</v>
      </c>
      <c r="CP322" s="47">
        <f t="shared" si="1078"/>
        <v>-1000</v>
      </c>
      <c r="CQ322" s="47">
        <f t="shared" si="1078"/>
        <v>-1000</v>
      </c>
      <c r="CR322" s="47"/>
      <c r="CS322" s="47"/>
      <c r="CT322" s="47"/>
      <c r="CU322" s="50" t="str">
        <f>IFERROR(__xludf.DUMMYFUNCTION("""COMPUTED_VALUE"""),"2519 Cambria Blvd
Dallas, TX 75214          ")</f>
        <v>2519 Cambria Blvd
Dallas, TX 75214          </v>
      </c>
      <c r="CV322" s="51">
        <f>IFERROR(__xludf.DUMMYFUNCTION("IF(REGEXMATCH(UPPER(CU322), ""TX""),0,1)"),0.0)</f>
        <v>0</v>
      </c>
      <c r="CW322" s="51">
        <f>IFERROR(__xludf.DUMMYFUNCTION("IF(REGEXMATCH(UPPER(CU322), ""DALLAS""),0,1)"),0.0)</f>
        <v>0</v>
      </c>
      <c r="CX322" s="51">
        <f t="shared" si="17"/>
        <v>0</v>
      </c>
      <c r="CY322" s="51">
        <f t="shared" si="18"/>
        <v>0</v>
      </c>
      <c r="CZ322" s="52" t="str">
        <f t="shared" si="19"/>
        <v/>
      </c>
      <c r="DA322" s="58"/>
      <c r="DB322" s="52"/>
      <c r="DC322" s="52"/>
      <c r="DD322" s="52"/>
      <c r="DE322" s="52"/>
      <c r="DF322" s="52"/>
      <c r="DG322" s="52"/>
      <c r="DH322" s="52"/>
      <c r="DI322" s="52"/>
      <c r="DJ322" s="52"/>
      <c r="DK322" s="52"/>
      <c r="DL322" s="52"/>
      <c r="DM322" s="52"/>
      <c r="DN322" s="52"/>
      <c r="DO322" s="52"/>
      <c r="DP322" s="52"/>
      <c r="DQ322" s="52"/>
      <c r="DR322" s="52"/>
      <c r="DS322" s="52"/>
      <c r="DT322" s="52"/>
      <c r="DU322" s="52"/>
      <c r="DV322" s="52"/>
      <c r="DW322" s="52"/>
    </row>
    <row r="323">
      <c r="A323" s="41" t="s">
        <v>64</v>
      </c>
      <c r="B323" s="41" t="s">
        <v>56</v>
      </c>
      <c r="C323" s="31" t="s">
        <v>895</v>
      </c>
      <c r="D323" s="25" t="str">
        <f>IFERROR(__xludf.DUMMYFUNCTION("SPLIT(C323,"" "")"),"Miller,")</f>
        <v>Miller,</v>
      </c>
      <c r="E323" s="40" t="str">
        <f>IFERROR(__xludf.DUMMYFUNCTION("""COMPUTED_VALUE"""),"John
8226")</f>
        <v>John
8226</v>
      </c>
      <c r="F323" s="40" t="str">
        <f>IFERROR(__xludf.DUMMYFUNCTION("""COMPUTED_VALUE"""),"Douglas")</f>
        <v>Douglas</v>
      </c>
      <c r="G323" s="40" t="str">
        <f>IFERROR(__xludf.DUMMYFUNCTION("""COMPUTED_VALUE"""),"Ave
Dallas,")</f>
        <v>Ave
Dallas,</v>
      </c>
      <c r="H323" s="40" t="str">
        <f>IFERROR(__xludf.DUMMYFUNCTION("""COMPUTED_VALUE"""),"TX")</f>
        <v>TX</v>
      </c>
      <c r="I323" s="40">
        <f>IFERROR(__xludf.DUMMYFUNCTION("""COMPUTED_VALUE"""),75225.0)</f>
        <v>75225</v>
      </c>
      <c r="J323" s="40"/>
      <c r="K323" s="40"/>
      <c r="L323" s="40"/>
      <c r="M323" s="40"/>
      <c r="N323" s="40"/>
      <c r="O323" s="40"/>
      <c r="P323" s="40"/>
      <c r="Q323" s="40"/>
      <c r="R323" s="40"/>
      <c r="S323" s="40"/>
      <c r="T323" s="40"/>
      <c r="U323" s="24" t="str">
        <f>IFERROR(__xludf.DUMMYFUNCTION("SPLIT(E323,""01234567890"")"),"John
")</f>
        <v>John
</v>
      </c>
      <c r="V323" s="24" t="str">
        <f>IFERROR(__xludf.DUMMYFUNCTION("SPLIT(D323,"","")"),"Miller")</f>
        <v>Miller</v>
      </c>
      <c r="W323" s="25" t="str">
        <f t="shared" si="1"/>
        <v>JOHN
 MILLER</v>
      </c>
      <c r="X323" s="25" t="s">
        <v>896</v>
      </c>
      <c r="Y323" s="25">
        <v>75225.0</v>
      </c>
      <c r="Z323" s="25" t="str">
        <f>IFERROR(__xludf.DUMMYFUNCTION("SPLIT(C323,""
"")"),"Miller, John")</f>
        <v>Miller, John</v>
      </c>
      <c r="AA323" s="25" t="str">
        <f>IFERROR(__xludf.DUMMYFUNCTION("""COMPUTED_VALUE"""),"8226 Douglas Ave")</f>
        <v>8226 Douglas Ave</v>
      </c>
      <c r="AB323" s="25" t="str">
        <f>IFERROR(__xludf.DUMMYFUNCTION("""COMPUTED_VALUE"""),"Dallas, TX 75225")</f>
        <v>Dallas, TX 75225</v>
      </c>
      <c r="AC323" s="24" t="s">
        <v>897</v>
      </c>
      <c r="AD323" s="25"/>
      <c r="AE323" s="25"/>
      <c r="AF323" s="25"/>
      <c r="AG323" s="40" t="s">
        <v>60</v>
      </c>
      <c r="AH323" s="42">
        <v>2437.0</v>
      </c>
      <c r="AI323" s="40" t="s">
        <v>61</v>
      </c>
      <c r="AJ323" s="27">
        <v>250.0</v>
      </c>
      <c r="AK323" s="31" t="s">
        <v>25</v>
      </c>
      <c r="AL323" s="43">
        <v>44726.0</v>
      </c>
      <c r="AM323" s="44">
        <v>44754.83237268519</v>
      </c>
      <c r="AN323" s="30">
        <v>2.0</v>
      </c>
      <c r="AO323" s="40"/>
      <c r="AP323" s="40"/>
      <c r="AQ323" s="40"/>
      <c r="AR323" s="40"/>
      <c r="AS323" s="40"/>
      <c r="AT323" s="47"/>
      <c r="AU323" s="40"/>
      <c r="AV323" s="46" t="str">
        <f>IFERROR(__xludf.DUMMYFUNCTION("""COMPUTED_VALUE"""),"Noyes")</f>
        <v>Noyes</v>
      </c>
      <c r="AW323" s="46">
        <f t="shared" si="7"/>
        <v>50</v>
      </c>
      <c r="AX323" s="47">
        <f t="shared" ref="AX323:BQ323" si="1079">SUMIFS($AJ:$AJ,$V:$V,$AV323,$AK:$AK,AX$2)</f>
        <v>0</v>
      </c>
      <c r="AY323" s="48">
        <f t="shared" si="1079"/>
        <v>0</v>
      </c>
      <c r="AZ323" s="48">
        <f t="shared" si="1079"/>
        <v>0</v>
      </c>
      <c r="BA323" s="48">
        <f t="shared" si="1079"/>
        <v>0</v>
      </c>
      <c r="BB323" s="48">
        <f t="shared" si="1079"/>
        <v>0</v>
      </c>
      <c r="BC323" s="48">
        <f t="shared" si="1079"/>
        <v>0</v>
      </c>
      <c r="BD323" s="48">
        <f t="shared" si="1079"/>
        <v>0</v>
      </c>
      <c r="BE323" s="48">
        <f t="shared" si="1079"/>
        <v>0</v>
      </c>
      <c r="BF323" s="48">
        <f t="shared" si="1079"/>
        <v>0</v>
      </c>
      <c r="BG323" s="48">
        <f t="shared" si="1079"/>
        <v>50</v>
      </c>
      <c r="BH323" s="48">
        <f t="shared" si="1079"/>
        <v>0</v>
      </c>
      <c r="BI323" s="48">
        <f t="shared" si="1079"/>
        <v>0</v>
      </c>
      <c r="BJ323" s="48">
        <f t="shared" si="1079"/>
        <v>0</v>
      </c>
      <c r="BK323" s="48">
        <f t="shared" si="1079"/>
        <v>0</v>
      </c>
      <c r="BL323" s="48">
        <f t="shared" si="1079"/>
        <v>0</v>
      </c>
      <c r="BM323" s="48">
        <f t="shared" si="1079"/>
        <v>0</v>
      </c>
      <c r="BN323" s="48">
        <f t="shared" si="1079"/>
        <v>0</v>
      </c>
      <c r="BO323" s="48">
        <f t="shared" si="1079"/>
        <v>0</v>
      </c>
      <c r="BP323" s="48">
        <f t="shared" si="1079"/>
        <v>0</v>
      </c>
      <c r="BQ323" s="48">
        <f t="shared" si="1079"/>
        <v>0</v>
      </c>
      <c r="BR323" s="36">
        <f t="shared" si="9"/>
        <v>0</v>
      </c>
      <c r="BS323" s="38">
        <f t="shared" si="10"/>
        <v>1</v>
      </c>
      <c r="BT323" s="49">
        <f t="shared" si="11"/>
        <v>0</v>
      </c>
      <c r="BU323" s="38">
        <f t="shared" si="12"/>
        <v>1000</v>
      </c>
      <c r="BV323" s="46" t="str">
        <f>IFERROR(__xludf.DUMMYFUNCTION("""COMPUTED_VALUE"""),"Noyes")</f>
        <v>Noyes</v>
      </c>
      <c r="BW323" s="46">
        <f t="shared" si="13"/>
        <v>50</v>
      </c>
      <c r="BX323" s="47">
        <f t="shared" ref="BX323:CA323" si="1080">AX323-$BU323</f>
        <v>-1000</v>
      </c>
      <c r="BY323" s="47">
        <f t="shared" si="1080"/>
        <v>-1000</v>
      </c>
      <c r="BZ323" s="47">
        <f t="shared" si="1080"/>
        <v>-1000</v>
      </c>
      <c r="CA323" s="47">
        <f t="shared" si="1080"/>
        <v>-1000</v>
      </c>
      <c r="CB323" s="47">
        <f t="shared" si="15"/>
        <v>-10000</v>
      </c>
      <c r="CC323" s="47">
        <f t="shared" ref="CC323:CQ323" si="1081">BC323-$BU323</f>
        <v>-1000</v>
      </c>
      <c r="CD323" s="47">
        <f t="shared" si="1081"/>
        <v>-1000</v>
      </c>
      <c r="CE323" s="47">
        <f t="shared" si="1081"/>
        <v>-1000</v>
      </c>
      <c r="CF323" s="47">
        <f t="shared" si="1081"/>
        <v>-1000</v>
      </c>
      <c r="CG323" s="47">
        <f t="shared" si="1081"/>
        <v>-950</v>
      </c>
      <c r="CH323" s="47">
        <f t="shared" si="1081"/>
        <v>-1000</v>
      </c>
      <c r="CI323" s="47">
        <f t="shared" si="1081"/>
        <v>-1000</v>
      </c>
      <c r="CJ323" s="47">
        <f t="shared" si="1081"/>
        <v>-1000</v>
      </c>
      <c r="CK323" s="47">
        <f t="shared" si="1081"/>
        <v>-1000</v>
      </c>
      <c r="CL323" s="47">
        <f t="shared" si="1081"/>
        <v>-1000</v>
      </c>
      <c r="CM323" s="47">
        <f t="shared" si="1081"/>
        <v>-1000</v>
      </c>
      <c r="CN323" s="47">
        <f t="shared" si="1081"/>
        <v>-1000</v>
      </c>
      <c r="CO323" s="47">
        <f t="shared" si="1081"/>
        <v>-1000</v>
      </c>
      <c r="CP323" s="47">
        <f t="shared" si="1081"/>
        <v>-1000</v>
      </c>
      <c r="CQ323" s="47">
        <f t="shared" si="1081"/>
        <v>-1000</v>
      </c>
      <c r="CR323" s="47"/>
      <c r="CS323" s="47"/>
      <c r="CT323" s="47"/>
      <c r="CU323" s="50" t="str">
        <f>IFERROR(__xludf.DUMMYFUNCTION("""COMPUTED_VALUE"""),"
 Box 140189
Dallas, TX 75214          ")</f>
        <v>
 Box 140189
Dallas, TX 75214          </v>
      </c>
      <c r="CV323" s="51">
        <f>IFERROR(__xludf.DUMMYFUNCTION("IF(REGEXMATCH(UPPER(CU323), ""TX""),0,1)"),0.0)</f>
        <v>0</v>
      </c>
      <c r="CW323" s="51">
        <f>IFERROR(__xludf.DUMMYFUNCTION("IF(REGEXMATCH(UPPER(CU323), ""DALLAS""),0,1)"),0.0)</f>
        <v>0</v>
      </c>
      <c r="CX323" s="51">
        <f t="shared" si="17"/>
        <v>0</v>
      </c>
      <c r="CY323" s="51">
        <f t="shared" si="18"/>
        <v>0</v>
      </c>
      <c r="CZ323" s="52" t="str">
        <f t="shared" si="19"/>
        <v/>
      </c>
      <c r="DA323" s="58"/>
      <c r="DB323" s="52"/>
      <c r="DC323" s="52"/>
      <c r="DD323" s="52"/>
      <c r="DE323" s="52"/>
      <c r="DF323" s="52"/>
      <c r="DG323" s="52"/>
      <c r="DH323" s="52"/>
      <c r="DI323" s="52"/>
      <c r="DJ323" s="52"/>
      <c r="DK323" s="52"/>
      <c r="DL323" s="52"/>
      <c r="DM323" s="52"/>
      <c r="DN323" s="52"/>
      <c r="DO323" s="52"/>
      <c r="DP323" s="52"/>
      <c r="DQ323" s="52"/>
      <c r="DR323" s="52"/>
      <c r="DS323" s="52"/>
      <c r="DT323" s="52"/>
      <c r="DU323" s="52"/>
      <c r="DV323" s="52"/>
      <c r="DW323" s="52"/>
    </row>
    <row r="324">
      <c r="A324" s="22" t="s">
        <v>55</v>
      </c>
      <c r="B324" s="23" t="s">
        <v>56</v>
      </c>
      <c r="C324" s="31" t="s">
        <v>898</v>
      </c>
      <c r="D324" s="25" t="str">
        <f>IFERROR(__xludf.DUMMYFUNCTION("SPLIT(C324,"" "")"),"Woodlief,")</f>
        <v>Woodlief,</v>
      </c>
      <c r="E324" s="22" t="str">
        <f>IFERROR(__xludf.DUMMYFUNCTION("""COMPUTED_VALUE"""),"Mari
3864")</f>
        <v>Mari
3864</v>
      </c>
      <c r="F324" s="22" t="str">
        <f>IFERROR(__xludf.DUMMYFUNCTION("""COMPUTED_VALUE"""),"W")</f>
        <v>W</v>
      </c>
      <c r="G324" s="22" t="str">
        <f>IFERROR(__xludf.DUMMYFUNCTION("""COMPUTED_VALUE"""),"Beverly")</f>
        <v>Beverly</v>
      </c>
      <c r="H324" s="22" t="str">
        <f>IFERROR(__xludf.DUMMYFUNCTION("""COMPUTED_VALUE"""),"Dr
Dallas,")</f>
        <v>Dr
Dallas,</v>
      </c>
      <c r="I324" s="22" t="str">
        <f>IFERROR(__xludf.DUMMYFUNCTION("""COMPUTED_VALUE"""),"TX")</f>
        <v>TX</v>
      </c>
      <c r="J324" s="22">
        <f>IFERROR(__xludf.DUMMYFUNCTION("""COMPUTED_VALUE"""),75209.0)</f>
        <v>75209</v>
      </c>
      <c r="K324" s="22"/>
      <c r="L324" s="22"/>
      <c r="M324" s="22"/>
      <c r="N324" s="22"/>
      <c r="O324" s="22"/>
      <c r="P324" s="22"/>
      <c r="Q324" s="22"/>
      <c r="R324" s="22"/>
      <c r="S324" s="22"/>
      <c r="T324" s="22"/>
      <c r="U324" s="24" t="str">
        <f>IFERROR(__xludf.DUMMYFUNCTION("SPLIT(E324,""01234567890"")"),"Mari
")</f>
        <v>Mari
</v>
      </c>
      <c r="V324" s="24" t="str">
        <f>IFERROR(__xludf.DUMMYFUNCTION("SPLIT(D324,"","")"),"Woodlief")</f>
        <v>Woodlief</v>
      </c>
      <c r="W324" s="25" t="str">
        <f t="shared" si="1"/>
        <v>MARI
 WOODLIEF</v>
      </c>
      <c r="X324" s="25" t="s">
        <v>899</v>
      </c>
      <c r="Y324" s="25">
        <v>75209.0</v>
      </c>
      <c r="Z324" s="25" t="str">
        <f>IFERROR(__xludf.DUMMYFUNCTION("SPLIT(C324,""
"")"),"Woodlief, Mari")</f>
        <v>Woodlief, Mari</v>
      </c>
      <c r="AA324" s="25" t="str">
        <f>IFERROR(__xludf.DUMMYFUNCTION("""COMPUTED_VALUE"""),"3864 W Beverly Dr")</f>
        <v>3864 W Beverly Dr</v>
      </c>
      <c r="AB324" s="25" t="str">
        <f>IFERROR(__xludf.DUMMYFUNCTION("""COMPUTED_VALUE"""),"Dallas, TX 75209")</f>
        <v>Dallas, TX 75209</v>
      </c>
      <c r="AC324" s="24" t="s">
        <v>900</v>
      </c>
      <c r="AD324" s="25"/>
      <c r="AE324" s="25"/>
      <c r="AF324" s="25"/>
      <c r="AG324" s="22" t="s">
        <v>60</v>
      </c>
      <c r="AH324" s="54">
        <v>2437.0</v>
      </c>
      <c r="AI324" s="22" t="s">
        <v>61</v>
      </c>
      <c r="AJ324" s="27">
        <v>500.0</v>
      </c>
      <c r="AK324" s="31" t="s">
        <v>25</v>
      </c>
      <c r="AL324" s="28">
        <v>44726.0</v>
      </c>
      <c r="AM324" s="29">
        <v>44754.83237268519</v>
      </c>
      <c r="AN324" s="30">
        <v>2.0</v>
      </c>
      <c r="AO324" s="22"/>
      <c r="AP324" s="22"/>
      <c r="AQ324" s="22"/>
      <c r="AR324" s="22"/>
      <c r="AS324" s="22"/>
      <c r="AT324" s="70"/>
      <c r="AU324" s="22"/>
      <c r="AV324" s="57" t="str">
        <f>IFERROR(__xludf.DUMMYFUNCTION("""COMPUTED_VALUE"""),"Losinger")</f>
        <v>Losinger</v>
      </c>
      <c r="AW324" s="46">
        <f t="shared" si="7"/>
        <v>1250</v>
      </c>
      <c r="AX324" s="47">
        <f t="shared" ref="AX324:BQ324" si="1082">SUMIFS($AJ:$AJ,$V:$V,$AV324,$AK:$AK,AX$2)</f>
        <v>0</v>
      </c>
      <c r="AY324" s="48">
        <f t="shared" si="1082"/>
        <v>0</v>
      </c>
      <c r="AZ324" s="48">
        <f t="shared" si="1082"/>
        <v>0</v>
      </c>
      <c r="BA324" s="48">
        <f t="shared" si="1082"/>
        <v>0</v>
      </c>
      <c r="BB324" s="48">
        <f t="shared" si="1082"/>
        <v>0</v>
      </c>
      <c r="BC324" s="48">
        <f t="shared" si="1082"/>
        <v>0</v>
      </c>
      <c r="BD324" s="48">
        <f t="shared" si="1082"/>
        <v>0</v>
      </c>
      <c r="BE324" s="48">
        <f t="shared" si="1082"/>
        <v>0</v>
      </c>
      <c r="BF324" s="48">
        <f t="shared" si="1082"/>
        <v>0</v>
      </c>
      <c r="BG324" s="48">
        <f t="shared" si="1082"/>
        <v>1250</v>
      </c>
      <c r="BH324" s="48">
        <f t="shared" si="1082"/>
        <v>0</v>
      </c>
      <c r="BI324" s="48">
        <f t="shared" si="1082"/>
        <v>0</v>
      </c>
      <c r="BJ324" s="48">
        <f t="shared" si="1082"/>
        <v>0</v>
      </c>
      <c r="BK324" s="48">
        <f t="shared" si="1082"/>
        <v>0</v>
      </c>
      <c r="BL324" s="48">
        <f t="shared" si="1082"/>
        <v>0</v>
      </c>
      <c r="BM324" s="48">
        <f t="shared" si="1082"/>
        <v>0</v>
      </c>
      <c r="BN324" s="48">
        <f t="shared" si="1082"/>
        <v>0</v>
      </c>
      <c r="BO324" s="48">
        <f t="shared" si="1082"/>
        <v>0</v>
      </c>
      <c r="BP324" s="48">
        <f t="shared" si="1082"/>
        <v>0</v>
      </c>
      <c r="BQ324" s="48">
        <f t="shared" si="1082"/>
        <v>0</v>
      </c>
      <c r="BR324" s="36">
        <f t="shared" si="9"/>
        <v>0</v>
      </c>
      <c r="BS324" s="38">
        <f t="shared" si="10"/>
        <v>1</v>
      </c>
      <c r="BT324" s="49">
        <f t="shared" si="11"/>
        <v>0</v>
      </c>
      <c r="BU324" s="38">
        <f t="shared" si="12"/>
        <v>1000</v>
      </c>
      <c r="BV324" s="57" t="str">
        <f>IFERROR(__xludf.DUMMYFUNCTION("""COMPUTED_VALUE"""),"Losinger")</f>
        <v>Losinger</v>
      </c>
      <c r="BW324" s="46">
        <f t="shared" si="13"/>
        <v>1250</v>
      </c>
      <c r="BX324" s="47">
        <f t="shared" ref="BX324:CA324" si="1083">AX324-$BU324</f>
        <v>-1000</v>
      </c>
      <c r="BY324" s="47">
        <f t="shared" si="1083"/>
        <v>-1000</v>
      </c>
      <c r="BZ324" s="47">
        <f t="shared" si="1083"/>
        <v>-1000</v>
      </c>
      <c r="CA324" s="47">
        <f t="shared" si="1083"/>
        <v>-1000</v>
      </c>
      <c r="CB324" s="47">
        <f t="shared" si="15"/>
        <v>-10000</v>
      </c>
      <c r="CC324" s="47">
        <f t="shared" ref="CC324:CQ324" si="1084">BC324-$BU324</f>
        <v>-1000</v>
      </c>
      <c r="CD324" s="47">
        <f t="shared" si="1084"/>
        <v>-1000</v>
      </c>
      <c r="CE324" s="47">
        <f t="shared" si="1084"/>
        <v>-1000</v>
      </c>
      <c r="CF324" s="47">
        <f t="shared" si="1084"/>
        <v>-1000</v>
      </c>
      <c r="CG324" s="47">
        <f t="shared" si="1084"/>
        <v>250</v>
      </c>
      <c r="CH324" s="47">
        <f t="shared" si="1084"/>
        <v>-1000</v>
      </c>
      <c r="CI324" s="47">
        <f t="shared" si="1084"/>
        <v>-1000</v>
      </c>
      <c r="CJ324" s="47">
        <f t="shared" si="1084"/>
        <v>-1000</v>
      </c>
      <c r="CK324" s="47">
        <f t="shared" si="1084"/>
        <v>-1000</v>
      </c>
      <c r="CL324" s="47">
        <f t="shared" si="1084"/>
        <v>-1000</v>
      </c>
      <c r="CM324" s="47">
        <f t="shared" si="1084"/>
        <v>-1000</v>
      </c>
      <c r="CN324" s="47">
        <f t="shared" si="1084"/>
        <v>-1000</v>
      </c>
      <c r="CO324" s="47">
        <f t="shared" si="1084"/>
        <v>-1000</v>
      </c>
      <c r="CP324" s="47">
        <f t="shared" si="1084"/>
        <v>-1000</v>
      </c>
      <c r="CQ324" s="47">
        <f t="shared" si="1084"/>
        <v>-1000</v>
      </c>
      <c r="CR324" s="47"/>
      <c r="CS324" s="47"/>
      <c r="CT324" s="47"/>
      <c r="CU324" s="50" t="str">
        <f>IFERROR(__xludf.DUMMYFUNCTION("""COMPUTED_VALUE"""),"2501 N Harwood
Dallas, TX 75201          ")</f>
        <v>2501 N Harwood
Dallas, TX 75201          </v>
      </c>
      <c r="CV324" s="51">
        <f>IFERROR(__xludf.DUMMYFUNCTION("IF(REGEXMATCH(UPPER(CU324), ""TX""),0,1)"),0.0)</f>
        <v>0</v>
      </c>
      <c r="CW324" s="51">
        <f>IFERROR(__xludf.DUMMYFUNCTION("IF(REGEXMATCH(UPPER(CU324), ""DALLAS""),0,1)"),0.0)</f>
        <v>0</v>
      </c>
      <c r="CX324" s="51">
        <f t="shared" si="17"/>
        <v>0</v>
      </c>
      <c r="CY324" s="51">
        <f t="shared" si="18"/>
        <v>0</v>
      </c>
      <c r="CZ324" s="52" t="str">
        <f t="shared" si="19"/>
        <v/>
      </c>
      <c r="DA324" s="58"/>
      <c r="DB324" s="52"/>
      <c r="DC324" s="52"/>
      <c r="DD324" s="52"/>
      <c r="DE324" s="52"/>
      <c r="DF324" s="52"/>
      <c r="DG324" s="52"/>
      <c r="DH324" s="52"/>
      <c r="DI324" s="52"/>
      <c r="DJ324" s="52"/>
      <c r="DK324" s="52"/>
      <c r="DL324" s="52"/>
      <c r="DM324" s="52"/>
      <c r="DN324" s="52"/>
      <c r="DO324" s="52"/>
      <c r="DP324" s="52"/>
      <c r="DQ324" s="52"/>
      <c r="DR324" s="52"/>
      <c r="DS324" s="52"/>
      <c r="DT324" s="52"/>
      <c r="DU324" s="52"/>
      <c r="DV324" s="52"/>
      <c r="DW324" s="52"/>
    </row>
    <row r="325">
      <c r="A325" s="41" t="s">
        <v>64</v>
      </c>
      <c r="B325" s="41" t="s">
        <v>56</v>
      </c>
      <c r="C325" s="31" t="s">
        <v>901</v>
      </c>
      <c r="D325" s="25" t="str">
        <f>IFERROR(__xludf.DUMMYFUNCTION("SPLIT(C325,"" "")"),"Rastogi,")</f>
        <v>Rastogi,</v>
      </c>
      <c r="E325" s="40" t="str">
        <f>IFERROR(__xludf.DUMMYFUNCTION("""COMPUTED_VALUE"""),"Dev
18723")</f>
        <v>Dev
18723</v>
      </c>
      <c r="F325" s="40" t="str">
        <f>IFERROR(__xludf.DUMMYFUNCTION("""COMPUTED_VALUE"""),"Mapletree")</f>
        <v>Mapletree</v>
      </c>
      <c r="G325" s="40" t="str">
        <f>IFERROR(__xludf.DUMMYFUNCTION("""COMPUTED_VALUE"""),"Ln
Dallas,")</f>
        <v>Ln
Dallas,</v>
      </c>
      <c r="H325" s="40" t="str">
        <f>IFERROR(__xludf.DUMMYFUNCTION("""COMPUTED_VALUE"""),"TX")</f>
        <v>TX</v>
      </c>
      <c r="I325" s="40">
        <f>IFERROR(__xludf.DUMMYFUNCTION("""COMPUTED_VALUE"""),75209.0)</f>
        <v>75209</v>
      </c>
      <c r="J325" s="40"/>
      <c r="K325" s="40"/>
      <c r="L325" s="40"/>
      <c r="M325" s="40"/>
      <c r="N325" s="40"/>
      <c r="O325" s="40"/>
      <c r="P325" s="40"/>
      <c r="Q325" s="40"/>
      <c r="R325" s="40"/>
      <c r="S325" s="40"/>
      <c r="T325" s="40"/>
      <c r="U325" s="24" t="str">
        <f>IFERROR(__xludf.DUMMYFUNCTION("SPLIT(E325,""01234567890"")"),"Dev
")</f>
        <v>Dev
</v>
      </c>
      <c r="V325" s="24" t="str">
        <f>IFERROR(__xludf.DUMMYFUNCTION("SPLIT(D325,"","")"),"Rastogi")</f>
        <v>Rastogi</v>
      </c>
      <c r="W325" s="25" t="str">
        <f t="shared" si="1"/>
        <v>DEV
 RASTOGI</v>
      </c>
      <c r="X325" s="25" t="s">
        <v>902</v>
      </c>
      <c r="Y325" s="25">
        <v>75209.0</v>
      </c>
      <c r="Z325" s="25" t="str">
        <f>IFERROR(__xludf.DUMMYFUNCTION("SPLIT(C325,""
"")"),"Rastogi, Dev")</f>
        <v>Rastogi, Dev</v>
      </c>
      <c r="AA325" s="25" t="str">
        <f>IFERROR(__xludf.DUMMYFUNCTION("""COMPUTED_VALUE"""),"18723 Mapletree Ln")</f>
        <v>18723 Mapletree Ln</v>
      </c>
      <c r="AB325" s="25" t="str">
        <f>IFERROR(__xludf.DUMMYFUNCTION("""COMPUTED_VALUE"""),"Dallas, TX 75209")</f>
        <v>Dallas, TX 75209</v>
      </c>
      <c r="AC325" s="24" t="s">
        <v>903</v>
      </c>
      <c r="AD325" s="25"/>
      <c r="AE325" s="25"/>
      <c r="AF325" s="25"/>
      <c r="AG325" s="40" t="s">
        <v>60</v>
      </c>
      <c r="AH325" s="42">
        <v>2437.0</v>
      </c>
      <c r="AI325" s="40" t="s">
        <v>61</v>
      </c>
      <c r="AJ325" s="27">
        <v>250.0</v>
      </c>
      <c r="AK325" s="31" t="s">
        <v>25</v>
      </c>
      <c r="AL325" s="43">
        <v>44726.0</v>
      </c>
      <c r="AM325" s="44">
        <v>44754.83237268519</v>
      </c>
      <c r="AN325" s="30">
        <v>2.0</v>
      </c>
      <c r="AO325" s="40"/>
      <c r="AP325" s="40"/>
      <c r="AQ325" s="40"/>
      <c r="AR325" s="40"/>
      <c r="AS325" s="40"/>
      <c r="AT325" s="47"/>
      <c r="AU325" s="40"/>
      <c r="AV325" s="46" t="str">
        <f>IFERROR(__xludf.DUMMYFUNCTION("""COMPUTED_VALUE"""),"Glaser")</f>
        <v>Glaser</v>
      </c>
      <c r="AW325" s="46">
        <f t="shared" si="7"/>
        <v>100</v>
      </c>
      <c r="AX325" s="47">
        <f t="shared" ref="AX325:BQ325" si="1085">SUMIFS($AJ:$AJ,$V:$V,$AV325,$AK:$AK,AX$2)</f>
        <v>0</v>
      </c>
      <c r="AY325" s="48">
        <f t="shared" si="1085"/>
        <v>0</v>
      </c>
      <c r="AZ325" s="48">
        <f t="shared" si="1085"/>
        <v>0</v>
      </c>
      <c r="BA325" s="48">
        <f t="shared" si="1085"/>
        <v>0</v>
      </c>
      <c r="BB325" s="48">
        <f t="shared" si="1085"/>
        <v>0</v>
      </c>
      <c r="BC325" s="48">
        <f t="shared" si="1085"/>
        <v>0</v>
      </c>
      <c r="BD325" s="48">
        <f t="shared" si="1085"/>
        <v>0</v>
      </c>
      <c r="BE325" s="48">
        <f t="shared" si="1085"/>
        <v>0</v>
      </c>
      <c r="BF325" s="48">
        <f t="shared" si="1085"/>
        <v>0</v>
      </c>
      <c r="BG325" s="48">
        <f t="shared" si="1085"/>
        <v>100</v>
      </c>
      <c r="BH325" s="48">
        <f t="shared" si="1085"/>
        <v>0</v>
      </c>
      <c r="BI325" s="48">
        <f t="shared" si="1085"/>
        <v>0</v>
      </c>
      <c r="BJ325" s="48">
        <f t="shared" si="1085"/>
        <v>0</v>
      </c>
      <c r="BK325" s="48">
        <f t="shared" si="1085"/>
        <v>0</v>
      </c>
      <c r="BL325" s="48">
        <f t="shared" si="1085"/>
        <v>0</v>
      </c>
      <c r="BM325" s="48">
        <f t="shared" si="1085"/>
        <v>0</v>
      </c>
      <c r="BN325" s="48">
        <f t="shared" si="1085"/>
        <v>0</v>
      </c>
      <c r="BO325" s="48">
        <f t="shared" si="1085"/>
        <v>0</v>
      </c>
      <c r="BP325" s="48">
        <f t="shared" si="1085"/>
        <v>0</v>
      </c>
      <c r="BQ325" s="48">
        <f t="shared" si="1085"/>
        <v>0</v>
      </c>
      <c r="BR325" s="36">
        <f t="shared" si="9"/>
        <v>0</v>
      </c>
      <c r="BS325" s="38">
        <f t="shared" si="10"/>
        <v>1</v>
      </c>
      <c r="BT325" s="49">
        <f t="shared" si="11"/>
        <v>0</v>
      </c>
      <c r="BU325" s="38">
        <f t="shared" si="12"/>
        <v>1000</v>
      </c>
      <c r="BV325" s="46" t="str">
        <f>IFERROR(__xludf.DUMMYFUNCTION("""COMPUTED_VALUE"""),"Glaser")</f>
        <v>Glaser</v>
      </c>
      <c r="BW325" s="46">
        <f t="shared" si="13"/>
        <v>100</v>
      </c>
      <c r="BX325" s="47">
        <f t="shared" ref="BX325:CA325" si="1086">AX325-$BU325</f>
        <v>-1000</v>
      </c>
      <c r="BY325" s="47">
        <f t="shared" si="1086"/>
        <v>-1000</v>
      </c>
      <c r="BZ325" s="47">
        <f t="shared" si="1086"/>
        <v>-1000</v>
      </c>
      <c r="CA325" s="47">
        <f t="shared" si="1086"/>
        <v>-1000</v>
      </c>
      <c r="CB325" s="47">
        <f t="shared" si="15"/>
        <v>-10000</v>
      </c>
      <c r="CC325" s="47">
        <f t="shared" ref="CC325:CQ325" si="1087">BC325-$BU325</f>
        <v>-1000</v>
      </c>
      <c r="CD325" s="47">
        <f t="shared" si="1087"/>
        <v>-1000</v>
      </c>
      <c r="CE325" s="47">
        <f t="shared" si="1087"/>
        <v>-1000</v>
      </c>
      <c r="CF325" s="47">
        <f t="shared" si="1087"/>
        <v>-1000</v>
      </c>
      <c r="CG325" s="47">
        <f t="shared" si="1087"/>
        <v>-900</v>
      </c>
      <c r="CH325" s="47">
        <f t="shared" si="1087"/>
        <v>-1000</v>
      </c>
      <c r="CI325" s="47">
        <f t="shared" si="1087"/>
        <v>-1000</v>
      </c>
      <c r="CJ325" s="47">
        <f t="shared" si="1087"/>
        <v>-1000</v>
      </c>
      <c r="CK325" s="47">
        <f t="shared" si="1087"/>
        <v>-1000</v>
      </c>
      <c r="CL325" s="47">
        <f t="shared" si="1087"/>
        <v>-1000</v>
      </c>
      <c r="CM325" s="47">
        <f t="shared" si="1087"/>
        <v>-1000</v>
      </c>
      <c r="CN325" s="47">
        <f t="shared" si="1087"/>
        <v>-1000</v>
      </c>
      <c r="CO325" s="47">
        <f t="shared" si="1087"/>
        <v>-1000</v>
      </c>
      <c r="CP325" s="47">
        <f t="shared" si="1087"/>
        <v>-1000</v>
      </c>
      <c r="CQ325" s="47">
        <f t="shared" si="1087"/>
        <v>-1000</v>
      </c>
      <c r="CR325" s="47"/>
      <c r="CS325" s="47"/>
      <c r="CT325" s="47"/>
      <c r="CU325" s="50" t="str">
        <f>IFERROR(__xludf.DUMMYFUNCTION("""COMPUTED_VALUE"""),"785 Huntingdon Street
Coppell, TX 75019          ")</f>
        <v>785 Huntingdon Street
Coppell, TX 75019          </v>
      </c>
      <c r="CV325" s="51">
        <f>IFERROR(__xludf.DUMMYFUNCTION("IF(REGEXMATCH(UPPER(CU325), ""TX""),0,1)"),0.0)</f>
        <v>0</v>
      </c>
      <c r="CW325" s="51">
        <f>IFERROR(__xludf.DUMMYFUNCTION("IF(REGEXMATCH(UPPER(CU325), ""DALLAS""),0,1)"),1.0)</f>
        <v>1</v>
      </c>
      <c r="CX325" s="51">
        <f t="shared" si="17"/>
        <v>0</v>
      </c>
      <c r="CY325" s="51">
        <f t="shared" si="18"/>
        <v>1000</v>
      </c>
      <c r="CZ325" s="52" t="str">
        <f t="shared" si="19"/>
        <v>785 Huntingdon Street
Coppell, TX 75019          </v>
      </c>
      <c r="DA325" s="58"/>
      <c r="DB325" s="52"/>
      <c r="DC325" s="52"/>
      <c r="DD325" s="52"/>
      <c r="DE325" s="52"/>
      <c r="DF325" s="52"/>
      <c r="DG325" s="52"/>
      <c r="DH325" s="52"/>
      <c r="DI325" s="52"/>
      <c r="DJ325" s="52"/>
      <c r="DK325" s="52"/>
      <c r="DL325" s="52"/>
      <c r="DM325" s="52"/>
      <c r="DN325" s="52"/>
      <c r="DO325" s="52"/>
      <c r="DP325" s="52"/>
      <c r="DQ325" s="52"/>
      <c r="DR325" s="52"/>
      <c r="DS325" s="52"/>
      <c r="DT325" s="52"/>
      <c r="DU325" s="52"/>
      <c r="DV325" s="52"/>
      <c r="DW325" s="52"/>
    </row>
    <row r="326">
      <c r="A326" s="22" t="s">
        <v>55</v>
      </c>
      <c r="B326" s="23" t="s">
        <v>56</v>
      </c>
      <c r="C326" s="31" t="s">
        <v>904</v>
      </c>
      <c r="D326" s="25" t="str">
        <f>IFERROR(__xludf.DUMMYFUNCTION("SPLIT(C326,"" "")"),"Parish,")</f>
        <v>Parish,</v>
      </c>
      <c r="E326" s="22" t="str">
        <f>IFERROR(__xludf.DUMMYFUNCTION("""COMPUTED_VALUE"""),"Deborah
1910")</f>
        <v>Deborah
1910</v>
      </c>
      <c r="F326" s="22" t="str">
        <f>IFERROR(__xludf.DUMMYFUNCTION("""COMPUTED_VALUE"""),"Pacific")</f>
        <v>Pacific</v>
      </c>
      <c r="G326" s="22" t="str">
        <f>IFERROR(__xludf.DUMMYFUNCTION("""COMPUTED_VALUE"""),"Ave
Dallas,")</f>
        <v>Ave
Dallas,</v>
      </c>
      <c r="H326" s="22" t="str">
        <f>IFERROR(__xludf.DUMMYFUNCTION("""COMPUTED_VALUE"""),"TX")</f>
        <v>TX</v>
      </c>
      <c r="I326" s="22">
        <f>IFERROR(__xludf.DUMMYFUNCTION("""COMPUTED_VALUE"""),75201.0)</f>
        <v>75201</v>
      </c>
      <c r="J326" s="22"/>
      <c r="K326" s="22"/>
      <c r="L326" s="22"/>
      <c r="M326" s="22"/>
      <c r="N326" s="22"/>
      <c r="O326" s="22"/>
      <c r="P326" s="22"/>
      <c r="Q326" s="22"/>
      <c r="R326" s="22"/>
      <c r="S326" s="22"/>
      <c r="T326" s="22"/>
      <c r="U326" s="24" t="str">
        <f>IFERROR(__xludf.DUMMYFUNCTION("SPLIT(E326,""01234567890"")"),"Deborah
")</f>
        <v>Deborah
</v>
      </c>
      <c r="V326" s="24" t="str">
        <f>IFERROR(__xludf.DUMMYFUNCTION("SPLIT(D326,"","")"),"Parish")</f>
        <v>Parish</v>
      </c>
      <c r="W326" s="25" t="str">
        <f t="shared" si="1"/>
        <v>DEBORAH
 PARISH</v>
      </c>
      <c r="X326" s="25" t="s">
        <v>905</v>
      </c>
      <c r="Y326" s="25">
        <v>75201.0</v>
      </c>
      <c r="Z326" s="25" t="str">
        <f>IFERROR(__xludf.DUMMYFUNCTION("SPLIT(C326,""
"")"),"Parish, Deborah")</f>
        <v>Parish, Deborah</v>
      </c>
      <c r="AA326" s="25" t="str">
        <f>IFERROR(__xludf.DUMMYFUNCTION("""COMPUTED_VALUE"""),"1910 Pacific Ave")</f>
        <v>1910 Pacific Ave</v>
      </c>
      <c r="AB326" s="25" t="str">
        <f>IFERROR(__xludf.DUMMYFUNCTION("""COMPUTED_VALUE"""),"Dallas, TX 75201")</f>
        <v>Dallas, TX 75201</v>
      </c>
      <c r="AC326" s="24" t="s">
        <v>906</v>
      </c>
      <c r="AD326" s="25"/>
      <c r="AE326" s="25"/>
      <c r="AF326" s="25"/>
      <c r="AG326" s="22" t="s">
        <v>60</v>
      </c>
      <c r="AH326" s="54">
        <v>2437.0</v>
      </c>
      <c r="AI326" s="22" t="s">
        <v>61</v>
      </c>
      <c r="AJ326" s="27">
        <v>250.0</v>
      </c>
      <c r="AK326" s="31" t="s">
        <v>25</v>
      </c>
      <c r="AL326" s="28">
        <v>44726.0</v>
      </c>
      <c r="AM326" s="29">
        <v>44754.83237268519</v>
      </c>
      <c r="AN326" s="30">
        <v>2.0</v>
      </c>
      <c r="AO326" s="22"/>
      <c r="AP326" s="22"/>
      <c r="AQ326" s="22"/>
      <c r="AR326" s="22"/>
      <c r="AS326" s="22"/>
      <c r="AT326" s="70"/>
      <c r="AU326" s="22"/>
      <c r="AV326" s="57" t="str">
        <f>IFERROR(__xludf.DUMMYFUNCTION("""COMPUTED_VALUE"""),"Sutton")</f>
        <v>Sutton</v>
      </c>
      <c r="AW326" s="46">
        <f t="shared" si="7"/>
        <v>100</v>
      </c>
      <c r="AX326" s="47">
        <f t="shared" ref="AX326:BQ326" si="1088">SUMIFS($AJ:$AJ,$V:$V,$AV326,$AK:$AK,AX$2)</f>
        <v>0</v>
      </c>
      <c r="AY326" s="48">
        <f t="shared" si="1088"/>
        <v>0</v>
      </c>
      <c r="AZ326" s="48">
        <f t="shared" si="1088"/>
        <v>0</v>
      </c>
      <c r="BA326" s="48">
        <f t="shared" si="1088"/>
        <v>0</v>
      </c>
      <c r="BB326" s="48">
        <f t="shared" si="1088"/>
        <v>0</v>
      </c>
      <c r="BC326" s="48">
        <f t="shared" si="1088"/>
        <v>0</v>
      </c>
      <c r="BD326" s="48">
        <f t="shared" si="1088"/>
        <v>0</v>
      </c>
      <c r="BE326" s="48">
        <f t="shared" si="1088"/>
        <v>0</v>
      </c>
      <c r="BF326" s="48">
        <f t="shared" si="1088"/>
        <v>0</v>
      </c>
      <c r="BG326" s="48">
        <f t="shared" si="1088"/>
        <v>100</v>
      </c>
      <c r="BH326" s="48">
        <f t="shared" si="1088"/>
        <v>0</v>
      </c>
      <c r="BI326" s="48">
        <f t="shared" si="1088"/>
        <v>0</v>
      </c>
      <c r="BJ326" s="48">
        <f t="shared" si="1088"/>
        <v>0</v>
      </c>
      <c r="BK326" s="48">
        <f t="shared" si="1088"/>
        <v>0</v>
      </c>
      <c r="BL326" s="48">
        <f t="shared" si="1088"/>
        <v>0</v>
      </c>
      <c r="BM326" s="48">
        <f t="shared" si="1088"/>
        <v>0</v>
      </c>
      <c r="BN326" s="48">
        <f t="shared" si="1088"/>
        <v>0</v>
      </c>
      <c r="BO326" s="48">
        <f t="shared" si="1088"/>
        <v>0</v>
      </c>
      <c r="BP326" s="48">
        <f t="shared" si="1088"/>
        <v>0</v>
      </c>
      <c r="BQ326" s="48">
        <f t="shared" si="1088"/>
        <v>0</v>
      </c>
      <c r="BR326" s="36">
        <f t="shared" si="9"/>
        <v>0</v>
      </c>
      <c r="BS326" s="38">
        <f t="shared" si="10"/>
        <v>1</v>
      </c>
      <c r="BT326" s="49">
        <f t="shared" si="11"/>
        <v>0</v>
      </c>
      <c r="BU326" s="38">
        <f t="shared" si="12"/>
        <v>1000</v>
      </c>
      <c r="BV326" s="57" t="str">
        <f>IFERROR(__xludf.DUMMYFUNCTION("""COMPUTED_VALUE"""),"Sutton")</f>
        <v>Sutton</v>
      </c>
      <c r="BW326" s="46">
        <f t="shared" si="13"/>
        <v>100</v>
      </c>
      <c r="BX326" s="47">
        <f t="shared" ref="BX326:CA326" si="1089">AX326-$BU326</f>
        <v>-1000</v>
      </c>
      <c r="BY326" s="47">
        <f t="shared" si="1089"/>
        <v>-1000</v>
      </c>
      <c r="BZ326" s="47">
        <f t="shared" si="1089"/>
        <v>-1000</v>
      </c>
      <c r="CA326" s="47">
        <f t="shared" si="1089"/>
        <v>-1000</v>
      </c>
      <c r="CB326" s="47">
        <f t="shared" si="15"/>
        <v>-10000</v>
      </c>
      <c r="CC326" s="47">
        <f t="shared" ref="CC326:CQ326" si="1090">BC326-$BU326</f>
        <v>-1000</v>
      </c>
      <c r="CD326" s="47">
        <f t="shared" si="1090"/>
        <v>-1000</v>
      </c>
      <c r="CE326" s="47">
        <f t="shared" si="1090"/>
        <v>-1000</v>
      </c>
      <c r="CF326" s="47">
        <f t="shared" si="1090"/>
        <v>-1000</v>
      </c>
      <c r="CG326" s="47">
        <f t="shared" si="1090"/>
        <v>-900</v>
      </c>
      <c r="CH326" s="47">
        <f t="shared" si="1090"/>
        <v>-1000</v>
      </c>
      <c r="CI326" s="47">
        <f t="shared" si="1090"/>
        <v>-1000</v>
      </c>
      <c r="CJ326" s="47">
        <f t="shared" si="1090"/>
        <v>-1000</v>
      </c>
      <c r="CK326" s="47">
        <f t="shared" si="1090"/>
        <v>-1000</v>
      </c>
      <c r="CL326" s="47">
        <f t="shared" si="1090"/>
        <v>-1000</v>
      </c>
      <c r="CM326" s="47">
        <f t="shared" si="1090"/>
        <v>-1000</v>
      </c>
      <c r="CN326" s="47">
        <f t="shared" si="1090"/>
        <v>-1000</v>
      </c>
      <c r="CO326" s="47">
        <f t="shared" si="1090"/>
        <v>-1000</v>
      </c>
      <c r="CP326" s="47">
        <f t="shared" si="1090"/>
        <v>-1000</v>
      </c>
      <c r="CQ326" s="47">
        <f t="shared" si="1090"/>
        <v>-1000</v>
      </c>
      <c r="CR326" s="47"/>
      <c r="CS326" s="47"/>
      <c r="CT326" s="47"/>
      <c r="CU326" s="50" t="str">
        <f>IFERROR(__xludf.DUMMYFUNCTION("""COMPUTED_VALUE"""),"3808 Miramar Ave
Dallas, TX 75205          ")</f>
        <v>3808 Miramar Ave
Dallas, TX 75205          </v>
      </c>
      <c r="CV326" s="51">
        <f>IFERROR(__xludf.DUMMYFUNCTION("IF(REGEXMATCH(UPPER(CU326), ""TX""),0,1)"),0.0)</f>
        <v>0</v>
      </c>
      <c r="CW326" s="51">
        <f>IFERROR(__xludf.DUMMYFUNCTION("IF(REGEXMATCH(UPPER(CU326), ""DALLAS""),0,1)"),0.0)</f>
        <v>0</v>
      </c>
      <c r="CX326" s="51">
        <f t="shared" si="17"/>
        <v>0</v>
      </c>
      <c r="CY326" s="51">
        <f t="shared" si="18"/>
        <v>0</v>
      </c>
      <c r="CZ326" s="52" t="str">
        <f t="shared" si="19"/>
        <v/>
      </c>
      <c r="DA326" s="58"/>
      <c r="DB326" s="52"/>
      <c r="DC326" s="52"/>
      <c r="DD326" s="52"/>
      <c r="DE326" s="52"/>
      <c r="DF326" s="52"/>
      <c r="DG326" s="52"/>
      <c r="DH326" s="52"/>
      <c r="DI326" s="52"/>
      <c r="DJ326" s="52"/>
      <c r="DK326" s="52"/>
      <c r="DL326" s="52"/>
      <c r="DM326" s="52"/>
      <c r="DN326" s="52"/>
      <c r="DO326" s="52"/>
      <c r="DP326" s="52"/>
      <c r="DQ326" s="52"/>
      <c r="DR326" s="52"/>
      <c r="DS326" s="52"/>
      <c r="DT326" s="52"/>
      <c r="DU326" s="52"/>
      <c r="DV326" s="52"/>
      <c r="DW326" s="52"/>
    </row>
    <row r="327">
      <c r="A327" s="41" t="s">
        <v>64</v>
      </c>
      <c r="B327" s="41" t="s">
        <v>56</v>
      </c>
      <c r="C327" s="31" t="s">
        <v>907</v>
      </c>
      <c r="D327" s="25" t="str">
        <f>IFERROR(__xludf.DUMMYFUNCTION("SPLIT(C327,"" "")"),"Rupani,")</f>
        <v>Rupani,</v>
      </c>
      <c r="E327" s="40" t="str">
        <f>IFERROR(__xludf.DUMMYFUNCTION("""COMPUTED_VALUE"""),"Amirali
16555")</f>
        <v>Amirali
16555</v>
      </c>
      <c r="F327" s="40" t="str">
        <f>IFERROR(__xludf.DUMMYFUNCTION("""COMPUTED_VALUE"""),"Preston")</f>
        <v>Preston</v>
      </c>
      <c r="G327" s="40" t="str">
        <f>IFERROR(__xludf.DUMMYFUNCTION("""COMPUTED_VALUE"""),"Trail")</f>
        <v>Trail</v>
      </c>
      <c r="H327" s="40" t="str">
        <f>IFERROR(__xludf.DUMMYFUNCTION("""COMPUTED_VALUE"""),"Dr
Dallas,")</f>
        <v>Dr
Dallas,</v>
      </c>
      <c r="I327" s="40" t="str">
        <f>IFERROR(__xludf.DUMMYFUNCTION("""COMPUTED_VALUE"""),"TX")</f>
        <v>TX</v>
      </c>
      <c r="J327" s="40">
        <f>IFERROR(__xludf.DUMMYFUNCTION("""COMPUTED_VALUE"""),75201.0)</f>
        <v>75201</v>
      </c>
      <c r="K327" s="40"/>
      <c r="L327" s="40"/>
      <c r="M327" s="40"/>
      <c r="N327" s="40"/>
      <c r="O327" s="40"/>
      <c r="P327" s="40"/>
      <c r="Q327" s="40"/>
      <c r="R327" s="40"/>
      <c r="S327" s="40"/>
      <c r="T327" s="40"/>
      <c r="U327" s="24" t="str">
        <f>IFERROR(__xludf.DUMMYFUNCTION("SPLIT(E327,""01234567890"")"),"Amirali
")</f>
        <v>Amirali
</v>
      </c>
      <c r="V327" s="24" t="str">
        <f>IFERROR(__xludf.DUMMYFUNCTION("SPLIT(D327,"","")"),"Rupani")</f>
        <v>Rupani</v>
      </c>
      <c r="W327" s="25" t="str">
        <f t="shared" si="1"/>
        <v>AMIRALI
 RUPANI</v>
      </c>
      <c r="X327" s="25" t="s">
        <v>908</v>
      </c>
      <c r="Y327" s="25">
        <v>75201.0</v>
      </c>
      <c r="Z327" s="25" t="str">
        <f>IFERROR(__xludf.DUMMYFUNCTION("SPLIT(C327,""
"")"),"Rupani, Amirali")</f>
        <v>Rupani, Amirali</v>
      </c>
      <c r="AA327" s="25" t="str">
        <f>IFERROR(__xludf.DUMMYFUNCTION("""COMPUTED_VALUE"""),"16555 Preston Trail Dr")</f>
        <v>16555 Preston Trail Dr</v>
      </c>
      <c r="AB327" s="25" t="str">
        <f>IFERROR(__xludf.DUMMYFUNCTION("""COMPUTED_VALUE"""),"Dallas, TX 75201")</f>
        <v>Dallas, TX 75201</v>
      </c>
      <c r="AC327" s="24" t="s">
        <v>909</v>
      </c>
      <c r="AD327" s="25"/>
      <c r="AE327" s="25"/>
      <c r="AF327" s="25"/>
      <c r="AG327" s="40" t="s">
        <v>60</v>
      </c>
      <c r="AH327" s="42">
        <v>2437.0</v>
      </c>
      <c r="AI327" s="40" t="s">
        <v>61</v>
      </c>
      <c r="AJ327" s="27">
        <v>5000.0</v>
      </c>
      <c r="AK327" s="31" t="s">
        <v>25</v>
      </c>
      <c r="AL327" s="43">
        <v>44726.0</v>
      </c>
      <c r="AM327" s="44">
        <v>44754.83237268519</v>
      </c>
      <c r="AN327" s="30">
        <v>2.0</v>
      </c>
      <c r="AO327" s="40"/>
      <c r="AP327" s="40"/>
      <c r="AQ327" s="40"/>
      <c r="AR327" s="40"/>
      <c r="AS327" s="40"/>
      <c r="AT327" s="47"/>
      <c r="AU327" s="40"/>
      <c r="AV327" s="46" t="str">
        <f>IFERROR(__xludf.DUMMYFUNCTION("""COMPUTED_VALUE"""),"Hopkins")</f>
        <v>Hopkins</v>
      </c>
      <c r="AW327" s="46">
        <f t="shared" si="7"/>
        <v>30</v>
      </c>
      <c r="AX327" s="47">
        <f t="shared" ref="AX327:BQ327" si="1091">SUMIFS($AJ:$AJ,$V:$V,$AV327,$AK:$AK,AX$2)</f>
        <v>0</v>
      </c>
      <c r="AY327" s="48">
        <f t="shared" si="1091"/>
        <v>0</v>
      </c>
      <c r="AZ327" s="48">
        <f t="shared" si="1091"/>
        <v>0</v>
      </c>
      <c r="BA327" s="48">
        <f t="shared" si="1091"/>
        <v>0</v>
      </c>
      <c r="BB327" s="48">
        <f t="shared" si="1091"/>
        <v>0</v>
      </c>
      <c r="BC327" s="48">
        <f t="shared" si="1091"/>
        <v>0</v>
      </c>
      <c r="BD327" s="48">
        <f t="shared" si="1091"/>
        <v>0</v>
      </c>
      <c r="BE327" s="48">
        <f t="shared" si="1091"/>
        <v>0</v>
      </c>
      <c r="BF327" s="48">
        <f t="shared" si="1091"/>
        <v>0</v>
      </c>
      <c r="BG327" s="48">
        <f t="shared" si="1091"/>
        <v>30</v>
      </c>
      <c r="BH327" s="48">
        <f t="shared" si="1091"/>
        <v>0</v>
      </c>
      <c r="BI327" s="48">
        <f t="shared" si="1091"/>
        <v>0</v>
      </c>
      <c r="BJ327" s="48">
        <f t="shared" si="1091"/>
        <v>0</v>
      </c>
      <c r="BK327" s="48">
        <f t="shared" si="1091"/>
        <v>0</v>
      </c>
      <c r="BL327" s="48">
        <f t="shared" si="1091"/>
        <v>0</v>
      </c>
      <c r="BM327" s="48">
        <f t="shared" si="1091"/>
        <v>0</v>
      </c>
      <c r="BN327" s="48">
        <f t="shared" si="1091"/>
        <v>0</v>
      </c>
      <c r="BO327" s="48">
        <f t="shared" si="1091"/>
        <v>0</v>
      </c>
      <c r="BP327" s="48">
        <f t="shared" si="1091"/>
        <v>0</v>
      </c>
      <c r="BQ327" s="48">
        <f t="shared" si="1091"/>
        <v>0</v>
      </c>
      <c r="BR327" s="36">
        <f t="shared" si="9"/>
        <v>0</v>
      </c>
      <c r="BS327" s="38">
        <f t="shared" si="10"/>
        <v>1</v>
      </c>
      <c r="BT327" s="49">
        <f t="shared" si="11"/>
        <v>0</v>
      </c>
      <c r="BU327" s="38">
        <f t="shared" si="12"/>
        <v>1000</v>
      </c>
      <c r="BV327" s="46" t="str">
        <f>IFERROR(__xludf.DUMMYFUNCTION("""COMPUTED_VALUE"""),"Hopkins")</f>
        <v>Hopkins</v>
      </c>
      <c r="BW327" s="46">
        <f t="shared" si="13"/>
        <v>30</v>
      </c>
      <c r="BX327" s="47">
        <f t="shared" ref="BX327:CA327" si="1092">AX327-$BU327</f>
        <v>-1000</v>
      </c>
      <c r="BY327" s="47">
        <f t="shared" si="1092"/>
        <v>-1000</v>
      </c>
      <c r="BZ327" s="47">
        <f t="shared" si="1092"/>
        <v>-1000</v>
      </c>
      <c r="CA327" s="47">
        <f t="shared" si="1092"/>
        <v>-1000</v>
      </c>
      <c r="CB327" s="47">
        <f t="shared" si="15"/>
        <v>-10000</v>
      </c>
      <c r="CC327" s="47">
        <f t="shared" ref="CC327:CQ327" si="1093">BC327-$BU327</f>
        <v>-1000</v>
      </c>
      <c r="CD327" s="47">
        <f t="shared" si="1093"/>
        <v>-1000</v>
      </c>
      <c r="CE327" s="47">
        <f t="shared" si="1093"/>
        <v>-1000</v>
      </c>
      <c r="CF327" s="47">
        <f t="shared" si="1093"/>
        <v>-1000</v>
      </c>
      <c r="CG327" s="47">
        <f t="shared" si="1093"/>
        <v>-970</v>
      </c>
      <c r="CH327" s="47">
        <f t="shared" si="1093"/>
        <v>-1000</v>
      </c>
      <c r="CI327" s="47">
        <f t="shared" si="1093"/>
        <v>-1000</v>
      </c>
      <c r="CJ327" s="47">
        <f t="shared" si="1093"/>
        <v>-1000</v>
      </c>
      <c r="CK327" s="47">
        <f t="shared" si="1093"/>
        <v>-1000</v>
      </c>
      <c r="CL327" s="47">
        <f t="shared" si="1093"/>
        <v>-1000</v>
      </c>
      <c r="CM327" s="47">
        <f t="shared" si="1093"/>
        <v>-1000</v>
      </c>
      <c r="CN327" s="47">
        <f t="shared" si="1093"/>
        <v>-1000</v>
      </c>
      <c r="CO327" s="47">
        <f t="shared" si="1093"/>
        <v>-1000</v>
      </c>
      <c r="CP327" s="47">
        <f t="shared" si="1093"/>
        <v>-1000</v>
      </c>
      <c r="CQ327" s="47">
        <f t="shared" si="1093"/>
        <v>-1000</v>
      </c>
      <c r="CR327" s="47"/>
      <c r="CS327" s="47"/>
      <c r="CT327" s="47"/>
      <c r="CU327" s="50" t="str">
        <f>IFERROR(__xludf.DUMMYFUNCTION("""COMPUTED_VALUE"""),"4555 North Bay Rd
Miami Beach, FL 33140        ")</f>
        <v>4555 North Bay Rd
Miami Beach, FL 33140        </v>
      </c>
      <c r="CV327" s="51">
        <f>IFERROR(__xludf.DUMMYFUNCTION("IF(REGEXMATCH(UPPER(CU327), ""TX""),0,1)"),1.0)</f>
        <v>1</v>
      </c>
      <c r="CW327" s="51">
        <f>IFERROR(__xludf.DUMMYFUNCTION("IF(REGEXMATCH(UPPER(CU327), ""DALLAS""),0,1)"),1.0)</f>
        <v>1</v>
      </c>
      <c r="CX327" s="51">
        <f t="shared" si="17"/>
        <v>1000</v>
      </c>
      <c r="CY327" s="51">
        <f t="shared" si="18"/>
        <v>1000</v>
      </c>
      <c r="CZ327" s="52" t="str">
        <f t="shared" si="19"/>
        <v>4555 North Bay Rd
Miami Beach, FL 33140        </v>
      </c>
      <c r="DA327" s="58"/>
      <c r="DB327" s="52"/>
      <c r="DC327" s="52"/>
      <c r="DD327" s="52"/>
      <c r="DE327" s="52"/>
      <c r="DF327" s="52"/>
      <c r="DG327" s="52"/>
      <c r="DH327" s="52"/>
      <c r="DI327" s="52"/>
      <c r="DJ327" s="52"/>
      <c r="DK327" s="52"/>
      <c r="DL327" s="52"/>
      <c r="DM327" s="52"/>
      <c r="DN327" s="52"/>
      <c r="DO327" s="52"/>
      <c r="DP327" s="52"/>
      <c r="DQ327" s="52"/>
      <c r="DR327" s="52"/>
      <c r="DS327" s="52"/>
      <c r="DT327" s="52"/>
      <c r="DU327" s="52"/>
      <c r="DV327" s="52"/>
      <c r="DW327" s="52"/>
    </row>
    <row r="328">
      <c r="A328" s="22" t="s">
        <v>55</v>
      </c>
      <c r="B328" s="23" t="s">
        <v>56</v>
      </c>
      <c r="C328" s="31" t="s">
        <v>910</v>
      </c>
      <c r="D328" s="25" t="str">
        <f>IFERROR(__xludf.DUMMYFUNCTION("SPLIT(C328,"" "")"),"Lashlee,")</f>
        <v>Lashlee,</v>
      </c>
      <c r="E328" s="22" t="str">
        <f>IFERROR(__xludf.DUMMYFUNCTION("""COMPUTED_VALUE"""),"Rhett
5310")</f>
        <v>Rhett
5310</v>
      </c>
      <c r="F328" s="22" t="str">
        <f>IFERROR(__xludf.DUMMYFUNCTION("""COMPUTED_VALUE"""),"Stonegate")</f>
        <v>Stonegate</v>
      </c>
      <c r="G328" s="22" t="str">
        <f>IFERROR(__xludf.DUMMYFUNCTION("""COMPUTED_VALUE"""),"Dr
Dallas,")</f>
        <v>Dr
Dallas,</v>
      </c>
      <c r="H328" s="22" t="str">
        <f>IFERROR(__xludf.DUMMYFUNCTION("""COMPUTED_VALUE"""),"TX")</f>
        <v>TX</v>
      </c>
      <c r="I328" s="22">
        <f>IFERROR(__xludf.DUMMYFUNCTION("""COMPUTED_VALUE"""),75209.0)</f>
        <v>75209</v>
      </c>
      <c r="J328" s="22"/>
      <c r="K328" s="22"/>
      <c r="L328" s="22"/>
      <c r="M328" s="22"/>
      <c r="N328" s="22"/>
      <c r="O328" s="22"/>
      <c r="P328" s="22"/>
      <c r="Q328" s="22"/>
      <c r="R328" s="22"/>
      <c r="S328" s="22"/>
      <c r="T328" s="22"/>
      <c r="U328" s="24" t="str">
        <f>IFERROR(__xludf.DUMMYFUNCTION("SPLIT(E328,""01234567890"")"),"Rhett
")</f>
        <v>Rhett
</v>
      </c>
      <c r="V328" s="24" t="str">
        <f>IFERROR(__xludf.DUMMYFUNCTION("SPLIT(D328,"","")"),"Lashlee")</f>
        <v>Lashlee</v>
      </c>
      <c r="W328" s="25" t="str">
        <f t="shared" si="1"/>
        <v>RHETT
 LASHLEE</v>
      </c>
      <c r="X328" s="25" t="s">
        <v>911</v>
      </c>
      <c r="Y328" s="25">
        <v>75209.0</v>
      </c>
      <c r="Z328" s="25" t="str">
        <f>IFERROR(__xludf.DUMMYFUNCTION("SPLIT(C328,""
"")"),"Lashlee, Rhett")</f>
        <v>Lashlee, Rhett</v>
      </c>
      <c r="AA328" s="25" t="str">
        <f>IFERROR(__xludf.DUMMYFUNCTION("""COMPUTED_VALUE"""),"5310 Stonegate Dr")</f>
        <v>5310 Stonegate Dr</v>
      </c>
      <c r="AB328" s="25" t="str">
        <f>IFERROR(__xludf.DUMMYFUNCTION("""COMPUTED_VALUE"""),"Dallas, TX 75209")</f>
        <v>Dallas, TX 75209</v>
      </c>
      <c r="AC328" s="24" t="s">
        <v>912</v>
      </c>
      <c r="AD328" s="25"/>
      <c r="AE328" s="25"/>
      <c r="AF328" s="25"/>
      <c r="AG328" s="22" t="s">
        <v>60</v>
      </c>
      <c r="AH328" s="54">
        <v>2437.0</v>
      </c>
      <c r="AI328" s="22" t="s">
        <v>61</v>
      </c>
      <c r="AJ328" s="27">
        <v>500.0</v>
      </c>
      <c r="AK328" s="31" t="s">
        <v>25</v>
      </c>
      <c r="AL328" s="28">
        <v>44726.0</v>
      </c>
      <c r="AM328" s="29">
        <v>44754.83237268519</v>
      </c>
      <c r="AN328" s="30">
        <v>2.0</v>
      </c>
      <c r="AO328" s="22"/>
      <c r="AP328" s="22"/>
      <c r="AQ328" s="22"/>
      <c r="AR328" s="22"/>
      <c r="AS328" s="22"/>
      <c r="AT328" s="70"/>
      <c r="AU328" s="22"/>
      <c r="AV328" s="57" t="str">
        <f>IFERROR(__xludf.DUMMYFUNCTION("""COMPUTED_VALUE"""),"Bonfield")</f>
        <v>Bonfield</v>
      </c>
      <c r="AW328" s="46">
        <f t="shared" si="7"/>
        <v>100</v>
      </c>
      <c r="AX328" s="47">
        <f t="shared" ref="AX328:BQ328" si="1094">SUMIFS($AJ:$AJ,$V:$V,$AV328,$AK:$AK,AX$2)</f>
        <v>0</v>
      </c>
      <c r="AY328" s="48">
        <f t="shared" si="1094"/>
        <v>0</v>
      </c>
      <c r="AZ328" s="48">
        <f t="shared" si="1094"/>
        <v>0</v>
      </c>
      <c r="BA328" s="48">
        <f t="shared" si="1094"/>
        <v>0</v>
      </c>
      <c r="BB328" s="48">
        <f t="shared" si="1094"/>
        <v>0</v>
      </c>
      <c r="BC328" s="48">
        <f t="shared" si="1094"/>
        <v>0</v>
      </c>
      <c r="BD328" s="48">
        <f t="shared" si="1094"/>
        <v>0</v>
      </c>
      <c r="BE328" s="48">
        <f t="shared" si="1094"/>
        <v>0</v>
      </c>
      <c r="BF328" s="48">
        <f t="shared" si="1094"/>
        <v>0</v>
      </c>
      <c r="BG328" s="48">
        <f t="shared" si="1094"/>
        <v>100</v>
      </c>
      <c r="BH328" s="48">
        <f t="shared" si="1094"/>
        <v>0</v>
      </c>
      <c r="BI328" s="48">
        <f t="shared" si="1094"/>
        <v>0</v>
      </c>
      <c r="BJ328" s="48">
        <f t="shared" si="1094"/>
        <v>0</v>
      </c>
      <c r="BK328" s="48">
        <f t="shared" si="1094"/>
        <v>0</v>
      </c>
      <c r="BL328" s="48">
        <f t="shared" si="1094"/>
        <v>0</v>
      </c>
      <c r="BM328" s="48">
        <f t="shared" si="1094"/>
        <v>0</v>
      </c>
      <c r="BN328" s="48">
        <f t="shared" si="1094"/>
        <v>0</v>
      </c>
      <c r="BO328" s="48">
        <f t="shared" si="1094"/>
        <v>0</v>
      </c>
      <c r="BP328" s="48">
        <f t="shared" si="1094"/>
        <v>0</v>
      </c>
      <c r="BQ328" s="48">
        <f t="shared" si="1094"/>
        <v>0</v>
      </c>
      <c r="BR328" s="36">
        <f t="shared" si="9"/>
        <v>0</v>
      </c>
      <c r="BS328" s="38">
        <f t="shared" si="10"/>
        <v>1</v>
      </c>
      <c r="BT328" s="49">
        <f t="shared" si="11"/>
        <v>0</v>
      </c>
      <c r="BU328" s="38">
        <f t="shared" si="12"/>
        <v>1000</v>
      </c>
      <c r="BV328" s="57" t="str">
        <f>IFERROR(__xludf.DUMMYFUNCTION("""COMPUTED_VALUE"""),"Bonfield")</f>
        <v>Bonfield</v>
      </c>
      <c r="BW328" s="46">
        <f t="shared" si="13"/>
        <v>100</v>
      </c>
      <c r="BX328" s="47">
        <f t="shared" ref="BX328:CA328" si="1095">AX328-$BU328</f>
        <v>-1000</v>
      </c>
      <c r="BY328" s="47">
        <f t="shared" si="1095"/>
        <v>-1000</v>
      </c>
      <c r="BZ328" s="47">
        <f t="shared" si="1095"/>
        <v>-1000</v>
      </c>
      <c r="CA328" s="47">
        <f t="shared" si="1095"/>
        <v>-1000</v>
      </c>
      <c r="CB328" s="47">
        <f t="shared" si="15"/>
        <v>-10000</v>
      </c>
      <c r="CC328" s="47">
        <f t="shared" ref="CC328:CQ328" si="1096">BC328-$BU328</f>
        <v>-1000</v>
      </c>
      <c r="CD328" s="47">
        <f t="shared" si="1096"/>
        <v>-1000</v>
      </c>
      <c r="CE328" s="47">
        <f t="shared" si="1096"/>
        <v>-1000</v>
      </c>
      <c r="CF328" s="47">
        <f t="shared" si="1096"/>
        <v>-1000</v>
      </c>
      <c r="CG328" s="47">
        <f t="shared" si="1096"/>
        <v>-900</v>
      </c>
      <c r="CH328" s="47">
        <f t="shared" si="1096"/>
        <v>-1000</v>
      </c>
      <c r="CI328" s="47">
        <f t="shared" si="1096"/>
        <v>-1000</v>
      </c>
      <c r="CJ328" s="47">
        <f t="shared" si="1096"/>
        <v>-1000</v>
      </c>
      <c r="CK328" s="47">
        <f t="shared" si="1096"/>
        <v>-1000</v>
      </c>
      <c r="CL328" s="47">
        <f t="shared" si="1096"/>
        <v>-1000</v>
      </c>
      <c r="CM328" s="47">
        <f t="shared" si="1096"/>
        <v>-1000</v>
      </c>
      <c r="CN328" s="47">
        <f t="shared" si="1096"/>
        <v>-1000</v>
      </c>
      <c r="CO328" s="47">
        <f t="shared" si="1096"/>
        <v>-1000</v>
      </c>
      <c r="CP328" s="47">
        <f t="shared" si="1096"/>
        <v>-1000</v>
      </c>
      <c r="CQ328" s="47">
        <f t="shared" si="1096"/>
        <v>-1000</v>
      </c>
      <c r="CR328" s="47"/>
      <c r="CS328" s="47"/>
      <c r="CT328" s="47"/>
      <c r="CU328" s="50" t="str">
        <f>IFERROR(__xludf.DUMMYFUNCTION("""COMPUTED_VALUE"""),"4012 Gillon Ave
Dallas, TX 75205          ")</f>
        <v>4012 Gillon Ave
Dallas, TX 75205          </v>
      </c>
      <c r="CV328" s="51">
        <f>IFERROR(__xludf.DUMMYFUNCTION("IF(REGEXMATCH(UPPER(CU328), ""TX""),0,1)"),0.0)</f>
        <v>0</v>
      </c>
      <c r="CW328" s="51">
        <f>IFERROR(__xludf.DUMMYFUNCTION("IF(REGEXMATCH(UPPER(CU328), ""DALLAS""),0,1)"),0.0)</f>
        <v>0</v>
      </c>
      <c r="CX328" s="51">
        <f t="shared" si="17"/>
        <v>0</v>
      </c>
      <c r="CY328" s="51">
        <f t="shared" si="18"/>
        <v>0</v>
      </c>
      <c r="CZ328" s="52" t="str">
        <f t="shared" si="19"/>
        <v/>
      </c>
      <c r="DA328" s="58"/>
      <c r="DB328" s="52"/>
      <c r="DC328" s="52"/>
      <c r="DD328" s="52"/>
      <c r="DE328" s="52"/>
      <c r="DF328" s="52"/>
      <c r="DG328" s="52"/>
      <c r="DH328" s="52"/>
      <c r="DI328" s="52"/>
      <c r="DJ328" s="52"/>
      <c r="DK328" s="52"/>
      <c r="DL328" s="52"/>
      <c r="DM328" s="52"/>
      <c r="DN328" s="52"/>
      <c r="DO328" s="52"/>
      <c r="DP328" s="52"/>
      <c r="DQ328" s="52"/>
      <c r="DR328" s="52"/>
      <c r="DS328" s="52"/>
      <c r="DT328" s="52"/>
      <c r="DU328" s="52"/>
      <c r="DV328" s="52"/>
      <c r="DW328" s="52"/>
    </row>
    <row r="329">
      <c r="A329" s="41" t="s">
        <v>64</v>
      </c>
      <c r="B329" s="41" t="s">
        <v>56</v>
      </c>
      <c r="C329" s="31" t="s">
        <v>913</v>
      </c>
      <c r="D329" s="25" t="str">
        <f>IFERROR(__xludf.DUMMYFUNCTION("SPLIT(C329,"" "")"),"Maltese,")</f>
        <v>Maltese,</v>
      </c>
      <c r="E329" s="40" t="str">
        <f>IFERROR(__xludf.DUMMYFUNCTION("""COMPUTED_VALUE"""),"Kelly
5500")</f>
        <v>Kelly
5500</v>
      </c>
      <c r="F329" s="40" t="str">
        <f>IFERROR(__xludf.DUMMYFUNCTION("""COMPUTED_VALUE"""),"Caruth")</f>
        <v>Caruth</v>
      </c>
      <c r="G329" s="40" t="str">
        <f>IFERROR(__xludf.DUMMYFUNCTION("""COMPUTED_VALUE"""),"Haven")</f>
        <v>Haven</v>
      </c>
      <c r="H329" s="40" t="str">
        <f>IFERROR(__xludf.DUMMYFUNCTION("""COMPUTED_VALUE"""),"Ln
Dallas,")</f>
        <v>Ln
Dallas,</v>
      </c>
      <c r="I329" s="40" t="str">
        <f>IFERROR(__xludf.DUMMYFUNCTION("""COMPUTED_VALUE"""),"TX")</f>
        <v>TX</v>
      </c>
      <c r="J329" s="40">
        <f>IFERROR(__xludf.DUMMYFUNCTION("""COMPUTED_VALUE"""),75225.0)</f>
        <v>75225</v>
      </c>
      <c r="K329" s="40"/>
      <c r="L329" s="40"/>
      <c r="M329" s="40"/>
      <c r="N329" s="40"/>
      <c r="O329" s="40"/>
      <c r="P329" s="40"/>
      <c r="Q329" s="40"/>
      <c r="R329" s="40"/>
      <c r="S329" s="40"/>
      <c r="T329" s="40"/>
      <c r="U329" s="24" t="str">
        <f>IFERROR(__xludf.DUMMYFUNCTION("SPLIT(E329,""01234567890"")"),"Kelly
")</f>
        <v>Kelly
</v>
      </c>
      <c r="V329" s="24" t="str">
        <f>IFERROR(__xludf.DUMMYFUNCTION("SPLIT(D329,"","")"),"Maltese")</f>
        <v>Maltese</v>
      </c>
      <c r="W329" s="25" t="str">
        <f t="shared" si="1"/>
        <v>KELLY
 MALTESE</v>
      </c>
      <c r="X329" s="25" t="s">
        <v>914</v>
      </c>
      <c r="Y329" s="25">
        <v>75225.0</v>
      </c>
      <c r="Z329" s="25" t="str">
        <f>IFERROR(__xludf.DUMMYFUNCTION("SPLIT(C329,""
"")"),"Maltese, Kelly")</f>
        <v>Maltese, Kelly</v>
      </c>
      <c r="AA329" s="25" t="str">
        <f>IFERROR(__xludf.DUMMYFUNCTION("""COMPUTED_VALUE"""),"5500 Caruth Haven Ln")</f>
        <v>5500 Caruth Haven Ln</v>
      </c>
      <c r="AB329" s="25" t="str">
        <f>IFERROR(__xludf.DUMMYFUNCTION("""COMPUTED_VALUE"""),"Dallas, TX 75225")</f>
        <v>Dallas, TX 75225</v>
      </c>
      <c r="AC329" s="24" t="s">
        <v>915</v>
      </c>
      <c r="AD329" s="25"/>
      <c r="AE329" s="25"/>
      <c r="AF329" s="25"/>
      <c r="AG329" s="40" t="s">
        <v>60</v>
      </c>
      <c r="AH329" s="42">
        <v>2437.0</v>
      </c>
      <c r="AI329" s="40" t="s">
        <v>61</v>
      </c>
      <c r="AJ329" s="27">
        <v>250.0</v>
      </c>
      <c r="AK329" s="31" t="s">
        <v>25</v>
      </c>
      <c r="AL329" s="43">
        <v>44726.0</v>
      </c>
      <c r="AM329" s="44">
        <v>44754.83237268519</v>
      </c>
      <c r="AN329" s="30">
        <v>2.0</v>
      </c>
      <c r="AO329" s="40"/>
      <c r="AP329" s="40"/>
      <c r="AQ329" s="40"/>
      <c r="AR329" s="40"/>
      <c r="AS329" s="40"/>
      <c r="AT329" s="47"/>
      <c r="AU329" s="40"/>
      <c r="AV329" s="46" t="str">
        <f>IFERROR(__xludf.DUMMYFUNCTION("""COMPUTED_VALUE"""),"Gagne")</f>
        <v>Gagne</v>
      </c>
      <c r="AW329" s="46">
        <f t="shared" si="7"/>
        <v>250</v>
      </c>
      <c r="AX329" s="47">
        <f t="shared" ref="AX329:BQ329" si="1097">SUMIFS($AJ:$AJ,$V:$V,$AV329,$AK:$AK,AX$2)</f>
        <v>0</v>
      </c>
      <c r="AY329" s="48">
        <f t="shared" si="1097"/>
        <v>0</v>
      </c>
      <c r="AZ329" s="48">
        <f t="shared" si="1097"/>
        <v>0</v>
      </c>
      <c r="BA329" s="48">
        <f t="shared" si="1097"/>
        <v>0</v>
      </c>
      <c r="BB329" s="48">
        <f t="shared" si="1097"/>
        <v>0</v>
      </c>
      <c r="BC329" s="48">
        <f t="shared" si="1097"/>
        <v>0</v>
      </c>
      <c r="BD329" s="48">
        <f t="shared" si="1097"/>
        <v>0</v>
      </c>
      <c r="BE329" s="48">
        <f t="shared" si="1097"/>
        <v>0</v>
      </c>
      <c r="BF329" s="48">
        <f t="shared" si="1097"/>
        <v>0</v>
      </c>
      <c r="BG329" s="48">
        <f t="shared" si="1097"/>
        <v>250</v>
      </c>
      <c r="BH329" s="48">
        <f t="shared" si="1097"/>
        <v>0</v>
      </c>
      <c r="BI329" s="48">
        <f t="shared" si="1097"/>
        <v>0</v>
      </c>
      <c r="BJ329" s="48">
        <f t="shared" si="1097"/>
        <v>0</v>
      </c>
      <c r="BK329" s="48">
        <f t="shared" si="1097"/>
        <v>0</v>
      </c>
      <c r="BL329" s="48">
        <f t="shared" si="1097"/>
        <v>0</v>
      </c>
      <c r="BM329" s="48">
        <f t="shared" si="1097"/>
        <v>0</v>
      </c>
      <c r="BN329" s="48">
        <f t="shared" si="1097"/>
        <v>0</v>
      </c>
      <c r="BO329" s="48">
        <f t="shared" si="1097"/>
        <v>0</v>
      </c>
      <c r="BP329" s="48">
        <f t="shared" si="1097"/>
        <v>0</v>
      </c>
      <c r="BQ329" s="48">
        <f t="shared" si="1097"/>
        <v>0</v>
      </c>
      <c r="BR329" s="36">
        <f t="shared" si="9"/>
        <v>0</v>
      </c>
      <c r="BS329" s="38">
        <f t="shared" si="10"/>
        <v>1</v>
      </c>
      <c r="BT329" s="49">
        <f t="shared" si="11"/>
        <v>0</v>
      </c>
      <c r="BU329" s="38">
        <f t="shared" si="12"/>
        <v>1000</v>
      </c>
      <c r="BV329" s="46" t="str">
        <f>IFERROR(__xludf.DUMMYFUNCTION("""COMPUTED_VALUE"""),"Gagne")</f>
        <v>Gagne</v>
      </c>
      <c r="BW329" s="46">
        <f t="shared" si="13"/>
        <v>250</v>
      </c>
      <c r="BX329" s="47">
        <f t="shared" ref="BX329:CA329" si="1098">AX329-$BU329</f>
        <v>-1000</v>
      </c>
      <c r="BY329" s="47">
        <f t="shared" si="1098"/>
        <v>-1000</v>
      </c>
      <c r="BZ329" s="47">
        <f t="shared" si="1098"/>
        <v>-1000</v>
      </c>
      <c r="CA329" s="47">
        <f t="shared" si="1098"/>
        <v>-1000</v>
      </c>
      <c r="CB329" s="47">
        <f t="shared" si="15"/>
        <v>-10000</v>
      </c>
      <c r="CC329" s="47">
        <f t="shared" ref="CC329:CQ329" si="1099">BC329-$BU329</f>
        <v>-1000</v>
      </c>
      <c r="CD329" s="47">
        <f t="shared" si="1099"/>
        <v>-1000</v>
      </c>
      <c r="CE329" s="47">
        <f t="shared" si="1099"/>
        <v>-1000</v>
      </c>
      <c r="CF329" s="47">
        <f t="shared" si="1099"/>
        <v>-1000</v>
      </c>
      <c r="CG329" s="47">
        <f t="shared" si="1099"/>
        <v>-750</v>
      </c>
      <c r="CH329" s="47">
        <f t="shared" si="1099"/>
        <v>-1000</v>
      </c>
      <c r="CI329" s="47">
        <f t="shared" si="1099"/>
        <v>-1000</v>
      </c>
      <c r="CJ329" s="47">
        <f t="shared" si="1099"/>
        <v>-1000</v>
      </c>
      <c r="CK329" s="47">
        <f t="shared" si="1099"/>
        <v>-1000</v>
      </c>
      <c r="CL329" s="47">
        <f t="shared" si="1099"/>
        <v>-1000</v>
      </c>
      <c r="CM329" s="47">
        <f t="shared" si="1099"/>
        <v>-1000</v>
      </c>
      <c r="CN329" s="47">
        <f t="shared" si="1099"/>
        <v>-1000</v>
      </c>
      <c r="CO329" s="47">
        <f t="shared" si="1099"/>
        <v>-1000</v>
      </c>
      <c r="CP329" s="47">
        <f t="shared" si="1099"/>
        <v>-1000</v>
      </c>
      <c r="CQ329" s="47">
        <f t="shared" si="1099"/>
        <v>-1000</v>
      </c>
      <c r="CR329" s="47"/>
      <c r="CS329" s="47"/>
      <c r="CT329" s="47"/>
      <c r="CU329" s="50" t="str">
        <f>IFERROR(__xludf.DUMMYFUNCTION("""COMPUTED_VALUE"""),"2419 Amber Leaf Court
Cedar Hill, TX 75104        ")</f>
        <v>2419 Amber Leaf Court
Cedar Hill, TX 75104        </v>
      </c>
      <c r="CV329" s="51">
        <f>IFERROR(__xludf.DUMMYFUNCTION("IF(REGEXMATCH(UPPER(CU329), ""TX""),0,1)"),0.0)</f>
        <v>0</v>
      </c>
      <c r="CW329" s="51">
        <f>IFERROR(__xludf.DUMMYFUNCTION("IF(REGEXMATCH(UPPER(CU329), ""DALLAS""),0,1)"),1.0)</f>
        <v>1</v>
      </c>
      <c r="CX329" s="51">
        <f t="shared" si="17"/>
        <v>0</v>
      </c>
      <c r="CY329" s="51">
        <f t="shared" si="18"/>
        <v>250</v>
      </c>
      <c r="CZ329" s="52" t="str">
        <f t="shared" si="19"/>
        <v>2419 Amber Leaf Court
Cedar Hill, TX 75104        </v>
      </c>
      <c r="DA329" s="58"/>
      <c r="DB329" s="52"/>
      <c r="DC329" s="52"/>
      <c r="DD329" s="52"/>
      <c r="DE329" s="52"/>
      <c r="DF329" s="52"/>
      <c r="DG329" s="52"/>
      <c r="DH329" s="52"/>
      <c r="DI329" s="52"/>
      <c r="DJ329" s="52"/>
      <c r="DK329" s="52"/>
      <c r="DL329" s="52"/>
      <c r="DM329" s="52"/>
      <c r="DN329" s="52"/>
      <c r="DO329" s="52"/>
      <c r="DP329" s="52"/>
      <c r="DQ329" s="52"/>
      <c r="DR329" s="52"/>
      <c r="DS329" s="52"/>
      <c r="DT329" s="52"/>
      <c r="DU329" s="52"/>
      <c r="DV329" s="52"/>
      <c r="DW329" s="52"/>
    </row>
    <row r="330">
      <c r="A330" s="22" t="s">
        <v>55</v>
      </c>
      <c r="B330" s="23" t="s">
        <v>56</v>
      </c>
      <c r="C330" s="31" t="s">
        <v>483</v>
      </c>
      <c r="D330" s="25" t="str">
        <f>IFERROR(__xludf.DUMMYFUNCTION("SPLIT(C330,"" "")"),"Bobosky,")</f>
        <v>Bobosky,</v>
      </c>
      <c r="E330" s="22" t="str">
        <f>IFERROR(__xludf.DUMMYFUNCTION("""COMPUTED_VALUE"""),"Shelby
6823")</f>
        <v>Shelby
6823</v>
      </c>
      <c r="F330" s="22" t="str">
        <f>IFERROR(__xludf.DUMMYFUNCTION("""COMPUTED_VALUE"""),"La")</f>
        <v>La</v>
      </c>
      <c r="G330" s="22" t="str">
        <f>IFERROR(__xludf.DUMMYFUNCTION("""COMPUTED_VALUE"""),"Vista")</f>
        <v>Vista</v>
      </c>
      <c r="H330" s="22" t="str">
        <f>IFERROR(__xludf.DUMMYFUNCTION("""COMPUTED_VALUE"""),"Dr
Dallas,")</f>
        <v>Dr
Dallas,</v>
      </c>
      <c r="I330" s="22" t="str">
        <f>IFERROR(__xludf.DUMMYFUNCTION("""COMPUTED_VALUE"""),"TX")</f>
        <v>TX</v>
      </c>
      <c r="J330" s="22">
        <f>IFERROR(__xludf.DUMMYFUNCTION("""COMPUTED_VALUE"""),75214.0)</f>
        <v>75214</v>
      </c>
      <c r="K330" s="22"/>
      <c r="L330" s="22"/>
      <c r="M330" s="22"/>
      <c r="N330" s="22"/>
      <c r="O330" s="22"/>
      <c r="P330" s="22"/>
      <c r="Q330" s="22"/>
      <c r="R330" s="22"/>
      <c r="S330" s="22"/>
      <c r="T330" s="22"/>
      <c r="U330" s="24" t="str">
        <f>IFERROR(__xludf.DUMMYFUNCTION("SPLIT(E330,""01234567890"")"),"Shelby
")</f>
        <v>Shelby
</v>
      </c>
      <c r="V330" s="24" t="str">
        <f>IFERROR(__xludf.DUMMYFUNCTION("SPLIT(D330,"","")"),"Bobosky")</f>
        <v>Bobosky</v>
      </c>
      <c r="W330" s="25" t="str">
        <f t="shared" si="1"/>
        <v>SHELBY
 BOBOSKY</v>
      </c>
      <c r="X330" s="25" t="s">
        <v>484</v>
      </c>
      <c r="Y330" s="25">
        <v>75214.0</v>
      </c>
      <c r="Z330" s="25" t="str">
        <f>IFERROR(__xludf.DUMMYFUNCTION("SPLIT(C330,""
"")"),"Bobosky, Shelby")</f>
        <v>Bobosky, Shelby</v>
      </c>
      <c r="AA330" s="25" t="str">
        <f>IFERROR(__xludf.DUMMYFUNCTION("""COMPUTED_VALUE"""),"6823 La Vista Dr")</f>
        <v>6823 La Vista Dr</v>
      </c>
      <c r="AB330" s="25" t="str">
        <f>IFERROR(__xludf.DUMMYFUNCTION("""COMPUTED_VALUE"""),"Dallas, TX 75214")</f>
        <v>Dallas, TX 75214</v>
      </c>
      <c r="AC330" s="24" t="s">
        <v>482</v>
      </c>
      <c r="AD330" s="25"/>
      <c r="AE330" s="25"/>
      <c r="AF330" s="25"/>
      <c r="AG330" s="22" t="s">
        <v>60</v>
      </c>
      <c r="AH330" s="54">
        <v>2437.0</v>
      </c>
      <c r="AI330" s="22" t="s">
        <v>61</v>
      </c>
      <c r="AJ330" s="27">
        <v>250.0</v>
      </c>
      <c r="AK330" s="31" t="s">
        <v>25</v>
      </c>
      <c r="AL330" s="28">
        <v>44726.0</v>
      </c>
      <c r="AM330" s="29">
        <v>44754.83237268519</v>
      </c>
      <c r="AN330" s="30">
        <v>2.0</v>
      </c>
      <c r="AO330" s="22"/>
      <c r="AP330" s="22"/>
      <c r="AQ330" s="22"/>
      <c r="AR330" s="22"/>
      <c r="AS330" s="22"/>
      <c r="AT330" s="70"/>
      <c r="AU330" s="22"/>
      <c r="AV330" s="57" t="str">
        <f>IFERROR(__xludf.DUMMYFUNCTION("""COMPUTED_VALUE"""),"Chambers")</f>
        <v>Chambers</v>
      </c>
      <c r="AW330" s="46">
        <f t="shared" si="7"/>
        <v>1000</v>
      </c>
      <c r="AX330" s="47">
        <f t="shared" ref="AX330:BQ330" si="1100">SUMIFS($AJ:$AJ,$V:$V,$AV330,$AK:$AK,AX$2)</f>
        <v>0</v>
      </c>
      <c r="AY330" s="48">
        <f t="shared" si="1100"/>
        <v>0</v>
      </c>
      <c r="AZ330" s="48">
        <f t="shared" si="1100"/>
        <v>0</v>
      </c>
      <c r="BA330" s="48">
        <f t="shared" si="1100"/>
        <v>0</v>
      </c>
      <c r="BB330" s="48">
        <f t="shared" si="1100"/>
        <v>0</v>
      </c>
      <c r="BC330" s="48">
        <f t="shared" si="1100"/>
        <v>0</v>
      </c>
      <c r="BD330" s="48">
        <f t="shared" si="1100"/>
        <v>0</v>
      </c>
      <c r="BE330" s="48">
        <f t="shared" si="1100"/>
        <v>0</v>
      </c>
      <c r="BF330" s="48">
        <f t="shared" si="1100"/>
        <v>0</v>
      </c>
      <c r="BG330" s="48">
        <f t="shared" si="1100"/>
        <v>1000</v>
      </c>
      <c r="BH330" s="48">
        <f t="shared" si="1100"/>
        <v>0</v>
      </c>
      <c r="BI330" s="48">
        <f t="shared" si="1100"/>
        <v>0</v>
      </c>
      <c r="BJ330" s="48">
        <f t="shared" si="1100"/>
        <v>0</v>
      </c>
      <c r="BK330" s="48">
        <f t="shared" si="1100"/>
        <v>0</v>
      </c>
      <c r="BL330" s="48">
        <f t="shared" si="1100"/>
        <v>0</v>
      </c>
      <c r="BM330" s="48">
        <f t="shared" si="1100"/>
        <v>0</v>
      </c>
      <c r="BN330" s="48">
        <f t="shared" si="1100"/>
        <v>0</v>
      </c>
      <c r="BO330" s="48">
        <f t="shared" si="1100"/>
        <v>0</v>
      </c>
      <c r="BP330" s="48">
        <f t="shared" si="1100"/>
        <v>0</v>
      </c>
      <c r="BQ330" s="48">
        <f t="shared" si="1100"/>
        <v>0</v>
      </c>
      <c r="BR330" s="36">
        <f t="shared" si="9"/>
        <v>0</v>
      </c>
      <c r="BS330" s="38">
        <f t="shared" si="10"/>
        <v>1</v>
      </c>
      <c r="BT330" s="49">
        <f t="shared" si="11"/>
        <v>0</v>
      </c>
      <c r="BU330" s="38">
        <f t="shared" si="12"/>
        <v>1000</v>
      </c>
      <c r="BV330" s="57" t="str">
        <f>IFERROR(__xludf.DUMMYFUNCTION("""COMPUTED_VALUE"""),"Chambers")</f>
        <v>Chambers</v>
      </c>
      <c r="BW330" s="46">
        <f t="shared" si="13"/>
        <v>1000</v>
      </c>
      <c r="BX330" s="47">
        <f t="shared" ref="BX330:CA330" si="1101">AX330-$BU330</f>
        <v>-1000</v>
      </c>
      <c r="BY330" s="47">
        <f t="shared" si="1101"/>
        <v>-1000</v>
      </c>
      <c r="BZ330" s="47">
        <f t="shared" si="1101"/>
        <v>-1000</v>
      </c>
      <c r="CA330" s="47">
        <f t="shared" si="1101"/>
        <v>-1000</v>
      </c>
      <c r="CB330" s="47">
        <f t="shared" si="15"/>
        <v>-10000</v>
      </c>
      <c r="CC330" s="47">
        <f t="shared" ref="CC330:CQ330" si="1102">BC330-$BU330</f>
        <v>-1000</v>
      </c>
      <c r="CD330" s="47">
        <f t="shared" si="1102"/>
        <v>-1000</v>
      </c>
      <c r="CE330" s="47">
        <f t="shared" si="1102"/>
        <v>-1000</v>
      </c>
      <c r="CF330" s="47">
        <f t="shared" si="1102"/>
        <v>-1000</v>
      </c>
      <c r="CG330" s="47">
        <f t="shared" si="1102"/>
        <v>0</v>
      </c>
      <c r="CH330" s="47">
        <f t="shared" si="1102"/>
        <v>-1000</v>
      </c>
      <c r="CI330" s="47">
        <f t="shared" si="1102"/>
        <v>-1000</v>
      </c>
      <c r="CJ330" s="47">
        <f t="shared" si="1102"/>
        <v>-1000</v>
      </c>
      <c r="CK330" s="47">
        <f t="shared" si="1102"/>
        <v>-1000</v>
      </c>
      <c r="CL330" s="47">
        <f t="shared" si="1102"/>
        <v>-1000</v>
      </c>
      <c r="CM330" s="47">
        <f t="shared" si="1102"/>
        <v>-1000</v>
      </c>
      <c r="CN330" s="47">
        <f t="shared" si="1102"/>
        <v>-1000</v>
      </c>
      <c r="CO330" s="47">
        <f t="shared" si="1102"/>
        <v>-1000</v>
      </c>
      <c r="CP330" s="47">
        <f t="shared" si="1102"/>
        <v>-1000</v>
      </c>
      <c r="CQ330" s="47">
        <f t="shared" si="1102"/>
        <v>-1000</v>
      </c>
      <c r="CR330" s="47"/>
      <c r="CS330" s="47"/>
      <c r="CT330" s="47"/>
      <c r="CU330" s="50" t="str">
        <f>IFERROR(__xludf.DUMMYFUNCTION("""COMPUTED_VALUE"""),"4235 Bobbitt Dr
Dallas, TX 75229          ")</f>
        <v>4235 Bobbitt Dr
Dallas, TX 75229          </v>
      </c>
      <c r="CV330" s="51">
        <f>IFERROR(__xludf.DUMMYFUNCTION("IF(REGEXMATCH(UPPER(CU330), ""TX""),0,1)"),0.0)</f>
        <v>0</v>
      </c>
      <c r="CW330" s="51">
        <f>IFERROR(__xludf.DUMMYFUNCTION("IF(REGEXMATCH(UPPER(CU330), ""DALLAS""),0,1)"),0.0)</f>
        <v>0</v>
      </c>
      <c r="CX330" s="51">
        <f t="shared" si="17"/>
        <v>0</v>
      </c>
      <c r="CY330" s="51">
        <f t="shared" si="18"/>
        <v>0</v>
      </c>
      <c r="CZ330" s="52" t="str">
        <f t="shared" si="19"/>
        <v/>
      </c>
      <c r="DA330" s="58"/>
      <c r="DB330" s="52"/>
      <c r="DC330" s="52"/>
      <c r="DD330" s="52"/>
      <c r="DE330" s="52"/>
      <c r="DF330" s="52"/>
      <c r="DG330" s="52"/>
      <c r="DH330" s="52"/>
      <c r="DI330" s="52"/>
      <c r="DJ330" s="52"/>
      <c r="DK330" s="52"/>
      <c r="DL330" s="52"/>
      <c r="DM330" s="52"/>
      <c r="DN330" s="52"/>
      <c r="DO330" s="52"/>
      <c r="DP330" s="52"/>
      <c r="DQ330" s="52"/>
      <c r="DR330" s="52"/>
      <c r="DS330" s="52"/>
      <c r="DT330" s="52"/>
      <c r="DU330" s="52"/>
      <c r="DV330" s="52"/>
      <c r="DW330" s="52"/>
    </row>
    <row r="331">
      <c r="A331" s="41" t="s">
        <v>64</v>
      </c>
      <c r="B331" s="41" t="s">
        <v>56</v>
      </c>
      <c r="C331" s="31" t="s">
        <v>916</v>
      </c>
      <c r="D331" s="25" t="str">
        <f>IFERROR(__xludf.DUMMYFUNCTION("SPLIT(C331,"" "")"),"Bowles,")</f>
        <v>Bowles,</v>
      </c>
      <c r="E331" s="40" t="str">
        <f>IFERROR(__xludf.DUMMYFUNCTION("""COMPUTED_VALUE"""),"Trey
4117")</f>
        <v>Trey
4117</v>
      </c>
      <c r="F331" s="40" t="str">
        <f>IFERROR(__xludf.DUMMYFUNCTION("""COMPUTED_VALUE"""),"COLGATE")</f>
        <v>COLGATE</v>
      </c>
      <c r="G331" s="40" t="str">
        <f>IFERROR(__xludf.DUMMYFUNCTION("""COMPUTED_VALUE"""),"AVE
Dallas,")</f>
        <v>AVE
Dallas,</v>
      </c>
      <c r="H331" s="40" t="str">
        <f>IFERROR(__xludf.DUMMYFUNCTION("""COMPUTED_VALUE"""),"TX")</f>
        <v>TX</v>
      </c>
      <c r="I331" s="40">
        <f>IFERROR(__xludf.DUMMYFUNCTION("""COMPUTED_VALUE"""),75225.0)</f>
        <v>75225</v>
      </c>
      <c r="J331" s="40"/>
      <c r="K331" s="40"/>
      <c r="L331" s="40"/>
      <c r="M331" s="40"/>
      <c r="N331" s="40"/>
      <c r="O331" s="40"/>
      <c r="P331" s="40"/>
      <c r="Q331" s="40"/>
      <c r="R331" s="40"/>
      <c r="S331" s="40"/>
      <c r="T331" s="40"/>
      <c r="U331" s="24" t="str">
        <f>IFERROR(__xludf.DUMMYFUNCTION("SPLIT(E331,""01234567890"")"),"Trey
")</f>
        <v>Trey
</v>
      </c>
      <c r="V331" s="24" t="str">
        <f>IFERROR(__xludf.DUMMYFUNCTION("SPLIT(D331,"","")"),"Bowles")</f>
        <v>Bowles</v>
      </c>
      <c r="W331" s="25" t="str">
        <f t="shared" si="1"/>
        <v>TREY
 BOWLES</v>
      </c>
      <c r="X331" s="25" t="s">
        <v>917</v>
      </c>
      <c r="Y331" s="25">
        <v>75225.0</v>
      </c>
      <c r="Z331" s="25" t="str">
        <f>IFERROR(__xludf.DUMMYFUNCTION("SPLIT(C331,""
"")"),"Bowles, Trey")</f>
        <v>Bowles, Trey</v>
      </c>
      <c r="AA331" s="25" t="str">
        <f>IFERROR(__xludf.DUMMYFUNCTION("""COMPUTED_VALUE"""),"4117 COLGATE AVE")</f>
        <v>4117 COLGATE AVE</v>
      </c>
      <c r="AB331" s="25" t="str">
        <f>IFERROR(__xludf.DUMMYFUNCTION("""COMPUTED_VALUE"""),"Dallas, TX 75225")</f>
        <v>Dallas, TX 75225</v>
      </c>
      <c r="AC331" s="24" t="s">
        <v>918</v>
      </c>
      <c r="AD331" s="25"/>
      <c r="AE331" s="25"/>
      <c r="AF331" s="25"/>
      <c r="AG331" s="40" t="s">
        <v>60</v>
      </c>
      <c r="AH331" s="42">
        <v>2437.0</v>
      </c>
      <c r="AI331" s="40" t="s">
        <v>61</v>
      </c>
      <c r="AJ331" s="27">
        <v>250.0</v>
      </c>
      <c r="AK331" s="31" t="s">
        <v>25</v>
      </c>
      <c r="AL331" s="43">
        <v>44726.0</v>
      </c>
      <c r="AM331" s="44">
        <v>44754.83237268519</v>
      </c>
      <c r="AN331" s="30">
        <v>2.0</v>
      </c>
      <c r="AO331" s="40"/>
      <c r="AP331" s="40"/>
      <c r="AQ331" s="40"/>
      <c r="AR331" s="40"/>
      <c r="AS331" s="40"/>
      <c r="AT331" s="47"/>
      <c r="AU331" s="40"/>
      <c r="AV331" s="46" t="str">
        <f>IFERROR(__xludf.DUMMYFUNCTION("""COMPUTED_VALUE"""),"Glenn")</f>
        <v>Glenn</v>
      </c>
      <c r="AW331" s="46">
        <f t="shared" si="7"/>
        <v>1050</v>
      </c>
      <c r="AX331" s="47">
        <f t="shared" ref="AX331:BQ331" si="1103">SUMIFS($AJ:$AJ,$V:$V,$AV331,$AK:$AK,AX$2)</f>
        <v>0</v>
      </c>
      <c r="AY331" s="48">
        <f t="shared" si="1103"/>
        <v>0</v>
      </c>
      <c r="AZ331" s="48">
        <f t="shared" si="1103"/>
        <v>0</v>
      </c>
      <c r="BA331" s="48">
        <f t="shared" si="1103"/>
        <v>0</v>
      </c>
      <c r="BB331" s="48">
        <f t="shared" si="1103"/>
        <v>1000</v>
      </c>
      <c r="BC331" s="48">
        <f t="shared" si="1103"/>
        <v>0</v>
      </c>
      <c r="BD331" s="48">
        <f t="shared" si="1103"/>
        <v>0</v>
      </c>
      <c r="BE331" s="48">
        <f t="shared" si="1103"/>
        <v>0</v>
      </c>
      <c r="BF331" s="48">
        <f t="shared" si="1103"/>
        <v>0</v>
      </c>
      <c r="BG331" s="48">
        <f t="shared" si="1103"/>
        <v>50</v>
      </c>
      <c r="BH331" s="48">
        <f t="shared" si="1103"/>
        <v>0</v>
      </c>
      <c r="BI331" s="48">
        <f t="shared" si="1103"/>
        <v>0</v>
      </c>
      <c r="BJ331" s="48">
        <f t="shared" si="1103"/>
        <v>0</v>
      </c>
      <c r="BK331" s="48">
        <f t="shared" si="1103"/>
        <v>0</v>
      </c>
      <c r="BL331" s="48">
        <f t="shared" si="1103"/>
        <v>0</v>
      </c>
      <c r="BM331" s="48">
        <f t="shared" si="1103"/>
        <v>0</v>
      </c>
      <c r="BN331" s="48">
        <f t="shared" si="1103"/>
        <v>0</v>
      </c>
      <c r="BO331" s="48">
        <f t="shared" si="1103"/>
        <v>0</v>
      </c>
      <c r="BP331" s="48">
        <f t="shared" si="1103"/>
        <v>0</v>
      </c>
      <c r="BQ331" s="48">
        <f t="shared" si="1103"/>
        <v>0</v>
      </c>
      <c r="BR331" s="36">
        <f t="shared" si="9"/>
        <v>1</v>
      </c>
      <c r="BS331" s="38">
        <f t="shared" si="10"/>
        <v>2</v>
      </c>
      <c r="BT331" s="49">
        <f t="shared" si="11"/>
        <v>0</v>
      </c>
      <c r="BU331" s="38">
        <f t="shared" si="12"/>
        <v>2000</v>
      </c>
      <c r="BV331" s="46" t="str">
        <f>IFERROR(__xludf.DUMMYFUNCTION("""COMPUTED_VALUE"""),"Glenn")</f>
        <v>Glenn</v>
      </c>
      <c r="BW331" s="46">
        <f t="shared" si="13"/>
        <v>1050</v>
      </c>
      <c r="BX331" s="47">
        <f t="shared" ref="BX331:CA331" si="1104">AX331-$BU331</f>
        <v>-2000</v>
      </c>
      <c r="BY331" s="47">
        <f t="shared" si="1104"/>
        <v>-2000</v>
      </c>
      <c r="BZ331" s="47">
        <f t="shared" si="1104"/>
        <v>-2000</v>
      </c>
      <c r="CA331" s="47">
        <f t="shared" si="1104"/>
        <v>-2000</v>
      </c>
      <c r="CB331" s="47">
        <f t="shared" si="15"/>
        <v>-19000</v>
      </c>
      <c r="CC331" s="47">
        <f t="shared" ref="CC331:CQ331" si="1105">BC331-$BU331</f>
        <v>-2000</v>
      </c>
      <c r="CD331" s="47">
        <f t="shared" si="1105"/>
        <v>-2000</v>
      </c>
      <c r="CE331" s="47">
        <f t="shared" si="1105"/>
        <v>-2000</v>
      </c>
      <c r="CF331" s="47">
        <f t="shared" si="1105"/>
        <v>-2000</v>
      </c>
      <c r="CG331" s="47">
        <f t="shared" si="1105"/>
        <v>-1950</v>
      </c>
      <c r="CH331" s="47">
        <f t="shared" si="1105"/>
        <v>-2000</v>
      </c>
      <c r="CI331" s="47">
        <f t="shared" si="1105"/>
        <v>-2000</v>
      </c>
      <c r="CJ331" s="47">
        <f t="shared" si="1105"/>
        <v>-2000</v>
      </c>
      <c r="CK331" s="47">
        <f t="shared" si="1105"/>
        <v>-2000</v>
      </c>
      <c r="CL331" s="47">
        <f t="shared" si="1105"/>
        <v>-2000</v>
      </c>
      <c r="CM331" s="47">
        <f t="shared" si="1105"/>
        <v>-2000</v>
      </c>
      <c r="CN331" s="47">
        <f t="shared" si="1105"/>
        <v>-2000</v>
      </c>
      <c r="CO331" s="47">
        <f t="shared" si="1105"/>
        <v>-2000</v>
      </c>
      <c r="CP331" s="47">
        <f t="shared" si="1105"/>
        <v>-2000</v>
      </c>
      <c r="CQ331" s="47">
        <f t="shared" si="1105"/>
        <v>-2000</v>
      </c>
      <c r="CR331" s="47"/>
      <c r="CS331" s="47"/>
      <c r="CT331" s="47"/>
      <c r="CU331" s="50" t="str">
        <f>IFERROR(__xludf.DUMMYFUNCTION("""COMPUTED_VALUE"""),"7018 Elmridge Dr
Dallas, TX 75240          ")</f>
        <v>7018 Elmridge Dr
Dallas, TX 75240          </v>
      </c>
      <c r="CV331" s="51">
        <f>IFERROR(__xludf.DUMMYFUNCTION("IF(REGEXMATCH(UPPER(CU331), ""TX""),0,1)"),0.0)</f>
        <v>0</v>
      </c>
      <c r="CW331" s="51">
        <f>IFERROR(__xludf.DUMMYFUNCTION("IF(REGEXMATCH(UPPER(CU331), ""DALLAS""),0,1)"),0.0)</f>
        <v>0</v>
      </c>
      <c r="CX331" s="51">
        <f t="shared" si="17"/>
        <v>0</v>
      </c>
      <c r="CY331" s="51">
        <f t="shared" si="18"/>
        <v>0</v>
      </c>
      <c r="CZ331" s="52" t="str">
        <f t="shared" si="19"/>
        <v/>
      </c>
      <c r="DA331" s="58"/>
      <c r="DB331" s="52"/>
      <c r="DC331" s="52"/>
      <c r="DD331" s="52"/>
      <c r="DE331" s="52"/>
      <c r="DF331" s="52"/>
      <c r="DG331" s="52"/>
      <c r="DH331" s="52"/>
      <c r="DI331" s="52"/>
      <c r="DJ331" s="52"/>
      <c r="DK331" s="52"/>
      <c r="DL331" s="52"/>
      <c r="DM331" s="52"/>
      <c r="DN331" s="52"/>
      <c r="DO331" s="52"/>
      <c r="DP331" s="52"/>
      <c r="DQ331" s="52"/>
      <c r="DR331" s="52"/>
      <c r="DS331" s="52"/>
      <c r="DT331" s="52"/>
      <c r="DU331" s="52"/>
      <c r="DV331" s="52"/>
      <c r="DW331" s="52"/>
    </row>
    <row r="332">
      <c r="A332" s="22" t="s">
        <v>55</v>
      </c>
      <c r="B332" s="23" t="s">
        <v>56</v>
      </c>
      <c r="C332" s="31" t="s">
        <v>919</v>
      </c>
      <c r="D332" s="25" t="str">
        <f>IFERROR(__xludf.DUMMYFUNCTION("SPLIT(C332,"" "")"),"Noble,")</f>
        <v>Noble,</v>
      </c>
      <c r="E332" s="22" t="str">
        <f>IFERROR(__xludf.DUMMYFUNCTION("""COMPUTED_VALUE"""),"Anthony
113")</f>
        <v>Anthony
113</v>
      </c>
      <c r="F332" s="22" t="str">
        <f>IFERROR(__xludf.DUMMYFUNCTION("""COMPUTED_VALUE"""),"Cree")</f>
        <v>Cree</v>
      </c>
      <c r="G332" s="22" t="str">
        <f>IFERROR(__xludf.DUMMYFUNCTION("""COMPUTED_VALUE"""),"Dr
Forest")</f>
        <v>Dr
Forest</v>
      </c>
      <c r="H332" s="22" t="str">
        <f>IFERROR(__xludf.DUMMYFUNCTION("""COMPUTED_VALUE"""),"Heights,")</f>
        <v>Heights,</v>
      </c>
      <c r="I332" s="22" t="str">
        <f>IFERROR(__xludf.DUMMYFUNCTION("""COMPUTED_VALUE"""),"MD")</f>
        <v>MD</v>
      </c>
      <c r="J332" s="22">
        <f>IFERROR(__xludf.DUMMYFUNCTION("""COMPUTED_VALUE"""),20745.0)</f>
        <v>20745</v>
      </c>
      <c r="K332" s="22"/>
      <c r="L332" s="22"/>
      <c r="M332" s="22"/>
      <c r="N332" s="22"/>
      <c r="O332" s="22"/>
      <c r="P332" s="22"/>
      <c r="Q332" s="22"/>
      <c r="R332" s="22"/>
      <c r="S332" s="22"/>
      <c r="T332" s="22"/>
      <c r="U332" s="24" t="str">
        <f>IFERROR(__xludf.DUMMYFUNCTION("SPLIT(E332,""01234567890"")"),"Anthony
")</f>
        <v>Anthony
</v>
      </c>
      <c r="V332" s="24" t="str">
        <f>IFERROR(__xludf.DUMMYFUNCTION("SPLIT(D332,"","")"),"Noble")</f>
        <v>Noble</v>
      </c>
      <c r="W332" s="25" t="str">
        <f t="shared" si="1"/>
        <v>ANTHONY
 NOBLE</v>
      </c>
      <c r="X332" s="25" t="s">
        <v>920</v>
      </c>
      <c r="Y332" s="25">
        <v>20745.0</v>
      </c>
      <c r="Z332" s="25" t="str">
        <f>IFERROR(__xludf.DUMMYFUNCTION("SPLIT(C332,""
"")"),"Noble, Anthony")</f>
        <v>Noble, Anthony</v>
      </c>
      <c r="AA332" s="25" t="str">
        <f>IFERROR(__xludf.DUMMYFUNCTION("""COMPUTED_VALUE"""),"113 Cree Dr")</f>
        <v>113 Cree Dr</v>
      </c>
      <c r="AB332" s="25" t="str">
        <f>IFERROR(__xludf.DUMMYFUNCTION("""COMPUTED_VALUE"""),"Forest Heights, MD 20745")</f>
        <v>Forest Heights, MD 20745</v>
      </c>
      <c r="AC332" s="24" t="s">
        <v>921</v>
      </c>
      <c r="AD332" s="25"/>
      <c r="AE332" s="25"/>
      <c r="AF332" s="25"/>
      <c r="AG332" s="22" t="s">
        <v>60</v>
      </c>
      <c r="AH332" s="54">
        <v>2437.0</v>
      </c>
      <c r="AI332" s="22" t="s">
        <v>61</v>
      </c>
      <c r="AJ332" s="27">
        <v>1000.0</v>
      </c>
      <c r="AK332" s="31" t="s">
        <v>25</v>
      </c>
      <c r="AL332" s="28">
        <v>44725.0</v>
      </c>
      <c r="AM332" s="29">
        <v>44754.83237268519</v>
      </c>
      <c r="AN332" s="30">
        <v>2.0</v>
      </c>
      <c r="AO332" s="22"/>
      <c r="AP332" s="22"/>
      <c r="AQ332" s="22"/>
      <c r="AR332" s="22"/>
      <c r="AS332" s="22"/>
      <c r="AT332" s="70"/>
      <c r="AU332" s="22"/>
      <c r="AV332" s="57" t="str">
        <f>IFERROR(__xludf.DUMMYFUNCTION("""COMPUTED_VALUE"""),"Levonyak")</f>
        <v>Levonyak</v>
      </c>
      <c r="AW332" s="46">
        <f t="shared" si="7"/>
        <v>250</v>
      </c>
      <c r="AX332" s="47">
        <f t="shared" ref="AX332:BQ332" si="1106">SUMIFS($AJ:$AJ,$V:$V,$AV332,$AK:$AK,AX$2)</f>
        <v>0</v>
      </c>
      <c r="AY332" s="48">
        <f t="shared" si="1106"/>
        <v>0</v>
      </c>
      <c r="AZ332" s="48">
        <f t="shared" si="1106"/>
        <v>0</v>
      </c>
      <c r="BA332" s="48">
        <f t="shared" si="1106"/>
        <v>250</v>
      </c>
      <c r="BB332" s="48">
        <f t="shared" si="1106"/>
        <v>0</v>
      </c>
      <c r="BC332" s="48">
        <f t="shared" si="1106"/>
        <v>0</v>
      </c>
      <c r="BD332" s="48">
        <f t="shared" si="1106"/>
        <v>0</v>
      </c>
      <c r="BE332" s="48">
        <f t="shared" si="1106"/>
        <v>0</v>
      </c>
      <c r="BF332" s="48">
        <f t="shared" si="1106"/>
        <v>0</v>
      </c>
      <c r="BG332" s="48">
        <f t="shared" si="1106"/>
        <v>0</v>
      </c>
      <c r="BH332" s="48">
        <f t="shared" si="1106"/>
        <v>0</v>
      </c>
      <c r="BI332" s="48">
        <f t="shared" si="1106"/>
        <v>0</v>
      </c>
      <c r="BJ332" s="48">
        <f t="shared" si="1106"/>
        <v>0</v>
      </c>
      <c r="BK332" s="48">
        <f t="shared" si="1106"/>
        <v>0</v>
      </c>
      <c r="BL332" s="48">
        <f t="shared" si="1106"/>
        <v>0</v>
      </c>
      <c r="BM332" s="48">
        <f t="shared" si="1106"/>
        <v>0</v>
      </c>
      <c r="BN332" s="48">
        <f t="shared" si="1106"/>
        <v>0</v>
      </c>
      <c r="BO332" s="48">
        <f t="shared" si="1106"/>
        <v>0</v>
      </c>
      <c r="BP332" s="48">
        <f t="shared" si="1106"/>
        <v>0</v>
      </c>
      <c r="BQ332" s="48">
        <f t="shared" si="1106"/>
        <v>0</v>
      </c>
      <c r="BR332" s="36">
        <f t="shared" si="9"/>
        <v>0</v>
      </c>
      <c r="BS332" s="38">
        <f t="shared" si="10"/>
        <v>1</v>
      </c>
      <c r="BT332" s="49">
        <f t="shared" si="11"/>
        <v>0</v>
      </c>
      <c r="BU332" s="38">
        <f t="shared" si="12"/>
        <v>1000</v>
      </c>
      <c r="BV332" s="57" t="str">
        <f>IFERROR(__xludf.DUMMYFUNCTION("""COMPUTED_VALUE"""),"Levonyak")</f>
        <v>Levonyak</v>
      </c>
      <c r="BW332" s="46">
        <f t="shared" si="13"/>
        <v>250</v>
      </c>
      <c r="BX332" s="47">
        <f t="shared" ref="BX332:CA332" si="1107">AX332-$BU332</f>
        <v>-1000</v>
      </c>
      <c r="BY332" s="47">
        <f t="shared" si="1107"/>
        <v>-1000</v>
      </c>
      <c r="BZ332" s="47">
        <f t="shared" si="1107"/>
        <v>-1000</v>
      </c>
      <c r="CA332" s="47">
        <f t="shared" si="1107"/>
        <v>-750</v>
      </c>
      <c r="CB332" s="47">
        <f t="shared" si="15"/>
        <v>-10000</v>
      </c>
      <c r="CC332" s="47">
        <f t="shared" ref="CC332:CQ332" si="1108">BC332-$BU332</f>
        <v>-1000</v>
      </c>
      <c r="CD332" s="47">
        <f t="shared" si="1108"/>
        <v>-1000</v>
      </c>
      <c r="CE332" s="47">
        <f t="shared" si="1108"/>
        <v>-1000</v>
      </c>
      <c r="CF332" s="47">
        <f t="shared" si="1108"/>
        <v>-1000</v>
      </c>
      <c r="CG332" s="47">
        <f t="shared" si="1108"/>
        <v>-1000</v>
      </c>
      <c r="CH332" s="47">
        <f t="shared" si="1108"/>
        <v>-1000</v>
      </c>
      <c r="CI332" s="47">
        <f t="shared" si="1108"/>
        <v>-1000</v>
      </c>
      <c r="CJ332" s="47">
        <f t="shared" si="1108"/>
        <v>-1000</v>
      </c>
      <c r="CK332" s="47">
        <f t="shared" si="1108"/>
        <v>-1000</v>
      </c>
      <c r="CL332" s="47">
        <f t="shared" si="1108"/>
        <v>-1000</v>
      </c>
      <c r="CM332" s="47">
        <f t="shared" si="1108"/>
        <v>-1000</v>
      </c>
      <c r="CN332" s="47">
        <f t="shared" si="1108"/>
        <v>-1000</v>
      </c>
      <c r="CO332" s="47">
        <f t="shared" si="1108"/>
        <v>-1000</v>
      </c>
      <c r="CP332" s="47">
        <f t="shared" si="1108"/>
        <v>-1000</v>
      </c>
      <c r="CQ332" s="47">
        <f t="shared" si="1108"/>
        <v>-1000</v>
      </c>
      <c r="CR332" s="47"/>
      <c r="CS332" s="47"/>
      <c r="CT332" s="47"/>
      <c r="CU332" s="50" t="str">
        <f>IFERROR(__xludf.DUMMYFUNCTION("""COMPUTED_VALUE"""),"7609 Southwestern Blvd
Dallas, TX 75225          ")</f>
        <v>7609 Southwestern Blvd
Dallas, TX 75225          </v>
      </c>
      <c r="CV332" s="51">
        <f>IFERROR(__xludf.DUMMYFUNCTION("IF(REGEXMATCH(UPPER(CU332), ""TX""),0,1)"),0.0)</f>
        <v>0</v>
      </c>
      <c r="CW332" s="51">
        <f>IFERROR(__xludf.DUMMYFUNCTION("IF(REGEXMATCH(UPPER(CU332), ""DALLAS""),0,1)"),0.0)</f>
        <v>0</v>
      </c>
      <c r="CX332" s="51">
        <f t="shared" si="17"/>
        <v>0</v>
      </c>
      <c r="CY332" s="51">
        <f t="shared" si="18"/>
        <v>0</v>
      </c>
      <c r="CZ332" s="52" t="str">
        <f t="shared" si="19"/>
        <v/>
      </c>
      <c r="DA332" s="58"/>
      <c r="DB332" s="52"/>
      <c r="DC332" s="52"/>
      <c r="DD332" s="52"/>
      <c r="DE332" s="52"/>
      <c r="DF332" s="52"/>
      <c r="DG332" s="52"/>
      <c r="DH332" s="52"/>
      <c r="DI332" s="52"/>
      <c r="DJ332" s="52"/>
      <c r="DK332" s="52"/>
      <c r="DL332" s="52"/>
      <c r="DM332" s="52"/>
      <c r="DN332" s="52"/>
      <c r="DO332" s="52"/>
      <c r="DP332" s="52"/>
      <c r="DQ332" s="52"/>
      <c r="DR332" s="52"/>
      <c r="DS332" s="52"/>
      <c r="DT332" s="52"/>
      <c r="DU332" s="52"/>
      <c r="DV332" s="52"/>
      <c r="DW332" s="52"/>
    </row>
    <row r="333">
      <c r="A333" s="41" t="s">
        <v>64</v>
      </c>
      <c r="B333" s="41" t="s">
        <v>56</v>
      </c>
      <c r="C333" s="31" t="s">
        <v>922</v>
      </c>
      <c r="D333" s="25" t="str">
        <f>IFERROR(__xludf.DUMMYFUNCTION("SPLIT(C333,"" "")"),"Roberts,")</f>
        <v>Roberts,</v>
      </c>
      <c r="E333" s="40" t="str">
        <f>IFERROR(__xludf.DUMMYFUNCTION("""COMPUTED_VALUE"""),"Richard
3600")</f>
        <v>Richard
3600</v>
      </c>
      <c r="F333" s="40" t="str">
        <f>IFERROR(__xludf.DUMMYFUNCTION("""COMPUTED_VALUE"""),"Rosedale
Dallas,")</f>
        <v>Rosedale
Dallas,</v>
      </c>
      <c r="G333" s="40" t="str">
        <f>IFERROR(__xludf.DUMMYFUNCTION("""COMPUTED_VALUE"""),"TX")</f>
        <v>TX</v>
      </c>
      <c r="H333" s="40">
        <f>IFERROR(__xludf.DUMMYFUNCTION("""COMPUTED_VALUE"""),75205.0)</f>
        <v>75205</v>
      </c>
      <c r="I333" s="40"/>
      <c r="J333" s="40"/>
      <c r="K333" s="40"/>
      <c r="L333" s="40"/>
      <c r="M333" s="40"/>
      <c r="N333" s="40"/>
      <c r="O333" s="40"/>
      <c r="P333" s="40"/>
      <c r="Q333" s="40"/>
      <c r="R333" s="40"/>
      <c r="S333" s="40"/>
      <c r="T333" s="40"/>
      <c r="U333" s="24" t="str">
        <f>IFERROR(__xludf.DUMMYFUNCTION("SPLIT(E333,""01234567890"")"),"Richard
")</f>
        <v>Richard
</v>
      </c>
      <c r="V333" s="24" t="str">
        <f>IFERROR(__xludf.DUMMYFUNCTION("SPLIT(D333,"","")"),"Roberts")</f>
        <v>Roberts</v>
      </c>
      <c r="W333" s="25" t="str">
        <f t="shared" si="1"/>
        <v>RICHARD
 ROBERTS</v>
      </c>
      <c r="X333" s="25" t="s">
        <v>923</v>
      </c>
      <c r="Y333" s="25">
        <v>75205.0</v>
      </c>
      <c r="Z333" s="25" t="str">
        <f>IFERROR(__xludf.DUMMYFUNCTION("SPLIT(C333,""
"")"),"Roberts, Richard")</f>
        <v>Roberts, Richard</v>
      </c>
      <c r="AA333" s="25" t="str">
        <f>IFERROR(__xludf.DUMMYFUNCTION("""COMPUTED_VALUE"""),"3600 Rosedale")</f>
        <v>3600 Rosedale</v>
      </c>
      <c r="AB333" s="25" t="str">
        <f>IFERROR(__xludf.DUMMYFUNCTION("""COMPUTED_VALUE"""),"Dallas, TX 75205")</f>
        <v>Dallas, TX 75205</v>
      </c>
      <c r="AC333" s="24" t="s">
        <v>924</v>
      </c>
      <c r="AD333" s="25"/>
      <c r="AE333" s="25"/>
      <c r="AF333" s="25"/>
      <c r="AG333" s="40" t="s">
        <v>60</v>
      </c>
      <c r="AH333" s="42">
        <v>2437.0</v>
      </c>
      <c r="AI333" s="40" t="s">
        <v>61</v>
      </c>
      <c r="AJ333" s="27">
        <v>500.0</v>
      </c>
      <c r="AK333" s="31" t="s">
        <v>25</v>
      </c>
      <c r="AL333" s="43">
        <v>44725.0</v>
      </c>
      <c r="AM333" s="44">
        <v>44754.83237268519</v>
      </c>
      <c r="AN333" s="30">
        <v>2.0</v>
      </c>
      <c r="AO333" s="40"/>
      <c r="AP333" s="40"/>
      <c r="AQ333" s="40"/>
      <c r="AR333" s="40"/>
      <c r="AS333" s="40"/>
      <c r="AT333" s="47"/>
      <c r="AU333" s="40"/>
      <c r="AV333" s="46" t="str">
        <f>IFERROR(__xludf.DUMMYFUNCTION("""COMPUTED_VALUE"""),"Wetsel")</f>
        <v>Wetsel</v>
      </c>
      <c r="AW333" s="46">
        <f t="shared" si="7"/>
        <v>250</v>
      </c>
      <c r="AX333" s="47">
        <f t="shared" ref="AX333:BQ333" si="1109">SUMIFS($AJ:$AJ,$V:$V,$AV333,$AK:$AK,AX$2)</f>
        <v>0</v>
      </c>
      <c r="AY333" s="48">
        <f t="shared" si="1109"/>
        <v>0</v>
      </c>
      <c r="AZ333" s="48">
        <f t="shared" si="1109"/>
        <v>0</v>
      </c>
      <c r="BA333" s="48">
        <f t="shared" si="1109"/>
        <v>250</v>
      </c>
      <c r="BB333" s="48">
        <f t="shared" si="1109"/>
        <v>0</v>
      </c>
      <c r="BC333" s="48">
        <f t="shared" si="1109"/>
        <v>0</v>
      </c>
      <c r="BD333" s="48">
        <f t="shared" si="1109"/>
        <v>0</v>
      </c>
      <c r="BE333" s="48">
        <f t="shared" si="1109"/>
        <v>0</v>
      </c>
      <c r="BF333" s="48">
        <f t="shared" si="1109"/>
        <v>0</v>
      </c>
      <c r="BG333" s="48">
        <f t="shared" si="1109"/>
        <v>0</v>
      </c>
      <c r="BH333" s="48">
        <f t="shared" si="1109"/>
        <v>0</v>
      </c>
      <c r="BI333" s="48">
        <f t="shared" si="1109"/>
        <v>0</v>
      </c>
      <c r="BJ333" s="48">
        <f t="shared" si="1109"/>
        <v>0</v>
      </c>
      <c r="BK333" s="48">
        <f t="shared" si="1109"/>
        <v>0</v>
      </c>
      <c r="BL333" s="48">
        <f t="shared" si="1109"/>
        <v>0</v>
      </c>
      <c r="BM333" s="48">
        <f t="shared" si="1109"/>
        <v>0</v>
      </c>
      <c r="BN333" s="48">
        <f t="shared" si="1109"/>
        <v>0</v>
      </c>
      <c r="BO333" s="48">
        <f t="shared" si="1109"/>
        <v>0</v>
      </c>
      <c r="BP333" s="48">
        <f t="shared" si="1109"/>
        <v>0</v>
      </c>
      <c r="BQ333" s="48">
        <f t="shared" si="1109"/>
        <v>0</v>
      </c>
      <c r="BR333" s="36">
        <f t="shared" si="9"/>
        <v>0</v>
      </c>
      <c r="BS333" s="38">
        <f t="shared" si="10"/>
        <v>1</v>
      </c>
      <c r="BT333" s="49">
        <f t="shared" si="11"/>
        <v>0</v>
      </c>
      <c r="BU333" s="38">
        <f t="shared" si="12"/>
        <v>1000</v>
      </c>
      <c r="BV333" s="46" t="str">
        <f>IFERROR(__xludf.DUMMYFUNCTION("""COMPUTED_VALUE"""),"Wetsel")</f>
        <v>Wetsel</v>
      </c>
      <c r="BW333" s="46">
        <f t="shared" si="13"/>
        <v>250</v>
      </c>
      <c r="BX333" s="47">
        <f t="shared" ref="BX333:CA333" si="1110">AX333-$BU333</f>
        <v>-1000</v>
      </c>
      <c r="BY333" s="47">
        <f t="shared" si="1110"/>
        <v>-1000</v>
      </c>
      <c r="BZ333" s="47">
        <f t="shared" si="1110"/>
        <v>-1000</v>
      </c>
      <c r="CA333" s="47">
        <f t="shared" si="1110"/>
        <v>-750</v>
      </c>
      <c r="CB333" s="47">
        <f t="shared" si="15"/>
        <v>-10000</v>
      </c>
      <c r="CC333" s="47">
        <f t="shared" ref="CC333:CQ333" si="1111">BC333-$BU333</f>
        <v>-1000</v>
      </c>
      <c r="CD333" s="47">
        <f t="shared" si="1111"/>
        <v>-1000</v>
      </c>
      <c r="CE333" s="47">
        <f t="shared" si="1111"/>
        <v>-1000</v>
      </c>
      <c r="CF333" s="47">
        <f t="shared" si="1111"/>
        <v>-1000</v>
      </c>
      <c r="CG333" s="47">
        <f t="shared" si="1111"/>
        <v>-1000</v>
      </c>
      <c r="CH333" s="47">
        <f t="shared" si="1111"/>
        <v>-1000</v>
      </c>
      <c r="CI333" s="47">
        <f t="shared" si="1111"/>
        <v>-1000</v>
      </c>
      <c r="CJ333" s="47">
        <f t="shared" si="1111"/>
        <v>-1000</v>
      </c>
      <c r="CK333" s="47">
        <f t="shared" si="1111"/>
        <v>-1000</v>
      </c>
      <c r="CL333" s="47">
        <f t="shared" si="1111"/>
        <v>-1000</v>
      </c>
      <c r="CM333" s="47">
        <f t="shared" si="1111"/>
        <v>-1000</v>
      </c>
      <c r="CN333" s="47">
        <f t="shared" si="1111"/>
        <v>-1000</v>
      </c>
      <c r="CO333" s="47">
        <f t="shared" si="1111"/>
        <v>-1000</v>
      </c>
      <c r="CP333" s="47">
        <f t="shared" si="1111"/>
        <v>-1000</v>
      </c>
      <c r="CQ333" s="47">
        <f t="shared" si="1111"/>
        <v>-1000</v>
      </c>
      <c r="CR333" s="47"/>
      <c r="CS333" s="47"/>
      <c r="CT333" s="47"/>
      <c r="CU333" s="50" t="str">
        <f>IFERROR(__xludf.DUMMYFUNCTION("""COMPUTED_VALUE"""),"3925 Stonebridge Dr
Dallas, TX 75204          ")</f>
        <v>3925 Stonebridge Dr
Dallas, TX 75204          </v>
      </c>
      <c r="CV333" s="51">
        <f>IFERROR(__xludf.DUMMYFUNCTION("IF(REGEXMATCH(UPPER(CU333), ""TX""),0,1)"),0.0)</f>
        <v>0</v>
      </c>
      <c r="CW333" s="51">
        <f>IFERROR(__xludf.DUMMYFUNCTION("IF(REGEXMATCH(UPPER(CU333), ""DALLAS""),0,1)"),0.0)</f>
        <v>0</v>
      </c>
      <c r="CX333" s="51">
        <f t="shared" si="17"/>
        <v>0</v>
      </c>
      <c r="CY333" s="51">
        <f t="shared" si="18"/>
        <v>0</v>
      </c>
      <c r="CZ333" s="52" t="str">
        <f t="shared" si="19"/>
        <v/>
      </c>
      <c r="DA333" s="58"/>
      <c r="DB333" s="52"/>
      <c r="DC333" s="52"/>
      <c r="DD333" s="52"/>
      <c r="DE333" s="52"/>
      <c r="DF333" s="52"/>
      <c r="DG333" s="52"/>
      <c r="DH333" s="52"/>
      <c r="DI333" s="52"/>
      <c r="DJ333" s="52"/>
      <c r="DK333" s="52"/>
      <c r="DL333" s="52"/>
      <c r="DM333" s="52"/>
      <c r="DN333" s="52"/>
      <c r="DO333" s="52"/>
      <c r="DP333" s="52"/>
      <c r="DQ333" s="52"/>
      <c r="DR333" s="52"/>
      <c r="DS333" s="52"/>
      <c r="DT333" s="52"/>
      <c r="DU333" s="52"/>
      <c r="DV333" s="52"/>
      <c r="DW333" s="52"/>
    </row>
    <row r="334">
      <c r="A334" s="22" t="s">
        <v>55</v>
      </c>
      <c r="B334" s="23" t="s">
        <v>56</v>
      </c>
      <c r="C334" s="31" t="s">
        <v>925</v>
      </c>
      <c r="D334" s="25" t="str">
        <f>IFERROR(__xludf.DUMMYFUNCTION("SPLIT(C334,"" "")"),"King,")</f>
        <v>King,</v>
      </c>
      <c r="E334" s="22" t="str">
        <f>IFERROR(__xludf.DUMMYFUNCTION("""COMPUTED_VALUE"""),"Johnnie
1243")</f>
        <v>Johnnie
1243</v>
      </c>
      <c r="F334" s="22" t="str">
        <f>IFERROR(__xludf.DUMMYFUNCTION("""COMPUTED_VALUE"""),"W")</f>
        <v>W</v>
      </c>
      <c r="G334" s="22" t="str">
        <f>IFERROR(__xludf.DUMMYFUNCTION("""COMPUTED_VALUE"""),"Pleasant")</f>
        <v>Pleasant</v>
      </c>
      <c r="H334" s="22" t="str">
        <f>IFERROR(__xludf.DUMMYFUNCTION("""COMPUTED_VALUE"""),"Run")</f>
        <v>Run</v>
      </c>
      <c r="I334" s="22" t="str">
        <f>IFERROR(__xludf.DUMMYFUNCTION("""COMPUTED_VALUE"""),"Rd
DeSoto,")</f>
        <v>Rd
DeSoto,</v>
      </c>
      <c r="J334" s="22" t="str">
        <f>IFERROR(__xludf.DUMMYFUNCTION("""COMPUTED_VALUE"""),"TX")</f>
        <v>TX</v>
      </c>
      <c r="K334" s="22">
        <f>IFERROR(__xludf.DUMMYFUNCTION("""COMPUTED_VALUE"""),75043.0)</f>
        <v>75043</v>
      </c>
      <c r="L334" s="22"/>
      <c r="M334" s="22"/>
      <c r="N334" s="22"/>
      <c r="O334" s="22"/>
      <c r="P334" s="22"/>
      <c r="Q334" s="22"/>
      <c r="R334" s="22"/>
      <c r="S334" s="22"/>
      <c r="T334" s="22"/>
      <c r="U334" s="24" t="str">
        <f>IFERROR(__xludf.DUMMYFUNCTION("SPLIT(E334,""01234567890"")"),"Johnnie
")</f>
        <v>Johnnie
</v>
      </c>
      <c r="V334" s="24" t="str">
        <f>IFERROR(__xludf.DUMMYFUNCTION("SPLIT(D334,"","")"),"King")</f>
        <v>King</v>
      </c>
      <c r="W334" s="25" t="str">
        <f t="shared" si="1"/>
        <v>JOHNNIE
 KING</v>
      </c>
      <c r="X334" s="25" t="s">
        <v>926</v>
      </c>
      <c r="Y334" s="25">
        <v>75043.0</v>
      </c>
      <c r="Z334" s="25" t="str">
        <f>IFERROR(__xludf.DUMMYFUNCTION("SPLIT(C334,""
"")"),"King, Johnnie")</f>
        <v>King, Johnnie</v>
      </c>
      <c r="AA334" s="25" t="str">
        <f>IFERROR(__xludf.DUMMYFUNCTION("""COMPUTED_VALUE"""),"1243 W Pleasant Run Rd")</f>
        <v>1243 W Pleasant Run Rd</v>
      </c>
      <c r="AB334" s="25" t="str">
        <f>IFERROR(__xludf.DUMMYFUNCTION("""COMPUTED_VALUE"""),"DeSoto, TX 75043")</f>
        <v>DeSoto, TX 75043</v>
      </c>
      <c r="AC334" s="24" t="s">
        <v>927</v>
      </c>
      <c r="AD334" s="25"/>
      <c r="AE334" s="25"/>
      <c r="AF334" s="25"/>
      <c r="AG334" s="22" t="s">
        <v>60</v>
      </c>
      <c r="AH334" s="54">
        <v>2437.0</v>
      </c>
      <c r="AI334" s="22" t="s">
        <v>61</v>
      </c>
      <c r="AJ334" s="27">
        <v>5000.0</v>
      </c>
      <c r="AK334" s="31" t="s">
        <v>25</v>
      </c>
      <c r="AL334" s="28">
        <v>44725.0</v>
      </c>
      <c r="AM334" s="29">
        <v>44754.83237268519</v>
      </c>
      <c r="AN334" s="30">
        <v>2.0</v>
      </c>
      <c r="AO334" s="22"/>
      <c r="AP334" s="22"/>
      <c r="AQ334" s="22"/>
      <c r="AR334" s="22"/>
      <c r="AS334" s="22"/>
      <c r="AT334" s="70"/>
      <c r="AU334" s="22"/>
      <c r="AV334" s="57" t="str">
        <f>IFERROR(__xludf.DUMMYFUNCTION("""COMPUTED_VALUE"""),"Jouvenat")</f>
        <v>Jouvenat</v>
      </c>
      <c r="AW334" s="46">
        <f t="shared" si="7"/>
        <v>250</v>
      </c>
      <c r="AX334" s="47">
        <f t="shared" ref="AX334:BQ334" si="1112">SUMIFS($AJ:$AJ,$V:$V,$AV334,$AK:$AK,AX$2)</f>
        <v>0</v>
      </c>
      <c r="AY334" s="48">
        <f t="shared" si="1112"/>
        <v>0</v>
      </c>
      <c r="AZ334" s="48">
        <f t="shared" si="1112"/>
        <v>0</v>
      </c>
      <c r="BA334" s="48">
        <f t="shared" si="1112"/>
        <v>250</v>
      </c>
      <c r="BB334" s="48">
        <f t="shared" si="1112"/>
        <v>0</v>
      </c>
      <c r="BC334" s="48">
        <f t="shared" si="1112"/>
        <v>0</v>
      </c>
      <c r="BD334" s="48">
        <f t="shared" si="1112"/>
        <v>0</v>
      </c>
      <c r="BE334" s="48">
        <f t="shared" si="1112"/>
        <v>0</v>
      </c>
      <c r="BF334" s="48">
        <f t="shared" si="1112"/>
        <v>0</v>
      </c>
      <c r="BG334" s="48">
        <f t="shared" si="1112"/>
        <v>0</v>
      </c>
      <c r="BH334" s="48">
        <f t="shared" si="1112"/>
        <v>0</v>
      </c>
      <c r="BI334" s="48">
        <f t="shared" si="1112"/>
        <v>0</v>
      </c>
      <c r="BJ334" s="48">
        <f t="shared" si="1112"/>
        <v>0</v>
      </c>
      <c r="BK334" s="48">
        <f t="shared" si="1112"/>
        <v>0</v>
      </c>
      <c r="BL334" s="48">
        <f t="shared" si="1112"/>
        <v>0</v>
      </c>
      <c r="BM334" s="48">
        <f t="shared" si="1112"/>
        <v>0</v>
      </c>
      <c r="BN334" s="48">
        <f t="shared" si="1112"/>
        <v>0</v>
      </c>
      <c r="BO334" s="48">
        <f t="shared" si="1112"/>
        <v>0</v>
      </c>
      <c r="BP334" s="48">
        <f t="shared" si="1112"/>
        <v>0</v>
      </c>
      <c r="BQ334" s="48">
        <f t="shared" si="1112"/>
        <v>0</v>
      </c>
      <c r="BR334" s="36">
        <f t="shared" si="9"/>
        <v>0</v>
      </c>
      <c r="BS334" s="38">
        <f t="shared" si="10"/>
        <v>1</v>
      </c>
      <c r="BT334" s="49">
        <f t="shared" si="11"/>
        <v>0</v>
      </c>
      <c r="BU334" s="38">
        <f t="shared" si="12"/>
        <v>1000</v>
      </c>
      <c r="BV334" s="57" t="str">
        <f>IFERROR(__xludf.DUMMYFUNCTION("""COMPUTED_VALUE"""),"Jouvenat")</f>
        <v>Jouvenat</v>
      </c>
      <c r="BW334" s="46">
        <f t="shared" si="13"/>
        <v>250</v>
      </c>
      <c r="BX334" s="47">
        <f t="shared" ref="BX334:CA334" si="1113">AX334-$BU334</f>
        <v>-1000</v>
      </c>
      <c r="BY334" s="47">
        <f t="shared" si="1113"/>
        <v>-1000</v>
      </c>
      <c r="BZ334" s="47">
        <f t="shared" si="1113"/>
        <v>-1000</v>
      </c>
      <c r="CA334" s="47">
        <f t="shared" si="1113"/>
        <v>-750</v>
      </c>
      <c r="CB334" s="47">
        <f t="shared" si="15"/>
        <v>-10000</v>
      </c>
      <c r="CC334" s="47">
        <f t="shared" ref="CC334:CQ334" si="1114">BC334-$BU334</f>
        <v>-1000</v>
      </c>
      <c r="CD334" s="47">
        <f t="shared" si="1114"/>
        <v>-1000</v>
      </c>
      <c r="CE334" s="47">
        <f t="shared" si="1114"/>
        <v>-1000</v>
      </c>
      <c r="CF334" s="47">
        <f t="shared" si="1114"/>
        <v>-1000</v>
      </c>
      <c r="CG334" s="47">
        <f t="shared" si="1114"/>
        <v>-1000</v>
      </c>
      <c r="CH334" s="47">
        <f t="shared" si="1114"/>
        <v>-1000</v>
      </c>
      <c r="CI334" s="47">
        <f t="shared" si="1114"/>
        <v>-1000</v>
      </c>
      <c r="CJ334" s="47">
        <f t="shared" si="1114"/>
        <v>-1000</v>
      </c>
      <c r="CK334" s="47">
        <f t="shared" si="1114"/>
        <v>-1000</v>
      </c>
      <c r="CL334" s="47">
        <f t="shared" si="1114"/>
        <v>-1000</v>
      </c>
      <c r="CM334" s="47">
        <f t="shared" si="1114"/>
        <v>-1000</v>
      </c>
      <c r="CN334" s="47">
        <f t="shared" si="1114"/>
        <v>-1000</v>
      </c>
      <c r="CO334" s="47">
        <f t="shared" si="1114"/>
        <v>-1000</v>
      </c>
      <c r="CP334" s="47">
        <f t="shared" si="1114"/>
        <v>-1000</v>
      </c>
      <c r="CQ334" s="47">
        <f t="shared" si="1114"/>
        <v>-1000</v>
      </c>
      <c r="CR334" s="47"/>
      <c r="CS334" s="47"/>
      <c r="CT334" s="47"/>
      <c r="CU334" s="50" t="str">
        <f>IFERROR(__xludf.DUMMYFUNCTION("""COMPUTED_VALUE"""),"200 Crescent Court
Dallas, TX 75201          ")</f>
        <v>200 Crescent Court
Dallas, TX 75201          </v>
      </c>
      <c r="CV334" s="51">
        <f>IFERROR(__xludf.DUMMYFUNCTION("IF(REGEXMATCH(UPPER(CU334), ""TX""),0,1)"),0.0)</f>
        <v>0</v>
      </c>
      <c r="CW334" s="51">
        <f>IFERROR(__xludf.DUMMYFUNCTION("IF(REGEXMATCH(UPPER(CU334), ""DALLAS""),0,1)"),0.0)</f>
        <v>0</v>
      </c>
      <c r="CX334" s="51">
        <f t="shared" si="17"/>
        <v>0</v>
      </c>
      <c r="CY334" s="51">
        <f t="shared" si="18"/>
        <v>0</v>
      </c>
      <c r="CZ334" s="52" t="str">
        <f t="shared" si="19"/>
        <v/>
      </c>
      <c r="DA334" s="58"/>
      <c r="DB334" s="52"/>
      <c r="DC334" s="52"/>
      <c r="DD334" s="52"/>
      <c r="DE334" s="52"/>
      <c r="DF334" s="52"/>
      <c r="DG334" s="52"/>
      <c r="DH334" s="52"/>
      <c r="DI334" s="52"/>
      <c r="DJ334" s="52"/>
      <c r="DK334" s="52"/>
      <c r="DL334" s="52"/>
      <c r="DM334" s="52"/>
      <c r="DN334" s="52"/>
      <c r="DO334" s="52"/>
      <c r="DP334" s="52"/>
      <c r="DQ334" s="52"/>
      <c r="DR334" s="52"/>
      <c r="DS334" s="52"/>
      <c r="DT334" s="52"/>
      <c r="DU334" s="52"/>
      <c r="DV334" s="52"/>
      <c r="DW334" s="52"/>
    </row>
    <row r="335">
      <c r="A335" s="41" t="s">
        <v>64</v>
      </c>
      <c r="B335" s="41" t="s">
        <v>56</v>
      </c>
      <c r="C335" s="31" t="s">
        <v>928</v>
      </c>
      <c r="D335" s="25" t="str">
        <f>IFERROR(__xludf.DUMMYFUNCTION("SPLIT(C335,"" "")"),"Mier,")</f>
        <v>Mier,</v>
      </c>
      <c r="E335" s="40" t="str">
        <f>IFERROR(__xludf.DUMMYFUNCTION("""COMPUTED_VALUE"""),"Brian
8515")</f>
        <v>Brian
8515</v>
      </c>
      <c r="F335" s="40" t="str">
        <f>IFERROR(__xludf.DUMMYFUNCTION("""COMPUTED_VALUE"""),"San")</f>
        <v>San</v>
      </c>
      <c r="G335" s="40" t="str">
        <f>IFERROR(__xludf.DUMMYFUNCTION("""COMPUTED_VALUE"""),"Benito")</f>
        <v>Benito</v>
      </c>
      <c r="H335" s="40" t="str">
        <f>IFERROR(__xludf.DUMMYFUNCTION("""COMPUTED_VALUE"""),"Way
Dallas,")</f>
        <v>Way
Dallas,</v>
      </c>
      <c r="I335" s="40" t="str">
        <f>IFERROR(__xludf.DUMMYFUNCTION("""COMPUTED_VALUE"""),"TX")</f>
        <v>TX</v>
      </c>
      <c r="J335" s="40">
        <f>IFERROR(__xludf.DUMMYFUNCTION("""COMPUTED_VALUE"""),75218.0)</f>
        <v>75218</v>
      </c>
      <c r="K335" s="40"/>
      <c r="L335" s="40"/>
      <c r="M335" s="40"/>
      <c r="N335" s="40"/>
      <c r="O335" s="40"/>
      <c r="P335" s="40"/>
      <c r="Q335" s="40"/>
      <c r="R335" s="40"/>
      <c r="S335" s="40"/>
      <c r="T335" s="40"/>
      <c r="U335" s="24" t="str">
        <f>IFERROR(__xludf.DUMMYFUNCTION("SPLIT(E335,""01234567890"")"),"Brian
")</f>
        <v>Brian
</v>
      </c>
      <c r="V335" s="24" t="str">
        <f>IFERROR(__xludf.DUMMYFUNCTION("SPLIT(D335,"","")"),"Mier")</f>
        <v>Mier</v>
      </c>
      <c r="W335" s="25" t="str">
        <f t="shared" si="1"/>
        <v>BRIAN
 MIER</v>
      </c>
      <c r="X335" s="25" t="s">
        <v>929</v>
      </c>
      <c r="Y335" s="25">
        <v>75218.0</v>
      </c>
      <c r="Z335" s="25" t="str">
        <f>IFERROR(__xludf.DUMMYFUNCTION("SPLIT(C335,""
"")"),"Mier, Brian")</f>
        <v>Mier, Brian</v>
      </c>
      <c r="AA335" s="25" t="str">
        <f>IFERROR(__xludf.DUMMYFUNCTION("""COMPUTED_VALUE"""),"8515 San Benito Way")</f>
        <v>8515 San Benito Way</v>
      </c>
      <c r="AB335" s="25" t="str">
        <f>IFERROR(__xludf.DUMMYFUNCTION("""COMPUTED_VALUE"""),"Dallas, TX 75218")</f>
        <v>Dallas, TX 75218</v>
      </c>
      <c r="AC335" s="24" t="s">
        <v>930</v>
      </c>
      <c r="AD335" s="25"/>
      <c r="AE335" s="25"/>
      <c r="AF335" s="25"/>
      <c r="AG335" s="40" t="s">
        <v>60</v>
      </c>
      <c r="AH335" s="42">
        <v>2437.0</v>
      </c>
      <c r="AI335" s="40" t="s">
        <v>61</v>
      </c>
      <c r="AJ335" s="27">
        <v>250.0</v>
      </c>
      <c r="AK335" s="31" t="s">
        <v>25</v>
      </c>
      <c r="AL335" s="43">
        <v>44725.0</v>
      </c>
      <c r="AM335" s="44">
        <v>44754.83237268519</v>
      </c>
      <c r="AN335" s="30">
        <v>2.0</v>
      </c>
      <c r="AO335" s="40"/>
      <c r="AP335" s="40"/>
      <c r="AQ335" s="40"/>
      <c r="AR335" s="40"/>
      <c r="AS335" s="40"/>
      <c r="AT335" s="47"/>
      <c r="AU335" s="40"/>
      <c r="AV335" s="46" t="str">
        <f>IFERROR(__xludf.DUMMYFUNCTION("""COMPUTED_VALUE"""),"Gatlin")</f>
        <v>Gatlin</v>
      </c>
      <c r="AW335" s="46">
        <f t="shared" si="7"/>
        <v>2000</v>
      </c>
      <c r="AX335" s="47">
        <f t="shared" ref="AX335:BQ335" si="1115">SUMIFS($AJ:$AJ,$V:$V,$AV335,$AK:$AK,AX$2)</f>
        <v>0</v>
      </c>
      <c r="AY335" s="48">
        <f t="shared" si="1115"/>
        <v>0</v>
      </c>
      <c r="AZ335" s="48">
        <f t="shared" si="1115"/>
        <v>0</v>
      </c>
      <c r="BA335" s="48">
        <f t="shared" si="1115"/>
        <v>2000</v>
      </c>
      <c r="BB335" s="48">
        <f t="shared" si="1115"/>
        <v>0</v>
      </c>
      <c r="BC335" s="48">
        <f t="shared" si="1115"/>
        <v>0</v>
      </c>
      <c r="BD335" s="48">
        <f t="shared" si="1115"/>
        <v>0</v>
      </c>
      <c r="BE335" s="48">
        <f t="shared" si="1115"/>
        <v>0</v>
      </c>
      <c r="BF335" s="48">
        <f t="shared" si="1115"/>
        <v>0</v>
      </c>
      <c r="BG335" s="48">
        <f t="shared" si="1115"/>
        <v>0</v>
      </c>
      <c r="BH335" s="48">
        <f t="shared" si="1115"/>
        <v>0</v>
      </c>
      <c r="BI335" s="48">
        <f t="shared" si="1115"/>
        <v>0</v>
      </c>
      <c r="BJ335" s="48">
        <f t="shared" si="1115"/>
        <v>0</v>
      </c>
      <c r="BK335" s="48">
        <f t="shared" si="1115"/>
        <v>0</v>
      </c>
      <c r="BL335" s="48">
        <f t="shared" si="1115"/>
        <v>0</v>
      </c>
      <c r="BM335" s="48">
        <f t="shared" si="1115"/>
        <v>0</v>
      </c>
      <c r="BN335" s="48">
        <f t="shared" si="1115"/>
        <v>0</v>
      </c>
      <c r="BO335" s="48">
        <f t="shared" si="1115"/>
        <v>0</v>
      </c>
      <c r="BP335" s="48">
        <f t="shared" si="1115"/>
        <v>0</v>
      </c>
      <c r="BQ335" s="48">
        <f t="shared" si="1115"/>
        <v>0</v>
      </c>
      <c r="BR335" s="36">
        <f t="shared" si="9"/>
        <v>0</v>
      </c>
      <c r="BS335" s="38">
        <f t="shared" si="10"/>
        <v>1</v>
      </c>
      <c r="BT335" s="49">
        <f t="shared" si="11"/>
        <v>0</v>
      </c>
      <c r="BU335" s="38">
        <f t="shared" si="12"/>
        <v>1000</v>
      </c>
      <c r="BV335" s="46" t="str">
        <f>IFERROR(__xludf.DUMMYFUNCTION("""COMPUTED_VALUE"""),"Gatlin")</f>
        <v>Gatlin</v>
      </c>
      <c r="BW335" s="46">
        <f t="shared" si="13"/>
        <v>2000</v>
      </c>
      <c r="BX335" s="47">
        <f t="shared" ref="BX335:CA335" si="1116">AX335-$BU335</f>
        <v>-1000</v>
      </c>
      <c r="BY335" s="47">
        <f t="shared" si="1116"/>
        <v>-1000</v>
      </c>
      <c r="BZ335" s="47">
        <f t="shared" si="1116"/>
        <v>-1000</v>
      </c>
      <c r="CA335" s="47">
        <f t="shared" si="1116"/>
        <v>1000</v>
      </c>
      <c r="CB335" s="47">
        <f t="shared" si="15"/>
        <v>-10000</v>
      </c>
      <c r="CC335" s="47">
        <f t="shared" ref="CC335:CQ335" si="1117">BC335-$BU335</f>
        <v>-1000</v>
      </c>
      <c r="CD335" s="47">
        <f t="shared" si="1117"/>
        <v>-1000</v>
      </c>
      <c r="CE335" s="47">
        <f t="shared" si="1117"/>
        <v>-1000</v>
      </c>
      <c r="CF335" s="47">
        <f t="shared" si="1117"/>
        <v>-1000</v>
      </c>
      <c r="CG335" s="47">
        <f t="shared" si="1117"/>
        <v>-1000</v>
      </c>
      <c r="CH335" s="47">
        <f t="shared" si="1117"/>
        <v>-1000</v>
      </c>
      <c r="CI335" s="47">
        <f t="shared" si="1117"/>
        <v>-1000</v>
      </c>
      <c r="CJ335" s="47">
        <f t="shared" si="1117"/>
        <v>-1000</v>
      </c>
      <c r="CK335" s="47">
        <f t="shared" si="1117"/>
        <v>-1000</v>
      </c>
      <c r="CL335" s="47">
        <f t="shared" si="1117"/>
        <v>-1000</v>
      </c>
      <c r="CM335" s="47">
        <f t="shared" si="1117"/>
        <v>-1000</v>
      </c>
      <c r="CN335" s="47">
        <f t="shared" si="1117"/>
        <v>-1000</v>
      </c>
      <c r="CO335" s="47">
        <f t="shared" si="1117"/>
        <v>-1000</v>
      </c>
      <c r="CP335" s="47">
        <f t="shared" si="1117"/>
        <v>-1000</v>
      </c>
      <c r="CQ335" s="47">
        <f t="shared" si="1117"/>
        <v>-1000</v>
      </c>
      <c r="CR335" s="47"/>
      <c r="CS335" s="47"/>
      <c r="CT335" s="47"/>
      <c r="CU335" s="50" t="str">
        <f>IFERROR(__xludf.DUMMYFUNCTION("""COMPUTED_VALUE"""),"
 Box 210641
Dallas, TX 75211          ")</f>
        <v>
 Box 210641
Dallas, TX 75211          </v>
      </c>
      <c r="CV335" s="51">
        <f>IFERROR(__xludf.DUMMYFUNCTION("IF(REGEXMATCH(UPPER(CU335), ""TX""),0,1)"),0.0)</f>
        <v>0</v>
      </c>
      <c r="CW335" s="51">
        <f>IFERROR(__xludf.DUMMYFUNCTION("IF(REGEXMATCH(UPPER(CU335), ""DALLAS""),0,1)"),0.0)</f>
        <v>0</v>
      </c>
      <c r="CX335" s="51">
        <f t="shared" si="17"/>
        <v>0</v>
      </c>
      <c r="CY335" s="51">
        <f t="shared" si="18"/>
        <v>0</v>
      </c>
      <c r="CZ335" s="52" t="str">
        <f t="shared" si="19"/>
        <v/>
      </c>
      <c r="DA335" s="58"/>
      <c r="DB335" s="52"/>
      <c r="DC335" s="52"/>
      <c r="DD335" s="52"/>
      <c r="DE335" s="52"/>
      <c r="DF335" s="52"/>
      <c r="DG335" s="52"/>
      <c r="DH335" s="52"/>
      <c r="DI335" s="52"/>
      <c r="DJ335" s="52"/>
      <c r="DK335" s="52"/>
      <c r="DL335" s="52"/>
      <c r="DM335" s="52"/>
      <c r="DN335" s="52"/>
      <c r="DO335" s="52"/>
      <c r="DP335" s="52"/>
      <c r="DQ335" s="52"/>
      <c r="DR335" s="52"/>
      <c r="DS335" s="52"/>
      <c r="DT335" s="52"/>
      <c r="DU335" s="52"/>
      <c r="DV335" s="52"/>
      <c r="DW335" s="52"/>
    </row>
    <row r="336">
      <c r="A336" s="22" t="s">
        <v>55</v>
      </c>
      <c r="B336" s="23" t="s">
        <v>56</v>
      </c>
      <c r="C336" s="31" t="s">
        <v>931</v>
      </c>
      <c r="D336" s="25" t="str">
        <f>IFERROR(__xludf.DUMMYFUNCTION("SPLIT(C336,"" "")"),"Gates,")</f>
        <v>Gates,</v>
      </c>
      <c r="E336" s="22" t="str">
        <f>IFERROR(__xludf.DUMMYFUNCTION("""COMPUTED_VALUE"""),"Jennifer")</f>
        <v>Jennifer</v>
      </c>
      <c r="F336" s="22" t="str">
        <f>IFERROR(__xludf.DUMMYFUNCTION("""COMPUTED_VALUE"""),"&amp;")</f>
        <v>&amp;</v>
      </c>
      <c r="G336" s="22" t="str">
        <f>IFERROR(__xludf.DUMMYFUNCTION("""COMPUTED_VALUE"""),"John
4915")</f>
        <v>John
4915</v>
      </c>
      <c r="H336" s="22" t="str">
        <f>IFERROR(__xludf.DUMMYFUNCTION("""COMPUTED_VALUE"""),"Keyhole")</f>
        <v>Keyhole</v>
      </c>
      <c r="I336" s="22" t="str">
        <f>IFERROR(__xludf.DUMMYFUNCTION("""COMPUTED_VALUE"""),"Ln
Dallas,")</f>
        <v>Ln
Dallas,</v>
      </c>
      <c r="J336" s="22" t="str">
        <f>IFERROR(__xludf.DUMMYFUNCTION("""COMPUTED_VALUE"""),"TX")</f>
        <v>TX</v>
      </c>
      <c r="K336" s="22">
        <f>IFERROR(__xludf.DUMMYFUNCTION("""COMPUTED_VALUE"""),75229.0)</f>
        <v>75229</v>
      </c>
      <c r="L336" s="22"/>
      <c r="M336" s="22"/>
      <c r="N336" s="22"/>
      <c r="O336" s="22"/>
      <c r="P336" s="22"/>
      <c r="Q336" s="22"/>
      <c r="R336" s="22"/>
      <c r="S336" s="22"/>
      <c r="T336" s="22"/>
      <c r="U336" s="24" t="str">
        <f>IFERROR(__xludf.DUMMYFUNCTION("SPLIT(E336,""01234567890"")"),"Jennifer")</f>
        <v>Jennifer</v>
      </c>
      <c r="V336" s="24" t="str">
        <f>IFERROR(__xludf.DUMMYFUNCTION("SPLIT(D336,"","")"),"Gates")</f>
        <v>Gates</v>
      </c>
      <c r="W336" s="25" t="str">
        <f t="shared" si="1"/>
        <v>JENNIFER GATES</v>
      </c>
      <c r="X336" s="25" t="s">
        <v>932</v>
      </c>
      <c r="Y336" s="25">
        <v>4915.0</v>
      </c>
      <c r="Z336" s="25" t="str">
        <f>IFERROR(__xludf.DUMMYFUNCTION("SPLIT(C336,""
"")"),"Gates, Jennifer &amp; John")</f>
        <v>Gates, Jennifer &amp; John</v>
      </c>
      <c r="AA336" s="25" t="str">
        <f>IFERROR(__xludf.DUMMYFUNCTION("""COMPUTED_VALUE"""),"4915 Keyhole Ln")</f>
        <v>4915 Keyhole Ln</v>
      </c>
      <c r="AB336" s="25" t="str">
        <f>IFERROR(__xludf.DUMMYFUNCTION("""COMPUTED_VALUE"""),"Dallas, TX 75229")</f>
        <v>Dallas, TX 75229</v>
      </c>
      <c r="AC336" s="24" t="s">
        <v>933</v>
      </c>
      <c r="AD336" s="25"/>
      <c r="AE336" s="25"/>
      <c r="AF336" s="25"/>
      <c r="AG336" s="22" t="s">
        <v>60</v>
      </c>
      <c r="AH336" s="54">
        <v>2437.0</v>
      </c>
      <c r="AI336" s="22" t="s">
        <v>61</v>
      </c>
      <c r="AJ336" s="27">
        <v>1000.0</v>
      </c>
      <c r="AK336" s="31" t="s">
        <v>25</v>
      </c>
      <c r="AL336" s="28">
        <v>44725.0</v>
      </c>
      <c r="AM336" s="29">
        <v>44754.83237268519</v>
      </c>
      <c r="AN336" s="30">
        <v>2.0</v>
      </c>
      <c r="AO336" s="22"/>
      <c r="AP336" s="22"/>
      <c r="AQ336" s="22"/>
      <c r="AR336" s="22"/>
      <c r="AS336" s="22"/>
      <c r="AT336" s="70"/>
      <c r="AU336" s="22"/>
      <c r="AV336" s="57" t="str">
        <f>IFERROR(__xludf.DUMMYFUNCTION("""COMPUTED_VALUE"""),"Schenkel")</f>
        <v>Schenkel</v>
      </c>
      <c r="AW336" s="46">
        <f t="shared" si="7"/>
        <v>6250</v>
      </c>
      <c r="AX336" s="47">
        <f t="shared" ref="AX336:BQ336" si="1118">SUMIFS($AJ:$AJ,$V:$V,$AV336,$AK:$AK,AX$2)</f>
        <v>750</v>
      </c>
      <c r="AY336" s="48">
        <f t="shared" si="1118"/>
        <v>0</v>
      </c>
      <c r="AZ336" s="48">
        <f t="shared" si="1118"/>
        <v>1000</v>
      </c>
      <c r="BA336" s="48">
        <f t="shared" si="1118"/>
        <v>1500</v>
      </c>
      <c r="BB336" s="48">
        <f t="shared" si="1118"/>
        <v>2500</v>
      </c>
      <c r="BC336" s="48">
        <f t="shared" si="1118"/>
        <v>0</v>
      </c>
      <c r="BD336" s="48">
        <f t="shared" si="1118"/>
        <v>0</v>
      </c>
      <c r="BE336" s="48">
        <f t="shared" si="1118"/>
        <v>0</v>
      </c>
      <c r="BF336" s="48">
        <f t="shared" si="1118"/>
        <v>0</v>
      </c>
      <c r="BG336" s="48">
        <f t="shared" si="1118"/>
        <v>0</v>
      </c>
      <c r="BH336" s="48">
        <f t="shared" si="1118"/>
        <v>500</v>
      </c>
      <c r="BI336" s="48">
        <f t="shared" si="1118"/>
        <v>0</v>
      </c>
      <c r="BJ336" s="48">
        <f t="shared" si="1118"/>
        <v>0</v>
      </c>
      <c r="BK336" s="48">
        <f t="shared" si="1118"/>
        <v>0</v>
      </c>
      <c r="BL336" s="48">
        <f t="shared" si="1118"/>
        <v>0</v>
      </c>
      <c r="BM336" s="48">
        <f t="shared" si="1118"/>
        <v>0</v>
      </c>
      <c r="BN336" s="48">
        <f t="shared" si="1118"/>
        <v>0</v>
      </c>
      <c r="BO336" s="48">
        <f t="shared" si="1118"/>
        <v>0</v>
      </c>
      <c r="BP336" s="48">
        <f t="shared" si="1118"/>
        <v>0</v>
      </c>
      <c r="BQ336" s="48">
        <f t="shared" si="1118"/>
        <v>0</v>
      </c>
      <c r="BR336" s="36">
        <f t="shared" si="9"/>
        <v>1</v>
      </c>
      <c r="BS336" s="38">
        <f t="shared" si="10"/>
        <v>4</v>
      </c>
      <c r="BT336" s="49">
        <f t="shared" si="11"/>
        <v>0</v>
      </c>
      <c r="BU336" s="38">
        <f t="shared" si="12"/>
        <v>4000</v>
      </c>
      <c r="BV336" s="57" t="str">
        <f>IFERROR(__xludf.DUMMYFUNCTION("""COMPUTED_VALUE"""),"Schenkel")</f>
        <v>Schenkel</v>
      </c>
      <c r="BW336" s="46">
        <f t="shared" si="13"/>
        <v>6250</v>
      </c>
      <c r="BX336" s="47">
        <f t="shared" ref="BX336:CA336" si="1119">AX336-$BU336</f>
        <v>-3250</v>
      </c>
      <c r="BY336" s="47">
        <f t="shared" si="1119"/>
        <v>-4000</v>
      </c>
      <c r="BZ336" s="47">
        <f t="shared" si="1119"/>
        <v>-3000</v>
      </c>
      <c r="CA336" s="47">
        <f t="shared" si="1119"/>
        <v>-2500</v>
      </c>
      <c r="CB336" s="47">
        <f t="shared" si="15"/>
        <v>-37500</v>
      </c>
      <c r="CC336" s="47">
        <f t="shared" ref="CC336:CQ336" si="1120">BC336-$BU336</f>
        <v>-4000</v>
      </c>
      <c r="CD336" s="47">
        <f t="shared" si="1120"/>
        <v>-4000</v>
      </c>
      <c r="CE336" s="47">
        <f t="shared" si="1120"/>
        <v>-4000</v>
      </c>
      <c r="CF336" s="47">
        <f t="shared" si="1120"/>
        <v>-4000</v>
      </c>
      <c r="CG336" s="47">
        <f t="shared" si="1120"/>
        <v>-4000</v>
      </c>
      <c r="CH336" s="47">
        <f t="shared" si="1120"/>
        <v>-3500</v>
      </c>
      <c r="CI336" s="47">
        <f t="shared" si="1120"/>
        <v>-4000</v>
      </c>
      <c r="CJ336" s="47">
        <f t="shared" si="1120"/>
        <v>-4000</v>
      </c>
      <c r="CK336" s="47">
        <f t="shared" si="1120"/>
        <v>-4000</v>
      </c>
      <c r="CL336" s="47">
        <f t="shared" si="1120"/>
        <v>-4000</v>
      </c>
      <c r="CM336" s="47">
        <f t="shared" si="1120"/>
        <v>-4000</v>
      </c>
      <c r="CN336" s="47">
        <f t="shared" si="1120"/>
        <v>-4000</v>
      </c>
      <c r="CO336" s="47">
        <f t="shared" si="1120"/>
        <v>-4000</v>
      </c>
      <c r="CP336" s="47">
        <f t="shared" si="1120"/>
        <v>-4000</v>
      </c>
      <c r="CQ336" s="47">
        <f t="shared" si="1120"/>
        <v>-4000</v>
      </c>
      <c r="CR336" s="47"/>
      <c r="CS336" s="47"/>
      <c r="CT336" s="47"/>
      <c r="CU336" s="50" t="str">
        <f>IFERROR(__xludf.DUMMYFUNCTION("""COMPUTED_VALUE"""),"354 Matlock Road
Mansfield, TX 76063          ")</f>
        <v>354 Matlock Road
Mansfield, TX 76063          </v>
      </c>
      <c r="CV336" s="51">
        <f>IFERROR(__xludf.DUMMYFUNCTION("IF(REGEXMATCH(UPPER(CU336), ""TX""),0,1)"),0.0)</f>
        <v>0</v>
      </c>
      <c r="CW336" s="51">
        <f>IFERROR(__xludf.DUMMYFUNCTION("IF(REGEXMATCH(UPPER(CU336), ""DALLAS""),0,1)"),1.0)</f>
        <v>1</v>
      </c>
      <c r="CX336" s="51">
        <f t="shared" si="17"/>
        <v>0</v>
      </c>
      <c r="CY336" s="51">
        <f t="shared" si="18"/>
        <v>50</v>
      </c>
      <c r="CZ336" s="52" t="str">
        <f t="shared" si="19"/>
        <v>354 Matlock Road
Mansfield, TX 76063          </v>
      </c>
      <c r="DA336" s="58"/>
      <c r="DB336" s="52"/>
      <c r="DC336" s="52"/>
      <c r="DD336" s="52"/>
      <c r="DE336" s="52"/>
      <c r="DF336" s="52"/>
      <c r="DG336" s="52"/>
      <c r="DH336" s="52"/>
      <c r="DI336" s="52"/>
      <c r="DJ336" s="52"/>
      <c r="DK336" s="52"/>
      <c r="DL336" s="52"/>
      <c r="DM336" s="52"/>
      <c r="DN336" s="52"/>
      <c r="DO336" s="52"/>
      <c r="DP336" s="52"/>
      <c r="DQ336" s="52"/>
      <c r="DR336" s="52"/>
      <c r="DS336" s="52"/>
      <c r="DT336" s="52"/>
      <c r="DU336" s="52"/>
      <c r="DV336" s="52"/>
      <c r="DW336" s="52"/>
    </row>
    <row r="337">
      <c r="A337" s="41" t="s">
        <v>64</v>
      </c>
      <c r="B337" s="41" t="s">
        <v>56</v>
      </c>
      <c r="C337" s="31" t="s">
        <v>934</v>
      </c>
      <c r="D337" s="25" t="str">
        <f>IFERROR(__xludf.DUMMYFUNCTION("SPLIT(C337,"" "")"),"Wani,")</f>
        <v>Wani,</v>
      </c>
      <c r="E337" s="40" t="str">
        <f>IFERROR(__xludf.DUMMYFUNCTION("""COMPUTED_VALUE"""),"Rajen
3606")</f>
        <v>Rajen
3606</v>
      </c>
      <c r="F337" s="40" t="str">
        <f>IFERROR(__xludf.DUMMYFUNCTION("""COMPUTED_VALUE"""),"Greenville")</f>
        <v>Greenville</v>
      </c>
      <c r="G337" s="40" t="str">
        <f>IFERROR(__xludf.DUMMYFUNCTION("""COMPUTED_VALUE"""),"Ave
Dallas,")</f>
        <v>Ave
Dallas,</v>
      </c>
      <c r="H337" s="40" t="str">
        <f>IFERROR(__xludf.DUMMYFUNCTION("""COMPUTED_VALUE"""),"TX")</f>
        <v>TX</v>
      </c>
      <c r="I337" s="40">
        <f>IFERROR(__xludf.DUMMYFUNCTION("""COMPUTED_VALUE"""),75206.0)</f>
        <v>75206</v>
      </c>
      <c r="J337" s="40"/>
      <c r="K337" s="40"/>
      <c r="L337" s="40"/>
      <c r="M337" s="40"/>
      <c r="N337" s="40"/>
      <c r="O337" s="40"/>
      <c r="P337" s="40"/>
      <c r="Q337" s="40"/>
      <c r="R337" s="40"/>
      <c r="S337" s="40"/>
      <c r="T337" s="40"/>
      <c r="U337" s="24" t="str">
        <f>IFERROR(__xludf.DUMMYFUNCTION("SPLIT(E337,""01234567890"")"),"Rajen
")</f>
        <v>Rajen
</v>
      </c>
      <c r="V337" s="24" t="str">
        <f>IFERROR(__xludf.DUMMYFUNCTION("SPLIT(D337,"","")"),"Wani")</f>
        <v>Wani</v>
      </c>
      <c r="W337" s="25" t="str">
        <f t="shared" si="1"/>
        <v>RAJEN
 WANI</v>
      </c>
      <c r="X337" s="25" t="s">
        <v>935</v>
      </c>
      <c r="Y337" s="25">
        <v>75206.0</v>
      </c>
      <c r="Z337" s="25" t="str">
        <f>IFERROR(__xludf.DUMMYFUNCTION("SPLIT(C337,""
"")"),"Wani, Rajen")</f>
        <v>Wani, Rajen</v>
      </c>
      <c r="AA337" s="25" t="str">
        <f>IFERROR(__xludf.DUMMYFUNCTION("""COMPUTED_VALUE"""),"3606 Greenville Ave")</f>
        <v>3606 Greenville Ave</v>
      </c>
      <c r="AB337" s="25" t="str">
        <f>IFERROR(__xludf.DUMMYFUNCTION("""COMPUTED_VALUE"""),"Dallas, TX 75206")</f>
        <v>Dallas, TX 75206</v>
      </c>
      <c r="AC337" s="24" t="s">
        <v>936</v>
      </c>
      <c r="AD337" s="25"/>
      <c r="AE337" s="25"/>
      <c r="AF337" s="25"/>
      <c r="AG337" s="40" t="s">
        <v>60</v>
      </c>
      <c r="AH337" s="42">
        <v>2437.0</v>
      </c>
      <c r="AI337" s="40" t="s">
        <v>61</v>
      </c>
      <c r="AJ337" s="27">
        <v>2500.0</v>
      </c>
      <c r="AK337" s="31" t="s">
        <v>25</v>
      </c>
      <c r="AL337" s="43">
        <v>44725.0</v>
      </c>
      <c r="AM337" s="44">
        <v>44754.83237268519</v>
      </c>
      <c r="AN337" s="30">
        <v>2.0</v>
      </c>
      <c r="AO337" s="40"/>
      <c r="AP337" s="40"/>
      <c r="AQ337" s="40"/>
      <c r="AR337" s="40"/>
      <c r="AS337" s="40"/>
      <c r="AT337" s="47"/>
      <c r="AU337" s="40"/>
      <c r="AV337" s="46" t="str">
        <f>IFERROR(__xludf.DUMMYFUNCTION("""COMPUTED_VALUE"""),"Martin")</f>
        <v>Martin</v>
      </c>
      <c r="AW337" s="46">
        <f t="shared" si="7"/>
        <v>5125</v>
      </c>
      <c r="AX337" s="47">
        <f t="shared" ref="AX337:BQ337" si="1121">SUMIFS($AJ:$AJ,$V:$V,$AV337,$AK:$AK,AX$2)</f>
        <v>0</v>
      </c>
      <c r="AY337" s="48">
        <f t="shared" si="1121"/>
        <v>0</v>
      </c>
      <c r="AZ337" s="48">
        <f t="shared" si="1121"/>
        <v>50</v>
      </c>
      <c r="BA337" s="48">
        <f t="shared" si="1121"/>
        <v>75</v>
      </c>
      <c r="BB337" s="48">
        <f t="shared" si="1121"/>
        <v>5000</v>
      </c>
      <c r="BC337" s="48">
        <f t="shared" si="1121"/>
        <v>0</v>
      </c>
      <c r="BD337" s="48">
        <f t="shared" si="1121"/>
        <v>0</v>
      </c>
      <c r="BE337" s="48">
        <f t="shared" si="1121"/>
        <v>0</v>
      </c>
      <c r="BF337" s="48">
        <f t="shared" si="1121"/>
        <v>0</v>
      </c>
      <c r="BG337" s="48">
        <f t="shared" si="1121"/>
        <v>0</v>
      </c>
      <c r="BH337" s="48">
        <f t="shared" si="1121"/>
        <v>0</v>
      </c>
      <c r="BI337" s="48">
        <f t="shared" si="1121"/>
        <v>0</v>
      </c>
      <c r="BJ337" s="48">
        <f t="shared" si="1121"/>
        <v>0</v>
      </c>
      <c r="BK337" s="48">
        <f t="shared" si="1121"/>
        <v>0</v>
      </c>
      <c r="BL337" s="48">
        <f t="shared" si="1121"/>
        <v>0</v>
      </c>
      <c r="BM337" s="48">
        <f t="shared" si="1121"/>
        <v>0</v>
      </c>
      <c r="BN337" s="48">
        <f t="shared" si="1121"/>
        <v>0</v>
      </c>
      <c r="BO337" s="48">
        <f t="shared" si="1121"/>
        <v>0</v>
      </c>
      <c r="BP337" s="48">
        <f t="shared" si="1121"/>
        <v>0</v>
      </c>
      <c r="BQ337" s="48">
        <f t="shared" si="1121"/>
        <v>0</v>
      </c>
      <c r="BR337" s="36">
        <f t="shared" si="9"/>
        <v>1</v>
      </c>
      <c r="BS337" s="38">
        <f t="shared" si="10"/>
        <v>2</v>
      </c>
      <c r="BT337" s="49">
        <f t="shared" si="11"/>
        <v>0</v>
      </c>
      <c r="BU337" s="38">
        <f t="shared" si="12"/>
        <v>2000</v>
      </c>
      <c r="BV337" s="46" t="str">
        <f>IFERROR(__xludf.DUMMYFUNCTION("""COMPUTED_VALUE"""),"Martin")</f>
        <v>Martin</v>
      </c>
      <c r="BW337" s="46">
        <f t="shared" si="13"/>
        <v>5125</v>
      </c>
      <c r="BX337" s="47">
        <f t="shared" ref="BX337:CA337" si="1122">AX337-$BU337</f>
        <v>-2000</v>
      </c>
      <c r="BY337" s="47">
        <f t="shared" si="1122"/>
        <v>-2000</v>
      </c>
      <c r="BZ337" s="47">
        <f t="shared" si="1122"/>
        <v>-1950</v>
      </c>
      <c r="CA337" s="47">
        <f t="shared" si="1122"/>
        <v>-1925</v>
      </c>
      <c r="CB337" s="47">
        <f t="shared" si="15"/>
        <v>-15000</v>
      </c>
      <c r="CC337" s="47">
        <f t="shared" ref="CC337:CQ337" si="1123">BC337-$BU337</f>
        <v>-2000</v>
      </c>
      <c r="CD337" s="47">
        <f t="shared" si="1123"/>
        <v>-2000</v>
      </c>
      <c r="CE337" s="47">
        <f t="shared" si="1123"/>
        <v>-2000</v>
      </c>
      <c r="CF337" s="47">
        <f t="shared" si="1123"/>
        <v>-2000</v>
      </c>
      <c r="CG337" s="47">
        <f t="shared" si="1123"/>
        <v>-2000</v>
      </c>
      <c r="CH337" s="47">
        <f t="shared" si="1123"/>
        <v>-2000</v>
      </c>
      <c r="CI337" s="47">
        <f t="shared" si="1123"/>
        <v>-2000</v>
      </c>
      <c r="CJ337" s="47">
        <f t="shared" si="1123"/>
        <v>-2000</v>
      </c>
      <c r="CK337" s="47">
        <f t="shared" si="1123"/>
        <v>-2000</v>
      </c>
      <c r="CL337" s="47">
        <f t="shared" si="1123"/>
        <v>-2000</v>
      </c>
      <c r="CM337" s="47">
        <f t="shared" si="1123"/>
        <v>-2000</v>
      </c>
      <c r="CN337" s="47">
        <f t="shared" si="1123"/>
        <v>-2000</v>
      </c>
      <c r="CO337" s="47">
        <f t="shared" si="1123"/>
        <v>-2000</v>
      </c>
      <c r="CP337" s="47">
        <f t="shared" si="1123"/>
        <v>-2000</v>
      </c>
      <c r="CQ337" s="47">
        <f t="shared" si="1123"/>
        <v>-2000</v>
      </c>
      <c r="CR337" s="47"/>
      <c r="CS337" s="47"/>
      <c r="CT337" s="47"/>
      <c r="CU337" s="50" t="str">
        <f>IFERROR(__xludf.DUMMYFUNCTION("""COMPUTED_VALUE"""),"5601 Bridge Street
Fort Worth, TX 76112         ")</f>
        <v>5601 Bridge Street
Fort Worth, TX 76112         </v>
      </c>
      <c r="CV337" s="51">
        <f>IFERROR(__xludf.DUMMYFUNCTION("IF(REGEXMATCH(UPPER(CU337), ""TX""),0,1)"),0.0)</f>
        <v>0</v>
      </c>
      <c r="CW337" s="51">
        <f>IFERROR(__xludf.DUMMYFUNCTION("IF(REGEXMATCH(UPPER(CU337), ""DALLAS""),0,1)"),1.0)</f>
        <v>1</v>
      </c>
      <c r="CX337" s="51">
        <f t="shared" si="17"/>
        <v>0</v>
      </c>
      <c r="CY337" s="51">
        <f t="shared" si="18"/>
        <v>500</v>
      </c>
      <c r="CZ337" s="52" t="str">
        <f t="shared" si="19"/>
        <v>5601 Bridge Street
Fort Worth, TX 76112         </v>
      </c>
      <c r="DA337" s="58"/>
      <c r="DB337" s="52"/>
      <c r="DC337" s="52"/>
      <c r="DD337" s="52"/>
      <c r="DE337" s="52"/>
      <c r="DF337" s="52"/>
      <c r="DG337" s="52"/>
      <c r="DH337" s="52"/>
      <c r="DI337" s="52"/>
      <c r="DJ337" s="52"/>
      <c r="DK337" s="52"/>
      <c r="DL337" s="52"/>
      <c r="DM337" s="52"/>
      <c r="DN337" s="52"/>
      <c r="DO337" s="52"/>
      <c r="DP337" s="52"/>
      <c r="DQ337" s="52"/>
      <c r="DR337" s="52"/>
      <c r="DS337" s="52"/>
      <c r="DT337" s="52"/>
      <c r="DU337" s="52"/>
      <c r="DV337" s="52"/>
      <c r="DW337" s="52"/>
    </row>
    <row r="338">
      <c r="A338" s="22" t="s">
        <v>55</v>
      </c>
      <c r="B338" s="23" t="s">
        <v>56</v>
      </c>
      <c r="C338" s="31" t="s">
        <v>937</v>
      </c>
      <c r="D338" s="25" t="str">
        <f>IFERROR(__xludf.DUMMYFUNCTION("SPLIT(C338,"" "")"),"Malik,")</f>
        <v>Malik,</v>
      </c>
      <c r="E338" s="22" t="str">
        <f>IFERROR(__xludf.DUMMYFUNCTION("""COMPUTED_VALUE"""),"Rajeev
1159")</f>
        <v>Rajeev
1159</v>
      </c>
      <c r="F338" s="22" t="str">
        <f>IFERROR(__xludf.DUMMYFUNCTION("""COMPUTED_VALUE"""),"Cottonwood")</f>
        <v>Cottonwood</v>
      </c>
      <c r="G338" s="22" t="str">
        <f>IFERROR(__xludf.DUMMYFUNCTION("""COMPUTED_VALUE"""),"Ln
Irving,")</f>
        <v>Ln
Irving,</v>
      </c>
      <c r="H338" s="22" t="str">
        <f>IFERROR(__xludf.DUMMYFUNCTION("""COMPUTED_VALUE"""),"TX")</f>
        <v>TX</v>
      </c>
      <c r="I338" s="22">
        <f>IFERROR(__xludf.DUMMYFUNCTION("""COMPUTED_VALUE"""),75038.0)</f>
        <v>75038</v>
      </c>
      <c r="J338" s="22"/>
      <c r="K338" s="22"/>
      <c r="L338" s="22"/>
      <c r="M338" s="22"/>
      <c r="N338" s="22"/>
      <c r="O338" s="22"/>
      <c r="P338" s="22"/>
      <c r="Q338" s="22"/>
      <c r="R338" s="22"/>
      <c r="S338" s="22"/>
      <c r="T338" s="22"/>
      <c r="U338" s="24" t="str">
        <f>IFERROR(__xludf.DUMMYFUNCTION("SPLIT(E338,""01234567890"")"),"Rajeev
")</f>
        <v>Rajeev
</v>
      </c>
      <c r="V338" s="24" t="str">
        <f>IFERROR(__xludf.DUMMYFUNCTION("SPLIT(D338,"","")"),"Malik")</f>
        <v>Malik</v>
      </c>
      <c r="W338" s="25" t="str">
        <f t="shared" si="1"/>
        <v>RAJEEV
 MALIK</v>
      </c>
      <c r="X338" s="25" t="s">
        <v>938</v>
      </c>
      <c r="Y338" s="25">
        <v>75038.0</v>
      </c>
      <c r="Z338" s="25" t="str">
        <f>IFERROR(__xludf.DUMMYFUNCTION("SPLIT(C338,""
"")"),"Malik, Rajeev")</f>
        <v>Malik, Rajeev</v>
      </c>
      <c r="AA338" s="25" t="str">
        <f>IFERROR(__xludf.DUMMYFUNCTION("""COMPUTED_VALUE"""),"1159 Cottonwood Ln")</f>
        <v>1159 Cottonwood Ln</v>
      </c>
      <c r="AB338" s="25" t="str">
        <f>IFERROR(__xludf.DUMMYFUNCTION("""COMPUTED_VALUE"""),"Irving, TX 75038")</f>
        <v>Irving, TX 75038</v>
      </c>
      <c r="AC338" s="24" t="s">
        <v>939</v>
      </c>
      <c r="AD338" s="25"/>
      <c r="AE338" s="25"/>
      <c r="AF338" s="25"/>
      <c r="AG338" s="22" t="s">
        <v>60</v>
      </c>
      <c r="AH338" s="54">
        <v>2437.0</v>
      </c>
      <c r="AI338" s="22" t="s">
        <v>61</v>
      </c>
      <c r="AJ338" s="27">
        <v>2500.0</v>
      </c>
      <c r="AK338" s="31" t="s">
        <v>25</v>
      </c>
      <c r="AL338" s="28">
        <v>44725.0</v>
      </c>
      <c r="AM338" s="29">
        <v>44754.83237268519</v>
      </c>
      <c r="AN338" s="30">
        <v>2.0</v>
      </c>
      <c r="AO338" s="22"/>
      <c r="AP338" s="22"/>
      <c r="AQ338" s="22"/>
      <c r="AR338" s="22"/>
      <c r="AS338" s="22"/>
      <c r="AT338" s="70"/>
      <c r="AU338" s="22"/>
      <c r="AV338" s="57" t="str">
        <f>IFERROR(__xludf.DUMMYFUNCTION("""COMPUTED_VALUE"""),"Owen")</f>
        <v>Owen</v>
      </c>
      <c r="AW338" s="46">
        <f t="shared" si="7"/>
        <v>751</v>
      </c>
      <c r="AX338" s="47">
        <f t="shared" ref="AX338:BQ338" si="1124">SUMIFS($AJ:$AJ,$V:$V,$AV338,$AK:$AK,AX$2)</f>
        <v>0</v>
      </c>
      <c r="AY338" s="48">
        <f t="shared" si="1124"/>
        <v>0</v>
      </c>
      <c r="AZ338" s="48">
        <f t="shared" si="1124"/>
        <v>0</v>
      </c>
      <c r="BA338" s="48">
        <f t="shared" si="1124"/>
        <v>600</v>
      </c>
      <c r="BB338" s="48">
        <f t="shared" si="1124"/>
        <v>0</v>
      </c>
      <c r="BC338" s="48">
        <f t="shared" si="1124"/>
        <v>0</v>
      </c>
      <c r="BD338" s="48">
        <f t="shared" si="1124"/>
        <v>0</v>
      </c>
      <c r="BE338" s="48">
        <f t="shared" si="1124"/>
        <v>0</v>
      </c>
      <c r="BF338" s="48">
        <f t="shared" si="1124"/>
        <v>0</v>
      </c>
      <c r="BG338" s="48">
        <f t="shared" si="1124"/>
        <v>0</v>
      </c>
      <c r="BH338" s="48">
        <f t="shared" si="1124"/>
        <v>0</v>
      </c>
      <c r="BI338" s="48">
        <f t="shared" si="1124"/>
        <v>151</v>
      </c>
      <c r="BJ338" s="48">
        <f t="shared" si="1124"/>
        <v>0</v>
      </c>
      <c r="BK338" s="48">
        <f t="shared" si="1124"/>
        <v>0</v>
      </c>
      <c r="BL338" s="48">
        <f t="shared" si="1124"/>
        <v>0</v>
      </c>
      <c r="BM338" s="48">
        <f t="shared" si="1124"/>
        <v>0</v>
      </c>
      <c r="BN338" s="48">
        <f t="shared" si="1124"/>
        <v>0</v>
      </c>
      <c r="BO338" s="48">
        <f t="shared" si="1124"/>
        <v>0</v>
      </c>
      <c r="BP338" s="48">
        <f t="shared" si="1124"/>
        <v>0</v>
      </c>
      <c r="BQ338" s="48">
        <f t="shared" si="1124"/>
        <v>0</v>
      </c>
      <c r="BR338" s="36">
        <f t="shared" si="9"/>
        <v>1</v>
      </c>
      <c r="BS338" s="38">
        <f t="shared" si="10"/>
        <v>2</v>
      </c>
      <c r="BT338" s="49">
        <f t="shared" si="11"/>
        <v>0</v>
      </c>
      <c r="BU338" s="38">
        <f t="shared" si="12"/>
        <v>2000</v>
      </c>
      <c r="BV338" s="57" t="str">
        <f>IFERROR(__xludf.DUMMYFUNCTION("""COMPUTED_VALUE"""),"Owen")</f>
        <v>Owen</v>
      </c>
      <c r="BW338" s="46">
        <f t="shared" si="13"/>
        <v>751</v>
      </c>
      <c r="BX338" s="47">
        <f t="shared" ref="BX338:CA338" si="1125">AX338-$BU338</f>
        <v>-2000</v>
      </c>
      <c r="BY338" s="47">
        <f t="shared" si="1125"/>
        <v>-2000</v>
      </c>
      <c r="BZ338" s="47">
        <f t="shared" si="1125"/>
        <v>-2000</v>
      </c>
      <c r="CA338" s="47">
        <f t="shared" si="1125"/>
        <v>-1400</v>
      </c>
      <c r="CB338" s="47">
        <f t="shared" si="15"/>
        <v>-20000</v>
      </c>
      <c r="CC338" s="47">
        <f t="shared" ref="CC338:CQ338" si="1126">BC338-$BU338</f>
        <v>-2000</v>
      </c>
      <c r="CD338" s="47">
        <f t="shared" si="1126"/>
        <v>-2000</v>
      </c>
      <c r="CE338" s="47">
        <f t="shared" si="1126"/>
        <v>-2000</v>
      </c>
      <c r="CF338" s="47">
        <f t="shared" si="1126"/>
        <v>-2000</v>
      </c>
      <c r="CG338" s="47">
        <f t="shared" si="1126"/>
        <v>-2000</v>
      </c>
      <c r="CH338" s="47">
        <f t="shared" si="1126"/>
        <v>-2000</v>
      </c>
      <c r="CI338" s="47">
        <f t="shared" si="1126"/>
        <v>-1849</v>
      </c>
      <c r="CJ338" s="47">
        <f t="shared" si="1126"/>
        <v>-2000</v>
      </c>
      <c r="CK338" s="47">
        <f t="shared" si="1126"/>
        <v>-2000</v>
      </c>
      <c r="CL338" s="47">
        <f t="shared" si="1126"/>
        <v>-2000</v>
      </c>
      <c r="CM338" s="47">
        <f t="shared" si="1126"/>
        <v>-2000</v>
      </c>
      <c r="CN338" s="47">
        <f t="shared" si="1126"/>
        <v>-2000</v>
      </c>
      <c r="CO338" s="47">
        <f t="shared" si="1126"/>
        <v>-2000</v>
      </c>
      <c r="CP338" s="47">
        <f t="shared" si="1126"/>
        <v>-2000</v>
      </c>
      <c r="CQ338" s="47">
        <f t="shared" si="1126"/>
        <v>-2000</v>
      </c>
      <c r="CR338" s="47"/>
      <c r="CS338" s="47"/>
      <c r="CT338" s="47"/>
      <c r="CU338" s="50" t="str">
        <f>IFERROR(__xludf.DUMMYFUNCTION("""COMPUTED_VALUE"""),"8850 Fair Oaks Xing
Dallas, TX 75243         ")</f>
        <v>8850 Fair Oaks Xing
Dallas, TX 75243         </v>
      </c>
      <c r="CV338" s="51">
        <f>IFERROR(__xludf.DUMMYFUNCTION("IF(REGEXMATCH(UPPER(CU338), ""TX""),0,1)"),0.0)</f>
        <v>0</v>
      </c>
      <c r="CW338" s="51">
        <f>IFERROR(__xludf.DUMMYFUNCTION("IF(REGEXMATCH(UPPER(CU338), ""DALLAS""),0,1)"),0.0)</f>
        <v>0</v>
      </c>
      <c r="CX338" s="51">
        <f t="shared" si="17"/>
        <v>0</v>
      </c>
      <c r="CY338" s="51">
        <f t="shared" si="18"/>
        <v>0</v>
      </c>
      <c r="CZ338" s="52" t="str">
        <f t="shared" si="19"/>
        <v/>
      </c>
      <c r="DA338" s="58"/>
      <c r="DB338" s="52"/>
      <c r="DC338" s="52"/>
      <c r="DD338" s="52"/>
      <c r="DE338" s="52"/>
      <c r="DF338" s="52"/>
      <c r="DG338" s="52"/>
      <c r="DH338" s="52"/>
      <c r="DI338" s="52"/>
      <c r="DJ338" s="52"/>
      <c r="DK338" s="52"/>
      <c r="DL338" s="52"/>
      <c r="DM338" s="52"/>
      <c r="DN338" s="52"/>
      <c r="DO338" s="52"/>
      <c r="DP338" s="52"/>
      <c r="DQ338" s="52"/>
      <c r="DR338" s="52"/>
      <c r="DS338" s="52"/>
      <c r="DT338" s="52"/>
      <c r="DU338" s="52"/>
      <c r="DV338" s="52"/>
      <c r="DW338" s="52"/>
    </row>
    <row r="339">
      <c r="A339" s="41" t="s">
        <v>64</v>
      </c>
      <c r="B339" s="41" t="s">
        <v>56</v>
      </c>
      <c r="C339" s="31" t="s">
        <v>940</v>
      </c>
      <c r="D339" s="25" t="str">
        <f>IFERROR(__xludf.DUMMYFUNCTION("SPLIT(C339,"" "")"),"Miller,")</f>
        <v>Miller,</v>
      </c>
      <c r="E339" s="40" t="str">
        <f>IFERROR(__xludf.DUMMYFUNCTION("""COMPUTED_VALUE"""),"MacKenzie
400")</f>
        <v>MacKenzie
400</v>
      </c>
      <c r="F339" s="40" t="str">
        <f>IFERROR(__xludf.DUMMYFUNCTION("""COMPUTED_VALUE"""),"Oak")</f>
        <v>Oak</v>
      </c>
      <c r="G339" s="40" t="str">
        <f>IFERROR(__xludf.DUMMYFUNCTION("""COMPUTED_VALUE"""),"Ridge")</f>
        <v>Ridge</v>
      </c>
      <c r="H339" s="40" t="str">
        <f>IFERROR(__xludf.DUMMYFUNCTION("""COMPUTED_VALUE"""),"Dr
Fairview,")</f>
        <v>Dr
Fairview,</v>
      </c>
      <c r="I339" s="40" t="str">
        <f>IFERROR(__xludf.DUMMYFUNCTION("""COMPUTED_VALUE"""),"TX")</f>
        <v>TX</v>
      </c>
      <c r="J339" s="40">
        <f>IFERROR(__xludf.DUMMYFUNCTION("""COMPUTED_VALUE"""),75069.0)</f>
        <v>75069</v>
      </c>
      <c r="K339" s="40"/>
      <c r="L339" s="40"/>
      <c r="M339" s="40"/>
      <c r="N339" s="40"/>
      <c r="O339" s="40"/>
      <c r="P339" s="40"/>
      <c r="Q339" s="40"/>
      <c r="R339" s="40"/>
      <c r="S339" s="40"/>
      <c r="T339" s="40"/>
      <c r="U339" s="24" t="str">
        <f>IFERROR(__xludf.DUMMYFUNCTION("SPLIT(E339,""01234567890"")"),"MacKenzie
")</f>
        <v>MacKenzie
</v>
      </c>
      <c r="V339" s="24" t="str">
        <f>IFERROR(__xludf.DUMMYFUNCTION("SPLIT(D339,"","")"),"Miller")</f>
        <v>Miller</v>
      </c>
      <c r="W339" s="25" t="str">
        <f t="shared" si="1"/>
        <v>MACKENZIE
 MILLER</v>
      </c>
      <c r="X339" s="25" t="s">
        <v>941</v>
      </c>
      <c r="Y339" s="25">
        <v>75069.0</v>
      </c>
      <c r="Z339" s="25" t="str">
        <f>IFERROR(__xludf.DUMMYFUNCTION("SPLIT(C339,""
"")"),"Miller, MacKenzie")</f>
        <v>Miller, MacKenzie</v>
      </c>
      <c r="AA339" s="25" t="str">
        <f>IFERROR(__xludf.DUMMYFUNCTION("""COMPUTED_VALUE"""),"400 Oak Ridge Dr")</f>
        <v>400 Oak Ridge Dr</v>
      </c>
      <c r="AB339" s="25" t="str">
        <f>IFERROR(__xludf.DUMMYFUNCTION("""COMPUTED_VALUE"""),"Fairview, TX 75069")</f>
        <v>Fairview, TX 75069</v>
      </c>
      <c r="AC339" s="24" t="s">
        <v>942</v>
      </c>
      <c r="AD339" s="25"/>
      <c r="AE339" s="25"/>
      <c r="AF339" s="25"/>
      <c r="AG339" s="40" t="s">
        <v>60</v>
      </c>
      <c r="AH339" s="42">
        <v>2437.0</v>
      </c>
      <c r="AI339" s="40" t="s">
        <v>61</v>
      </c>
      <c r="AJ339" s="27">
        <v>250.0</v>
      </c>
      <c r="AK339" s="31" t="s">
        <v>25</v>
      </c>
      <c r="AL339" s="43">
        <v>44725.0</v>
      </c>
      <c r="AM339" s="44">
        <v>44754.83237268519</v>
      </c>
      <c r="AN339" s="30">
        <v>2.0</v>
      </c>
      <c r="AO339" s="40"/>
      <c r="AP339" s="40"/>
      <c r="AQ339" s="40"/>
      <c r="AR339" s="40"/>
      <c r="AS339" s="40"/>
      <c r="AT339" s="47"/>
      <c r="AU339" s="40"/>
      <c r="AV339" s="46" t="str">
        <f>IFERROR(__xludf.DUMMYFUNCTION("""COMPUTED_VALUE"""),"Northwest")</f>
        <v>Northwest</v>
      </c>
      <c r="AW339" s="46">
        <f t="shared" si="7"/>
        <v>500</v>
      </c>
      <c r="AX339" s="47">
        <f t="shared" ref="AX339:BQ339" si="1127">SUMIFS($AJ:$AJ,$V:$V,$AV339,$AK:$AK,AX$2)</f>
        <v>0</v>
      </c>
      <c r="AY339" s="48">
        <f t="shared" si="1127"/>
        <v>0</v>
      </c>
      <c r="AZ339" s="48">
        <f t="shared" si="1127"/>
        <v>0</v>
      </c>
      <c r="BA339" s="48">
        <f t="shared" si="1127"/>
        <v>500</v>
      </c>
      <c r="BB339" s="48">
        <f t="shared" si="1127"/>
        <v>0</v>
      </c>
      <c r="BC339" s="48">
        <f t="shared" si="1127"/>
        <v>0</v>
      </c>
      <c r="BD339" s="48">
        <f t="shared" si="1127"/>
        <v>0</v>
      </c>
      <c r="BE339" s="48">
        <f t="shared" si="1127"/>
        <v>0</v>
      </c>
      <c r="BF339" s="48">
        <f t="shared" si="1127"/>
        <v>0</v>
      </c>
      <c r="BG339" s="48">
        <f t="shared" si="1127"/>
        <v>0</v>
      </c>
      <c r="BH339" s="48">
        <f t="shared" si="1127"/>
        <v>0</v>
      </c>
      <c r="BI339" s="48">
        <f t="shared" si="1127"/>
        <v>0</v>
      </c>
      <c r="BJ339" s="48">
        <f t="shared" si="1127"/>
        <v>0</v>
      </c>
      <c r="BK339" s="48">
        <f t="shared" si="1127"/>
        <v>0</v>
      </c>
      <c r="BL339" s="48">
        <f t="shared" si="1127"/>
        <v>0</v>
      </c>
      <c r="BM339" s="48">
        <f t="shared" si="1127"/>
        <v>0</v>
      </c>
      <c r="BN339" s="48">
        <f t="shared" si="1127"/>
        <v>0</v>
      </c>
      <c r="BO339" s="48">
        <f t="shared" si="1127"/>
        <v>0</v>
      </c>
      <c r="BP339" s="48">
        <f t="shared" si="1127"/>
        <v>0</v>
      </c>
      <c r="BQ339" s="48">
        <f t="shared" si="1127"/>
        <v>0</v>
      </c>
      <c r="BR339" s="36">
        <f t="shared" si="9"/>
        <v>0</v>
      </c>
      <c r="BS339" s="38">
        <f t="shared" si="10"/>
        <v>1</v>
      </c>
      <c r="BT339" s="49">
        <f t="shared" si="11"/>
        <v>0</v>
      </c>
      <c r="BU339" s="38">
        <f t="shared" si="12"/>
        <v>1000</v>
      </c>
      <c r="BV339" s="46" t="str">
        <f>IFERROR(__xludf.DUMMYFUNCTION("""COMPUTED_VALUE"""),"Northwest")</f>
        <v>Northwest</v>
      </c>
      <c r="BW339" s="46">
        <f t="shared" si="13"/>
        <v>500</v>
      </c>
      <c r="BX339" s="47">
        <f t="shared" ref="BX339:CA339" si="1128">AX339-$BU339</f>
        <v>-1000</v>
      </c>
      <c r="BY339" s="47">
        <f t="shared" si="1128"/>
        <v>-1000</v>
      </c>
      <c r="BZ339" s="47">
        <f t="shared" si="1128"/>
        <v>-1000</v>
      </c>
      <c r="CA339" s="47">
        <f t="shared" si="1128"/>
        <v>-500</v>
      </c>
      <c r="CB339" s="47">
        <f t="shared" si="15"/>
        <v>-10000</v>
      </c>
      <c r="CC339" s="47">
        <f t="shared" ref="CC339:CQ339" si="1129">BC339-$BU339</f>
        <v>-1000</v>
      </c>
      <c r="CD339" s="47">
        <f t="shared" si="1129"/>
        <v>-1000</v>
      </c>
      <c r="CE339" s="47">
        <f t="shared" si="1129"/>
        <v>-1000</v>
      </c>
      <c r="CF339" s="47">
        <f t="shared" si="1129"/>
        <v>-1000</v>
      </c>
      <c r="CG339" s="47">
        <f t="shared" si="1129"/>
        <v>-1000</v>
      </c>
      <c r="CH339" s="47">
        <f t="shared" si="1129"/>
        <v>-1000</v>
      </c>
      <c r="CI339" s="47">
        <f t="shared" si="1129"/>
        <v>-1000</v>
      </c>
      <c r="CJ339" s="47">
        <f t="shared" si="1129"/>
        <v>-1000</v>
      </c>
      <c r="CK339" s="47">
        <f t="shared" si="1129"/>
        <v>-1000</v>
      </c>
      <c r="CL339" s="47">
        <f t="shared" si="1129"/>
        <v>-1000</v>
      </c>
      <c r="CM339" s="47">
        <f t="shared" si="1129"/>
        <v>-1000</v>
      </c>
      <c r="CN339" s="47">
        <f t="shared" si="1129"/>
        <v>-1000</v>
      </c>
      <c r="CO339" s="47">
        <f t="shared" si="1129"/>
        <v>-1000</v>
      </c>
      <c r="CP339" s="47">
        <f t="shared" si="1129"/>
        <v>-1000</v>
      </c>
      <c r="CQ339" s="47">
        <f t="shared" si="1129"/>
        <v>-1000</v>
      </c>
      <c r="CR339" s="47"/>
      <c r="CS339" s="47"/>
      <c r="CT339" s="47"/>
      <c r="CU339" s="50" t="str">
        <f>IFERROR(__xludf.DUMMYFUNCTION("""COMPUTED_VALUE"""),"2555 North Pearl St
Dallas, TX 75201         ")</f>
        <v>2555 North Pearl St
Dallas, TX 75201         </v>
      </c>
      <c r="CV339" s="51">
        <f>IFERROR(__xludf.DUMMYFUNCTION("IF(REGEXMATCH(UPPER(CU339), ""TX""),0,1)"),0.0)</f>
        <v>0</v>
      </c>
      <c r="CW339" s="51">
        <f>IFERROR(__xludf.DUMMYFUNCTION("IF(REGEXMATCH(UPPER(CU339), ""DALLAS""),0,1)"),0.0)</f>
        <v>0</v>
      </c>
      <c r="CX339" s="51">
        <f t="shared" si="17"/>
        <v>0</v>
      </c>
      <c r="CY339" s="51">
        <f t="shared" si="18"/>
        <v>0</v>
      </c>
      <c r="CZ339" s="52" t="str">
        <f t="shared" si="19"/>
        <v/>
      </c>
      <c r="DA339" s="58"/>
      <c r="DB339" s="52"/>
      <c r="DC339" s="52"/>
      <c r="DD339" s="52"/>
      <c r="DE339" s="52"/>
      <c r="DF339" s="52"/>
      <c r="DG339" s="52"/>
      <c r="DH339" s="52"/>
      <c r="DI339" s="52"/>
      <c r="DJ339" s="52"/>
      <c r="DK339" s="52"/>
      <c r="DL339" s="52"/>
      <c r="DM339" s="52"/>
      <c r="DN339" s="52"/>
      <c r="DO339" s="52"/>
      <c r="DP339" s="52"/>
      <c r="DQ339" s="52"/>
      <c r="DR339" s="52"/>
      <c r="DS339" s="52"/>
      <c r="DT339" s="52"/>
      <c r="DU339" s="52"/>
      <c r="DV339" s="52"/>
      <c r="DW339" s="52"/>
    </row>
    <row r="340">
      <c r="A340" s="22" t="s">
        <v>55</v>
      </c>
      <c r="B340" s="23" t="s">
        <v>56</v>
      </c>
      <c r="C340" s="31" t="s">
        <v>266</v>
      </c>
      <c r="D340" s="25" t="str">
        <f>IFERROR(__xludf.DUMMYFUNCTION("SPLIT(C340,"" "")"),"Ayala,")</f>
        <v>Ayala,</v>
      </c>
      <c r="E340" s="22" t="str">
        <f>IFERROR(__xludf.DUMMYFUNCTION("""COMPUTED_VALUE"""),"Juan
9668")</f>
        <v>Juan
9668</v>
      </c>
      <c r="F340" s="22" t="str">
        <f>IFERROR(__xludf.DUMMYFUNCTION("""COMPUTED_VALUE"""),"Arborhill")</f>
        <v>Arborhill</v>
      </c>
      <c r="G340" s="22" t="str">
        <f>IFERROR(__xludf.DUMMYFUNCTION("""COMPUTED_VALUE"""),"Dr
Dallas,")</f>
        <v>Dr
Dallas,</v>
      </c>
      <c r="H340" s="22" t="str">
        <f>IFERROR(__xludf.DUMMYFUNCTION("""COMPUTED_VALUE"""),"TX")</f>
        <v>TX</v>
      </c>
      <c r="I340" s="22">
        <f>IFERROR(__xludf.DUMMYFUNCTION("""COMPUTED_VALUE"""),75243.0)</f>
        <v>75243</v>
      </c>
      <c r="J340" s="22"/>
      <c r="K340" s="22"/>
      <c r="L340" s="22"/>
      <c r="M340" s="22"/>
      <c r="N340" s="22"/>
      <c r="O340" s="22"/>
      <c r="P340" s="22"/>
      <c r="Q340" s="22"/>
      <c r="R340" s="22"/>
      <c r="S340" s="22"/>
      <c r="T340" s="22"/>
      <c r="U340" s="24" t="str">
        <f>IFERROR(__xludf.DUMMYFUNCTION("SPLIT(E340,""01234567890"")"),"Juan
")</f>
        <v>Juan
</v>
      </c>
      <c r="V340" s="24" t="str">
        <f>IFERROR(__xludf.DUMMYFUNCTION("SPLIT(D340,"","")"),"Ayala")</f>
        <v>Ayala</v>
      </c>
      <c r="W340" s="25" t="str">
        <f t="shared" si="1"/>
        <v>JUAN
 AYALA</v>
      </c>
      <c r="X340" s="25" t="s">
        <v>267</v>
      </c>
      <c r="Y340" s="25">
        <v>75243.0</v>
      </c>
      <c r="Z340" s="25" t="str">
        <f>IFERROR(__xludf.DUMMYFUNCTION("SPLIT(C340,""
"")"),"Ayala, Juan")</f>
        <v>Ayala, Juan</v>
      </c>
      <c r="AA340" s="25" t="str">
        <f>IFERROR(__xludf.DUMMYFUNCTION("""COMPUTED_VALUE"""),"9668 Arborhill Dr")</f>
        <v>9668 Arborhill Dr</v>
      </c>
      <c r="AB340" s="25" t="str">
        <f>IFERROR(__xludf.DUMMYFUNCTION("""COMPUTED_VALUE"""),"Dallas, TX 75243")</f>
        <v>Dallas, TX 75243</v>
      </c>
      <c r="AC340" s="24" t="s">
        <v>268</v>
      </c>
      <c r="AD340" s="25"/>
      <c r="AE340" s="25"/>
      <c r="AF340" s="25"/>
      <c r="AG340" s="22" t="s">
        <v>60</v>
      </c>
      <c r="AH340" s="54">
        <v>2437.0</v>
      </c>
      <c r="AI340" s="22" t="s">
        <v>61</v>
      </c>
      <c r="AJ340" s="27">
        <v>250.0</v>
      </c>
      <c r="AK340" s="31" t="s">
        <v>25</v>
      </c>
      <c r="AL340" s="28">
        <v>44725.0</v>
      </c>
      <c r="AM340" s="29">
        <v>44754.83237268519</v>
      </c>
      <c r="AN340" s="30">
        <v>2.0</v>
      </c>
      <c r="AO340" s="22"/>
      <c r="AP340" s="22"/>
      <c r="AQ340" s="22"/>
      <c r="AR340" s="22"/>
      <c r="AS340" s="22"/>
      <c r="AT340" s="70"/>
      <c r="AU340" s="22"/>
      <c r="AV340" s="57" t="str">
        <f>IFERROR(__xludf.DUMMYFUNCTION("""COMPUTED_VALUE"""),"Ellerman")</f>
        <v>Ellerman</v>
      </c>
      <c r="AW340" s="46">
        <f t="shared" si="7"/>
        <v>1000</v>
      </c>
      <c r="AX340" s="47">
        <f t="shared" ref="AX340:BQ340" si="1130">SUMIFS($AJ:$AJ,$V:$V,$AV340,$AK:$AK,AX$2)</f>
        <v>0</v>
      </c>
      <c r="AY340" s="48">
        <f t="shared" si="1130"/>
        <v>0</v>
      </c>
      <c r="AZ340" s="48">
        <f t="shared" si="1130"/>
        <v>0</v>
      </c>
      <c r="BA340" s="48">
        <f t="shared" si="1130"/>
        <v>1000</v>
      </c>
      <c r="BB340" s="48">
        <f t="shared" si="1130"/>
        <v>0</v>
      </c>
      <c r="BC340" s="48">
        <f t="shared" si="1130"/>
        <v>0</v>
      </c>
      <c r="BD340" s="48">
        <f t="shared" si="1130"/>
        <v>0</v>
      </c>
      <c r="BE340" s="48">
        <f t="shared" si="1130"/>
        <v>0</v>
      </c>
      <c r="BF340" s="48">
        <f t="shared" si="1130"/>
        <v>0</v>
      </c>
      <c r="BG340" s="48">
        <f t="shared" si="1130"/>
        <v>0</v>
      </c>
      <c r="BH340" s="48">
        <f t="shared" si="1130"/>
        <v>0</v>
      </c>
      <c r="BI340" s="48">
        <f t="shared" si="1130"/>
        <v>0</v>
      </c>
      <c r="BJ340" s="48">
        <f t="shared" si="1130"/>
        <v>0</v>
      </c>
      <c r="BK340" s="48">
        <f t="shared" si="1130"/>
        <v>0</v>
      </c>
      <c r="BL340" s="48">
        <f t="shared" si="1130"/>
        <v>0</v>
      </c>
      <c r="BM340" s="48">
        <f t="shared" si="1130"/>
        <v>0</v>
      </c>
      <c r="BN340" s="48">
        <f t="shared" si="1130"/>
        <v>0</v>
      </c>
      <c r="BO340" s="48">
        <f t="shared" si="1130"/>
        <v>0</v>
      </c>
      <c r="BP340" s="48">
        <f t="shared" si="1130"/>
        <v>0</v>
      </c>
      <c r="BQ340" s="48">
        <f t="shared" si="1130"/>
        <v>0</v>
      </c>
      <c r="BR340" s="36">
        <f t="shared" si="9"/>
        <v>0</v>
      </c>
      <c r="BS340" s="38">
        <f t="shared" si="10"/>
        <v>1</v>
      </c>
      <c r="BT340" s="49">
        <f t="shared" si="11"/>
        <v>0</v>
      </c>
      <c r="BU340" s="38">
        <f t="shared" si="12"/>
        <v>1000</v>
      </c>
      <c r="BV340" s="57" t="str">
        <f>IFERROR(__xludf.DUMMYFUNCTION("""COMPUTED_VALUE"""),"Ellerman")</f>
        <v>Ellerman</v>
      </c>
      <c r="BW340" s="46">
        <f t="shared" si="13"/>
        <v>1000</v>
      </c>
      <c r="BX340" s="47">
        <f t="shared" ref="BX340:CA340" si="1131">AX340-$BU340</f>
        <v>-1000</v>
      </c>
      <c r="BY340" s="47">
        <f t="shared" si="1131"/>
        <v>-1000</v>
      </c>
      <c r="BZ340" s="47">
        <f t="shared" si="1131"/>
        <v>-1000</v>
      </c>
      <c r="CA340" s="47">
        <f t="shared" si="1131"/>
        <v>0</v>
      </c>
      <c r="CB340" s="47">
        <f t="shared" si="15"/>
        <v>-10000</v>
      </c>
      <c r="CC340" s="47">
        <f t="shared" ref="CC340:CQ340" si="1132">BC340-$BU340</f>
        <v>-1000</v>
      </c>
      <c r="CD340" s="47">
        <f t="shared" si="1132"/>
        <v>-1000</v>
      </c>
      <c r="CE340" s="47">
        <f t="shared" si="1132"/>
        <v>-1000</v>
      </c>
      <c r="CF340" s="47">
        <f t="shared" si="1132"/>
        <v>-1000</v>
      </c>
      <c r="CG340" s="47">
        <f t="shared" si="1132"/>
        <v>-1000</v>
      </c>
      <c r="CH340" s="47">
        <f t="shared" si="1132"/>
        <v>-1000</v>
      </c>
      <c r="CI340" s="47">
        <f t="shared" si="1132"/>
        <v>-1000</v>
      </c>
      <c r="CJ340" s="47">
        <f t="shared" si="1132"/>
        <v>-1000</v>
      </c>
      <c r="CK340" s="47">
        <f t="shared" si="1132"/>
        <v>-1000</v>
      </c>
      <c r="CL340" s="47">
        <f t="shared" si="1132"/>
        <v>-1000</v>
      </c>
      <c r="CM340" s="47">
        <f t="shared" si="1132"/>
        <v>-1000</v>
      </c>
      <c r="CN340" s="47">
        <f t="shared" si="1132"/>
        <v>-1000</v>
      </c>
      <c r="CO340" s="47">
        <f t="shared" si="1132"/>
        <v>-1000</v>
      </c>
      <c r="CP340" s="47">
        <f t="shared" si="1132"/>
        <v>-1000</v>
      </c>
      <c r="CQ340" s="47">
        <f t="shared" si="1132"/>
        <v>-1000</v>
      </c>
      <c r="CR340" s="47"/>
      <c r="CS340" s="47"/>
      <c r="CT340" s="47"/>
      <c r="CU340" s="50" t="str">
        <f>IFERROR(__xludf.DUMMYFUNCTION("""COMPUTED_VALUE"""),"joni &amp; Alan
10020 Caribou Trail
Dallas, TX 75238        ")</f>
        <v>joni &amp; Alan
10020 Caribou Trail
Dallas, TX 75238        </v>
      </c>
      <c r="CV340" s="51">
        <f>IFERROR(__xludf.DUMMYFUNCTION("IF(REGEXMATCH(UPPER(CU340), ""TX""),0,1)"),0.0)</f>
        <v>0</v>
      </c>
      <c r="CW340" s="51">
        <f>IFERROR(__xludf.DUMMYFUNCTION("IF(REGEXMATCH(UPPER(CU340), ""DALLAS""),0,1)"),0.0)</f>
        <v>0</v>
      </c>
      <c r="CX340" s="51">
        <f t="shared" si="17"/>
        <v>0</v>
      </c>
      <c r="CY340" s="51">
        <f t="shared" si="18"/>
        <v>0</v>
      </c>
      <c r="CZ340" s="52" t="str">
        <f t="shared" si="19"/>
        <v/>
      </c>
      <c r="DA340" s="58"/>
      <c r="DB340" s="52"/>
      <c r="DC340" s="52"/>
      <c r="DD340" s="52"/>
      <c r="DE340" s="52"/>
      <c r="DF340" s="52"/>
      <c r="DG340" s="52"/>
      <c r="DH340" s="52"/>
      <c r="DI340" s="52"/>
      <c r="DJ340" s="52"/>
      <c r="DK340" s="52"/>
      <c r="DL340" s="52"/>
      <c r="DM340" s="52"/>
      <c r="DN340" s="52"/>
      <c r="DO340" s="52"/>
      <c r="DP340" s="52"/>
      <c r="DQ340" s="52"/>
      <c r="DR340" s="52"/>
      <c r="DS340" s="52"/>
      <c r="DT340" s="52"/>
      <c r="DU340" s="52"/>
      <c r="DV340" s="52"/>
      <c r="DW340" s="52"/>
    </row>
    <row r="341">
      <c r="A341" s="41" t="s">
        <v>64</v>
      </c>
      <c r="B341" s="41" t="s">
        <v>56</v>
      </c>
      <c r="C341" s="31" t="s">
        <v>943</v>
      </c>
      <c r="D341" s="25" t="str">
        <f>IFERROR(__xludf.DUMMYFUNCTION("SPLIT(C341,"" "")"),"Lovell,")</f>
        <v>Lovell,</v>
      </c>
      <c r="E341" s="40" t="str">
        <f>IFERROR(__xludf.DUMMYFUNCTION("""COMPUTED_VALUE"""),"Robert
1633")</f>
        <v>Robert
1633</v>
      </c>
      <c r="F341" s="40" t="str">
        <f>IFERROR(__xludf.DUMMYFUNCTION("""COMPUTED_VALUE"""),"Prince")</f>
        <v>Prince</v>
      </c>
      <c r="G341" s="40" t="str">
        <f>IFERROR(__xludf.DUMMYFUNCTION("""COMPUTED_VALUE"""),"William")</f>
        <v>William</v>
      </c>
      <c r="H341" s="40" t="str">
        <f>IFERROR(__xludf.DUMMYFUNCTION("""COMPUTED_VALUE"""),"Ln
Frisco,")</f>
        <v>Ln
Frisco,</v>
      </c>
      <c r="I341" s="40" t="str">
        <f>IFERROR(__xludf.DUMMYFUNCTION("""COMPUTED_VALUE"""),"TX")</f>
        <v>TX</v>
      </c>
      <c r="J341" s="40">
        <f>IFERROR(__xludf.DUMMYFUNCTION("""COMPUTED_VALUE"""),75034.0)</f>
        <v>75034</v>
      </c>
      <c r="K341" s="40"/>
      <c r="L341" s="40"/>
      <c r="M341" s="40"/>
      <c r="N341" s="40"/>
      <c r="O341" s="40"/>
      <c r="P341" s="40"/>
      <c r="Q341" s="40"/>
      <c r="R341" s="40"/>
      <c r="S341" s="40"/>
      <c r="T341" s="40"/>
      <c r="U341" s="24" t="str">
        <f>IFERROR(__xludf.DUMMYFUNCTION("SPLIT(E341,""01234567890"")"),"Robert
")</f>
        <v>Robert
</v>
      </c>
      <c r="V341" s="24" t="str">
        <f>IFERROR(__xludf.DUMMYFUNCTION("SPLIT(D341,"","")"),"Lovell")</f>
        <v>Lovell</v>
      </c>
      <c r="W341" s="25" t="str">
        <f t="shared" si="1"/>
        <v>ROBERT
 LOVELL</v>
      </c>
      <c r="X341" s="25" t="s">
        <v>944</v>
      </c>
      <c r="Y341" s="25">
        <v>75034.0</v>
      </c>
      <c r="Z341" s="25" t="str">
        <f>IFERROR(__xludf.DUMMYFUNCTION("SPLIT(C341,""
"")"),"Lovell, Robert")</f>
        <v>Lovell, Robert</v>
      </c>
      <c r="AA341" s="25" t="str">
        <f>IFERROR(__xludf.DUMMYFUNCTION("""COMPUTED_VALUE"""),"1633 Prince William Ln")</f>
        <v>1633 Prince William Ln</v>
      </c>
      <c r="AB341" s="25" t="str">
        <f>IFERROR(__xludf.DUMMYFUNCTION("""COMPUTED_VALUE"""),"Frisco, TX 75034")</f>
        <v>Frisco, TX 75034</v>
      </c>
      <c r="AC341" s="24" t="s">
        <v>945</v>
      </c>
      <c r="AD341" s="25"/>
      <c r="AE341" s="25"/>
      <c r="AF341" s="25"/>
      <c r="AG341" s="40" t="s">
        <v>60</v>
      </c>
      <c r="AH341" s="42">
        <v>2437.0</v>
      </c>
      <c r="AI341" s="40" t="s">
        <v>61</v>
      </c>
      <c r="AJ341" s="27">
        <v>2500.0</v>
      </c>
      <c r="AK341" s="31" t="s">
        <v>25</v>
      </c>
      <c r="AL341" s="43">
        <v>44725.0</v>
      </c>
      <c r="AM341" s="44">
        <v>44754.83237268519</v>
      </c>
      <c r="AN341" s="30">
        <v>2.0</v>
      </c>
      <c r="AO341" s="40"/>
      <c r="AP341" s="40"/>
      <c r="AQ341" s="40"/>
      <c r="AR341" s="40"/>
      <c r="AS341" s="40"/>
      <c r="AT341" s="47"/>
      <c r="AU341" s="40"/>
      <c r="AV341" s="46" t="str">
        <f>IFERROR(__xludf.DUMMYFUNCTION("""COMPUTED_VALUE"""),"Dale")</f>
        <v>Dale</v>
      </c>
      <c r="AW341" s="46">
        <f t="shared" si="7"/>
        <v>1000</v>
      </c>
      <c r="AX341" s="47">
        <f t="shared" ref="AX341:BQ341" si="1133">SUMIFS($AJ:$AJ,$V:$V,$AV341,$AK:$AK,AX$2)</f>
        <v>0</v>
      </c>
      <c r="AY341" s="48">
        <f t="shared" si="1133"/>
        <v>0</v>
      </c>
      <c r="AZ341" s="48">
        <f t="shared" si="1133"/>
        <v>0</v>
      </c>
      <c r="BA341" s="48">
        <f t="shared" si="1133"/>
        <v>1000</v>
      </c>
      <c r="BB341" s="48">
        <f t="shared" si="1133"/>
        <v>0</v>
      </c>
      <c r="BC341" s="48">
        <f t="shared" si="1133"/>
        <v>0</v>
      </c>
      <c r="BD341" s="48">
        <f t="shared" si="1133"/>
        <v>0</v>
      </c>
      <c r="BE341" s="48">
        <f t="shared" si="1133"/>
        <v>0</v>
      </c>
      <c r="BF341" s="48">
        <f t="shared" si="1133"/>
        <v>0</v>
      </c>
      <c r="BG341" s="48">
        <f t="shared" si="1133"/>
        <v>0</v>
      </c>
      <c r="BH341" s="48">
        <f t="shared" si="1133"/>
        <v>0</v>
      </c>
      <c r="BI341" s="48">
        <f t="shared" si="1133"/>
        <v>0</v>
      </c>
      <c r="BJ341" s="48">
        <f t="shared" si="1133"/>
        <v>0</v>
      </c>
      <c r="BK341" s="48">
        <f t="shared" si="1133"/>
        <v>0</v>
      </c>
      <c r="BL341" s="48">
        <f t="shared" si="1133"/>
        <v>0</v>
      </c>
      <c r="BM341" s="48">
        <f t="shared" si="1133"/>
        <v>0</v>
      </c>
      <c r="BN341" s="48">
        <f t="shared" si="1133"/>
        <v>0</v>
      </c>
      <c r="BO341" s="48">
        <f t="shared" si="1133"/>
        <v>0</v>
      </c>
      <c r="BP341" s="48">
        <f t="shared" si="1133"/>
        <v>0</v>
      </c>
      <c r="BQ341" s="48">
        <f t="shared" si="1133"/>
        <v>0</v>
      </c>
      <c r="BR341" s="36">
        <f t="shared" si="9"/>
        <v>0</v>
      </c>
      <c r="BS341" s="38">
        <f t="shared" si="10"/>
        <v>1</v>
      </c>
      <c r="BT341" s="49">
        <f t="shared" si="11"/>
        <v>0</v>
      </c>
      <c r="BU341" s="38">
        <f t="shared" si="12"/>
        <v>1000</v>
      </c>
      <c r="BV341" s="46" t="str">
        <f>IFERROR(__xludf.DUMMYFUNCTION("""COMPUTED_VALUE"""),"Dale")</f>
        <v>Dale</v>
      </c>
      <c r="BW341" s="46">
        <f t="shared" si="13"/>
        <v>1000</v>
      </c>
      <c r="BX341" s="47">
        <f t="shared" ref="BX341:CA341" si="1134">AX341-$BU341</f>
        <v>-1000</v>
      </c>
      <c r="BY341" s="47">
        <f t="shared" si="1134"/>
        <v>-1000</v>
      </c>
      <c r="BZ341" s="47">
        <f t="shared" si="1134"/>
        <v>-1000</v>
      </c>
      <c r="CA341" s="47">
        <f t="shared" si="1134"/>
        <v>0</v>
      </c>
      <c r="CB341" s="47">
        <f t="shared" si="15"/>
        <v>-10000</v>
      </c>
      <c r="CC341" s="47">
        <f t="shared" ref="CC341:CQ341" si="1135">BC341-$BU341</f>
        <v>-1000</v>
      </c>
      <c r="CD341" s="47">
        <f t="shared" si="1135"/>
        <v>-1000</v>
      </c>
      <c r="CE341" s="47">
        <f t="shared" si="1135"/>
        <v>-1000</v>
      </c>
      <c r="CF341" s="47">
        <f t="shared" si="1135"/>
        <v>-1000</v>
      </c>
      <c r="CG341" s="47">
        <f t="shared" si="1135"/>
        <v>-1000</v>
      </c>
      <c r="CH341" s="47">
        <f t="shared" si="1135"/>
        <v>-1000</v>
      </c>
      <c r="CI341" s="47">
        <f t="shared" si="1135"/>
        <v>-1000</v>
      </c>
      <c r="CJ341" s="47">
        <f t="shared" si="1135"/>
        <v>-1000</v>
      </c>
      <c r="CK341" s="47">
        <f t="shared" si="1135"/>
        <v>-1000</v>
      </c>
      <c r="CL341" s="47">
        <f t="shared" si="1135"/>
        <v>-1000</v>
      </c>
      <c r="CM341" s="47">
        <f t="shared" si="1135"/>
        <v>-1000</v>
      </c>
      <c r="CN341" s="47">
        <f t="shared" si="1135"/>
        <v>-1000</v>
      </c>
      <c r="CO341" s="47">
        <f t="shared" si="1135"/>
        <v>-1000</v>
      </c>
      <c r="CP341" s="47">
        <f t="shared" si="1135"/>
        <v>-1000</v>
      </c>
      <c r="CQ341" s="47">
        <f t="shared" si="1135"/>
        <v>-1000</v>
      </c>
      <c r="CR341" s="47"/>
      <c r="CS341" s="47"/>
      <c r="CT341" s="47"/>
      <c r="CU341" s="50" t="str">
        <f>IFERROR(__xludf.DUMMYFUNCTION("""COMPUTED_VALUE"""),"9615 Airline Road
Dallas, TX 75225          ")</f>
        <v>9615 Airline Road
Dallas, TX 75225          </v>
      </c>
      <c r="CV341" s="51">
        <f>IFERROR(__xludf.DUMMYFUNCTION("IF(REGEXMATCH(UPPER(CU341), ""TX""),0,1)"),0.0)</f>
        <v>0</v>
      </c>
      <c r="CW341" s="51">
        <f>IFERROR(__xludf.DUMMYFUNCTION("IF(REGEXMATCH(UPPER(CU341), ""DALLAS""),0,1)"),0.0)</f>
        <v>0</v>
      </c>
      <c r="CX341" s="51">
        <f t="shared" si="17"/>
        <v>0</v>
      </c>
      <c r="CY341" s="51">
        <f t="shared" si="18"/>
        <v>0</v>
      </c>
      <c r="CZ341" s="52" t="str">
        <f t="shared" si="19"/>
        <v/>
      </c>
      <c r="DA341" s="58"/>
      <c r="DB341" s="52"/>
      <c r="DC341" s="52"/>
      <c r="DD341" s="52"/>
      <c r="DE341" s="52"/>
      <c r="DF341" s="52"/>
      <c r="DG341" s="52"/>
      <c r="DH341" s="52"/>
      <c r="DI341" s="52"/>
      <c r="DJ341" s="52"/>
      <c r="DK341" s="52"/>
      <c r="DL341" s="52"/>
      <c r="DM341" s="52"/>
      <c r="DN341" s="52"/>
      <c r="DO341" s="52"/>
      <c r="DP341" s="52"/>
      <c r="DQ341" s="52"/>
      <c r="DR341" s="52"/>
      <c r="DS341" s="52"/>
      <c r="DT341" s="52"/>
      <c r="DU341" s="52"/>
      <c r="DV341" s="52"/>
      <c r="DW341" s="52"/>
    </row>
    <row r="342">
      <c r="A342" s="22" t="s">
        <v>55</v>
      </c>
      <c r="B342" s="23" t="s">
        <v>56</v>
      </c>
      <c r="C342" s="31" t="s">
        <v>946</v>
      </c>
      <c r="D342" s="25" t="str">
        <f>IFERROR(__xludf.DUMMYFUNCTION("SPLIT(C342,"" "")"),"Russell,")</f>
        <v>Russell,</v>
      </c>
      <c r="E342" s="22" t="str">
        <f>IFERROR(__xludf.DUMMYFUNCTION("""COMPUTED_VALUE"""),"Thomas
4425")</f>
        <v>Thomas
4425</v>
      </c>
      <c r="F342" s="22" t="str">
        <f>IFERROR(__xludf.DUMMYFUNCTION("""COMPUTED_VALUE"""),"San")</f>
        <v>San</v>
      </c>
      <c r="G342" s="22" t="str">
        <f>IFERROR(__xludf.DUMMYFUNCTION("""COMPUTED_VALUE"""),"Carlos")</f>
        <v>Carlos</v>
      </c>
      <c r="H342" s="22" t="str">
        <f>IFERROR(__xludf.DUMMYFUNCTION("""COMPUTED_VALUE"""),"Dr
Dallas,")</f>
        <v>Dr
Dallas,</v>
      </c>
      <c r="I342" s="22" t="str">
        <f>IFERROR(__xludf.DUMMYFUNCTION("""COMPUTED_VALUE"""),"TX")</f>
        <v>TX</v>
      </c>
      <c r="J342" s="22">
        <f>IFERROR(__xludf.DUMMYFUNCTION("""COMPUTED_VALUE"""),75205.0)</f>
        <v>75205</v>
      </c>
      <c r="K342" s="22"/>
      <c r="L342" s="22"/>
      <c r="M342" s="22"/>
      <c r="N342" s="22"/>
      <c r="O342" s="22"/>
      <c r="P342" s="22"/>
      <c r="Q342" s="22"/>
      <c r="R342" s="22"/>
      <c r="S342" s="22"/>
      <c r="T342" s="22"/>
      <c r="U342" s="24" t="str">
        <f>IFERROR(__xludf.DUMMYFUNCTION("SPLIT(E342,""01234567890"")"),"Thomas
")</f>
        <v>Thomas
</v>
      </c>
      <c r="V342" s="24" t="str">
        <f>IFERROR(__xludf.DUMMYFUNCTION("SPLIT(D342,"","")"),"Russell")</f>
        <v>Russell</v>
      </c>
      <c r="W342" s="25" t="str">
        <f t="shared" si="1"/>
        <v>THOMAS
 RUSSELL</v>
      </c>
      <c r="X342" s="25" t="s">
        <v>947</v>
      </c>
      <c r="Y342" s="25">
        <v>75205.0</v>
      </c>
      <c r="Z342" s="25" t="str">
        <f>IFERROR(__xludf.DUMMYFUNCTION("SPLIT(C342,""
"")"),"Russell, Thomas")</f>
        <v>Russell, Thomas</v>
      </c>
      <c r="AA342" s="25" t="str">
        <f>IFERROR(__xludf.DUMMYFUNCTION("""COMPUTED_VALUE"""),"4425 San Carlos Dr")</f>
        <v>4425 San Carlos Dr</v>
      </c>
      <c r="AB342" s="25" t="str">
        <f>IFERROR(__xludf.DUMMYFUNCTION("""COMPUTED_VALUE"""),"Dallas, TX 75205")</f>
        <v>Dallas, TX 75205</v>
      </c>
      <c r="AC342" s="24" t="s">
        <v>948</v>
      </c>
      <c r="AD342" s="25"/>
      <c r="AE342" s="25"/>
      <c r="AF342" s="25"/>
      <c r="AG342" s="22" t="s">
        <v>60</v>
      </c>
      <c r="AH342" s="54">
        <v>2437.0</v>
      </c>
      <c r="AI342" s="22" t="s">
        <v>61</v>
      </c>
      <c r="AJ342" s="27">
        <v>250.0</v>
      </c>
      <c r="AK342" s="31" t="s">
        <v>25</v>
      </c>
      <c r="AL342" s="28">
        <v>44725.0</v>
      </c>
      <c r="AM342" s="29">
        <v>44754.83237268519</v>
      </c>
      <c r="AN342" s="30">
        <v>2.0</v>
      </c>
      <c r="AO342" s="22"/>
      <c r="AP342" s="22"/>
      <c r="AQ342" s="22"/>
      <c r="AR342" s="22"/>
      <c r="AS342" s="22"/>
      <c r="AT342" s="70"/>
      <c r="AU342" s="22"/>
      <c r="AV342" s="57" t="str">
        <f>IFERROR(__xludf.DUMMYFUNCTION("""COMPUTED_VALUE"""),"Mihalopolous")</f>
        <v>Mihalopolous</v>
      </c>
      <c r="AW342" s="46">
        <f t="shared" si="7"/>
        <v>1000</v>
      </c>
      <c r="AX342" s="47">
        <f t="shared" ref="AX342:BQ342" si="1136">SUMIFS($AJ:$AJ,$V:$V,$AV342,$AK:$AK,AX$2)</f>
        <v>0</v>
      </c>
      <c r="AY342" s="48">
        <f t="shared" si="1136"/>
        <v>0</v>
      </c>
      <c r="AZ342" s="48">
        <f t="shared" si="1136"/>
        <v>0</v>
      </c>
      <c r="BA342" s="48">
        <f t="shared" si="1136"/>
        <v>1000</v>
      </c>
      <c r="BB342" s="48">
        <f t="shared" si="1136"/>
        <v>0</v>
      </c>
      <c r="BC342" s="48">
        <f t="shared" si="1136"/>
        <v>0</v>
      </c>
      <c r="BD342" s="48">
        <f t="shared" si="1136"/>
        <v>0</v>
      </c>
      <c r="BE342" s="48">
        <f t="shared" si="1136"/>
        <v>0</v>
      </c>
      <c r="BF342" s="48">
        <f t="shared" si="1136"/>
        <v>0</v>
      </c>
      <c r="BG342" s="48">
        <f t="shared" si="1136"/>
        <v>0</v>
      </c>
      <c r="BH342" s="48">
        <f t="shared" si="1136"/>
        <v>0</v>
      </c>
      <c r="BI342" s="48">
        <f t="shared" si="1136"/>
        <v>0</v>
      </c>
      <c r="BJ342" s="48">
        <f t="shared" si="1136"/>
        <v>0</v>
      </c>
      <c r="BK342" s="48">
        <f t="shared" si="1136"/>
        <v>0</v>
      </c>
      <c r="BL342" s="48">
        <f t="shared" si="1136"/>
        <v>0</v>
      </c>
      <c r="BM342" s="48">
        <f t="shared" si="1136"/>
        <v>0</v>
      </c>
      <c r="BN342" s="48">
        <f t="shared" si="1136"/>
        <v>0</v>
      </c>
      <c r="BO342" s="48">
        <f t="shared" si="1136"/>
        <v>0</v>
      </c>
      <c r="BP342" s="48">
        <f t="shared" si="1136"/>
        <v>0</v>
      </c>
      <c r="BQ342" s="48">
        <f t="shared" si="1136"/>
        <v>0</v>
      </c>
      <c r="BR342" s="36">
        <f t="shared" si="9"/>
        <v>0</v>
      </c>
      <c r="BS342" s="38">
        <f t="shared" si="10"/>
        <v>1</v>
      </c>
      <c r="BT342" s="49">
        <f t="shared" si="11"/>
        <v>0</v>
      </c>
      <c r="BU342" s="38">
        <f t="shared" si="12"/>
        <v>1000</v>
      </c>
      <c r="BV342" s="57" t="str">
        <f>IFERROR(__xludf.DUMMYFUNCTION("""COMPUTED_VALUE"""),"Mihalopolous")</f>
        <v>Mihalopolous</v>
      </c>
      <c r="BW342" s="46">
        <f t="shared" si="13"/>
        <v>1000</v>
      </c>
      <c r="BX342" s="47">
        <f t="shared" ref="BX342:CA342" si="1137">AX342-$BU342</f>
        <v>-1000</v>
      </c>
      <c r="BY342" s="47">
        <f t="shared" si="1137"/>
        <v>-1000</v>
      </c>
      <c r="BZ342" s="47">
        <f t="shared" si="1137"/>
        <v>-1000</v>
      </c>
      <c r="CA342" s="47">
        <f t="shared" si="1137"/>
        <v>0</v>
      </c>
      <c r="CB342" s="47">
        <f t="shared" si="15"/>
        <v>-10000</v>
      </c>
      <c r="CC342" s="47">
        <f t="shared" ref="CC342:CQ342" si="1138">BC342-$BU342</f>
        <v>-1000</v>
      </c>
      <c r="CD342" s="47">
        <f t="shared" si="1138"/>
        <v>-1000</v>
      </c>
      <c r="CE342" s="47">
        <f t="shared" si="1138"/>
        <v>-1000</v>
      </c>
      <c r="CF342" s="47">
        <f t="shared" si="1138"/>
        <v>-1000</v>
      </c>
      <c r="CG342" s="47">
        <f t="shared" si="1138"/>
        <v>-1000</v>
      </c>
      <c r="CH342" s="47">
        <f t="shared" si="1138"/>
        <v>-1000</v>
      </c>
      <c r="CI342" s="47">
        <f t="shared" si="1138"/>
        <v>-1000</v>
      </c>
      <c r="CJ342" s="47">
        <f t="shared" si="1138"/>
        <v>-1000</v>
      </c>
      <c r="CK342" s="47">
        <f t="shared" si="1138"/>
        <v>-1000</v>
      </c>
      <c r="CL342" s="47">
        <f t="shared" si="1138"/>
        <v>-1000</v>
      </c>
      <c r="CM342" s="47">
        <f t="shared" si="1138"/>
        <v>-1000</v>
      </c>
      <c r="CN342" s="47">
        <f t="shared" si="1138"/>
        <v>-1000</v>
      </c>
      <c r="CO342" s="47">
        <f t="shared" si="1138"/>
        <v>-1000</v>
      </c>
      <c r="CP342" s="47">
        <f t="shared" si="1138"/>
        <v>-1000</v>
      </c>
      <c r="CQ342" s="47">
        <f t="shared" si="1138"/>
        <v>-1000</v>
      </c>
      <c r="CR342" s="47"/>
      <c r="CS342" s="47"/>
      <c r="CT342" s="47"/>
      <c r="CU342" s="50" t="str">
        <f>IFERROR(__xludf.DUMMYFUNCTION("""COMPUTED_VALUE"""),"e Pierce
6425 Belmead Dr
Dallas, TX 75230         ")</f>
        <v>e Pierce
6425 Belmead Dr
Dallas, TX 75230         </v>
      </c>
      <c r="CV342" s="51">
        <f>IFERROR(__xludf.DUMMYFUNCTION("IF(REGEXMATCH(UPPER(CU342), ""TX""),0,1)"),0.0)</f>
        <v>0</v>
      </c>
      <c r="CW342" s="51">
        <f>IFERROR(__xludf.DUMMYFUNCTION("IF(REGEXMATCH(UPPER(CU342), ""DALLAS""),0,1)"),0.0)</f>
        <v>0</v>
      </c>
      <c r="CX342" s="51">
        <f t="shared" si="17"/>
        <v>0</v>
      </c>
      <c r="CY342" s="51">
        <f t="shared" si="18"/>
        <v>0</v>
      </c>
      <c r="CZ342" s="52" t="str">
        <f t="shared" si="19"/>
        <v/>
      </c>
      <c r="DA342" s="58"/>
      <c r="DB342" s="52"/>
      <c r="DC342" s="52"/>
      <c r="DD342" s="52"/>
      <c r="DE342" s="52"/>
      <c r="DF342" s="52"/>
      <c r="DG342" s="52"/>
      <c r="DH342" s="52"/>
      <c r="DI342" s="52"/>
      <c r="DJ342" s="52"/>
      <c r="DK342" s="52"/>
      <c r="DL342" s="52"/>
      <c r="DM342" s="52"/>
      <c r="DN342" s="52"/>
      <c r="DO342" s="52"/>
      <c r="DP342" s="52"/>
      <c r="DQ342" s="52"/>
      <c r="DR342" s="52"/>
      <c r="DS342" s="52"/>
      <c r="DT342" s="52"/>
      <c r="DU342" s="52"/>
      <c r="DV342" s="52"/>
      <c r="DW342" s="52"/>
    </row>
    <row r="343">
      <c r="A343" s="41" t="s">
        <v>64</v>
      </c>
      <c r="B343" s="41" t="s">
        <v>56</v>
      </c>
      <c r="C343" s="31" t="s">
        <v>949</v>
      </c>
      <c r="D343" s="25" t="str">
        <f>IFERROR(__xludf.DUMMYFUNCTION("SPLIT(C343,"" "")"),"Dym,")</f>
        <v>Dym,</v>
      </c>
      <c r="E343" s="40" t="str">
        <f>IFERROR(__xludf.DUMMYFUNCTION("""COMPUTED_VALUE"""),"Kevin
7928")</f>
        <v>Kevin
7928</v>
      </c>
      <c r="F343" s="40" t="str">
        <f>IFERROR(__xludf.DUMMYFUNCTION("""COMPUTED_VALUE"""),"Fallmeadow")</f>
        <v>Fallmeadow</v>
      </c>
      <c r="G343" s="40" t="str">
        <f>IFERROR(__xludf.DUMMYFUNCTION("""COMPUTED_VALUE"""),"Ln
Dallas,")</f>
        <v>Ln
Dallas,</v>
      </c>
      <c r="H343" s="40" t="str">
        <f>IFERROR(__xludf.DUMMYFUNCTION("""COMPUTED_VALUE"""),"TX")</f>
        <v>TX</v>
      </c>
      <c r="I343" s="40">
        <f>IFERROR(__xludf.DUMMYFUNCTION("""COMPUTED_VALUE"""),75248.0)</f>
        <v>75248</v>
      </c>
      <c r="J343" s="40"/>
      <c r="K343" s="40"/>
      <c r="L343" s="40"/>
      <c r="M343" s="40"/>
      <c r="N343" s="40"/>
      <c r="O343" s="40"/>
      <c r="P343" s="40"/>
      <c r="Q343" s="40"/>
      <c r="R343" s="40"/>
      <c r="S343" s="40"/>
      <c r="T343" s="40"/>
      <c r="U343" s="24" t="str">
        <f>IFERROR(__xludf.DUMMYFUNCTION("SPLIT(E343,""01234567890"")"),"Kevin
")</f>
        <v>Kevin
</v>
      </c>
      <c r="V343" s="24" t="str">
        <f>IFERROR(__xludf.DUMMYFUNCTION("SPLIT(D343,"","")"),"Dym")</f>
        <v>Dym</v>
      </c>
      <c r="W343" s="25" t="str">
        <f t="shared" si="1"/>
        <v>KEVIN
 DYM</v>
      </c>
      <c r="X343" s="25" t="s">
        <v>950</v>
      </c>
      <c r="Y343" s="25">
        <v>75248.0</v>
      </c>
      <c r="Z343" s="25" t="str">
        <f>IFERROR(__xludf.DUMMYFUNCTION("SPLIT(C343,""
"")"),"Dym, Kevin")</f>
        <v>Dym, Kevin</v>
      </c>
      <c r="AA343" s="25" t="str">
        <f>IFERROR(__xludf.DUMMYFUNCTION("""COMPUTED_VALUE"""),"7928 Fallmeadow Ln")</f>
        <v>7928 Fallmeadow Ln</v>
      </c>
      <c r="AB343" s="25" t="str">
        <f>IFERROR(__xludf.DUMMYFUNCTION("""COMPUTED_VALUE"""),"Dallas, TX 75248")</f>
        <v>Dallas, TX 75248</v>
      </c>
      <c r="AC343" s="24" t="s">
        <v>951</v>
      </c>
      <c r="AD343" s="25"/>
      <c r="AE343" s="25"/>
      <c r="AF343" s="25"/>
      <c r="AG343" s="40" t="s">
        <v>60</v>
      </c>
      <c r="AH343" s="42">
        <v>2437.0</v>
      </c>
      <c r="AI343" s="40" t="s">
        <v>61</v>
      </c>
      <c r="AJ343" s="27">
        <v>250.0</v>
      </c>
      <c r="AK343" s="31" t="s">
        <v>25</v>
      </c>
      <c r="AL343" s="43">
        <v>44725.0</v>
      </c>
      <c r="AM343" s="44">
        <v>44754.83237268519</v>
      </c>
      <c r="AN343" s="30">
        <v>2.0</v>
      </c>
      <c r="AO343" s="40"/>
      <c r="AP343" s="40"/>
      <c r="AQ343" s="40"/>
      <c r="AR343" s="40"/>
      <c r="AS343" s="40"/>
      <c r="AT343" s="47"/>
      <c r="AU343" s="40"/>
      <c r="AV343" s="46" t="str">
        <f>IFERROR(__xludf.DUMMYFUNCTION("""COMPUTED_VALUE"""),"Forsyth")</f>
        <v>Forsyth</v>
      </c>
      <c r="AW343" s="46">
        <f t="shared" si="7"/>
        <v>500</v>
      </c>
      <c r="AX343" s="47">
        <f t="shared" ref="AX343:BQ343" si="1139">SUMIFS($AJ:$AJ,$V:$V,$AV343,$AK:$AK,AX$2)</f>
        <v>0</v>
      </c>
      <c r="AY343" s="48">
        <f t="shared" si="1139"/>
        <v>0</v>
      </c>
      <c r="AZ343" s="48">
        <f t="shared" si="1139"/>
        <v>0</v>
      </c>
      <c r="BA343" s="48">
        <f t="shared" si="1139"/>
        <v>500</v>
      </c>
      <c r="BB343" s="48">
        <f t="shared" si="1139"/>
        <v>0</v>
      </c>
      <c r="BC343" s="48">
        <f t="shared" si="1139"/>
        <v>0</v>
      </c>
      <c r="BD343" s="48">
        <f t="shared" si="1139"/>
        <v>0</v>
      </c>
      <c r="BE343" s="48">
        <f t="shared" si="1139"/>
        <v>0</v>
      </c>
      <c r="BF343" s="48">
        <f t="shared" si="1139"/>
        <v>0</v>
      </c>
      <c r="BG343" s="48">
        <f t="shared" si="1139"/>
        <v>0</v>
      </c>
      <c r="BH343" s="48">
        <f t="shared" si="1139"/>
        <v>0</v>
      </c>
      <c r="BI343" s="48">
        <f t="shared" si="1139"/>
        <v>0</v>
      </c>
      <c r="BJ343" s="48">
        <f t="shared" si="1139"/>
        <v>0</v>
      </c>
      <c r="BK343" s="48">
        <f t="shared" si="1139"/>
        <v>0</v>
      </c>
      <c r="BL343" s="48">
        <f t="shared" si="1139"/>
        <v>0</v>
      </c>
      <c r="BM343" s="48">
        <f t="shared" si="1139"/>
        <v>0</v>
      </c>
      <c r="BN343" s="48">
        <f t="shared" si="1139"/>
        <v>0</v>
      </c>
      <c r="BO343" s="48">
        <f t="shared" si="1139"/>
        <v>0</v>
      </c>
      <c r="BP343" s="48">
        <f t="shared" si="1139"/>
        <v>0</v>
      </c>
      <c r="BQ343" s="48">
        <f t="shared" si="1139"/>
        <v>0</v>
      </c>
      <c r="BR343" s="36">
        <f t="shared" si="9"/>
        <v>0</v>
      </c>
      <c r="BS343" s="38">
        <f t="shared" si="10"/>
        <v>1</v>
      </c>
      <c r="BT343" s="49">
        <f t="shared" si="11"/>
        <v>0</v>
      </c>
      <c r="BU343" s="38">
        <f t="shared" si="12"/>
        <v>1000</v>
      </c>
      <c r="BV343" s="46" t="str">
        <f>IFERROR(__xludf.DUMMYFUNCTION("""COMPUTED_VALUE"""),"Forsyth")</f>
        <v>Forsyth</v>
      </c>
      <c r="BW343" s="46">
        <f t="shared" si="13"/>
        <v>500</v>
      </c>
      <c r="BX343" s="47">
        <f t="shared" ref="BX343:CA343" si="1140">AX343-$BU343</f>
        <v>-1000</v>
      </c>
      <c r="BY343" s="47">
        <f t="shared" si="1140"/>
        <v>-1000</v>
      </c>
      <c r="BZ343" s="47">
        <f t="shared" si="1140"/>
        <v>-1000</v>
      </c>
      <c r="CA343" s="47">
        <f t="shared" si="1140"/>
        <v>-500</v>
      </c>
      <c r="CB343" s="47">
        <f t="shared" si="15"/>
        <v>-10000</v>
      </c>
      <c r="CC343" s="47">
        <f t="shared" ref="CC343:CQ343" si="1141">BC343-$BU343</f>
        <v>-1000</v>
      </c>
      <c r="CD343" s="47">
        <f t="shared" si="1141"/>
        <v>-1000</v>
      </c>
      <c r="CE343" s="47">
        <f t="shared" si="1141"/>
        <v>-1000</v>
      </c>
      <c r="CF343" s="47">
        <f t="shared" si="1141"/>
        <v>-1000</v>
      </c>
      <c r="CG343" s="47">
        <f t="shared" si="1141"/>
        <v>-1000</v>
      </c>
      <c r="CH343" s="47">
        <f t="shared" si="1141"/>
        <v>-1000</v>
      </c>
      <c r="CI343" s="47">
        <f t="shared" si="1141"/>
        <v>-1000</v>
      </c>
      <c r="CJ343" s="47">
        <f t="shared" si="1141"/>
        <v>-1000</v>
      </c>
      <c r="CK343" s="47">
        <f t="shared" si="1141"/>
        <v>-1000</v>
      </c>
      <c r="CL343" s="47">
        <f t="shared" si="1141"/>
        <v>-1000</v>
      </c>
      <c r="CM343" s="47">
        <f t="shared" si="1141"/>
        <v>-1000</v>
      </c>
      <c r="CN343" s="47">
        <f t="shared" si="1141"/>
        <v>-1000</v>
      </c>
      <c r="CO343" s="47">
        <f t="shared" si="1141"/>
        <v>-1000</v>
      </c>
      <c r="CP343" s="47">
        <f t="shared" si="1141"/>
        <v>-1000</v>
      </c>
      <c r="CQ343" s="47">
        <f t="shared" si="1141"/>
        <v>-1000</v>
      </c>
      <c r="CR343" s="47"/>
      <c r="CS343" s="47"/>
      <c r="CT343" s="47"/>
      <c r="CU343" s="50" t="str">
        <f>IFERROR(__xludf.DUMMYFUNCTION("""COMPUTED_VALUE"""),"7008 Merrilee Ln
Dallas, TX 75214          ")</f>
        <v>7008 Merrilee Ln
Dallas, TX 75214          </v>
      </c>
      <c r="CV343" s="51">
        <f>IFERROR(__xludf.DUMMYFUNCTION("IF(REGEXMATCH(UPPER(CU343), ""TX""),0,1)"),0.0)</f>
        <v>0</v>
      </c>
      <c r="CW343" s="51">
        <f>IFERROR(__xludf.DUMMYFUNCTION("IF(REGEXMATCH(UPPER(CU343), ""DALLAS""),0,1)"),0.0)</f>
        <v>0</v>
      </c>
      <c r="CX343" s="51">
        <f t="shared" si="17"/>
        <v>0</v>
      </c>
      <c r="CY343" s="51">
        <f t="shared" si="18"/>
        <v>0</v>
      </c>
      <c r="CZ343" s="52" t="str">
        <f t="shared" si="19"/>
        <v/>
      </c>
      <c r="DA343" s="58"/>
      <c r="DB343" s="52"/>
      <c r="DC343" s="52"/>
      <c r="DD343" s="52"/>
      <c r="DE343" s="52"/>
      <c r="DF343" s="52"/>
      <c r="DG343" s="52"/>
      <c r="DH343" s="52"/>
      <c r="DI343" s="52"/>
      <c r="DJ343" s="52"/>
      <c r="DK343" s="52"/>
      <c r="DL343" s="52"/>
      <c r="DM343" s="52"/>
      <c r="DN343" s="52"/>
      <c r="DO343" s="52"/>
      <c r="DP343" s="52"/>
      <c r="DQ343" s="52"/>
      <c r="DR343" s="52"/>
      <c r="DS343" s="52"/>
      <c r="DT343" s="52"/>
      <c r="DU343" s="52"/>
      <c r="DV343" s="52"/>
      <c r="DW343" s="52"/>
    </row>
    <row r="344">
      <c r="A344" s="22" t="s">
        <v>55</v>
      </c>
      <c r="B344" s="23" t="s">
        <v>56</v>
      </c>
      <c r="C344" s="31" t="s">
        <v>952</v>
      </c>
      <c r="D344" s="25" t="str">
        <f>IFERROR(__xludf.DUMMYFUNCTION("SPLIT(C344,"" "")"),"Stauffer,")</f>
        <v>Stauffer,</v>
      </c>
      <c r="E344" s="22" t="str">
        <f>IFERROR(__xludf.DUMMYFUNCTION("""COMPUTED_VALUE"""),"Brett
2920")</f>
        <v>Brett
2920</v>
      </c>
      <c r="F344" s="22" t="str">
        <f>IFERROR(__xludf.DUMMYFUNCTION("""COMPUTED_VALUE"""),"State")</f>
        <v>State</v>
      </c>
      <c r="G344" s="22" t="str">
        <f>IFERROR(__xludf.DUMMYFUNCTION("""COMPUTED_VALUE"""),"Street
Dallas,")</f>
        <v>Street
Dallas,</v>
      </c>
      <c r="H344" s="22" t="str">
        <f>IFERROR(__xludf.DUMMYFUNCTION("""COMPUTED_VALUE"""),"TX")</f>
        <v>TX</v>
      </c>
      <c r="I344" s="22">
        <f>IFERROR(__xludf.DUMMYFUNCTION("""COMPUTED_VALUE"""),75204.0)</f>
        <v>75204</v>
      </c>
      <c r="J344" s="22"/>
      <c r="K344" s="22"/>
      <c r="L344" s="22"/>
      <c r="M344" s="22"/>
      <c r="N344" s="22"/>
      <c r="O344" s="22"/>
      <c r="P344" s="22"/>
      <c r="Q344" s="22"/>
      <c r="R344" s="22"/>
      <c r="S344" s="22"/>
      <c r="T344" s="22"/>
      <c r="U344" s="24" t="str">
        <f>IFERROR(__xludf.DUMMYFUNCTION("SPLIT(E344,""01234567890"")"),"Brett
")</f>
        <v>Brett
</v>
      </c>
      <c r="V344" s="24" t="str">
        <f>IFERROR(__xludf.DUMMYFUNCTION("SPLIT(D344,"","")"),"Stauffer")</f>
        <v>Stauffer</v>
      </c>
      <c r="W344" s="25" t="str">
        <f t="shared" si="1"/>
        <v>BRETT
 STAUFFER</v>
      </c>
      <c r="X344" s="25" t="s">
        <v>953</v>
      </c>
      <c r="Y344" s="25">
        <v>75204.0</v>
      </c>
      <c r="Z344" s="25" t="str">
        <f>IFERROR(__xludf.DUMMYFUNCTION("SPLIT(C344,""
"")"),"Stauffer, Brett")</f>
        <v>Stauffer, Brett</v>
      </c>
      <c r="AA344" s="25" t="str">
        <f>IFERROR(__xludf.DUMMYFUNCTION("""COMPUTED_VALUE"""),"2920 State Street")</f>
        <v>2920 State Street</v>
      </c>
      <c r="AB344" s="25" t="str">
        <f>IFERROR(__xludf.DUMMYFUNCTION("""COMPUTED_VALUE"""),"Dallas, TX 75204")</f>
        <v>Dallas, TX 75204</v>
      </c>
      <c r="AC344" s="24" t="s">
        <v>954</v>
      </c>
      <c r="AD344" s="25"/>
      <c r="AE344" s="25"/>
      <c r="AF344" s="25"/>
      <c r="AG344" s="22" t="s">
        <v>60</v>
      </c>
      <c r="AH344" s="54">
        <v>2437.0</v>
      </c>
      <c r="AI344" s="22" t="s">
        <v>61</v>
      </c>
      <c r="AJ344" s="27">
        <v>250.0</v>
      </c>
      <c r="AK344" s="31" t="s">
        <v>25</v>
      </c>
      <c r="AL344" s="28">
        <v>44724.0</v>
      </c>
      <c r="AM344" s="29">
        <v>44754.83237268519</v>
      </c>
      <c r="AN344" s="30">
        <v>2.0</v>
      </c>
      <c r="AO344" s="22"/>
      <c r="AP344" s="22"/>
      <c r="AQ344" s="22"/>
      <c r="AR344" s="22"/>
      <c r="AS344" s="22"/>
      <c r="AT344" s="70"/>
      <c r="AU344" s="22"/>
      <c r="AV344" s="57" t="str">
        <f>IFERROR(__xludf.DUMMYFUNCTION("""COMPUTED_VALUE"""),"Fulton")</f>
        <v>Fulton</v>
      </c>
      <c r="AW344" s="46">
        <f t="shared" si="7"/>
        <v>500</v>
      </c>
      <c r="AX344" s="47">
        <f t="shared" ref="AX344:BQ344" si="1142">SUMIFS($AJ:$AJ,$V:$V,$AV344,$AK:$AK,AX$2)</f>
        <v>0</v>
      </c>
      <c r="AY344" s="48">
        <f t="shared" si="1142"/>
        <v>0</v>
      </c>
      <c r="AZ344" s="48">
        <f t="shared" si="1142"/>
        <v>0</v>
      </c>
      <c r="BA344" s="48">
        <f t="shared" si="1142"/>
        <v>500</v>
      </c>
      <c r="BB344" s="48">
        <f t="shared" si="1142"/>
        <v>0</v>
      </c>
      <c r="BC344" s="48">
        <f t="shared" si="1142"/>
        <v>0</v>
      </c>
      <c r="BD344" s="48">
        <f t="shared" si="1142"/>
        <v>0</v>
      </c>
      <c r="BE344" s="48">
        <f t="shared" si="1142"/>
        <v>0</v>
      </c>
      <c r="BF344" s="48">
        <f t="shared" si="1142"/>
        <v>0</v>
      </c>
      <c r="BG344" s="48">
        <f t="shared" si="1142"/>
        <v>0</v>
      </c>
      <c r="BH344" s="48">
        <f t="shared" si="1142"/>
        <v>0</v>
      </c>
      <c r="BI344" s="48">
        <f t="shared" si="1142"/>
        <v>0</v>
      </c>
      <c r="BJ344" s="48">
        <f t="shared" si="1142"/>
        <v>0</v>
      </c>
      <c r="BK344" s="48">
        <f t="shared" si="1142"/>
        <v>0</v>
      </c>
      <c r="BL344" s="48">
        <f t="shared" si="1142"/>
        <v>0</v>
      </c>
      <c r="BM344" s="48">
        <f t="shared" si="1142"/>
        <v>0</v>
      </c>
      <c r="BN344" s="48">
        <f t="shared" si="1142"/>
        <v>0</v>
      </c>
      <c r="BO344" s="48">
        <f t="shared" si="1142"/>
        <v>0</v>
      </c>
      <c r="BP344" s="48">
        <f t="shared" si="1142"/>
        <v>0</v>
      </c>
      <c r="BQ344" s="48">
        <f t="shared" si="1142"/>
        <v>0</v>
      </c>
      <c r="BR344" s="36">
        <f t="shared" si="9"/>
        <v>0</v>
      </c>
      <c r="BS344" s="38">
        <f t="shared" si="10"/>
        <v>1</v>
      </c>
      <c r="BT344" s="49">
        <f t="shared" si="11"/>
        <v>0</v>
      </c>
      <c r="BU344" s="38">
        <f t="shared" si="12"/>
        <v>1000</v>
      </c>
      <c r="BV344" s="57" t="str">
        <f>IFERROR(__xludf.DUMMYFUNCTION("""COMPUTED_VALUE"""),"Fulton")</f>
        <v>Fulton</v>
      </c>
      <c r="BW344" s="46">
        <f t="shared" si="13"/>
        <v>500</v>
      </c>
      <c r="BX344" s="47">
        <f t="shared" ref="BX344:CA344" si="1143">AX344-$BU344</f>
        <v>-1000</v>
      </c>
      <c r="BY344" s="47">
        <f t="shared" si="1143"/>
        <v>-1000</v>
      </c>
      <c r="BZ344" s="47">
        <f t="shared" si="1143"/>
        <v>-1000</v>
      </c>
      <c r="CA344" s="47">
        <f t="shared" si="1143"/>
        <v>-500</v>
      </c>
      <c r="CB344" s="47">
        <f t="shared" si="15"/>
        <v>-10000</v>
      </c>
      <c r="CC344" s="47">
        <f t="shared" ref="CC344:CQ344" si="1144">BC344-$BU344</f>
        <v>-1000</v>
      </c>
      <c r="CD344" s="47">
        <f t="shared" si="1144"/>
        <v>-1000</v>
      </c>
      <c r="CE344" s="47">
        <f t="shared" si="1144"/>
        <v>-1000</v>
      </c>
      <c r="CF344" s="47">
        <f t="shared" si="1144"/>
        <v>-1000</v>
      </c>
      <c r="CG344" s="47">
        <f t="shared" si="1144"/>
        <v>-1000</v>
      </c>
      <c r="CH344" s="47">
        <f t="shared" si="1144"/>
        <v>-1000</v>
      </c>
      <c r="CI344" s="47">
        <f t="shared" si="1144"/>
        <v>-1000</v>
      </c>
      <c r="CJ344" s="47">
        <f t="shared" si="1144"/>
        <v>-1000</v>
      </c>
      <c r="CK344" s="47">
        <f t="shared" si="1144"/>
        <v>-1000</v>
      </c>
      <c r="CL344" s="47">
        <f t="shared" si="1144"/>
        <v>-1000</v>
      </c>
      <c r="CM344" s="47">
        <f t="shared" si="1144"/>
        <v>-1000</v>
      </c>
      <c r="CN344" s="47">
        <f t="shared" si="1144"/>
        <v>-1000</v>
      </c>
      <c r="CO344" s="47">
        <f t="shared" si="1144"/>
        <v>-1000</v>
      </c>
      <c r="CP344" s="47">
        <f t="shared" si="1144"/>
        <v>-1000</v>
      </c>
      <c r="CQ344" s="47">
        <f t="shared" si="1144"/>
        <v>-1000</v>
      </c>
      <c r="CR344" s="47"/>
      <c r="CS344" s="47"/>
      <c r="CT344" s="47"/>
      <c r="CU344" s="50" t="str">
        <f>IFERROR(__xludf.DUMMYFUNCTION("""COMPUTED_VALUE"""),"4 Ryddington Pl
Dallas, TX 75230          ")</f>
        <v>4 Ryddington Pl
Dallas, TX 75230          </v>
      </c>
      <c r="CV344" s="51">
        <f>IFERROR(__xludf.DUMMYFUNCTION("IF(REGEXMATCH(UPPER(CU344), ""TX""),0,1)"),0.0)</f>
        <v>0</v>
      </c>
      <c r="CW344" s="51">
        <f>IFERROR(__xludf.DUMMYFUNCTION("IF(REGEXMATCH(UPPER(CU344), ""DALLAS""),0,1)"),0.0)</f>
        <v>0</v>
      </c>
      <c r="CX344" s="51">
        <f t="shared" si="17"/>
        <v>0</v>
      </c>
      <c r="CY344" s="51">
        <f t="shared" si="18"/>
        <v>0</v>
      </c>
      <c r="CZ344" s="52" t="str">
        <f t="shared" si="19"/>
        <v/>
      </c>
      <c r="DA344" s="58"/>
      <c r="DB344" s="52"/>
      <c r="DC344" s="52"/>
      <c r="DD344" s="52"/>
      <c r="DE344" s="52"/>
      <c r="DF344" s="52"/>
      <c r="DG344" s="52"/>
      <c r="DH344" s="52"/>
      <c r="DI344" s="52"/>
      <c r="DJ344" s="52"/>
      <c r="DK344" s="52"/>
      <c r="DL344" s="52"/>
      <c r="DM344" s="52"/>
      <c r="DN344" s="52"/>
      <c r="DO344" s="52"/>
      <c r="DP344" s="52"/>
      <c r="DQ344" s="52"/>
      <c r="DR344" s="52"/>
      <c r="DS344" s="52"/>
      <c r="DT344" s="52"/>
      <c r="DU344" s="52"/>
      <c r="DV344" s="52"/>
      <c r="DW344" s="52"/>
    </row>
    <row r="345">
      <c r="A345" s="41" t="s">
        <v>64</v>
      </c>
      <c r="B345" s="41" t="s">
        <v>56</v>
      </c>
      <c r="C345" s="31" t="s">
        <v>955</v>
      </c>
      <c r="D345" s="25" t="str">
        <f>IFERROR(__xludf.DUMMYFUNCTION("SPLIT(C345,"" "")"),"Davis,")</f>
        <v>Davis,</v>
      </c>
      <c r="E345" s="40" t="str">
        <f>IFERROR(__xludf.DUMMYFUNCTION("""COMPUTED_VALUE"""),"Denise
58")</f>
        <v>Denise
58</v>
      </c>
      <c r="F345" s="40" t="str">
        <f>IFERROR(__xludf.DUMMYFUNCTION("""COMPUTED_VALUE"""),"Country")</f>
        <v>Country</v>
      </c>
      <c r="G345" s="40" t="str">
        <f>IFERROR(__xludf.DUMMYFUNCTION("""COMPUTED_VALUE"""),"Oaks")</f>
        <v>Oaks</v>
      </c>
      <c r="H345" s="40" t="str">
        <f>IFERROR(__xludf.DUMMYFUNCTION("""COMPUTED_VALUE"""),"Dr
Buda,")</f>
        <v>Dr
Buda,</v>
      </c>
      <c r="I345" s="40" t="str">
        <f>IFERROR(__xludf.DUMMYFUNCTION("""COMPUTED_VALUE"""),"TX")</f>
        <v>TX</v>
      </c>
      <c r="J345" s="40">
        <f>IFERROR(__xludf.DUMMYFUNCTION("""COMPUTED_VALUE"""),78610.0)</f>
        <v>78610</v>
      </c>
      <c r="K345" s="40"/>
      <c r="L345" s="40"/>
      <c r="M345" s="40"/>
      <c r="N345" s="40"/>
      <c r="O345" s="40"/>
      <c r="P345" s="40"/>
      <c r="Q345" s="40"/>
      <c r="R345" s="40"/>
      <c r="S345" s="40"/>
      <c r="T345" s="40"/>
      <c r="U345" s="24" t="str">
        <f>IFERROR(__xludf.DUMMYFUNCTION("SPLIT(E345,""01234567890"")"),"Denise
")</f>
        <v>Denise
</v>
      </c>
      <c r="V345" s="24" t="str">
        <f>IFERROR(__xludf.DUMMYFUNCTION("SPLIT(D345,"","")"),"Davis")</f>
        <v>Davis</v>
      </c>
      <c r="W345" s="25" t="str">
        <f t="shared" si="1"/>
        <v>DENISE
 DAVIS</v>
      </c>
      <c r="X345" s="25" t="s">
        <v>956</v>
      </c>
      <c r="Y345" s="25">
        <v>78610.0</v>
      </c>
      <c r="Z345" s="25" t="str">
        <f>IFERROR(__xludf.DUMMYFUNCTION("SPLIT(C345,""
"")"),"Davis, Denise")</f>
        <v>Davis, Denise</v>
      </c>
      <c r="AA345" s="25" t="str">
        <f>IFERROR(__xludf.DUMMYFUNCTION("""COMPUTED_VALUE"""),"58 Country Oaks Dr")</f>
        <v>58 Country Oaks Dr</v>
      </c>
      <c r="AB345" s="25" t="str">
        <f>IFERROR(__xludf.DUMMYFUNCTION("""COMPUTED_VALUE"""),"Buda, TX 78610")</f>
        <v>Buda, TX 78610</v>
      </c>
      <c r="AC345" s="24" t="s">
        <v>957</v>
      </c>
      <c r="AD345" s="25"/>
      <c r="AE345" s="25"/>
      <c r="AF345" s="25"/>
      <c r="AG345" s="40" t="s">
        <v>60</v>
      </c>
      <c r="AH345" s="42">
        <v>2437.0</v>
      </c>
      <c r="AI345" s="40" t="s">
        <v>61</v>
      </c>
      <c r="AJ345" s="27">
        <v>800.0</v>
      </c>
      <c r="AK345" s="31" t="s">
        <v>25</v>
      </c>
      <c r="AL345" s="43">
        <v>44724.0</v>
      </c>
      <c r="AM345" s="44">
        <v>44754.83237268519</v>
      </c>
      <c r="AN345" s="30">
        <v>2.0</v>
      </c>
      <c r="AO345" s="40"/>
      <c r="AP345" s="40"/>
      <c r="AQ345" s="40"/>
      <c r="AR345" s="40"/>
      <c r="AS345" s="40"/>
      <c r="AT345" s="47"/>
      <c r="AU345" s="40"/>
      <c r="AV345" s="46" t="str">
        <f>IFERROR(__xludf.DUMMYFUNCTION("""COMPUTED_VALUE"""),"Tarpley")</f>
        <v>Tarpley</v>
      </c>
      <c r="AW345" s="46">
        <f t="shared" si="7"/>
        <v>2250</v>
      </c>
      <c r="AX345" s="47">
        <f t="shared" ref="AX345:BQ345" si="1145">SUMIFS($AJ:$AJ,$V:$V,$AV345,$AK:$AK,AX$2)</f>
        <v>0</v>
      </c>
      <c r="AY345" s="48">
        <f t="shared" si="1145"/>
        <v>0</v>
      </c>
      <c r="AZ345" s="48">
        <f t="shared" si="1145"/>
        <v>0</v>
      </c>
      <c r="BA345" s="48">
        <f t="shared" si="1145"/>
        <v>750</v>
      </c>
      <c r="BB345" s="48">
        <f t="shared" si="1145"/>
        <v>1500</v>
      </c>
      <c r="BC345" s="48">
        <f t="shared" si="1145"/>
        <v>0</v>
      </c>
      <c r="BD345" s="48">
        <f t="shared" si="1145"/>
        <v>0</v>
      </c>
      <c r="BE345" s="48">
        <f t="shared" si="1145"/>
        <v>0</v>
      </c>
      <c r="BF345" s="48">
        <f t="shared" si="1145"/>
        <v>0</v>
      </c>
      <c r="BG345" s="48">
        <f t="shared" si="1145"/>
        <v>0</v>
      </c>
      <c r="BH345" s="48">
        <f t="shared" si="1145"/>
        <v>0</v>
      </c>
      <c r="BI345" s="48">
        <f t="shared" si="1145"/>
        <v>0</v>
      </c>
      <c r="BJ345" s="48">
        <f t="shared" si="1145"/>
        <v>0</v>
      </c>
      <c r="BK345" s="48">
        <f t="shared" si="1145"/>
        <v>0</v>
      </c>
      <c r="BL345" s="48">
        <f t="shared" si="1145"/>
        <v>0</v>
      </c>
      <c r="BM345" s="48">
        <f t="shared" si="1145"/>
        <v>0</v>
      </c>
      <c r="BN345" s="48">
        <f t="shared" si="1145"/>
        <v>0</v>
      </c>
      <c r="BO345" s="48">
        <f t="shared" si="1145"/>
        <v>0</v>
      </c>
      <c r="BP345" s="48">
        <f t="shared" si="1145"/>
        <v>0</v>
      </c>
      <c r="BQ345" s="48">
        <f t="shared" si="1145"/>
        <v>0</v>
      </c>
      <c r="BR345" s="36">
        <f t="shared" si="9"/>
        <v>0</v>
      </c>
      <c r="BS345" s="38">
        <f t="shared" si="10"/>
        <v>1</v>
      </c>
      <c r="BT345" s="49">
        <f t="shared" si="11"/>
        <v>0</v>
      </c>
      <c r="BU345" s="38">
        <f t="shared" si="12"/>
        <v>1000</v>
      </c>
      <c r="BV345" s="46" t="str">
        <f>IFERROR(__xludf.DUMMYFUNCTION("""COMPUTED_VALUE"""),"Tarpley")</f>
        <v>Tarpley</v>
      </c>
      <c r="BW345" s="46">
        <f t="shared" si="13"/>
        <v>2250</v>
      </c>
      <c r="BX345" s="47">
        <f t="shared" ref="BX345:CA345" si="1146">AX345-$BU345</f>
        <v>-1000</v>
      </c>
      <c r="BY345" s="47">
        <f t="shared" si="1146"/>
        <v>-1000</v>
      </c>
      <c r="BZ345" s="47">
        <f t="shared" si="1146"/>
        <v>-1000</v>
      </c>
      <c r="CA345" s="47">
        <f t="shared" si="1146"/>
        <v>-250</v>
      </c>
      <c r="CB345" s="47">
        <f t="shared" si="15"/>
        <v>-8500</v>
      </c>
      <c r="CC345" s="47">
        <f t="shared" ref="CC345:CQ345" si="1147">BC345-$BU345</f>
        <v>-1000</v>
      </c>
      <c r="CD345" s="47">
        <f t="shared" si="1147"/>
        <v>-1000</v>
      </c>
      <c r="CE345" s="47">
        <f t="shared" si="1147"/>
        <v>-1000</v>
      </c>
      <c r="CF345" s="47">
        <f t="shared" si="1147"/>
        <v>-1000</v>
      </c>
      <c r="CG345" s="47">
        <f t="shared" si="1147"/>
        <v>-1000</v>
      </c>
      <c r="CH345" s="47">
        <f t="shared" si="1147"/>
        <v>-1000</v>
      </c>
      <c r="CI345" s="47">
        <f t="shared" si="1147"/>
        <v>-1000</v>
      </c>
      <c r="CJ345" s="47">
        <f t="shared" si="1147"/>
        <v>-1000</v>
      </c>
      <c r="CK345" s="47">
        <f t="shared" si="1147"/>
        <v>-1000</v>
      </c>
      <c r="CL345" s="47">
        <f t="shared" si="1147"/>
        <v>-1000</v>
      </c>
      <c r="CM345" s="47">
        <f t="shared" si="1147"/>
        <v>-1000</v>
      </c>
      <c r="CN345" s="47">
        <f t="shared" si="1147"/>
        <v>-1000</v>
      </c>
      <c r="CO345" s="47">
        <f t="shared" si="1147"/>
        <v>-1000</v>
      </c>
      <c r="CP345" s="47">
        <f t="shared" si="1147"/>
        <v>-1000</v>
      </c>
      <c r="CQ345" s="47">
        <f t="shared" si="1147"/>
        <v>-1000</v>
      </c>
      <c r="CR345" s="47"/>
      <c r="CS345" s="47"/>
      <c r="CT345" s="47"/>
      <c r="CU345" s="50" t="str">
        <f>IFERROR(__xludf.DUMMYFUNCTION("""COMPUTED_VALUE"""),"25 Robledo Dr
Dallas, TX 75230          ")</f>
        <v>25 Robledo Dr
Dallas, TX 75230          </v>
      </c>
      <c r="CV345" s="51">
        <f>IFERROR(__xludf.DUMMYFUNCTION("IF(REGEXMATCH(UPPER(CU345), ""TX""),0,1)"),0.0)</f>
        <v>0</v>
      </c>
      <c r="CW345" s="51">
        <f>IFERROR(__xludf.DUMMYFUNCTION("IF(REGEXMATCH(UPPER(CU345), ""DALLAS""),0,1)"),0.0)</f>
        <v>0</v>
      </c>
      <c r="CX345" s="51">
        <f t="shared" si="17"/>
        <v>0</v>
      </c>
      <c r="CY345" s="51">
        <f t="shared" si="18"/>
        <v>0</v>
      </c>
      <c r="CZ345" s="52" t="str">
        <f t="shared" si="19"/>
        <v/>
      </c>
      <c r="DA345" s="58"/>
      <c r="DB345" s="52"/>
      <c r="DC345" s="52"/>
      <c r="DD345" s="52"/>
      <c r="DE345" s="52"/>
      <c r="DF345" s="52"/>
      <c r="DG345" s="52"/>
      <c r="DH345" s="52"/>
      <c r="DI345" s="52"/>
      <c r="DJ345" s="52"/>
      <c r="DK345" s="52"/>
      <c r="DL345" s="52"/>
      <c r="DM345" s="52"/>
      <c r="DN345" s="52"/>
      <c r="DO345" s="52"/>
      <c r="DP345" s="52"/>
      <c r="DQ345" s="52"/>
      <c r="DR345" s="52"/>
      <c r="DS345" s="52"/>
      <c r="DT345" s="52"/>
      <c r="DU345" s="52"/>
      <c r="DV345" s="52"/>
      <c r="DW345" s="52"/>
    </row>
    <row r="346">
      <c r="A346" s="22" t="s">
        <v>55</v>
      </c>
      <c r="B346" s="23" t="s">
        <v>56</v>
      </c>
      <c r="C346" s="31" t="s">
        <v>958</v>
      </c>
      <c r="D346" s="25" t="str">
        <f>IFERROR(__xludf.DUMMYFUNCTION("SPLIT(C346,"" "")"),"Childress,")</f>
        <v>Childress,</v>
      </c>
      <c r="E346" s="22" t="str">
        <f>IFERROR(__xludf.DUMMYFUNCTION("""COMPUTED_VALUE"""),"Anita
8366")</f>
        <v>Anita
8366</v>
      </c>
      <c r="F346" s="22" t="str">
        <f>IFERROR(__xludf.DUMMYFUNCTION("""COMPUTED_VALUE"""),"Santa")</f>
        <v>Santa</v>
      </c>
      <c r="G346" s="22" t="str">
        <f>IFERROR(__xludf.DUMMYFUNCTION("""COMPUTED_VALUE"""),"Clara")</f>
        <v>Clara</v>
      </c>
      <c r="H346" s="22" t="str">
        <f>IFERROR(__xludf.DUMMYFUNCTION("""COMPUTED_VALUE"""),"Dr
Dallas,")</f>
        <v>Dr
Dallas,</v>
      </c>
      <c r="I346" s="22" t="str">
        <f>IFERROR(__xludf.DUMMYFUNCTION("""COMPUTED_VALUE"""),"TX")</f>
        <v>TX</v>
      </c>
      <c r="J346" s="22">
        <f>IFERROR(__xludf.DUMMYFUNCTION("""COMPUTED_VALUE"""),75218.0)</f>
        <v>75218</v>
      </c>
      <c r="K346" s="22"/>
      <c r="L346" s="22"/>
      <c r="M346" s="22"/>
      <c r="N346" s="22"/>
      <c r="O346" s="22"/>
      <c r="P346" s="22"/>
      <c r="Q346" s="22"/>
      <c r="R346" s="22"/>
      <c r="S346" s="22"/>
      <c r="T346" s="22"/>
      <c r="U346" s="24" t="str">
        <f>IFERROR(__xludf.DUMMYFUNCTION("SPLIT(E346,""01234567890"")"),"Anita
")</f>
        <v>Anita
</v>
      </c>
      <c r="V346" s="24" t="str">
        <f>IFERROR(__xludf.DUMMYFUNCTION("SPLIT(D346,"","")"),"Childress")</f>
        <v>Childress</v>
      </c>
      <c r="W346" s="25" t="str">
        <f t="shared" si="1"/>
        <v>ANITA
 CHILDRESS</v>
      </c>
      <c r="X346" s="25" t="s">
        <v>959</v>
      </c>
      <c r="Y346" s="25">
        <v>75218.0</v>
      </c>
      <c r="Z346" s="25" t="str">
        <f>IFERROR(__xludf.DUMMYFUNCTION("SPLIT(C346,""
"")"),"Childress, Anita")</f>
        <v>Childress, Anita</v>
      </c>
      <c r="AA346" s="25" t="str">
        <f>IFERROR(__xludf.DUMMYFUNCTION("""COMPUTED_VALUE"""),"8366 Santa Clara Dr")</f>
        <v>8366 Santa Clara Dr</v>
      </c>
      <c r="AB346" s="25" t="str">
        <f>IFERROR(__xludf.DUMMYFUNCTION("""COMPUTED_VALUE"""),"Dallas, TX 75218")</f>
        <v>Dallas, TX 75218</v>
      </c>
      <c r="AC346" s="24" t="s">
        <v>960</v>
      </c>
      <c r="AD346" s="25"/>
      <c r="AE346" s="25"/>
      <c r="AF346" s="25"/>
      <c r="AG346" s="22" t="s">
        <v>60</v>
      </c>
      <c r="AH346" s="54">
        <v>2437.0</v>
      </c>
      <c r="AI346" s="22" t="s">
        <v>61</v>
      </c>
      <c r="AJ346" s="27">
        <v>350.0</v>
      </c>
      <c r="AK346" s="31" t="s">
        <v>25</v>
      </c>
      <c r="AL346" s="28">
        <v>44723.0</v>
      </c>
      <c r="AM346" s="29">
        <v>44754.83237268519</v>
      </c>
      <c r="AN346" s="30">
        <v>2.0</v>
      </c>
      <c r="AO346" s="22"/>
      <c r="AP346" s="22"/>
      <c r="AQ346" s="22"/>
      <c r="AR346" s="22"/>
      <c r="AS346" s="22"/>
      <c r="AT346" s="70"/>
      <c r="AU346" s="22"/>
      <c r="AV346" s="57" t="str">
        <f>IFERROR(__xludf.DUMMYFUNCTION("""COMPUTED_VALUE"""),"Chase")</f>
        <v>Chase</v>
      </c>
      <c r="AW346" s="46">
        <f t="shared" si="7"/>
        <v>500</v>
      </c>
      <c r="AX346" s="47">
        <f t="shared" ref="AX346:BQ346" si="1148">SUMIFS($AJ:$AJ,$V:$V,$AV346,$AK:$AK,AX$2)</f>
        <v>250</v>
      </c>
      <c r="AY346" s="48">
        <f t="shared" si="1148"/>
        <v>0</v>
      </c>
      <c r="AZ346" s="48">
        <f t="shared" si="1148"/>
        <v>50</v>
      </c>
      <c r="BA346" s="48">
        <f t="shared" si="1148"/>
        <v>200</v>
      </c>
      <c r="BB346" s="48">
        <f t="shared" si="1148"/>
        <v>0</v>
      </c>
      <c r="BC346" s="48">
        <f t="shared" si="1148"/>
        <v>0</v>
      </c>
      <c r="BD346" s="48">
        <f t="shared" si="1148"/>
        <v>0</v>
      </c>
      <c r="BE346" s="48">
        <f t="shared" si="1148"/>
        <v>0</v>
      </c>
      <c r="BF346" s="48">
        <f t="shared" si="1148"/>
        <v>0</v>
      </c>
      <c r="BG346" s="48">
        <f t="shared" si="1148"/>
        <v>0</v>
      </c>
      <c r="BH346" s="48">
        <f t="shared" si="1148"/>
        <v>0</v>
      </c>
      <c r="BI346" s="48">
        <f t="shared" si="1148"/>
        <v>0</v>
      </c>
      <c r="BJ346" s="48">
        <f t="shared" si="1148"/>
        <v>0</v>
      </c>
      <c r="BK346" s="48">
        <f t="shared" si="1148"/>
        <v>0</v>
      </c>
      <c r="BL346" s="48">
        <f t="shared" si="1148"/>
        <v>0</v>
      </c>
      <c r="BM346" s="48">
        <f t="shared" si="1148"/>
        <v>0</v>
      </c>
      <c r="BN346" s="48">
        <f t="shared" si="1148"/>
        <v>0</v>
      </c>
      <c r="BO346" s="48">
        <f t="shared" si="1148"/>
        <v>0</v>
      </c>
      <c r="BP346" s="48">
        <f t="shared" si="1148"/>
        <v>0</v>
      </c>
      <c r="BQ346" s="48">
        <f t="shared" si="1148"/>
        <v>0</v>
      </c>
      <c r="BR346" s="36">
        <f t="shared" si="9"/>
        <v>0</v>
      </c>
      <c r="BS346" s="38">
        <f t="shared" si="10"/>
        <v>1</v>
      </c>
      <c r="BT346" s="49">
        <f t="shared" si="11"/>
        <v>0</v>
      </c>
      <c r="BU346" s="38">
        <f t="shared" si="12"/>
        <v>1000</v>
      </c>
      <c r="BV346" s="57" t="str">
        <f>IFERROR(__xludf.DUMMYFUNCTION("""COMPUTED_VALUE"""),"Chase")</f>
        <v>Chase</v>
      </c>
      <c r="BW346" s="46">
        <f t="shared" si="13"/>
        <v>500</v>
      </c>
      <c r="BX346" s="47">
        <f t="shared" ref="BX346:CA346" si="1149">AX346-$BU346</f>
        <v>-750</v>
      </c>
      <c r="BY346" s="47">
        <f t="shared" si="1149"/>
        <v>-1000</v>
      </c>
      <c r="BZ346" s="47">
        <f t="shared" si="1149"/>
        <v>-950</v>
      </c>
      <c r="CA346" s="47">
        <f t="shared" si="1149"/>
        <v>-800</v>
      </c>
      <c r="CB346" s="47">
        <f t="shared" si="15"/>
        <v>-10000</v>
      </c>
      <c r="CC346" s="47">
        <f t="shared" ref="CC346:CQ346" si="1150">BC346-$BU346</f>
        <v>-1000</v>
      </c>
      <c r="CD346" s="47">
        <f t="shared" si="1150"/>
        <v>-1000</v>
      </c>
      <c r="CE346" s="47">
        <f t="shared" si="1150"/>
        <v>-1000</v>
      </c>
      <c r="CF346" s="47">
        <f t="shared" si="1150"/>
        <v>-1000</v>
      </c>
      <c r="CG346" s="47">
        <f t="shared" si="1150"/>
        <v>-1000</v>
      </c>
      <c r="CH346" s="47">
        <f t="shared" si="1150"/>
        <v>-1000</v>
      </c>
      <c r="CI346" s="47">
        <f t="shared" si="1150"/>
        <v>-1000</v>
      </c>
      <c r="CJ346" s="47">
        <f t="shared" si="1150"/>
        <v>-1000</v>
      </c>
      <c r="CK346" s="47">
        <f t="shared" si="1150"/>
        <v>-1000</v>
      </c>
      <c r="CL346" s="47">
        <f t="shared" si="1150"/>
        <v>-1000</v>
      </c>
      <c r="CM346" s="47">
        <f t="shared" si="1150"/>
        <v>-1000</v>
      </c>
      <c r="CN346" s="47">
        <f t="shared" si="1150"/>
        <v>-1000</v>
      </c>
      <c r="CO346" s="47">
        <f t="shared" si="1150"/>
        <v>-1000</v>
      </c>
      <c r="CP346" s="47">
        <f t="shared" si="1150"/>
        <v>-1000</v>
      </c>
      <c r="CQ346" s="47">
        <f t="shared" si="1150"/>
        <v>-1000</v>
      </c>
      <c r="CR346" s="47"/>
      <c r="CS346" s="47"/>
      <c r="CT346" s="47"/>
      <c r="CU346" s="50" t="str">
        <f>IFERROR(__xludf.DUMMYFUNCTION("""COMPUTED_VALUE"""),"10131 Gaywood Road
Dallas, TX 75229          ")</f>
        <v>10131 Gaywood Road
Dallas, TX 75229          </v>
      </c>
      <c r="CV346" s="51">
        <f>IFERROR(__xludf.DUMMYFUNCTION("IF(REGEXMATCH(UPPER(CU346), ""TX""),0,1)"),0.0)</f>
        <v>0</v>
      </c>
      <c r="CW346" s="51">
        <f>IFERROR(__xludf.DUMMYFUNCTION("IF(REGEXMATCH(UPPER(CU346), ""DALLAS""),0,1)"),0.0)</f>
        <v>0</v>
      </c>
      <c r="CX346" s="51">
        <f t="shared" si="17"/>
        <v>0</v>
      </c>
      <c r="CY346" s="51">
        <f t="shared" si="18"/>
        <v>0</v>
      </c>
      <c r="CZ346" s="52" t="str">
        <f t="shared" si="19"/>
        <v/>
      </c>
      <c r="DA346" s="58"/>
      <c r="DB346" s="52"/>
      <c r="DC346" s="52"/>
      <c r="DD346" s="52"/>
      <c r="DE346" s="52"/>
      <c r="DF346" s="52"/>
      <c r="DG346" s="52"/>
      <c r="DH346" s="52"/>
      <c r="DI346" s="52"/>
      <c r="DJ346" s="52"/>
      <c r="DK346" s="52"/>
      <c r="DL346" s="52"/>
      <c r="DM346" s="52"/>
      <c r="DN346" s="52"/>
      <c r="DO346" s="52"/>
      <c r="DP346" s="52"/>
      <c r="DQ346" s="52"/>
      <c r="DR346" s="52"/>
      <c r="DS346" s="52"/>
      <c r="DT346" s="52"/>
      <c r="DU346" s="52"/>
      <c r="DV346" s="52"/>
      <c r="DW346" s="52"/>
    </row>
    <row r="347">
      <c r="A347" s="41" t="s">
        <v>64</v>
      </c>
      <c r="B347" s="41" t="s">
        <v>56</v>
      </c>
      <c r="C347" s="31" t="s">
        <v>961</v>
      </c>
      <c r="D347" s="25" t="str">
        <f>IFERROR(__xludf.DUMMYFUNCTION("SPLIT(C347,"" "")"),"Evans,")</f>
        <v>Evans,</v>
      </c>
      <c r="E347" s="40" t="str">
        <f>IFERROR(__xludf.DUMMYFUNCTION("""COMPUTED_VALUE"""),"Timothy
682")</f>
        <v>Timothy
682</v>
      </c>
      <c r="F347" s="40" t="str">
        <f>IFERROR(__xludf.DUMMYFUNCTION("""COMPUTED_VALUE"""),"W")</f>
        <v>W</v>
      </c>
      <c r="G347" s="40" t="str">
        <f>IFERROR(__xludf.DUMMYFUNCTION("""COMPUTED_VALUE"""),"Alamosa")</f>
        <v>Alamosa</v>
      </c>
      <c r="H347" s="40" t="str">
        <f>IFERROR(__xludf.DUMMYFUNCTION("""COMPUTED_VALUE"""),"Dr
Chandler,")</f>
        <v>Dr
Chandler,</v>
      </c>
      <c r="I347" s="40" t="str">
        <f>IFERROR(__xludf.DUMMYFUNCTION("""COMPUTED_VALUE"""),"AZ")</f>
        <v>AZ</v>
      </c>
      <c r="J347" s="40">
        <f>IFERROR(__xludf.DUMMYFUNCTION("""COMPUTED_VALUE"""),85248.0)</f>
        <v>85248</v>
      </c>
      <c r="K347" s="40"/>
      <c r="L347" s="40"/>
      <c r="M347" s="40"/>
      <c r="N347" s="40"/>
      <c r="O347" s="40"/>
      <c r="P347" s="40"/>
      <c r="Q347" s="40"/>
      <c r="R347" s="40"/>
      <c r="S347" s="40"/>
      <c r="T347" s="40"/>
      <c r="U347" s="24" t="str">
        <f>IFERROR(__xludf.DUMMYFUNCTION("SPLIT(E347,""01234567890"")"),"Timothy
")</f>
        <v>Timothy
</v>
      </c>
      <c r="V347" s="24" t="str">
        <f>IFERROR(__xludf.DUMMYFUNCTION("SPLIT(D347,"","")"),"Evans")</f>
        <v>Evans</v>
      </c>
      <c r="W347" s="25" t="str">
        <f t="shared" si="1"/>
        <v>TIMOTHY
 EVANS</v>
      </c>
      <c r="X347" s="25" t="s">
        <v>962</v>
      </c>
      <c r="Y347" s="25">
        <v>85248.0</v>
      </c>
      <c r="Z347" s="25" t="str">
        <f>IFERROR(__xludf.DUMMYFUNCTION("SPLIT(C347,""
"")"),"Evans, Timothy")</f>
        <v>Evans, Timothy</v>
      </c>
      <c r="AA347" s="25" t="str">
        <f>IFERROR(__xludf.DUMMYFUNCTION("""COMPUTED_VALUE"""),"682 W Alamosa Dr")</f>
        <v>682 W Alamosa Dr</v>
      </c>
      <c r="AB347" s="25" t="str">
        <f>IFERROR(__xludf.DUMMYFUNCTION("""COMPUTED_VALUE"""),"Chandler, AZ 85248")</f>
        <v>Chandler, AZ 85248</v>
      </c>
      <c r="AC347" s="24" t="s">
        <v>963</v>
      </c>
      <c r="AD347" s="25"/>
      <c r="AE347" s="25"/>
      <c r="AF347" s="25"/>
      <c r="AG347" s="40" t="s">
        <v>60</v>
      </c>
      <c r="AH347" s="42">
        <v>2437.0</v>
      </c>
      <c r="AI347" s="40" t="s">
        <v>61</v>
      </c>
      <c r="AJ347" s="27">
        <v>500.0</v>
      </c>
      <c r="AK347" s="31" t="s">
        <v>25</v>
      </c>
      <c r="AL347" s="43">
        <v>44723.0</v>
      </c>
      <c r="AM347" s="44">
        <v>44754.83237268519</v>
      </c>
      <c r="AN347" s="30">
        <v>2.0</v>
      </c>
      <c r="AO347" s="40"/>
      <c r="AP347" s="40"/>
      <c r="AQ347" s="40"/>
      <c r="AR347" s="40"/>
      <c r="AS347" s="40"/>
      <c r="AT347" s="47"/>
      <c r="AU347" s="40"/>
      <c r="AV347" s="46" t="str">
        <f>IFERROR(__xludf.DUMMYFUNCTION("""COMPUTED_VALUE"""),"GERBER")</f>
        <v>GERBER</v>
      </c>
      <c r="AW347" s="46">
        <f t="shared" si="7"/>
        <v>1750</v>
      </c>
      <c r="AX347" s="47">
        <f t="shared" ref="AX347:BQ347" si="1151">SUMIFS($AJ:$AJ,$V:$V,$AV347,$AK:$AK,AX$2)</f>
        <v>0</v>
      </c>
      <c r="AY347" s="48">
        <f t="shared" si="1151"/>
        <v>0</v>
      </c>
      <c r="AZ347" s="48">
        <f t="shared" si="1151"/>
        <v>0</v>
      </c>
      <c r="BA347" s="48">
        <f t="shared" si="1151"/>
        <v>1000</v>
      </c>
      <c r="BB347" s="48">
        <f t="shared" si="1151"/>
        <v>0</v>
      </c>
      <c r="BC347" s="48">
        <f t="shared" si="1151"/>
        <v>0</v>
      </c>
      <c r="BD347" s="48">
        <f t="shared" si="1151"/>
        <v>250</v>
      </c>
      <c r="BE347" s="48">
        <f t="shared" si="1151"/>
        <v>0</v>
      </c>
      <c r="BF347" s="48">
        <f t="shared" si="1151"/>
        <v>0</v>
      </c>
      <c r="BG347" s="48">
        <f t="shared" si="1151"/>
        <v>0</v>
      </c>
      <c r="BH347" s="48">
        <f t="shared" si="1151"/>
        <v>0</v>
      </c>
      <c r="BI347" s="48">
        <f t="shared" si="1151"/>
        <v>0</v>
      </c>
      <c r="BJ347" s="48">
        <f t="shared" si="1151"/>
        <v>0</v>
      </c>
      <c r="BK347" s="48">
        <f t="shared" si="1151"/>
        <v>500</v>
      </c>
      <c r="BL347" s="48">
        <f t="shared" si="1151"/>
        <v>0</v>
      </c>
      <c r="BM347" s="48">
        <f t="shared" si="1151"/>
        <v>0</v>
      </c>
      <c r="BN347" s="48">
        <f t="shared" si="1151"/>
        <v>0</v>
      </c>
      <c r="BO347" s="48">
        <f t="shared" si="1151"/>
        <v>0</v>
      </c>
      <c r="BP347" s="48">
        <f t="shared" si="1151"/>
        <v>0</v>
      </c>
      <c r="BQ347" s="48">
        <f t="shared" si="1151"/>
        <v>0</v>
      </c>
      <c r="BR347" s="36">
        <f t="shared" si="9"/>
        <v>1</v>
      </c>
      <c r="BS347" s="38">
        <f t="shared" si="10"/>
        <v>2</v>
      </c>
      <c r="BT347" s="49">
        <f t="shared" si="11"/>
        <v>0</v>
      </c>
      <c r="BU347" s="38">
        <f t="shared" si="12"/>
        <v>2000</v>
      </c>
      <c r="BV347" s="46" t="str">
        <f>IFERROR(__xludf.DUMMYFUNCTION("""COMPUTED_VALUE"""),"GERBER")</f>
        <v>GERBER</v>
      </c>
      <c r="BW347" s="46">
        <f t="shared" si="13"/>
        <v>1750</v>
      </c>
      <c r="BX347" s="47">
        <f t="shared" ref="BX347:CA347" si="1152">AX347-$BU347</f>
        <v>-2000</v>
      </c>
      <c r="BY347" s="47">
        <f t="shared" si="1152"/>
        <v>-2000</v>
      </c>
      <c r="BZ347" s="47">
        <f t="shared" si="1152"/>
        <v>-2000</v>
      </c>
      <c r="CA347" s="47">
        <f t="shared" si="1152"/>
        <v>-1000</v>
      </c>
      <c r="CB347" s="47">
        <f t="shared" si="15"/>
        <v>-20000</v>
      </c>
      <c r="CC347" s="47">
        <f t="shared" ref="CC347:CQ347" si="1153">BC347-$BU347</f>
        <v>-2000</v>
      </c>
      <c r="CD347" s="47">
        <f t="shared" si="1153"/>
        <v>-1750</v>
      </c>
      <c r="CE347" s="47">
        <f t="shared" si="1153"/>
        <v>-2000</v>
      </c>
      <c r="CF347" s="47">
        <f t="shared" si="1153"/>
        <v>-2000</v>
      </c>
      <c r="CG347" s="47">
        <f t="shared" si="1153"/>
        <v>-2000</v>
      </c>
      <c r="CH347" s="47">
        <f t="shared" si="1153"/>
        <v>-2000</v>
      </c>
      <c r="CI347" s="47">
        <f t="shared" si="1153"/>
        <v>-2000</v>
      </c>
      <c r="CJ347" s="47">
        <f t="shared" si="1153"/>
        <v>-2000</v>
      </c>
      <c r="CK347" s="47">
        <f t="shared" si="1153"/>
        <v>-1500</v>
      </c>
      <c r="CL347" s="47">
        <f t="shared" si="1153"/>
        <v>-2000</v>
      </c>
      <c r="CM347" s="47">
        <f t="shared" si="1153"/>
        <v>-2000</v>
      </c>
      <c r="CN347" s="47">
        <f t="shared" si="1153"/>
        <v>-2000</v>
      </c>
      <c r="CO347" s="47">
        <f t="shared" si="1153"/>
        <v>-2000</v>
      </c>
      <c r="CP347" s="47">
        <f t="shared" si="1153"/>
        <v>-2000</v>
      </c>
      <c r="CQ347" s="47">
        <f t="shared" si="1153"/>
        <v>-2000</v>
      </c>
      <c r="CR347" s="47"/>
      <c r="CS347" s="47"/>
      <c r="CT347" s="47"/>
      <c r="CU347" s="50" t="str">
        <f>IFERROR(__xludf.DUMMYFUNCTION("""COMPUTED_VALUE"""),"6515 Northaven Road
Dallas, TX 75230          ")</f>
        <v>6515 Northaven Road
Dallas, TX 75230          </v>
      </c>
      <c r="CV347" s="51">
        <f>IFERROR(__xludf.DUMMYFUNCTION("IF(REGEXMATCH(UPPER(CU347), ""TX""),0,1)"),0.0)</f>
        <v>0</v>
      </c>
      <c r="CW347" s="51">
        <f>IFERROR(__xludf.DUMMYFUNCTION("IF(REGEXMATCH(UPPER(CU347), ""DALLAS""),0,1)"),0.0)</f>
        <v>0</v>
      </c>
      <c r="CX347" s="51">
        <f t="shared" si="17"/>
        <v>0</v>
      </c>
      <c r="CY347" s="51">
        <f t="shared" si="18"/>
        <v>0</v>
      </c>
      <c r="CZ347" s="52" t="str">
        <f t="shared" si="19"/>
        <v/>
      </c>
      <c r="DA347" s="58"/>
      <c r="DB347" s="52"/>
      <c r="DC347" s="52"/>
      <c r="DD347" s="52"/>
      <c r="DE347" s="52"/>
      <c r="DF347" s="52"/>
      <c r="DG347" s="52"/>
      <c r="DH347" s="52"/>
      <c r="DI347" s="52"/>
      <c r="DJ347" s="52"/>
      <c r="DK347" s="52"/>
      <c r="DL347" s="52"/>
      <c r="DM347" s="52"/>
      <c r="DN347" s="52"/>
      <c r="DO347" s="52"/>
      <c r="DP347" s="52"/>
      <c r="DQ347" s="52"/>
      <c r="DR347" s="52"/>
      <c r="DS347" s="52"/>
      <c r="DT347" s="52"/>
      <c r="DU347" s="52"/>
      <c r="DV347" s="52"/>
      <c r="DW347" s="52"/>
    </row>
    <row r="348">
      <c r="A348" s="22" t="s">
        <v>55</v>
      </c>
      <c r="B348" s="23" t="s">
        <v>56</v>
      </c>
      <c r="C348" s="31" t="s">
        <v>964</v>
      </c>
      <c r="D348" s="25" t="str">
        <f>IFERROR(__xludf.DUMMYFUNCTION("SPLIT(C348,"" "")"),"Gibson,")</f>
        <v>Gibson,</v>
      </c>
      <c r="E348" s="22" t="str">
        <f>IFERROR(__xludf.DUMMYFUNCTION("""COMPUTED_VALUE"""),"Michael
512")</f>
        <v>Michael
512</v>
      </c>
      <c r="F348" s="22" t="str">
        <f>IFERROR(__xludf.DUMMYFUNCTION("""COMPUTED_VALUE"""),"Cool")</f>
        <v>Cool</v>
      </c>
      <c r="G348" s="22" t="str">
        <f>IFERROR(__xludf.DUMMYFUNCTION("""COMPUTED_VALUE"""),"Meadow")</f>
        <v>Meadow</v>
      </c>
      <c r="H348" s="22" t="str">
        <f>IFERROR(__xludf.DUMMYFUNCTION("""COMPUTED_VALUE"""),"Ct
DeSoto,")</f>
        <v>Ct
DeSoto,</v>
      </c>
      <c r="I348" s="22" t="str">
        <f>IFERROR(__xludf.DUMMYFUNCTION("""COMPUTED_VALUE"""),"TX")</f>
        <v>TX</v>
      </c>
      <c r="J348" s="22">
        <f>IFERROR(__xludf.DUMMYFUNCTION("""COMPUTED_VALUE"""),75115.0)</f>
        <v>75115</v>
      </c>
      <c r="K348" s="22"/>
      <c r="L348" s="22"/>
      <c r="M348" s="22"/>
      <c r="N348" s="22"/>
      <c r="O348" s="22"/>
      <c r="P348" s="22"/>
      <c r="Q348" s="22"/>
      <c r="R348" s="22"/>
      <c r="S348" s="22"/>
      <c r="T348" s="22"/>
      <c r="U348" s="24" t="str">
        <f>IFERROR(__xludf.DUMMYFUNCTION("SPLIT(E348,""01234567890"")"),"Michael
")</f>
        <v>Michael
</v>
      </c>
      <c r="V348" s="24" t="str">
        <f>IFERROR(__xludf.DUMMYFUNCTION("SPLIT(D348,"","")"),"Gibson")</f>
        <v>Gibson</v>
      </c>
      <c r="W348" s="25" t="str">
        <f t="shared" si="1"/>
        <v>MICHAEL
 GIBSON</v>
      </c>
      <c r="X348" s="25" t="s">
        <v>965</v>
      </c>
      <c r="Y348" s="25">
        <v>75115.0</v>
      </c>
      <c r="Z348" s="25" t="str">
        <f>IFERROR(__xludf.DUMMYFUNCTION("SPLIT(C348,""
"")"),"Gibson, Michael")</f>
        <v>Gibson, Michael</v>
      </c>
      <c r="AA348" s="25" t="str">
        <f>IFERROR(__xludf.DUMMYFUNCTION("""COMPUTED_VALUE"""),"512 Cool Meadow Ct")</f>
        <v>512 Cool Meadow Ct</v>
      </c>
      <c r="AB348" s="25" t="str">
        <f>IFERROR(__xludf.DUMMYFUNCTION("""COMPUTED_VALUE"""),"DeSoto, TX 75115")</f>
        <v>DeSoto, TX 75115</v>
      </c>
      <c r="AC348" s="24" t="s">
        <v>966</v>
      </c>
      <c r="AD348" s="25"/>
      <c r="AE348" s="25"/>
      <c r="AF348" s="25"/>
      <c r="AG348" s="22" t="s">
        <v>60</v>
      </c>
      <c r="AH348" s="54">
        <v>2437.0</v>
      </c>
      <c r="AI348" s="22" t="s">
        <v>61</v>
      </c>
      <c r="AJ348" s="27">
        <v>250.0</v>
      </c>
      <c r="AK348" s="31" t="s">
        <v>25</v>
      </c>
      <c r="AL348" s="28">
        <v>44723.0</v>
      </c>
      <c r="AM348" s="29">
        <v>44754.83237268519</v>
      </c>
      <c r="AN348" s="30">
        <v>2.0</v>
      </c>
      <c r="AO348" s="22"/>
      <c r="AP348" s="22"/>
      <c r="AQ348" s="22"/>
      <c r="AR348" s="22"/>
      <c r="AS348" s="22"/>
      <c r="AT348" s="70"/>
      <c r="AU348" s="22"/>
      <c r="AV348" s="57" t="str">
        <f>IFERROR(__xludf.DUMMYFUNCTION("""COMPUTED_VALUE"""),"Jackson")</f>
        <v>Jackson</v>
      </c>
      <c r="AW348" s="46">
        <f t="shared" si="7"/>
        <v>450</v>
      </c>
      <c r="AX348" s="47">
        <f t="shared" ref="AX348:BQ348" si="1154">SUMIFS($AJ:$AJ,$V:$V,$AV348,$AK:$AK,AX$2)</f>
        <v>0</v>
      </c>
      <c r="AY348" s="48">
        <f t="shared" si="1154"/>
        <v>0</v>
      </c>
      <c r="AZ348" s="48">
        <f t="shared" si="1154"/>
        <v>0</v>
      </c>
      <c r="BA348" s="48">
        <f t="shared" si="1154"/>
        <v>350</v>
      </c>
      <c r="BB348" s="48">
        <f t="shared" si="1154"/>
        <v>100</v>
      </c>
      <c r="BC348" s="48">
        <f t="shared" si="1154"/>
        <v>0</v>
      </c>
      <c r="BD348" s="48">
        <f t="shared" si="1154"/>
        <v>0</v>
      </c>
      <c r="BE348" s="48">
        <f t="shared" si="1154"/>
        <v>0</v>
      </c>
      <c r="BF348" s="48">
        <f t="shared" si="1154"/>
        <v>0</v>
      </c>
      <c r="BG348" s="48">
        <f t="shared" si="1154"/>
        <v>0</v>
      </c>
      <c r="BH348" s="48">
        <f t="shared" si="1154"/>
        <v>0</v>
      </c>
      <c r="BI348" s="48">
        <f t="shared" si="1154"/>
        <v>0</v>
      </c>
      <c r="BJ348" s="48">
        <f t="shared" si="1154"/>
        <v>0</v>
      </c>
      <c r="BK348" s="48">
        <f t="shared" si="1154"/>
        <v>0</v>
      </c>
      <c r="BL348" s="48">
        <f t="shared" si="1154"/>
        <v>0</v>
      </c>
      <c r="BM348" s="48">
        <f t="shared" si="1154"/>
        <v>0</v>
      </c>
      <c r="BN348" s="48">
        <f t="shared" si="1154"/>
        <v>0</v>
      </c>
      <c r="BO348" s="48">
        <f t="shared" si="1154"/>
        <v>0</v>
      </c>
      <c r="BP348" s="48">
        <f t="shared" si="1154"/>
        <v>0</v>
      </c>
      <c r="BQ348" s="48">
        <f t="shared" si="1154"/>
        <v>0</v>
      </c>
      <c r="BR348" s="36">
        <f t="shared" si="9"/>
        <v>1</v>
      </c>
      <c r="BS348" s="38">
        <f t="shared" si="10"/>
        <v>2</v>
      </c>
      <c r="BT348" s="49">
        <f t="shared" si="11"/>
        <v>0</v>
      </c>
      <c r="BU348" s="38">
        <f t="shared" si="12"/>
        <v>2000</v>
      </c>
      <c r="BV348" s="57" t="str">
        <f>IFERROR(__xludf.DUMMYFUNCTION("""COMPUTED_VALUE"""),"Jackson")</f>
        <v>Jackson</v>
      </c>
      <c r="BW348" s="46">
        <f t="shared" si="13"/>
        <v>450</v>
      </c>
      <c r="BX348" s="47">
        <f t="shared" ref="BX348:CA348" si="1155">AX348-$BU348</f>
        <v>-2000</v>
      </c>
      <c r="BY348" s="47">
        <f t="shared" si="1155"/>
        <v>-2000</v>
      </c>
      <c r="BZ348" s="47">
        <f t="shared" si="1155"/>
        <v>-2000</v>
      </c>
      <c r="CA348" s="47">
        <f t="shared" si="1155"/>
        <v>-1650</v>
      </c>
      <c r="CB348" s="47">
        <f t="shared" si="15"/>
        <v>-19900</v>
      </c>
      <c r="CC348" s="47">
        <f t="shared" ref="CC348:CQ348" si="1156">BC348-$BU348</f>
        <v>-2000</v>
      </c>
      <c r="CD348" s="47">
        <f t="shared" si="1156"/>
        <v>-2000</v>
      </c>
      <c r="CE348" s="47">
        <f t="shared" si="1156"/>
        <v>-2000</v>
      </c>
      <c r="CF348" s="47">
        <f t="shared" si="1156"/>
        <v>-2000</v>
      </c>
      <c r="CG348" s="47">
        <f t="shared" si="1156"/>
        <v>-2000</v>
      </c>
      <c r="CH348" s="47">
        <f t="shared" si="1156"/>
        <v>-2000</v>
      </c>
      <c r="CI348" s="47">
        <f t="shared" si="1156"/>
        <v>-2000</v>
      </c>
      <c r="CJ348" s="47">
        <f t="shared" si="1156"/>
        <v>-2000</v>
      </c>
      <c r="CK348" s="47">
        <f t="shared" si="1156"/>
        <v>-2000</v>
      </c>
      <c r="CL348" s="47">
        <f t="shared" si="1156"/>
        <v>-2000</v>
      </c>
      <c r="CM348" s="47">
        <f t="shared" si="1156"/>
        <v>-2000</v>
      </c>
      <c r="CN348" s="47">
        <f t="shared" si="1156"/>
        <v>-2000</v>
      </c>
      <c r="CO348" s="47">
        <f t="shared" si="1156"/>
        <v>-2000</v>
      </c>
      <c r="CP348" s="47">
        <f t="shared" si="1156"/>
        <v>-2000</v>
      </c>
      <c r="CQ348" s="47">
        <f t="shared" si="1156"/>
        <v>-2000</v>
      </c>
      <c r="CR348" s="47"/>
      <c r="CS348" s="47"/>
      <c r="CT348" s="47"/>
      <c r="CU348" s="50" t="str">
        <f>IFERROR(__xludf.DUMMYFUNCTION("""COMPUTED_VALUE"""),"6027 Desco Drive
Dallas, TX 75225          ")</f>
        <v>6027 Desco Drive
Dallas, TX 75225          </v>
      </c>
      <c r="CV348" s="51">
        <f>IFERROR(__xludf.DUMMYFUNCTION("IF(REGEXMATCH(UPPER(CU348), ""TX""),0,1)"),0.0)</f>
        <v>0</v>
      </c>
      <c r="CW348" s="51">
        <f>IFERROR(__xludf.DUMMYFUNCTION("IF(REGEXMATCH(UPPER(CU348), ""DALLAS""),0,1)"),0.0)</f>
        <v>0</v>
      </c>
      <c r="CX348" s="51">
        <f t="shared" si="17"/>
        <v>0</v>
      </c>
      <c r="CY348" s="51">
        <f t="shared" si="18"/>
        <v>0</v>
      </c>
      <c r="CZ348" s="52" t="str">
        <f t="shared" si="19"/>
        <v/>
      </c>
      <c r="DA348" s="58"/>
      <c r="DB348" s="52"/>
      <c r="DC348" s="52"/>
      <c r="DD348" s="52"/>
      <c r="DE348" s="52"/>
      <c r="DF348" s="52"/>
      <c r="DG348" s="52"/>
      <c r="DH348" s="52"/>
      <c r="DI348" s="52"/>
      <c r="DJ348" s="52"/>
      <c r="DK348" s="52"/>
      <c r="DL348" s="52"/>
      <c r="DM348" s="52"/>
      <c r="DN348" s="52"/>
      <c r="DO348" s="52"/>
      <c r="DP348" s="52"/>
      <c r="DQ348" s="52"/>
      <c r="DR348" s="52"/>
      <c r="DS348" s="52"/>
      <c r="DT348" s="52"/>
      <c r="DU348" s="52"/>
      <c r="DV348" s="52"/>
      <c r="DW348" s="52"/>
    </row>
    <row r="349">
      <c r="A349" s="41" t="s">
        <v>64</v>
      </c>
      <c r="B349" s="41" t="s">
        <v>56</v>
      </c>
      <c r="C349" s="31" t="s">
        <v>967</v>
      </c>
      <c r="D349" s="25" t="str">
        <f>IFERROR(__xludf.DUMMYFUNCTION("SPLIT(C349,"" "")"),"Stein,")</f>
        <v>Stein,</v>
      </c>
      <c r="E349" s="40" t="str">
        <f>IFERROR(__xludf.DUMMYFUNCTION("""COMPUTED_VALUE"""),"Sheldon
14911")</f>
        <v>Sheldon
14911</v>
      </c>
      <c r="F349" s="40" t="str">
        <f>IFERROR(__xludf.DUMMYFUNCTION("""COMPUTED_VALUE"""),"Quorum")</f>
        <v>Quorum</v>
      </c>
      <c r="G349" s="40" t="str">
        <f>IFERROR(__xludf.DUMMYFUNCTION("""COMPUTED_VALUE"""),"Dr
Dallas,")</f>
        <v>Dr
Dallas,</v>
      </c>
      <c r="H349" s="40" t="str">
        <f>IFERROR(__xludf.DUMMYFUNCTION("""COMPUTED_VALUE"""),"TX")</f>
        <v>TX</v>
      </c>
      <c r="I349" s="40">
        <f>IFERROR(__xludf.DUMMYFUNCTION("""COMPUTED_VALUE"""),75254.0)</f>
        <v>75254</v>
      </c>
      <c r="J349" s="40"/>
      <c r="K349" s="40"/>
      <c r="L349" s="40"/>
      <c r="M349" s="40"/>
      <c r="N349" s="40"/>
      <c r="O349" s="40"/>
      <c r="P349" s="40"/>
      <c r="Q349" s="40"/>
      <c r="R349" s="40"/>
      <c r="S349" s="40"/>
      <c r="T349" s="40"/>
      <c r="U349" s="24" t="str">
        <f>IFERROR(__xludf.DUMMYFUNCTION("SPLIT(E349,""01234567890"")"),"Sheldon
")</f>
        <v>Sheldon
</v>
      </c>
      <c r="V349" s="24" t="str">
        <f>IFERROR(__xludf.DUMMYFUNCTION("SPLIT(D349,"","")"),"Stein")</f>
        <v>Stein</v>
      </c>
      <c r="W349" s="25" t="str">
        <f t="shared" si="1"/>
        <v>SHELDON
 STEIN</v>
      </c>
      <c r="X349" s="25" t="s">
        <v>968</v>
      </c>
      <c r="Y349" s="25">
        <v>75254.0</v>
      </c>
      <c r="Z349" s="25" t="str">
        <f>IFERROR(__xludf.DUMMYFUNCTION("SPLIT(C349,""
"")"),"Stein, Sheldon")</f>
        <v>Stein, Sheldon</v>
      </c>
      <c r="AA349" s="25" t="str">
        <f>IFERROR(__xludf.DUMMYFUNCTION("""COMPUTED_VALUE"""),"14911 Quorum Dr")</f>
        <v>14911 Quorum Dr</v>
      </c>
      <c r="AB349" s="25" t="str">
        <f>IFERROR(__xludf.DUMMYFUNCTION("""COMPUTED_VALUE"""),"Dallas, TX 75254")</f>
        <v>Dallas, TX 75254</v>
      </c>
      <c r="AC349" s="24" t="s">
        <v>969</v>
      </c>
      <c r="AD349" s="25"/>
      <c r="AE349" s="25"/>
      <c r="AF349" s="25"/>
      <c r="AG349" s="40" t="s">
        <v>60</v>
      </c>
      <c r="AH349" s="42">
        <v>2437.0</v>
      </c>
      <c r="AI349" s="40" t="s">
        <v>61</v>
      </c>
      <c r="AJ349" s="27">
        <v>2500.0</v>
      </c>
      <c r="AK349" s="31" t="s">
        <v>25</v>
      </c>
      <c r="AL349" s="43">
        <v>44722.0</v>
      </c>
      <c r="AM349" s="44">
        <v>44754.83237268519</v>
      </c>
      <c r="AN349" s="30">
        <v>2.0</v>
      </c>
      <c r="AO349" s="40"/>
      <c r="AP349" s="40"/>
      <c r="AQ349" s="40"/>
      <c r="AR349" s="40"/>
      <c r="AS349" s="40"/>
      <c r="AT349" s="47"/>
      <c r="AU349" s="40"/>
      <c r="AV349" s="46" t="str">
        <f>IFERROR(__xludf.DUMMYFUNCTION("""COMPUTED_VALUE"""),"Offutt")</f>
        <v>Offutt</v>
      </c>
      <c r="AW349" s="46">
        <f t="shared" si="7"/>
        <v>750</v>
      </c>
      <c r="AX349" s="47">
        <f t="shared" ref="AX349:BQ349" si="1157">SUMIFS($AJ:$AJ,$V:$V,$AV349,$AK:$AK,AX$2)</f>
        <v>0</v>
      </c>
      <c r="AY349" s="48">
        <f t="shared" si="1157"/>
        <v>0</v>
      </c>
      <c r="AZ349" s="48">
        <f t="shared" si="1157"/>
        <v>100</v>
      </c>
      <c r="BA349" s="48">
        <f t="shared" si="1157"/>
        <v>250</v>
      </c>
      <c r="BB349" s="48">
        <f t="shared" si="1157"/>
        <v>0</v>
      </c>
      <c r="BC349" s="48">
        <f t="shared" si="1157"/>
        <v>0</v>
      </c>
      <c r="BD349" s="48">
        <f t="shared" si="1157"/>
        <v>100</v>
      </c>
      <c r="BE349" s="48">
        <f t="shared" si="1157"/>
        <v>0</v>
      </c>
      <c r="BF349" s="48">
        <f t="shared" si="1157"/>
        <v>0</v>
      </c>
      <c r="BG349" s="48">
        <f t="shared" si="1157"/>
        <v>0</v>
      </c>
      <c r="BH349" s="48">
        <f t="shared" si="1157"/>
        <v>0</v>
      </c>
      <c r="BI349" s="48">
        <f t="shared" si="1157"/>
        <v>0</v>
      </c>
      <c r="BJ349" s="48">
        <f t="shared" si="1157"/>
        <v>300</v>
      </c>
      <c r="BK349" s="48">
        <f t="shared" si="1157"/>
        <v>0</v>
      </c>
      <c r="BL349" s="48">
        <f t="shared" si="1157"/>
        <v>0</v>
      </c>
      <c r="BM349" s="48">
        <f t="shared" si="1157"/>
        <v>0</v>
      </c>
      <c r="BN349" s="48">
        <f t="shared" si="1157"/>
        <v>0</v>
      </c>
      <c r="BO349" s="48">
        <f t="shared" si="1157"/>
        <v>0</v>
      </c>
      <c r="BP349" s="48">
        <f t="shared" si="1157"/>
        <v>0</v>
      </c>
      <c r="BQ349" s="48">
        <f t="shared" si="1157"/>
        <v>0</v>
      </c>
      <c r="BR349" s="36">
        <f t="shared" si="9"/>
        <v>0</v>
      </c>
      <c r="BS349" s="38">
        <f t="shared" si="10"/>
        <v>1</v>
      </c>
      <c r="BT349" s="49">
        <f t="shared" si="11"/>
        <v>0</v>
      </c>
      <c r="BU349" s="38">
        <f t="shared" si="12"/>
        <v>1000</v>
      </c>
      <c r="BV349" s="46" t="str">
        <f>IFERROR(__xludf.DUMMYFUNCTION("""COMPUTED_VALUE"""),"Offutt")</f>
        <v>Offutt</v>
      </c>
      <c r="BW349" s="46">
        <f t="shared" si="13"/>
        <v>750</v>
      </c>
      <c r="BX349" s="47">
        <f t="shared" ref="BX349:CA349" si="1158">AX349-$BU349</f>
        <v>-1000</v>
      </c>
      <c r="BY349" s="47">
        <f t="shared" si="1158"/>
        <v>-1000</v>
      </c>
      <c r="BZ349" s="47">
        <f t="shared" si="1158"/>
        <v>-900</v>
      </c>
      <c r="CA349" s="47">
        <f t="shared" si="1158"/>
        <v>-750</v>
      </c>
      <c r="CB349" s="47">
        <f t="shared" si="15"/>
        <v>-10000</v>
      </c>
      <c r="CC349" s="47">
        <f t="shared" ref="CC349:CQ349" si="1159">BC349-$BU349</f>
        <v>-1000</v>
      </c>
      <c r="CD349" s="47">
        <f t="shared" si="1159"/>
        <v>-900</v>
      </c>
      <c r="CE349" s="47">
        <f t="shared" si="1159"/>
        <v>-1000</v>
      </c>
      <c r="CF349" s="47">
        <f t="shared" si="1159"/>
        <v>-1000</v>
      </c>
      <c r="CG349" s="47">
        <f t="shared" si="1159"/>
        <v>-1000</v>
      </c>
      <c r="CH349" s="47">
        <f t="shared" si="1159"/>
        <v>-1000</v>
      </c>
      <c r="CI349" s="47">
        <f t="shared" si="1159"/>
        <v>-1000</v>
      </c>
      <c r="CJ349" s="47">
        <f t="shared" si="1159"/>
        <v>-700</v>
      </c>
      <c r="CK349" s="47">
        <f t="shared" si="1159"/>
        <v>-1000</v>
      </c>
      <c r="CL349" s="47">
        <f t="shared" si="1159"/>
        <v>-1000</v>
      </c>
      <c r="CM349" s="47">
        <f t="shared" si="1159"/>
        <v>-1000</v>
      </c>
      <c r="CN349" s="47">
        <f t="shared" si="1159"/>
        <v>-1000</v>
      </c>
      <c r="CO349" s="47">
        <f t="shared" si="1159"/>
        <v>-1000</v>
      </c>
      <c r="CP349" s="47">
        <f t="shared" si="1159"/>
        <v>-1000</v>
      </c>
      <c r="CQ349" s="47">
        <f t="shared" si="1159"/>
        <v>-1000</v>
      </c>
      <c r="CR349" s="47"/>
      <c r="CS349" s="47"/>
      <c r="CT349" s="47"/>
      <c r="CU349" s="50" t="str">
        <f>IFERROR(__xludf.DUMMYFUNCTION("""COMPUTED_VALUE"""),"16475 Dallas Parkway
Addison, TX 75001          ")</f>
        <v>16475 Dallas Parkway
Addison, TX 75001          </v>
      </c>
      <c r="CV349" s="51">
        <f>IFERROR(__xludf.DUMMYFUNCTION("IF(REGEXMATCH(UPPER(CU349), ""TX""),0,1)"),0.0)</f>
        <v>0</v>
      </c>
      <c r="CW349" s="51">
        <f>IFERROR(__xludf.DUMMYFUNCTION("IF(REGEXMATCH(UPPER(CU349), ""DALLAS""),0,1)"),0.0)</f>
        <v>0</v>
      </c>
      <c r="CX349" s="51">
        <f t="shared" si="17"/>
        <v>0</v>
      </c>
      <c r="CY349" s="51">
        <f t="shared" si="18"/>
        <v>0</v>
      </c>
      <c r="CZ349" s="52" t="str">
        <f t="shared" si="19"/>
        <v/>
      </c>
      <c r="DA349" s="58"/>
      <c r="DB349" s="52"/>
      <c r="DC349" s="52"/>
      <c r="DD349" s="52"/>
      <c r="DE349" s="52"/>
      <c r="DF349" s="52"/>
      <c r="DG349" s="52"/>
      <c r="DH349" s="52"/>
      <c r="DI349" s="52"/>
      <c r="DJ349" s="52"/>
      <c r="DK349" s="52"/>
      <c r="DL349" s="52"/>
      <c r="DM349" s="52"/>
      <c r="DN349" s="52"/>
      <c r="DO349" s="52"/>
      <c r="DP349" s="52"/>
      <c r="DQ349" s="52"/>
      <c r="DR349" s="52"/>
      <c r="DS349" s="52"/>
      <c r="DT349" s="52"/>
      <c r="DU349" s="52"/>
      <c r="DV349" s="52"/>
      <c r="DW349" s="52"/>
    </row>
    <row r="350">
      <c r="A350" s="22" t="s">
        <v>55</v>
      </c>
      <c r="B350" s="23" t="s">
        <v>56</v>
      </c>
      <c r="C350" s="31" t="s">
        <v>970</v>
      </c>
      <c r="D350" s="25" t="str">
        <f>IFERROR(__xludf.DUMMYFUNCTION("SPLIT(C350,"" "")"),"Katz,")</f>
        <v>Katz,</v>
      </c>
      <c r="E350" s="22" t="str">
        <f>IFERROR(__xludf.DUMMYFUNCTION("""COMPUTED_VALUE"""),"Marc
10244")</f>
        <v>Marc
10244</v>
      </c>
      <c r="F350" s="22" t="str">
        <f>IFERROR(__xludf.DUMMYFUNCTION("""COMPUTED_VALUE"""),"Epping")</f>
        <v>Epping</v>
      </c>
      <c r="G350" s="22" t="str">
        <f>IFERROR(__xludf.DUMMYFUNCTION("""COMPUTED_VALUE"""),"Ln
Dallas,")</f>
        <v>Ln
Dallas,</v>
      </c>
      <c r="H350" s="22" t="str">
        <f>IFERROR(__xludf.DUMMYFUNCTION("""COMPUTED_VALUE"""),"TX")</f>
        <v>TX</v>
      </c>
      <c r="I350" s="22">
        <f>IFERROR(__xludf.DUMMYFUNCTION("""COMPUTED_VALUE"""),75229.0)</f>
        <v>75229</v>
      </c>
      <c r="J350" s="22"/>
      <c r="K350" s="22"/>
      <c r="L350" s="22"/>
      <c r="M350" s="22"/>
      <c r="N350" s="22"/>
      <c r="O350" s="22"/>
      <c r="P350" s="22"/>
      <c r="Q350" s="22"/>
      <c r="R350" s="22"/>
      <c r="S350" s="22"/>
      <c r="T350" s="22"/>
      <c r="U350" s="24" t="str">
        <f>IFERROR(__xludf.DUMMYFUNCTION("SPLIT(E350,""01234567890"")"),"Marc
")</f>
        <v>Marc
</v>
      </c>
      <c r="V350" s="24" t="str">
        <f>IFERROR(__xludf.DUMMYFUNCTION("SPLIT(D350,"","")"),"Katz")</f>
        <v>Katz</v>
      </c>
      <c r="W350" s="25" t="str">
        <f t="shared" si="1"/>
        <v>MARC
 KATZ</v>
      </c>
      <c r="X350" s="25" t="s">
        <v>971</v>
      </c>
      <c r="Y350" s="25">
        <v>75229.0</v>
      </c>
      <c r="Z350" s="25" t="str">
        <f>IFERROR(__xludf.DUMMYFUNCTION("SPLIT(C350,""
"")"),"Katz, Marc")</f>
        <v>Katz, Marc</v>
      </c>
      <c r="AA350" s="25" t="str">
        <f>IFERROR(__xludf.DUMMYFUNCTION("""COMPUTED_VALUE"""),"10244 Epping Ln")</f>
        <v>10244 Epping Ln</v>
      </c>
      <c r="AB350" s="25" t="str">
        <f>IFERROR(__xludf.DUMMYFUNCTION("""COMPUTED_VALUE"""),"Dallas, TX 75229")</f>
        <v>Dallas, TX 75229</v>
      </c>
      <c r="AC350" s="24" t="s">
        <v>972</v>
      </c>
      <c r="AD350" s="25"/>
      <c r="AE350" s="25"/>
      <c r="AF350" s="25"/>
      <c r="AG350" s="22" t="s">
        <v>60</v>
      </c>
      <c r="AH350" s="54">
        <v>2437.0</v>
      </c>
      <c r="AI350" s="22" t="s">
        <v>61</v>
      </c>
      <c r="AJ350" s="27">
        <v>1000.0</v>
      </c>
      <c r="AK350" s="31" t="s">
        <v>25</v>
      </c>
      <c r="AL350" s="28">
        <v>44722.0</v>
      </c>
      <c r="AM350" s="29">
        <v>44754.83237268519</v>
      </c>
      <c r="AN350" s="30">
        <v>2.0</v>
      </c>
      <c r="AO350" s="22"/>
      <c r="AP350" s="22"/>
      <c r="AQ350" s="22"/>
      <c r="AR350" s="22"/>
      <c r="AS350" s="22"/>
      <c r="AT350" s="70"/>
      <c r="AU350" s="22"/>
      <c r="AV350" s="57" t="str">
        <f>IFERROR(__xludf.DUMMYFUNCTION("""COMPUTED_VALUE"""),"Stern")</f>
        <v>Stern</v>
      </c>
      <c r="AW350" s="46">
        <f t="shared" si="7"/>
        <v>100</v>
      </c>
      <c r="AX350" s="47">
        <f t="shared" ref="AX350:BQ350" si="1160">SUMIFS($AJ:$AJ,$V:$V,$AV350,$AK:$AK,AX$2)</f>
        <v>0</v>
      </c>
      <c r="AY350" s="48">
        <f t="shared" si="1160"/>
        <v>0</v>
      </c>
      <c r="AZ350" s="48">
        <f t="shared" si="1160"/>
        <v>0</v>
      </c>
      <c r="BA350" s="48">
        <f t="shared" si="1160"/>
        <v>100</v>
      </c>
      <c r="BB350" s="48">
        <f t="shared" si="1160"/>
        <v>0</v>
      </c>
      <c r="BC350" s="48">
        <f t="shared" si="1160"/>
        <v>0</v>
      </c>
      <c r="BD350" s="48">
        <f t="shared" si="1160"/>
        <v>0</v>
      </c>
      <c r="BE350" s="48">
        <f t="shared" si="1160"/>
        <v>0</v>
      </c>
      <c r="BF350" s="48">
        <f t="shared" si="1160"/>
        <v>0</v>
      </c>
      <c r="BG350" s="48">
        <f t="shared" si="1160"/>
        <v>0</v>
      </c>
      <c r="BH350" s="48">
        <f t="shared" si="1160"/>
        <v>0</v>
      </c>
      <c r="BI350" s="48">
        <f t="shared" si="1160"/>
        <v>0</v>
      </c>
      <c r="BJ350" s="48">
        <f t="shared" si="1160"/>
        <v>0</v>
      </c>
      <c r="BK350" s="48">
        <f t="shared" si="1160"/>
        <v>0</v>
      </c>
      <c r="BL350" s="48">
        <f t="shared" si="1160"/>
        <v>0</v>
      </c>
      <c r="BM350" s="48">
        <f t="shared" si="1160"/>
        <v>0</v>
      </c>
      <c r="BN350" s="48">
        <f t="shared" si="1160"/>
        <v>0</v>
      </c>
      <c r="BO350" s="48">
        <f t="shared" si="1160"/>
        <v>0</v>
      </c>
      <c r="BP350" s="48">
        <f t="shared" si="1160"/>
        <v>0</v>
      </c>
      <c r="BQ350" s="48">
        <f t="shared" si="1160"/>
        <v>0</v>
      </c>
      <c r="BR350" s="36">
        <f t="shared" si="9"/>
        <v>0</v>
      </c>
      <c r="BS350" s="38">
        <f t="shared" si="10"/>
        <v>1</v>
      </c>
      <c r="BT350" s="49">
        <f t="shared" si="11"/>
        <v>0</v>
      </c>
      <c r="BU350" s="38">
        <f t="shared" si="12"/>
        <v>1000</v>
      </c>
      <c r="BV350" s="57" t="str">
        <f>IFERROR(__xludf.DUMMYFUNCTION("""COMPUTED_VALUE"""),"Stern")</f>
        <v>Stern</v>
      </c>
      <c r="BW350" s="46">
        <f t="shared" si="13"/>
        <v>100</v>
      </c>
      <c r="BX350" s="47">
        <f t="shared" ref="BX350:CA350" si="1161">AX350-$BU350</f>
        <v>-1000</v>
      </c>
      <c r="BY350" s="47">
        <f t="shared" si="1161"/>
        <v>-1000</v>
      </c>
      <c r="BZ350" s="47">
        <f t="shared" si="1161"/>
        <v>-1000</v>
      </c>
      <c r="CA350" s="47">
        <f t="shared" si="1161"/>
        <v>-900</v>
      </c>
      <c r="CB350" s="47">
        <f t="shared" si="15"/>
        <v>-10000</v>
      </c>
      <c r="CC350" s="47">
        <f t="shared" ref="CC350:CQ350" si="1162">BC350-$BU350</f>
        <v>-1000</v>
      </c>
      <c r="CD350" s="47">
        <f t="shared" si="1162"/>
        <v>-1000</v>
      </c>
      <c r="CE350" s="47">
        <f t="shared" si="1162"/>
        <v>-1000</v>
      </c>
      <c r="CF350" s="47">
        <f t="shared" si="1162"/>
        <v>-1000</v>
      </c>
      <c r="CG350" s="47">
        <f t="shared" si="1162"/>
        <v>-1000</v>
      </c>
      <c r="CH350" s="47">
        <f t="shared" si="1162"/>
        <v>-1000</v>
      </c>
      <c r="CI350" s="47">
        <f t="shared" si="1162"/>
        <v>-1000</v>
      </c>
      <c r="CJ350" s="47">
        <f t="shared" si="1162"/>
        <v>-1000</v>
      </c>
      <c r="CK350" s="47">
        <f t="shared" si="1162"/>
        <v>-1000</v>
      </c>
      <c r="CL350" s="47">
        <f t="shared" si="1162"/>
        <v>-1000</v>
      </c>
      <c r="CM350" s="47">
        <f t="shared" si="1162"/>
        <v>-1000</v>
      </c>
      <c r="CN350" s="47">
        <f t="shared" si="1162"/>
        <v>-1000</v>
      </c>
      <c r="CO350" s="47">
        <f t="shared" si="1162"/>
        <v>-1000</v>
      </c>
      <c r="CP350" s="47">
        <f t="shared" si="1162"/>
        <v>-1000</v>
      </c>
      <c r="CQ350" s="47">
        <f t="shared" si="1162"/>
        <v>-1000</v>
      </c>
      <c r="CR350" s="47"/>
      <c r="CS350" s="47"/>
      <c r="CT350" s="47"/>
      <c r="CU350" s="50" t="str">
        <f>IFERROR(__xludf.DUMMYFUNCTION("""COMPUTED_VALUE"""),"1801 Annex Ave
Dallas, TX 75204          ")</f>
        <v>1801 Annex Ave
Dallas, TX 75204          </v>
      </c>
      <c r="CV350" s="51">
        <f>IFERROR(__xludf.DUMMYFUNCTION("IF(REGEXMATCH(UPPER(CU350), ""TX""),0,1)"),0.0)</f>
        <v>0</v>
      </c>
      <c r="CW350" s="51">
        <f>IFERROR(__xludf.DUMMYFUNCTION("IF(REGEXMATCH(UPPER(CU350), ""DALLAS""),0,1)"),0.0)</f>
        <v>0</v>
      </c>
      <c r="CX350" s="51">
        <f t="shared" si="17"/>
        <v>0</v>
      </c>
      <c r="CY350" s="51">
        <f t="shared" si="18"/>
        <v>0</v>
      </c>
      <c r="CZ350" s="52" t="str">
        <f t="shared" si="19"/>
        <v/>
      </c>
      <c r="DA350" s="58"/>
      <c r="DB350" s="52"/>
      <c r="DC350" s="52"/>
      <c r="DD350" s="52"/>
      <c r="DE350" s="52"/>
      <c r="DF350" s="52"/>
      <c r="DG350" s="52"/>
      <c r="DH350" s="52"/>
      <c r="DI350" s="52"/>
      <c r="DJ350" s="52"/>
      <c r="DK350" s="52"/>
      <c r="DL350" s="52"/>
      <c r="DM350" s="52"/>
      <c r="DN350" s="52"/>
      <c r="DO350" s="52"/>
      <c r="DP350" s="52"/>
      <c r="DQ350" s="52"/>
      <c r="DR350" s="52"/>
      <c r="DS350" s="52"/>
      <c r="DT350" s="52"/>
      <c r="DU350" s="52"/>
      <c r="DV350" s="52"/>
      <c r="DW350" s="52"/>
    </row>
    <row r="351">
      <c r="A351" s="41" t="s">
        <v>64</v>
      </c>
      <c r="B351" s="41" t="s">
        <v>56</v>
      </c>
      <c r="C351" s="31" t="s">
        <v>973</v>
      </c>
      <c r="D351" s="25" t="str">
        <f>IFERROR(__xludf.DUMMYFUNCTION("SPLIT(C351,"" "")"),"Scovell,")</f>
        <v>Scovell,</v>
      </c>
      <c r="E351" s="40" t="str">
        <f>IFERROR(__xludf.DUMMYFUNCTION("""COMPUTED_VALUE"""),"Dupree
7034")</f>
        <v>Dupree
7034</v>
      </c>
      <c r="F351" s="40" t="str">
        <f>IFERROR(__xludf.DUMMYFUNCTION("""COMPUTED_VALUE"""),"Alexander")</f>
        <v>Alexander</v>
      </c>
      <c r="G351" s="40" t="str">
        <f>IFERROR(__xludf.DUMMYFUNCTION("""COMPUTED_VALUE"""),"Dr
Dallas,")</f>
        <v>Dr
Dallas,</v>
      </c>
      <c r="H351" s="40" t="str">
        <f>IFERROR(__xludf.DUMMYFUNCTION("""COMPUTED_VALUE"""),"TX")</f>
        <v>TX</v>
      </c>
      <c r="I351" s="40">
        <f>IFERROR(__xludf.DUMMYFUNCTION("""COMPUTED_VALUE"""),75214.0)</f>
        <v>75214</v>
      </c>
      <c r="J351" s="40"/>
      <c r="K351" s="40"/>
      <c r="L351" s="40"/>
      <c r="M351" s="40"/>
      <c r="N351" s="40"/>
      <c r="O351" s="40"/>
      <c r="P351" s="40"/>
      <c r="Q351" s="40"/>
      <c r="R351" s="40"/>
      <c r="S351" s="40"/>
      <c r="T351" s="40"/>
      <c r="U351" s="24" t="str">
        <f>IFERROR(__xludf.DUMMYFUNCTION("SPLIT(E351,""01234567890"")"),"Dupree
")</f>
        <v>Dupree
</v>
      </c>
      <c r="V351" s="24" t="str">
        <f>IFERROR(__xludf.DUMMYFUNCTION("SPLIT(D351,"","")"),"Scovell")</f>
        <v>Scovell</v>
      </c>
      <c r="W351" s="25" t="str">
        <f t="shared" si="1"/>
        <v>DUPREE
 SCOVELL</v>
      </c>
      <c r="X351" s="25" t="s">
        <v>974</v>
      </c>
      <c r="Y351" s="25">
        <v>75214.0</v>
      </c>
      <c r="Z351" s="25" t="str">
        <f>IFERROR(__xludf.DUMMYFUNCTION("SPLIT(C351,""
"")"),"Scovell, Dupree")</f>
        <v>Scovell, Dupree</v>
      </c>
      <c r="AA351" s="25" t="str">
        <f>IFERROR(__xludf.DUMMYFUNCTION("""COMPUTED_VALUE"""),"7034 Alexander Dr")</f>
        <v>7034 Alexander Dr</v>
      </c>
      <c r="AB351" s="25" t="str">
        <f>IFERROR(__xludf.DUMMYFUNCTION("""COMPUTED_VALUE"""),"Dallas, TX 75214")</f>
        <v>Dallas, TX 75214</v>
      </c>
      <c r="AC351" s="24" t="s">
        <v>975</v>
      </c>
      <c r="AD351" s="25"/>
      <c r="AE351" s="25"/>
      <c r="AF351" s="25"/>
      <c r="AG351" s="40" t="s">
        <v>60</v>
      </c>
      <c r="AH351" s="42">
        <v>2437.0</v>
      </c>
      <c r="AI351" s="40" t="s">
        <v>61</v>
      </c>
      <c r="AJ351" s="27">
        <v>500.0</v>
      </c>
      <c r="AK351" s="31" t="s">
        <v>25</v>
      </c>
      <c r="AL351" s="43">
        <v>44722.0</v>
      </c>
      <c r="AM351" s="44">
        <v>44754.83237268519</v>
      </c>
      <c r="AN351" s="30">
        <v>2.0</v>
      </c>
      <c r="AO351" s="40"/>
      <c r="AP351" s="40"/>
      <c r="AQ351" s="40"/>
      <c r="AR351" s="40"/>
      <c r="AS351" s="40"/>
      <c r="AT351" s="47"/>
      <c r="AU351" s="40"/>
      <c r="AV351" s="46" t="str">
        <f>IFERROR(__xludf.DUMMYFUNCTION("""COMPUTED_VALUE"""),"Mason")</f>
        <v>Mason</v>
      </c>
      <c r="AW351" s="46">
        <f t="shared" si="7"/>
        <v>300</v>
      </c>
      <c r="AX351" s="47">
        <f t="shared" ref="AX351:BQ351" si="1163">SUMIFS($AJ:$AJ,$V:$V,$AV351,$AK:$AK,AX$2)</f>
        <v>0</v>
      </c>
      <c r="AY351" s="48">
        <f t="shared" si="1163"/>
        <v>0</v>
      </c>
      <c r="AZ351" s="48">
        <f t="shared" si="1163"/>
        <v>0</v>
      </c>
      <c r="BA351" s="48">
        <f t="shared" si="1163"/>
        <v>300</v>
      </c>
      <c r="BB351" s="48">
        <f t="shared" si="1163"/>
        <v>0</v>
      </c>
      <c r="BC351" s="48">
        <f t="shared" si="1163"/>
        <v>0</v>
      </c>
      <c r="BD351" s="48">
        <f t="shared" si="1163"/>
        <v>0</v>
      </c>
      <c r="BE351" s="48">
        <f t="shared" si="1163"/>
        <v>0</v>
      </c>
      <c r="BF351" s="48">
        <f t="shared" si="1163"/>
        <v>0</v>
      </c>
      <c r="BG351" s="48">
        <f t="shared" si="1163"/>
        <v>0</v>
      </c>
      <c r="BH351" s="48">
        <f t="shared" si="1163"/>
        <v>0</v>
      </c>
      <c r="BI351" s="48">
        <f t="shared" si="1163"/>
        <v>0</v>
      </c>
      <c r="BJ351" s="48">
        <f t="shared" si="1163"/>
        <v>0</v>
      </c>
      <c r="BK351" s="48">
        <f t="shared" si="1163"/>
        <v>0</v>
      </c>
      <c r="BL351" s="48">
        <f t="shared" si="1163"/>
        <v>0</v>
      </c>
      <c r="BM351" s="48">
        <f t="shared" si="1163"/>
        <v>0</v>
      </c>
      <c r="BN351" s="48">
        <f t="shared" si="1163"/>
        <v>0</v>
      </c>
      <c r="BO351" s="48">
        <f t="shared" si="1163"/>
        <v>0</v>
      </c>
      <c r="BP351" s="48">
        <f t="shared" si="1163"/>
        <v>0</v>
      </c>
      <c r="BQ351" s="48">
        <f t="shared" si="1163"/>
        <v>0</v>
      </c>
      <c r="BR351" s="36">
        <f t="shared" si="9"/>
        <v>0</v>
      </c>
      <c r="BS351" s="38">
        <f t="shared" si="10"/>
        <v>1</v>
      </c>
      <c r="BT351" s="49">
        <f t="shared" si="11"/>
        <v>0</v>
      </c>
      <c r="BU351" s="38">
        <f t="shared" si="12"/>
        <v>1000</v>
      </c>
      <c r="BV351" s="46" t="str">
        <f>IFERROR(__xludf.DUMMYFUNCTION("""COMPUTED_VALUE"""),"Mason")</f>
        <v>Mason</v>
      </c>
      <c r="BW351" s="46">
        <f t="shared" si="13"/>
        <v>300</v>
      </c>
      <c r="BX351" s="47">
        <f t="shared" ref="BX351:CA351" si="1164">AX351-$BU351</f>
        <v>-1000</v>
      </c>
      <c r="BY351" s="47">
        <f t="shared" si="1164"/>
        <v>-1000</v>
      </c>
      <c r="BZ351" s="47">
        <f t="shared" si="1164"/>
        <v>-1000</v>
      </c>
      <c r="CA351" s="47">
        <f t="shared" si="1164"/>
        <v>-700</v>
      </c>
      <c r="CB351" s="47">
        <f t="shared" si="15"/>
        <v>-10000</v>
      </c>
      <c r="CC351" s="47">
        <f t="shared" ref="CC351:CQ351" si="1165">BC351-$BU351</f>
        <v>-1000</v>
      </c>
      <c r="CD351" s="47">
        <f t="shared" si="1165"/>
        <v>-1000</v>
      </c>
      <c r="CE351" s="47">
        <f t="shared" si="1165"/>
        <v>-1000</v>
      </c>
      <c r="CF351" s="47">
        <f t="shared" si="1165"/>
        <v>-1000</v>
      </c>
      <c r="CG351" s="47">
        <f t="shared" si="1165"/>
        <v>-1000</v>
      </c>
      <c r="CH351" s="47">
        <f t="shared" si="1165"/>
        <v>-1000</v>
      </c>
      <c r="CI351" s="47">
        <f t="shared" si="1165"/>
        <v>-1000</v>
      </c>
      <c r="CJ351" s="47">
        <f t="shared" si="1165"/>
        <v>-1000</v>
      </c>
      <c r="CK351" s="47">
        <f t="shared" si="1165"/>
        <v>-1000</v>
      </c>
      <c r="CL351" s="47">
        <f t="shared" si="1165"/>
        <v>-1000</v>
      </c>
      <c r="CM351" s="47">
        <f t="shared" si="1165"/>
        <v>-1000</v>
      </c>
      <c r="CN351" s="47">
        <f t="shared" si="1165"/>
        <v>-1000</v>
      </c>
      <c r="CO351" s="47">
        <f t="shared" si="1165"/>
        <v>-1000</v>
      </c>
      <c r="CP351" s="47">
        <f t="shared" si="1165"/>
        <v>-1000</v>
      </c>
      <c r="CQ351" s="47">
        <f t="shared" si="1165"/>
        <v>-1000</v>
      </c>
      <c r="CR351" s="47"/>
      <c r="CS351" s="47"/>
      <c r="CT351" s="47"/>
      <c r="CU351" s="50" t="str">
        <f>IFERROR(__xludf.DUMMYFUNCTION("""COMPUTED_VALUE"""),"
 Box 631153
Irving, TX 75063          ")</f>
        <v>
 Box 631153
Irving, TX 75063          </v>
      </c>
      <c r="CV351" s="51">
        <f>IFERROR(__xludf.DUMMYFUNCTION("IF(REGEXMATCH(UPPER(CU351), ""TX""),0,1)"),0.0)</f>
        <v>0</v>
      </c>
      <c r="CW351" s="51">
        <f>IFERROR(__xludf.DUMMYFUNCTION("IF(REGEXMATCH(UPPER(CU351), ""DALLAS""),0,1)"),1.0)</f>
        <v>1</v>
      </c>
      <c r="CX351" s="51">
        <f t="shared" si="17"/>
        <v>0</v>
      </c>
      <c r="CY351" s="51">
        <f t="shared" si="18"/>
        <v>1000</v>
      </c>
      <c r="CZ351" s="52" t="str">
        <f t="shared" si="19"/>
        <v>
 Box 631153
Irving, TX 75063          </v>
      </c>
      <c r="DA351" s="58"/>
      <c r="DB351" s="52"/>
      <c r="DC351" s="52"/>
      <c r="DD351" s="52"/>
      <c r="DE351" s="52"/>
      <c r="DF351" s="52"/>
      <c r="DG351" s="52"/>
      <c r="DH351" s="52"/>
      <c r="DI351" s="52"/>
      <c r="DJ351" s="52"/>
      <c r="DK351" s="52"/>
      <c r="DL351" s="52"/>
      <c r="DM351" s="52"/>
      <c r="DN351" s="52"/>
      <c r="DO351" s="52"/>
      <c r="DP351" s="52"/>
      <c r="DQ351" s="52"/>
      <c r="DR351" s="52"/>
      <c r="DS351" s="52"/>
      <c r="DT351" s="52"/>
      <c r="DU351" s="52"/>
      <c r="DV351" s="52"/>
      <c r="DW351" s="52"/>
    </row>
    <row r="352">
      <c r="A352" s="22" t="s">
        <v>55</v>
      </c>
      <c r="B352" s="23" t="s">
        <v>56</v>
      </c>
      <c r="C352" s="31" t="s">
        <v>976</v>
      </c>
      <c r="D352" s="25" t="str">
        <f>IFERROR(__xludf.DUMMYFUNCTION("SPLIT(C352,"" "")"),"Marshall,")</f>
        <v>Marshall,</v>
      </c>
      <c r="E352" s="22" t="str">
        <f>IFERROR(__xludf.DUMMYFUNCTION("""COMPUTED_VALUE"""),"Carrie
12601")</f>
        <v>Carrie
12601</v>
      </c>
      <c r="F352" s="22" t="str">
        <f>IFERROR(__xludf.DUMMYFUNCTION("""COMPUTED_VALUE"""),"Natalie")</f>
        <v>Natalie</v>
      </c>
      <c r="G352" s="22" t="str">
        <f>IFERROR(__xludf.DUMMYFUNCTION("""COMPUTED_VALUE"""),"Dr
Balch")</f>
        <v>Dr
Balch</v>
      </c>
      <c r="H352" s="22" t="str">
        <f>IFERROR(__xludf.DUMMYFUNCTION("""COMPUTED_VALUE"""),"Springs,")</f>
        <v>Springs,</v>
      </c>
      <c r="I352" s="22" t="str">
        <f>IFERROR(__xludf.DUMMYFUNCTION("""COMPUTED_VALUE"""),"TX")</f>
        <v>TX</v>
      </c>
      <c r="J352" s="22">
        <f>IFERROR(__xludf.DUMMYFUNCTION("""COMPUTED_VALUE"""),75180.0)</f>
        <v>75180</v>
      </c>
      <c r="K352" s="22"/>
      <c r="L352" s="22"/>
      <c r="M352" s="22"/>
      <c r="N352" s="22"/>
      <c r="O352" s="22"/>
      <c r="P352" s="22"/>
      <c r="Q352" s="22"/>
      <c r="R352" s="22"/>
      <c r="S352" s="22"/>
      <c r="T352" s="22"/>
      <c r="U352" s="24" t="str">
        <f>IFERROR(__xludf.DUMMYFUNCTION("SPLIT(E352,""01234567890"")"),"Carrie
")</f>
        <v>Carrie
</v>
      </c>
      <c r="V352" s="24" t="str">
        <f>IFERROR(__xludf.DUMMYFUNCTION("SPLIT(D352,"","")"),"Marshall")</f>
        <v>Marshall</v>
      </c>
      <c r="W352" s="25" t="str">
        <f t="shared" si="1"/>
        <v>CARRIE
 MARSHALL</v>
      </c>
      <c r="X352" s="25" t="s">
        <v>977</v>
      </c>
      <c r="Y352" s="25">
        <v>75180.0</v>
      </c>
      <c r="Z352" s="25" t="str">
        <f>IFERROR(__xludf.DUMMYFUNCTION("SPLIT(C352,""
"")"),"Marshall, Carrie")</f>
        <v>Marshall, Carrie</v>
      </c>
      <c r="AA352" s="25" t="str">
        <f>IFERROR(__xludf.DUMMYFUNCTION("""COMPUTED_VALUE"""),"12601 Natalie Dr")</f>
        <v>12601 Natalie Dr</v>
      </c>
      <c r="AB352" s="25" t="str">
        <f>IFERROR(__xludf.DUMMYFUNCTION("""COMPUTED_VALUE"""),"Balch Springs, TX 75180")</f>
        <v>Balch Springs, TX 75180</v>
      </c>
      <c r="AC352" s="24" t="s">
        <v>978</v>
      </c>
      <c r="AD352" s="25"/>
      <c r="AE352" s="25"/>
      <c r="AF352" s="25"/>
      <c r="AG352" s="22" t="s">
        <v>60</v>
      </c>
      <c r="AH352" s="54">
        <v>2437.0</v>
      </c>
      <c r="AI352" s="22" t="s">
        <v>61</v>
      </c>
      <c r="AJ352" s="27">
        <v>50.0</v>
      </c>
      <c r="AK352" s="31" t="s">
        <v>25</v>
      </c>
      <c r="AL352" s="28">
        <v>44722.0</v>
      </c>
      <c r="AM352" s="29">
        <v>44754.83237268519</v>
      </c>
      <c r="AN352" s="30">
        <v>2.0</v>
      </c>
      <c r="AO352" s="22"/>
      <c r="AP352" s="22"/>
      <c r="AQ352" s="22"/>
      <c r="AR352" s="22"/>
      <c r="AS352" s="22"/>
      <c r="AT352" s="70"/>
      <c r="AU352" s="22"/>
      <c r="AV352" s="57" t="str">
        <f>IFERROR(__xludf.DUMMYFUNCTION("""COMPUTED_VALUE"""),"Borruf")</f>
        <v>Borruf</v>
      </c>
      <c r="AW352" s="46">
        <f t="shared" si="7"/>
        <v>100</v>
      </c>
      <c r="AX352" s="47">
        <f t="shared" ref="AX352:BQ352" si="1166">SUMIFS($AJ:$AJ,$V:$V,$AV352,$AK:$AK,AX$2)</f>
        <v>0</v>
      </c>
      <c r="AY352" s="48">
        <f t="shared" si="1166"/>
        <v>0</v>
      </c>
      <c r="AZ352" s="48">
        <f t="shared" si="1166"/>
        <v>0</v>
      </c>
      <c r="BA352" s="48">
        <f t="shared" si="1166"/>
        <v>100</v>
      </c>
      <c r="BB352" s="48">
        <f t="shared" si="1166"/>
        <v>0</v>
      </c>
      <c r="BC352" s="48">
        <f t="shared" si="1166"/>
        <v>0</v>
      </c>
      <c r="BD352" s="48">
        <f t="shared" si="1166"/>
        <v>0</v>
      </c>
      <c r="BE352" s="48">
        <f t="shared" si="1166"/>
        <v>0</v>
      </c>
      <c r="BF352" s="48">
        <f t="shared" si="1166"/>
        <v>0</v>
      </c>
      <c r="BG352" s="48">
        <f t="shared" si="1166"/>
        <v>0</v>
      </c>
      <c r="BH352" s="48">
        <f t="shared" si="1166"/>
        <v>0</v>
      </c>
      <c r="BI352" s="48">
        <f t="shared" si="1166"/>
        <v>0</v>
      </c>
      <c r="BJ352" s="48">
        <f t="shared" si="1166"/>
        <v>0</v>
      </c>
      <c r="BK352" s="48">
        <f t="shared" si="1166"/>
        <v>0</v>
      </c>
      <c r="BL352" s="48">
        <f t="shared" si="1166"/>
        <v>0</v>
      </c>
      <c r="BM352" s="48">
        <f t="shared" si="1166"/>
        <v>0</v>
      </c>
      <c r="BN352" s="48">
        <f t="shared" si="1166"/>
        <v>0</v>
      </c>
      <c r="BO352" s="48">
        <f t="shared" si="1166"/>
        <v>0</v>
      </c>
      <c r="BP352" s="48">
        <f t="shared" si="1166"/>
        <v>0</v>
      </c>
      <c r="BQ352" s="48">
        <f t="shared" si="1166"/>
        <v>0</v>
      </c>
      <c r="BR352" s="36">
        <f t="shared" si="9"/>
        <v>0</v>
      </c>
      <c r="BS352" s="38">
        <f t="shared" si="10"/>
        <v>1</v>
      </c>
      <c r="BT352" s="49">
        <f t="shared" si="11"/>
        <v>0</v>
      </c>
      <c r="BU352" s="38">
        <f t="shared" si="12"/>
        <v>1000</v>
      </c>
      <c r="BV352" s="57" t="str">
        <f>IFERROR(__xludf.DUMMYFUNCTION("""COMPUTED_VALUE"""),"Borruf")</f>
        <v>Borruf</v>
      </c>
      <c r="BW352" s="46">
        <f t="shared" si="13"/>
        <v>100</v>
      </c>
      <c r="BX352" s="47">
        <f t="shared" ref="BX352:CA352" si="1167">AX352-$BU352</f>
        <v>-1000</v>
      </c>
      <c r="BY352" s="47">
        <f t="shared" si="1167"/>
        <v>-1000</v>
      </c>
      <c r="BZ352" s="47">
        <f t="shared" si="1167"/>
        <v>-1000</v>
      </c>
      <c r="CA352" s="47">
        <f t="shared" si="1167"/>
        <v>-900</v>
      </c>
      <c r="CB352" s="47">
        <f t="shared" si="15"/>
        <v>-10000</v>
      </c>
      <c r="CC352" s="47">
        <f t="shared" ref="CC352:CQ352" si="1168">BC352-$BU352</f>
        <v>-1000</v>
      </c>
      <c r="CD352" s="47">
        <f t="shared" si="1168"/>
        <v>-1000</v>
      </c>
      <c r="CE352" s="47">
        <f t="shared" si="1168"/>
        <v>-1000</v>
      </c>
      <c r="CF352" s="47">
        <f t="shared" si="1168"/>
        <v>-1000</v>
      </c>
      <c r="CG352" s="47">
        <f t="shared" si="1168"/>
        <v>-1000</v>
      </c>
      <c r="CH352" s="47">
        <f t="shared" si="1168"/>
        <v>-1000</v>
      </c>
      <c r="CI352" s="47">
        <f t="shared" si="1168"/>
        <v>-1000</v>
      </c>
      <c r="CJ352" s="47">
        <f t="shared" si="1168"/>
        <v>-1000</v>
      </c>
      <c r="CK352" s="47">
        <f t="shared" si="1168"/>
        <v>-1000</v>
      </c>
      <c r="CL352" s="47">
        <f t="shared" si="1168"/>
        <v>-1000</v>
      </c>
      <c r="CM352" s="47">
        <f t="shared" si="1168"/>
        <v>-1000</v>
      </c>
      <c r="CN352" s="47">
        <f t="shared" si="1168"/>
        <v>-1000</v>
      </c>
      <c r="CO352" s="47">
        <f t="shared" si="1168"/>
        <v>-1000</v>
      </c>
      <c r="CP352" s="47">
        <f t="shared" si="1168"/>
        <v>-1000</v>
      </c>
      <c r="CQ352" s="47">
        <f t="shared" si="1168"/>
        <v>-1000</v>
      </c>
      <c r="CR352" s="47"/>
      <c r="CS352" s="47"/>
      <c r="CT352" s="47"/>
      <c r="CU352" s="50" t="str">
        <f>IFERROR(__xludf.DUMMYFUNCTION("""COMPUTED_VALUE"""),"6405 Mercedes Ave
Dallas, TX 75214          ")</f>
        <v>6405 Mercedes Ave
Dallas, TX 75214          </v>
      </c>
      <c r="CV352" s="51">
        <f>IFERROR(__xludf.DUMMYFUNCTION("IF(REGEXMATCH(UPPER(CU352), ""TX""),0,1)"),0.0)</f>
        <v>0</v>
      </c>
      <c r="CW352" s="51">
        <f>IFERROR(__xludf.DUMMYFUNCTION("IF(REGEXMATCH(UPPER(CU352), ""DALLAS""),0,1)"),0.0)</f>
        <v>0</v>
      </c>
      <c r="CX352" s="51">
        <f t="shared" si="17"/>
        <v>0</v>
      </c>
      <c r="CY352" s="51">
        <f t="shared" si="18"/>
        <v>0</v>
      </c>
      <c r="CZ352" s="52" t="str">
        <f t="shared" si="19"/>
        <v/>
      </c>
      <c r="DA352" s="58"/>
      <c r="DB352" s="52"/>
      <c r="DC352" s="52"/>
      <c r="DD352" s="52"/>
      <c r="DE352" s="52"/>
      <c r="DF352" s="52"/>
      <c r="DG352" s="52"/>
      <c r="DH352" s="52"/>
      <c r="DI352" s="52"/>
      <c r="DJ352" s="52"/>
      <c r="DK352" s="52"/>
      <c r="DL352" s="52"/>
      <c r="DM352" s="52"/>
      <c r="DN352" s="52"/>
      <c r="DO352" s="52"/>
      <c r="DP352" s="52"/>
      <c r="DQ352" s="52"/>
      <c r="DR352" s="52"/>
      <c r="DS352" s="52"/>
      <c r="DT352" s="52"/>
      <c r="DU352" s="52"/>
      <c r="DV352" s="52"/>
      <c r="DW352" s="52"/>
    </row>
    <row r="353">
      <c r="A353" s="41" t="s">
        <v>64</v>
      </c>
      <c r="B353" s="41" t="s">
        <v>56</v>
      </c>
      <c r="C353" s="31" t="s">
        <v>979</v>
      </c>
      <c r="D353" s="25" t="str">
        <f>IFERROR(__xludf.DUMMYFUNCTION("SPLIT(C353,"" "")"),"Quezada,")</f>
        <v>Quezada,</v>
      </c>
      <c r="E353" s="40" t="str">
        <f>IFERROR(__xludf.DUMMYFUNCTION("""COMPUTED_VALUE"""),"Michael
2739")</f>
        <v>Michael
2739</v>
      </c>
      <c r="F353" s="40" t="str">
        <f>IFERROR(__xludf.DUMMYFUNCTION("""COMPUTED_VALUE"""),"Vela
Grand")</f>
        <v>Vela
Grand</v>
      </c>
      <c r="G353" s="40" t="str">
        <f>IFERROR(__xludf.DUMMYFUNCTION("""COMPUTED_VALUE"""),"Prairie,")</f>
        <v>Prairie,</v>
      </c>
      <c r="H353" s="40" t="str">
        <f>IFERROR(__xludf.DUMMYFUNCTION("""COMPUTED_VALUE"""),"TX")</f>
        <v>TX</v>
      </c>
      <c r="I353" s="40">
        <f>IFERROR(__xludf.DUMMYFUNCTION("""COMPUTED_VALUE"""),75054.0)</f>
        <v>75054</v>
      </c>
      <c r="J353" s="40"/>
      <c r="K353" s="40"/>
      <c r="L353" s="40"/>
      <c r="M353" s="40"/>
      <c r="N353" s="40"/>
      <c r="O353" s="40"/>
      <c r="P353" s="40"/>
      <c r="Q353" s="40"/>
      <c r="R353" s="40"/>
      <c r="S353" s="40"/>
      <c r="T353" s="40"/>
      <c r="U353" s="24" t="str">
        <f>IFERROR(__xludf.DUMMYFUNCTION("SPLIT(E353,""01234567890"")"),"Michael
")</f>
        <v>Michael
</v>
      </c>
      <c r="V353" s="24" t="str">
        <f>IFERROR(__xludf.DUMMYFUNCTION("SPLIT(D353,"","")"),"Quezada")</f>
        <v>Quezada</v>
      </c>
      <c r="W353" s="25" t="str">
        <f t="shared" si="1"/>
        <v>MICHAEL
 QUEZADA</v>
      </c>
      <c r="X353" s="25" t="s">
        <v>980</v>
      </c>
      <c r="Y353" s="25">
        <v>75054.0</v>
      </c>
      <c r="Z353" s="25" t="str">
        <f>IFERROR(__xludf.DUMMYFUNCTION("SPLIT(C353,""
"")"),"Quezada, Michael")</f>
        <v>Quezada, Michael</v>
      </c>
      <c r="AA353" s="25" t="str">
        <f>IFERROR(__xludf.DUMMYFUNCTION("""COMPUTED_VALUE"""),"2739 Vela")</f>
        <v>2739 Vela</v>
      </c>
      <c r="AB353" s="25" t="str">
        <f>IFERROR(__xludf.DUMMYFUNCTION("""COMPUTED_VALUE"""),"Grand Prairie, TX 75054")</f>
        <v>Grand Prairie, TX 75054</v>
      </c>
      <c r="AC353" s="24" t="s">
        <v>981</v>
      </c>
      <c r="AD353" s="25"/>
      <c r="AE353" s="25"/>
      <c r="AF353" s="25"/>
      <c r="AG353" s="40" t="s">
        <v>60</v>
      </c>
      <c r="AH353" s="42">
        <v>2437.0</v>
      </c>
      <c r="AI353" s="40" t="s">
        <v>61</v>
      </c>
      <c r="AJ353" s="27">
        <v>250.0</v>
      </c>
      <c r="AK353" s="31" t="s">
        <v>25</v>
      </c>
      <c r="AL353" s="43">
        <v>44722.0</v>
      </c>
      <c r="AM353" s="44">
        <v>44754.83237268519</v>
      </c>
      <c r="AN353" s="30">
        <v>2.0</v>
      </c>
      <c r="AO353" s="40"/>
      <c r="AP353" s="40"/>
      <c r="AQ353" s="40"/>
      <c r="AR353" s="40"/>
      <c r="AS353" s="40"/>
      <c r="AT353" s="47"/>
      <c r="AU353" s="40"/>
      <c r="AV353" s="46" t="str">
        <f>IFERROR(__xludf.DUMMYFUNCTION("""COMPUTED_VALUE"""),"Stansbury")</f>
        <v>Stansbury</v>
      </c>
      <c r="AW353" s="46">
        <f t="shared" si="7"/>
        <v>250</v>
      </c>
      <c r="AX353" s="47">
        <f t="shared" ref="AX353:BQ353" si="1169">SUMIFS($AJ:$AJ,$V:$V,$AV353,$AK:$AK,AX$2)</f>
        <v>0</v>
      </c>
      <c r="AY353" s="48">
        <f t="shared" si="1169"/>
        <v>0</v>
      </c>
      <c r="AZ353" s="48">
        <f t="shared" si="1169"/>
        <v>0</v>
      </c>
      <c r="BA353" s="48">
        <f t="shared" si="1169"/>
        <v>250</v>
      </c>
      <c r="BB353" s="48">
        <f t="shared" si="1169"/>
        <v>0</v>
      </c>
      <c r="BC353" s="48">
        <f t="shared" si="1169"/>
        <v>0</v>
      </c>
      <c r="BD353" s="48">
        <f t="shared" si="1169"/>
        <v>0</v>
      </c>
      <c r="BE353" s="48">
        <f t="shared" si="1169"/>
        <v>0</v>
      </c>
      <c r="BF353" s="48">
        <f t="shared" si="1169"/>
        <v>0</v>
      </c>
      <c r="BG353" s="48">
        <f t="shared" si="1169"/>
        <v>0</v>
      </c>
      <c r="BH353" s="48">
        <f t="shared" si="1169"/>
        <v>0</v>
      </c>
      <c r="BI353" s="48">
        <f t="shared" si="1169"/>
        <v>0</v>
      </c>
      <c r="BJ353" s="48">
        <f t="shared" si="1169"/>
        <v>0</v>
      </c>
      <c r="BK353" s="48">
        <f t="shared" si="1169"/>
        <v>0</v>
      </c>
      <c r="BL353" s="48">
        <f t="shared" si="1169"/>
        <v>0</v>
      </c>
      <c r="BM353" s="48">
        <f t="shared" si="1169"/>
        <v>0</v>
      </c>
      <c r="BN353" s="48">
        <f t="shared" si="1169"/>
        <v>0</v>
      </c>
      <c r="BO353" s="48">
        <f t="shared" si="1169"/>
        <v>0</v>
      </c>
      <c r="BP353" s="48">
        <f t="shared" si="1169"/>
        <v>0</v>
      </c>
      <c r="BQ353" s="48">
        <f t="shared" si="1169"/>
        <v>0</v>
      </c>
      <c r="BR353" s="36">
        <f t="shared" si="9"/>
        <v>0</v>
      </c>
      <c r="BS353" s="38">
        <f t="shared" si="10"/>
        <v>1</v>
      </c>
      <c r="BT353" s="49">
        <f t="shared" si="11"/>
        <v>0</v>
      </c>
      <c r="BU353" s="38">
        <f t="shared" si="12"/>
        <v>1000</v>
      </c>
      <c r="BV353" s="46" t="str">
        <f>IFERROR(__xludf.DUMMYFUNCTION("""COMPUTED_VALUE"""),"Stansbury")</f>
        <v>Stansbury</v>
      </c>
      <c r="BW353" s="46">
        <f t="shared" si="13"/>
        <v>250</v>
      </c>
      <c r="BX353" s="47">
        <f t="shared" ref="BX353:CA353" si="1170">AX353-$BU353</f>
        <v>-1000</v>
      </c>
      <c r="BY353" s="47">
        <f t="shared" si="1170"/>
        <v>-1000</v>
      </c>
      <c r="BZ353" s="47">
        <f t="shared" si="1170"/>
        <v>-1000</v>
      </c>
      <c r="CA353" s="47">
        <f t="shared" si="1170"/>
        <v>-750</v>
      </c>
      <c r="CB353" s="47">
        <f t="shared" si="15"/>
        <v>-10000</v>
      </c>
      <c r="CC353" s="47">
        <f t="shared" ref="CC353:CQ353" si="1171">BC353-$BU353</f>
        <v>-1000</v>
      </c>
      <c r="CD353" s="47">
        <f t="shared" si="1171"/>
        <v>-1000</v>
      </c>
      <c r="CE353" s="47">
        <f t="shared" si="1171"/>
        <v>-1000</v>
      </c>
      <c r="CF353" s="47">
        <f t="shared" si="1171"/>
        <v>-1000</v>
      </c>
      <c r="CG353" s="47">
        <f t="shared" si="1171"/>
        <v>-1000</v>
      </c>
      <c r="CH353" s="47">
        <f t="shared" si="1171"/>
        <v>-1000</v>
      </c>
      <c r="CI353" s="47">
        <f t="shared" si="1171"/>
        <v>-1000</v>
      </c>
      <c r="CJ353" s="47">
        <f t="shared" si="1171"/>
        <v>-1000</v>
      </c>
      <c r="CK353" s="47">
        <f t="shared" si="1171"/>
        <v>-1000</v>
      </c>
      <c r="CL353" s="47">
        <f t="shared" si="1171"/>
        <v>-1000</v>
      </c>
      <c r="CM353" s="47">
        <f t="shared" si="1171"/>
        <v>-1000</v>
      </c>
      <c r="CN353" s="47">
        <f t="shared" si="1171"/>
        <v>-1000</v>
      </c>
      <c r="CO353" s="47">
        <f t="shared" si="1171"/>
        <v>-1000</v>
      </c>
      <c r="CP353" s="47">
        <f t="shared" si="1171"/>
        <v>-1000</v>
      </c>
      <c r="CQ353" s="47">
        <f t="shared" si="1171"/>
        <v>-1000</v>
      </c>
      <c r="CR353" s="47"/>
      <c r="CS353" s="47"/>
      <c r="CT353" s="47"/>
      <c r="CU353" s="50" t="str">
        <f>IFERROR(__xludf.DUMMYFUNCTION("""COMPUTED_VALUE"""),"10462 North Nicklaus Dr
Fountain Hill, AZ 85268        ")</f>
        <v>10462 North Nicklaus Dr
Fountain Hill, AZ 85268        </v>
      </c>
      <c r="CV353" s="51">
        <f>IFERROR(__xludf.DUMMYFUNCTION("IF(REGEXMATCH(UPPER(CU353), ""TX""),0,1)"),1.0)</f>
        <v>1</v>
      </c>
      <c r="CW353" s="51">
        <f>IFERROR(__xludf.DUMMYFUNCTION("IF(REGEXMATCH(UPPER(CU353), ""DALLAS""),0,1)"),1.0)</f>
        <v>1</v>
      </c>
      <c r="CX353" s="51">
        <f t="shared" si="17"/>
        <v>500</v>
      </c>
      <c r="CY353" s="51">
        <f t="shared" si="18"/>
        <v>500</v>
      </c>
      <c r="CZ353" s="52" t="str">
        <f t="shared" si="19"/>
        <v>10462 North Nicklaus Dr
Fountain Hill, AZ 85268        </v>
      </c>
      <c r="DA353" s="58"/>
      <c r="DB353" s="52"/>
      <c r="DC353" s="52"/>
      <c r="DD353" s="52"/>
      <c r="DE353" s="52"/>
      <c r="DF353" s="52"/>
      <c r="DG353" s="52"/>
      <c r="DH353" s="52"/>
      <c r="DI353" s="52"/>
      <c r="DJ353" s="52"/>
      <c r="DK353" s="52"/>
      <c r="DL353" s="52"/>
      <c r="DM353" s="52"/>
      <c r="DN353" s="52"/>
      <c r="DO353" s="52"/>
      <c r="DP353" s="52"/>
      <c r="DQ353" s="52"/>
      <c r="DR353" s="52"/>
      <c r="DS353" s="52"/>
      <c r="DT353" s="52"/>
      <c r="DU353" s="52"/>
      <c r="DV353" s="52"/>
      <c r="DW353" s="52"/>
    </row>
    <row r="354">
      <c r="A354" s="22" t="s">
        <v>55</v>
      </c>
      <c r="B354" s="23" t="s">
        <v>56</v>
      </c>
      <c r="C354" s="31" t="s">
        <v>982</v>
      </c>
      <c r="D354" s="25" t="str">
        <f>IFERROR(__xludf.DUMMYFUNCTION("SPLIT(C354,"" "")"),"Walsh,")</f>
        <v>Walsh,</v>
      </c>
      <c r="E354" s="22" t="str">
        <f>IFERROR(__xludf.DUMMYFUNCTION("""COMPUTED_VALUE"""),"Patrick
6502")</f>
        <v>Patrick
6502</v>
      </c>
      <c r="F354" s="22" t="str">
        <f>IFERROR(__xludf.DUMMYFUNCTION("""COMPUTED_VALUE"""),"Deloache")</f>
        <v>Deloache</v>
      </c>
      <c r="G354" s="22" t="str">
        <f>IFERROR(__xludf.DUMMYFUNCTION("""COMPUTED_VALUE"""),"Ave
Dallas,")</f>
        <v>Ave
Dallas,</v>
      </c>
      <c r="H354" s="22" t="str">
        <f>IFERROR(__xludf.DUMMYFUNCTION("""COMPUTED_VALUE"""),"TX")</f>
        <v>TX</v>
      </c>
      <c r="I354" s="22">
        <f>IFERROR(__xludf.DUMMYFUNCTION("""COMPUTED_VALUE"""),75225.0)</f>
        <v>75225</v>
      </c>
      <c r="J354" s="22"/>
      <c r="K354" s="22"/>
      <c r="L354" s="22"/>
      <c r="M354" s="22"/>
      <c r="N354" s="22"/>
      <c r="O354" s="22"/>
      <c r="P354" s="22"/>
      <c r="Q354" s="22"/>
      <c r="R354" s="22"/>
      <c r="S354" s="22"/>
      <c r="T354" s="22"/>
      <c r="U354" s="24" t="str">
        <f>IFERROR(__xludf.DUMMYFUNCTION("SPLIT(E354,""01234567890"")"),"Patrick
")</f>
        <v>Patrick
</v>
      </c>
      <c r="V354" s="24" t="str">
        <f>IFERROR(__xludf.DUMMYFUNCTION("SPLIT(D354,"","")"),"Walsh")</f>
        <v>Walsh</v>
      </c>
      <c r="W354" s="25" t="str">
        <f t="shared" si="1"/>
        <v>PATRICK
 WALSH</v>
      </c>
      <c r="X354" s="25" t="s">
        <v>983</v>
      </c>
      <c r="Y354" s="25">
        <v>75225.0</v>
      </c>
      <c r="Z354" s="25" t="str">
        <f>IFERROR(__xludf.DUMMYFUNCTION("SPLIT(C354,""
"")"),"Walsh, Patrick")</f>
        <v>Walsh, Patrick</v>
      </c>
      <c r="AA354" s="25" t="str">
        <f>IFERROR(__xludf.DUMMYFUNCTION("""COMPUTED_VALUE"""),"6502 Deloache Ave")</f>
        <v>6502 Deloache Ave</v>
      </c>
      <c r="AB354" s="25" t="str">
        <f>IFERROR(__xludf.DUMMYFUNCTION("""COMPUTED_VALUE"""),"Dallas, TX 75225")</f>
        <v>Dallas, TX 75225</v>
      </c>
      <c r="AC354" s="24" t="s">
        <v>984</v>
      </c>
      <c r="AD354" s="25"/>
      <c r="AE354" s="25"/>
      <c r="AF354" s="25"/>
      <c r="AG354" s="22" t="s">
        <v>60</v>
      </c>
      <c r="AH354" s="54">
        <v>2437.0</v>
      </c>
      <c r="AI354" s="22" t="s">
        <v>61</v>
      </c>
      <c r="AJ354" s="27">
        <v>500.0</v>
      </c>
      <c r="AK354" s="31" t="s">
        <v>25</v>
      </c>
      <c r="AL354" s="28">
        <v>44722.0</v>
      </c>
      <c r="AM354" s="29">
        <v>44754.83237268519</v>
      </c>
      <c r="AN354" s="30">
        <v>2.0</v>
      </c>
      <c r="AO354" s="22"/>
      <c r="AP354" s="22"/>
      <c r="AQ354" s="22"/>
      <c r="AR354" s="22"/>
      <c r="AS354" s="22"/>
      <c r="AT354" s="70"/>
      <c r="AU354" s="22"/>
      <c r="AV354" s="57" t="str">
        <f>IFERROR(__xludf.DUMMYFUNCTION("""COMPUTED_VALUE"""),"Gole")</f>
        <v>Gole</v>
      </c>
      <c r="AW354" s="46">
        <f t="shared" si="7"/>
        <v>50</v>
      </c>
      <c r="AX354" s="47">
        <f t="shared" ref="AX354:BQ354" si="1172">SUMIFS($AJ:$AJ,$V:$V,$AV354,$AK:$AK,AX$2)</f>
        <v>0</v>
      </c>
      <c r="AY354" s="48">
        <f t="shared" si="1172"/>
        <v>0</v>
      </c>
      <c r="AZ354" s="48">
        <f t="shared" si="1172"/>
        <v>0</v>
      </c>
      <c r="BA354" s="48">
        <f t="shared" si="1172"/>
        <v>50</v>
      </c>
      <c r="BB354" s="48">
        <f t="shared" si="1172"/>
        <v>0</v>
      </c>
      <c r="BC354" s="48">
        <f t="shared" si="1172"/>
        <v>0</v>
      </c>
      <c r="BD354" s="48">
        <f t="shared" si="1172"/>
        <v>0</v>
      </c>
      <c r="BE354" s="48">
        <f t="shared" si="1172"/>
        <v>0</v>
      </c>
      <c r="BF354" s="48">
        <f t="shared" si="1172"/>
        <v>0</v>
      </c>
      <c r="BG354" s="48">
        <f t="shared" si="1172"/>
        <v>0</v>
      </c>
      <c r="BH354" s="48">
        <f t="shared" si="1172"/>
        <v>0</v>
      </c>
      <c r="BI354" s="48">
        <f t="shared" si="1172"/>
        <v>0</v>
      </c>
      <c r="BJ354" s="48">
        <f t="shared" si="1172"/>
        <v>0</v>
      </c>
      <c r="BK354" s="48">
        <f t="shared" si="1172"/>
        <v>0</v>
      </c>
      <c r="BL354" s="48">
        <f t="shared" si="1172"/>
        <v>0</v>
      </c>
      <c r="BM354" s="48">
        <f t="shared" si="1172"/>
        <v>0</v>
      </c>
      <c r="BN354" s="48">
        <f t="shared" si="1172"/>
        <v>0</v>
      </c>
      <c r="BO354" s="48">
        <f t="shared" si="1172"/>
        <v>0</v>
      </c>
      <c r="BP354" s="48">
        <f t="shared" si="1172"/>
        <v>0</v>
      </c>
      <c r="BQ354" s="48">
        <f t="shared" si="1172"/>
        <v>0</v>
      </c>
      <c r="BR354" s="36">
        <f t="shared" si="9"/>
        <v>0</v>
      </c>
      <c r="BS354" s="38">
        <f t="shared" si="10"/>
        <v>1</v>
      </c>
      <c r="BT354" s="49">
        <f t="shared" si="11"/>
        <v>0</v>
      </c>
      <c r="BU354" s="38">
        <f t="shared" si="12"/>
        <v>1000</v>
      </c>
      <c r="BV354" s="57" t="str">
        <f>IFERROR(__xludf.DUMMYFUNCTION("""COMPUTED_VALUE"""),"Gole")</f>
        <v>Gole</v>
      </c>
      <c r="BW354" s="46">
        <f t="shared" si="13"/>
        <v>50</v>
      </c>
      <c r="BX354" s="47">
        <f t="shared" ref="BX354:CA354" si="1173">AX354-$BU354</f>
        <v>-1000</v>
      </c>
      <c r="BY354" s="47">
        <f t="shared" si="1173"/>
        <v>-1000</v>
      </c>
      <c r="BZ354" s="47">
        <f t="shared" si="1173"/>
        <v>-1000</v>
      </c>
      <c r="CA354" s="47">
        <f t="shared" si="1173"/>
        <v>-950</v>
      </c>
      <c r="CB354" s="47">
        <f t="shared" si="15"/>
        <v>-10000</v>
      </c>
      <c r="CC354" s="47">
        <f t="shared" ref="CC354:CQ354" si="1174">BC354-$BU354</f>
        <v>-1000</v>
      </c>
      <c r="CD354" s="47">
        <f t="shared" si="1174"/>
        <v>-1000</v>
      </c>
      <c r="CE354" s="47">
        <f t="shared" si="1174"/>
        <v>-1000</v>
      </c>
      <c r="CF354" s="47">
        <f t="shared" si="1174"/>
        <v>-1000</v>
      </c>
      <c r="CG354" s="47">
        <f t="shared" si="1174"/>
        <v>-1000</v>
      </c>
      <c r="CH354" s="47">
        <f t="shared" si="1174"/>
        <v>-1000</v>
      </c>
      <c r="CI354" s="47">
        <f t="shared" si="1174"/>
        <v>-1000</v>
      </c>
      <c r="CJ354" s="47">
        <f t="shared" si="1174"/>
        <v>-1000</v>
      </c>
      <c r="CK354" s="47">
        <f t="shared" si="1174"/>
        <v>-1000</v>
      </c>
      <c r="CL354" s="47">
        <f t="shared" si="1174"/>
        <v>-1000</v>
      </c>
      <c r="CM354" s="47">
        <f t="shared" si="1174"/>
        <v>-1000</v>
      </c>
      <c r="CN354" s="47">
        <f t="shared" si="1174"/>
        <v>-1000</v>
      </c>
      <c r="CO354" s="47">
        <f t="shared" si="1174"/>
        <v>-1000</v>
      </c>
      <c r="CP354" s="47">
        <f t="shared" si="1174"/>
        <v>-1000</v>
      </c>
      <c r="CQ354" s="47">
        <f t="shared" si="1174"/>
        <v>-1000</v>
      </c>
      <c r="CR354" s="47"/>
      <c r="CS354" s="47"/>
      <c r="CT354" s="47"/>
      <c r="CU354" s="50" t="str">
        <f>IFERROR(__xludf.DUMMYFUNCTION("""COMPUTED_VALUE"""),"345 Glen Iris Drive NE
Atlanta, GA 30312        ")</f>
        <v>345 Glen Iris Drive NE
Atlanta, GA 30312        </v>
      </c>
      <c r="CV354" s="51">
        <f>IFERROR(__xludf.DUMMYFUNCTION("IF(REGEXMATCH(UPPER(CU354), ""TX""),0,1)"),1.0)</f>
        <v>1</v>
      </c>
      <c r="CW354" s="51">
        <f>IFERROR(__xludf.DUMMYFUNCTION("IF(REGEXMATCH(UPPER(CU354), ""DALLAS""),0,1)"),1.0)</f>
        <v>1</v>
      </c>
      <c r="CX354" s="51">
        <f t="shared" si="17"/>
        <v>500</v>
      </c>
      <c r="CY354" s="51">
        <f t="shared" si="18"/>
        <v>500</v>
      </c>
      <c r="CZ354" s="52" t="str">
        <f t="shared" si="19"/>
        <v>345 Glen Iris Drive NE
Atlanta, GA 30312        </v>
      </c>
      <c r="DA354" s="58"/>
      <c r="DB354" s="52"/>
      <c r="DC354" s="52"/>
      <c r="DD354" s="52"/>
      <c r="DE354" s="52"/>
      <c r="DF354" s="52"/>
      <c r="DG354" s="52"/>
      <c r="DH354" s="52"/>
      <c r="DI354" s="52"/>
      <c r="DJ354" s="52"/>
      <c r="DK354" s="52"/>
      <c r="DL354" s="52"/>
      <c r="DM354" s="52"/>
      <c r="DN354" s="52"/>
      <c r="DO354" s="52"/>
      <c r="DP354" s="52"/>
      <c r="DQ354" s="52"/>
      <c r="DR354" s="52"/>
      <c r="DS354" s="52"/>
      <c r="DT354" s="52"/>
      <c r="DU354" s="52"/>
      <c r="DV354" s="52"/>
      <c r="DW354" s="52"/>
    </row>
    <row r="355">
      <c r="A355" s="41" t="s">
        <v>64</v>
      </c>
      <c r="B355" s="41" t="s">
        <v>56</v>
      </c>
      <c r="C355" s="31" t="s">
        <v>125</v>
      </c>
      <c r="D355" s="25" t="str">
        <f>IFERROR(__xludf.DUMMYFUNCTION("SPLIT(C355,"" "")"),"Agarwal,")</f>
        <v>Agarwal,</v>
      </c>
      <c r="E355" s="40" t="str">
        <f>IFERROR(__xludf.DUMMYFUNCTION("""COMPUTED_VALUE"""),"Jiten
13710")</f>
        <v>Jiten
13710</v>
      </c>
      <c r="F355" s="40" t="str">
        <f>IFERROR(__xludf.DUMMYFUNCTION("""COMPUTED_VALUE"""),"Slate")</f>
        <v>Slate</v>
      </c>
      <c r="G355" s="40" t="str">
        <f>IFERROR(__xludf.DUMMYFUNCTION("""COMPUTED_VALUE"""),"Creek")</f>
        <v>Creek</v>
      </c>
      <c r="H355" s="40" t="str">
        <f>IFERROR(__xludf.DUMMYFUNCTION("""COMPUTED_VALUE"""),"Lane
Houston,")</f>
        <v>Lane
Houston,</v>
      </c>
      <c r="I355" s="40" t="str">
        <f>IFERROR(__xludf.DUMMYFUNCTION("""COMPUTED_VALUE"""),"TX")</f>
        <v>TX</v>
      </c>
      <c r="J355" s="40">
        <f>IFERROR(__xludf.DUMMYFUNCTION("""COMPUTED_VALUE"""),77077.0)</f>
        <v>77077</v>
      </c>
      <c r="K355" s="40"/>
      <c r="L355" s="40"/>
      <c r="M355" s="40"/>
      <c r="N355" s="40"/>
      <c r="O355" s="40"/>
      <c r="P355" s="40"/>
      <c r="Q355" s="40"/>
      <c r="R355" s="40"/>
      <c r="S355" s="40"/>
      <c r="T355" s="40"/>
      <c r="U355" s="24" t="str">
        <f>IFERROR(__xludf.DUMMYFUNCTION("SPLIT(E355,""01234567890"")"),"Jiten
")</f>
        <v>Jiten
</v>
      </c>
      <c r="V355" s="24" t="str">
        <f>IFERROR(__xludf.DUMMYFUNCTION("SPLIT(D355,"","")"),"Agarwal")</f>
        <v>Agarwal</v>
      </c>
      <c r="W355" s="25" t="str">
        <f t="shared" si="1"/>
        <v>JITEN
 AGARWAL</v>
      </c>
      <c r="X355" s="25" t="s">
        <v>126</v>
      </c>
      <c r="Y355" s="25">
        <v>77077.0</v>
      </c>
      <c r="Z355" s="25" t="str">
        <f>IFERROR(__xludf.DUMMYFUNCTION("SPLIT(C355,""
"")"),"Agarwal, Jiten")</f>
        <v>Agarwal, Jiten</v>
      </c>
      <c r="AA355" s="25" t="str">
        <f>IFERROR(__xludf.DUMMYFUNCTION("""COMPUTED_VALUE"""),"13710 Slate Creek Lane")</f>
        <v>13710 Slate Creek Lane</v>
      </c>
      <c r="AB355" s="25" t="str">
        <f>IFERROR(__xludf.DUMMYFUNCTION("""COMPUTED_VALUE"""),"Houston, TX 77077")</f>
        <v>Houston, TX 77077</v>
      </c>
      <c r="AC355" s="24" t="s">
        <v>127</v>
      </c>
      <c r="AD355" s="25"/>
      <c r="AE355" s="25"/>
      <c r="AF355" s="25"/>
      <c r="AG355" s="40" t="s">
        <v>60</v>
      </c>
      <c r="AH355" s="42">
        <v>2437.0</v>
      </c>
      <c r="AI355" s="40" t="s">
        <v>61</v>
      </c>
      <c r="AJ355" s="27">
        <v>1000.0</v>
      </c>
      <c r="AK355" s="31" t="s">
        <v>25</v>
      </c>
      <c r="AL355" s="43">
        <v>44722.0</v>
      </c>
      <c r="AM355" s="44">
        <v>44754.83237268519</v>
      </c>
      <c r="AN355" s="30">
        <v>2.0</v>
      </c>
      <c r="AO355" s="40"/>
      <c r="AP355" s="40"/>
      <c r="AQ355" s="40"/>
      <c r="AR355" s="40"/>
      <c r="AS355" s="40"/>
      <c r="AT355" s="47"/>
      <c r="AU355" s="40"/>
      <c r="AV355" s="46" t="str">
        <f>IFERROR(__xludf.DUMMYFUNCTION("""COMPUTED_VALUE"""),"Warner")</f>
        <v>Warner</v>
      </c>
      <c r="AW355" s="46">
        <f t="shared" si="7"/>
        <v>2000</v>
      </c>
      <c r="AX355" s="47">
        <f t="shared" ref="AX355:BQ355" si="1175">SUMIFS($AJ:$AJ,$V:$V,$AV355,$AK:$AK,AX$2)</f>
        <v>0</v>
      </c>
      <c r="AY355" s="48">
        <f t="shared" si="1175"/>
        <v>0</v>
      </c>
      <c r="AZ355" s="48">
        <f t="shared" si="1175"/>
        <v>0</v>
      </c>
      <c r="BA355" s="48">
        <f t="shared" si="1175"/>
        <v>1000</v>
      </c>
      <c r="BB355" s="48">
        <f t="shared" si="1175"/>
        <v>1000</v>
      </c>
      <c r="BC355" s="48">
        <f t="shared" si="1175"/>
        <v>0</v>
      </c>
      <c r="BD355" s="48">
        <f t="shared" si="1175"/>
        <v>0</v>
      </c>
      <c r="BE355" s="48">
        <f t="shared" si="1175"/>
        <v>0</v>
      </c>
      <c r="BF355" s="48">
        <f t="shared" si="1175"/>
        <v>0</v>
      </c>
      <c r="BG355" s="48">
        <f t="shared" si="1175"/>
        <v>0</v>
      </c>
      <c r="BH355" s="48">
        <f t="shared" si="1175"/>
        <v>0</v>
      </c>
      <c r="BI355" s="48">
        <f t="shared" si="1175"/>
        <v>0</v>
      </c>
      <c r="BJ355" s="48">
        <f t="shared" si="1175"/>
        <v>0</v>
      </c>
      <c r="BK355" s="48">
        <f t="shared" si="1175"/>
        <v>0</v>
      </c>
      <c r="BL355" s="48">
        <f t="shared" si="1175"/>
        <v>0</v>
      </c>
      <c r="BM355" s="48">
        <f t="shared" si="1175"/>
        <v>0</v>
      </c>
      <c r="BN355" s="48">
        <f t="shared" si="1175"/>
        <v>0</v>
      </c>
      <c r="BO355" s="48">
        <f t="shared" si="1175"/>
        <v>0</v>
      </c>
      <c r="BP355" s="48">
        <f t="shared" si="1175"/>
        <v>0</v>
      </c>
      <c r="BQ355" s="48">
        <f t="shared" si="1175"/>
        <v>0</v>
      </c>
      <c r="BR355" s="36">
        <f t="shared" si="9"/>
        <v>0</v>
      </c>
      <c r="BS355" s="38">
        <f t="shared" si="10"/>
        <v>1</v>
      </c>
      <c r="BT355" s="49">
        <f t="shared" si="11"/>
        <v>0</v>
      </c>
      <c r="BU355" s="38">
        <f t="shared" si="12"/>
        <v>1000</v>
      </c>
      <c r="BV355" s="46" t="str">
        <f>IFERROR(__xludf.DUMMYFUNCTION("""COMPUTED_VALUE"""),"Warner")</f>
        <v>Warner</v>
      </c>
      <c r="BW355" s="46">
        <f t="shared" si="13"/>
        <v>2000</v>
      </c>
      <c r="BX355" s="47">
        <f t="shared" ref="BX355:CA355" si="1176">AX355-$BU355</f>
        <v>-1000</v>
      </c>
      <c r="BY355" s="47">
        <f t="shared" si="1176"/>
        <v>-1000</v>
      </c>
      <c r="BZ355" s="47">
        <f t="shared" si="1176"/>
        <v>-1000</v>
      </c>
      <c r="CA355" s="47">
        <f t="shared" si="1176"/>
        <v>0</v>
      </c>
      <c r="CB355" s="47">
        <f t="shared" si="15"/>
        <v>-9000</v>
      </c>
      <c r="CC355" s="47">
        <f t="shared" ref="CC355:CQ355" si="1177">BC355-$BU355</f>
        <v>-1000</v>
      </c>
      <c r="CD355" s="47">
        <f t="shared" si="1177"/>
        <v>-1000</v>
      </c>
      <c r="CE355" s="47">
        <f t="shared" si="1177"/>
        <v>-1000</v>
      </c>
      <c r="CF355" s="47">
        <f t="shared" si="1177"/>
        <v>-1000</v>
      </c>
      <c r="CG355" s="47">
        <f t="shared" si="1177"/>
        <v>-1000</v>
      </c>
      <c r="CH355" s="47">
        <f t="shared" si="1177"/>
        <v>-1000</v>
      </c>
      <c r="CI355" s="47">
        <f t="shared" si="1177"/>
        <v>-1000</v>
      </c>
      <c r="CJ355" s="47">
        <f t="shared" si="1177"/>
        <v>-1000</v>
      </c>
      <c r="CK355" s="47">
        <f t="shared" si="1177"/>
        <v>-1000</v>
      </c>
      <c r="CL355" s="47">
        <f t="shared" si="1177"/>
        <v>-1000</v>
      </c>
      <c r="CM355" s="47">
        <f t="shared" si="1177"/>
        <v>-1000</v>
      </c>
      <c r="CN355" s="47">
        <f t="shared" si="1177"/>
        <v>-1000</v>
      </c>
      <c r="CO355" s="47">
        <f t="shared" si="1177"/>
        <v>-1000</v>
      </c>
      <c r="CP355" s="47">
        <f t="shared" si="1177"/>
        <v>-1000</v>
      </c>
      <c r="CQ355" s="47">
        <f t="shared" si="1177"/>
        <v>-1000</v>
      </c>
      <c r="CR355" s="47"/>
      <c r="CS355" s="47"/>
      <c r="CT355" s="47"/>
      <c r="CU355" s="50" t="str">
        <f>IFERROR(__xludf.DUMMYFUNCTION("""COMPUTED_VALUE"""),"5306 Surrey Circle
Dallas, TX 75209          ")</f>
        <v>5306 Surrey Circle
Dallas, TX 75209          </v>
      </c>
      <c r="CV355" s="51">
        <f>IFERROR(__xludf.DUMMYFUNCTION("IF(REGEXMATCH(UPPER(CU355), ""TX""),0,1)"),0.0)</f>
        <v>0</v>
      </c>
      <c r="CW355" s="51">
        <f>IFERROR(__xludf.DUMMYFUNCTION("IF(REGEXMATCH(UPPER(CU355), ""DALLAS""),0,1)"),0.0)</f>
        <v>0</v>
      </c>
      <c r="CX355" s="51">
        <f t="shared" si="17"/>
        <v>0</v>
      </c>
      <c r="CY355" s="51">
        <f t="shared" si="18"/>
        <v>0</v>
      </c>
      <c r="CZ355" s="52" t="str">
        <f t="shared" si="19"/>
        <v/>
      </c>
      <c r="DA355" s="58"/>
      <c r="DB355" s="52"/>
      <c r="DC355" s="52"/>
      <c r="DD355" s="52"/>
      <c r="DE355" s="52"/>
      <c r="DF355" s="52"/>
      <c r="DG355" s="52"/>
      <c r="DH355" s="52"/>
      <c r="DI355" s="52"/>
      <c r="DJ355" s="52"/>
      <c r="DK355" s="52"/>
      <c r="DL355" s="52"/>
      <c r="DM355" s="52"/>
      <c r="DN355" s="52"/>
      <c r="DO355" s="52"/>
      <c r="DP355" s="52"/>
      <c r="DQ355" s="52"/>
      <c r="DR355" s="52"/>
      <c r="DS355" s="52"/>
      <c r="DT355" s="52"/>
      <c r="DU355" s="52"/>
      <c r="DV355" s="52"/>
      <c r="DW355" s="52"/>
    </row>
    <row r="356">
      <c r="A356" s="22" t="s">
        <v>55</v>
      </c>
      <c r="B356" s="23" t="s">
        <v>56</v>
      </c>
      <c r="C356" s="31" t="s">
        <v>985</v>
      </c>
      <c r="D356" s="25" t="str">
        <f>IFERROR(__xludf.DUMMYFUNCTION("SPLIT(C356,"" "")"),"Shidid,")</f>
        <v>Shidid,</v>
      </c>
      <c r="E356" s="22" t="str">
        <f>IFERROR(__xludf.DUMMYFUNCTION("""COMPUTED_VALUE"""),"Tony
6208")</f>
        <v>Tony
6208</v>
      </c>
      <c r="F356" s="22" t="str">
        <f>IFERROR(__xludf.DUMMYFUNCTION("""COMPUTED_VALUE"""),"Copperhill")</f>
        <v>Copperhill</v>
      </c>
      <c r="G356" s="22" t="str">
        <f>IFERROR(__xludf.DUMMYFUNCTION("""COMPUTED_VALUE"""),"Dr
Dallas,")</f>
        <v>Dr
Dallas,</v>
      </c>
      <c r="H356" s="22" t="str">
        <f>IFERROR(__xludf.DUMMYFUNCTION("""COMPUTED_VALUE"""),"TX")</f>
        <v>TX</v>
      </c>
      <c r="I356" s="22">
        <f>IFERROR(__xludf.DUMMYFUNCTION("""COMPUTED_VALUE"""),75248.0)</f>
        <v>75248</v>
      </c>
      <c r="J356" s="22"/>
      <c r="K356" s="22"/>
      <c r="L356" s="22"/>
      <c r="M356" s="22"/>
      <c r="N356" s="22"/>
      <c r="O356" s="22"/>
      <c r="P356" s="22"/>
      <c r="Q356" s="22"/>
      <c r="R356" s="22"/>
      <c r="S356" s="22"/>
      <c r="T356" s="22"/>
      <c r="U356" s="24" t="str">
        <f>IFERROR(__xludf.DUMMYFUNCTION("SPLIT(E356,""01234567890"")"),"Tony
")</f>
        <v>Tony
</v>
      </c>
      <c r="V356" s="24" t="str">
        <f>IFERROR(__xludf.DUMMYFUNCTION("SPLIT(D356,"","")"),"Shidid")</f>
        <v>Shidid</v>
      </c>
      <c r="W356" s="25" t="str">
        <f t="shared" si="1"/>
        <v>TONY
 SHIDID</v>
      </c>
      <c r="X356" s="25" t="s">
        <v>986</v>
      </c>
      <c r="Y356" s="25">
        <v>75248.0</v>
      </c>
      <c r="Z356" s="25" t="str">
        <f>IFERROR(__xludf.DUMMYFUNCTION("SPLIT(C356,""
"")"),"Shidid, Tony")</f>
        <v>Shidid, Tony</v>
      </c>
      <c r="AA356" s="25" t="str">
        <f>IFERROR(__xludf.DUMMYFUNCTION("""COMPUTED_VALUE"""),"6208 Copperhill Dr")</f>
        <v>6208 Copperhill Dr</v>
      </c>
      <c r="AB356" s="25" t="str">
        <f>IFERROR(__xludf.DUMMYFUNCTION("""COMPUTED_VALUE"""),"Dallas, TX 75248")</f>
        <v>Dallas, TX 75248</v>
      </c>
      <c r="AC356" s="24" t="s">
        <v>987</v>
      </c>
      <c r="AD356" s="25"/>
      <c r="AE356" s="25"/>
      <c r="AF356" s="25"/>
      <c r="AG356" s="22" t="s">
        <v>60</v>
      </c>
      <c r="AH356" s="54">
        <v>2437.0</v>
      </c>
      <c r="AI356" s="22" t="s">
        <v>61</v>
      </c>
      <c r="AJ356" s="27">
        <v>250.0</v>
      </c>
      <c r="AK356" s="31" t="s">
        <v>25</v>
      </c>
      <c r="AL356" s="28">
        <v>44721.0</v>
      </c>
      <c r="AM356" s="29">
        <v>44754.83237268519</v>
      </c>
      <c r="AN356" s="30">
        <v>2.0</v>
      </c>
      <c r="AO356" s="22"/>
      <c r="AP356" s="22"/>
      <c r="AQ356" s="22"/>
      <c r="AR356" s="22"/>
      <c r="AS356" s="22"/>
      <c r="AT356" s="70"/>
      <c r="AU356" s="22"/>
      <c r="AV356" s="57" t="str">
        <f>IFERROR(__xludf.DUMMYFUNCTION("""COMPUTED_VALUE"""),"Russo")</f>
        <v>Russo</v>
      </c>
      <c r="AW356" s="46">
        <f t="shared" si="7"/>
        <v>100</v>
      </c>
      <c r="AX356" s="47">
        <f t="shared" ref="AX356:BQ356" si="1178">SUMIFS($AJ:$AJ,$V:$V,$AV356,$AK:$AK,AX$2)</f>
        <v>0</v>
      </c>
      <c r="AY356" s="48">
        <f t="shared" si="1178"/>
        <v>0</v>
      </c>
      <c r="AZ356" s="48">
        <f t="shared" si="1178"/>
        <v>0</v>
      </c>
      <c r="BA356" s="48">
        <f t="shared" si="1178"/>
        <v>100</v>
      </c>
      <c r="BB356" s="48">
        <f t="shared" si="1178"/>
        <v>0</v>
      </c>
      <c r="BC356" s="48">
        <f t="shared" si="1178"/>
        <v>0</v>
      </c>
      <c r="BD356" s="48">
        <f t="shared" si="1178"/>
        <v>0</v>
      </c>
      <c r="BE356" s="48">
        <f t="shared" si="1178"/>
        <v>0</v>
      </c>
      <c r="BF356" s="48">
        <f t="shared" si="1178"/>
        <v>0</v>
      </c>
      <c r="BG356" s="48">
        <f t="shared" si="1178"/>
        <v>0</v>
      </c>
      <c r="BH356" s="48">
        <f t="shared" si="1178"/>
        <v>0</v>
      </c>
      <c r="BI356" s="48">
        <f t="shared" si="1178"/>
        <v>0</v>
      </c>
      <c r="BJ356" s="48">
        <f t="shared" si="1178"/>
        <v>0</v>
      </c>
      <c r="BK356" s="48">
        <f t="shared" si="1178"/>
        <v>0</v>
      </c>
      <c r="BL356" s="48">
        <f t="shared" si="1178"/>
        <v>0</v>
      </c>
      <c r="BM356" s="48">
        <f t="shared" si="1178"/>
        <v>0</v>
      </c>
      <c r="BN356" s="48">
        <f t="shared" si="1178"/>
        <v>0</v>
      </c>
      <c r="BO356" s="48">
        <f t="shared" si="1178"/>
        <v>0</v>
      </c>
      <c r="BP356" s="48">
        <f t="shared" si="1178"/>
        <v>0</v>
      </c>
      <c r="BQ356" s="48">
        <f t="shared" si="1178"/>
        <v>0</v>
      </c>
      <c r="BR356" s="36">
        <f t="shared" si="9"/>
        <v>0</v>
      </c>
      <c r="BS356" s="38">
        <f t="shared" si="10"/>
        <v>1</v>
      </c>
      <c r="BT356" s="49">
        <f t="shared" si="11"/>
        <v>0</v>
      </c>
      <c r="BU356" s="38">
        <f t="shared" si="12"/>
        <v>1000</v>
      </c>
      <c r="BV356" s="57" t="str">
        <f>IFERROR(__xludf.DUMMYFUNCTION("""COMPUTED_VALUE"""),"Russo")</f>
        <v>Russo</v>
      </c>
      <c r="BW356" s="46">
        <f t="shared" si="13"/>
        <v>100</v>
      </c>
      <c r="BX356" s="47">
        <f t="shared" ref="BX356:CA356" si="1179">AX356-$BU356</f>
        <v>-1000</v>
      </c>
      <c r="BY356" s="47">
        <f t="shared" si="1179"/>
        <v>-1000</v>
      </c>
      <c r="BZ356" s="47">
        <f t="shared" si="1179"/>
        <v>-1000</v>
      </c>
      <c r="CA356" s="47">
        <f t="shared" si="1179"/>
        <v>-900</v>
      </c>
      <c r="CB356" s="47">
        <f t="shared" si="15"/>
        <v>-10000</v>
      </c>
      <c r="CC356" s="47">
        <f t="shared" ref="CC356:CQ356" si="1180">BC356-$BU356</f>
        <v>-1000</v>
      </c>
      <c r="CD356" s="47">
        <f t="shared" si="1180"/>
        <v>-1000</v>
      </c>
      <c r="CE356" s="47">
        <f t="shared" si="1180"/>
        <v>-1000</v>
      </c>
      <c r="CF356" s="47">
        <f t="shared" si="1180"/>
        <v>-1000</v>
      </c>
      <c r="CG356" s="47">
        <f t="shared" si="1180"/>
        <v>-1000</v>
      </c>
      <c r="CH356" s="47">
        <f t="shared" si="1180"/>
        <v>-1000</v>
      </c>
      <c r="CI356" s="47">
        <f t="shared" si="1180"/>
        <v>-1000</v>
      </c>
      <c r="CJ356" s="47">
        <f t="shared" si="1180"/>
        <v>-1000</v>
      </c>
      <c r="CK356" s="47">
        <f t="shared" si="1180"/>
        <v>-1000</v>
      </c>
      <c r="CL356" s="47">
        <f t="shared" si="1180"/>
        <v>-1000</v>
      </c>
      <c r="CM356" s="47">
        <f t="shared" si="1180"/>
        <v>-1000</v>
      </c>
      <c r="CN356" s="47">
        <f t="shared" si="1180"/>
        <v>-1000</v>
      </c>
      <c r="CO356" s="47">
        <f t="shared" si="1180"/>
        <v>-1000</v>
      </c>
      <c r="CP356" s="47">
        <f t="shared" si="1180"/>
        <v>-1000</v>
      </c>
      <c r="CQ356" s="47">
        <f t="shared" si="1180"/>
        <v>-1000</v>
      </c>
      <c r="CR356" s="47"/>
      <c r="CS356" s="47"/>
      <c r="CT356" s="47"/>
      <c r="CU356" s="50" t="str">
        <f>IFERROR(__xludf.DUMMYFUNCTION("""COMPUTED_VALUE"""),"300 Crescent Court
Dallas, TX 75201          ")</f>
        <v>300 Crescent Court
Dallas, TX 75201          </v>
      </c>
      <c r="CV356" s="51">
        <f>IFERROR(__xludf.DUMMYFUNCTION("IF(REGEXMATCH(UPPER(CU356), ""TX""),0,1)"),0.0)</f>
        <v>0</v>
      </c>
      <c r="CW356" s="51">
        <f>IFERROR(__xludf.DUMMYFUNCTION("IF(REGEXMATCH(UPPER(CU356), ""DALLAS""),0,1)"),0.0)</f>
        <v>0</v>
      </c>
      <c r="CX356" s="51">
        <f t="shared" si="17"/>
        <v>0</v>
      </c>
      <c r="CY356" s="51">
        <f t="shared" si="18"/>
        <v>0</v>
      </c>
      <c r="CZ356" s="52" t="str">
        <f t="shared" si="19"/>
        <v/>
      </c>
      <c r="DA356" s="58"/>
      <c r="DB356" s="52"/>
      <c r="DC356" s="52"/>
      <c r="DD356" s="52"/>
      <c r="DE356" s="52"/>
      <c r="DF356" s="52"/>
      <c r="DG356" s="52"/>
      <c r="DH356" s="52"/>
      <c r="DI356" s="52"/>
      <c r="DJ356" s="52"/>
      <c r="DK356" s="52"/>
      <c r="DL356" s="52"/>
      <c r="DM356" s="52"/>
      <c r="DN356" s="52"/>
      <c r="DO356" s="52"/>
      <c r="DP356" s="52"/>
      <c r="DQ356" s="52"/>
      <c r="DR356" s="52"/>
      <c r="DS356" s="52"/>
      <c r="DT356" s="52"/>
      <c r="DU356" s="52"/>
      <c r="DV356" s="52"/>
      <c r="DW356" s="52"/>
    </row>
    <row r="357">
      <c r="A357" s="41" t="s">
        <v>64</v>
      </c>
      <c r="B357" s="41" t="s">
        <v>56</v>
      </c>
      <c r="C357" s="31" t="s">
        <v>988</v>
      </c>
      <c r="D357" s="25" t="str">
        <f>IFERROR(__xludf.DUMMYFUNCTION("SPLIT(C357,"" "")"),"Sanford,")</f>
        <v>Sanford,</v>
      </c>
      <c r="E357" s="40" t="str">
        <f>IFERROR(__xludf.DUMMYFUNCTION("""COMPUTED_VALUE"""),"Christa
8249")</f>
        <v>Christa
8249</v>
      </c>
      <c r="F357" s="40" t="str">
        <f>IFERROR(__xludf.DUMMYFUNCTION("""COMPUTED_VALUE"""),"Forest")</f>
        <v>Forest</v>
      </c>
      <c r="G357" s="40" t="str">
        <f>IFERROR(__xludf.DUMMYFUNCTION("""COMPUTED_VALUE"""),"Hills")</f>
        <v>Hills</v>
      </c>
      <c r="H357" s="40" t="str">
        <f>IFERROR(__xludf.DUMMYFUNCTION("""COMPUTED_VALUE"""),"Blvd
Dallas,")</f>
        <v>Blvd
Dallas,</v>
      </c>
      <c r="I357" s="40" t="str">
        <f>IFERROR(__xludf.DUMMYFUNCTION("""COMPUTED_VALUE"""),"TX")</f>
        <v>TX</v>
      </c>
      <c r="J357" s="40">
        <f>IFERROR(__xludf.DUMMYFUNCTION("""COMPUTED_VALUE"""),75218.0)</f>
        <v>75218</v>
      </c>
      <c r="K357" s="40"/>
      <c r="L357" s="40"/>
      <c r="M357" s="40"/>
      <c r="N357" s="40"/>
      <c r="O357" s="40"/>
      <c r="P357" s="40"/>
      <c r="Q357" s="40"/>
      <c r="R357" s="40"/>
      <c r="S357" s="40"/>
      <c r="T357" s="40"/>
      <c r="U357" s="24" t="str">
        <f>IFERROR(__xludf.DUMMYFUNCTION("SPLIT(E357,""01234567890"")"),"Christa
")</f>
        <v>Christa
</v>
      </c>
      <c r="V357" s="24" t="str">
        <f>IFERROR(__xludf.DUMMYFUNCTION("SPLIT(D357,"","")"),"Sanford")</f>
        <v>Sanford</v>
      </c>
      <c r="W357" s="25" t="str">
        <f t="shared" si="1"/>
        <v>CHRISTA
 SANFORD</v>
      </c>
      <c r="X357" s="25" t="s">
        <v>989</v>
      </c>
      <c r="Y357" s="25">
        <v>75218.0</v>
      </c>
      <c r="Z357" s="25" t="str">
        <f>IFERROR(__xludf.DUMMYFUNCTION("SPLIT(C357,""
"")"),"Sanford, Christa")</f>
        <v>Sanford, Christa</v>
      </c>
      <c r="AA357" s="25" t="str">
        <f>IFERROR(__xludf.DUMMYFUNCTION("""COMPUTED_VALUE"""),"8249 Forest Hills Blvd")</f>
        <v>8249 Forest Hills Blvd</v>
      </c>
      <c r="AB357" s="25" t="str">
        <f>IFERROR(__xludf.DUMMYFUNCTION("""COMPUTED_VALUE"""),"Dallas, TX 75218")</f>
        <v>Dallas, TX 75218</v>
      </c>
      <c r="AC357" s="24" t="s">
        <v>990</v>
      </c>
      <c r="AD357" s="25"/>
      <c r="AE357" s="25"/>
      <c r="AF357" s="25"/>
      <c r="AG357" s="40" t="s">
        <v>60</v>
      </c>
      <c r="AH357" s="42">
        <v>2437.0</v>
      </c>
      <c r="AI357" s="40" t="s">
        <v>61</v>
      </c>
      <c r="AJ357" s="27">
        <v>500.0</v>
      </c>
      <c r="AK357" s="31" t="s">
        <v>25</v>
      </c>
      <c r="AL357" s="43">
        <v>44721.0</v>
      </c>
      <c r="AM357" s="44">
        <v>44754.83237268519</v>
      </c>
      <c r="AN357" s="30">
        <v>2.0</v>
      </c>
      <c r="AO357" s="40"/>
      <c r="AP357" s="40"/>
      <c r="AQ357" s="40"/>
      <c r="AR357" s="40"/>
      <c r="AS357" s="40"/>
      <c r="AT357" s="47"/>
      <c r="AU357" s="40"/>
      <c r="AV357" s="46" t="str">
        <f>IFERROR(__xludf.DUMMYFUNCTION("""COMPUTED_VALUE"""),"Shapiro")</f>
        <v>Shapiro</v>
      </c>
      <c r="AW357" s="46">
        <f t="shared" si="7"/>
        <v>500</v>
      </c>
      <c r="AX357" s="47">
        <f t="shared" ref="AX357:BQ357" si="1181">SUMIFS($AJ:$AJ,$V:$V,$AV357,$AK:$AK,AX$2)</f>
        <v>0</v>
      </c>
      <c r="AY357" s="48">
        <f t="shared" si="1181"/>
        <v>0</v>
      </c>
      <c r="AZ357" s="48">
        <f t="shared" si="1181"/>
        <v>0</v>
      </c>
      <c r="BA357" s="48">
        <f t="shared" si="1181"/>
        <v>500</v>
      </c>
      <c r="BB357" s="48">
        <f t="shared" si="1181"/>
        <v>0</v>
      </c>
      <c r="BC357" s="48">
        <f t="shared" si="1181"/>
        <v>0</v>
      </c>
      <c r="BD357" s="48">
        <f t="shared" si="1181"/>
        <v>0</v>
      </c>
      <c r="BE357" s="48">
        <f t="shared" si="1181"/>
        <v>0</v>
      </c>
      <c r="BF357" s="48">
        <f t="shared" si="1181"/>
        <v>0</v>
      </c>
      <c r="BG357" s="48">
        <f t="shared" si="1181"/>
        <v>0</v>
      </c>
      <c r="BH357" s="48">
        <f t="shared" si="1181"/>
        <v>0</v>
      </c>
      <c r="BI357" s="48">
        <f t="shared" si="1181"/>
        <v>0</v>
      </c>
      <c r="BJ357" s="48">
        <f t="shared" si="1181"/>
        <v>0</v>
      </c>
      <c r="BK357" s="48">
        <f t="shared" si="1181"/>
        <v>0</v>
      </c>
      <c r="BL357" s="48">
        <f t="shared" si="1181"/>
        <v>0</v>
      </c>
      <c r="BM357" s="48">
        <f t="shared" si="1181"/>
        <v>0</v>
      </c>
      <c r="BN357" s="48">
        <f t="shared" si="1181"/>
        <v>0</v>
      </c>
      <c r="BO357" s="48">
        <f t="shared" si="1181"/>
        <v>0</v>
      </c>
      <c r="BP357" s="48">
        <f t="shared" si="1181"/>
        <v>0</v>
      </c>
      <c r="BQ357" s="48">
        <f t="shared" si="1181"/>
        <v>0</v>
      </c>
      <c r="BR357" s="36">
        <f t="shared" si="9"/>
        <v>0</v>
      </c>
      <c r="BS357" s="38">
        <f t="shared" si="10"/>
        <v>1</v>
      </c>
      <c r="BT357" s="49">
        <f t="shared" si="11"/>
        <v>0</v>
      </c>
      <c r="BU357" s="38">
        <f t="shared" si="12"/>
        <v>1000</v>
      </c>
      <c r="BV357" s="46" t="str">
        <f>IFERROR(__xludf.DUMMYFUNCTION("""COMPUTED_VALUE"""),"Shapiro")</f>
        <v>Shapiro</v>
      </c>
      <c r="BW357" s="46">
        <f t="shared" si="13"/>
        <v>500</v>
      </c>
      <c r="BX357" s="47">
        <f t="shared" ref="BX357:CA357" si="1182">AX357-$BU357</f>
        <v>-1000</v>
      </c>
      <c r="BY357" s="47">
        <f t="shared" si="1182"/>
        <v>-1000</v>
      </c>
      <c r="BZ357" s="47">
        <f t="shared" si="1182"/>
        <v>-1000</v>
      </c>
      <c r="CA357" s="47">
        <f t="shared" si="1182"/>
        <v>-500</v>
      </c>
      <c r="CB357" s="47">
        <f t="shared" si="15"/>
        <v>-10000</v>
      </c>
      <c r="CC357" s="47">
        <f t="shared" ref="CC357:CQ357" si="1183">BC357-$BU357</f>
        <v>-1000</v>
      </c>
      <c r="CD357" s="47">
        <f t="shared" si="1183"/>
        <v>-1000</v>
      </c>
      <c r="CE357" s="47">
        <f t="shared" si="1183"/>
        <v>-1000</v>
      </c>
      <c r="CF357" s="47">
        <f t="shared" si="1183"/>
        <v>-1000</v>
      </c>
      <c r="CG357" s="47">
        <f t="shared" si="1183"/>
        <v>-1000</v>
      </c>
      <c r="CH357" s="47">
        <f t="shared" si="1183"/>
        <v>-1000</v>
      </c>
      <c r="CI357" s="47">
        <f t="shared" si="1183"/>
        <v>-1000</v>
      </c>
      <c r="CJ357" s="47">
        <f t="shared" si="1183"/>
        <v>-1000</v>
      </c>
      <c r="CK357" s="47">
        <f t="shared" si="1183"/>
        <v>-1000</v>
      </c>
      <c r="CL357" s="47">
        <f t="shared" si="1183"/>
        <v>-1000</v>
      </c>
      <c r="CM357" s="47">
        <f t="shared" si="1183"/>
        <v>-1000</v>
      </c>
      <c r="CN357" s="47">
        <f t="shared" si="1183"/>
        <v>-1000</v>
      </c>
      <c r="CO357" s="47">
        <f t="shared" si="1183"/>
        <v>-1000</v>
      </c>
      <c r="CP357" s="47">
        <f t="shared" si="1183"/>
        <v>-1000</v>
      </c>
      <c r="CQ357" s="47">
        <f t="shared" si="1183"/>
        <v>-1000</v>
      </c>
      <c r="CR357" s="47"/>
      <c r="CS357" s="47"/>
      <c r="CT357" s="47"/>
      <c r="CU357" s="50" t="str">
        <f>IFERROR(__xludf.DUMMYFUNCTION("""COMPUTED_VALUE"""),"mary Pat
9216 Heatherdale rive
Dallas, TX 75243         ")</f>
        <v>mary Pat
9216 Heatherdale rive
Dallas, TX 75243         </v>
      </c>
      <c r="CV357" s="51">
        <f>IFERROR(__xludf.DUMMYFUNCTION("IF(REGEXMATCH(UPPER(CU357), ""TX""),0,1)"),0.0)</f>
        <v>0</v>
      </c>
      <c r="CW357" s="51">
        <f>IFERROR(__xludf.DUMMYFUNCTION("IF(REGEXMATCH(UPPER(CU357), ""DALLAS""),0,1)"),0.0)</f>
        <v>0</v>
      </c>
      <c r="CX357" s="51">
        <f t="shared" si="17"/>
        <v>0</v>
      </c>
      <c r="CY357" s="51">
        <f t="shared" si="18"/>
        <v>0</v>
      </c>
      <c r="CZ357" s="52" t="str">
        <f t="shared" si="19"/>
        <v/>
      </c>
      <c r="DA357" s="58"/>
      <c r="DB357" s="52"/>
      <c r="DC357" s="52"/>
      <c r="DD357" s="52"/>
      <c r="DE357" s="52"/>
      <c r="DF357" s="52"/>
      <c r="DG357" s="52"/>
      <c r="DH357" s="52"/>
      <c r="DI357" s="52"/>
      <c r="DJ357" s="52"/>
      <c r="DK357" s="52"/>
      <c r="DL357" s="52"/>
      <c r="DM357" s="52"/>
      <c r="DN357" s="52"/>
      <c r="DO357" s="52"/>
      <c r="DP357" s="52"/>
      <c r="DQ357" s="52"/>
      <c r="DR357" s="52"/>
      <c r="DS357" s="52"/>
      <c r="DT357" s="52"/>
      <c r="DU357" s="52"/>
      <c r="DV357" s="52"/>
      <c r="DW357" s="52"/>
    </row>
    <row r="358">
      <c r="A358" s="22" t="s">
        <v>55</v>
      </c>
      <c r="B358" s="23" t="s">
        <v>56</v>
      </c>
      <c r="C358" s="31" t="s">
        <v>991</v>
      </c>
      <c r="D358" s="25" t="str">
        <f>IFERROR(__xludf.DUMMYFUNCTION("SPLIT(C358,"" "")"),"Leal,")</f>
        <v>Leal,</v>
      </c>
      <c r="E358" s="22" t="str">
        <f>IFERROR(__xludf.DUMMYFUNCTION("""COMPUTED_VALUE"""),"Ben
6949")</f>
        <v>Ben
6949</v>
      </c>
      <c r="F358" s="22" t="str">
        <f>IFERROR(__xludf.DUMMYFUNCTION("""COMPUTED_VALUE"""),"Clay")</f>
        <v>Clay</v>
      </c>
      <c r="G358" s="22" t="str">
        <f>IFERROR(__xludf.DUMMYFUNCTION("""COMPUTED_VALUE"""),"Academy")</f>
        <v>Academy</v>
      </c>
      <c r="H358" s="22" t="str">
        <f>IFERROR(__xludf.DUMMYFUNCTION("""COMPUTED_VALUE"""),"Blvd
Dallas,")</f>
        <v>Blvd
Dallas,</v>
      </c>
      <c r="I358" s="22" t="str">
        <f>IFERROR(__xludf.DUMMYFUNCTION("""COMPUTED_VALUE"""),"TX")</f>
        <v>TX</v>
      </c>
      <c r="J358" s="22">
        <f>IFERROR(__xludf.DUMMYFUNCTION("""COMPUTED_VALUE"""),75236.0)</f>
        <v>75236</v>
      </c>
      <c r="K358" s="22"/>
      <c r="L358" s="22"/>
      <c r="M358" s="22"/>
      <c r="N358" s="22"/>
      <c r="O358" s="22"/>
      <c r="P358" s="22"/>
      <c r="Q358" s="22"/>
      <c r="R358" s="22"/>
      <c r="S358" s="22"/>
      <c r="T358" s="22"/>
      <c r="U358" s="24" t="str">
        <f>IFERROR(__xludf.DUMMYFUNCTION("SPLIT(E358,""01234567890"")"),"Ben
")</f>
        <v>Ben
</v>
      </c>
      <c r="V358" s="24" t="str">
        <f>IFERROR(__xludf.DUMMYFUNCTION("SPLIT(D358,"","")"),"Leal")</f>
        <v>Leal</v>
      </c>
      <c r="W358" s="25" t="str">
        <f t="shared" si="1"/>
        <v>BEN
 LEAL</v>
      </c>
      <c r="X358" s="25" t="s">
        <v>992</v>
      </c>
      <c r="Y358" s="25">
        <v>75236.0</v>
      </c>
      <c r="Z358" s="25" t="str">
        <f>IFERROR(__xludf.DUMMYFUNCTION("SPLIT(C358,""
"")"),"Leal, Ben")</f>
        <v>Leal, Ben</v>
      </c>
      <c r="AA358" s="25" t="str">
        <f>IFERROR(__xludf.DUMMYFUNCTION("""COMPUTED_VALUE"""),"6949 Clay Academy Blvd")</f>
        <v>6949 Clay Academy Blvd</v>
      </c>
      <c r="AB358" s="25" t="str">
        <f>IFERROR(__xludf.DUMMYFUNCTION("""COMPUTED_VALUE"""),"Dallas, TX 75236")</f>
        <v>Dallas, TX 75236</v>
      </c>
      <c r="AC358" s="24" t="s">
        <v>993</v>
      </c>
      <c r="AD358" s="25"/>
      <c r="AE358" s="25"/>
      <c r="AF358" s="25"/>
      <c r="AG358" s="22" t="s">
        <v>60</v>
      </c>
      <c r="AH358" s="54">
        <v>2437.0</v>
      </c>
      <c r="AI358" s="22" t="s">
        <v>61</v>
      </c>
      <c r="AJ358" s="27">
        <v>250.0</v>
      </c>
      <c r="AK358" s="31" t="s">
        <v>25</v>
      </c>
      <c r="AL358" s="28">
        <v>44721.0</v>
      </c>
      <c r="AM358" s="29">
        <v>44754.83237268519</v>
      </c>
      <c r="AN358" s="30">
        <v>2.0</v>
      </c>
      <c r="AO358" s="22"/>
      <c r="AP358" s="22"/>
      <c r="AQ358" s="22"/>
      <c r="AR358" s="22"/>
      <c r="AS358" s="22"/>
      <c r="AT358" s="70"/>
      <c r="AU358" s="22"/>
      <c r="AV358" s="57" t="str">
        <f>IFERROR(__xludf.DUMMYFUNCTION("""COMPUTED_VALUE"""),"Williams")</f>
        <v>Williams</v>
      </c>
      <c r="AW358" s="46">
        <f t="shared" si="7"/>
        <v>1560</v>
      </c>
      <c r="AX358" s="47">
        <f t="shared" ref="AX358:BQ358" si="1184">SUMIFS($AJ:$AJ,$V:$V,$AV358,$AK:$AK,AX$2)</f>
        <v>0</v>
      </c>
      <c r="AY358" s="48">
        <f t="shared" si="1184"/>
        <v>0</v>
      </c>
      <c r="AZ358" s="48">
        <f t="shared" si="1184"/>
        <v>0</v>
      </c>
      <c r="BA358" s="48">
        <f t="shared" si="1184"/>
        <v>1500</v>
      </c>
      <c r="BB358" s="48">
        <f t="shared" si="1184"/>
        <v>60</v>
      </c>
      <c r="BC358" s="48">
        <f t="shared" si="1184"/>
        <v>0</v>
      </c>
      <c r="BD358" s="48">
        <f t="shared" si="1184"/>
        <v>0</v>
      </c>
      <c r="BE358" s="48">
        <f t="shared" si="1184"/>
        <v>0</v>
      </c>
      <c r="BF358" s="48">
        <f t="shared" si="1184"/>
        <v>0</v>
      </c>
      <c r="BG358" s="48">
        <f t="shared" si="1184"/>
        <v>0</v>
      </c>
      <c r="BH358" s="48">
        <f t="shared" si="1184"/>
        <v>0</v>
      </c>
      <c r="BI358" s="48">
        <f t="shared" si="1184"/>
        <v>0</v>
      </c>
      <c r="BJ358" s="48">
        <f t="shared" si="1184"/>
        <v>0</v>
      </c>
      <c r="BK358" s="48">
        <f t="shared" si="1184"/>
        <v>0</v>
      </c>
      <c r="BL358" s="48">
        <f t="shared" si="1184"/>
        <v>0</v>
      </c>
      <c r="BM358" s="48">
        <f t="shared" si="1184"/>
        <v>0</v>
      </c>
      <c r="BN358" s="48">
        <f t="shared" si="1184"/>
        <v>0</v>
      </c>
      <c r="BO358" s="48">
        <f t="shared" si="1184"/>
        <v>0</v>
      </c>
      <c r="BP358" s="48">
        <f t="shared" si="1184"/>
        <v>0</v>
      </c>
      <c r="BQ358" s="48">
        <f t="shared" si="1184"/>
        <v>0</v>
      </c>
      <c r="BR358" s="36">
        <f t="shared" si="9"/>
        <v>1</v>
      </c>
      <c r="BS358" s="38">
        <f t="shared" si="10"/>
        <v>4</v>
      </c>
      <c r="BT358" s="49">
        <f t="shared" si="11"/>
        <v>0</v>
      </c>
      <c r="BU358" s="38">
        <f t="shared" si="12"/>
        <v>4000</v>
      </c>
      <c r="BV358" s="57" t="str">
        <f>IFERROR(__xludf.DUMMYFUNCTION("""COMPUTED_VALUE"""),"Williams")</f>
        <v>Williams</v>
      </c>
      <c r="BW358" s="46">
        <f t="shared" si="13"/>
        <v>1560</v>
      </c>
      <c r="BX358" s="47">
        <f t="shared" ref="BX358:CA358" si="1185">AX358-$BU358</f>
        <v>-4000</v>
      </c>
      <c r="BY358" s="47">
        <f t="shared" si="1185"/>
        <v>-4000</v>
      </c>
      <c r="BZ358" s="47">
        <f t="shared" si="1185"/>
        <v>-4000</v>
      </c>
      <c r="CA358" s="47">
        <f t="shared" si="1185"/>
        <v>-2500</v>
      </c>
      <c r="CB358" s="47">
        <f t="shared" si="15"/>
        <v>-39940</v>
      </c>
      <c r="CC358" s="47">
        <f t="shared" ref="CC358:CQ358" si="1186">BC358-$BU358</f>
        <v>-4000</v>
      </c>
      <c r="CD358" s="47">
        <f t="shared" si="1186"/>
        <v>-4000</v>
      </c>
      <c r="CE358" s="47">
        <f t="shared" si="1186"/>
        <v>-4000</v>
      </c>
      <c r="CF358" s="47">
        <f t="shared" si="1186"/>
        <v>-4000</v>
      </c>
      <c r="CG358" s="47">
        <f t="shared" si="1186"/>
        <v>-4000</v>
      </c>
      <c r="CH358" s="47">
        <f t="shared" si="1186"/>
        <v>-4000</v>
      </c>
      <c r="CI358" s="47">
        <f t="shared" si="1186"/>
        <v>-4000</v>
      </c>
      <c r="CJ358" s="47">
        <f t="shared" si="1186"/>
        <v>-4000</v>
      </c>
      <c r="CK358" s="47">
        <f t="shared" si="1186"/>
        <v>-4000</v>
      </c>
      <c r="CL358" s="47">
        <f t="shared" si="1186"/>
        <v>-4000</v>
      </c>
      <c r="CM358" s="47">
        <f t="shared" si="1186"/>
        <v>-4000</v>
      </c>
      <c r="CN358" s="47">
        <f t="shared" si="1186"/>
        <v>-4000</v>
      </c>
      <c r="CO358" s="47">
        <f t="shared" si="1186"/>
        <v>-4000</v>
      </c>
      <c r="CP358" s="47">
        <f t="shared" si="1186"/>
        <v>-4000</v>
      </c>
      <c r="CQ358" s="47">
        <f t="shared" si="1186"/>
        <v>-4000</v>
      </c>
      <c r="CR358" s="47"/>
      <c r="CS358" s="47"/>
      <c r="CT358" s="47"/>
      <c r="CU358" s="50" t="str">
        <f>IFERROR(__xludf.DUMMYFUNCTION("""COMPUTED_VALUE"""),"5511 Preston Fairways Dr
Dallas, TX 75252         ")</f>
        <v>5511 Preston Fairways Dr
Dallas, TX 75252         </v>
      </c>
      <c r="CV358" s="51">
        <f>IFERROR(__xludf.DUMMYFUNCTION("IF(REGEXMATCH(UPPER(CU358), ""TX""),0,1)"),0.0)</f>
        <v>0</v>
      </c>
      <c r="CW358" s="51">
        <f>IFERROR(__xludf.DUMMYFUNCTION("IF(REGEXMATCH(UPPER(CU358), ""DALLAS""),0,1)"),0.0)</f>
        <v>0</v>
      </c>
      <c r="CX358" s="51">
        <f t="shared" si="17"/>
        <v>0</v>
      </c>
      <c r="CY358" s="51">
        <f t="shared" si="18"/>
        <v>0</v>
      </c>
      <c r="CZ358" s="52" t="str">
        <f t="shared" si="19"/>
        <v/>
      </c>
      <c r="DA358" s="58"/>
      <c r="DB358" s="52"/>
      <c r="DC358" s="52"/>
      <c r="DD358" s="52"/>
      <c r="DE358" s="52"/>
      <c r="DF358" s="52"/>
      <c r="DG358" s="52"/>
      <c r="DH358" s="52"/>
      <c r="DI358" s="52"/>
      <c r="DJ358" s="52"/>
      <c r="DK358" s="52"/>
      <c r="DL358" s="52"/>
      <c r="DM358" s="52"/>
      <c r="DN358" s="52"/>
      <c r="DO358" s="52"/>
      <c r="DP358" s="52"/>
      <c r="DQ358" s="52"/>
      <c r="DR358" s="52"/>
      <c r="DS358" s="52"/>
      <c r="DT358" s="52"/>
      <c r="DU358" s="52"/>
      <c r="DV358" s="52"/>
      <c r="DW358" s="52"/>
    </row>
    <row r="359">
      <c r="A359" s="41" t="s">
        <v>64</v>
      </c>
      <c r="B359" s="41" t="s">
        <v>56</v>
      </c>
      <c r="C359" s="31" t="s">
        <v>994</v>
      </c>
      <c r="D359" s="25" t="str">
        <f>IFERROR(__xludf.DUMMYFUNCTION("SPLIT(C359,"" "")"),"Johnson,")</f>
        <v>Johnson,</v>
      </c>
      <c r="E359" s="40" t="str">
        <f>IFERROR(__xludf.DUMMYFUNCTION("""COMPUTED_VALUE"""),"Jacob
3107")</f>
        <v>Jacob
3107</v>
      </c>
      <c r="F359" s="40" t="str">
        <f>IFERROR(__xludf.DUMMYFUNCTION("""COMPUTED_VALUE"""),"West")</f>
        <v>West</v>
      </c>
      <c r="G359" s="40" t="str">
        <f>IFERROR(__xludf.DUMMYFUNCTION("""COMPUTED_VALUE"""),"Camp")</f>
        <v>Camp</v>
      </c>
      <c r="H359" s="40" t="str">
        <f>IFERROR(__xludf.DUMMYFUNCTION("""COMPUTED_VALUE"""),"Wisdom")</f>
        <v>Wisdom</v>
      </c>
      <c r="I359" s="40" t="str">
        <f>IFERROR(__xludf.DUMMYFUNCTION("""COMPUTED_VALUE"""),"Rd
Dallas,")</f>
        <v>Rd
Dallas,</v>
      </c>
      <c r="J359" s="40" t="str">
        <f>IFERROR(__xludf.DUMMYFUNCTION("""COMPUTED_VALUE"""),"TX")</f>
        <v>TX</v>
      </c>
      <c r="K359" s="40">
        <f>IFERROR(__xludf.DUMMYFUNCTION("""COMPUTED_VALUE"""),75237.0)</f>
        <v>75237</v>
      </c>
      <c r="L359" s="40"/>
      <c r="M359" s="40"/>
      <c r="N359" s="40"/>
      <c r="O359" s="40"/>
      <c r="P359" s="40"/>
      <c r="Q359" s="40"/>
      <c r="R359" s="40"/>
      <c r="S359" s="40"/>
      <c r="T359" s="40"/>
      <c r="U359" s="24" t="str">
        <f>IFERROR(__xludf.DUMMYFUNCTION("SPLIT(E359,""01234567890"")"),"Jacob
")</f>
        <v>Jacob
</v>
      </c>
      <c r="V359" s="24" t="str">
        <f>IFERROR(__xludf.DUMMYFUNCTION("SPLIT(D359,"","")"),"Johnson")</f>
        <v>Johnson</v>
      </c>
      <c r="W359" s="25" t="str">
        <f t="shared" si="1"/>
        <v>JACOB
 JOHNSON</v>
      </c>
      <c r="X359" s="25" t="s">
        <v>995</v>
      </c>
      <c r="Y359" s="25">
        <v>75237.0</v>
      </c>
      <c r="Z359" s="25" t="str">
        <f>IFERROR(__xludf.DUMMYFUNCTION("SPLIT(C359,""
"")"),"Johnson, Jacob")</f>
        <v>Johnson, Jacob</v>
      </c>
      <c r="AA359" s="25" t="str">
        <f>IFERROR(__xludf.DUMMYFUNCTION("""COMPUTED_VALUE"""),"3107 West Camp Wisdom Rd")</f>
        <v>3107 West Camp Wisdom Rd</v>
      </c>
      <c r="AB359" s="25" t="str">
        <f>IFERROR(__xludf.DUMMYFUNCTION("""COMPUTED_VALUE"""),"Dallas, TX 75237")</f>
        <v>Dallas, TX 75237</v>
      </c>
      <c r="AC359" s="24" t="s">
        <v>996</v>
      </c>
      <c r="AD359" s="25"/>
      <c r="AE359" s="25"/>
      <c r="AF359" s="25"/>
      <c r="AG359" s="40" t="s">
        <v>60</v>
      </c>
      <c r="AH359" s="42">
        <v>2437.0</v>
      </c>
      <c r="AI359" s="40" t="s">
        <v>61</v>
      </c>
      <c r="AJ359" s="27">
        <v>1000.0</v>
      </c>
      <c r="AK359" s="31" t="s">
        <v>25</v>
      </c>
      <c r="AL359" s="43">
        <v>44721.0</v>
      </c>
      <c r="AM359" s="44">
        <v>44754.83237268519</v>
      </c>
      <c r="AN359" s="30">
        <v>2.0</v>
      </c>
      <c r="AO359" s="40"/>
      <c r="AP359" s="40"/>
      <c r="AQ359" s="40"/>
      <c r="AR359" s="40"/>
      <c r="AS359" s="40"/>
      <c r="AT359" s="47"/>
      <c r="AU359" s="40"/>
      <c r="AV359" s="46" t="str">
        <f>IFERROR(__xludf.DUMMYFUNCTION("""COMPUTED_VALUE"""),"Conner")</f>
        <v>Conner</v>
      </c>
      <c r="AW359" s="46">
        <f t="shared" si="7"/>
        <v>1350</v>
      </c>
      <c r="AX359" s="47">
        <f t="shared" ref="AX359:BQ359" si="1187">SUMIFS($AJ:$AJ,$V:$V,$AV359,$AK:$AK,AX$2)</f>
        <v>0</v>
      </c>
      <c r="AY359" s="48">
        <f t="shared" si="1187"/>
        <v>0</v>
      </c>
      <c r="AZ359" s="48">
        <f t="shared" si="1187"/>
        <v>0</v>
      </c>
      <c r="BA359" s="48">
        <f t="shared" si="1187"/>
        <v>1350</v>
      </c>
      <c r="BB359" s="48">
        <f t="shared" si="1187"/>
        <v>0</v>
      </c>
      <c r="BC359" s="48">
        <f t="shared" si="1187"/>
        <v>0</v>
      </c>
      <c r="BD359" s="48">
        <f t="shared" si="1187"/>
        <v>0</v>
      </c>
      <c r="BE359" s="48">
        <f t="shared" si="1187"/>
        <v>0</v>
      </c>
      <c r="BF359" s="48">
        <f t="shared" si="1187"/>
        <v>0</v>
      </c>
      <c r="BG359" s="48">
        <f t="shared" si="1187"/>
        <v>0</v>
      </c>
      <c r="BH359" s="48">
        <f t="shared" si="1187"/>
        <v>0</v>
      </c>
      <c r="BI359" s="48">
        <f t="shared" si="1187"/>
        <v>0</v>
      </c>
      <c r="BJ359" s="48">
        <f t="shared" si="1187"/>
        <v>0</v>
      </c>
      <c r="BK359" s="48">
        <f t="shared" si="1187"/>
        <v>0</v>
      </c>
      <c r="BL359" s="48">
        <f t="shared" si="1187"/>
        <v>0</v>
      </c>
      <c r="BM359" s="48">
        <f t="shared" si="1187"/>
        <v>0</v>
      </c>
      <c r="BN359" s="48">
        <f t="shared" si="1187"/>
        <v>0</v>
      </c>
      <c r="BO359" s="48">
        <f t="shared" si="1187"/>
        <v>0</v>
      </c>
      <c r="BP359" s="48">
        <f t="shared" si="1187"/>
        <v>0</v>
      </c>
      <c r="BQ359" s="48">
        <f t="shared" si="1187"/>
        <v>0</v>
      </c>
      <c r="BR359" s="36">
        <f t="shared" si="9"/>
        <v>0</v>
      </c>
      <c r="BS359" s="38">
        <f t="shared" si="10"/>
        <v>1</v>
      </c>
      <c r="BT359" s="49">
        <f t="shared" si="11"/>
        <v>0</v>
      </c>
      <c r="BU359" s="38">
        <f t="shared" si="12"/>
        <v>1000</v>
      </c>
      <c r="BV359" s="46" t="str">
        <f>IFERROR(__xludf.DUMMYFUNCTION("""COMPUTED_VALUE"""),"Conner")</f>
        <v>Conner</v>
      </c>
      <c r="BW359" s="46">
        <f t="shared" si="13"/>
        <v>1350</v>
      </c>
      <c r="BX359" s="47">
        <f t="shared" ref="BX359:CA359" si="1188">AX359-$BU359</f>
        <v>-1000</v>
      </c>
      <c r="BY359" s="47">
        <f t="shared" si="1188"/>
        <v>-1000</v>
      </c>
      <c r="BZ359" s="47">
        <f t="shared" si="1188"/>
        <v>-1000</v>
      </c>
      <c r="CA359" s="47">
        <f t="shared" si="1188"/>
        <v>350</v>
      </c>
      <c r="CB359" s="47">
        <f t="shared" si="15"/>
        <v>-10000</v>
      </c>
      <c r="CC359" s="47">
        <f t="shared" ref="CC359:CQ359" si="1189">BC359-$BU359</f>
        <v>-1000</v>
      </c>
      <c r="CD359" s="47">
        <f t="shared" si="1189"/>
        <v>-1000</v>
      </c>
      <c r="CE359" s="47">
        <f t="shared" si="1189"/>
        <v>-1000</v>
      </c>
      <c r="CF359" s="47">
        <f t="shared" si="1189"/>
        <v>-1000</v>
      </c>
      <c r="CG359" s="47">
        <f t="shared" si="1189"/>
        <v>-1000</v>
      </c>
      <c r="CH359" s="47">
        <f t="shared" si="1189"/>
        <v>-1000</v>
      </c>
      <c r="CI359" s="47">
        <f t="shared" si="1189"/>
        <v>-1000</v>
      </c>
      <c r="CJ359" s="47">
        <f t="shared" si="1189"/>
        <v>-1000</v>
      </c>
      <c r="CK359" s="47">
        <f t="shared" si="1189"/>
        <v>-1000</v>
      </c>
      <c r="CL359" s="47">
        <f t="shared" si="1189"/>
        <v>-1000</v>
      </c>
      <c r="CM359" s="47">
        <f t="shared" si="1189"/>
        <v>-1000</v>
      </c>
      <c r="CN359" s="47">
        <f t="shared" si="1189"/>
        <v>-1000</v>
      </c>
      <c r="CO359" s="47">
        <f t="shared" si="1189"/>
        <v>-1000</v>
      </c>
      <c r="CP359" s="47">
        <f t="shared" si="1189"/>
        <v>-1000</v>
      </c>
      <c r="CQ359" s="47">
        <f t="shared" si="1189"/>
        <v>-1000</v>
      </c>
      <c r="CR359" s="47"/>
      <c r="CS359" s="47"/>
      <c r="CT359" s="47"/>
      <c r="CU359" s="50" t="str">
        <f>IFERROR(__xludf.DUMMYFUNCTION("""COMPUTED_VALUE"""),"2828 Woodside Street
Dallas, TX 75204          ")</f>
        <v>2828 Woodside Street
Dallas, TX 75204          </v>
      </c>
      <c r="CV359" s="51">
        <f>IFERROR(__xludf.DUMMYFUNCTION("IF(REGEXMATCH(UPPER(CU359), ""TX""),0,1)"),0.0)</f>
        <v>0</v>
      </c>
      <c r="CW359" s="51">
        <f>IFERROR(__xludf.DUMMYFUNCTION("IF(REGEXMATCH(UPPER(CU359), ""DALLAS""),0,1)"),0.0)</f>
        <v>0</v>
      </c>
      <c r="CX359" s="51">
        <f t="shared" si="17"/>
        <v>0</v>
      </c>
      <c r="CY359" s="51">
        <f t="shared" si="18"/>
        <v>0</v>
      </c>
      <c r="CZ359" s="52" t="str">
        <f t="shared" si="19"/>
        <v/>
      </c>
      <c r="DA359" s="58"/>
      <c r="DB359" s="52"/>
      <c r="DC359" s="52"/>
      <c r="DD359" s="52"/>
      <c r="DE359" s="52"/>
      <c r="DF359" s="52"/>
      <c r="DG359" s="52"/>
      <c r="DH359" s="52"/>
      <c r="DI359" s="52"/>
      <c r="DJ359" s="52"/>
      <c r="DK359" s="52"/>
      <c r="DL359" s="52"/>
      <c r="DM359" s="52"/>
      <c r="DN359" s="52"/>
      <c r="DO359" s="52"/>
      <c r="DP359" s="52"/>
      <c r="DQ359" s="52"/>
      <c r="DR359" s="52"/>
      <c r="DS359" s="52"/>
      <c r="DT359" s="52"/>
      <c r="DU359" s="52"/>
      <c r="DV359" s="52"/>
      <c r="DW359" s="52"/>
    </row>
    <row r="360">
      <c r="A360" s="22" t="s">
        <v>55</v>
      </c>
      <c r="B360" s="23" t="s">
        <v>56</v>
      </c>
      <c r="C360" s="31" t="s">
        <v>997</v>
      </c>
      <c r="D360" s="25" t="str">
        <f>IFERROR(__xludf.DUMMYFUNCTION("SPLIT(C360,"" "")"),"Wilson,")</f>
        <v>Wilson,</v>
      </c>
      <c r="E360" s="22" t="str">
        <f>IFERROR(__xludf.DUMMYFUNCTION("""COMPUTED_VALUE"""),"Nancy
6739")</f>
        <v>Nancy
6739</v>
      </c>
      <c r="F360" s="22" t="str">
        <f>IFERROR(__xludf.DUMMYFUNCTION("""COMPUTED_VALUE"""),"Avalon")</f>
        <v>Avalon</v>
      </c>
      <c r="G360" s="22" t="str">
        <f>IFERROR(__xludf.DUMMYFUNCTION("""COMPUTED_VALUE"""),"Ave
Dallas,")</f>
        <v>Ave
Dallas,</v>
      </c>
      <c r="H360" s="22" t="str">
        <f>IFERROR(__xludf.DUMMYFUNCTION("""COMPUTED_VALUE"""),"TX")</f>
        <v>TX</v>
      </c>
      <c r="I360" s="22">
        <f>IFERROR(__xludf.DUMMYFUNCTION("""COMPUTED_VALUE"""),75214.0)</f>
        <v>75214</v>
      </c>
      <c r="J360" s="22"/>
      <c r="K360" s="22"/>
      <c r="L360" s="22"/>
      <c r="M360" s="22"/>
      <c r="N360" s="22"/>
      <c r="O360" s="22"/>
      <c r="P360" s="22"/>
      <c r="Q360" s="22"/>
      <c r="R360" s="22"/>
      <c r="S360" s="22"/>
      <c r="T360" s="22"/>
      <c r="U360" s="24" t="str">
        <f>IFERROR(__xludf.DUMMYFUNCTION("SPLIT(E360,""01234567890"")"),"Nancy
")</f>
        <v>Nancy
</v>
      </c>
      <c r="V360" s="24" t="str">
        <f>IFERROR(__xludf.DUMMYFUNCTION("SPLIT(D360,"","")"),"Wilson")</f>
        <v>Wilson</v>
      </c>
      <c r="W360" s="25" t="str">
        <f t="shared" si="1"/>
        <v>NANCY
 WILSON</v>
      </c>
      <c r="X360" s="25" t="s">
        <v>878</v>
      </c>
      <c r="Y360" s="25">
        <v>75214.0</v>
      </c>
      <c r="Z360" s="25" t="str">
        <f>IFERROR(__xludf.DUMMYFUNCTION("SPLIT(C360,""
"")"),"Wilson, Nancy")</f>
        <v>Wilson, Nancy</v>
      </c>
      <c r="AA360" s="25" t="str">
        <f>IFERROR(__xludf.DUMMYFUNCTION("""COMPUTED_VALUE"""),"6739 Avalon Ave")</f>
        <v>6739 Avalon Ave</v>
      </c>
      <c r="AB360" s="25" t="str">
        <f>IFERROR(__xludf.DUMMYFUNCTION("""COMPUTED_VALUE"""),"Dallas, TX 75214")</f>
        <v>Dallas, TX 75214</v>
      </c>
      <c r="AC360" s="24" t="s">
        <v>998</v>
      </c>
      <c r="AD360" s="25"/>
      <c r="AE360" s="25"/>
      <c r="AF360" s="25"/>
      <c r="AG360" s="22" t="s">
        <v>60</v>
      </c>
      <c r="AH360" s="54">
        <v>2437.0</v>
      </c>
      <c r="AI360" s="22" t="s">
        <v>61</v>
      </c>
      <c r="AJ360" s="27">
        <v>250.0</v>
      </c>
      <c r="AK360" s="31" t="s">
        <v>25</v>
      </c>
      <c r="AL360" s="28">
        <v>44721.0</v>
      </c>
      <c r="AM360" s="29">
        <v>44754.83237268519</v>
      </c>
      <c r="AN360" s="30">
        <v>2.0</v>
      </c>
      <c r="AO360" s="22"/>
      <c r="AP360" s="22"/>
      <c r="AQ360" s="22"/>
      <c r="AR360" s="22"/>
      <c r="AS360" s="22"/>
      <c r="AT360" s="70"/>
      <c r="AU360" s="22"/>
      <c r="AV360" s="57" t="str">
        <f>IFERROR(__xludf.DUMMYFUNCTION("""COMPUTED_VALUE"""),"Howard")</f>
        <v>Howard</v>
      </c>
      <c r="AW360" s="46">
        <f t="shared" si="7"/>
        <v>250</v>
      </c>
      <c r="AX360" s="47">
        <f t="shared" ref="AX360:BQ360" si="1190">SUMIFS($AJ:$AJ,$V:$V,$AV360,$AK:$AK,AX$2)</f>
        <v>0</v>
      </c>
      <c r="AY360" s="48">
        <f t="shared" si="1190"/>
        <v>0</v>
      </c>
      <c r="AZ360" s="48">
        <f t="shared" si="1190"/>
        <v>0</v>
      </c>
      <c r="BA360" s="48">
        <f t="shared" si="1190"/>
        <v>250</v>
      </c>
      <c r="BB360" s="48">
        <f t="shared" si="1190"/>
        <v>0</v>
      </c>
      <c r="BC360" s="48">
        <f t="shared" si="1190"/>
        <v>0</v>
      </c>
      <c r="BD360" s="48">
        <f t="shared" si="1190"/>
        <v>0</v>
      </c>
      <c r="BE360" s="48">
        <f t="shared" si="1190"/>
        <v>0</v>
      </c>
      <c r="BF360" s="48">
        <f t="shared" si="1190"/>
        <v>0</v>
      </c>
      <c r="BG360" s="48">
        <f t="shared" si="1190"/>
        <v>0</v>
      </c>
      <c r="BH360" s="48">
        <f t="shared" si="1190"/>
        <v>0</v>
      </c>
      <c r="BI360" s="48">
        <f t="shared" si="1190"/>
        <v>0</v>
      </c>
      <c r="BJ360" s="48">
        <f t="shared" si="1190"/>
        <v>0</v>
      </c>
      <c r="BK360" s="48">
        <f t="shared" si="1190"/>
        <v>0</v>
      </c>
      <c r="BL360" s="48">
        <f t="shared" si="1190"/>
        <v>0</v>
      </c>
      <c r="BM360" s="48">
        <f t="shared" si="1190"/>
        <v>0</v>
      </c>
      <c r="BN360" s="48">
        <f t="shared" si="1190"/>
        <v>0</v>
      </c>
      <c r="BO360" s="48">
        <f t="shared" si="1190"/>
        <v>0</v>
      </c>
      <c r="BP360" s="48">
        <f t="shared" si="1190"/>
        <v>0</v>
      </c>
      <c r="BQ360" s="48">
        <f t="shared" si="1190"/>
        <v>0</v>
      </c>
      <c r="BR360" s="36">
        <f t="shared" si="9"/>
        <v>0</v>
      </c>
      <c r="BS360" s="38">
        <f t="shared" si="10"/>
        <v>1</v>
      </c>
      <c r="BT360" s="49">
        <f t="shared" si="11"/>
        <v>0</v>
      </c>
      <c r="BU360" s="38">
        <f t="shared" si="12"/>
        <v>1000</v>
      </c>
      <c r="BV360" s="57" t="str">
        <f>IFERROR(__xludf.DUMMYFUNCTION("""COMPUTED_VALUE"""),"Howard")</f>
        <v>Howard</v>
      </c>
      <c r="BW360" s="46">
        <f t="shared" si="13"/>
        <v>250</v>
      </c>
      <c r="BX360" s="47">
        <f t="shared" ref="BX360:CA360" si="1191">AX360-$BU360</f>
        <v>-1000</v>
      </c>
      <c r="BY360" s="47">
        <f t="shared" si="1191"/>
        <v>-1000</v>
      </c>
      <c r="BZ360" s="47">
        <f t="shared" si="1191"/>
        <v>-1000</v>
      </c>
      <c r="CA360" s="47">
        <f t="shared" si="1191"/>
        <v>-750</v>
      </c>
      <c r="CB360" s="47">
        <f t="shared" si="15"/>
        <v>-10000</v>
      </c>
      <c r="CC360" s="47">
        <f t="shared" ref="CC360:CQ360" si="1192">BC360-$BU360</f>
        <v>-1000</v>
      </c>
      <c r="CD360" s="47">
        <f t="shared" si="1192"/>
        <v>-1000</v>
      </c>
      <c r="CE360" s="47">
        <f t="shared" si="1192"/>
        <v>-1000</v>
      </c>
      <c r="CF360" s="47">
        <f t="shared" si="1192"/>
        <v>-1000</v>
      </c>
      <c r="CG360" s="47">
        <f t="shared" si="1192"/>
        <v>-1000</v>
      </c>
      <c r="CH360" s="47">
        <f t="shared" si="1192"/>
        <v>-1000</v>
      </c>
      <c r="CI360" s="47">
        <f t="shared" si="1192"/>
        <v>-1000</v>
      </c>
      <c r="CJ360" s="47">
        <f t="shared" si="1192"/>
        <v>-1000</v>
      </c>
      <c r="CK360" s="47">
        <f t="shared" si="1192"/>
        <v>-1000</v>
      </c>
      <c r="CL360" s="47">
        <f t="shared" si="1192"/>
        <v>-1000</v>
      </c>
      <c r="CM360" s="47">
        <f t="shared" si="1192"/>
        <v>-1000</v>
      </c>
      <c r="CN360" s="47">
        <f t="shared" si="1192"/>
        <v>-1000</v>
      </c>
      <c r="CO360" s="47">
        <f t="shared" si="1192"/>
        <v>-1000</v>
      </c>
      <c r="CP360" s="47">
        <f t="shared" si="1192"/>
        <v>-1000</v>
      </c>
      <c r="CQ360" s="47">
        <f t="shared" si="1192"/>
        <v>-1000</v>
      </c>
      <c r="CR360" s="47"/>
      <c r="CS360" s="47"/>
      <c r="CT360" s="47"/>
      <c r="CU360" s="50" t="str">
        <f>IFERROR(__xludf.DUMMYFUNCTION("""COMPUTED_VALUE"""),"13455 Noel Rd
Dallas, TX 75240          ")</f>
        <v>13455 Noel Rd
Dallas, TX 75240          </v>
      </c>
      <c r="CV360" s="51">
        <f>IFERROR(__xludf.DUMMYFUNCTION("IF(REGEXMATCH(UPPER(CU360), ""TX""),0,1)"),0.0)</f>
        <v>0</v>
      </c>
      <c r="CW360" s="51">
        <f>IFERROR(__xludf.DUMMYFUNCTION("IF(REGEXMATCH(UPPER(CU360), ""DALLAS""),0,1)"),0.0)</f>
        <v>0</v>
      </c>
      <c r="CX360" s="51">
        <f t="shared" si="17"/>
        <v>0</v>
      </c>
      <c r="CY360" s="51">
        <f t="shared" si="18"/>
        <v>0</v>
      </c>
      <c r="CZ360" s="52" t="str">
        <f t="shared" si="19"/>
        <v/>
      </c>
      <c r="DA360" s="58"/>
      <c r="DB360" s="52"/>
      <c r="DC360" s="52"/>
      <c r="DD360" s="52"/>
      <c r="DE360" s="52"/>
      <c r="DF360" s="52"/>
      <c r="DG360" s="52"/>
      <c r="DH360" s="52"/>
      <c r="DI360" s="52"/>
      <c r="DJ360" s="52"/>
      <c r="DK360" s="52"/>
      <c r="DL360" s="52"/>
      <c r="DM360" s="52"/>
      <c r="DN360" s="52"/>
      <c r="DO360" s="52"/>
      <c r="DP360" s="52"/>
      <c r="DQ360" s="52"/>
      <c r="DR360" s="52"/>
      <c r="DS360" s="52"/>
      <c r="DT360" s="52"/>
      <c r="DU360" s="52"/>
      <c r="DV360" s="52"/>
      <c r="DW360" s="52"/>
    </row>
    <row r="361">
      <c r="A361" s="41" t="s">
        <v>64</v>
      </c>
      <c r="B361" s="41" t="s">
        <v>56</v>
      </c>
      <c r="C361" s="31" t="s">
        <v>999</v>
      </c>
      <c r="D361" s="25" t="str">
        <f>IFERROR(__xludf.DUMMYFUNCTION("SPLIT(C361,"" "")"),"Green,")</f>
        <v>Green,</v>
      </c>
      <c r="E361" s="40" t="str">
        <f>IFERROR(__xludf.DUMMYFUNCTION("""COMPUTED_VALUE"""),"Ronald
811")</f>
        <v>Ronald
811</v>
      </c>
      <c r="F361" s="40" t="str">
        <f>IFERROR(__xludf.DUMMYFUNCTION("""COMPUTED_VALUE"""),"Main")</f>
        <v>Main</v>
      </c>
      <c r="G361" s="40" t="str">
        <f>IFERROR(__xludf.DUMMYFUNCTION("""COMPUTED_VALUE"""),"Street
Houston,")</f>
        <v>Street
Houston,</v>
      </c>
      <c r="H361" s="40" t="str">
        <f>IFERROR(__xludf.DUMMYFUNCTION("""COMPUTED_VALUE"""),"TX")</f>
        <v>TX</v>
      </c>
      <c r="I361" s="40">
        <f>IFERROR(__xludf.DUMMYFUNCTION("""COMPUTED_VALUE"""),77002.0)</f>
        <v>77002</v>
      </c>
      <c r="J361" s="40"/>
      <c r="K361" s="40"/>
      <c r="L361" s="40"/>
      <c r="M361" s="40"/>
      <c r="N361" s="40"/>
      <c r="O361" s="40"/>
      <c r="P361" s="40"/>
      <c r="Q361" s="40"/>
      <c r="R361" s="40"/>
      <c r="S361" s="40"/>
      <c r="T361" s="40"/>
      <c r="U361" s="24" t="str">
        <f>IFERROR(__xludf.DUMMYFUNCTION("SPLIT(E361,""01234567890"")"),"Ronald
")</f>
        <v>Ronald
</v>
      </c>
      <c r="V361" s="24" t="str">
        <f>IFERROR(__xludf.DUMMYFUNCTION("SPLIT(D361,"","")"),"Green")</f>
        <v>Green</v>
      </c>
      <c r="W361" s="25" t="str">
        <f t="shared" si="1"/>
        <v>RONALD
 GREEN</v>
      </c>
      <c r="X361" s="25" t="s">
        <v>1000</v>
      </c>
      <c r="Y361" s="25">
        <v>77002.0</v>
      </c>
      <c r="Z361" s="25" t="str">
        <f>IFERROR(__xludf.DUMMYFUNCTION("SPLIT(C361,""
"")"),"Green, Ronald")</f>
        <v>Green, Ronald</v>
      </c>
      <c r="AA361" s="25" t="str">
        <f>IFERROR(__xludf.DUMMYFUNCTION("""COMPUTED_VALUE"""),"811 Main Street")</f>
        <v>811 Main Street</v>
      </c>
      <c r="AB361" s="25" t="str">
        <f>IFERROR(__xludf.DUMMYFUNCTION("""COMPUTED_VALUE"""),"Houston, TX 77002")</f>
        <v>Houston, TX 77002</v>
      </c>
      <c r="AC361" s="24" t="s">
        <v>1001</v>
      </c>
      <c r="AD361" s="25"/>
      <c r="AE361" s="25"/>
      <c r="AF361" s="25"/>
      <c r="AG361" s="40" t="s">
        <v>60</v>
      </c>
      <c r="AH361" s="42">
        <v>2437.0</v>
      </c>
      <c r="AI361" s="40" t="s">
        <v>61</v>
      </c>
      <c r="AJ361" s="27">
        <v>500.0</v>
      </c>
      <c r="AK361" s="31" t="s">
        <v>25</v>
      </c>
      <c r="AL361" s="43">
        <v>44721.0</v>
      </c>
      <c r="AM361" s="44">
        <v>44754.83237268519</v>
      </c>
      <c r="AN361" s="30">
        <v>2.0</v>
      </c>
      <c r="AO361" s="40"/>
      <c r="AP361" s="40"/>
      <c r="AQ361" s="40"/>
      <c r="AR361" s="40"/>
      <c r="AS361" s="40"/>
      <c r="AT361" s="47"/>
      <c r="AU361" s="40"/>
      <c r="AV361" s="46" t="str">
        <f>IFERROR(__xludf.DUMMYFUNCTION("""COMPUTED_VALUE"""),"Karol")</f>
        <v>Karol</v>
      </c>
      <c r="AW361" s="46">
        <f t="shared" si="7"/>
        <v>1000</v>
      </c>
      <c r="AX361" s="47">
        <f t="shared" ref="AX361:BQ361" si="1193">SUMIFS($AJ:$AJ,$V:$V,$AV361,$AK:$AK,AX$2)</f>
        <v>0</v>
      </c>
      <c r="AY361" s="48">
        <f t="shared" si="1193"/>
        <v>0</v>
      </c>
      <c r="AZ361" s="48">
        <f t="shared" si="1193"/>
        <v>0</v>
      </c>
      <c r="BA361" s="48">
        <f t="shared" si="1193"/>
        <v>1000</v>
      </c>
      <c r="BB361" s="48">
        <f t="shared" si="1193"/>
        <v>0</v>
      </c>
      <c r="BC361" s="48">
        <f t="shared" si="1193"/>
        <v>0</v>
      </c>
      <c r="BD361" s="48">
        <f t="shared" si="1193"/>
        <v>0</v>
      </c>
      <c r="BE361" s="48">
        <f t="shared" si="1193"/>
        <v>0</v>
      </c>
      <c r="BF361" s="48">
        <f t="shared" si="1193"/>
        <v>0</v>
      </c>
      <c r="BG361" s="48">
        <f t="shared" si="1193"/>
        <v>0</v>
      </c>
      <c r="BH361" s="48">
        <f t="shared" si="1193"/>
        <v>0</v>
      </c>
      <c r="BI361" s="48">
        <f t="shared" si="1193"/>
        <v>0</v>
      </c>
      <c r="BJ361" s="48">
        <f t="shared" si="1193"/>
        <v>0</v>
      </c>
      <c r="BK361" s="48">
        <f t="shared" si="1193"/>
        <v>0</v>
      </c>
      <c r="BL361" s="48">
        <f t="shared" si="1193"/>
        <v>0</v>
      </c>
      <c r="BM361" s="48">
        <f t="shared" si="1193"/>
        <v>0</v>
      </c>
      <c r="BN361" s="48">
        <f t="shared" si="1193"/>
        <v>0</v>
      </c>
      <c r="BO361" s="48">
        <f t="shared" si="1193"/>
        <v>0</v>
      </c>
      <c r="BP361" s="48">
        <f t="shared" si="1193"/>
        <v>0</v>
      </c>
      <c r="BQ361" s="48">
        <f t="shared" si="1193"/>
        <v>0</v>
      </c>
      <c r="BR361" s="36">
        <f t="shared" si="9"/>
        <v>0</v>
      </c>
      <c r="BS361" s="38">
        <f t="shared" si="10"/>
        <v>1</v>
      </c>
      <c r="BT361" s="49">
        <f t="shared" si="11"/>
        <v>0</v>
      </c>
      <c r="BU361" s="38">
        <f t="shared" si="12"/>
        <v>1000</v>
      </c>
      <c r="BV361" s="46" t="str">
        <f>IFERROR(__xludf.DUMMYFUNCTION("""COMPUTED_VALUE"""),"Karol")</f>
        <v>Karol</v>
      </c>
      <c r="BW361" s="46">
        <f t="shared" si="13"/>
        <v>1000</v>
      </c>
      <c r="BX361" s="47">
        <f t="shared" ref="BX361:CA361" si="1194">AX361-$BU361</f>
        <v>-1000</v>
      </c>
      <c r="BY361" s="47">
        <f t="shared" si="1194"/>
        <v>-1000</v>
      </c>
      <c r="BZ361" s="47">
        <f t="shared" si="1194"/>
        <v>-1000</v>
      </c>
      <c r="CA361" s="47">
        <f t="shared" si="1194"/>
        <v>0</v>
      </c>
      <c r="CB361" s="47">
        <f t="shared" si="15"/>
        <v>-10000</v>
      </c>
      <c r="CC361" s="47">
        <f t="shared" ref="CC361:CQ361" si="1195">BC361-$BU361</f>
        <v>-1000</v>
      </c>
      <c r="CD361" s="47">
        <f t="shared" si="1195"/>
        <v>-1000</v>
      </c>
      <c r="CE361" s="47">
        <f t="shared" si="1195"/>
        <v>-1000</v>
      </c>
      <c r="CF361" s="47">
        <f t="shared" si="1195"/>
        <v>-1000</v>
      </c>
      <c r="CG361" s="47">
        <f t="shared" si="1195"/>
        <v>-1000</v>
      </c>
      <c r="CH361" s="47">
        <f t="shared" si="1195"/>
        <v>-1000</v>
      </c>
      <c r="CI361" s="47">
        <f t="shared" si="1195"/>
        <v>-1000</v>
      </c>
      <c r="CJ361" s="47">
        <f t="shared" si="1195"/>
        <v>-1000</v>
      </c>
      <c r="CK361" s="47">
        <f t="shared" si="1195"/>
        <v>-1000</v>
      </c>
      <c r="CL361" s="47">
        <f t="shared" si="1195"/>
        <v>-1000</v>
      </c>
      <c r="CM361" s="47">
        <f t="shared" si="1195"/>
        <v>-1000</v>
      </c>
      <c r="CN361" s="47">
        <f t="shared" si="1195"/>
        <v>-1000</v>
      </c>
      <c r="CO361" s="47">
        <f t="shared" si="1195"/>
        <v>-1000</v>
      </c>
      <c r="CP361" s="47">
        <f t="shared" si="1195"/>
        <v>-1000</v>
      </c>
      <c r="CQ361" s="47">
        <f t="shared" si="1195"/>
        <v>-1000</v>
      </c>
      <c r="CR361" s="47"/>
      <c r="CS361" s="47"/>
      <c r="CT361" s="47"/>
      <c r="CU361" s="50" t="str">
        <f>IFERROR(__xludf.DUMMYFUNCTION("""COMPUTED_VALUE"""),"2507 Auburn Ave
Dallas, TX 75214          ")</f>
        <v>2507 Auburn Ave
Dallas, TX 75214          </v>
      </c>
      <c r="CV361" s="51">
        <f>IFERROR(__xludf.DUMMYFUNCTION("IF(REGEXMATCH(UPPER(CU361), ""TX""),0,1)"),0.0)</f>
        <v>0</v>
      </c>
      <c r="CW361" s="51">
        <f>IFERROR(__xludf.DUMMYFUNCTION("IF(REGEXMATCH(UPPER(CU361), ""DALLAS""),0,1)"),0.0)</f>
        <v>0</v>
      </c>
      <c r="CX361" s="51">
        <f t="shared" si="17"/>
        <v>0</v>
      </c>
      <c r="CY361" s="51">
        <f t="shared" si="18"/>
        <v>0</v>
      </c>
      <c r="CZ361" s="52" t="str">
        <f t="shared" si="19"/>
        <v/>
      </c>
      <c r="DA361" s="58"/>
      <c r="DB361" s="52"/>
      <c r="DC361" s="52"/>
      <c r="DD361" s="52"/>
      <c r="DE361" s="52"/>
      <c r="DF361" s="52"/>
      <c r="DG361" s="52"/>
      <c r="DH361" s="52"/>
      <c r="DI361" s="52"/>
      <c r="DJ361" s="52"/>
      <c r="DK361" s="52"/>
      <c r="DL361" s="52"/>
      <c r="DM361" s="52"/>
      <c r="DN361" s="52"/>
      <c r="DO361" s="52"/>
      <c r="DP361" s="52"/>
      <c r="DQ361" s="52"/>
      <c r="DR361" s="52"/>
      <c r="DS361" s="52"/>
      <c r="DT361" s="52"/>
      <c r="DU361" s="52"/>
      <c r="DV361" s="52"/>
      <c r="DW361" s="52"/>
    </row>
    <row r="362">
      <c r="A362" s="22" t="s">
        <v>55</v>
      </c>
      <c r="B362" s="23" t="s">
        <v>56</v>
      </c>
      <c r="C362" s="31" t="s">
        <v>1002</v>
      </c>
      <c r="D362" s="25" t="str">
        <f>IFERROR(__xludf.DUMMYFUNCTION("SPLIT(C362,"" "")"),"Ley,")</f>
        <v>Ley,</v>
      </c>
      <c r="E362" s="22" t="str">
        <f>IFERROR(__xludf.DUMMYFUNCTION("""COMPUTED_VALUE"""),"Georgia
6522")</f>
        <v>Georgia
6522</v>
      </c>
      <c r="F362" s="22" t="str">
        <f>IFERROR(__xludf.DUMMYFUNCTION("""COMPUTED_VALUE"""),"Orchid")</f>
        <v>Orchid</v>
      </c>
      <c r="G362" s="22" t="str">
        <f>IFERROR(__xludf.DUMMYFUNCTION("""COMPUTED_VALUE"""),"Lane
Dallas,")</f>
        <v>Lane
Dallas,</v>
      </c>
      <c r="H362" s="22" t="str">
        <f>IFERROR(__xludf.DUMMYFUNCTION("""COMPUTED_VALUE"""),"TX")</f>
        <v>TX</v>
      </c>
      <c r="I362" s="22">
        <f>IFERROR(__xludf.DUMMYFUNCTION("""COMPUTED_VALUE"""),75230.0)</f>
        <v>75230</v>
      </c>
      <c r="J362" s="22"/>
      <c r="K362" s="22"/>
      <c r="L362" s="22"/>
      <c r="M362" s="22"/>
      <c r="N362" s="22"/>
      <c r="O362" s="22"/>
      <c r="P362" s="22"/>
      <c r="Q362" s="22"/>
      <c r="R362" s="22"/>
      <c r="S362" s="22"/>
      <c r="T362" s="22"/>
      <c r="U362" s="24" t="str">
        <f>IFERROR(__xludf.DUMMYFUNCTION("SPLIT(E362,""01234567890"")"),"Georgia
")</f>
        <v>Georgia
</v>
      </c>
      <c r="V362" s="24" t="str">
        <f>IFERROR(__xludf.DUMMYFUNCTION("SPLIT(D362,"","")"),"Ley")</f>
        <v>Ley</v>
      </c>
      <c r="W362" s="25" t="str">
        <f t="shared" si="1"/>
        <v>GEORGIA
 LEY</v>
      </c>
      <c r="X362" s="25" t="s">
        <v>1003</v>
      </c>
      <c r="Y362" s="25">
        <v>75230.0</v>
      </c>
      <c r="Z362" s="25" t="str">
        <f>IFERROR(__xludf.DUMMYFUNCTION("SPLIT(C362,""
"")"),"Ley, Georgia")</f>
        <v>Ley, Georgia</v>
      </c>
      <c r="AA362" s="25" t="str">
        <f>IFERROR(__xludf.DUMMYFUNCTION("""COMPUTED_VALUE"""),"6522 Orchid Lane")</f>
        <v>6522 Orchid Lane</v>
      </c>
      <c r="AB362" s="25" t="str">
        <f>IFERROR(__xludf.DUMMYFUNCTION("""COMPUTED_VALUE"""),"Dallas, TX 75230")</f>
        <v>Dallas, TX 75230</v>
      </c>
      <c r="AC362" s="24" t="s">
        <v>1004</v>
      </c>
      <c r="AD362" s="25"/>
      <c r="AE362" s="25"/>
      <c r="AF362" s="25"/>
      <c r="AG362" s="22" t="s">
        <v>60</v>
      </c>
      <c r="AH362" s="54">
        <v>2437.0</v>
      </c>
      <c r="AI362" s="22" t="s">
        <v>61</v>
      </c>
      <c r="AJ362" s="27">
        <v>250.0</v>
      </c>
      <c r="AK362" s="31" t="s">
        <v>25</v>
      </c>
      <c r="AL362" s="28">
        <v>44721.0</v>
      </c>
      <c r="AM362" s="29">
        <v>44754.83237268519</v>
      </c>
      <c r="AN362" s="30">
        <v>2.0</v>
      </c>
      <c r="AO362" s="22"/>
      <c r="AP362" s="22"/>
      <c r="AQ362" s="22"/>
      <c r="AR362" s="22"/>
      <c r="AS362" s="22"/>
      <c r="AT362" s="70"/>
      <c r="AU362" s="22"/>
      <c r="AV362" s="57" t="str">
        <f>IFERROR(__xludf.DUMMYFUNCTION("""COMPUTED_VALUE"""),"Key")</f>
        <v>Key</v>
      </c>
      <c r="AW362" s="46">
        <f t="shared" si="7"/>
        <v>100</v>
      </c>
      <c r="AX362" s="47">
        <f t="shared" ref="AX362:BQ362" si="1196">SUMIFS($AJ:$AJ,$V:$V,$AV362,$AK:$AK,AX$2)</f>
        <v>0</v>
      </c>
      <c r="AY362" s="48">
        <f t="shared" si="1196"/>
        <v>0</v>
      </c>
      <c r="AZ362" s="48">
        <f t="shared" si="1196"/>
        <v>0</v>
      </c>
      <c r="BA362" s="48">
        <f t="shared" si="1196"/>
        <v>100</v>
      </c>
      <c r="BB362" s="48">
        <f t="shared" si="1196"/>
        <v>0</v>
      </c>
      <c r="BC362" s="48">
        <f t="shared" si="1196"/>
        <v>0</v>
      </c>
      <c r="BD362" s="48">
        <f t="shared" si="1196"/>
        <v>0</v>
      </c>
      <c r="BE362" s="48">
        <f t="shared" si="1196"/>
        <v>0</v>
      </c>
      <c r="BF362" s="48">
        <f t="shared" si="1196"/>
        <v>0</v>
      </c>
      <c r="BG362" s="48">
        <f t="shared" si="1196"/>
        <v>0</v>
      </c>
      <c r="BH362" s="48">
        <f t="shared" si="1196"/>
        <v>0</v>
      </c>
      <c r="BI362" s="48">
        <f t="shared" si="1196"/>
        <v>0</v>
      </c>
      <c r="BJ362" s="48">
        <f t="shared" si="1196"/>
        <v>0</v>
      </c>
      <c r="BK362" s="48">
        <f t="shared" si="1196"/>
        <v>0</v>
      </c>
      <c r="BL362" s="48">
        <f t="shared" si="1196"/>
        <v>0</v>
      </c>
      <c r="BM362" s="48">
        <f t="shared" si="1196"/>
        <v>0</v>
      </c>
      <c r="BN362" s="48">
        <f t="shared" si="1196"/>
        <v>0</v>
      </c>
      <c r="BO362" s="48">
        <f t="shared" si="1196"/>
        <v>0</v>
      </c>
      <c r="BP362" s="48">
        <f t="shared" si="1196"/>
        <v>0</v>
      </c>
      <c r="BQ362" s="48">
        <f t="shared" si="1196"/>
        <v>0</v>
      </c>
      <c r="BR362" s="36">
        <f t="shared" si="9"/>
        <v>0</v>
      </c>
      <c r="BS362" s="38">
        <f t="shared" si="10"/>
        <v>1</v>
      </c>
      <c r="BT362" s="49">
        <f t="shared" si="11"/>
        <v>0</v>
      </c>
      <c r="BU362" s="38">
        <f t="shared" si="12"/>
        <v>1000</v>
      </c>
      <c r="BV362" s="57" t="str">
        <f>IFERROR(__xludf.DUMMYFUNCTION("""COMPUTED_VALUE"""),"Key")</f>
        <v>Key</v>
      </c>
      <c r="BW362" s="46">
        <f t="shared" si="13"/>
        <v>100</v>
      </c>
      <c r="BX362" s="47">
        <f t="shared" ref="BX362:CA362" si="1197">AX362-$BU362</f>
        <v>-1000</v>
      </c>
      <c r="BY362" s="47">
        <f t="shared" si="1197"/>
        <v>-1000</v>
      </c>
      <c r="BZ362" s="47">
        <f t="shared" si="1197"/>
        <v>-1000</v>
      </c>
      <c r="CA362" s="47">
        <f t="shared" si="1197"/>
        <v>-900</v>
      </c>
      <c r="CB362" s="47">
        <f t="shared" si="15"/>
        <v>-10000</v>
      </c>
      <c r="CC362" s="47">
        <f t="shared" ref="CC362:CQ362" si="1198">BC362-$BU362</f>
        <v>-1000</v>
      </c>
      <c r="CD362" s="47">
        <f t="shared" si="1198"/>
        <v>-1000</v>
      </c>
      <c r="CE362" s="47">
        <f t="shared" si="1198"/>
        <v>-1000</v>
      </c>
      <c r="CF362" s="47">
        <f t="shared" si="1198"/>
        <v>-1000</v>
      </c>
      <c r="CG362" s="47">
        <f t="shared" si="1198"/>
        <v>-1000</v>
      </c>
      <c r="CH362" s="47">
        <f t="shared" si="1198"/>
        <v>-1000</v>
      </c>
      <c r="CI362" s="47">
        <f t="shared" si="1198"/>
        <v>-1000</v>
      </c>
      <c r="CJ362" s="47">
        <f t="shared" si="1198"/>
        <v>-1000</v>
      </c>
      <c r="CK362" s="47">
        <f t="shared" si="1198"/>
        <v>-1000</v>
      </c>
      <c r="CL362" s="47">
        <f t="shared" si="1198"/>
        <v>-1000</v>
      </c>
      <c r="CM362" s="47">
        <f t="shared" si="1198"/>
        <v>-1000</v>
      </c>
      <c r="CN362" s="47">
        <f t="shared" si="1198"/>
        <v>-1000</v>
      </c>
      <c r="CO362" s="47">
        <f t="shared" si="1198"/>
        <v>-1000</v>
      </c>
      <c r="CP362" s="47">
        <f t="shared" si="1198"/>
        <v>-1000</v>
      </c>
      <c r="CQ362" s="47">
        <f t="shared" si="1198"/>
        <v>-1000</v>
      </c>
      <c r="CR362" s="47"/>
      <c r="CS362" s="47"/>
      <c r="CT362" s="47"/>
      <c r="CU362" s="50" t="str">
        <f>IFERROR(__xludf.DUMMYFUNCTION("""COMPUTED_VALUE"""),"sue &amp; Robert
8020 Frankford Road
Dallas, TX 75252        ")</f>
        <v>sue &amp; Robert
8020 Frankford Road
Dallas, TX 75252        </v>
      </c>
      <c r="CV362" s="51">
        <f>IFERROR(__xludf.DUMMYFUNCTION("IF(REGEXMATCH(UPPER(CU362), ""TX""),0,1)"),0.0)</f>
        <v>0</v>
      </c>
      <c r="CW362" s="51">
        <f>IFERROR(__xludf.DUMMYFUNCTION("IF(REGEXMATCH(UPPER(CU362), ""DALLAS""),0,1)"),0.0)</f>
        <v>0</v>
      </c>
      <c r="CX362" s="51">
        <f t="shared" si="17"/>
        <v>0</v>
      </c>
      <c r="CY362" s="51">
        <f t="shared" si="18"/>
        <v>0</v>
      </c>
      <c r="CZ362" s="52" t="str">
        <f t="shared" si="19"/>
        <v/>
      </c>
      <c r="DA362" s="58"/>
      <c r="DB362" s="52"/>
      <c r="DC362" s="52"/>
      <c r="DD362" s="52"/>
      <c r="DE362" s="52"/>
      <c r="DF362" s="52"/>
      <c r="DG362" s="52"/>
      <c r="DH362" s="52"/>
      <c r="DI362" s="52"/>
      <c r="DJ362" s="52"/>
      <c r="DK362" s="52"/>
      <c r="DL362" s="52"/>
      <c r="DM362" s="52"/>
      <c r="DN362" s="52"/>
      <c r="DO362" s="52"/>
      <c r="DP362" s="52"/>
      <c r="DQ362" s="52"/>
      <c r="DR362" s="52"/>
      <c r="DS362" s="52"/>
      <c r="DT362" s="52"/>
      <c r="DU362" s="52"/>
      <c r="DV362" s="52"/>
      <c r="DW362" s="52"/>
    </row>
    <row r="363">
      <c r="A363" s="41" t="s">
        <v>64</v>
      </c>
      <c r="B363" s="41" t="s">
        <v>56</v>
      </c>
      <c r="C363" s="31" t="s">
        <v>1005</v>
      </c>
      <c r="D363" s="25" t="str">
        <f>IFERROR(__xludf.DUMMYFUNCTION("SPLIT(C363,"" "")"),"Smith,")</f>
        <v>Smith,</v>
      </c>
      <c r="E363" s="40" t="str">
        <f>IFERROR(__xludf.DUMMYFUNCTION("""COMPUTED_VALUE"""),"Dee")</f>
        <v>Dee</v>
      </c>
      <c r="F363" s="40" t="str">
        <f>IFERROR(__xludf.DUMMYFUNCTION("""COMPUTED_VALUE"""),"Anna
1721")</f>
        <v>Anna
1721</v>
      </c>
      <c r="G363" s="40" t="str">
        <f>IFERROR(__xludf.DUMMYFUNCTION("""COMPUTED_VALUE"""),"Woodsong")</f>
        <v>Woodsong</v>
      </c>
      <c r="H363" s="40" t="str">
        <f>IFERROR(__xludf.DUMMYFUNCTION("""COMPUTED_VALUE"""),"Dr
Brentwood,")</f>
        <v>Dr
Brentwood,</v>
      </c>
      <c r="I363" s="40" t="str">
        <f>IFERROR(__xludf.DUMMYFUNCTION("""COMPUTED_VALUE"""),"TN")</f>
        <v>TN</v>
      </c>
      <c r="J363" s="40">
        <f>IFERROR(__xludf.DUMMYFUNCTION("""COMPUTED_VALUE"""),37027.0)</f>
        <v>37027</v>
      </c>
      <c r="K363" s="40"/>
      <c r="L363" s="40"/>
      <c r="M363" s="40"/>
      <c r="N363" s="40"/>
      <c r="O363" s="40"/>
      <c r="P363" s="40"/>
      <c r="Q363" s="40"/>
      <c r="R363" s="40"/>
      <c r="S363" s="40"/>
      <c r="T363" s="40"/>
      <c r="U363" s="24" t="str">
        <f>IFERROR(__xludf.DUMMYFUNCTION("SPLIT(E363,""01234567890"")"),"Dee")</f>
        <v>Dee</v>
      </c>
      <c r="V363" s="24" t="str">
        <f>IFERROR(__xludf.DUMMYFUNCTION("SPLIT(D363,"","")"),"Smith")</f>
        <v>Smith</v>
      </c>
      <c r="W363" s="25" t="str">
        <f t="shared" si="1"/>
        <v>DEE SMITH</v>
      </c>
      <c r="X363" s="25" t="s">
        <v>1006</v>
      </c>
      <c r="Y363" s="25">
        <v>37027.0</v>
      </c>
      <c r="Z363" s="25" t="str">
        <f>IFERROR(__xludf.DUMMYFUNCTION("SPLIT(C363,""
"")"),"Smith, Dee Anna")</f>
        <v>Smith, Dee Anna</v>
      </c>
      <c r="AA363" s="25" t="str">
        <f>IFERROR(__xludf.DUMMYFUNCTION("""COMPUTED_VALUE"""),"1721 Woodsong Dr")</f>
        <v>1721 Woodsong Dr</v>
      </c>
      <c r="AB363" s="25" t="str">
        <f>IFERROR(__xludf.DUMMYFUNCTION("""COMPUTED_VALUE"""),"Brentwood, TN 37027")</f>
        <v>Brentwood, TN 37027</v>
      </c>
      <c r="AC363" s="24" t="s">
        <v>1007</v>
      </c>
      <c r="AD363" s="25"/>
      <c r="AE363" s="25"/>
      <c r="AF363" s="25"/>
      <c r="AG363" s="40" t="s">
        <v>60</v>
      </c>
      <c r="AH363" s="42">
        <v>2437.0</v>
      </c>
      <c r="AI363" s="40" t="s">
        <v>61</v>
      </c>
      <c r="AJ363" s="27">
        <v>1000.0</v>
      </c>
      <c r="AK363" s="31" t="s">
        <v>25</v>
      </c>
      <c r="AL363" s="43">
        <v>44721.0</v>
      </c>
      <c r="AM363" s="44">
        <v>44754.83237268519</v>
      </c>
      <c r="AN363" s="30">
        <v>2.0</v>
      </c>
      <c r="AO363" s="40"/>
      <c r="AP363" s="40"/>
      <c r="AQ363" s="40"/>
      <c r="AR363" s="40"/>
      <c r="AS363" s="40"/>
      <c r="AT363" s="47"/>
      <c r="AU363" s="40"/>
      <c r="AV363" s="46" t="str">
        <f>IFERROR(__xludf.DUMMYFUNCTION("""COMPUTED_VALUE"""),"Offut")</f>
        <v>Offut</v>
      </c>
      <c r="AW363" s="46">
        <f t="shared" si="7"/>
        <v>250</v>
      </c>
      <c r="AX363" s="47">
        <f t="shared" ref="AX363:BQ363" si="1199">SUMIFS($AJ:$AJ,$V:$V,$AV363,$AK:$AK,AX$2)</f>
        <v>0</v>
      </c>
      <c r="AY363" s="48">
        <f t="shared" si="1199"/>
        <v>0</v>
      </c>
      <c r="AZ363" s="48">
        <f t="shared" si="1199"/>
        <v>0</v>
      </c>
      <c r="BA363" s="48">
        <f t="shared" si="1199"/>
        <v>250</v>
      </c>
      <c r="BB363" s="48">
        <f t="shared" si="1199"/>
        <v>0</v>
      </c>
      <c r="BC363" s="48">
        <f t="shared" si="1199"/>
        <v>0</v>
      </c>
      <c r="BD363" s="48">
        <f t="shared" si="1199"/>
        <v>0</v>
      </c>
      <c r="BE363" s="48">
        <f t="shared" si="1199"/>
        <v>0</v>
      </c>
      <c r="BF363" s="48">
        <f t="shared" si="1199"/>
        <v>0</v>
      </c>
      <c r="BG363" s="48">
        <f t="shared" si="1199"/>
        <v>0</v>
      </c>
      <c r="BH363" s="48">
        <f t="shared" si="1199"/>
        <v>0</v>
      </c>
      <c r="BI363" s="48">
        <f t="shared" si="1199"/>
        <v>0</v>
      </c>
      <c r="BJ363" s="48">
        <f t="shared" si="1199"/>
        <v>0</v>
      </c>
      <c r="BK363" s="48">
        <f t="shared" si="1199"/>
        <v>0</v>
      </c>
      <c r="BL363" s="48">
        <f t="shared" si="1199"/>
        <v>0</v>
      </c>
      <c r="BM363" s="48">
        <f t="shared" si="1199"/>
        <v>0</v>
      </c>
      <c r="BN363" s="48">
        <f t="shared" si="1199"/>
        <v>0</v>
      </c>
      <c r="BO363" s="48">
        <f t="shared" si="1199"/>
        <v>0</v>
      </c>
      <c r="BP363" s="48">
        <f t="shared" si="1199"/>
        <v>0</v>
      </c>
      <c r="BQ363" s="48">
        <f t="shared" si="1199"/>
        <v>0</v>
      </c>
      <c r="BR363" s="36">
        <f t="shared" si="9"/>
        <v>0</v>
      </c>
      <c r="BS363" s="38">
        <f t="shared" si="10"/>
        <v>1</v>
      </c>
      <c r="BT363" s="49">
        <f t="shared" si="11"/>
        <v>0</v>
      </c>
      <c r="BU363" s="38">
        <f t="shared" si="12"/>
        <v>1000</v>
      </c>
      <c r="BV363" s="46" t="str">
        <f>IFERROR(__xludf.DUMMYFUNCTION("""COMPUTED_VALUE"""),"Offut")</f>
        <v>Offut</v>
      </c>
      <c r="BW363" s="46">
        <f t="shared" si="13"/>
        <v>250</v>
      </c>
      <c r="BX363" s="47">
        <f t="shared" ref="BX363:CA363" si="1200">AX363-$BU363</f>
        <v>-1000</v>
      </c>
      <c r="BY363" s="47">
        <f t="shared" si="1200"/>
        <v>-1000</v>
      </c>
      <c r="BZ363" s="47">
        <f t="shared" si="1200"/>
        <v>-1000</v>
      </c>
      <c r="CA363" s="47">
        <f t="shared" si="1200"/>
        <v>-750</v>
      </c>
      <c r="CB363" s="47">
        <f t="shared" si="15"/>
        <v>-10000</v>
      </c>
      <c r="CC363" s="47">
        <f t="shared" ref="CC363:CQ363" si="1201">BC363-$BU363</f>
        <v>-1000</v>
      </c>
      <c r="CD363" s="47">
        <f t="shared" si="1201"/>
        <v>-1000</v>
      </c>
      <c r="CE363" s="47">
        <f t="shared" si="1201"/>
        <v>-1000</v>
      </c>
      <c r="CF363" s="47">
        <f t="shared" si="1201"/>
        <v>-1000</v>
      </c>
      <c r="CG363" s="47">
        <f t="shared" si="1201"/>
        <v>-1000</v>
      </c>
      <c r="CH363" s="47">
        <f t="shared" si="1201"/>
        <v>-1000</v>
      </c>
      <c r="CI363" s="47">
        <f t="shared" si="1201"/>
        <v>-1000</v>
      </c>
      <c r="CJ363" s="47">
        <f t="shared" si="1201"/>
        <v>-1000</v>
      </c>
      <c r="CK363" s="47">
        <f t="shared" si="1201"/>
        <v>-1000</v>
      </c>
      <c r="CL363" s="47">
        <f t="shared" si="1201"/>
        <v>-1000</v>
      </c>
      <c r="CM363" s="47">
        <f t="shared" si="1201"/>
        <v>-1000</v>
      </c>
      <c r="CN363" s="47">
        <f t="shared" si="1201"/>
        <v>-1000</v>
      </c>
      <c r="CO363" s="47">
        <f t="shared" si="1201"/>
        <v>-1000</v>
      </c>
      <c r="CP363" s="47">
        <f t="shared" si="1201"/>
        <v>-1000</v>
      </c>
      <c r="CQ363" s="47">
        <f t="shared" si="1201"/>
        <v>-1000</v>
      </c>
      <c r="CR363" s="47"/>
      <c r="CS363" s="47"/>
      <c r="CT363" s="47"/>
      <c r="CU363" s="50" t="str">
        <f>IFERROR(__xludf.DUMMYFUNCTION("""COMPUTED_VALUE"""),"6607 Orchid Lane
Dallas, TX 75230          ")</f>
        <v>6607 Orchid Lane
Dallas, TX 75230          </v>
      </c>
      <c r="CV363" s="51">
        <f>IFERROR(__xludf.DUMMYFUNCTION("IF(REGEXMATCH(UPPER(CU363), ""TX""),0,1)"),0.0)</f>
        <v>0</v>
      </c>
      <c r="CW363" s="51">
        <f>IFERROR(__xludf.DUMMYFUNCTION("IF(REGEXMATCH(UPPER(CU363), ""DALLAS""),0,1)"),0.0)</f>
        <v>0</v>
      </c>
      <c r="CX363" s="51">
        <f t="shared" si="17"/>
        <v>0</v>
      </c>
      <c r="CY363" s="51">
        <f t="shared" si="18"/>
        <v>0</v>
      </c>
      <c r="CZ363" s="52" t="str">
        <f t="shared" si="19"/>
        <v/>
      </c>
      <c r="DA363" s="58"/>
      <c r="DB363" s="52"/>
      <c r="DC363" s="52"/>
      <c r="DD363" s="52"/>
      <c r="DE363" s="52"/>
      <c r="DF363" s="52"/>
      <c r="DG363" s="52"/>
      <c r="DH363" s="52"/>
      <c r="DI363" s="52"/>
      <c r="DJ363" s="52"/>
      <c r="DK363" s="52"/>
      <c r="DL363" s="52"/>
      <c r="DM363" s="52"/>
      <c r="DN363" s="52"/>
      <c r="DO363" s="52"/>
      <c r="DP363" s="52"/>
      <c r="DQ363" s="52"/>
      <c r="DR363" s="52"/>
      <c r="DS363" s="52"/>
      <c r="DT363" s="52"/>
      <c r="DU363" s="52"/>
      <c r="DV363" s="52"/>
      <c r="DW363" s="52"/>
    </row>
    <row r="364">
      <c r="A364" s="22" t="s">
        <v>55</v>
      </c>
      <c r="B364" s="23" t="s">
        <v>56</v>
      </c>
      <c r="C364" s="31" t="s">
        <v>1008</v>
      </c>
      <c r="D364" s="25" t="str">
        <f>IFERROR(__xludf.DUMMYFUNCTION("SPLIT(C364,"" "")"),"Christian,")</f>
        <v>Christian,</v>
      </c>
      <c r="E364" s="22" t="str">
        <f>IFERROR(__xludf.DUMMYFUNCTION("""COMPUTED_VALUE"""),"Jerry
8112")</f>
        <v>Jerry
8112</v>
      </c>
      <c r="F364" s="22" t="str">
        <f>IFERROR(__xludf.DUMMYFUNCTION("""COMPUTED_VALUE"""),"Fox")</f>
        <v>Fox</v>
      </c>
      <c r="G364" s="22" t="str">
        <f>IFERROR(__xludf.DUMMYFUNCTION("""COMPUTED_VALUE"""),"Creek")</f>
        <v>Creek</v>
      </c>
      <c r="H364" s="22" t="str">
        <f>IFERROR(__xludf.DUMMYFUNCTION("""COMPUTED_VALUE"""),"Trail
Dallas,")</f>
        <v>Trail
Dallas,</v>
      </c>
      <c r="I364" s="22" t="str">
        <f>IFERROR(__xludf.DUMMYFUNCTION("""COMPUTED_VALUE"""),"TX")</f>
        <v>TX</v>
      </c>
      <c r="J364" s="22">
        <f>IFERROR(__xludf.DUMMYFUNCTION("""COMPUTED_VALUE"""),75249.0)</f>
        <v>75249</v>
      </c>
      <c r="K364" s="22"/>
      <c r="L364" s="22"/>
      <c r="M364" s="22"/>
      <c r="N364" s="22"/>
      <c r="O364" s="22"/>
      <c r="P364" s="22"/>
      <c r="Q364" s="22"/>
      <c r="R364" s="22"/>
      <c r="S364" s="22"/>
      <c r="T364" s="22"/>
      <c r="U364" s="24" t="str">
        <f>IFERROR(__xludf.DUMMYFUNCTION("SPLIT(E364,""01234567890"")"),"Jerry
")</f>
        <v>Jerry
</v>
      </c>
      <c r="V364" s="24" t="str">
        <f>IFERROR(__xludf.DUMMYFUNCTION("SPLIT(D364,"","")"),"Christian")</f>
        <v>Christian</v>
      </c>
      <c r="W364" s="25" t="str">
        <f t="shared" si="1"/>
        <v>JERRY
 CHRISTIAN</v>
      </c>
      <c r="X364" s="25" t="s">
        <v>1009</v>
      </c>
      <c r="Y364" s="25">
        <v>75249.0</v>
      </c>
      <c r="Z364" s="25" t="str">
        <f>IFERROR(__xludf.DUMMYFUNCTION("SPLIT(C364,""
"")"),"Christian, Jerry")</f>
        <v>Christian, Jerry</v>
      </c>
      <c r="AA364" s="25" t="str">
        <f>IFERROR(__xludf.DUMMYFUNCTION("""COMPUTED_VALUE"""),"8112 Fox Creek Trail")</f>
        <v>8112 Fox Creek Trail</v>
      </c>
      <c r="AB364" s="25" t="str">
        <f>IFERROR(__xludf.DUMMYFUNCTION("""COMPUTED_VALUE"""),"Dallas, TX 75249")</f>
        <v>Dallas, TX 75249</v>
      </c>
      <c r="AC364" s="24" t="s">
        <v>1010</v>
      </c>
      <c r="AD364" s="25"/>
      <c r="AE364" s="25"/>
      <c r="AF364" s="25"/>
      <c r="AG364" s="22" t="s">
        <v>60</v>
      </c>
      <c r="AH364" s="54">
        <v>2437.0</v>
      </c>
      <c r="AI364" s="22" t="s">
        <v>61</v>
      </c>
      <c r="AJ364" s="27">
        <v>250.0</v>
      </c>
      <c r="AK364" s="31" t="s">
        <v>25</v>
      </c>
      <c r="AL364" s="28">
        <v>44720.0</v>
      </c>
      <c r="AM364" s="29">
        <v>44754.83237268519</v>
      </c>
      <c r="AN364" s="30">
        <v>2.0</v>
      </c>
      <c r="AO364" s="22"/>
      <c r="AP364" s="22"/>
      <c r="AQ364" s="22"/>
      <c r="AR364" s="22"/>
      <c r="AS364" s="22"/>
      <c r="AT364" s="70"/>
      <c r="AU364" s="22"/>
      <c r="AV364" s="57" t="str">
        <f>IFERROR(__xludf.DUMMYFUNCTION("""COMPUTED_VALUE"""),"Syler")</f>
        <v>Syler</v>
      </c>
      <c r="AW364" s="46">
        <f t="shared" si="7"/>
        <v>350</v>
      </c>
      <c r="AX364" s="47">
        <f t="shared" ref="AX364:BQ364" si="1202">SUMIFS($AJ:$AJ,$V:$V,$AV364,$AK:$AK,AX$2)</f>
        <v>0</v>
      </c>
      <c r="AY364" s="48">
        <f t="shared" si="1202"/>
        <v>0</v>
      </c>
      <c r="AZ364" s="48">
        <f t="shared" si="1202"/>
        <v>0</v>
      </c>
      <c r="BA364" s="48">
        <f t="shared" si="1202"/>
        <v>350</v>
      </c>
      <c r="BB364" s="48">
        <f t="shared" si="1202"/>
        <v>0</v>
      </c>
      <c r="BC364" s="48">
        <f t="shared" si="1202"/>
        <v>0</v>
      </c>
      <c r="BD364" s="48">
        <f t="shared" si="1202"/>
        <v>0</v>
      </c>
      <c r="BE364" s="48">
        <f t="shared" si="1202"/>
        <v>0</v>
      </c>
      <c r="BF364" s="48">
        <f t="shared" si="1202"/>
        <v>0</v>
      </c>
      <c r="BG364" s="48">
        <f t="shared" si="1202"/>
        <v>0</v>
      </c>
      <c r="BH364" s="48">
        <f t="shared" si="1202"/>
        <v>0</v>
      </c>
      <c r="BI364" s="48">
        <f t="shared" si="1202"/>
        <v>0</v>
      </c>
      <c r="BJ364" s="48">
        <f t="shared" si="1202"/>
        <v>0</v>
      </c>
      <c r="BK364" s="48">
        <f t="shared" si="1202"/>
        <v>0</v>
      </c>
      <c r="BL364" s="48">
        <f t="shared" si="1202"/>
        <v>0</v>
      </c>
      <c r="BM364" s="48">
        <f t="shared" si="1202"/>
        <v>0</v>
      </c>
      <c r="BN364" s="48">
        <f t="shared" si="1202"/>
        <v>0</v>
      </c>
      <c r="BO364" s="48">
        <f t="shared" si="1202"/>
        <v>0</v>
      </c>
      <c r="BP364" s="48">
        <f t="shared" si="1202"/>
        <v>0</v>
      </c>
      <c r="BQ364" s="48">
        <f t="shared" si="1202"/>
        <v>0</v>
      </c>
      <c r="BR364" s="36">
        <f t="shared" si="9"/>
        <v>0</v>
      </c>
      <c r="BS364" s="38">
        <f t="shared" si="10"/>
        <v>1</v>
      </c>
      <c r="BT364" s="49">
        <f t="shared" si="11"/>
        <v>0</v>
      </c>
      <c r="BU364" s="38">
        <f t="shared" si="12"/>
        <v>1000</v>
      </c>
      <c r="BV364" s="57" t="str">
        <f>IFERROR(__xludf.DUMMYFUNCTION("""COMPUTED_VALUE"""),"Syler")</f>
        <v>Syler</v>
      </c>
      <c r="BW364" s="46">
        <f t="shared" si="13"/>
        <v>350</v>
      </c>
      <c r="BX364" s="47">
        <f t="shared" ref="BX364:CA364" si="1203">AX364-$BU364</f>
        <v>-1000</v>
      </c>
      <c r="BY364" s="47">
        <f t="shared" si="1203"/>
        <v>-1000</v>
      </c>
      <c r="BZ364" s="47">
        <f t="shared" si="1203"/>
        <v>-1000</v>
      </c>
      <c r="CA364" s="47">
        <f t="shared" si="1203"/>
        <v>-650</v>
      </c>
      <c r="CB364" s="47">
        <f t="shared" si="15"/>
        <v>-10000</v>
      </c>
      <c r="CC364" s="47">
        <f t="shared" ref="CC364:CQ364" si="1204">BC364-$BU364</f>
        <v>-1000</v>
      </c>
      <c r="CD364" s="47">
        <f t="shared" si="1204"/>
        <v>-1000</v>
      </c>
      <c r="CE364" s="47">
        <f t="shared" si="1204"/>
        <v>-1000</v>
      </c>
      <c r="CF364" s="47">
        <f t="shared" si="1204"/>
        <v>-1000</v>
      </c>
      <c r="CG364" s="47">
        <f t="shared" si="1204"/>
        <v>-1000</v>
      </c>
      <c r="CH364" s="47">
        <f t="shared" si="1204"/>
        <v>-1000</v>
      </c>
      <c r="CI364" s="47">
        <f t="shared" si="1204"/>
        <v>-1000</v>
      </c>
      <c r="CJ364" s="47">
        <f t="shared" si="1204"/>
        <v>-1000</v>
      </c>
      <c r="CK364" s="47">
        <f t="shared" si="1204"/>
        <v>-1000</v>
      </c>
      <c r="CL364" s="47">
        <f t="shared" si="1204"/>
        <v>-1000</v>
      </c>
      <c r="CM364" s="47">
        <f t="shared" si="1204"/>
        <v>-1000</v>
      </c>
      <c r="CN364" s="47">
        <f t="shared" si="1204"/>
        <v>-1000</v>
      </c>
      <c r="CO364" s="47">
        <f t="shared" si="1204"/>
        <v>-1000</v>
      </c>
      <c r="CP364" s="47">
        <f t="shared" si="1204"/>
        <v>-1000</v>
      </c>
      <c r="CQ364" s="47">
        <f t="shared" si="1204"/>
        <v>-1000</v>
      </c>
      <c r="CR364" s="47"/>
      <c r="CS364" s="47"/>
      <c r="CT364" s="47"/>
      <c r="CU364" s="50" t="str">
        <f>IFERROR(__xludf.DUMMYFUNCTION("""COMPUTED_VALUE"""),"7233 Brennans Dr
Dallas, TX 75214          ")</f>
        <v>7233 Brennans Dr
Dallas, TX 75214          </v>
      </c>
      <c r="CV364" s="51">
        <f>IFERROR(__xludf.DUMMYFUNCTION("IF(REGEXMATCH(UPPER(CU364), ""TX""),0,1)"),0.0)</f>
        <v>0</v>
      </c>
      <c r="CW364" s="51">
        <f>IFERROR(__xludf.DUMMYFUNCTION("IF(REGEXMATCH(UPPER(CU364), ""DALLAS""),0,1)"),0.0)</f>
        <v>0</v>
      </c>
      <c r="CX364" s="51">
        <f t="shared" si="17"/>
        <v>0</v>
      </c>
      <c r="CY364" s="51">
        <f t="shared" si="18"/>
        <v>0</v>
      </c>
      <c r="CZ364" s="52" t="str">
        <f t="shared" si="19"/>
        <v/>
      </c>
      <c r="DA364" s="58"/>
      <c r="DB364" s="52"/>
      <c r="DC364" s="52"/>
      <c r="DD364" s="52"/>
      <c r="DE364" s="52"/>
      <c r="DF364" s="52"/>
      <c r="DG364" s="52"/>
      <c r="DH364" s="52"/>
      <c r="DI364" s="52"/>
      <c r="DJ364" s="52"/>
      <c r="DK364" s="52"/>
      <c r="DL364" s="52"/>
      <c r="DM364" s="52"/>
      <c r="DN364" s="52"/>
      <c r="DO364" s="52"/>
      <c r="DP364" s="52"/>
      <c r="DQ364" s="52"/>
      <c r="DR364" s="52"/>
      <c r="DS364" s="52"/>
      <c r="DT364" s="52"/>
      <c r="DU364" s="52"/>
      <c r="DV364" s="52"/>
      <c r="DW364" s="52"/>
    </row>
    <row r="365">
      <c r="A365" s="41" t="s">
        <v>64</v>
      </c>
      <c r="B365" s="41" t="s">
        <v>56</v>
      </c>
      <c r="C365" s="31" t="s">
        <v>1011</v>
      </c>
      <c r="D365" s="25" t="str">
        <f>IFERROR(__xludf.DUMMYFUNCTION("SPLIT(C365,"" "")"),"Pittman,")</f>
        <v>Pittman,</v>
      </c>
      <c r="E365" s="40" t="str">
        <f>IFERROR(__xludf.DUMMYFUNCTION("""COMPUTED_VALUE"""),"Aubrey")</f>
        <v>Aubrey</v>
      </c>
      <c r="F365" s="40" t="str">
        <f>IFERROR(__xludf.DUMMYFUNCTION("""COMPUTED_VALUE"""),"Nick
100")</f>
        <v>Nick
100</v>
      </c>
      <c r="G365" s="40" t="str">
        <f>IFERROR(__xludf.DUMMYFUNCTION("""COMPUTED_VALUE"""),"Crescent")</f>
        <v>Crescent</v>
      </c>
      <c r="H365" s="40" t="str">
        <f>IFERROR(__xludf.DUMMYFUNCTION("""COMPUTED_VALUE"""),"Court
Dallas,")</f>
        <v>Court
Dallas,</v>
      </c>
      <c r="I365" s="40" t="str">
        <f>IFERROR(__xludf.DUMMYFUNCTION("""COMPUTED_VALUE"""),"TX")</f>
        <v>TX</v>
      </c>
      <c r="J365" s="40">
        <f>IFERROR(__xludf.DUMMYFUNCTION("""COMPUTED_VALUE"""),75201.0)</f>
        <v>75201</v>
      </c>
      <c r="K365" s="40"/>
      <c r="L365" s="40"/>
      <c r="M365" s="40"/>
      <c r="N365" s="40"/>
      <c r="O365" s="40"/>
      <c r="P365" s="40"/>
      <c r="Q365" s="40"/>
      <c r="R365" s="40"/>
      <c r="S365" s="40"/>
      <c r="T365" s="40"/>
      <c r="U365" s="24" t="str">
        <f>IFERROR(__xludf.DUMMYFUNCTION("SPLIT(E365,""01234567890"")"),"Aubrey")</f>
        <v>Aubrey</v>
      </c>
      <c r="V365" s="24" t="str">
        <f>IFERROR(__xludf.DUMMYFUNCTION("SPLIT(D365,"","")"),"Pittman")</f>
        <v>Pittman</v>
      </c>
      <c r="W365" s="25" t="str">
        <f t="shared" si="1"/>
        <v>AUBREY PITTMAN</v>
      </c>
      <c r="X365" s="25" t="s">
        <v>1012</v>
      </c>
      <c r="Y365" s="25">
        <v>75201.0</v>
      </c>
      <c r="Z365" s="25" t="str">
        <f>IFERROR(__xludf.DUMMYFUNCTION("SPLIT(C365,""
"")"),"Pittman, Aubrey Nick")</f>
        <v>Pittman, Aubrey Nick</v>
      </c>
      <c r="AA365" s="25" t="str">
        <f>IFERROR(__xludf.DUMMYFUNCTION("""COMPUTED_VALUE"""),"100 Crescent Court")</f>
        <v>100 Crescent Court</v>
      </c>
      <c r="AB365" s="25" t="str">
        <f>IFERROR(__xludf.DUMMYFUNCTION("""COMPUTED_VALUE"""),"Dallas, TX 75201")</f>
        <v>Dallas, TX 75201</v>
      </c>
      <c r="AC365" s="24" t="s">
        <v>1013</v>
      </c>
      <c r="AD365" s="25"/>
      <c r="AE365" s="25"/>
      <c r="AF365" s="25"/>
      <c r="AG365" s="40" t="s">
        <v>60</v>
      </c>
      <c r="AH365" s="42">
        <v>2437.0</v>
      </c>
      <c r="AI365" s="40" t="s">
        <v>61</v>
      </c>
      <c r="AJ365" s="27">
        <v>250.0</v>
      </c>
      <c r="AK365" s="31" t="s">
        <v>25</v>
      </c>
      <c r="AL365" s="43">
        <v>44720.0</v>
      </c>
      <c r="AM365" s="44">
        <v>44754.83237268519</v>
      </c>
      <c r="AN365" s="30">
        <v>2.0</v>
      </c>
      <c r="AO365" s="40"/>
      <c r="AP365" s="40"/>
      <c r="AQ365" s="40"/>
      <c r="AR365" s="40"/>
      <c r="AS365" s="40"/>
      <c r="AT365" s="47"/>
      <c r="AU365" s="40"/>
      <c r="AV365" s="46" t="str">
        <f>IFERROR(__xludf.DUMMYFUNCTION("""COMPUTED_VALUE"""),"Vallot")</f>
        <v>Vallot</v>
      </c>
      <c r="AW365" s="46">
        <f t="shared" si="7"/>
        <v>150</v>
      </c>
      <c r="AX365" s="47">
        <f t="shared" ref="AX365:BQ365" si="1205">SUMIFS($AJ:$AJ,$V:$V,$AV365,$AK:$AK,AX$2)</f>
        <v>0</v>
      </c>
      <c r="AY365" s="48">
        <f t="shared" si="1205"/>
        <v>0</v>
      </c>
      <c r="AZ365" s="48">
        <f t="shared" si="1205"/>
        <v>0</v>
      </c>
      <c r="BA365" s="48">
        <f t="shared" si="1205"/>
        <v>150</v>
      </c>
      <c r="BB365" s="48">
        <f t="shared" si="1205"/>
        <v>0</v>
      </c>
      <c r="BC365" s="48">
        <f t="shared" si="1205"/>
        <v>0</v>
      </c>
      <c r="BD365" s="48">
        <f t="shared" si="1205"/>
        <v>0</v>
      </c>
      <c r="BE365" s="48">
        <f t="shared" si="1205"/>
        <v>0</v>
      </c>
      <c r="BF365" s="48">
        <f t="shared" si="1205"/>
        <v>0</v>
      </c>
      <c r="BG365" s="48">
        <f t="shared" si="1205"/>
        <v>0</v>
      </c>
      <c r="BH365" s="48">
        <f t="shared" si="1205"/>
        <v>0</v>
      </c>
      <c r="BI365" s="48">
        <f t="shared" si="1205"/>
        <v>0</v>
      </c>
      <c r="BJ365" s="48">
        <f t="shared" si="1205"/>
        <v>0</v>
      </c>
      <c r="BK365" s="48">
        <f t="shared" si="1205"/>
        <v>0</v>
      </c>
      <c r="BL365" s="48">
        <f t="shared" si="1205"/>
        <v>0</v>
      </c>
      <c r="BM365" s="48">
        <f t="shared" si="1205"/>
        <v>0</v>
      </c>
      <c r="BN365" s="48">
        <f t="shared" si="1205"/>
        <v>0</v>
      </c>
      <c r="BO365" s="48">
        <f t="shared" si="1205"/>
        <v>0</v>
      </c>
      <c r="BP365" s="48">
        <f t="shared" si="1205"/>
        <v>0</v>
      </c>
      <c r="BQ365" s="48">
        <f t="shared" si="1205"/>
        <v>0</v>
      </c>
      <c r="BR365" s="36">
        <f t="shared" si="9"/>
        <v>0</v>
      </c>
      <c r="BS365" s="38">
        <f t="shared" si="10"/>
        <v>1</v>
      </c>
      <c r="BT365" s="49">
        <f t="shared" si="11"/>
        <v>0</v>
      </c>
      <c r="BU365" s="38">
        <f t="shared" si="12"/>
        <v>1000</v>
      </c>
      <c r="BV365" s="46" t="str">
        <f>IFERROR(__xludf.DUMMYFUNCTION("""COMPUTED_VALUE"""),"Vallot")</f>
        <v>Vallot</v>
      </c>
      <c r="BW365" s="46">
        <f t="shared" si="13"/>
        <v>150</v>
      </c>
      <c r="BX365" s="47">
        <f t="shared" ref="BX365:CA365" si="1206">AX365-$BU365</f>
        <v>-1000</v>
      </c>
      <c r="BY365" s="47">
        <f t="shared" si="1206"/>
        <v>-1000</v>
      </c>
      <c r="BZ365" s="47">
        <f t="shared" si="1206"/>
        <v>-1000</v>
      </c>
      <c r="CA365" s="47">
        <f t="shared" si="1206"/>
        <v>-850</v>
      </c>
      <c r="CB365" s="47">
        <f t="shared" si="15"/>
        <v>-10000</v>
      </c>
      <c r="CC365" s="47">
        <f t="shared" ref="CC365:CQ365" si="1207">BC365-$BU365</f>
        <v>-1000</v>
      </c>
      <c r="CD365" s="47">
        <f t="shared" si="1207"/>
        <v>-1000</v>
      </c>
      <c r="CE365" s="47">
        <f t="shared" si="1207"/>
        <v>-1000</v>
      </c>
      <c r="CF365" s="47">
        <f t="shared" si="1207"/>
        <v>-1000</v>
      </c>
      <c r="CG365" s="47">
        <f t="shared" si="1207"/>
        <v>-1000</v>
      </c>
      <c r="CH365" s="47">
        <f t="shared" si="1207"/>
        <v>-1000</v>
      </c>
      <c r="CI365" s="47">
        <f t="shared" si="1207"/>
        <v>-1000</v>
      </c>
      <c r="CJ365" s="47">
        <f t="shared" si="1207"/>
        <v>-1000</v>
      </c>
      <c r="CK365" s="47">
        <f t="shared" si="1207"/>
        <v>-1000</v>
      </c>
      <c r="CL365" s="47">
        <f t="shared" si="1207"/>
        <v>-1000</v>
      </c>
      <c r="CM365" s="47">
        <f t="shared" si="1207"/>
        <v>-1000</v>
      </c>
      <c r="CN365" s="47">
        <f t="shared" si="1207"/>
        <v>-1000</v>
      </c>
      <c r="CO365" s="47">
        <f t="shared" si="1207"/>
        <v>-1000</v>
      </c>
      <c r="CP365" s="47">
        <f t="shared" si="1207"/>
        <v>-1000</v>
      </c>
      <c r="CQ365" s="47">
        <f t="shared" si="1207"/>
        <v>-1000</v>
      </c>
      <c r="CR365" s="47"/>
      <c r="CS365" s="47"/>
      <c r="CT365" s="47"/>
      <c r="CU365" s="50" t="str">
        <f>IFERROR(__xludf.DUMMYFUNCTION("""COMPUTED_VALUE"""),"2828 Hood Street
Dallas, TX 75219          ")</f>
        <v>2828 Hood Street
Dallas, TX 75219          </v>
      </c>
      <c r="CV365" s="51">
        <f>IFERROR(__xludf.DUMMYFUNCTION("IF(REGEXMATCH(UPPER(CU365), ""TX""),0,1)"),0.0)</f>
        <v>0</v>
      </c>
      <c r="CW365" s="51">
        <f>IFERROR(__xludf.DUMMYFUNCTION("IF(REGEXMATCH(UPPER(CU365), ""DALLAS""),0,1)"),0.0)</f>
        <v>0</v>
      </c>
      <c r="CX365" s="51">
        <f t="shared" si="17"/>
        <v>0</v>
      </c>
      <c r="CY365" s="51">
        <f t="shared" si="18"/>
        <v>0</v>
      </c>
      <c r="CZ365" s="52" t="str">
        <f t="shared" si="19"/>
        <v/>
      </c>
      <c r="DA365" s="58"/>
      <c r="DB365" s="52"/>
      <c r="DC365" s="52"/>
      <c r="DD365" s="52"/>
      <c r="DE365" s="52"/>
      <c r="DF365" s="52"/>
      <c r="DG365" s="52"/>
      <c r="DH365" s="52"/>
      <c r="DI365" s="52"/>
      <c r="DJ365" s="52"/>
      <c r="DK365" s="52"/>
      <c r="DL365" s="52"/>
      <c r="DM365" s="52"/>
      <c r="DN365" s="52"/>
      <c r="DO365" s="52"/>
      <c r="DP365" s="52"/>
      <c r="DQ365" s="52"/>
      <c r="DR365" s="52"/>
      <c r="DS365" s="52"/>
      <c r="DT365" s="52"/>
      <c r="DU365" s="52"/>
      <c r="DV365" s="52"/>
      <c r="DW365" s="52"/>
    </row>
    <row r="366">
      <c r="A366" s="22" t="s">
        <v>55</v>
      </c>
      <c r="B366" s="23" t="s">
        <v>56</v>
      </c>
      <c r="C366" s="31" t="s">
        <v>1014</v>
      </c>
      <c r="D366" s="25" t="str">
        <f>IFERROR(__xludf.DUMMYFUNCTION("SPLIT(C366,"" "")"),"Yxall,")</f>
        <v>Yxall,</v>
      </c>
      <c r="E366" s="22" t="str">
        <f>IFERROR(__xludf.DUMMYFUNCTION("""COMPUTED_VALUE"""),"Thomas
2519")</f>
        <v>Thomas
2519</v>
      </c>
      <c r="F366" s="22" t="str">
        <f>IFERROR(__xludf.DUMMYFUNCTION("""COMPUTED_VALUE"""),"Cambria")</f>
        <v>Cambria</v>
      </c>
      <c r="G366" s="22" t="str">
        <f>IFERROR(__xludf.DUMMYFUNCTION("""COMPUTED_VALUE"""),"Blvd
Dallas,")</f>
        <v>Blvd
Dallas,</v>
      </c>
      <c r="H366" s="22" t="str">
        <f>IFERROR(__xludf.DUMMYFUNCTION("""COMPUTED_VALUE"""),"TX")</f>
        <v>TX</v>
      </c>
      <c r="I366" s="22">
        <f>IFERROR(__xludf.DUMMYFUNCTION("""COMPUTED_VALUE"""),75214.0)</f>
        <v>75214</v>
      </c>
      <c r="J366" s="22"/>
      <c r="K366" s="22"/>
      <c r="L366" s="22"/>
      <c r="M366" s="22"/>
      <c r="N366" s="22"/>
      <c r="O366" s="22"/>
      <c r="P366" s="22"/>
      <c r="Q366" s="22"/>
      <c r="R366" s="22"/>
      <c r="S366" s="22"/>
      <c r="T366" s="22"/>
      <c r="U366" s="24" t="str">
        <f>IFERROR(__xludf.DUMMYFUNCTION("SPLIT(E366,""01234567890"")"),"Thomas
")</f>
        <v>Thomas
</v>
      </c>
      <c r="V366" s="24" t="str">
        <f>IFERROR(__xludf.DUMMYFUNCTION("SPLIT(D366,"","")"),"Yxall")</f>
        <v>Yxall</v>
      </c>
      <c r="W366" s="25" t="str">
        <f t="shared" si="1"/>
        <v>THOMAS
 YXALL</v>
      </c>
      <c r="X366" s="25" t="s">
        <v>1015</v>
      </c>
      <c r="Y366" s="25">
        <v>75214.0</v>
      </c>
      <c r="Z366" s="25" t="str">
        <f>IFERROR(__xludf.DUMMYFUNCTION("SPLIT(C366,""
"")"),"Yxall, Thomas")</f>
        <v>Yxall, Thomas</v>
      </c>
      <c r="AA366" s="25" t="str">
        <f>IFERROR(__xludf.DUMMYFUNCTION("""COMPUTED_VALUE"""),"2519 Cambria Blvd")</f>
        <v>2519 Cambria Blvd</v>
      </c>
      <c r="AB366" s="25" t="str">
        <f>IFERROR(__xludf.DUMMYFUNCTION("""COMPUTED_VALUE"""),"Dallas, TX 75214")</f>
        <v>Dallas, TX 75214</v>
      </c>
      <c r="AC366" s="24" t="s">
        <v>1016</v>
      </c>
      <c r="AD366" s="25"/>
      <c r="AE366" s="25"/>
      <c r="AF366" s="25"/>
      <c r="AG366" s="22" t="s">
        <v>60</v>
      </c>
      <c r="AH366" s="54">
        <v>2437.0</v>
      </c>
      <c r="AI366" s="22" t="s">
        <v>61</v>
      </c>
      <c r="AJ366" s="27">
        <v>500.0</v>
      </c>
      <c r="AK366" s="31" t="s">
        <v>25</v>
      </c>
      <c r="AL366" s="28">
        <v>44720.0</v>
      </c>
      <c r="AM366" s="29">
        <v>44754.83237268519</v>
      </c>
      <c r="AN366" s="30">
        <v>2.0</v>
      </c>
      <c r="AO366" s="22"/>
      <c r="AP366" s="22"/>
      <c r="AQ366" s="22"/>
      <c r="AR366" s="22"/>
      <c r="AS366" s="22"/>
      <c r="AT366" s="70"/>
      <c r="AU366" s="22"/>
      <c r="AV366" s="57" t="str">
        <f>IFERROR(__xludf.DUMMYFUNCTION("""COMPUTED_VALUE"""),"Greef")</f>
        <v>Greef</v>
      </c>
      <c r="AW366" s="46">
        <f t="shared" si="7"/>
        <v>500</v>
      </c>
      <c r="AX366" s="47">
        <f t="shared" ref="AX366:BQ366" si="1208">SUMIFS($AJ:$AJ,$V:$V,$AV366,$AK:$AK,AX$2)</f>
        <v>0</v>
      </c>
      <c r="AY366" s="48">
        <f t="shared" si="1208"/>
        <v>0</v>
      </c>
      <c r="AZ366" s="48">
        <f t="shared" si="1208"/>
        <v>0</v>
      </c>
      <c r="BA366" s="48">
        <f t="shared" si="1208"/>
        <v>500</v>
      </c>
      <c r="BB366" s="48">
        <f t="shared" si="1208"/>
        <v>0</v>
      </c>
      <c r="BC366" s="48">
        <f t="shared" si="1208"/>
        <v>0</v>
      </c>
      <c r="BD366" s="48">
        <f t="shared" si="1208"/>
        <v>0</v>
      </c>
      <c r="BE366" s="48">
        <f t="shared" si="1208"/>
        <v>0</v>
      </c>
      <c r="BF366" s="48">
        <f t="shared" si="1208"/>
        <v>0</v>
      </c>
      <c r="BG366" s="48">
        <f t="shared" si="1208"/>
        <v>0</v>
      </c>
      <c r="BH366" s="48">
        <f t="shared" si="1208"/>
        <v>0</v>
      </c>
      <c r="BI366" s="48">
        <f t="shared" si="1208"/>
        <v>0</v>
      </c>
      <c r="BJ366" s="48">
        <f t="shared" si="1208"/>
        <v>0</v>
      </c>
      <c r="BK366" s="48">
        <f t="shared" si="1208"/>
        <v>0</v>
      </c>
      <c r="BL366" s="48">
        <f t="shared" si="1208"/>
        <v>0</v>
      </c>
      <c r="BM366" s="48">
        <f t="shared" si="1208"/>
        <v>0</v>
      </c>
      <c r="BN366" s="48">
        <f t="shared" si="1208"/>
        <v>0</v>
      </c>
      <c r="BO366" s="48">
        <f t="shared" si="1208"/>
        <v>0</v>
      </c>
      <c r="BP366" s="48">
        <f t="shared" si="1208"/>
        <v>0</v>
      </c>
      <c r="BQ366" s="48">
        <f t="shared" si="1208"/>
        <v>0</v>
      </c>
      <c r="BR366" s="36">
        <f t="shared" si="9"/>
        <v>0</v>
      </c>
      <c r="BS366" s="38">
        <f t="shared" si="10"/>
        <v>1</v>
      </c>
      <c r="BT366" s="49">
        <f t="shared" si="11"/>
        <v>0</v>
      </c>
      <c r="BU366" s="38">
        <f t="shared" si="12"/>
        <v>1000</v>
      </c>
      <c r="BV366" s="57" t="str">
        <f>IFERROR(__xludf.DUMMYFUNCTION("""COMPUTED_VALUE"""),"Greef")</f>
        <v>Greef</v>
      </c>
      <c r="BW366" s="46">
        <f t="shared" si="13"/>
        <v>500</v>
      </c>
      <c r="BX366" s="47">
        <f t="shared" ref="BX366:CA366" si="1209">AX366-$BU366</f>
        <v>-1000</v>
      </c>
      <c r="BY366" s="47">
        <f t="shared" si="1209"/>
        <v>-1000</v>
      </c>
      <c r="BZ366" s="47">
        <f t="shared" si="1209"/>
        <v>-1000</v>
      </c>
      <c r="CA366" s="47">
        <f t="shared" si="1209"/>
        <v>-500</v>
      </c>
      <c r="CB366" s="47">
        <f t="shared" si="15"/>
        <v>-10000</v>
      </c>
      <c r="CC366" s="47">
        <f t="shared" ref="CC366:CQ366" si="1210">BC366-$BU366</f>
        <v>-1000</v>
      </c>
      <c r="CD366" s="47">
        <f t="shared" si="1210"/>
        <v>-1000</v>
      </c>
      <c r="CE366" s="47">
        <f t="shared" si="1210"/>
        <v>-1000</v>
      </c>
      <c r="CF366" s="47">
        <f t="shared" si="1210"/>
        <v>-1000</v>
      </c>
      <c r="CG366" s="47">
        <f t="shared" si="1210"/>
        <v>-1000</v>
      </c>
      <c r="CH366" s="47">
        <f t="shared" si="1210"/>
        <v>-1000</v>
      </c>
      <c r="CI366" s="47">
        <f t="shared" si="1210"/>
        <v>-1000</v>
      </c>
      <c r="CJ366" s="47">
        <f t="shared" si="1210"/>
        <v>-1000</v>
      </c>
      <c r="CK366" s="47">
        <f t="shared" si="1210"/>
        <v>-1000</v>
      </c>
      <c r="CL366" s="47">
        <f t="shared" si="1210"/>
        <v>-1000</v>
      </c>
      <c r="CM366" s="47">
        <f t="shared" si="1210"/>
        <v>-1000</v>
      </c>
      <c r="CN366" s="47">
        <f t="shared" si="1210"/>
        <v>-1000</v>
      </c>
      <c r="CO366" s="47">
        <f t="shared" si="1210"/>
        <v>-1000</v>
      </c>
      <c r="CP366" s="47">
        <f t="shared" si="1210"/>
        <v>-1000</v>
      </c>
      <c r="CQ366" s="47">
        <f t="shared" si="1210"/>
        <v>-1000</v>
      </c>
      <c r="CR366" s="47"/>
      <c r="CS366" s="47"/>
      <c r="CT366" s="47"/>
      <c r="CU366" s="50" t="str">
        <f>IFERROR(__xludf.DUMMYFUNCTION("""COMPUTED_VALUE"""),"8304 Marble Dale Court
Alexandria, VA 22308         ")</f>
        <v>8304 Marble Dale Court
Alexandria, VA 22308         </v>
      </c>
      <c r="CV366" s="51">
        <f>IFERROR(__xludf.DUMMYFUNCTION("IF(REGEXMATCH(UPPER(CU366), ""TX""),0,1)"),1.0)</f>
        <v>1</v>
      </c>
      <c r="CW366" s="51">
        <f>IFERROR(__xludf.DUMMYFUNCTION("IF(REGEXMATCH(UPPER(CU366), ""DALLAS""),0,1)"),1.0)</f>
        <v>1</v>
      </c>
      <c r="CX366" s="51">
        <f t="shared" si="17"/>
        <v>100</v>
      </c>
      <c r="CY366" s="51">
        <f t="shared" si="18"/>
        <v>100</v>
      </c>
      <c r="CZ366" s="52" t="str">
        <f t="shared" si="19"/>
        <v>8304 Marble Dale Court
Alexandria, VA 22308         </v>
      </c>
      <c r="DA366" s="58"/>
      <c r="DB366" s="52"/>
      <c r="DC366" s="52"/>
      <c r="DD366" s="52"/>
      <c r="DE366" s="52"/>
      <c r="DF366" s="52"/>
      <c r="DG366" s="52"/>
      <c r="DH366" s="52"/>
      <c r="DI366" s="52"/>
      <c r="DJ366" s="52"/>
      <c r="DK366" s="52"/>
      <c r="DL366" s="52"/>
      <c r="DM366" s="52"/>
      <c r="DN366" s="52"/>
      <c r="DO366" s="52"/>
      <c r="DP366" s="52"/>
      <c r="DQ366" s="52"/>
      <c r="DR366" s="52"/>
      <c r="DS366" s="52"/>
      <c r="DT366" s="52"/>
      <c r="DU366" s="52"/>
      <c r="DV366" s="52"/>
      <c r="DW366" s="52"/>
    </row>
    <row r="367">
      <c r="A367" s="41" t="s">
        <v>64</v>
      </c>
      <c r="B367" s="41" t="s">
        <v>56</v>
      </c>
      <c r="C367" s="31" t="s">
        <v>1017</v>
      </c>
      <c r="D367" s="25" t="str">
        <f>IFERROR(__xludf.DUMMYFUNCTION("SPLIT(C367,"" "")"),"English,")</f>
        <v>English,</v>
      </c>
      <c r="E367" s="40" t="str">
        <f>IFERROR(__xludf.DUMMYFUNCTION("""COMPUTED_VALUE"""),"Charles
PO")</f>
        <v>Charles
PO</v>
      </c>
      <c r="F367" s="40" t="str">
        <f>IFERROR(__xludf.DUMMYFUNCTION("""COMPUTED_VALUE"""),"Box")</f>
        <v>Box</v>
      </c>
      <c r="G367" s="40" t="str">
        <f>IFERROR(__xludf.DUMMYFUNCTION("""COMPUTED_VALUE"""),"140189
Dallas,")</f>
        <v>140189
Dallas,</v>
      </c>
      <c r="H367" s="40" t="str">
        <f>IFERROR(__xludf.DUMMYFUNCTION("""COMPUTED_VALUE"""),"TX")</f>
        <v>TX</v>
      </c>
      <c r="I367" s="40">
        <f>IFERROR(__xludf.DUMMYFUNCTION("""COMPUTED_VALUE"""),75214.0)</f>
        <v>75214</v>
      </c>
      <c r="J367" s="40"/>
      <c r="K367" s="40"/>
      <c r="L367" s="40"/>
      <c r="M367" s="40"/>
      <c r="N367" s="40"/>
      <c r="O367" s="40"/>
      <c r="P367" s="40"/>
      <c r="Q367" s="40"/>
      <c r="R367" s="40"/>
      <c r="S367" s="40"/>
      <c r="T367" s="40"/>
      <c r="U367" s="24" t="str">
        <f>IFERROR(__xludf.DUMMYFUNCTION("SPLIT(E367,""01234567890"")"),"Charles
PO")</f>
        <v>Charles
PO</v>
      </c>
      <c r="V367" s="24" t="str">
        <f>IFERROR(__xludf.DUMMYFUNCTION("SPLIT(D367,"","")"),"English")</f>
        <v>English</v>
      </c>
      <c r="W367" s="25" t="str">
        <f t="shared" si="1"/>
        <v>CHARLES
PO ENGLISH</v>
      </c>
      <c r="X367" s="25" t="s">
        <v>1018</v>
      </c>
      <c r="Y367" s="25">
        <v>75214.0</v>
      </c>
      <c r="Z367" s="25" t="str">
        <f>IFERROR(__xludf.DUMMYFUNCTION("SPLIT(C367,""
"")"),"English, Charles")</f>
        <v>English, Charles</v>
      </c>
      <c r="AA367" s="25" t="str">
        <f>IFERROR(__xludf.DUMMYFUNCTION("""COMPUTED_VALUE"""),"PO Box 140189")</f>
        <v>PO Box 140189</v>
      </c>
      <c r="AB367" s="25" t="str">
        <f>IFERROR(__xludf.DUMMYFUNCTION("""COMPUTED_VALUE"""),"Dallas, TX 75214")</f>
        <v>Dallas, TX 75214</v>
      </c>
      <c r="AC367" s="24" t="s">
        <v>1019</v>
      </c>
      <c r="AD367" s="25"/>
      <c r="AE367" s="25"/>
      <c r="AF367" s="25"/>
      <c r="AG367" s="40" t="s">
        <v>60</v>
      </c>
      <c r="AH367" s="42">
        <v>2437.0</v>
      </c>
      <c r="AI367" s="40" t="s">
        <v>61</v>
      </c>
      <c r="AJ367" s="27">
        <v>250.0</v>
      </c>
      <c r="AK367" s="31" t="s">
        <v>25</v>
      </c>
      <c r="AL367" s="43">
        <v>44720.0</v>
      </c>
      <c r="AM367" s="44">
        <v>44754.83237268519</v>
      </c>
      <c r="AN367" s="30">
        <v>2.0</v>
      </c>
      <c r="AO367" s="40"/>
      <c r="AP367" s="40"/>
      <c r="AQ367" s="40"/>
      <c r="AR367" s="40"/>
      <c r="AS367" s="40"/>
      <c r="AT367" s="47"/>
      <c r="AU367" s="40"/>
      <c r="AV367" s="46" t="str">
        <f>IFERROR(__xludf.DUMMYFUNCTION("""COMPUTED_VALUE"""),"Schossler")</f>
        <v>Schossler</v>
      </c>
      <c r="AW367" s="46">
        <f t="shared" si="7"/>
        <v>250</v>
      </c>
      <c r="AX367" s="47">
        <f t="shared" ref="AX367:BQ367" si="1211">SUMIFS($AJ:$AJ,$V:$V,$AV367,$AK:$AK,AX$2)</f>
        <v>0</v>
      </c>
      <c r="AY367" s="48">
        <f t="shared" si="1211"/>
        <v>0</v>
      </c>
      <c r="AZ367" s="48">
        <f t="shared" si="1211"/>
        <v>0</v>
      </c>
      <c r="BA367" s="48">
        <f t="shared" si="1211"/>
        <v>250</v>
      </c>
      <c r="BB367" s="48">
        <f t="shared" si="1211"/>
        <v>0</v>
      </c>
      <c r="BC367" s="48">
        <f t="shared" si="1211"/>
        <v>0</v>
      </c>
      <c r="BD367" s="48">
        <f t="shared" si="1211"/>
        <v>0</v>
      </c>
      <c r="BE367" s="48">
        <f t="shared" si="1211"/>
        <v>0</v>
      </c>
      <c r="BF367" s="48">
        <f t="shared" si="1211"/>
        <v>0</v>
      </c>
      <c r="BG367" s="48">
        <f t="shared" si="1211"/>
        <v>0</v>
      </c>
      <c r="BH367" s="48">
        <f t="shared" si="1211"/>
        <v>0</v>
      </c>
      <c r="BI367" s="48">
        <f t="shared" si="1211"/>
        <v>0</v>
      </c>
      <c r="BJ367" s="48">
        <f t="shared" si="1211"/>
        <v>0</v>
      </c>
      <c r="BK367" s="48">
        <f t="shared" si="1211"/>
        <v>0</v>
      </c>
      <c r="BL367" s="48">
        <f t="shared" si="1211"/>
        <v>0</v>
      </c>
      <c r="BM367" s="48">
        <f t="shared" si="1211"/>
        <v>0</v>
      </c>
      <c r="BN367" s="48">
        <f t="shared" si="1211"/>
        <v>0</v>
      </c>
      <c r="BO367" s="48">
        <f t="shared" si="1211"/>
        <v>0</v>
      </c>
      <c r="BP367" s="48">
        <f t="shared" si="1211"/>
        <v>0</v>
      </c>
      <c r="BQ367" s="48">
        <f t="shared" si="1211"/>
        <v>0</v>
      </c>
      <c r="BR367" s="36">
        <f t="shared" si="9"/>
        <v>0</v>
      </c>
      <c r="BS367" s="38">
        <f t="shared" si="10"/>
        <v>1</v>
      </c>
      <c r="BT367" s="49">
        <f t="shared" si="11"/>
        <v>0</v>
      </c>
      <c r="BU367" s="38">
        <f t="shared" si="12"/>
        <v>1000</v>
      </c>
      <c r="BV367" s="46" t="str">
        <f>IFERROR(__xludf.DUMMYFUNCTION("""COMPUTED_VALUE"""),"Schossler")</f>
        <v>Schossler</v>
      </c>
      <c r="BW367" s="46">
        <f t="shared" si="13"/>
        <v>250</v>
      </c>
      <c r="BX367" s="47">
        <f t="shared" ref="BX367:CA367" si="1212">AX367-$BU367</f>
        <v>-1000</v>
      </c>
      <c r="BY367" s="47">
        <f t="shared" si="1212"/>
        <v>-1000</v>
      </c>
      <c r="BZ367" s="47">
        <f t="shared" si="1212"/>
        <v>-1000</v>
      </c>
      <c r="CA367" s="47">
        <f t="shared" si="1212"/>
        <v>-750</v>
      </c>
      <c r="CB367" s="47">
        <f t="shared" si="15"/>
        <v>-10000</v>
      </c>
      <c r="CC367" s="47">
        <f t="shared" ref="CC367:CQ367" si="1213">BC367-$BU367</f>
        <v>-1000</v>
      </c>
      <c r="CD367" s="47">
        <f t="shared" si="1213"/>
        <v>-1000</v>
      </c>
      <c r="CE367" s="47">
        <f t="shared" si="1213"/>
        <v>-1000</v>
      </c>
      <c r="CF367" s="47">
        <f t="shared" si="1213"/>
        <v>-1000</v>
      </c>
      <c r="CG367" s="47">
        <f t="shared" si="1213"/>
        <v>-1000</v>
      </c>
      <c r="CH367" s="47">
        <f t="shared" si="1213"/>
        <v>-1000</v>
      </c>
      <c r="CI367" s="47">
        <f t="shared" si="1213"/>
        <v>-1000</v>
      </c>
      <c r="CJ367" s="47">
        <f t="shared" si="1213"/>
        <v>-1000</v>
      </c>
      <c r="CK367" s="47">
        <f t="shared" si="1213"/>
        <v>-1000</v>
      </c>
      <c r="CL367" s="47">
        <f t="shared" si="1213"/>
        <v>-1000</v>
      </c>
      <c r="CM367" s="47">
        <f t="shared" si="1213"/>
        <v>-1000</v>
      </c>
      <c r="CN367" s="47">
        <f t="shared" si="1213"/>
        <v>-1000</v>
      </c>
      <c r="CO367" s="47">
        <f t="shared" si="1213"/>
        <v>-1000</v>
      </c>
      <c r="CP367" s="47">
        <f t="shared" si="1213"/>
        <v>-1000</v>
      </c>
      <c r="CQ367" s="47">
        <f t="shared" si="1213"/>
        <v>-1000</v>
      </c>
      <c r="CR367" s="47"/>
      <c r="CS367" s="47"/>
      <c r="CT367" s="47"/>
      <c r="CU367" s="50" t="str">
        <f>IFERROR(__xludf.DUMMYFUNCTION("""COMPUTED_VALUE"""),"2100 Ross Ave
Dallas, TX 75201          ")</f>
        <v>2100 Ross Ave
Dallas, TX 75201          </v>
      </c>
      <c r="CV367" s="51">
        <f>IFERROR(__xludf.DUMMYFUNCTION("IF(REGEXMATCH(UPPER(CU367), ""TX""),0,1)"),0.0)</f>
        <v>0</v>
      </c>
      <c r="CW367" s="51">
        <f>IFERROR(__xludf.DUMMYFUNCTION("IF(REGEXMATCH(UPPER(CU367), ""DALLAS""),0,1)"),0.0)</f>
        <v>0</v>
      </c>
      <c r="CX367" s="51">
        <f t="shared" si="17"/>
        <v>0</v>
      </c>
      <c r="CY367" s="51">
        <f t="shared" si="18"/>
        <v>0</v>
      </c>
      <c r="CZ367" s="52" t="str">
        <f t="shared" si="19"/>
        <v/>
      </c>
      <c r="DA367" s="58"/>
      <c r="DB367" s="52"/>
      <c r="DC367" s="52"/>
      <c r="DD367" s="52"/>
      <c r="DE367" s="52"/>
      <c r="DF367" s="52"/>
      <c r="DG367" s="52"/>
      <c r="DH367" s="52"/>
      <c r="DI367" s="52"/>
      <c r="DJ367" s="52"/>
      <c r="DK367" s="52"/>
      <c r="DL367" s="52"/>
      <c r="DM367" s="52"/>
      <c r="DN367" s="52"/>
      <c r="DO367" s="52"/>
      <c r="DP367" s="52"/>
      <c r="DQ367" s="52"/>
      <c r="DR367" s="52"/>
      <c r="DS367" s="52"/>
      <c r="DT367" s="52"/>
      <c r="DU367" s="52"/>
      <c r="DV367" s="52"/>
      <c r="DW367" s="52"/>
    </row>
    <row r="368">
      <c r="A368" s="22" t="s">
        <v>55</v>
      </c>
      <c r="B368" s="23" t="s">
        <v>56</v>
      </c>
      <c r="C368" s="31" t="s">
        <v>1020</v>
      </c>
      <c r="D368" s="25" t="str">
        <f>IFERROR(__xludf.DUMMYFUNCTION("SPLIT(C368,"" "")"),"Johansen,")</f>
        <v>Johansen,</v>
      </c>
      <c r="E368" s="22" t="str">
        <f>IFERROR(__xludf.DUMMYFUNCTION("""COMPUTED_VALUE"""),"Mark
2501")</f>
        <v>Mark
2501</v>
      </c>
      <c r="F368" s="22" t="str">
        <f>IFERROR(__xludf.DUMMYFUNCTION("""COMPUTED_VALUE"""),"N")</f>
        <v>N</v>
      </c>
      <c r="G368" s="22" t="str">
        <f>IFERROR(__xludf.DUMMYFUNCTION("""COMPUTED_VALUE"""),"Harwood
Dallas,")</f>
        <v>Harwood
Dallas,</v>
      </c>
      <c r="H368" s="22" t="str">
        <f>IFERROR(__xludf.DUMMYFUNCTION("""COMPUTED_VALUE"""),"TX")</f>
        <v>TX</v>
      </c>
      <c r="I368" s="22">
        <f>IFERROR(__xludf.DUMMYFUNCTION("""COMPUTED_VALUE"""),75201.0)</f>
        <v>75201</v>
      </c>
      <c r="J368" s="22"/>
      <c r="K368" s="22"/>
      <c r="L368" s="22"/>
      <c r="M368" s="22"/>
      <c r="N368" s="22"/>
      <c r="O368" s="22"/>
      <c r="P368" s="22"/>
      <c r="Q368" s="22"/>
      <c r="R368" s="22"/>
      <c r="S368" s="22"/>
      <c r="T368" s="22"/>
      <c r="U368" s="24" t="str">
        <f>IFERROR(__xludf.DUMMYFUNCTION("SPLIT(E368,""01234567890"")"),"Mark
")</f>
        <v>Mark
</v>
      </c>
      <c r="V368" s="24" t="str">
        <f>IFERROR(__xludf.DUMMYFUNCTION("SPLIT(D368,"","")"),"Johansen")</f>
        <v>Johansen</v>
      </c>
      <c r="W368" s="25" t="str">
        <f t="shared" si="1"/>
        <v>MARK
 JOHANSEN</v>
      </c>
      <c r="X368" s="25" t="s">
        <v>1021</v>
      </c>
      <c r="Y368" s="25">
        <v>75201.0</v>
      </c>
      <c r="Z368" s="25" t="str">
        <f>IFERROR(__xludf.DUMMYFUNCTION("SPLIT(C368,""
"")"),"Johansen, Mark")</f>
        <v>Johansen, Mark</v>
      </c>
      <c r="AA368" s="25" t="str">
        <f>IFERROR(__xludf.DUMMYFUNCTION("""COMPUTED_VALUE"""),"2501 N Harwood")</f>
        <v>2501 N Harwood</v>
      </c>
      <c r="AB368" s="25" t="str">
        <f>IFERROR(__xludf.DUMMYFUNCTION("""COMPUTED_VALUE"""),"Dallas, TX 75201")</f>
        <v>Dallas, TX 75201</v>
      </c>
      <c r="AC368" s="24" t="s">
        <v>1022</v>
      </c>
      <c r="AD368" s="25"/>
      <c r="AE368" s="25"/>
      <c r="AF368" s="25"/>
      <c r="AG368" s="22" t="s">
        <v>60</v>
      </c>
      <c r="AH368" s="54">
        <v>2437.0</v>
      </c>
      <c r="AI368" s="22" t="s">
        <v>61</v>
      </c>
      <c r="AJ368" s="27">
        <v>500.0</v>
      </c>
      <c r="AK368" s="31" t="s">
        <v>25</v>
      </c>
      <c r="AL368" s="28">
        <v>44720.0</v>
      </c>
      <c r="AM368" s="29">
        <v>44754.83237268519</v>
      </c>
      <c r="AN368" s="30">
        <v>2.0</v>
      </c>
      <c r="AO368" s="22"/>
      <c r="AP368" s="22"/>
      <c r="AQ368" s="22"/>
      <c r="AR368" s="22"/>
      <c r="AS368" s="22"/>
      <c r="AT368" s="70"/>
      <c r="AU368" s="22"/>
      <c r="AV368" s="57" t="str">
        <f>IFERROR(__xludf.DUMMYFUNCTION("""COMPUTED_VALUE"""),"Wendel")</f>
        <v>Wendel</v>
      </c>
      <c r="AW368" s="46">
        <f t="shared" si="7"/>
        <v>2000</v>
      </c>
      <c r="AX368" s="47">
        <f t="shared" ref="AX368:BQ368" si="1214">SUMIFS($AJ:$AJ,$V:$V,$AV368,$AK:$AK,AX$2)</f>
        <v>0</v>
      </c>
      <c r="AY368" s="48">
        <f t="shared" si="1214"/>
        <v>0</v>
      </c>
      <c r="AZ368" s="48">
        <f t="shared" si="1214"/>
        <v>0</v>
      </c>
      <c r="BA368" s="48">
        <f t="shared" si="1214"/>
        <v>2000</v>
      </c>
      <c r="BB368" s="48">
        <f t="shared" si="1214"/>
        <v>0</v>
      </c>
      <c r="BC368" s="48">
        <f t="shared" si="1214"/>
        <v>0</v>
      </c>
      <c r="BD368" s="48">
        <f t="shared" si="1214"/>
        <v>0</v>
      </c>
      <c r="BE368" s="48">
        <f t="shared" si="1214"/>
        <v>0</v>
      </c>
      <c r="BF368" s="48">
        <f t="shared" si="1214"/>
        <v>0</v>
      </c>
      <c r="BG368" s="48">
        <f t="shared" si="1214"/>
        <v>0</v>
      </c>
      <c r="BH368" s="48">
        <f t="shared" si="1214"/>
        <v>0</v>
      </c>
      <c r="BI368" s="48">
        <f t="shared" si="1214"/>
        <v>0</v>
      </c>
      <c r="BJ368" s="48">
        <f t="shared" si="1214"/>
        <v>0</v>
      </c>
      <c r="BK368" s="48">
        <f t="shared" si="1214"/>
        <v>0</v>
      </c>
      <c r="BL368" s="48">
        <f t="shared" si="1214"/>
        <v>0</v>
      </c>
      <c r="BM368" s="48">
        <f t="shared" si="1214"/>
        <v>0</v>
      </c>
      <c r="BN368" s="48">
        <f t="shared" si="1214"/>
        <v>0</v>
      </c>
      <c r="BO368" s="48">
        <f t="shared" si="1214"/>
        <v>0</v>
      </c>
      <c r="BP368" s="48">
        <f t="shared" si="1214"/>
        <v>0</v>
      </c>
      <c r="BQ368" s="48">
        <f t="shared" si="1214"/>
        <v>0</v>
      </c>
      <c r="BR368" s="36">
        <f t="shared" si="9"/>
        <v>1</v>
      </c>
      <c r="BS368" s="38">
        <f t="shared" si="10"/>
        <v>2</v>
      </c>
      <c r="BT368" s="49">
        <f t="shared" si="11"/>
        <v>0</v>
      </c>
      <c r="BU368" s="38">
        <f t="shared" si="12"/>
        <v>2000</v>
      </c>
      <c r="BV368" s="57" t="str">
        <f>IFERROR(__xludf.DUMMYFUNCTION("""COMPUTED_VALUE"""),"Wendel")</f>
        <v>Wendel</v>
      </c>
      <c r="BW368" s="46">
        <f t="shared" si="13"/>
        <v>2000</v>
      </c>
      <c r="BX368" s="47">
        <f t="shared" ref="BX368:CA368" si="1215">AX368-$BU368</f>
        <v>-2000</v>
      </c>
      <c r="BY368" s="47">
        <f t="shared" si="1215"/>
        <v>-2000</v>
      </c>
      <c r="BZ368" s="47">
        <f t="shared" si="1215"/>
        <v>-2000</v>
      </c>
      <c r="CA368" s="47">
        <f t="shared" si="1215"/>
        <v>0</v>
      </c>
      <c r="CB368" s="47">
        <f t="shared" si="15"/>
        <v>-20000</v>
      </c>
      <c r="CC368" s="47">
        <f t="shared" ref="CC368:CQ368" si="1216">BC368-$BU368</f>
        <v>-2000</v>
      </c>
      <c r="CD368" s="47">
        <f t="shared" si="1216"/>
        <v>-2000</v>
      </c>
      <c r="CE368" s="47">
        <f t="shared" si="1216"/>
        <v>-2000</v>
      </c>
      <c r="CF368" s="47">
        <f t="shared" si="1216"/>
        <v>-2000</v>
      </c>
      <c r="CG368" s="47">
        <f t="shared" si="1216"/>
        <v>-2000</v>
      </c>
      <c r="CH368" s="47">
        <f t="shared" si="1216"/>
        <v>-2000</v>
      </c>
      <c r="CI368" s="47">
        <f t="shared" si="1216"/>
        <v>-2000</v>
      </c>
      <c r="CJ368" s="47">
        <f t="shared" si="1216"/>
        <v>-2000</v>
      </c>
      <c r="CK368" s="47">
        <f t="shared" si="1216"/>
        <v>-2000</v>
      </c>
      <c r="CL368" s="47">
        <f t="shared" si="1216"/>
        <v>-2000</v>
      </c>
      <c r="CM368" s="47">
        <f t="shared" si="1216"/>
        <v>-2000</v>
      </c>
      <c r="CN368" s="47">
        <f t="shared" si="1216"/>
        <v>-2000</v>
      </c>
      <c r="CO368" s="47">
        <f t="shared" si="1216"/>
        <v>-2000</v>
      </c>
      <c r="CP368" s="47">
        <f t="shared" si="1216"/>
        <v>-2000</v>
      </c>
      <c r="CQ368" s="47">
        <f t="shared" si="1216"/>
        <v>-2000</v>
      </c>
      <c r="CR368" s="47"/>
      <c r="CS368" s="47"/>
      <c r="CT368" s="47"/>
      <c r="CU368" s="50" t="str">
        <f>IFERROR(__xludf.DUMMYFUNCTION("""COMPUTED_VALUE"""),"5999 Lindenshire Lane
Dallas, TX 75230          ")</f>
        <v>5999 Lindenshire Lane
Dallas, TX 75230          </v>
      </c>
      <c r="CV368" s="51">
        <f>IFERROR(__xludf.DUMMYFUNCTION("IF(REGEXMATCH(UPPER(CU368), ""TX""),0,1)"),0.0)</f>
        <v>0</v>
      </c>
      <c r="CW368" s="51">
        <f>IFERROR(__xludf.DUMMYFUNCTION("IF(REGEXMATCH(UPPER(CU368), ""DALLAS""),0,1)"),0.0)</f>
        <v>0</v>
      </c>
      <c r="CX368" s="51">
        <f t="shared" si="17"/>
        <v>0</v>
      </c>
      <c r="CY368" s="51">
        <f t="shared" si="18"/>
        <v>0</v>
      </c>
      <c r="CZ368" s="52" t="str">
        <f t="shared" si="19"/>
        <v/>
      </c>
      <c r="DA368" s="58"/>
      <c r="DB368" s="52"/>
      <c r="DC368" s="52"/>
      <c r="DD368" s="52"/>
      <c r="DE368" s="52"/>
      <c r="DF368" s="52"/>
      <c r="DG368" s="52"/>
      <c r="DH368" s="52"/>
      <c r="DI368" s="52"/>
      <c r="DJ368" s="52"/>
      <c r="DK368" s="52"/>
      <c r="DL368" s="52"/>
      <c r="DM368" s="52"/>
      <c r="DN368" s="52"/>
      <c r="DO368" s="52"/>
      <c r="DP368" s="52"/>
      <c r="DQ368" s="52"/>
      <c r="DR368" s="52"/>
      <c r="DS368" s="52"/>
      <c r="DT368" s="52"/>
      <c r="DU368" s="52"/>
      <c r="DV368" s="52"/>
      <c r="DW368" s="52"/>
    </row>
    <row r="369">
      <c r="A369" s="41" t="s">
        <v>64</v>
      </c>
      <c r="B369" s="41" t="s">
        <v>56</v>
      </c>
      <c r="C369" s="31" t="s">
        <v>1023</v>
      </c>
      <c r="D369" s="25" t="str">
        <f>IFERROR(__xludf.DUMMYFUNCTION("SPLIT(C369,"" "")"),"Santa-Maria,")</f>
        <v>Santa-Maria,</v>
      </c>
      <c r="E369" s="40" t="str">
        <f>IFERROR(__xludf.DUMMYFUNCTION("""COMPUTED_VALUE"""),"Arthur
785")</f>
        <v>Arthur
785</v>
      </c>
      <c r="F369" s="40" t="str">
        <f>IFERROR(__xludf.DUMMYFUNCTION("""COMPUTED_VALUE"""),"Huntingdon")</f>
        <v>Huntingdon</v>
      </c>
      <c r="G369" s="40" t="str">
        <f>IFERROR(__xludf.DUMMYFUNCTION("""COMPUTED_VALUE"""),"Street
Coppell,")</f>
        <v>Street
Coppell,</v>
      </c>
      <c r="H369" s="40" t="str">
        <f>IFERROR(__xludf.DUMMYFUNCTION("""COMPUTED_VALUE"""),"TX")</f>
        <v>TX</v>
      </c>
      <c r="I369" s="40">
        <f>IFERROR(__xludf.DUMMYFUNCTION("""COMPUTED_VALUE"""),75019.0)</f>
        <v>75019</v>
      </c>
      <c r="J369" s="40"/>
      <c r="K369" s="40"/>
      <c r="L369" s="40"/>
      <c r="M369" s="40"/>
      <c r="N369" s="40"/>
      <c r="O369" s="40"/>
      <c r="P369" s="40"/>
      <c r="Q369" s="40"/>
      <c r="R369" s="40"/>
      <c r="S369" s="40"/>
      <c r="T369" s="40"/>
      <c r="U369" s="24" t="str">
        <f>IFERROR(__xludf.DUMMYFUNCTION("SPLIT(E369,""01234567890"")"),"Arthur
")</f>
        <v>Arthur
</v>
      </c>
      <c r="V369" s="24" t="str">
        <f>IFERROR(__xludf.DUMMYFUNCTION("SPLIT(D369,"","")"),"Santa-Maria")</f>
        <v>Santa-Maria</v>
      </c>
      <c r="W369" s="25" t="str">
        <f t="shared" si="1"/>
        <v>ARTHUR
 SANTA-MARIA</v>
      </c>
      <c r="X369" s="25" t="s">
        <v>1024</v>
      </c>
      <c r="Y369" s="25">
        <v>75019.0</v>
      </c>
      <c r="Z369" s="25" t="str">
        <f>IFERROR(__xludf.DUMMYFUNCTION("SPLIT(C369,""
"")"),"Santa-Maria, Arthur")</f>
        <v>Santa-Maria, Arthur</v>
      </c>
      <c r="AA369" s="25" t="str">
        <f>IFERROR(__xludf.DUMMYFUNCTION("""COMPUTED_VALUE"""),"785 Huntingdon Street")</f>
        <v>785 Huntingdon Street</v>
      </c>
      <c r="AB369" s="25" t="str">
        <f>IFERROR(__xludf.DUMMYFUNCTION("""COMPUTED_VALUE"""),"Coppell, TX 75019")</f>
        <v>Coppell, TX 75019</v>
      </c>
      <c r="AC369" s="24" t="s">
        <v>1025</v>
      </c>
      <c r="AD369" s="25"/>
      <c r="AE369" s="25"/>
      <c r="AF369" s="25"/>
      <c r="AG369" s="40" t="s">
        <v>60</v>
      </c>
      <c r="AH369" s="42">
        <v>2437.0</v>
      </c>
      <c r="AI369" s="40" t="s">
        <v>61</v>
      </c>
      <c r="AJ369" s="27">
        <v>1000.0</v>
      </c>
      <c r="AK369" s="31" t="s">
        <v>25</v>
      </c>
      <c r="AL369" s="43">
        <v>44720.0</v>
      </c>
      <c r="AM369" s="44">
        <v>44754.83237268519</v>
      </c>
      <c r="AN369" s="30">
        <v>2.0</v>
      </c>
      <c r="AO369" s="40"/>
      <c r="AP369" s="40"/>
      <c r="AQ369" s="40"/>
      <c r="AR369" s="40"/>
      <c r="AS369" s="40"/>
      <c r="AT369" s="47"/>
      <c r="AU369" s="40"/>
      <c r="AV369" s="46" t="str">
        <f>IFERROR(__xludf.DUMMYFUNCTION("""COMPUTED_VALUE"""),"Treadway")</f>
        <v>Treadway</v>
      </c>
      <c r="AW369" s="46">
        <f t="shared" si="7"/>
        <v>500</v>
      </c>
      <c r="AX369" s="47">
        <f t="shared" ref="AX369:BQ369" si="1217">SUMIFS($AJ:$AJ,$V:$V,$AV369,$AK:$AK,AX$2)</f>
        <v>0</v>
      </c>
      <c r="AY369" s="48">
        <f t="shared" si="1217"/>
        <v>0</v>
      </c>
      <c r="AZ369" s="48">
        <f t="shared" si="1217"/>
        <v>0</v>
      </c>
      <c r="BA369" s="48">
        <f t="shared" si="1217"/>
        <v>500</v>
      </c>
      <c r="BB369" s="48">
        <f t="shared" si="1217"/>
        <v>0</v>
      </c>
      <c r="BC369" s="48">
        <f t="shared" si="1217"/>
        <v>0</v>
      </c>
      <c r="BD369" s="48">
        <f t="shared" si="1217"/>
        <v>0</v>
      </c>
      <c r="BE369" s="48">
        <f t="shared" si="1217"/>
        <v>0</v>
      </c>
      <c r="BF369" s="48">
        <f t="shared" si="1217"/>
        <v>0</v>
      </c>
      <c r="BG369" s="48">
        <f t="shared" si="1217"/>
        <v>0</v>
      </c>
      <c r="BH369" s="48">
        <f t="shared" si="1217"/>
        <v>0</v>
      </c>
      <c r="BI369" s="48">
        <f t="shared" si="1217"/>
        <v>0</v>
      </c>
      <c r="BJ369" s="48">
        <f t="shared" si="1217"/>
        <v>0</v>
      </c>
      <c r="BK369" s="48">
        <f t="shared" si="1217"/>
        <v>0</v>
      </c>
      <c r="BL369" s="48">
        <f t="shared" si="1217"/>
        <v>0</v>
      </c>
      <c r="BM369" s="48">
        <f t="shared" si="1217"/>
        <v>0</v>
      </c>
      <c r="BN369" s="48">
        <f t="shared" si="1217"/>
        <v>0</v>
      </c>
      <c r="BO369" s="48">
        <f t="shared" si="1217"/>
        <v>0</v>
      </c>
      <c r="BP369" s="48">
        <f t="shared" si="1217"/>
        <v>0</v>
      </c>
      <c r="BQ369" s="48">
        <f t="shared" si="1217"/>
        <v>0</v>
      </c>
      <c r="BR369" s="36">
        <f t="shared" si="9"/>
        <v>0</v>
      </c>
      <c r="BS369" s="38">
        <f t="shared" si="10"/>
        <v>1</v>
      </c>
      <c r="BT369" s="49">
        <f t="shared" si="11"/>
        <v>0</v>
      </c>
      <c r="BU369" s="38">
        <f t="shared" si="12"/>
        <v>1000</v>
      </c>
      <c r="BV369" s="46" t="str">
        <f>IFERROR(__xludf.DUMMYFUNCTION("""COMPUTED_VALUE"""),"Treadway")</f>
        <v>Treadway</v>
      </c>
      <c r="BW369" s="46">
        <f t="shared" si="13"/>
        <v>500</v>
      </c>
      <c r="BX369" s="47">
        <f t="shared" ref="BX369:CA369" si="1218">AX369-$BU369</f>
        <v>-1000</v>
      </c>
      <c r="BY369" s="47">
        <f t="shared" si="1218"/>
        <v>-1000</v>
      </c>
      <c r="BZ369" s="47">
        <f t="shared" si="1218"/>
        <v>-1000</v>
      </c>
      <c r="CA369" s="47">
        <f t="shared" si="1218"/>
        <v>-500</v>
      </c>
      <c r="CB369" s="47">
        <f t="shared" si="15"/>
        <v>-10000</v>
      </c>
      <c r="CC369" s="47">
        <f t="shared" ref="CC369:CQ369" si="1219">BC369-$BU369</f>
        <v>-1000</v>
      </c>
      <c r="CD369" s="47">
        <f t="shared" si="1219"/>
        <v>-1000</v>
      </c>
      <c r="CE369" s="47">
        <f t="shared" si="1219"/>
        <v>-1000</v>
      </c>
      <c r="CF369" s="47">
        <f t="shared" si="1219"/>
        <v>-1000</v>
      </c>
      <c r="CG369" s="47">
        <f t="shared" si="1219"/>
        <v>-1000</v>
      </c>
      <c r="CH369" s="47">
        <f t="shared" si="1219"/>
        <v>-1000</v>
      </c>
      <c r="CI369" s="47">
        <f t="shared" si="1219"/>
        <v>-1000</v>
      </c>
      <c r="CJ369" s="47">
        <f t="shared" si="1219"/>
        <v>-1000</v>
      </c>
      <c r="CK369" s="47">
        <f t="shared" si="1219"/>
        <v>-1000</v>
      </c>
      <c r="CL369" s="47">
        <f t="shared" si="1219"/>
        <v>-1000</v>
      </c>
      <c r="CM369" s="47">
        <f t="shared" si="1219"/>
        <v>-1000</v>
      </c>
      <c r="CN369" s="47">
        <f t="shared" si="1219"/>
        <v>-1000</v>
      </c>
      <c r="CO369" s="47">
        <f t="shared" si="1219"/>
        <v>-1000</v>
      </c>
      <c r="CP369" s="47">
        <f t="shared" si="1219"/>
        <v>-1000</v>
      </c>
      <c r="CQ369" s="47">
        <f t="shared" si="1219"/>
        <v>-1000</v>
      </c>
      <c r="CR369" s="47"/>
      <c r="CS369" s="47"/>
      <c r="CT369" s="47"/>
      <c r="CU369" s="50" t="str">
        <f>IFERROR(__xludf.DUMMYFUNCTION("""COMPUTED_VALUE"""),"2000 McKinney Ave
Dallas, TX 75201          ")</f>
        <v>2000 McKinney Ave
Dallas, TX 75201          </v>
      </c>
      <c r="CV369" s="51">
        <f>IFERROR(__xludf.DUMMYFUNCTION("IF(REGEXMATCH(UPPER(CU369), ""TX""),0,1)"),0.0)</f>
        <v>0</v>
      </c>
      <c r="CW369" s="51">
        <f>IFERROR(__xludf.DUMMYFUNCTION("IF(REGEXMATCH(UPPER(CU369), ""DALLAS""),0,1)"),0.0)</f>
        <v>0</v>
      </c>
      <c r="CX369" s="51">
        <f t="shared" si="17"/>
        <v>0</v>
      </c>
      <c r="CY369" s="51">
        <f t="shared" si="18"/>
        <v>0</v>
      </c>
      <c r="CZ369" s="52" t="str">
        <f t="shared" si="19"/>
        <v/>
      </c>
      <c r="DA369" s="58"/>
      <c r="DB369" s="52"/>
      <c r="DC369" s="52"/>
      <c r="DD369" s="52"/>
      <c r="DE369" s="52"/>
      <c r="DF369" s="52"/>
      <c r="DG369" s="52"/>
      <c r="DH369" s="52"/>
      <c r="DI369" s="52"/>
      <c r="DJ369" s="52"/>
      <c r="DK369" s="52"/>
      <c r="DL369" s="52"/>
      <c r="DM369" s="52"/>
      <c r="DN369" s="52"/>
      <c r="DO369" s="52"/>
      <c r="DP369" s="52"/>
      <c r="DQ369" s="52"/>
      <c r="DR369" s="52"/>
      <c r="DS369" s="52"/>
      <c r="DT369" s="52"/>
      <c r="DU369" s="52"/>
      <c r="DV369" s="52"/>
      <c r="DW369" s="52"/>
    </row>
    <row r="370">
      <c r="A370" s="22" t="s">
        <v>55</v>
      </c>
      <c r="B370" s="23" t="s">
        <v>56</v>
      </c>
      <c r="C370" s="31" t="s">
        <v>1026</v>
      </c>
      <c r="D370" s="25" t="str">
        <f>IFERROR(__xludf.DUMMYFUNCTION("SPLIT(C370,"" "")"),"Fleiss,")</f>
        <v>Fleiss,</v>
      </c>
      <c r="E370" s="22" t="str">
        <f>IFERROR(__xludf.DUMMYFUNCTION("""COMPUTED_VALUE"""),"Eric
3808")</f>
        <v>Eric
3808</v>
      </c>
      <c r="F370" s="22" t="str">
        <f>IFERROR(__xludf.DUMMYFUNCTION("""COMPUTED_VALUE"""),"Miramar")</f>
        <v>Miramar</v>
      </c>
      <c r="G370" s="22" t="str">
        <f>IFERROR(__xludf.DUMMYFUNCTION("""COMPUTED_VALUE"""),"Ave
Dallas,")</f>
        <v>Ave
Dallas,</v>
      </c>
      <c r="H370" s="22" t="str">
        <f>IFERROR(__xludf.DUMMYFUNCTION("""COMPUTED_VALUE"""),"TX")</f>
        <v>TX</v>
      </c>
      <c r="I370" s="22">
        <f>IFERROR(__xludf.DUMMYFUNCTION("""COMPUTED_VALUE"""),75205.0)</f>
        <v>75205</v>
      </c>
      <c r="J370" s="22"/>
      <c r="K370" s="22"/>
      <c r="L370" s="22"/>
      <c r="M370" s="22"/>
      <c r="N370" s="22"/>
      <c r="O370" s="22"/>
      <c r="P370" s="22"/>
      <c r="Q370" s="22"/>
      <c r="R370" s="22"/>
      <c r="S370" s="22"/>
      <c r="T370" s="22"/>
      <c r="U370" s="24" t="str">
        <f>IFERROR(__xludf.DUMMYFUNCTION("SPLIT(E370,""01234567890"")"),"Eric
")</f>
        <v>Eric
</v>
      </c>
      <c r="V370" s="24" t="str">
        <f>IFERROR(__xludf.DUMMYFUNCTION("SPLIT(D370,"","")"),"Fleiss")</f>
        <v>Fleiss</v>
      </c>
      <c r="W370" s="25" t="str">
        <f t="shared" si="1"/>
        <v>ERIC
 FLEISS</v>
      </c>
      <c r="X370" s="25" t="s">
        <v>1027</v>
      </c>
      <c r="Y370" s="25">
        <v>75205.0</v>
      </c>
      <c r="Z370" s="25" t="str">
        <f>IFERROR(__xludf.DUMMYFUNCTION("SPLIT(C370,""
"")"),"Fleiss, Eric")</f>
        <v>Fleiss, Eric</v>
      </c>
      <c r="AA370" s="25" t="str">
        <f>IFERROR(__xludf.DUMMYFUNCTION("""COMPUTED_VALUE"""),"3808 Miramar Ave")</f>
        <v>3808 Miramar Ave</v>
      </c>
      <c r="AB370" s="25" t="str">
        <f>IFERROR(__xludf.DUMMYFUNCTION("""COMPUTED_VALUE"""),"Dallas, TX 75205")</f>
        <v>Dallas, TX 75205</v>
      </c>
      <c r="AC370" s="24" t="s">
        <v>1028</v>
      </c>
      <c r="AD370" s="25"/>
      <c r="AE370" s="25"/>
      <c r="AF370" s="25"/>
      <c r="AG370" s="22" t="s">
        <v>60</v>
      </c>
      <c r="AH370" s="54">
        <v>2437.0</v>
      </c>
      <c r="AI370" s="22" t="s">
        <v>61</v>
      </c>
      <c r="AJ370" s="27">
        <v>250.0</v>
      </c>
      <c r="AK370" s="31" t="s">
        <v>25</v>
      </c>
      <c r="AL370" s="28">
        <v>44720.0</v>
      </c>
      <c r="AM370" s="29">
        <v>44754.83237268519</v>
      </c>
      <c r="AN370" s="30">
        <v>2.0</v>
      </c>
      <c r="AO370" s="22"/>
      <c r="AP370" s="22"/>
      <c r="AQ370" s="22"/>
      <c r="AR370" s="22"/>
      <c r="AS370" s="22"/>
      <c r="AT370" s="70"/>
      <c r="AU370" s="22"/>
      <c r="AV370" s="57" t="str">
        <f>IFERROR(__xludf.DUMMYFUNCTION("""COMPUTED_VALUE"""),"Rybczyk")</f>
        <v>Rybczyk</v>
      </c>
      <c r="AW370" s="46">
        <f t="shared" si="7"/>
        <v>250</v>
      </c>
      <c r="AX370" s="47">
        <f t="shared" ref="AX370:BQ370" si="1220">SUMIFS($AJ:$AJ,$V:$V,$AV370,$AK:$AK,AX$2)</f>
        <v>0</v>
      </c>
      <c r="AY370" s="48">
        <f t="shared" si="1220"/>
        <v>0</v>
      </c>
      <c r="AZ370" s="48">
        <f t="shared" si="1220"/>
        <v>0</v>
      </c>
      <c r="BA370" s="48">
        <f t="shared" si="1220"/>
        <v>250</v>
      </c>
      <c r="BB370" s="48">
        <f t="shared" si="1220"/>
        <v>0</v>
      </c>
      <c r="BC370" s="48">
        <f t="shared" si="1220"/>
        <v>0</v>
      </c>
      <c r="BD370" s="48">
        <f t="shared" si="1220"/>
        <v>0</v>
      </c>
      <c r="BE370" s="48">
        <f t="shared" si="1220"/>
        <v>0</v>
      </c>
      <c r="BF370" s="48">
        <f t="shared" si="1220"/>
        <v>0</v>
      </c>
      <c r="BG370" s="48">
        <f t="shared" si="1220"/>
        <v>0</v>
      </c>
      <c r="BH370" s="48">
        <f t="shared" si="1220"/>
        <v>0</v>
      </c>
      <c r="BI370" s="48">
        <f t="shared" si="1220"/>
        <v>0</v>
      </c>
      <c r="BJ370" s="48">
        <f t="shared" si="1220"/>
        <v>0</v>
      </c>
      <c r="BK370" s="48">
        <f t="shared" si="1220"/>
        <v>0</v>
      </c>
      <c r="BL370" s="48">
        <f t="shared" si="1220"/>
        <v>0</v>
      </c>
      <c r="BM370" s="48">
        <f t="shared" si="1220"/>
        <v>0</v>
      </c>
      <c r="BN370" s="48">
        <f t="shared" si="1220"/>
        <v>0</v>
      </c>
      <c r="BO370" s="48">
        <f t="shared" si="1220"/>
        <v>0</v>
      </c>
      <c r="BP370" s="48">
        <f t="shared" si="1220"/>
        <v>0</v>
      </c>
      <c r="BQ370" s="48">
        <f t="shared" si="1220"/>
        <v>0</v>
      </c>
      <c r="BR370" s="36">
        <f t="shared" si="9"/>
        <v>1</v>
      </c>
      <c r="BS370" s="38">
        <f t="shared" si="10"/>
        <v>2</v>
      </c>
      <c r="BT370" s="49">
        <f t="shared" si="11"/>
        <v>0</v>
      </c>
      <c r="BU370" s="38">
        <f t="shared" si="12"/>
        <v>2000</v>
      </c>
      <c r="BV370" s="57" t="str">
        <f>IFERROR(__xludf.DUMMYFUNCTION("""COMPUTED_VALUE"""),"Rybczyk")</f>
        <v>Rybczyk</v>
      </c>
      <c r="BW370" s="46">
        <f t="shared" si="13"/>
        <v>250</v>
      </c>
      <c r="BX370" s="47">
        <f t="shared" ref="BX370:CA370" si="1221">AX370-$BU370</f>
        <v>-2000</v>
      </c>
      <c r="BY370" s="47">
        <f t="shared" si="1221"/>
        <v>-2000</v>
      </c>
      <c r="BZ370" s="47">
        <f t="shared" si="1221"/>
        <v>-2000</v>
      </c>
      <c r="CA370" s="47">
        <f t="shared" si="1221"/>
        <v>-1750</v>
      </c>
      <c r="CB370" s="47">
        <f t="shared" si="15"/>
        <v>-20000</v>
      </c>
      <c r="CC370" s="47">
        <f t="shared" ref="CC370:CQ370" si="1222">BC370-$BU370</f>
        <v>-2000</v>
      </c>
      <c r="CD370" s="47">
        <f t="shared" si="1222"/>
        <v>-2000</v>
      </c>
      <c r="CE370" s="47">
        <f t="shared" si="1222"/>
        <v>-2000</v>
      </c>
      <c r="CF370" s="47">
        <f t="shared" si="1222"/>
        <v>-2000</v>
      </c>
      <c r="CG370" s="47">
        <f t="shared" si="1222"/>
        <v>-2000</v>
      </c>
      <c r="CH370" s="47">
        <f t="shared" si="1222"/>
        <v>-2000</v>
      </c>
      <c r="CI370" s="47">
        <f t="shared" si="1222"/>
        <v>-2000</v>
      </c>
      <c r="CJ370" s="47">
        <f t="shared" si="1222"/>
        <v>-2000</v>
      </c>
      <c r="CK370" s="47">
        <f t="shared" si="1222"/>
        <v>-2000</v>
      </c>
      <c r="CL370" s="47">
        <f t="shared" si="1222"/>
        <v>-2000</v>
      </c>
      <c r="CM370" s="47">
        <f t="shared" si="1222"/>
        <v>-2000</v>
      </c>
      <c r="CN370" s="47">
        <f t="shared" si="1222"/>
        <v>-2000</v>
      </c>
      <c r="CO370" s="47">
        <f t="shared" si="1222"/>
        <v>-2000</v>
      </c>
      <c r="CP370" s="47">
        <f t="shared" si="1222"/>
        <v>-2000</v>
      </c>
      <c r="CQ370" s="47">
        <f t="shared" si="1222"/>
        <v>-2000</v>
      </c>
      <c r="CR370" s="47"/>
      <c r="CS370" s="47"/>
      <c r="CT370" s="47"/>
      <c r="CU370" s="50" t="str">
        <f>IFERROR(__xludf.DUMMYFUNCTION("""COMPUTED_VALUE"""),"1608 Main Street
Dallas, TX 75201          ")</f>
        <v>1608 Main Street
Dallas, TX 75201          </v>
      </c>
      <c r="CV370" s="51">
        <f>IFERROR(__xludf.DUMMYFUNCTION("IF(REGEXMATCH(UPPER(CU370), ""TX""),0,1)"),0.0)</f>
        <v>0</v>
      </c>
      <c r="CW370" s="51">
        <f>IFERROR(__xludf.DUMMYFUNCTION("IF(REGEXMATCH(UPPER(CU370), ""DALLAS""),0,1)"),0.0)</f>
        <v>0</v>
      </c>
      <c r="CX370" s="51">
        <f t="shared" si="17"/>
        <v>0</v>
      </c>
      <c r="CY370" s="51">
        <f t="shared" si="18"/>
        <v>0</v>
      </c>
      <c r="CZ370" s="52" t="str">
        <f t="shared" si="19"/>
        <v/>
      </c>
      <c r="DA370" s="58"/>
      <c r="DB370" s="52"/>
      <c r="DC370" s="52"/>
      <c r="DD370" s="52"/>
      <c r="DE370" s="52"/>
      <c r="DF370" s="52"/>
      <c r="DG370" s="52"/>
      <c r="DH370" s="52"/>
      <c r="DI370" s="52"/>
      <c r="DJ370" s="52"/>
      <c r="DK370" s="52"/>
      <c r="DL370" s="52"/>
      <c r="DM370" s="52"/>
      <c r="DN370" s="52"/>
      <c r="DO370" s="52"/>
      <c r="DP370" s="52"/>
      <c r="DQ370" s="52"/>
      <c r="DR370" s="52"/>
      <c r="DS370" s="52"/>
      <c r="DT370" s="52"/>
      <c r="DU370" s="52"/>
      <c r="DV370" s="52"/>
      <c r="DW370" s="52"/>
    </row>
    <row r="371">
      <c r="A371" s="41" t="s">
        <v>64</v>
      </c>
      <c r="B371" s="41" t="s">
        <v>56</v>
      </c>
      <c r="C371" s="31" t="s">
        <v>1029</v>
      </c>
      <c r="D371" s="25" t="str">
        <f>IFERROR(__xludf.DUMMYFUNCTION("SPLIT(C371,"" "")"),"Heckler,")</f>
        <v>Heckler,</v>
      </c>
      <c r="E371" s="40" t="str">
        <f>IFERROR(__xludf.DUMMYFUNCTION("""COMPUTED_VALUE"""),"Alexander
4555")</f>
        <v>Alexander
4555</v>
      </c>
      <c r="F371" s="40" t="str">
        <f>IFERROR(__xludf.DUMMYFUNCTION("""COMPUTED_VALUE"""),"North")</f>
        <v>North</v>
      </c>
      <c r="G371" s="40" t="str">
        <f>IFERROR(__xludf.DUMMYFUNCTION("""COMPUTED_VALUE"""),"Bay")</f>
        <v>Bay</v>
      </c>
      <c r="H371" s="40" t="str">
        <f>IFERROR(__xludf.DUMMYFUNCTION("""COMPUTED_VALUE"""),"Rd
Miami")</f>
        <v>Rd
Miami</v>
      </c>
      <c r="I371" s="40" t="str">
        <f>IFERROR(__xludf.DUMMYFUNCTION("""COMPUTED_VALUE"""),"Beach,")</f>
        <v>Beach,</v>
      </c>
      <c r="J371" s="40" t="str">
        <f>IFERROR(__xludf.DUMMYFUNCTION("""COMPUTED_VALUE"""),"FL")</f>
        <v>FL</v>
      </c>
      <c r="K371" s="40">
        <f>IFERROR(__xludf.DUMMYFUNCTION("""COMPUTED_VALUE"""),33140.0)</f>
        <v>33140</v>
      </c>
      <c r="L371" s="40"/>
      <c r="M371" s="40"/>
      <c r="N371" s="40"/>
      <c r="O371" s="40"/>
      <c r="P371" s="40"/>
      <c r="Q371" s="40"/>
      <c r="R371" s="40"/>
      <c r="S371" s="40"/>
      <c r="T371" s="40"/>
      <c r="U371" s="24" t="str">
        <f>IFERROR(__xludf.DUMMYFUNCTION("SPLIT(E371,""01234567890"")"),"Alexander
")</f>
        <v>Alexander
</v>
      </c>
      <c r="V371" s="24" t="str">
        <f>IFERROR(__xludf.DUMMYFUNCTION("SPLIT(D371,"","")"),"Heckler")</f>
        <v>Heckler</v>
      </c>
      <c r="W371" s="25" t="str">
        <f t="shared" si="1"/>
        <v>ALEXANDER
 HECKLER</v>
      </c>
      <c r="X371" s="25" t="s">
        <v>1030</v>
      </c>
      <c r="Y371" s="25">
        <v>33140.0</v>
      </c>
      <c r="Z371" s="25" t="str">
        <f>IFERROR(__xludf.DUMMYFUNCTION("SPLIT(C371,""
"")"),"Heckler, Alexander")</f>
        <v>Heckler, Alexander</v>
      </c>
      <c r="AA371" s="25" t="str">
        <f>IFERROR(__xludf.DUMMYFUNCTION("""COMPUTED_VALUE"""),"4555 North Bay Rd")</f>
        <v>4555 North Bay Rd</v>
      </c>
      <c r="AB371" s="25" t="str">
        <f>IFERROR(__xludf.DUMMYFUNCTION("""COMPUTED_VALUE"""),"Miami Beach, FL 33140")</f>
        <v>Miami Beach, FL 33140</v>
      </c>
      <c r="AC371" s="24" t="s">
        <v>1031</v>
      </c>
      <c r="AD371" s="25"/>
      <c r="AE371" s="25"/>
      <c r="AF371" s="25"/>
      <c r="AG371" s="40" t="s">
        <v>60</v>
      </c>
      <c r="AH371" s="42">
        <v>2437.0</v>
      </c>
      <c r="AI371" s="40" t="s">
        <v>61</v>
      </c>
      <c r="AJ371" s="27">
        <v>1000.0</v>
      </c>
      <c r="AK371" s="31" t="s">
        <v>25</v>
      </c>
      <c r="AL371" s="43">
        <v>44720.0</v>
      </c>
      <c r="AM371" s="44">
        <v>44754.83237268519</v>
      </c>
      <c r="AN371" s="30">
        <v>2.0</v>
      </c>
      <c r="AO371" s="40"/>
      <c r="AP371" s="40"/>
      <c r="AQ371" s="40"/>
      <c r="AR371" s="40"/>
      <c r="AS371" s="40"/>
      <c r="AT371" s="47"/>
      <c r="AU371" s="40"/>
      <c r="AV371" s="46" t="str">
        <f>IFERROR(__xludf.DUMMYFUNCTION("""COMPUTED_VALUE"""),"Faz")</f>
        <v>Faz</v>
      </c>
      <c r="AW371" s="46">
        <f t="shared" si="7"/>
        <v>100</v>
      </c>
      <c r="AX371" s="47">
        <f t="shared" ref="AX371:BQ371" si="1223">SUMIFS($AJ:$AJ,$V:$V,$AV371,$AK:$AK,AX$2)</f>
        <v>0</v>
      </c>
      <c r="AY371" s="48">
        <f t="shared" si="1223"/>
        <v>0</v>
      </c>
      <c r="AZ371" s="48">
        <f t="shared" si="1223"/>
        <v>0</v>
      </c>
      <c r="BA371" s="48">
        <f t="shared" si="1223"/>
        <v>100</v>
      </c>
      <c r="BB371" s="48">
        <f t="shared" si="1223"/>
        <v>0</v>
      </c>
      <c r="BC371" s="48">
        <f t="shared" si="1223"/>
        <v>0</v>
      </c>
      <c r="BD371" s="48">
        <f t="shared" si="1223"/>
        <v>0</v>
      </c>
      <c r="BE371" s="48">
        <f t="shared" si="1223"/>
        <v>0</v>
      </c>
      <c r="BF371" s="48">
        <f t="shared" si="1223"/>
        <v>0</v>
      </c>
      <c r="BG371" s="48">
        <f t="shared" si="1223"/>
        <v>0</v>
      </c>
      <c r="BH371" s="48">
        <f t="shared" si="1223"/>
        <v>0</v>
      </c>
      <c r="BI371" s="48">
        <f t="shared" si="1223"/>
        <v>0</v>
      </c>
      <c r="BJ371" s="48">
        <f t="shared" si="1223"/>
        <v>0</v>
      </c>
      <c r="BK371" s="48">
        <f t="shared" si="1223"/>
        <v>0</v>
      </c>
      <c r="BL371" s="48">
        <f t="shared" si="1223"/>
        <v>0</v>
      </c>
      <c r="BM371" s="48">
        <f t="shared" si="1223"/>
        <v>0</v>
      </c>
      <c r="BN371" s="48">
        <f t="shared" si="1223"/>
        <v>0</v>
      </c>
      <c r="BO371" s="48">
        <f t="shared" si="1223"/>
        <v>0</v>
      </c>
      <c r="BP371" s="48">
        <f t="shared" si="1223"/>
        <v>0</v>
      </c>
      <c r="BQ371" s="48">
        <f t="shared" si="1223"/>
        <v>0</v>
      </c>
      <c r="BR371" s="36">
        <f t="shared" si="9"/>
        <v>0</v>
      </c>
      <c r="BS371" s="38">
        <f t="shared" si="10"/>
        <v>1</v>
      </c>
      <c r="BT371" s="49">
        <f t="shared" si="11"/>
        <v>0</v>
      </c>
      <c r="BU371" s="38">
        <f t="shared" si="12"/>
        <v>1000</v>
      </c>
      <c r="BV371" s="46" t="str">
        <f>IFERROR(__xludf.DUMMYFUNCTION("""COMPUTED_VALUE"""),"Faz")</f>
        <v>Faz</v>
      </c>
      <c r="BW371" s="46">
        <f t="shared" si="13"/>
        <v>100</v>
      </c>
      <c r="BX371" s="47">
        <f t="shared" ref="BX371:CA371" si="1224">AX371-$BU371</f>
        <v>-1000</v>
      </c>
      <c r="BY371" s="47">
        <f t="shared" si="1224"/>
        <v>-1000</v>
      </c>
      <c r="BZ371" s="47">
        <f t="shared" si="1224"/>
        <v>-1000</v>
      </c>
      <c r="CA371" s="47">
        <f t="shared" si="1224"/>
        <v>-900</v>
      </c>
      <c r="CB371" s="47">
        <f t="shared" si="15"/>
        <v>-10000</v>
      </c>
      <c r="CC371" s="47">
        <f t="shared" ref="CC371:CQ371" si="1225">BC371-$BU371</f>
        <v>-1000</v>
      </c>
      <c r="CD371" s="47">
        <f t="shared" si="1225"/>
        <v>-1000</v>
      </c>
      <c r="CE371" s="47">
        <f t="shared" si="1225"/>
        <v>-1000</v>
      </c>
      <c r="CF371" s="47">
        <f t="shared" si="1225"/>
        <v>-1000</v>
      </c>
      <c r="CG371" s="47">
        <f t="shared" si="1225"/>
        <v>-1000</v>
      </c>
      <c r="CH371" s="47">
        <f t="shared" si="1225"/>
        <v>-1000</v>
      </c>
      <c r="CI371" s="47">
        <f t="shared" si="1225"/>
        <v>-1000</v>
      </c>
      <c r="CJ371" s="47">
        <f t="shared" si="1225"/>
        <v>-1000</v>
      </c>
      <c r="CK371" s="47">
        <f t="shared" si="1225"/>
        <v>-1000</v>
      </c>
      <c r="CL371" s="47">
        <f t="shared" si="1225"/>
        <v>-1000</v>
      </c>
      <c r="CM371" s="47">
        <f t="shared" si="1225"/>
        <v>-1000</v>
      </c>
      <c r="CN371" s="47">
        <f t="shared" si="1225"/>
        <v>-1000</v>
      </c>
      <c r="CO371" s="47">
        <f t="shared" si="1225"/>
        <v>-1000</v>
      </c>
      <c r="CP371" s="47">
        <f t="shared" si="1225"/>
        <v>-1000</v>
      </c>
      <c r="CQ371" s="47">
        <f t="shared" si="1225"/>
        <v>-1000</v>
      </c>
      <c r="CR371" s="47"/>
      <c r="CS371" s="47"/>
      <c r="CT371" s="47"/>
      <c r="CU371" s="50" t="str">
        <f>IFERROR(__xludf.DUMMYFUNCTION("""COMPUTED_VALUE"""),"4514 Travis Street
Dallas, TX 75205          ")</f>
        <v>4514 Travis Street
Dallas, TX 75205          </v>
      </c>
      <c r="CV371" s="51">
        <f>IFERROR(__xludf.DUMMYFUNCTION("IF(REGEXMATCH(UPPER(CU371), ""TX""),0,1)"),0.0)</f>
        <v>0</v>
      </c>
      <c r="CW371" s="51">
        <f>IFERROR(__xludf.DUMMYFUNCTION("IF(REGEXMATCH(UPPER(CU371), ""DALLAS""),0,1)"),0.0)</f>
        <v>0</v>
      </c>
      <c r="CX371" s="51">
        <f t="shared" si="17"/>
        <v>0</v>
      </c>
      <c r="CY371" s="51">
        <f t="shared" si="18"/>
        <v>0</v>
      </c>
      <c r="CZ371" s="52" t="str">
        <f t="shared" si="19"/>
        <v/>
      </c>
      <c r="DA371" s="58"/>
      <c r="DB371" s="52"/>
      <c r="DC371" s="52"/>
      <c r="DD371" s="52"/>
      <c r="DE371" s="52"/>
      <c r="DF371" s="52"/>
      <c r="DG371" s="52"/>
      <c r="DH371" s="52"/>
      <c r="DI371" s="52"/>
      <c r="DJ371" s="52"/>
      <c r="DK371" s="52"/>
      <c r="DL371" s="52"/>
      <c r="DM371" s="52"/>
      <c r="DN371" s="52"/>
      <c r="DO371" s="52"/>
      <c r="DP371" s="52"/>
      <c r="DQ371" s="52"/>
      <c r="DR371" s="52"/>
      <c r="DS371" s="52"/>
      <c r="DT371" s="52"/>
      <c r="DU371" s="52"/>
      <c r="DV371" s="52"/>
      <c r="DW371" s="52"/>
    </row>
    <row r="372">
      <c r="A372" s="22" t="s">
        <v>55</v>
      </c>
      <c r="B372" s="23" t="s">
        <v>56</v>
      </c>
      <c r="C372" s="31" t="s">
        <v>1032</v>
      </c>
      <c r="D372" s="25" t="str">
        <f>IFERROR(__xludf.DUMMYFUNCTION("SPLIT(C372,"" "")"),"Huffines,")</f>
        <v>Huffines,</v>
      </c>
      <c r="E372" s="22" t="str">
        <f>IFERROR(__xludf.DUMMYFUNCTION("""COMPUTED_VALUE"""),"James
4012")</f>
        <v>James
4012</v>
      </c>
      <c r="F372" s="22" t="str">
        <f>IFERROR(__xludf.DUMMYFUNCTION("""COMPUTED_VALUE"""),"Gillon")</f>
        <v>Gillon</v>
      </c>
      <c r="G372" s="22" t="str">
        <f>IFERROR(__xludf.DUMMYFUNCTION("""COMPUTED_VALUE"""),"Ave
Dallas,")</f>
        <v>Ave
Dallas,</v>
      </c>
      <c r="H372" s="22" t="str">
        <f>IFERROR(__xludf.DUMMYFUNCTION("""COMPUTED_VALUE"""),"TX")</f>
        <v>TX</v>
      </c>
      <c r="I372" s="22">
        <f>IFERROR(__xludf.DUMMYFUNCTION("""COMPUTED_VALUE"""),75205.0)</f>
        <v>75205</v>
      </c>
      <c r="J372" s="22"/>
      <c r="K372" s="22"/>
      <c r="L372" s="22"/>
      <c r="M372" s="22"/>
      <c r="N372" s="22"/>
      <c r="O372" s="22"/>
      <c r="P372" s="22"/>
      <c r="Q372" s="22"/>
      <c r="R372" s="22"/>
      <c r="S372" s="22"/>
      <c r="T372" s="22"/>
      <c r="U372" s="24" t="str">
        <f>IFERROR(__xludf.DUMMYFUNCTION("SPLIT(E372,""01234567890"")"),"James
")</f>
        <v>James
</v>
      </c>
      <c r="V372" s="24" t="str">
        <f>IFERROR(__xludf.DUMMYFUNCTION("SPLIT(D372,"","")"),"Huffines")</f>
        <v>Huffines</v>
      </c>
      <c r="W372" s="25" t="str">
        <f t="shared" si="1"/>
        <v>JAMES
 HUFFINES</v>
      </c>
      <c r="X372" s="25" t="s">
        <v>1033</v>
      </c>
      <c r="Y372" s="25">
        <v>75205.0</v>
      </c>
      <c r="Z372" s="25" t="str">
        <f>IFERROR(__xludf.DUMMYFUNCTION("SPLIT(C372,""
"")"),"Huffines, James")</f>
        <v>Huffines, James</v>
      </c>
      <c r="AA372" s="25" t="str">
        <f>IFERROR(__xludf.DUMMYFUNCTION("""COMPUTED_VALUE"""),"4012 Gillon Ave")</f>
        <v>4012 Gillon Ave</v>
      </c>
      <c r="AB372" s="25" t="str">
        <f>IFERROR(__xludf.DUMMYFUNCTION("""COMPUTED_VALUE"""),"Dallas, TX 75205")</f>
        <v>Dallas, TX 75205</v>
      </c>
      <c r="AC372" s="24" t="s">
        <v>1034</v>
      </c>
      <c r="AD372" s="25"/>
      <c r="AE372" s="25"/>
      <c r="AF372" s="25"/>
      <c r="AG372" s="22" t="s">
        <v>60</v>
      </c>
      <c r="AH372" s="54">
        <v>2437.0</v>
      </c>
      <c r="AI372" s="22" t="s">
        <v>61</v>
      </c>
      <c r="AJ372" s="27">
        <v>2500.0</v>
      </c>
      <c r="AK372" s="31" t="s">
        <v>25</v>
      </c>
      <c r="AL372" s="28">
        <v>44720.0</v>
      </c>
      <c r="AM372" s="29">
        <v>44754.83237268519</v>
      </c>
      <c r="AN372" s="30">
        <v>2.0</v>
      </c>
      <c r="AO372" s="22"/>
      <c r="AP372" s="22"/>
      <c r="AQ372" s="22"/>
      <c r="AR372" s="22"/>
      <c r="AS372" s="22"/>
      <c r="AT372" s="70"/>
      <c r="AU372" s="22"/>
      <c r="AV372" s="57" t="str">
        <f>IFERROR(__xludf.DUMMYFUNCTION("""COMPUTED_VALUE"""),"Hardtner")</f>
        <v>Hardtner</v>
      </c>
      <c r="AW372" s="46">
        <f t="shared" si="7"/>
        <v>500</v>
      </c>
      <c r="AX372" s="47">
        <f t="shared" ref="AX372:BQ372" si="1226">SUMIFS($AJ:$AJ,$V:$V,$AV372,$AK:$AK,AX$2)</f>
        <v>0</v>
      </c>
      <c r="AY372" s="48">
        <f t="shared" si="1226"/>
        <v>0</v>
      </c>
      <c r="AZ372" s="48">
        <f t="shared" si="1226"/>
        <v>0</v>
      </c>
      <c r="BA372" s="48">
        <f t="shared" si="1226"/>
        <v>500</v>
      </c>
      <c r="BB372" s="48">
        <f t="shared" si="1226"/>
        <v>0</v>
      </c>
      <c r="BC372" s="48">
        <f t="shared" si="1226"/>
        <v>0</v>
      </c>
      <c r="BD372" s="48">
        <f t="shared" si="1226"/>
        <v>0</v>
      </c>
      <c r="BE372" s="48">
        <f t="shared" si="1226"/>
        <v>0</v>
      </c>
      <c r="BF372" s="48">
        <f t="shared" si="1226"/>
        <v>0</v>
      </c>
      <c r="BG372" s="48">
        <f t="shared" si="1226"/>
        <v>0</v>
      </c>
      <c r="BH372" s="48">
        <f t="shared" si="1226"/>
        <v>0</v>
      </c>
      <c r="BI372" s="48">
        <f t="shared" si="1226"/>
        <v>0</v>
      </c>
      <c r="BJ372" s="48">
        <f t="shared" si="1226"/>
        <v>0</v>
      </c>
      <c r="BK372" s="48">
        <f t="shared" si="1226"/>
        <v>0</v>
      </c>
      <c r="BL372" s="48">
        <f t="shared" si="1226"/>
        <v>0</v>
      </c>
      <c r="BM372" s="48">
        <f t="shared" si="1226"/>
        <v>0</v>
      </c>
      <c r="BN372" s="48">
        <f t="shared" si="1226"/>
        <v>0</v>
      </c>
      <c r="BO372" s="48">
        <f t="shared" si="1226"/>
        <v>0</v>
      </c>
      <c r="BP372" s="48">
        <f t="shared" si="1226"/>
        <v>0</v>
      </c>
      <c r="BQ372" s="48">
        <f t="shared" si="1226"/>
        <v>0</v>
      </c>
      <c r="BR372" s="36">
        <f t="shared" si="9"/>
        <v>0</v>
      </c>
      <c r="BS372" s="38">
        <f t="shared" si="10"/>
        <v>1</v>
      </c>
      <c r="BT372" s="49">
        <f t="shared" si="11"/>
        <v>0</v>
      </c>
      <c r="BU372" s="38">
        <f t="shared" si="12"/>
        <v>1000</v>
      </c>
      <c r="BV372" s="57" t="str">
        <f>IFERROR(__xludf.DUMMYFUNCTION("""COMPUTED_VALUE"""),"Hardtner")</f>
        <v>Hardtner</v>
      </c>
      <c r="BW372" s="46">
        <f t="shared" si="13"/>
        <v>500</v>
      </c>
      <c r="BX372" s="47">
        <f t="shared" ref="BX372:CA372" si="1227">AX372-$BU372</f>
        <v>-1000</v>
      </c>
      <c r="BY372" s="47">
        <f t="shared" si="1227"/>
        <v>-1000</v>
      </c>
      <c r="BZ372" s="47">
        <f t="shared" si="1227"/>
        <v>-1000</v>
      </c>
      <c r="CA372" s="47">
        <f t="shared" si="1227"/>
        <v>-500</v>
      </c>
      <c r="CB372" s="47">
        <f t="shared" si="15"/>
        <v>-10000</v>
      </c>
      <c r="CC372" s="47">
        <f t="shared" ref="CC372:CQ372" si="1228">BC372-$BU372</f>
        <v>-1000</v>
      </c>
      <c r="CD372" s="47">
        <f t="shared" si="1228"/>
        <v>-1000</v>
      </c>
      <c r="CE372" s="47">
        <f t="shared" si="1228"/>
        <v>-1000</v>
      </c>
      <c r="CF372" s="47">
        <f t="shared" si="1228"/>
        <v>-1000</v>
      </c>
      <c r="CG372" s="47">
        <f t="shared" si="1228"/>
        <v>-1000</v>
      </c>
      <c r="CH372" s="47">
        <f t="shared" si="1228"/>
        <v>-1000</v>
      </c>
      <c r="CI372" s="47">
        <f t="shared" si="1228"/>
        <v>-1000</v>
      </c>
      <c r="CJ372" s="47">
        <f t="shared" si="1228"/>
        <v>-1000</v>
      </c>
      <c r="CK372" s="47">
        <f t="shared" si="1228"/>
        <v>-1000</v>
      </c>
      <c r="CL372" s="47">
        <f t="shared" si="1228"/>
        <v>-1000</v>
      </c>
      <c r="CM372" s="47">
        <f t="shared" si="1228"/>
        <v>-1000</v>
      </c>
      <c r="CN372" s="47">
        <f t="shared" si="1228"/>
        <v>-1000</v>
      </c>
      <c r="CO372" s="47">
        <f t="shared" si="1228"/>
        <v>-1000</v>
      </c>
      <c r="CP372" s="47">
        <f t="shared" si="1228"/>
        <v>-1000</v>
      </c>
      <c r="CQ372" s="47">
        <f t="shared" si="1228"/>
        <v>-1000</v>
      </c>
      <c r="CR372" s="47"/>
      <c r="CS372" s="47"/>
      <c r="CT372" s="47"/>
      <c r="CU372" s="50" t="str">
        <f>IFERROR(__xludf.DUMMYFUNCTION("""COMPUTED_VALUE"""),"8811 Antrim Drive
Dallas, TX 75218          ")</f>
        <v>8811 Antrim Drive
Dallas, TX 75218          </v>
      </c>
      <c r="CV372" s="51">
        <f>IFERROR(__xludf.DUMMYFUNCTION("IF(REGEXMATCH(UPPER(CU372), ""TX""),0,1)"),0.0)</f>
        <v>0</v>
      </c>
      <c r="CW372" s="51">
        <f>IFERROR(__xludf.DUMMYFUNCTION("IF(REGEXMATCH(UPPER(CU372), ""DALLAS""),0,1)"),0.0)</f>
        <v>0</v>
      </c>
      <c r="CX372" s="51">
        <f t="shared" si="17"/>
        <v>0</v>
      </c>
      <c r="CY372" s="51">
        <f t="shared" si="18"/>
        <v>0</v>
      </c>
      <c r="CZ372" s="52" t="str">
        <f t="shared" si="19"/>
        <v/>
      </c>
      <c r="DA372" s="58"/>
      <c r="DB372" s="52"/>
      <c r="DC372" s="52"/>
      <c r="DD372" s="52"/>
      <c r="DE372" s="52"/>
      <c r="DF372" s="52"/>
      <c r="DG372" s="52"/>
      <c r="DH372" s="52"/>
      <c r="DI372" s="52"/>
      <c r="DJ372" s="52"/>
      <c r="DK372" s="52"/>
      <c r="DL372" s="52"/>
      <c r="DM372" s="52"/>
      <c r="DN372" s="52"/>
      <c r="DO372" s="52"/>
      <c r="DP372" s="52"/>
      <c r="DQ372" s="52"/>
      <c r="DR372" s="52"/>
      <c r="DS372" s="52"/>
      <c r="DT372" s="52"/>
      <c r="DU372" s="52"/>
      <c r="DV372" s="52"/>
      <c r="DW372" s="52"/>
    </row>
    <row r="373">
      <c r="A373" s="41" t="s">
        <v>64</v>
      </c>
      <c r="B373" s="41" t="s">
        <v>56</v>
      </c>
      <c r="C373" s="31" t="s">
        <v>1035</v>
      </c>
      <c r="D373" s="25" t="str">
        <f>IFERROR(__xludf.DUMMYFUNCTION("SPLIT(C373,"" "")"),"James,")</f>
        <v>James,</v>
      </c>
      <c r="E373" s="40" t="str">
        <f>IFERROR(__xludf.DUMMYFUNCTION("""COMPUTED_VALUE"""),"Derrick
2419")</f>
        <v>Derrick
2419</v>
      </c>
      <c r="F373" s="40" t="str">
        <f>IFERROR(__xludf.DUMMYFUNCTION("""COMPUTED_VALUE"""),"Amber")</f>
        <v>Amber</v>
      </c>
      <c r="G373" s="40" t="str">
        <f>IFERROR(__xludf.DUMMYFUNCTION("""COMPUTED_VALUE"""),"Leaf")</f>
        <v>Leaf</v>
      </c>
      <c r="H373" s="40" t="str">
        <f>IFERROR(__xludf.DUMMYFUNCTION("""COMPUTED_VALUE"""),"Court
Cedar")</f>
        <v>Court
Cedar</v>
      </c>
      <c r="I373" s="40" t="str">
        <f>IFERROR(__xludf.DUMMYFUNCTION("""COMPUTED_VALUE"""),"Hill,")</f>
        <v>Hill,</v>
      </c>
      <c r="J373" s="40" t="str">
        <f>IFERROR(__xludf.DUMMYFUNCTION("""COMPUTED_VALUE"""),"TX")</f>
        <v>TX</v>
      </c>
      <c r="K373" s="40">
        <f>IFERROR(__xludf.DUMMYFUNCTION("""COMPUTED_VALUE"""),75104.0)</f>
        <v>75104</v>
      </c>
      <c r="L373" s="40"/>
      <c r="M373" s="40"/>
      <c r="N373" s="40"/>
      <c r="O373" s="40"/>
      <c r="P373" s="40"/>
      <c r="Q373" s="40"/>
      <c r="R373" s="40"/>
      <c r="S373" s="40"/>
      <c r="T373" s="40"/>
      <c r="U373" s="24" t="str">
        <f>IFERROR(__xludf.DUMMYFUNCTION("SPLIT(E373,""01234567890"")"),"Derrick
")</f>
        <v>Derrick
</v>
      </c>
      <c r="V373" s="24" t="str">
        <f>IFERROR(__xludf.DUMMYFUNCTION("SPLIT(D373,"","")"),"James")</f>
        <v>James</v>
      </c>
      <c r="W373" s="25" t="str">
        <f t="shared" si="1"/>
        <v>DERRICK
 JAMES</v>
      </c>
      <c r="X373" s="25" t="s">
        <v>1036</v>
      </c>
      <c r="Y373" s="25">
        <v>75104.0</v>
      </c>
      <c r="Z373" s="25" t="str">
        <f>IFERROR(__xludf.DUMMYFUNCTION("SPLIT(C373,""
"")"),"James, Derrick")</f>
        <v>James, Derrick</v>
      </c>
      <c r="AA373" s="25" t="str">
        <f>IFERROR(__xludf.DUMMYFUNCTION("""COMPUTED_VALUE"""),"2419 Amber Leaf Court")</f>
        <v>2419 Amber Leaf Court</v>
      </c>
      <c r="AB373" s="25" t="str">
        <f>IFERROR(__xludf.DUMMYFUNCTION("""COMPUTED_VALUE"""),"Cedar Hill, TX 75104")</f>
        <v>Cedar Hill, TX 75104</v>
      </c>
      <c r="AC373" s="24" t="s">
        <v>1037</v>
      </c>
      <c r="AD373" s="25"/>
      <c r="AE373" s="25"/>
      <c r="AF373" s="25"/>
      <c r="AG373" s="40" t="s">
        <v>60</v>
      </c>
      <c r="AH373" s="42">
        <v>2437.0</v>
      </c>
      <c r="AI373" s="40" t="s">
        <v>61</v>
      </c>
      <c r="AJ373" s="27">
        <v>250.0</v>
      </c>
      <c r="AK373" s="31" t="s">
        <v>25</v>
      </c>
      <c r="AL373" s="43">
        <v>44720.0</v>
      </c>
      <c r="AM373" s="44">
        <v>44754.83237268519</v>
      </c>
      <c r="AN373" s="30">
        <v>2.0</v>
      </c>
      <c r="AO373" s="40"/>
      <c r="AP373" s="40"/>
      <c r="AQ373" s="40"/>
      <c r="AR373" s="40"/>
      <c r="AS373" s="40"/>
      <c r="AT373" s="47"/>
      <c r="AU373" s="40"/>
      <c r="AV373" s="46" t="str">
        <f>IFERROR(__xludf.DUMMYFUNCTION("""COMPUTED_VALUE"""),"Hoseterey")</f>
        <v>Hoseterey</v>
      </c>
      <c r="AW373" s="46">
        <f t="shared" si="7"/>
        <v>250</v>
      </c>
      <c r="AX373" s="47">
        <f t="shared" ref="AX373:BQ373" si="1229">SUMIFS($AJ:$AJ,$V:$V,$AV373,$AK:$AK,AX$2)</f>
        <v>0</v>
      </c>
      <c r="AY373" s="48">
        <f t="shared" si="1229"/>
        <v>0</v>
      </c>
      <c r="AZ373" s="48">
        <f t="shared" si="1229"/>
        <v>0</v>
      </c>
      <c r="BA373" s="48">
        <f t="shared" si="1229"/>
        <v>250</v>
      </c>
      <c r="BB373" s="48">
        <f t="shared" si="1229"/>
        <v>0</v>
      </c>
      <c r="BC373" s="48">
        <f t="shared" si="1229"/>
        <v>0</v>
      </c>
      <c r="BD373" s="48">
        <f t="shared" si="1229"/>
        <v>0</v>
      </c>
      <c r="BE373" s="48">
        <f t="shared" si="1229"/>
        <v>0</v>
      </c>
      <c r="BF373" s="48">
        <f t="shared" si="1229"/>
        <v>0</v>
      </c>
      <c r="BG373" s="48">
        <f t="shared" si="1229"/>
        <v>0</v>
      </c>
      <c r="BH373" s="48">
        <f t="shared" si="1229"/>
        <v>0</v>
      </c>
      <c r="BI373" s="48">
        <f t="shared" si="1229"/>
        <v>0</v>
      </c>
      <c r="BJ373" s="48">
        <f t="shared" si="1229"/>
        <v>0</v>
      </c>
      <c r="BK373" s="48">
        <f t="shared" si="1229"/>
        <v>0</v>
      </c>
      <c r="BL373" s="48">
        <f t="shared" si="1229"/>
        <v>0</v>
      </c>
      <c r="BM373" s="48">
        <f t="shared" si="1229"/>
        <v>0</v>
      </c>
      <c r="BN373" s="48">
        <f t="shared" si="1229"/>
        <v>0</v>
      </c>
      <c r="BO373" s="48">
        <f t="shared" si="1229"/>
        <v>0</v>
      </c>
      <c r="BP373" s="48">
        <f t="shared" si="1229"/>
        <v>0</v>
      </c>
      <c r="BQ373" s="48">
        <f t="shared" si="1229"/>
        <v>0</v>
      </c>
      <c r="BR373" s="36">
        <f t="shared" si="9"/>
        <v>0</v>
      </c>
      <c r="BS373" s="38">
        <f t="shared" si="10"/>
        <v>1</v>
      </c>
      <c r="BT373" s="49">
        <f t="shared" si="11"/>
        <v>0</v>
      </c>
      <c r="BU373" s="38">
        <f t="shared" si="12"/>
        <v>1000</v>
      </c>
      <c r="BV373" s="46" t="str">
        <f>IFERROR(__xludf.DUMMYFUNCTION("""COMPUTED_VALUE"""),"Hoseterey")</f>
        <v>Hoseterey</v>
      </c>
      <c r="BW373" s="46">
        <f t="shared" si="13"/>
        <v>250</v>
      </c>
      <c r="BX373" s="47">
        <f t="shared" ref="BX373:CA373" si="1230">AX373-$BU373</f>
        <v>-1000</v>
      </c>
      <c r="BY373" s="47">
        <f t="shared" si="1230"/>
        <v>-1000</v>
      </c>
      <c r="BZ373" s="47">
        <f t="shared" si="1230"/>
        <v>-1000</v>
      </c>
      <c r="CA373" s="47">
        <f t="shared" si="1230"/>
        <v>-750</v>
      </c>
      <c r="CB373" s="47">
        <f t="shared" si="15"/>
        <v>-10000</v>
      </c>
      <c r="CC373" s="47">
        <f t="shared" ref="CC373:CQ373" si="1231">BC373-$BU373</f>
        <v>-1000</v>
      </c>
      <c r="CD373" s="47">
        <f t="shared" si="1231"/>
        <v>-1000</v>
      </c>
      <c r="CE373" s="47">
        <f t="shared" si="1231"/>
        <v>-1000</v>
      </c>
      <c r="CF373" s="47">
        <f t="shared" si="1231"/>
        <v>-1000</v>
      </c>
      <c r="CG373" s="47">
        <f t="shared" si="1231"/>
        <v>-1000</v>
      </c>
      <c r="CH373" s="47">
        <f t="shared" si="1231"/>
        <v>-1000</v>
      </c>
      <c r="CI373" s="47">
        <f t="shared" si="1231"/>
        <v>-1000</v>
      </c>
      <c r="CJ373" s="47">
        <f t="shared" si="1231"/>
        <v>-1000</v>
      </c>
      <c r="CK373" s="47">
        <f t="shared" si="1231"/>
        <v>-1000</v>
      </c>
      <c r="CL373" s="47">
        <f t="shared" si="1231"/>
        <v>-1000</v>
      </c>
      <c r="CM373" s="47">
        <f t="shared" si="1231"/>
        <v>-1000</v>
      </c>
      <c r="CN373" s="47">
        <f t="shared" si="1231"/>
        <v>-1000</v>
      </c>
      <c r="CO373" s="47">
        <f t="shared" si="1231"/>
        <v>-1000</v>
      </c>
      <c r="CP373" s="47">
        <f t="shared" si="1231"/>
        <v>-1000</v>
      </c>
      <c r="CQ373" s="47">
        <f t="shared" si="1231"/>
        <v>-1000</v>
      </c>
      <c r="CR373" s="47"/>
      <c r="CS373" s="47"/>
      <c r="CT373" s="47"/>
      <c r="CU373" s="50" t="str">
        <f>IFERROR(__xludf.DUMMYFUNCTION("""COMPUTED_VALUE"""),"6146 Lupton Drive
Dallas, TX 75225          ")</f>
        <v>6146 Lupton Drive
Dallas, TX 75225          </v>
      </c>
      <c r="CV373" s="51">
        <f>IFERROR(__xludf.DUMMYFUNCTION("IF(REGEXMATCH(UPPER(CU373), ""TX""),0,1)"),0.0)</f>
        <v>0</v>
      </c>
      <c r="CW373" s="51">
        <f>IFERROR(__xludf.DUMMYFUNCTION("IF(REGEXMATCH(UPPER(CU373), ""DALLAS""),0,1)"),0.0)</f>
        <v>0</v>
      </c>
      <c r="CX373" s="51">
        <f t="shared" si="17"/>
        <v>0</v>
      </c>
      <c r="CY373" s="51">
        <f t="shared" si="18"/>
        <v>0</v>
      </c>
      <c r="CZ373" s="52" t="str">
        <f t="shared" si="19"/>
        <v/>
      </c>
      <c r="DA373" s="58"/>
      <c r="DB373" s="52"/>
      <c r="DC373" s="52"/>
      <c r="DD373" s="52"/>
      <c r="DE373" s="52"/>
      <c r="DF373" s="52"/>
      <c r="DG373" s="52"/>
      <c r="DH373" s="52"/>
      <c r="DI373" s="52"/>
      <c r="DJ373" s="52"/>
      <c r="DK373" s="52"/>
      <c r="DL373" s="52"/>
      <c r="DM373" s="52"/>
      <c r="DN373" s="52"/>
      <c r="DO373" s="52"/>
      <c r="DP373" s="52"/>
      <c r="DQ373" s="52"/>
      <c r="DR373" s="52"/>
      <c r="DS373" s="52"/>
      <c r="DT373" s="52"/>
      <c r="DU373" s="52"/>
      <c r="DV373" s="52"/>
      <c r="DW373" s="52"/>
    </row>
    <row r="374">
      <c r="A374" s="22" t="s">
        <v>55</v>
      </c>
      <c r="B374" s="23" t="s">
        <v>56</v>
      </c>
      <c r="C374" s="31" t="s">
        <v>1038</v>
      </c>
      <c r="D374" s="25" t="str">
        <f>IFERROR(__xludf.DUMMYFUNCTION("SPLIT(C374,"" "")"),"Matthews,")</f>
        <v>Matthews,</v>
      </c>
      <c r="E374" s="22" t="str">
        <f>IFERROR(__xludf.DUMMYFUNCTION("""COMPUTED_VALUE"""),"Charles
4235")</f>
        <v>Charles
4235</v>
      </c>
      <c r="F374" s="22" t="str">
        <f>IFERROR(__xludf.DUMMYFUNCTION("""COMPUTED_VALUE"""),"Bobbitt")</f>
        <v>Bobbitt</v>
      </c>
      <c r="G374" s="22" t="str">
        <f>IFERROR(__xludf.DUMMYFUNCTION("""COMPUTED_VALUE"""),"Dr
Dallas,")</f>
        <v>Dr
Dallas,</v>
      </c>
      <c r="H374" s="22" t="str">
        <f>IFERROR(__xludf.DUMMYFUNCTION("""COMPUTED_VALUE"""),"TX")</f>
        <v>TX</v>
      </c>
      <c r="I374" s="22">
        <f>IFERROR(__xludf.DUMMYFUNCTION("""COMPUTED_VALUE"""),75229.0)</f>
        <v>75229</v>
      </c>
      <c r="J374" s="22"/>
      <c r="K374" s="22"/>
      <c r="L374" s="22"/>
      <c r="M374" s="22"/>
      <c r="N374" s="22"/>
      <c r="O374" s="22"/>
      <c r="P374" s="22"/>
      <c r="Q374" s="22"/>
      <c r="R374" s="22"/>
      <c r="S374" s="22"/>
      <c r="T374" s="22"/>
      <c r="U374" s="24" t="str">
        <f>IFERROR(__xludf.DUMMYFUNCTION("SPLIT(E374,""01234567890"")"),"Charles
")</f>
        <v>Charles
</v>
      </c>
      <c r="V374" s="24" t="str">
        <f>IFERROR(__xludf.DUMMYFUNCTION("SPLIT(D374,"","")"),"Matthews")</f>
        <v>Matthews</v>
      </c>
      <c r="W374" s="25" t="str">
        <f t="shared" si="1"/>
        <v>CHARLES
 MATTHEWS</v>
      </c>
      <c r="X374" s="25" t="s">
        <v>1039</v>
      </c>
      <c r="Y374" s="25">
        <v>75229.0</v>
      </c>
      <c r="Z374" s="25" t="str">
        <f>IFERROR(__xludf.DUMMYFUNCTION("SPLIT(C374,""
"")"),"Matthews, Charles")</f>
        <v>Matthews, Charles</v>
      </c>
      <c r="AA374" s="25" t="str">
        <f>IFERROR(__xludf.DUMMYFUNCTION("""COMPUTED_VALUE"""),"4235 Bobbitt Dr")</f>
        <v>4235 Bobbitt Dr</v>
      </c>
      <c r="AB374" s="25" t="str">
        <f>IFERROR(__xludf.DUMMYFUNCTION("""COMPUTED_VALUE"""),"Dallas, TX 75229")</f>
        <v>Dallas, TX 75229</v>
      </c>
      <c r="AC374" s="24" t="s">
        <v>1040</v>
      </c>
      <c r="AD374" s="25"/>
      <c r="AE374" s="25"/>
      <c r="AF374" s="25"/>
      <c r="AG374" s="22" t="s">
        <v>60</v>
      </c>
      <c r="AH374" s="54">
        <v>2437.0</v>
      </c>
      <c r="AI374" s="22" t="s">
        <v>61</v>
      </c>
      <c r="AJ374" s="27">
        <v>250.0</v>
      </c>
      <c r="AK374" s="31" t="s">
        <v>25</v>
      </c>
      <c r="AL374" s="28">
        <v>44720.0</v>
      </c>
      <c r="AM374" s="29">
        <v>44754.83237268519</v>
      </c>
      <c r="AN374" s="30">
        <v>2.0</v>
      </c>
      <c r="AO374" s="22"/>
      <c r="AP374" s="22"/>
      <c r="AQ374" s="22"/>
      <c r="AR374" s="22"/>
      <c r="AS374" s="22"/>
      <c r="AT374" s="70"/>
      <c r="AU374" s="22"/>
      <c r="AV374" s="57" t="str">
        <f>IFERROR(__xludf.DUMMYFUNCTION("""COMPUTED_VALUE"""),"Hong")</f>
        <v>Hong</v>
      </c>
      <c r="AW374" s="46">
        <f t="shared" si="7"/>
        <v>500</v>
      </c>
      <c r="AX374" s="47">
        <f t="shared" ref="AX374:BQ374" si="1232">SUMIFS($AJ:$AJ,$V:$V,$AV374,$AK:$AK,AX$2)</f>
        <v>0</v>
      </c>
      <c r="AY374" s="48">
        <f t="shared" si="1232"/>
        <v>0</v>
      </c>
      <c r="AZ374" s="48">
        <f t="shared" si="1232"/>
        <v>0</v>
      </c>
      <c r="BA374" s="48">
        <f t="shared" si="1232"/>
        <v>500</v>
      </c>
      <c r="BB374" s="48">
        <f t="shared" si="1232"/>
        <v>0</v>
      </c>
      <c r="BC374" s="48">
        <f t="shared" si="1232"/>
        <v>0</v>
      </c>
      <c r="BD374" s="48">
        <f t="shared" si="1232"/>
        <v>0</v>
      </c>
      <c r="BE374" s="48">
        <f t="shared" si="1232"/>
        <v>0</v>
      </c>
      <c r="BF374" s="48">
        <f t="shared" si="1232"/>
        <v>0</v>
      </c>
      <c r="BG374" s="48">
        <f t="shared" si="1232"/>
        <v>0</v>
      </c>
      <c r="BH374" s="48">
        <f t="shared" si="1232"/>
        <v>0</v>
      </c>
      <c r="BI374" s="48">
        <f t="shared" si="1232"/>
        <v>0</v>
      </c>
      <c r="BJ374" s="48">
        <f t="shared" si="1232"/>
        <v>0</v>
      </c>
      <c r="BK374" s="48">
        <f t="shared" si="1232"/>
        <v>0</v>
      </c>
      <c r="BL374" s="48">
        <f t="shared" si="1232"/>
        <v>0</v>
      </c>
      <c r="BM374" s="48">
        <f t="shared" si="1232"/>
        <v>0</v>
      </c>
      <c r="BN374" s="48">
        <f t="shared" si="1232"/>
        <v>0</v>
      </c>
      <c r="BO374" s="48">
        <f t="shared" si="1232"/>
        <v>0</v>
      </c>
      <c r="BP374" s="48">
        <f t="shared" si="1232"/>
        <v>0</v>
      </c>
      <c r="BQ374" s="48">
        <f t="shared" si="1232"/>
        <v>0</v>
      </c>
      <c r="BR374" s="36">
        <f t="shared" si="9"/>
        <v>0</v>
      </c>
      <c r="BS374" s="38">
        <f t="shared" si="10"/>
        <v>1</v>
      </c>
      <c r="BT374" s="49">
        <f t="shared" si="11"/>
        <v>0</v>
      </c>
      <c r="BU374" s="38">
        <f t="shared" si="12"/>
        <v>1000</v>
      </c>
      <c r="BV374" s="57" t="str">
        <f>IFERROR(__xludf.DUMMYFUNCTION("""COMPUTED_VALUE"""),"Hong")</f>
        <v>Hong</v>
      </c>
      <c r="BW374" s="46">
        <f t="shared" si="13"/>
        <v>500</v>
      </c>
      <c r="BX374" s="47">
        <f t="shared" ref="BX374:CA374" si="1233">AX374-$BU374</f>
        <v>-1000</v>
      </c>
      <c r="BY374" s="47">
        <f t="shared" si="1233"/>
        <v>-1000</v>
      </c>
      <c r="BZ374" s="47">
        <f t="shared" si="1233"/>
        <v>-1000</v>
      </c>
      <c r="CA374" s="47">
        <f t="shared" si="1233"/>
        <v>-500</v>
      </c>
      <c r="CB374" s="47">
        <f t="shared" si="15"/>
        <v>-10000</v>
      </c>
      <c r="CC374" s="47">
        <f t="shared" ref="CC374:CQ374" si="1234">BC374-$BU374</f>
        <v>-1000</v>
      </c>
      <c r="CD374" s="47">
        <f t="shared" si="1234"/>
        <v>-1000</v>
      </c>
      <c r="CE374" s="47">
        <f t="shared" si="1234"/>
        <v>-1000</v>
      </c>
      <c r="CF374" s="47">
        <f t="shared" si="1234"/>
        <v>-1000</v>
      </c>
      <c r="CG374" s="47">
        <f t="shared" si="1234"/>
        <v>-1000</v>
      </c>
      <c r="CH374" s="47">
        <f t="shared" si="1234"/>
        <v>-1000</v>
      </c>
      <c r="CI374" s="47">
        <f t="shared" si="1234"/>
        <v>-1000</v>
      </c>
      <c r="CJ374" s="47">
        <f t="shared" si="1234"/>
        <v>-1000</v>
      </c>
      <c r="CK374" s="47">
        <f t="shared" si="1234"/>
        <v>-1000</v>
      </c>
      <c r="CL374" s="47">
        <f t="shared" si="1234"/>
        <v>-1000</v>
      </c>
      <c r="CM374" s="47">
        <f t="shared" si="1234"/>
        <v>-1000</v>
      </c>
      <c r="CN374" s="47">
        <f t="shared" si="1234"/>
        <v>-1000</v>
      </c>
      <c r="CO374" s="47">
        <f t="shared" si="1234"/>
        <v>-1000</v>
      </c>
      <c r="CP374" s="47">
        <f t="shared" si="1234"/>
        <v>-1000</v>
      </c>
      <c r="CQ374" s="47">
        <f t="shared" si="1234"/>
        <v>-1000</v>
      </c>
      <c r="CR374" s="47"/>
      <c r="CS374" s="47"/>
      <c r="CT374" s="47"/>
      <c r="CU374" s="50" t="str">
        <f>IFERROR(__xludf.DUMMYFUNCTION("""COMPUTED_VALUE"""),"3408 Purdue
Dallas, TX 75225           ")</f>
        <v>3408 Purdue
Dallas, TX 75225           </v>
      </c>
      <c r="CV374" s="51">
        <f>IFERROR(__xludf.DUMMYFUNCTION("IF(REGEXMATCH(UPPER(CU374), ""TX""),0,1)"),0.0)</f>
        <v>0</v>
      </c>
      <c r="CW374" s="51">
        <f>IFERROR(__xludf.DUMMYFUNCTION("IF(REGEXMATCH(UPPER(CU374), ""DALLAS""),0,1)"),0.0)</f>
        <v>0</v>
      </c>
      <c r="CX374" s="51">
        <f t="shared" si="17"/>
        <v>0</v>
      </c>
      <c r="CY374" s="51">
        <f t="shared" si="18"/>
        <v>0</v>
      </c>
      <c r="CZ374" s="52" t="str">
        <f t="shared" si="19"/>
        <v/>
      </c>
      <c r="DA374" s="58"/>
      <c r="DB374" s="52"/>
      <c r="DC374" s="52"/>
      <c r="DD374" s="52"/>
      <c r="DE374" s="52"/>
      <c r="DF374" s="52"/>
      <c r="DG374" s="52"/>
      <c r="DH374" s="52"/>
      <c r="DI374" s="52"/>
      <c r="DJ374" s="52"/>
      <c r="DK374" s="52"/>
      <c r="DL374" s="52"/>
      <c r="DM374" s="52"/>
      <c r="DN374" s="52"/>
      <c r="DO374" s="52"/>
      <c r="DP374" s="52"/>
      <c r="DQ374" s="52"/>
      <c r="DR374" s="52"/>
      <c r="DS374" s="52"/>
      <c r="DT374" s="52"/>
      <c r="DU374" s="52"/>
      <c r="DV374" s="52"/>
      <c r="DW374" s="52"/>
    </row>
    <row r="375">
      <c r="A375" s="41" t="s">
        <v>64</v>
      </c>
      <c r="B375" s="41" t="s">
        <v>56</v>
      </c>
      <c r="C375" s="31" t="s">
        <v>1041</v>
      </c>
      <c r="D375" s="25" t="str">
        <f>IFERROR(__xludf.DUMMYFUNCTION("SPLIT(C375,"" "")"),"Walker,")</f>
        <v>Walker,</v>
      </c>
      <c r="E375" s="40" t="str">
        <f>IFERROR(__xludf.DUMMYFUNCTION("""COMPUTED_VALUE"""),"Blake
7018")</f>
        <v>Blake
7018</v>
      </c>
      <c r="F375" s="40" t="str">
        <f>IFERROR(__xludf.DUMMYFUNCTION("""COMPUTED_VALUE"""),"Elmridge")</f>
        <v>Elmridge</v>
      </c>
      <c r="G375" s="40" t="str">
        <f>IFERROR(__xludf.DUMMYFUNCTION("""COMPUTED_VALUE"""),"Dr
Dallas,")</f>
        <v>Dr
Dallas,</v>
      </c>
      <c r="H375" s="40" t="str">
        <f>IFERROR(__xludf.DUMMYFUNCTION("""COMPUTED_VALUE"""),"TX")</f>
        <v>TX</v>
      </c>
      <c r="I375" s="40">
        <f>IFERROR(__xludf.DUMMYFUNCTION("""COMPUTED_VALUE"""),75240.0)</f>
        <v>75240</v>
      </c>
      <c r="J375" s="40"/>
      <c r="K375" s="40"/>
      <c r="L375" s="40"/>
      <c r="M375" s="40"/>
      <c r="N375" s="40"/>
      <c r="O375" s="40"/>
      <c r="P375" s="40"/>
      <c r="Q375" s="40"/>
      <c r="R375" s="40"/>
      <c r="S375" s="40"/>
      <c r="T375" s="40"/>
      <c r="U375" s="24" t="str">
        <f>IFERROR(__xludf.DUMMYFUNCTION("SPLIT(E375,""01234567890"")"),"Blake
")</f>
        <v>Blake
</v>
      </c>
      <c r="V375" s="24" t="str">
        <f>IFERROR(__xludf.DUMMYFUNCTION("SPLIT(D375,"","")"),"Walker")</f>
        <v>Walker</v>
      </c>
      <c r="W375" s="25" t="str">
        <f t="shared" si="1"/>
        <v>BLAKE
 WALKER</v>
      </c>
      <c r="X375" s="25" t="s">
        <v>1042</v>
      </c>
      <c r="Y375" s="25">
        <v>75240.0</v>
      </c>
      <c r="Z375" s="25" t="str">
        <f>IFERROR(__xludf.DUMMYFUNCTION("SPLIT(C375,""
"")"),"Walker, Blake")</f>
        <v>Walker, Blake</v>
      </c>
      <c r="AA375" s="25" t="str">
        <f>IFERROR(__xludf.DUMMYFUNCTION("""COMPUTED_VALUE"""),"7018 Elmridge Dr")</f>
        <v>7018 Elmridge Dr</v>
      </c>
      <c r="AB375" s="25" t="str">
        <f>IFERROR(__xludf.DUMMYFUNCTION("""COMPUTED_VALUE"""),"Dallas, TX 75240")</f>
        <v>Dallas, TX 75240</v>
      </c>
      <c r="AC375" s="24" t="s">
        <v>1043</v>
      </c>
      <c r="AD375" s="25"/>
      <c r="AE375" s="25"/>
      <c r="AF375" s="25"/>
      <c r="AG375" s="40" t="s">
        <v>60</v>
      </c>
      <c r="AH375" s="42">
        <v>2437.0</v>
      </c>
      <c r="AI375" s="40" t="s">
        <v>61</v>
      </c>
      <c r="AJ375" s="27">
        <v>1000.0</v>
      </c>
      <c r="AK375" s="31" t="s">
        <v>25</v>
      </c>
      <c r="AL375" s="43">
        <v>44720.0</v>
      </c>
      <c r="AM375" s="44">
        <v>44754.83237268519</v>
      </c>
      <c r="AN375" s="30">
        <v>2.0</v>
      </c>
      <c r="AO375" s="40"/>
      <c r="AP375" s="40"/>
      <c r="AQ375" s="40"/>
      <c r="AR375" s="40"/>
      <c r="AS375" s="40"/>
      <c r="AT375" s="47"/>
      <c r="AU375" s="40"/>
      <c r="AV375" s="46" t="str">
        <f>IFERROR(__xludf.DUMMYFUNCTION("""COMPUTED_VALUE"""),"Irvin")</f>
        <v>Irvin</v>
      </c>
      <c r="AW375" s="46">
        <f t="shared" si="7"/>
        <v>500</v>
      </c>
      <c r="AX375" s="47">
        <f t="shared" ref="AX375:BQ375" si="1235">SUMIFS($AJ:$AJ,$V:$V,$AV375,$AK:$AK,AX$2)</f>
        <v>0</v>
      </c>
      <c r="AY375" s="48">
        <f t="shared" si="1235"/>
        <v>0</v>
      </c>
      <c r="AZ375" s="48">
        <f t="shared" si="1235"/>
        <v>0</v>
      </c>
      <c r="BA375" s="48">
        <f t="shared" si="1235"/>
        <v>500</v>
      </c>
      <c r="BB375" s="48">
        <f t="shared" si="1235"/>
        <v>0</v>
      </c>
      <c r="BC375" s="48">
        <f t="shared" si="1235"/>
        <v>0</v>
      </c>
      <c r="BD375" s="48">
        <f t="shared" si="1235"/>
        <v>0</v>
      </c>
      <c r="BE375" s="48">
        <f t="shared" si="1235"/>
        <v>0</v>
      </c>
      <c r="BF375" s="48">
        <f t="shared" si="1235"/>
        <v>0</v>
      </c>
      <c r="BG375" s="48">
        <f t="shared" si="1235"/>
        <v>0</v>
      </c>
      <c r="BH375" s="48">
        <f t="shared" si="1235"/>
        <v>0</v>
      </c>
      <c r="BI375" s="48">
        <f t="shared" si="1235"/>
        <v>0</v>
      </c>
      <c r="BJ375" s="48">
        <f t="shared" si="1235"/>
        <v>0</v>
      </c>
      <c r="BK375" s="48">
        <f t="shared" si="1235"/>
        <v>0</v>
      </c>
      <c r="BL375" s="48">
        <f t="shared" si="1235"/>
        <v>0</v>
      </c>
      <c r="BM375" s="48">
        <f t="shared" si="1235"/>
        <v>0</v>
      </c>
      <c r="BN375" s="48">
        <f t="shared" si="1235"/>
        <v>0</v>
      </c>
      <c r="BO375" s="48">
        <f t="shared" si="1235"/>
        <v>0</v>
      </c>
      <c r="BP375" s="48">
        <f t="shared" si="1235"/>
        <v>0</v>
      </c>
      <c r="BQ375" s="48">
        <f t="shared" si="1235"/>
        <v>0</v>
      </c>
      <c r="BR375" s="36">
        <f t="shared" si="9"/>
        <v>0</v>
      </c>
      <c r="BS375" s="38">
        <f t="shared" si="10"/>
        <v>1</v>
      </c>
      <c r="BT375" s="49">
        <f t="shared" si="11"/>
        <v>0</v>
      </c>
      <c r="BU375" s="38">
        <f t="shared" si="12"/>
        <v>1000</v>
      </c>
      <c r="BV375" s="46" t="str">
        <f>IFERROR(__xludf.DUMMYFUNCTION("""COMPUTED_VALUE"""),"Irvin")</f>
        <v>Irvin</v>
      </c>
      <c r="BW375" s="46">
        <f t="shared" si="13"/>
        <v>500</v>
      </c>
      <c r="BX375" s="47">
        <f t="shared" ref="BX375:CA375" si="1236">AX375-$BU375</f>
        <v>-1000</v>
      </c>
      <c r="BY375" s="47">
        <f t="shared" si="1236"/>
        <v>-1000</v>
      </c>
      <c r="BZ375" s="47">
        <f t="shared" si="1236"/>
        <v>-1000</v>
      </c>
      <c r="CA375" s="47">
        <f t="shared" si="1236"/>
        <v>-500</v>
      </c>
      <c r="CB375" s="47">
        <f t="shared" si="15"/>
        <v>-10000</v>
      </c>
      <c r="CC375" s="47">
        <f t="shared" ref="CC375:CQ375" si="1237">BC375-$BU375</f>
        <v>-1000</v>
      </c>
      <c r="CD375" s="47">
        <f t="shared" si="1237"/>
        <v>-1000</v>
      </c>
      <c r="CE375" s="47">
        <f t="shared" si="1237"/>
        <v>-1000</v>
      </c>
      <c r="CF375" s="47">
        <f t="shared" si="1237"/>
        <v>-1000</v>
      </c>
      <c r="CG375" s="47">
        <f t="shared" si="1237"/>
        <v>-1000</v>
      </c>
      <c r="CH375" s="47">
        <f t="shared" si="1237"/>
        <v>-1000</v>
      </c>
      <c r="CI375" s="47">
        <f t="shared" si="1237"/>
        <v>-1000</v>
      </c>
      <c r="CJ375" s="47">
        <f t="shared" si="1237"/>
        <v>-1000</v>
      </c>
      <c r="CK375" s="47">
        <f t="shared" si="1237"/>
        <v>-1000</v>
      </c>
      <c r="CL375" s="47">
        <f t="shared" si="1237"/>
        <v>-1000</v>
      </c>
      <c r="CM375" s="47">
        <f t="shared" si="1237"/>
        <v>-1000</v>
      </c>
      <c r="CN375" s="47">
        <f t="shared" si="1237"/>
        <v>-1000</v>
      </c>
      <c r="CO375" s="47">
        <f t="shared" si="1237"/>
        <v>-1000</v>
      </c>
      <c r="CP375" s="47">
        <f t="shared" si="1237"/>
        <v>-1000</v>
      </c>
      <c r="CQ375" s="47">
        <f t="shared" si="1237"/>
        <v>-1000</v>
      </c>
      <c r="CR375" s="47"/>
      <c r="CS375" s="47"/>
      <c r="CT375" s="47"/>
      <c r="CU375" s="50" t="str">
        <f>IFERROR(__xludf.DUMMYFUNCTION("""COMPUTED_VALUE"""),"8911 Guernsey Ln
Dallas, TX 75220          ")</f>
        <v>8911 Guernsey Ln
Dallas, TX 75220          </v>
      </c>
      <c r="CV375" s="51">
        <f>IFERROR(__xludf.DUMMYFUNCTION("IF(REGEXMATCH(UPPER(CU375), ""TX""),0,1)"),0.0)</f>
        <v>0</v>
      </c>
      <c r="CW375" s="51">
        <f>IFERROR(__xludf.DUMMYFUNCTION("IF(REGEXMATCH(UPPER(CU375), ""DALLAS""),0,1)"),0.0)</f>
        <v>0</v>
      </c>
      <c r="CX375" s="51">
        <f t="shared" si="17"/>
        <v>0</v>
      </c>
      <c r="CY375" s="51">
        <f t="shared" si="18"/>
        <v>0</v>
      </c>
      <c r="CZ375" s="52" t="str">
        <f t="shared" si="19"/>
        <v/>
      </c>
      <c r="DA375" s="58"/>
      <c r="DB375" s="52"/>
      <c r="DC375" s="52"/>
      <c r="DD375" s="52"/>
      <c r="DE375" s="52"/>
      <c r="DF375" s="52"/>
      <c r="DG375" s="52"/>
      <c r="DH375" s="52"/>
      <c r="DI375" s="52"/>
      <c r="DJ375" s="52"/>
      <c r="DK375" s="52"/>
      <c r="DL375" s="52"/>
      <c r="DM375" s="52"/>
      <c r="DN375" s="52"/>
      <c r="DO375" s="52"/>
      <c r="DP375" s="52"/>
      <c r="DQ375" s="52"/>
      <c r="DR375" s="52"/>
      <c r="DS375" s="52"/>
      <c r="DT375" s="52"/>
      <c r="DU375" s="52"/>
      <c r="DV375" s="52"/>
      <c r="DW375" s="52"/>
    </row>
    <row r="376">
      <c r="A376" s="22" t="s">
        <v>55</v>
      </c>
      <c r="B376" s="23" t="s">
        <v>56</v>
      </c>
      <c r="C376" s="31" t="s">
        <v>1044</v>
      </c>
      <c r="D376" s="25" t="str">
        <f>IFERROR(__xludf.DUMMYFUNCTION("SPLIT(C376,"" "")"),"Chandler,")</f>
        <v>Chandler,</v>
      </c>
      <c r="E376" s="22" t="str">
        <f>IFERROR(__xludf.DUMMYFUNCTION("""COMPUTED_VALUE"""),"Jennifer
7609")</f>
        <v>Jennifer
7609</v>
      </c>
      <c r="F376" s="22" t="str">
        <f>IFERROR(__xludf.DUMMYFUNCTION("""COMPUTED_VALUE"""),"Southwestern")</f>
        <v>Southwestern</v>
      </c>
      <c r="G376" s="22" t="str">
        <f>IFERROR(__xludf.DUMMYFUNCTION("""COMPUTED_VALUE"""),"Blvd
Dallas,")</f>
        <v>Blvd
Dallas,</v>
      </c>
      <c r="H376" s="22" t="str">
        <f>IFERROR(__xludf.DUMMYFUNCTION("""COMPUTED_VALUE"""),"TX")</f>
        <v>TX</v>
      </c>
      <c r="I376" s="22">
        <f>IFERROR(__xludf.DUMMYFUNCTION("""COMPUTED_VALUE"""),75225.0)</f>
        <v>75225</v>
      </c>
      <c r="J376" s="22"/>
      <c r="K376" s="22"/>
      <c r="L376" s="22"/>
      <c r="M376" s="22"/>
      <c r="N376" s="22"/>
      <c r="O376" s="22"/>
      <c r="P376" s="22"/>
      <c r="Q376" s="22"/>
      <c r="R376" s="22"/>
      <c r="S376" s="22"/>
      <c r="T376" s="22"/>
      <c r="U376" s="24" t="str">
        <f>IFERROR(__xludf.DUMMYFUNCTION("SPLIT(E376,""01234567890"")"),"Jennifer
")</f>
        <v>Jennifer
</v>
      </c>
      <c r="V376" s="24" t="str">
        <f>IFERROR(__xludf.DUMMYFUNCTION("SPLIT(D376,"","")"),"Chandler")</f>
        <v>Chandler</v>
      </c>
      <c r="W376" s="25" t="str">
        <f t="shared" si="1"/>
        <v>JENNIFER
 CHANDLER</v>
      </c>
      <c r="X376" s="25" t="s">
        <v>1045</v>
      </c>
      <c r="Y376" s="25">
        <v>75225.0</v>
      </c>
      <c r="Z376" s="25" t="str">
        <f>IFERROR(__xludf.DUMMYFUNCTION("SPLIT(C376,""
"")"),"Chandler, Jennifer")</f>
        <v>Chandler, Jennifer</v>
      </c>
      <c r="AA376" s="25" t="str">
        <f>IFERROR(__xludf.DUMMYFUNCTION("""COMPUTED_VALUE"""),"7609 Southwestern Blvd")</f>
        <v>7609 Southwestern Blvd</v>
      </c>
      <c r="AB376" s="25" t="str">
        <f>IFERROR(__xludf.DUMMYFUNCTION("""COMPUTED_VALUE"""),"Dallas, TX 75225")</f>
        <v>Dallas, TX 75225</v>
      </c>
      <c r="AC376" s="24" t="s">
        <v>1046</v>
      </c>
      <c r="AD376" s="25"/>
      <c r="AE376" s="25"/>
      <c r="AF376" s="25"/>
      <c r="AG376" s="22" t="s">
        <v>60</v>
      </c>
      <c r="AH376" s="54">
        <v>2437.0</v>
      </c>
      <c r="AI376" s="22" t="s">
        <v>61</v>
      </c>
      <c r="AJ376" s="27">
        <v>350.0</v>
      </c>
      <c r="AK376" s="31" t="s">
        <v>25</v>
      </c>
      <c r="AL376" s="28">
        <v>44720.0</v>
      </c>
      <c r="AM376" s="29">
        <v>44754.83237268519</v>
      </c>
      <c r="AN376" s="30">
        <v>2.0</v>
      </c>
      <c r="AO376" s="22"/>
      <c r="AP376" s="22"/>
      <c r="AQ376" s="22"/>
      <c r="AR376" s="22"/>
      <c r="AS376" s="22"/>
      <c r="AT376" s="70"/>
      <c r="AU376" s="22"/>
      <c r="AV376" s="57" t="str">
        <f>IFERROR(__xludf.DUMMYFUNCTION("""COMPUTED_VALUE"""),"Kirby")</f>
        <v>Kirby</v>
      </c>
      <c r="AW376" s="46">
        <f t="shared" si="7"/>
        <v>100</v>
      </c>
      <c r="AX376" s="47">
        <f t="shared" ref="AX376:BQ376" si="1238">SUMIFS($AJ:$AJ,$V:$V,$AV376,$AK:$AK,AX$2)</f>
        <v>0</v>
      </c>
      <c r="AY376" s="48">
        <f t="shared" si="1238"/>
        <v>0</v>
      </c>
      <c r="AZ376" s="48">
        <f t="shared" si="1238"/>
        <v>0</v>
      </c>
      <c r="BA376" s="48">
        <f t="shared" si="1238"/>
        <v>100</v>
      </c>
      <c r="BB376" s="48">
        <f t="shared" si="1238"/>
        <v>0</v>
      </c>
      <c r="BC376" s="48">
        <f t="shared" si="1238"/>
        <v>0</v>
      </c>
      <c r="BD376" s="48">
        <f t="shared" si="1238"/>
        <v>0</v>
      </c>
      <c r="BE376" s="48">
        <f t="shared" si="1238"/>
        <v>0</v>
      </c>
      <c r="BF376" s="48">
        <f t="shared" si="1238"/>
        <v>0</v>
      </c>
      <c r="BG376" s="48">
        <f t="shared" si="1238"/>
        <v>0</v>
      </c>
      <c r="BH376" s="48">
        <f t="shared" si="1238"/>
        <v>0</v>
      </c>
      <c r="BI376" s="48">
        <f t="shared" si="1238"/>
        <v>0</v>
      </c>
      <c r="BJ376" s="48">
        <f t="shared" si="1238"/>
        <v>0</v>
      </c>
      <c r="BK376" s="48">
        <f t="shared" si="1238"/>
        <v>0</v>
      </c>
      <c r="BL376" s="48">
        <f t="shared" si="1238"/>
        <v>0</v>
      </c>
      <c r="BM376" s="48">
        <f t="shared" si="1238"/>
        <v>0</v>
      </c>
      <c r="BN376" s="48">
        <f t="shared" si="1238"/>
        <v>0</v>
      </c>
      <c r="BO376" s="48">
        <f t="shared" si="1238"/>
        <v>0</v>
      </c>
      <c r="BP376" s="48">
        <f t="shared" si="1238"/>
        <v>0</v>
      </c>
      <c r="BQ376" s="48">
        <f t="shared" si="1238"/>
        <v>0</v>
      </c>
      <c r="BR376" s="36">
        <f t="shared" si="9"/>
        <v>0</v>
      </c>
      <c r="BS376" s="38">
        <f t="shared" si="10"/>
        <v>1</v>
      </c>
      <c r="BT376" s="49">
        <f t="shared" si="11"/>
        <v>0</v>
      </c>
      <c r="BU376" s="38">
        <f t="shared" si="12"/>
        <v>1000</v>
      </c>
      <c r="BV376" s="57" t="str">
        <f>IFERROR(__xludf.DUMMYFUNCTION("""COMPUTED_VALUE"""),"Kirby")</f>
        <v>Kirby</v>
      </c>
      <c r="BW376" s="46">
        <f t="shared" si="13"/>
        <v>100</v>
      </c>
      <c r="BX376" s="47">
        <f t="shared" ref="BX376:CA376" si="1239">AX376-$BU376</f>
        <v>-1000</v>
      </c>
      <c r="BY376" s="47">
        <f t="shared" si="1239"/>
        <v>-1000</v>
      </c>
      <c r="BZ376" s="47">
        <f t="shared" si="1239"/>
        <v>-1000</v>
      </c>
      <c r="CA376" s="47">
        <f t="shared" si="1239"/>
        <v>-900</v>
      </c>
      <c r="CB376" s="47">
        <f t="shared" si="15"/>
        <v>-10000</v>
      </c>
      <c r="CC376" s="47">
        <f t="shared" ref="CC376:CQ376" si="1240">BC376-$BU376</f>
        <v>-1000</v>
      </c>
      <c r="CD376" s="47">
        <f t="shared" si="1240"/>
        <v>-1000</v>
      </c>
      <c r="CE376" s="47">
        <f t="shared" si="1240"/>
        <v>-1000</v>
      </c>
      <c r="CF376" s="47">
        <f t="shared" si="1240"/>
        <v>-1000</v>
      </c>
      <c r="CG376" s="47">
        <f t="shared" si="1240"/>
        <v>-1000</v>
      </c>
      <c r="CH376" s="47">
        <f t="shared" si="1240"/>
        <v>-1000</v>
      </c>
      <c r="CI376" s="47">
        <f t="shared" si="1240"/>
        <v>-1000</v>
      </c>
      <c r="CJ376" s="47">
        <f t="shared" si="1240"/>
        <v>-1000</v>
      </c>
      <c r="CK376" s="47">
        <f t="shared" si="1240"/>
        <v>-1000</v>
      </c>
      <c r="CL376" s="47">
        <f t="shared" si="1240"/>
        <v>-1000</v>
      </c>
      <c r="CM376" s="47">
        <f t="shared" si="1240"/>
        <v>-1000</v>
      </c>
      <c r="CN376" s="47">
        <f t="shared" si="1240"/>
        <v>-1000</v>
      </c>
      <c r="CO376" s="47">
        <f t="shared" si="1240"/>
        <v>-1000</v>
      </c>
      <c r="CP376" s="47">
        <f t="shared" si="1240"/>
        <v>-1000</v>
      </c>
      <c r="CQ376" s="47">
        <f t="shared" si="1240"/>
        <v>-1000</v>
      </c>
      <c r="CR376" s="47"/>
      <c r="CS376" s="47"/>
      <c r="CT376" s="47"/>
      <c r="CU376" s="50" t="str">
        <f>IFERROR(__xludf.DUMMYFUNCTION("""COMPUTED_VALUE"""),"4630 Gulfstream Drive
Dallas, TX 75244          ")</f>
        <v>4630 Gulfstream Drive
Dallas, TX 75244          </v>
      </c>
      <c r="CV376" s="51">
        <f>IFERROR(__xludf.DUMMYFUNCTION("IF(REGEXMATCH(UPPER(CU376), ""TX""),0,1)"),0.0)</f>
        <v>0</v>
      </c>
      <c r="CW376" s="51">
        <f>IFERROR(__xludf.DUMMYFUNCTION("IF(REGEXMATCH(UPPER(CU376), ""DALLAS""),0,1)"),0.0)</f>
        <v>0</v>
      </c>
      <c r="CX376" s="51">
        <f t="shared" si="17"/>
        <v>0</v>
      </c>
      <c r="CY376" s="51">
        <f t="shared" si="18"/>
        <v>0</v>
      </c>
      <c r="CZ376" s="52" t="str">
        <f t="shared" si="19"/>
        <v/>
      </c>
      <c r="DA376" s="58"/>
      <c r="DB376" s="52"/>
      <c r="DC376" s="52"/>
      <c r="DD376" s="52"/>
      <c r="DE376" s="52"/>
      <c r="DF376" s="52"/>
      <c r="DG376" s="52"/>
      <c r="DH376" s="52"/>
      <c r="DI376" s="52"/>
      <c r="DJ376" s="52"/>
      <c r="DK376" s="52"/>
      <c r="DL376" s="52"/>
      <c r="DM376" s="52"/>
      <c r="DN376" s="52"/>
      <c r="DO376" s="52"/>
      <c r="DP376" s="52"/>
      <c r="DQ376" s="52"/>
      <c r="DR376" s="52"/>
      <c r="DS376" s="52"/>
      <c r="DT376" s="52"/>
      <c r="DU376" s="52"/>
      <c r="DV376" s="52"/>
      <c r="DW376" s="52"/>
    </row>
    <row r="377">
      <c r="A377" s="41" t="s">
        <v>64</v>
      </c>
      <c r="B377" s="41" t="s">
        <v>56</v>
      </c>
      <c r="C377" s="31" t="s">
        <v>1047</v>
      </c>
      <c r="D377" s="25" t="str">
        <f>IFERROR(__xludf.DUMMYFUNCTION("SPLIT(C377,"" "")"),"McBee,")</f>
        <v>McBee,</v>
      </c>
      <c r="E377" s="40" t="str">
        <f>IFERROR(__xludf.DUMMYFUNCTION("""COMPUTED_VALUE"""),"Lynn
3925")</f>
        <v>Lynn
3925</v>
      </c>
      <c r="F377" s="40" t="str">
        <f>IFERROR(__xludf.DUMMYFUNCTION("""COMPUTED_VALUE"""),"Stonebridge")</f>
        <v>Stonebridge</v>
      </c>
      <c r="G377" s="40" t="str">
        <f>IFERROR(__xludf.DUMMYFUNCTION("""COMPUTED_VALUE"""),"Dr
Dallas,")</f>
        <v>Dr
Dallas,</v>
      </c>
      <c r="H377" s="40" t="str">
        <f>IFERROR(__xludf.DUMMYFUNCTION("""COMPUTED_VALUE"""),"TX")</f>
        <v>TX</v>
      </c>
      <c r="I377" s="40">
        <f>IFERROR(__xludf.DUMMYFUNCTION("""COMPUTED_VALUE"""),75204.0)</f>
        <v>75204</v>
      </c>
      <c r="J377" s="40"/>
      <c r="K377" s="40"/>
      <c r="L377" s="40"/>
      <c r="M377" s="40"/>
      <c r="N377" s="40"/>
      <c r="O377" s="40"/>
      <c r="P377" s="40"/>
      <c r="Q377" s="40"/>
      <c r="R377" s="40"/>
      <c r="S377" s="40"/>
      <c r="T377" s="40"/>
      <c r="U377" s="24" t="str">
        <f>IFERROR(__xludf.DUMMYFUNCTION("SPLIT(E377,""01234567890"")"),"Lynn
")</f>
        <v>Lynn
</v>
      </c>
      <c r="V377" s="24" t="str">
        <f>IFERROR(__xludf.DUMMYFUNCTION("SPLIT(D377,"","")"),"McBee")</f>
        <v>McBee</v>
      </c>
      <c r="W377" s="25" t="str">
        <f t="shared" si="1"/>
        <v>LYNN
 MCBEE</v>
      </c>
      <c r="X377" s="25" t="s">
        <v>1048</v>
      </c>
      <c r="Y377" s="25">
        <v>75204.0</v>
      </c>
      <c r="Z377" s="25" t="str">
        <f>IFERROR(__xludf.DUMMYFUNCTION("SPLIT(C377,""
"")"),"McBee, Lynn")</f>
        <v>McBee, Lynn</v>
      </c>
      <c r="AA377" s="25" t="str">
        <f>IFERROR(__xludf.DUMMYFUNCTION("""COMPUTED_VALUE"""),"3925 Stonebridge Dr")</f>
        <v>3925 Stonebridge Dr</v>
      </c>
      <c r="AB377" s="25" t="str">
        <f>IFERROR(__xludf.DUMMYFUNCTION("""COMPUTED_VALUE"""),"Dallas, TX 75204")</f>
        <v>Dallas, TX 75204</v>
      </c>
      <c r="AC377" s="24" t="s">
        <v>1049</v>
      </c>
      <c r="AD377" s="25"/>
      <c r="AE377" s="25"/>
      <c r="AF377" s="25"/>
      <c r="AG377" s="40" t="s">
        <v>60</v>
      </c>
      <c r="AH377" s="42">
        <v>2437.0</v>
      </c>
      <c r="AI377" s="40" t="s">
        <v>61</v>
      </c>
      <c r="AJ377" s="27">
        <v>500.0</v>
      </c>
      <c r="AK377" s="31" t="s">
        <v>25</v>
      </c>
      <c r="AL377" s="43">
        <v>44720.0</v>
      </c>
      <c r="AM377" s="44">
        <v>44754.83237268519</v>
      </c>
      <c r="AN377" s="30">
        <v>2.0</v>
      </c>
      <c r="AO377" s="40"/>
      <c r="AP377" s="40"/>
      <c r="AQ377" s="40"/>
      <c r="AR377" s="40"/>
      <c r="AS377" s="40"/>
      <c r="AT377" s="47"/>
      <c r="AU377" s="40"/>
      <c r="AV377" s="46" t="str">
        <f>IFERROR(__xludf.DUMMYFUNCTION("""COMPUTED_VALUE"""),"Oakley")</f>
        <v>Oakley</v>
      </c>
      <c r="AW377" s="46">
        <f t="shared" si="7"/>
        <v>250</v>
      </c>
      <c r="AX377" s="47">
        <f t="shared" ref="AX377:BQ377" si="1241">SUMIFS($AJ:$AJ,$V:$V,$AV377,$AK:$AK,AX$2)</f>
        <v>0</v>
      </c>
      <c r="AY377" s="48">
        <f t="shared" si="1241"/>
        <v>0</v>
      </c>
      <c r="AZ377" s="48">
        <f t="shared" si="1241"/>
        <v>0</v>
      </c>
      <c r="BA377" s="48">
        <f t="shared" si="1241"/>
        <v>250</v>
      </c>
      <c r="BB377" s="48">
        <f t="shared" si="1241"/>
        <v>0</v>
      </c>
      <c r="BC377" s="48">
        <f t="shared" si="1241"/>
        <v>0</v>
      </c>
      <c r="BD377" s="48">
        <f t="shared" si="1241"/>
        <v>0</v>
      </c>
      <c r="BE377" s="48">
        <f t="shared" si="1241"/>
        <v>0</v>
      </c>
      <c r="BF377" s="48">
        <f t="shared" si="1241"/>
        <v>0</v>
      </c>
      <c r="BG377" s="48">
        <f t="shared" si="1241"/>
        <v>0</v>
      </c>
      <c r="BH377" s="48">
        <f t="shared" si="1241"/>
        <v>0</v>
      </c>
      <c r="BI377" s="48">
        <f t="shared" si="1241"/>
        <v>0</v>
      </c>
      <c r="BJ377" s="48">
        <f t="shared" si="1241"/>
        <v>0</v>
      </c>
      <c r="BK377" s="48">
        <f t="shared" si="1241"/>
        <v>0</v>
      </c>
      <c r="BL377" s="48">
        <f t="shared" si="1241"/>
        <v>0</v>
      </c>
      <c r="BM377" s="48">
        <f t="shared" si="1241"/>
        <v>0</v>
      </c>
      <c r="BN377" s="48">
        <f t="shared" si="1241"/>
        <v>0</v>
      </c>
      <c r="BO377" s="48">
        <f t="shared" si="1241"/>
        <v>0</v>
      </c>
      <c r="BP377" s="48">
        <f t="shared" si="1241"/>
        <v>0</v>
      </c>
      <c r="BQ377" s="48">
        <f t="shared" si="1241"/>
        <v>0</v>
      </c>
      <c r="BR377" s="36">
        <f t="shared" si="9"/>
        <v>0</v>
      </c>
      <c r="BS377" s="38">
        <f t="shared" si="10"/>
        <v>1</v>
      </c>
      <c r="BT377" s="49">
        <f t="shared" si="11"/>
        <v>0</v>
      </c>
      <c r="BU377" s="38">
        <f t="shared" si="12"/>
        <v>1000</v>
      </c>
      <c r="BV377" s="46" t="str">
        <f>IFERROR(__xludf.DUMMYFUNCTION("""COMPUTED_VALUE"""),"Oakley")</f>
        <v>Oakley</v>
      </c>
      <c r="BW377" s="46">
        <f t="shared" si="13"/>
        <v>250</v>
      </c>
      <c r="BX377" s="47">
        <f t="shared" ref="BX377:CA377" si="1242">AX377-$BU377</f>
        <v>-1000</v>
      </c>
      <c r="BY377" s="47">
        <f t="shared" si="1242"/>
        <v>-1000</v>
      </c>
      <c r="BZ377" s="47">
        <f t="shared" si="1242"/>
        <v>-1000</v>
      </c>
      <c r="CA377" s="47">
        <f t="shared" si="1242"/>
        <v>-750</v>
      </c>
      <c r="CB377" s="47">
        <f t="shared" si="15"/>
        <v>-10000</v>
      </c>
      <c r="CC377" s="47">
        <f t="shared" ref="CC377:CQ377" si="1243">BC377-$BU377</f>
        <v>-1000</v>
      </c>
      <c r="CD377" s="47">
        <f t="shared" si="1243"/>
        <v>-1000</v>
      </c>
      <c r="CE377" s="47">
        <f t="shared" si="1243"/>
        <v>-1000</v>
      </c>
      <c r="CF377" s="47">
        <f t="shared" si="1243"/>
        <v>-1000</v>
      </c>
      <c r="CG377" s="47">
        <f t="shared" si="1243"/>
        <v>-1000</v>
      </c>
      <c r="CH377" s="47">
        <f t="shared" si="1243"/>
        <v>-1000</v>
      </c>
      <c r="CI377" s="47">
        <f t="shared" si="1243"/>
        <v>-1000</v>
      </c>
      <c r="CJ377" s="47">
        <f t="shared" si="1243"/>
        <v>-1000</v>
      </c>
      <c r="CK377" s="47">
        <f t="shared" si="1243"/>
        <v>-1000</v>
      </c>
      <c r="CL377" s="47">
        <f t="shared" si="1243"/>
        <v>-1000</v>
      </c>
      <c r="CM377" s="47">
        <f t="shared" si="1243"/>
        <v>-1000</v>
      </c>
      <c r="CN377" s="47">
        <f t="shared" si="1243"/>
        <v>-1000</v>
      </c>
      <c r="CO377" s="47">
        <f t="shared" si="1243"/>
        <v>-1000</v>
      </c>
      <c r="CP377" s="47">
        <f t="shared" si="1243"/>
        <v>-1000</v>
      </c>
      <c r="CQ377" s="47">
        <f t="shared" si="1243"/>
        <v>-1000</v>
      </c>
      <c r="CR377" s="47"/>
      <c r="CS377" s="47"/>
      <c r="CT377" s="47"/>
      <c r="CU377" s="50" t="str">
        <f>IFERROR(__xludf.DUMMYFUNCTION("""COMPUTED_VALUE"""),"6414 Mimosa Ln.
Dallas, TX 75230          ")</f>
        <v>6414 Mimosa Ln.
Dallas, TX 75230          </v>
      </c>
      <c r="CV377" s="51">
        <f>IFERROR(__xludf.DUMMYFUNCTION("IF(REGEXMATCH(UPPER(CU377), ""TX""),0,1)"),0.0)</f>
        <v>0</v>
      </c>
      <c r="CW377" s="51">
        <f>IFERROR(__xludf.DUMMYFUNCTION("IF(REGEXMATCH(UPPER(CU377), ""DALLAS""),0,1)"),0.0)</f>
        <v>0</v>
      </c>
      <c r="CX377" s="51">
        <f t="shared" si="17"/>
        <v>0</v>
      </c>
      <c r="CY377" s="51">
        <f t="shared" si="18"/>
        <v>0</v>
      </c>
      <c r="CZ377" s="52" t="str">
        <f t="shared" si="19"/>
        <v/>
      </c>
      <c r="DA377" s="58"/>
      <c r="DB377" s="52"/>
      <c r="DC377" s="52"/>
      <c r="DD377" s="52"/>
      <c r="DE377" s="52"/>
      <c r="DF377" s="52"/>
      <c r="DG377" s="52"/>
      <c r="DH377" s="52"/>
      <c r="DI377" s="52"/>
      <c r="DJ377" s="52"/>
      <c r="DK377" s="52"/>
      <c r="DL377" s="52"/>
      <c r="DM377" s="52"/>
      <c r="DN377" s="52"/>
      <c r="DO377" s="52"/>
      <c r="DP377" s="52"/>
      <c r="DQ377" s="52"/>
      <c r="DR377" s="52"/>
      <c r="DS377" s="52"/>
      <c r="DT377" s="52"/>
      <c r="DU377" s="52"/>
      <c r="DV377" s="52"/>
      <c r="DW377" s="52"/>
    </row>
    <row r="378">
      <c r="A378" s="22" t="s">
        <v>55</v>
      </c>
      <c r="B378" s="23" t="s">
        <v>56</v>
      </c>
      <c r="C378" s="31" t="s">
        <v>1050</v>
      </c>
      <c r="D378" s="25" t="str">
        <f>IFERROR(__xludf.DUMMYFUNCTION("SPLIT(C378,"" "")"),"Genender,")</f>
        <v>Genender,</v>
      </c>
      <c r="E378" s="22" t="str">
        <f>IFERROR(__xludf.DUMMYFUNCTION("""COMPUTED_VALUE"""),"Paul
200")</f>
        <v>Paul
200</v>
      </c>
      <c r="F378" s="22" t="str">
        <f>IFERROR(__xludf.DUMMYFUNCTION("""COMPUTED_VALUE"""),"Crescent")</f>
        <v>Crescent</v>
      </c>
      <c r="G378" s="22" t="str">
        <f>IFERROR(__xludf.DUMMYFUNCTION("""COMPUTED_VALUE"""),"Court
Dallas,")</f>
        <v>Court
Dallas,</v>
      </c>
      <c r="H378" s="22" t="str">
        <f>IFERROR(__xludf.DUMMYFUNCTION("""COMPUTED_VALUE"""),"TX")</f>
        <v>TX</v>
      </c>
      <c r="I378" s="22">
        <f>IFERROR(__xludf.DUMMYFUNCTION("""COMPUTED_VALUE"""),75201.0)</f>
        <v>75201</v>
      </c>
      <c r="J378" s="22"/>
      <c r="K378" s="22"/>
      <c r="L378" s="22"/>
      <c r="M378" s="22"/>
      <c r="N378" s="22"/>
      <c r="O378" s="22"/>
      <c r="P378" s="22"/>
      <c r="Q378" s="22"/>
      <c r="R378" s="22"/>
      <c r="S378" s="22"/>
      <c r="T378" s="22"/>
      <c r="U378" s="24" t="str">
        <f>IFERROR(__xludf.DUMMYFUNCTION("SPLIT(E378,""01234567890"")"),"Paul
")</f>
        <v>Paul
</v>
      </c>
      <c r="V378" s="24" t="str">
        <f>IFERROR(__xludf.DUMMYFUNCTION("SPLIT(D378,"","")"),"Genender")</f>
        <v>Genender</v>
      </c>
      <c r="W378" s="25" t="str">
        <f t="shared" si="1"/>
        <v>PAUL
 GENENDER</v>
      </c>
      <c r="X378" s="25" t="s">
        <v>1051</v>
      </c>
      <c r="Y378" s="25">
        <v>75201.0</v>
      </c>
      <c r="Z378" s="25" t="str">
        <f>IFERROR(__xludf.DUMMYFUNCTION("SPLIT(C378,""
"")"),"Genender, Paul")</f>
        <v>Genender, Paul</v>
      </c>
      <c r="AA378" s="25" t="str">
        <f>IFERROR(__xludf.DUMMYFUNCTION("""COMPUTED_VALUE"""),"200 Crescent Court")</f>
        <v>200 Crescent Court</v>
      </c>
      <c r="AB378" s="25" t="str">
        <f>IFERROR(__xludf.DUMMYFUNCTION("""COMPUTED_VALUE"""),"Dallas, TX 75201")</f>
        <v>Dallas, TX 75201</v>
      </c>
      <c r="AC378" s="24" t="s">
        <v>1052</v>
      </c>
      <c r="AD378" s="25"/>
      <c r="AE378" s="25"/>
      <c r="AF378" s="25"/>
      <c r="AG378" s="22" t="s">
        <v>60</v>
      </c>
      <c r="AH378" s="54">
        <v>2437.0</v>
      </c>
      <c r="AI378" s="22" t="s">
        <v>61</v>
      </c>
      <c r="AJ378" s="27">
        <v>250.0</v>
      </c>
      <c r="AK378" s="31" t="s">
        <v>25</v>
      </c>
      <c r="AL378" s="28">
        <v>44719.0</v>
      </c>
      <c r="AM378" s="29">
        <v>44754.83237268519</v>
      </c>
      <c r="AN378" s="30">
        <v>2.0</v>
      </c>
      <c r="AO378" s="22"/>
      <c r="AP378" s="22"/>
      <c r="AQ378" s="22"/>
      <c r="AR378" s="22"/>
      <c r="AS378" s="22"/>
      <c r="AT378" s="70"/>
      <c r="AU378" s="22"/>
      <c r="AV378" s="57" t="str">
        <f>IFERROR(__xludf.DUMMYFUNCTION("""COMPUTED_VALUE"""),"Ehrhardt")</f>
        <v>Ehrhardt</v>
      </c>
      <c r="AW378" s="46">
        <f t="shared" si="7"/>
        <v>100</v>
      </c>
      <c r="AX378" s="47">
        <f t="shared" ref="AX378:BQ378" si="1244">SUMIFS($AJ:$AJ,$V:$V,$AV378,$AK:$AK,AX$2)</f>
        <v>0</v>
      </c>
      <c r="AY378" s="48">
        <f t="shared" si="1244"/>
        <v>0</v>
      </c>
      <c r="AZ378" s="48">
        <f t="shared" si="1244"/>
        <v>0</v>
      </c>
      <c r="BA378" s="48">
        <f t="shared" si="1244"/>
        <v>100</v>
      </c>
      <c r="BB378" s="48">
        <f t="shared" si="1244"/>
        <v>0</v>
      </c>
      <c r="BC378" s="48">
        <f t="shared" si="1244"/>
        <v>0</v>
      </c>
      <c r="BD378" s="48">
        <f t="shared" si="1244"/>
        <v>0</v>
      </c>
      <c r="BE378" s="48">
        <f t="shared" si="1244"/>
        <v>0</v>
      </c>
      <c r="BF378" s="48">
        <f t="shared" si="1244"/>
        <v>0</v>
      </c>
      <c r="BG378" s="48">
        <f t="shared" si="1244"/>
        <v>0</v>
      </c>
      <c r="BH378" s="48">
        <f t="shared" si="1244"/>
        <v>0</v>
      </c>
      <c r="BI378" s="48">
        <f t="shared" si="1244"/>
        <v>0</v>
      </c>
      <c r="BJ378" s="48">
        <f t="shared" si="1244"/>
        <v>0</v>
      </c>
      <c r="BK378" s="48">
        <f t="shared" si="1244"/>
        <v>0</v>
      </c>
      <c r="BL378" s="48">
        <f t="shared" si="1244"/>
        <v>0</v>
      </c>
      <c r="BM378" s="48">
        <f t="shared" si="1244"/>
        <v>0</v>
      </c>
      <c r="BN378" s="48">
        <f t="shared" si="1244"/>
        <v>0</v>
      </c>
      <c r="BO378" s="48">
        <f t="shared" si="1244"/>
        <v>0</v>
      </c>
      <c r="BP378" s="48">
        <f t="shared" si="1244"/>
        <v>0</v>
      </c>
      <c r="BQ378" s="48">
        <f t="shared" si="1244"/>
        <v>0</v>
      </c>
      <c r="BR378" s="36">
        <f t="shared" si="9"/>
        <v>0</v>
      </c>
      <c r="BS378" s="38">
        <f t="shared" si="10"/>
        <v>1</v>
      </c>
      <c r="BT378" s="49">
        <f t="shared" si="11"/>
        <v>0</v>
      </c>
      <c r="BU378" s="38">
        <f t="shared" si="12"/>
        <v>1000</v>
      </c>
      <c r="BV378" s="57" t="str">
        <f>IFERROR(__xludf.DUMMYFUNCTION("""COMPUTED_VALUE"""),"Ehrhardt")</f>
        <v>Ehrhardt</v>
      </c>
      <c r="BW378" s="46">
        <f t="shared" si="13"/>
        <v>100</v>
      </c>
      <c r="BX378" s="47">
        <f t="shared" ref="BX378:CA378" si="1245">AX378-$BU378</f>
        <v>-1000</v>
      </c>
      <c r="BY378" s="47">
        <f t="shared" si="1245"/>
        <v>-1000</v>
      </c>
      <c r="BZ378" s="47">
        <f t="shared" si="1245"/>
        <v>-1000</v>
      </c>
      <c r="CA378" s="47">
        <f t="shared" si="1245"/>
        <v>-900</v>
      </c>
      <c r="CB378" s="47">
        <f t="shared" si="15"/>
        <v>-10000</v>
      </c>
      <c r="CC378" s="47">
        <f t="shared" ref="CC378:CQ378" si="1246">BC378-$BU378</f>
        <v>-1000</v>
      </c>
      <c r="CD378" s="47">
        <f t="shared" si="1246"/>
        <v>-1000</v>
      </c>
      <c r="CE378" s="47">
        <f t="shared" si="1246"/>
        <v>-1000</v>
      </c>
      <c r="CF378" s="47">
        <f t="shared" si="1246"/>
        <v>-1000</v>
      </c>
      <c r="CG378" s="47">
        <f t="shared" si="1246"/>
        <v>-1000</v>
      </c>
      <c r="CH378" s="47">
        <f t="shared" si="1246"/>
        <v>-1000</v>
      </c>
      <c r="CI378" s="47">
        <f t="shared" si="1246"/>
        <v>-1000</v>
      </c>
      <c r="CJ378" s="47">
        <f t="shared" si="1246"/>
        <v>-1000</v>
      </c>
      <c r="CK378" s="47">
        <f t="shared" si="1246"/>
        <v>-1000</v>
      </c>
      <c r="CL378" s="47">
        <f t="shared" si="1246"/>
        <v>-1000</v>
      </c>
      <c r="CM378" s="47">
        <f t="shared" si="1246"/>
        <v>-1000</v>
      </c>
      <c r="CN378" s="47">
        <f t="shared" si="1246"/>
        <v>-1000</v>
      </c>
      <c r="CO378" s="47">
        <f t="shared" si="1246"/>
        <v>-1000</v>
      </c>
      <c r="CP378" s="47">
        <f t="shared" si="1246"/>
        <v>-1000</v>
      </c>
      <c r="CQ378" s="47">
        <f t="shared" si="1246"/>
        <v>-1000</v>
      </c>
      <c r="CR378" s="47"/>
      <c r="CS378" s="47"/>
      <c r="CT378" s="47"/>
      <c r="CU378" s="50" t="str">
        <f>IFERROR(__xludf.DUMMYFUNCTION("""COMPUTED_VALUE"""),"josh and Jodi
4526 Forest Bend Road
Dallas, TX 75244       ")</f>
        <v>josh and Jodi
4526 Forest Bend Road
Dallas, TX 75244       </v>
      </c>
      <c r="CV378" s="51">
        <f>IFERROR(__xludf.DUMMYFUNCTION("IF(REGEXMATCH(UPPER(CU378), ""TX""),0,1)"),0.0)</f>
        <v>0</v>
      </c>
      <c r="CW378" s="51">
        <f>IFERROR(__xludf.DUMMYFUNCTION("IF(REGEXMATCH(UPPER(CU378), ""DALLAS""),0,1)"),0.0)</f>
        <v>0</v>
      </c>
      <c r="CX378" s="51">
        <f t="shared" si="17"/>
        <v>0</v>
      </c>
      <c r="CY378" s="51">
        <f t="shared" si="18"/>
        <v>0</v>
      </c>
      <c r="CZ378" s="52" t="str">
        <f t="shared" si="19"/>
        <v/>
      </c>
      <c r="DA378" s="58"/>
      <c r="DB378" s="52"/>
      <c r="DC378" s="52"/>
      <c r="DD378" s="52"/>
      <c r="DE378" s="52"/>
      <c r="DF378" s="52"/>
      <c r="DG378" s="52"/>
      <c r="DH378" s="52"/>
      <c r="DI378" s="52"/>
      <c r="DJ378" s="52"/>
      <c r="DK378" s="52"/>
      <c r="DL378" s="52"/>
      <c r="DM378" s="52"/>
      <c r="DN378" s="52"/>
      <c r="DO378" s="52"/>
      <c r="DP378" s="52"/>
      <c r="DQ378" s="52"/>
      <c r="DR378" s="52"/>
      <c r="DS378" s="52"/>
      <c r="DT378" s="52"/>
      <c r="DU378" s="52"/>
      <c r="DV378" s="52"/>
      <c r="DW378" s="52"/>
    </row>
    <row r="379">
      <c r="A379" s="41" t="s">
        <v>64</v>
      </c>
      <c r="B379" s="41" t="s">
        <v>56</v>
      </c>
      <c r="C379" s="31" t="s">
        <v>1053</v>
      </c>
      <c r="D379" s="25" t="str">
        <f>IFERROR(__xludf.DUMMYFUNCTION("SPLIT(C379,"" "")"),"Booker,")</f>
        <v>Booker,</v>
      </c>
      <c r="E379" s="40" t="str">
        <f>IFERROR(__xludf.DUMMYFUNCTION("""COMPUTED_VALUE"""),"Sherese
PO")</f>
        <v>Sherese
PO</v>
      </c>
      <c r="F379" s="40" t="str">
        <f>IFERROR(__xludf.DUMMYFUNCTION("""COMPUTED_VALUE"""),"Box")</f>
        <v>Box</v>
      </c>
      <c r="G379" s="40" t="str">
        <f>IFERROR(__xludf.DUMMYFUNCTION("""COMPUTED_VALUE"""),"210641
Dallas,")</f>
        <v>210641
Dallas,</v>
      </c>
      <c r="H379" s="40" t="str">
        <f>IFERROR(__xludf.DUMMYFUNCTION("""COMPUTED_VALUE"""),"TX")</f>
        <v>TX</v>
      </c>
      <c r="I379" s="40">
        <f>IFERROR(__xludf.DUMMYFUNCTION("""COMPUTED_VALUE"""),75211.0)</f>
        <v>75211</v>
      </c>
      <c r="J379" s="40"/>
      <c r="K379" s="40"/>
      <c r="L379" s="40"/>
      <c r="M379" s="40"/>
      <c r="N379" s="40"/>
      <c r="O379" s="40"/>
      <c r="P379" s="40"/>
      <c r="Q379" s="40"/>
      <c r="R379" s="40"/>
      <c r="S379" s="40"/>
      <c r="T379" s="40"/>
      <c r="U379" s="24" t="str">
        <f>IFERROR(__xludf.DUMMYFUNCTION("SPLIT(E379,""01234567890"")"),"Sherese
PO")</f>
        <v>Sherese
PO</v>
      </c>
      <c r="V379" s="24" t="str">
        <f>IFERROR(__xludf.DUMMYFUNCTION("SPLIT(D379,"","")"),"Booker")</f>
        <v>Booker</v>
      </c>
      <c r="W379" s="25" t="str">
        <f t="shared" si="1"/>
        <v>SHERESE
PO BOOKER</v>
      </c>
      <c r="X379" s="25" t="s">
        <v>1054</v>
      </c>
      <c r="Y379" s="25">
        <v>75211.0</v>
      </c>
      <c r="Z379" s="25" t="str">
        <f>IFERROR(__xludf.DUMMYFUNCTION("SPLIT(C379,""
"")"),"Booker, Sherese")</f>
        <v>Booker, Sherese</v>
      </c>
      <c r="AA379" s="25" t="str">
        <f>IFERROR(__xludf.DUMMYFUNCTION("""COMPUTED_VALUE"""),"PO Box 210641")</f>
        <v>PO Box 210641</v>
      </c>
      <c r="AB379" s="25" t="str">
        <f>IFERROR(__xludf.DUMMYFUNCTION("""COMPUTED_VALUE"""),"Dallas, TX 75211")</f>
        <v>Dallas, TX 75211</v>
      </c>
      <c r="AC379" s="24" t="s">
        <v>1055</v>
      </c>
      <c r="AD379" s="25"/>
      <c r="AE379" s="25"/>
      <c r="AF379" s="25"/>
      <c r="AG379" s="40" t="s">
        <v>60</v>
      </c>
      <c r="AH379" s="42">
        <v>2437.0</v>
      </c>
      <c r="AI379" s="40" t="s">
        <v>61</v>
      </c>
      <c r="AJ379" s="27">
        <v>10.0</v>
      </c>
      <c r="AK379" s="31" t="s">
        <v>25</v>
      </c>
      <c r="AL379" s="43">
        <v>44719.0</v>
      </c>
      <c r="AM379" s="44">
        <v>44754.83237268519</v>
      </c>
      <c r="AN379" s="30">
        <v>2.0</v>
      </c>
      <c r="AO379" s="40"/>
      <c r="AP379" s="40"/>
      <c r="AQ379" s="40"/>
      <c r="AR379" s="40"/>
      <c r="AS379" s="40"/>
      <c r="AT379" s="47"/>
      <c r="AU379" s="40"/>
      <c r="AV379" s="46" t="str">
        <f>IFERROR(__xludf.DUMMYFUNCTION("""COMPUTED_VALUE"""),"Ramos")</f>
        <v>Ramos</v>
      </c>
      <c r="AW379" s="46">
        <f t="shared" si="7"/>
        <v>350</v>
      </c>
      <c r="AX379" s="47">
        <f t="shared" ref="AX379:BQ379" si="1247">SUMIFS($AJ:$AJ,$V:$V,$AV379,$AK:$AK,AX$2)</f>
        <v>0</v>
      </c>
      <c r="AY379" s="48">
        <f t="shared" si="1247"/>
        <v>0</v>
      </c>
      <c r="AZ379" s="48">
        <f t="shared" si="1247"/>
        <v>0</v>
      </c>
      <c r="BA379" s="48">
        <f t="shared" si="1247"/>
        <v>250</v>
      </c>
      <c r="BB379" s="48">
        <f t="shared" si="1247"/>
        <v>0</v>
      </c>
      <c r="BC379" s="48">
        <f t="shared" si="1247"/>
        <v>0</v>
      </c>
      <c r="BD379" s="48">
        <f t="shared" si="1247"/>
        <v>0</v>
      </c>
      <c r="BE379" s="48">
        <f t="shared" si="1247"/>
        <v>0</v>
      </c>
      <c r="BF379" s="48">
        <f t="shared" si="1247"/>
        <v>0</v>
      </c>
      <c r="BG379" s="48">
        <f t="shared" si="1247"/>
        <v>0</v>
      </c>
      <c r="BH379" s="48">
        <f t="shared" si="1247"/>
        <v>0</v>
      </c>
      <c r="BI379" s="48">
        <f t="shared" si="1247"/>
        <v>0</v>
      </c>
      <c r="BJ379" s="48">
        <f t="shared" si="1247"/>
        <v>100</v>
      </c>
      <c r="BK379" s="48">
        <f t="shared" si="1247"/>
        <v>0</v>
      </c>
      <c r="BL379" s="48">
        <f t="shared" si="1247"/>
        <v>0</v>
      </c>
      <c r="BM379" s="48">
        <f t="shared" si="1247"/>
        <v>0</v>
      </c>
      <c r="BN379" s="48">
        <f t="shared" si="1247"/>
        <v>0</v>
      </c>
      <c r="BO379" s="48">
        <f t="shared" si="1247"/>
        <v>0</v>
      </c>
      <c r="BP379" s="48">
        <f t="shared" si="1247"/>
        <v>0</v>
      </c>
      <c r="BQ379" s="48">
        <f t="shared" si="1247"/>
        <v>0</v>
      </c>
      <c r="BR379" s="36">
        <f t="shared" si="9"/>
        <v>0</v>
      </c>
      <c r="BS379" s="38">
        <f t="shared" si="10"/>
        <v>1</v>
      </c>
      <c r="BT379" s="49">
        <f t="shared" si="11"/>
        <v>0</v>
      </c>
      <c r="BU379" s="38">
        <f t="shared" si="12"/>
        <v>1000</v>
      </c>
      <c r="BV379" s="46" t="str">
        <f>IFERROR(__xludf.DUMMYFUNCTION("""COMPUTED_VALUE"""),"Ramos")</f>
        <v>Ramos</v>
      </c>
      <c r="BW379" s="46">
        <f t="shared" si="13"/>
        <v>350</v>
      </c>
      <c r="BX379" s="47">
        <f t="shared" ref="BX379:CA379" si="1248">AX379-$BU379</f>
        <v>-1000</v>
      </c>
      <c r="BY379" s="47">
        <f t="shared" si="1248"/>
        <v>-1000</v>
      </c>
      <c r="BZ379" s="47">
        <f t="shared" si="1248"/>
        <v>-1000</v>
      </c>
      <c r="CA379" s="47">
        <f t="shared" si="1248"/>
        <v>-750</v>
      </c>
      <c r="CB379" s="47">
        <f t="shared" si="15"/>
        <v>-10000</v>
      </c>
      <c r="CC379" s="47">
        <f t="shared" ref="CC379:CQ379" si="1249">BC379-$BU379</f>
        <v>-1000</v>
      </c>
      <c r="CD379" s="47">
        <f t="shared" si="1249"/>
        <v>-1000</v>
      </c>
      <c r="CE379" s="47">
        <f t="shared" si="1249"/>
        <v>-1000</v>
      </c>
      <c r="CF379" s="47">
        <f t="shared" si="1249"/>
        <v>-1000</v>
      </c>
      <c r="CG379" s="47">
        <f t="shared" si="1249"/>
        <v>-1000</v>
      </c>
      <c r="CH379" s="47">
        <f t="shared" si="1249"/>
        <v>-1000</v>
      </c>
      <c r="CI379" s="47">
        <f t="shared" si="1249"/>
        <v>-1000</v>
      </c>
      <c r="CJ379" s="47">
        <f t="shared" si="1249"/>
        <v>-900</v>
      </c>
      <c r="CK379" s="47">
        <f t="shared" si="1249"/>
        <v>-1000</v>
      </c>
      <c r="CL379" s="47">
        <f t="shared" si="1249"/>
        <v>-1000</v>
      </c>
      <c r="CM379" s="47">
        <f t="shared" si="1249"/>
        <v>-1000</v>
      </c>
      <c r="CN379" s="47">
        <f t="shared" si="1249"/>
        <v>-1000</v>
      </c>
      <c r="CO379" s="47">
        <f t="shared" si="1249"/>
        <v>-1000</v>
      </c>
      <c r="CP379" s="47">
        <f t="shared" si="1249"/>
        <v>-1000</v>
      </c>
      <c r="CQ379" s="47">
        <f t="shared" si="1249"/>
        <v>-1000</v>
      </c>
      <c r="CR379" s="47"/>
      <c r="CS379" s="47"/>
      <c r="CT379" s="47"/>
      <c r="CU379" s="50" t="str">
        <f>IFERROR(__xludf.DUMMYFUNCTION("""COMPUTED_VALUE"""),"4411 Williamsburg Road
Dallas, TX 75220          ")</f>
        <v>4411 Williamsburg Road
Dallas, TX 75220          </v>
      </c>
      <c r="CV379" s="51">
        <f>IFERROR(__xludf.DUMMYFUNCTION("IF(REGEXMATCH(UPPER(CU379), ""TX""),0,1)"),0.0)</f>
        <v>0</v>
      </c>
      <c r="CW379" s="51">
        <f>IFERROR(__xludf.DUMMYFUNCTION("IF(REGEXMATCH(UPPER(CU379), ""DALLAS""),0,1)"),0.0)</f>
        <v>0</v>
      </c>
      <c r="CX379" s="51">
        <f t="shared" si="17"/>
        <v>0</v>
      </c>
      <c r="CY379" s="51">
        <f t="shared" si="18"/>
        <v>0</v>
      </c>
      <c r="CZ379" s="52" t="str">
        <f t="shared" si="19"/>
        <v/>
      </c>
      <c r="DA379" s="58"/>
      <c r="DB379" s="52"/>
      <c r="DC379" s="52"/>
      <c r="DD379" s="52"/>
      <c r="DE379" s="52"/>
      <c r="DF379" s="52"/>
      <c r="DG379" s="52"/>
      <c r="DH379" s="52"/>
      <c r="DI379" s="52"/>
      <c r="DJ379" s="52"/>
      <c r="DK379" s="52"/>
      <c r="DL379" s="52"/>
      <c r="DM379" s="52"/>
      <c r="DN379" s="52"/>
      <c r="DO379" s="52"/>
      <c r="DP379" s="52"/>
      <c r="DQ379" s="52"/>
      <c r="DR379" s="52"/>
      <c r="DS379" s="52"/>
      <c r="DT379" s="52"/>
      <c r="DU379" s="52"/>
      <c r="DV379" s="52"/>
      <c r="DW379" s="52"/>
    </row>
    <row r="380">
      <c r="A380" s="22" t="s">
        <v>55</v>
      </c>
      <c r="B380" s="23" t="s">
        <v>56</v>
      </c>
      <c r="C380" s="31" t="s">
        <v>1056</v>
      </c>
      <c r="D380" s="25" t="str">
        <f>IFERROR(__xludf.DUMMYFUNCTION("SPLIT(C380,"" "")"),"McClinton,")</f>
        <v>McClinton,</v>
      </c>
      <c r="E380" s="22" t="str">
        <f>IFERROR(__xludf.DUMMYFUNCTION("""COMPUTED_VALUE"""),"Marguerite
354")</f>
        <v>Marguerite
354</v>
      </c>
      <c r="F380" s="22" t="str">
        <f>IFERROR(__xludf.DUMMYFUNCTION("""COMPUTED_VALUE"""),"Matlock")</f>
        <v>Matlock</v>
      </c>
      <c r="G380" s="22" t="str">
        <f>IFERROR(__xludf.DUMMYFUNCTION("""COMPUTED_VALUE"""),"Road
Mansfield,")</f>
        <v>Road
Mansfield,</v>
      </c>
      <c r="H380" s="22" t="str">
        <f>IFERROR(__xludf.DUMMYFUNCTION("""COMPUTED_VALUE"""),"TX")</f>
        <v>TX</v>
      </c>
      <c r="I380" s="22">
        <f>IFERROR(__xludf.DUMMYFUNCTION("""COMPUTED_VALUE"""),76063.0)</f>
        <v>76063</v>
      </c>
      <c r="J380" s="22"/>
      <c r="K380" s="22"/>
      <c r="L380" s="22"/>
      <c r="M380" s="22"/>
      <c r="N380" s="22"/>
      <c r="O380" s="22"/>
      <c r="P380" s="22"/>
      <c r="Q380" s="22"/>
      <c r="R380" s="22"/>
      <c r="S380" s="22"/>
      <c r="T380" s="22"/>
      <c r="U380" s="24" t="str">
        <f>IFERROR(__xludf.DUMMYFUNCTION("SPLIT(E380,""01234567890"")"),"Marguerite
")</f>
        <v>Marguerite
</v>
      </c>
      <c r="V380" s="24" t="str">
        <f>IFERROR(__xludf.DUMMYFUNCTION("SPLIT(D380,"","")"),"McClinton")</f>
        <v>McClinton</v>
      </c>
      <c r="W380" s="25" t="str">
        <f t="shared" si="1"/>
        <v>MARGUERITE
 MCCLINTON</v>
      </c>
      <c r="X380" s="25" t="s">
        <v>1057</v>
      </c>
      <c r="Y380" s="25">
        <v>76063.0</v>
      </c>
      <c r="Z380" s="25" t="str">
        <f>IFERROR(__xludf.DUMMYFUNCTION("SPLIT(C380,""
"")"),"McClinton, Marguerite")</f>
        <v>McClinton, Marguerite</v>
      </c>
      <c r="AA380" s="25" t="str">
        <f>IFERROR(__xludf.DUMMYFUNCTION("""COMPUTED_VALUE"""),"354 Matlock Road")</f>
        <v>354 Matlock Road</v>
      </c>
      <c r="AB380" s="25" t="str">
        <f>IFERROR(__xludf.DUMMYFUNCTION("""COMPUTED_VALUE"""),"Mansfield, TX 76063")</f>
        <v>Mansfield, TX 76063</v>
      </c>
      <c r="AC380" s="24" t="s">
        <v>1058</v>
      </c>
      <c r="AD380" s="25"/>
      <c r="AE380" s="25"/>
      <c r="AF380" s="25"/>
      <c r="AG380" s="22" t="s">
        <v>60</v>
      </c>
      <c r="AH380" s="54">
        <v>2437.0</v>
      </c>
      <c r="AI380" s="22" t="s">
        <v>61</v>
      </c>
      <c r="AJ380" s="27">
        <v>50.0</v>
      </c>
      <c r="AK380" s="31" t="s">
        <v>25</v>
      </c>
      <c r="AL380" s="28">
        <v>44719.0</v>
      </c>
      <c r="AM380" s="29">
        <v>44754.83237268519</v>
      </c>
      <c r="AN380" s="30">
        <v>2.0</v>
      </c>
      <c r="AO380" s="22"/>
      <c r="AP380" s="22"/>
      <c r="AQ380" s="22"/>
      <c r="AR380" s="22"/>
      <c r="AS380" s="22"/>
      <c r="AT380" s="70"/>
      <c r="AU380" s="22"/>
      <c r="AV380" s="57" t="str">
        <f>IFERROR(__xludf.DUMMYFUNCTION("""COMPUTED_VALUE"""),"Saucedo")</f>
        <v>Saucedo</v>
      </c>
      <c r="AW380" s="46">
        <f t="shared" si="7"/>
        <v>100</v>
      </c>
      <c r="AX380" s="47">
        <f t="shared" ref="AX380:BQ380" si="1250">SUMIFS($AJ:$AJ,$V:$V,$AV380,$AK:$AK,AX$2)</f>
        <v>0</v>
      </c>
      <c r="AY380" s="48">
        <f t="shared" si="1250"/>
        <v>0</v>
      </c>
      <c r="AZ380" s="48">
        <f t="shared" si="1250"/>
        <v>0</v>
      </c>
      <c r="BA380" s="48">
        <f t="shared" si="1250"/>
        <v>100</v>
      </c>
      <c r="BB380" s="48">
        <f t="shared" si="1250"/>
        <v>0</v>
      </c>
      <c r="BC380" s="48">
        <f t="shared" si="1250"/>
        <v>0</v>
      </c>
      <c r="BD380" s="48">
        <f t="shared" si="1250"/>
        <v>0</v>
      </c>
      <c r="BE380" s="48">
        <f t="shared" si="1250"/>
        <v>0</v>
      </c>
      <c r="BF380" s="48">
        <f t="shared" si="1250"/>
        <v>0</v>
      </c>
      <c r="BG380" s="48">
        <f t="shared" si="1250"/>
        <v>0</v>
      </c>
      <c r="BH380" s="48">
        <f t="shared" si="1250"/>
        <v>0</v>
      </c>
      <c r="BI380" s="48">
        <f t="shared" si="1250"/>
        <v>0</v>
      </c>
      <c r="BJ380" s="48">
        <f t="shared" si="1250"/>
        <v>0</v>
      </c>
      <c r="BK380" s="48">
        <f t="shared" si="1250"/>
        <v>0</v>
      </c>
      <c r="BL380" s="48">
        <f t="shared" si="1250"/>
        <v>0</v>
      </c>
      <c r="BM380" s="48">
        <f t="shared" si="1250"/>
        <v>0</v>
      </c>
      <c r="BN380" s="48">
        <f t="shared" si="1250"/>
        <v>0</v>
      </c>
      <c r="BO380" s="48">
        <f t="shared" si="1250"/>
        <v>0</v>
      </c>
      <c r="BP380" s="48">
        <f t="shared" si="1250"/>
        <v>0</v>
      </c>
      <c r="BQ380" s="48">
        <f t="shared" si="1250"/>
        <v>0</v>
      </c>
      <c r="BR380" s="36">
        <f t="shared" si="9"/>
        <v>0</v>
      </c>
      <c r="BS380" s="38">
        <f t="shared" si="10"/>
        <v>1</v>
      </c>
      <c r="BT380" s="49">
        <f t="shared" si="11"/>
        <v>0</v>
      </c>
      <c r="BU380" s="38">
        <f t="shared" si="12"/>
        <v>1000</v>
      </c>
      <c r="BV380" s="57" t="str">
        <f>IFERROR(__xludf.DUMMYFUNCTION("""COMPUTED_VALUE"""),"Saucedo")</f>
        <v>Saucedo</v>
      </c>
      <c r="BW380" s="46">
        <f t="shared" si="13"/>
        <v>100</v>
      </c>
      <c r="BX380" s="47">
        <f t="shared" ref="BX380:CA380" si="1251">AX380-$BU380</f>
        <v>-1000</v>
      </c>
      <c r="BY380" s="47">
        <f t="shared" si="1251"/>
        <v>-1000</v>
      </c>
      <c r="BZ380" s="47">
        <f t="shared" si="1251"/>
        <v>-1000</v>
      </c>
      <c r="CA380" s="47">
        <f t="shared" si="1251"/>
        <v>-900</v>
      </c>
      <c r="CB380" s="47">
        <f t="shared" si="15"/>
        <v>-10000</v>
      </c>
      <c r="CC380" s="47">
        <f t="shared" ref="CC380:CQ380" si="1252">BC380-$BU380</f>
        <v>-1000</v>
      </c>
      <c r="CD380" s="47">
        <f t="shared" si="1252"/>
        <v>-1000</v>
      </c>
      <c r="CE380" s="47">
        <f t="shared" si="1252"/>
        <v>-1000</v>
      </c>
      <c r="CF380" s="47">
        <f t="shared" si="1252"/>
        <v>-1000</v>
      </c>
      <c r="CG380" s="47">
        <f t="shared" si="1252"/>
        <v>-1000</v>
      </c>
      <c r="CH380" s="47">
        <f t="shared" si="1252"/>
        <v>-1000</v>
      </c>
      <c r="CI380" s="47">
        <f t="shared" si="1252"/>
        <v>-1000</v>
      </c>
      <c r="CJ380" s="47">
        <f t="shared" si="1252"/>
        <v>-1000</v>
      </c>
      <c r="CK380" s="47">
        <f t="shared" si="1252"/>
        <v>-1000</v>
      </c>
      <c r="CL380" s="47">
        <f t="shared" si="1252"/>
        <v>-1000</v>
      </c>
      <c r="CM380" s="47">
        <f t="shared" si="1252"/>
        <v>-1000</v>
      </c>
      <c r="CN380" s="47">
        <f t="shared" si="1252"/>
        <v>-1000</v>
      </c>
      <c r="CO380" s="47">
        <f t="shared" si="1252"/>
        <v>-1000</v>
      </c>
      <c r="CP380" s="47">
        <f t="shared" si="1252"/>
        <v>-1000</v>
      </c>
      <c r="CQ380" s="47">
        <f t="shared" si="1252"/>
        <v>-1000</v>
      </c>
      <c r="CR380" s="47"/>
      <c r="CS380" s="47"/>
      <c r="CT380" s="47"/>
      <c r="CU380" s="50" t="str">
        <f>IFERROR(__xludf.DUMMYFUNCTION("""COMPUTED_VALUE"""),"4803 Shadywood Lane
Dallas, TX 75209          ")</f>
        <v>4803 Shadywood Lane
Dallas, TX 75209          </v>
      </c>
      <c r="CV380" s="51">
        <f>IFERROR(__xludf.DUMMYFUNCTION("IF(REGEXMATCH(UPPER(CU380), ""TX""),0,1)"),0.0)</f>
        <v>0</v>
      </c>
      <c r="CW380" s="51">
        <f>IFERROR(__xludf.DUMMYFUNCTION("IF(REGEXMATCH(UPPER(CU380), ""DALLAS""),0,1)"),0.0)</f>
        <v>0</v>
      </c>
      <c r="CX380" s="51">
        <f t="shared" si="17"/>
        <v>0</v>
      </c>
      <c r="CY380" s="51">
        <f t="shared" si="18"/>
        <v>0</v>
      </c>
      <c r="CZ380" s="52" t="str">
        <f t="shared" si="19"/>
        <v/>
      </c>
      <c r="DA380" s="58"/>
      <c r="DB380" s="52"/>
      <c r="DC380" s="52"/>
      <c r="DD380" s="52"/>
      <c r="DE380" s="52"/>
      <c r="DF380" s="52"/>
      <c r="DG380" s="52"/>
      <c r="DH380" s="52"/>
      <c r="DI380" s="52"/>
      <c r="DJ380" s="52"/>
      <c r="DK380" s="52"/>
      <c r="DL380" s="52"/>
      <c r="DM380" s="52"/>
      <c r="DN380" s="52"/>
      <c r="DO380" s="52"/>
      <c r="DP380" s="52"/>
      <c r="DQ380" s="52"/>
      <c r="DR380" s="52"/>
      <c r="DS380" s="52"/>
      <c r="DT380" s="52"/>
      <c r="DU380" s="52"/>
      <c r="DV380" s="52"/>
      <c r="DW380" s="52"/>
    </row>
    <row r="381">
      <c r="A381" s="41" t="s">
        <v>64</v>
      </c>
      <c r="B381" s="41" t="s">
        <v>56</v>
      </c>
      <c r="C381" s="31" t="s">
        <v>1059</v>
      </c>
      <c r="D381" s="25" t="str">
        <f>IFERROR(__xludf.DUMMYFUNCTION("SPLIT(C381,"" "")"),"Heiskell,")</f>
        <v>Heiskell,</v>
      </c>
      <c r="E381" s="40" t="str">
        <f>IFERROR(__xludf.DUMMYFUNCTION("""COMPUTED_VALUE"""),"Michael
5601")</f>
        <v>Michael
5601</v>
      </c>
      <c r="F381" s="40" t="str">
        <f>IFERROR(__xludf.DUMMYFUNCTION("""COMPUTED_VALUE"""),"Bridge")</f>
        <v>Bridge</v>
      </c>
      <c r="G381" s="40" t="str">
        <f>IFERROR(__xludf.DUMMYFUNCTION("""COMPUTED_VALUE"""),"Street
Fort")</f>
        <v>Street
Fort</v>
      </c>
      <c r="H381" s="40" t="str">
        <f>IFERROR(__xludf.DUMMYFUNCTION("""COMPUTED_VALUE"""),"Worth,")</f>
        <v>Worth,</v>
      </c>
      <c r="I381" s="40" t="str">
        <f>IFERROR(__xludf.DUMMYFUNCTION("""COMPUTED_VALUE"""),"TX")</f>
        <v>TX</v>
      </c>
      <c r="J381" s="40">
        <f>IFERROR(__xludf.DUMMYFUNCTION("""COMPUTED_VALUE"""),76112.0)</f>
        <v>76112</v>
      </c>
      <c r="K381" s="40"/>
      <c r="L381" s="40"/>
      <c r="M381" s="40"/>
      <c r="N381" s="40"/>
      <c r="O381" s="40"/>
      <c r="P381" s="40"/>
      <c r="Q381" s="40"/>
      <c r="R381" s="40"/>
      <c r="S381" s="40"/>
      <c r="T381" s="40"/>
      <c r="U381" s="24" t="str">
        <f>IFERROR(__xludf.DUMMYFUNCTION("SPLIT(E381,""01234567890"")"),"Michael
")</f>
        <v>Michael
</v>
      </c>
      <c r="V381" s="24" t="str">
        <f>IFERROR(__xludf.DUMMYFUNCTION("SPLIT(D381,"","")"),"Heiskell")</f>
        <v>Heiskell</v>
      </c>
      <c r="W381" s="25" t="str">
        <f t="shared" si="1"/>
        <v>MICHAEL
 HEISKELL</v>
      </c>
      <c r="X381" s="25" t="s">
        <v>1060</v>
      </c>
      <c r="Y381" s="25">
        <v>76112.0</v>
      </c>
      <c r="Z381" s="25" t="str">
        <f>IFERROR(__xludf.DUMMYFUNCTION("SPLIT(C381,""
"")"),"Heiskell, Michael")</f>
        <v>Heiskell, Michael</v>
      </c>
      <c r="AA381" s="25" t="str">
        <f>IFERROR(__xludf.DUMMYFUNCTION("""COMPUTED_VALUE"""),"5601 Bridge Street")</f>
        <v>5601 Bridge Street</v>
      </c>
      <c r="AB381" s="25" t="str">
        <f>IFERROR(__xludf.DUMMYFUNCTION("""COMPUTED_VALUE"""),"Fort Worth, TX 76112")</f>
        <v>Fort Worth, TX 76112</v>
      </c>
      <c r="AC381" s="24" t="s">
        <v>1061</v>
      </c>
      <c r="AD381" s="25"/>
      <c r="AE381" s="25"/>
      <c r="AF381" s="25"/>
      <c r="AG381" s="40" t="s">
        <v>60</v>
      </c>
      <c r="AH381" s="42">
        <v>2437.0</v>
      </c>
      <c r="AI381" s="40" t="s">
        <v>61</v>
      </c>
      <c r="AJ381" s="27">
        <v>500.0</v>
      </c>
      <c r="AK381" s="31" t="s">
        <v>25</v>
      </c>
      <c r="AL381" s="43">
        <v>44719.0</v>
      </c>
      <c r="AM381" s="44">
        <v>44754.83237268519</v>
      </c>
      <c r="AN381" s="30">
        <v>2.0</v>
      </c>
      <c r="AO381" s="40"/>
      <c r="AP381" s="40"/>
      <c r="AQ381" s="40"/>
      <c r="AR381" s="40"/>
      <c r="AS381" s="40"/>
      <c r="AT381" s="47"/>
      <c r="AU381" s="40"/>
      <c r="AV381" s="46" t="str">
        <f>IFERROR(__xludf.DUMMYFUNCTION("""COMPUTED_VALUE"""),"Vandiver")</f>
        <v>Vandiver</v>
      </c>
      <c r="AW381" s="46">
        <f t="shared" si="7"/>
        <v>450</v>
      </c>
      <c r="AX381" s="47">
        <f t="shared" ref="AX381:BQ381" si="1253">SUMIFS($AJ:$AJ,$V:$V,$AV381,$AK:$AK,AX$2)</f>
        <v>0</v>
      </c>
      <c r="AY381" s="48">
        <f t="shared" si="1253"/>
        <v>0</v>
      </c>
      <c r="AZ381" s="48">
        <f t="shared" si="1253"/>
        <v>0</v>
      </c>
      <c r="BA381" s="48">
        <f t="shared" si="1253"/>
        <v>450</v>
      </c>
      <c r="BB381" s="48">
        <f t="shared" si="1253"/>
        <v>0</v>
      </c>
      <c r="BC381" s="48">
        <f t="shared" si="1253"/>
        <v>0</v>
      </c>
      <c r="BD381" s="48">
        <f t="shared" si="1253"/>
        <v>0</v>
      </c>
      <c r="BE381" s="48">
        <f t="shared" si="1253"/>
        <v>0</v>
      </c>
      <c r="BF381" s="48">
        <f t="shared" si="1253"/>
        <v>0</v>
      </c>
      <c r="BG381" s="48">
        <f t="shared" si="1253"/>
        <v>0</v>
      </c>
      <c r="BH381" s="48">
        <f t="shared" si="1253"/>
        <v>0</v>
      </c>
      <c r="BI381" s="48">
        <f t="shared" si="1253"/>
        <v>0</v>
      </c>
      <c r="BJ381" s="48">
        <f t="shared" si="1253"/>
        <v>0</v>
      </c>
      <c r="BK381" s="48">
        <f t="shared" si="1253"/>
        <v>0</v>
      </c>
      <c r="BL381" s="48">
        <f t="shared" si="1253"/>
        <v>0</v>
      </c>
      <c r="BM381" s="48">
        <f t="shared" si="1253"/>
        <v>0</v>
      </c>
      <c r="BN381" s="48">
        <f t="shared" si="1253"/>
        <v>0</v>
      </c>
      <c r="BO381" s="48">
        <f t="shared" si="1253"/>
        <v>0</v>
      </c>
      <c r="BP381" s="48">
        <f t="shared" si="1253"/>
        <v>0</v>
      </c>
      <c r="BQ381" s="48">
        <f t="shared" si="1253"/>
        <v>0</v>
      </c>
      <c r="BR381" s="36">
        <f t="shared" si="9"/>
        <v>1</v>
      </c>
      <c r="BS381" s="38">
        <f t="shared" si="10"/>
        <v>2</v>
      </c>
      <c r="BT381" s="49">
        <f t="shared" si="11"/>
        <v>0</v>
      </c>
      <c r="BU381" s="38">
        <f t="shared" si="12"/>
        <v>2000</v>
      </c>
      <c r="BV381" s="46" t="str">
        <f>IFERROR(__xludf.DUMMYFUNCTION("""COMPUTED_VALUE"""),"Vandiver")</f>
        <v>Vandiver</v>
      </c>
      <c r="BW381" s="46">
        <f t="shared" si="13"/>
        <v>450</v>
      </c>
      <c r="BX381" s="47">
        <f t="shared" ref="BX381:CA381" si="1254">AX381-$BU381</f>
        <v>-2000</v>
      </c>
      <c r="BY381" s="47">
        <f t="shared" si="1254"/>
        <v>-2000</v>
      </c>
      <c r="BZ381" s="47">
        <f t="shared" si="1254"/>
        <v>-2000</v>
      </c>
      <c r="CA381" s="47">
        <f t="shared" si="1254"/>
        <v>-1550</v>
      </c>
      <c r="CB381" s="47">
        <f t="shared" si="15"/>
        <v>-20000</v>
      </c>
      <c r="CC381" s="47">
        <f t="shared" ref="CC381:CQ381" si="1255">BC381-$BU381</f>
        <v>-2000</v>
      </c>
      <c r="CD381" s="47">
        <f t="shared" si="1255"/>
        <v>-2000</v>
      </c>
      <c r="CE381" s="47">
        <f t="shared" si="1255"/>
        <v>-2000</v>
      </c>
      <c r="CF381" s="47">
        <f t="shared" si="1255"/>
        <v>-2000</v>
      </c>
      <c r="CG381" s="47">
        <f t="shared" si="1255"/>
        <v>-2000</v>
      </c>
      <c r="CH381" s="47">
        <f t="shared" si="1255"/>
        <v>-2000</v>
      </c>
      <c r="CI381" s="47">
        <f t="shared" si="1255"/>
        <v>-2000</v>
      </c>
      <c r="CJ381" s="47">
        <f t="shared" si="1255"/>
        <v>-2000</v>
      </c>
      <c r="CK381" s="47">
        <f t="shared" si="1255"/>
        <v>-2000</v>
      </c>
      <c r="CL381" s="47">
        <f t="shared" si="1255"/>
        <v>-2000</v>
      </c>
      <c r="CM381" s="47">
        <f t="shared" si="1255"/>
        <v>-2000</v>
      </c>
      <c r="CN381" s="47">
        <f t="shared" si="1255"/>
        <v>-2000</v>
      </c>
      <c r="CO381" s="47">
        <f t="shared" si="1255"/>
        <v>-2000</v>
      </c>
      <c r="CP381" s="47">
        <f t="shared" si="1255"/>
        <v>-2000</v>
      </c>
      <c r="CQ381" s="47">
        <f t="shared" si="1255"/>
        <v>-2000</v>
      </c>
      <c r="CR381" s="47"/>
      <c r="CS381" s="47"/>
      <c r="CT381" s="47"/>
      <c r="CU381" s="50" t="str">
        <f>IFERROR(__xludf.DUMMYFUNCTION("""COMPUTED_VALUE"""),"6346 Northwood Rd.
Dallas, TX 75225          ")</f>
        <v>6346 Northwood Rd.
Dallas, TX 75225          </v>
      </c>
      <c r="CV381" s="51">
        <f>IFERROR(__xludf.DUMMYFUNCTION("IF(REGEXMATCH(UPPER(CU381), ""TX""),0,1)"),0.0)</f>
        <v>0</v>
      </c>
      <c r="CW381" s="51">
        <f>IFERROR(__xludf.DUMMYFUNCTION("IF(REGEXMATCH(UPPER(CU381), ""DALLAS""),0,1)"),0.0)</f>
        <v>0</v>
      </c>
      <c r="CX381" s="51">
        <f t="shared" si="17"/>
        <v>0</v>
      </c>
      <c r="CY381" s="51">
        <f t="shared" si="18"/>
        <v>0</v>
      </c>
      <c r="CZ381" s="52" t="str">
        <f t="shared" si="19"/>
        <v/>
      </c>
      <c r="DA381" s="58"/>
      <c r="DB381" s="52"/>
      <c r="DC381" s="52"/>
      <c r="DD381" s="52"/>
      <c r="DE381" s="52"/>
      <c r="DF381" s="52"/>
      <c r="DG381" s="52"/>
      <c r="DH381" s="52"/>
      <c r="DI381" s="52"/>
      <c r="DJ381" s="52"/>
      <c r="DK381" s="52"/>
      <c r="DL381" s="52"/>
      <c r="DM381" s="52"/>
      <c r="DN381" s="52"/>
      <c r="DO381" s="52"/>
      <c r="DP381" s="52"/>
      <c r="DQ381" s="52"/>
      <c r="DR381" s="52"/>
      <c r="DS381" s="52"/>
      <c r="DT381" s="52"/>
      <c r="DU381" s="52"/>
      <c r="DV381" s="52"/>
      <c r="DW381" s="52"/>
    </row>
    <row r="382">
      <c r="A382" s="22" t="s">
        <v>55</v>
      </c>
      <c r="B382" s="23" t="s">
        <v>56</v>
      </c>
      <c r="C382" s="31" t="s">
        <v>1062</v>
      </c>
      <c r="D382" s="25" t="str">
        <f>IFERROR(__xludf.DUMMYFUNCTION("SPLIT(C382,"" "")"),"Patterson,")</f>
        <v>Patterson,</v>
      </c>
      <c r="E382" s="22" t="str">
        <f>IFERROR(__xludf.DUMMYFUNCTION("""COMPUTED_VALUE"""),"Bennie
8850")</f>
        <v>Bennie
8850</v>
      </c>
      <c r="F382" s="22" t="str">
        <f>IFERROR(__xludf.DUMMYFUNCTION("""COMPUTED_VALUE"""),"Fair")</f>
        <v>Fair</v>
      </c>
      <c r="G382" s="22" t="str">
        <f>IFERROR(__xludf.DUMMYFUNCTION("""COMPUTED_VALUE"""),"Oaks")</f>
        <v>Oaks</v>
      </c>
      <c r="H382" s="22" t="str">
        <f>IFERROR(__xludf.DUMMYFUNCTION("""COMPUTED_VALUE"""),"Xing
Dallas,")</f>
        <v>Xing
Dallas,</v>
      </c>
      <c r="I382" s="22" t="str">
        <f>IFERROR(__xludf.DUMMYFUNCTION("""COMPUTED_VALUE"""),"TX")</f>
        <v>TX</v>
      </c>
      <c r="J382" s="22">
        <f>IFERROR(__xludf.DUMMYFUNCTION("""COMPUTED_VALUE"""),75243.0)</f>
        <v>75243</v>
      </c>
      <c r="K382" s="22"/>
      <c r="L382" s="22"/>
      <c r="M382" s="22"/>
      <c r="N382" s="22"/>
      <c r="O382" s="22"/>
      <c r="P382" s="22"/>
      <c r="Q382" s="22"/>
      <c r="R382" s="22"/>
      <c r="S382" s="22"/>
      <c r="T382" s="22"/>
      <c r="U382" s="24" t="str">
        <f>IFERROR(__xludf.DUMMYFUNCTION("SPLIT(E382,""01234567890"")"),"Bennie
")</f>
        <v>Bennie
</v>
      </c>
      <c r="V382" s="24" t="str">
        <f>IFERROR(__xludf.DUMMYFUNCTION("SPLIT(D382,"","")"),"Patterson")</f>
        <v>Patterson</v>
      </c>
      <c r="W382" s="25" t="str">
        <f t="shared" si="1"/>
        <v>BENNIE
 PATTERSON</v>
      </c>
      <c r="X382" s="25" t="s">
        <v>1063</v>
      </c>
      <c r="Y382" s="25">
        <v>75243.0</v>
      </c>
      <c r="Z382" s="25" t="str">
        <f>IFERROR(__xludf.DUMMYFUNCTION("SPLIT(C382,""
"")"),"Patterson, Bennie")</f>
        <v>Patterson, Bennie</v>
      </c>
      <c r="AA382" s="25" t="str">
        <f>IFERROR(__xludf.DUMMYFUNCTION("""COMPUTED_VALUE"""),"8850 Fair Oaks Xing")</f>
        <v>8850 Fair Oaks Xing</v>
      </c>
      <c r="AB382" s="25" t="str">
        <f>IFERROR(__xludf.DUMMYFUNCTION("""COMPUTED_VALUE"""),"Dallas, TX 75243")</f>
        <v>Dallas, TX 75243</v>
      </c>
      <c r="AC382" s="24" t="s">
        <v>1064</v>
      </c>
      <c r="AD382" s="25"/>
      <c r="AE382" s="25"/>
      <c r="AF382" s="25"/>
      <c r="AG382" s="22" t="s">
        <v>60</v>
      </c>
      <c r="AH382" s="54">
        <v>2437.0</v>
      </c>
      <c r="AI382" s="22" t="s">
        <v>61</v>
      </c>
      <c r="AJ382" s="27">
        <v>250.0</v>
      </c>
      <c r="AK382" s="31" t="s">
        <v>25</v>
      </c>
      <c r="AL382" s="28">
        <v>44719.0</v>
      </c>
      <c r="AM382" s="29">
        <v>44754.83237268519</v>
      </c>
      <c r="AN382" s="30">
        <v>2.0</v>
      </c>
      <c r="AO382" s="22"/>
      <c r="AP382" s="22"/>
      <c r="AQ382" s="22"/>
      <c r="AR382" s="22"/>
      <c r="AS382" s="22"/>
      <c r="AT382" s="70"/>
      <c r="AU382" s="22"/>
      <c r="AV382" s="57" t="str">
        <f>IFERROR(__xludf.DUMMYFUNCTION("""COMPUTED_VALUE"""),"Forester")</f>
        <v>Forester</v>
      </c>
      <c r="AW382" s="46">
        <f t="shared" si="7"/>
        <v>100</v>
      </c>
      <c r="AX382" s="47">
        <f t="shared" ref="AX382:BQ382" si="1256">SUMIFS($AJ:$AJ,$V:$V,$AV382,$AK:$AK,AX$2)</f>
        <v>0</v>
      </c>
      <c r="AY382" s="48">
        <f t="shared" si="1256"/>
        <v>0</v>
      </c>
      <c r="AZ382" s="48">
        <f t="shared" si="1256"/>
        <v>0</v>
      </c>
      <c r="BA382" s="48">
        <f t="shared" si="1256"/>
        <v>100</v>
      </c>
      <c r="BB382" s="48">
        <f t="shared" si="1256"/>
        <v>0</v>
      </c>
      <c r="BC382" s="48">
        <f t="shared" si="1256"/>
        <v>0</v>
      </c>
      <c r="BD382" s="48">
        <f t="shared" si="1256"/>
        <v>0</v>
      </c>
      <c r="BE382" s="48">
        <f t="shared" si="1256"/>
        <v>0</v>
      </c>
      <c r="BF382" s="48">
        <f t="shared" si="1256"/>
        <v>0</v>
      </c>
      <c r="BG382" s="48">
        <f t="shared" si="1256"/>
        <v>0</v>
      </c>
      <c r="BH382" s="48">
        <f t="shared" si="1256"/>
        <v>0</v>
      </c>
      <c r="BI382" s="48">
        <f t="shared" si="1256"/>
        <v>0</v>
      </c>
      <c r="BJ382" s="48">
        <f t="shared" si="1256"/>
        <v>0</v>
      </c>
      <c r="BK382" s="48">
        <f t="shared" si="1256"/>
        <v>0</v>
      </c>
      <c r="BL382" s="48">
        <f t="shared" si="1256"/>
        <v>0</v>
      </c>
      <c r="BM382" s="48">
        <f t="shared" si="1256"/>
        <v>0</v>
      </c>
      <c r="BN382" s="48">
        <f t="shared" si="1256"/>
        <v>0</v>
      </c>
      <c r="BO382" s="48">
        <f t="shared" si="1256"/>
        <v>0</v>
      </c>
      <c r="BP382" s="48">
        <f t="shared" si="1256"/>
        <v>0</v>
      </c>
      <c r="BQ382" s="48">
        <f t="shared" si="1256"/>
        <v>0</v>
      </c>
      <c r="BR382" s="36">
        <f t="shared" si="9"/>
        <v>0</v>
      </c>
      <c r="BS382" s="38">
        <f t="shared" si="10"/>
        <v>1</v>
      </c>
      <c r="BT382" s="49">
        <f t="shared" si="11"/>
        <v>0</v>
      </c>
      <c r="BU382" s="38">
        <f t="shared" si="12"/>
        <v>1000</v>
      </c>
      <c r="BV382" s="57" t="str">
        <f>IFERROR(__xludf.DUMMYFUNCTION("""COMPUTED_VALUE"""),"Forester")</f>
        <v>Forester</v>
      </c>
      <c r="BW382" s="46">
        <f t="shared" si="13"/>
        <v>100</v>
      </c>
      <c r="BX382" s="47">
        <f t="shared" ref="BX382:CA382" si="1257">AX382-$BU382</f>
        <v>-1000</v>
      </c>
      <c r="BY382" s="47">
        <f t="shared" si="1257"/>
        <v>-1000</v>
      </c>
      <c r="BZ382" s="47">
        <f t="shared" si="1257"/>
        <v>-1000</v>
      </c>
      <c r="CA382" s="47">
        <f t="shared" si="1257"/>
        <v>-900</v>
      </c>
      <c r="CB382" s="47">
        <f t="shared" si="15"/>
        <v>-10000</v>
      </c>
      <c r="CC382" s="47">
        <f t="shared" ref="CC382:CQ382" si="1258">BC382-$BU382</f>
        <v>-1000</v>
      </c>
      <c r="CD382" s="47">
        <f t="shared" si="1258"/>
        <v>-1000</v>
      </c>
      <c r="CE382" s="47">
        <f t="shared" si="1258"/>
        <v>-1000</v>
      </c>
      <c r="CF382" s="47">
        <f t="shared" si="1258"/>
        <v>-1000</v>
      </c>
      <c r="CG382" s="47">
        <f t="shared" si="1258"/>
        <v>-1000</v>
      </c>
      <c r="CH382" s="47">
        <f t="shared" si="1258"/>
        <v>-1000</v>
      </c>
      <c r="CI382" s="47">
        <f t="shared" si="1258"/>
        <v>-1000</v>
      </c>
      <c r="CJ382" s="47">
        <f t="shared" si="1258"/>
        <v>-1000</v>
      </c>
      <c r="CK382" s="47">
        <f t="shared" si="1258"/>
        <v>-1000</v>
      </c>
      <c r="CL382" s="47">
        <f t="shared" si="1258"/>
        <v>-1000</v>
      </c>
      <c r="CM382" s="47">
        <f t="shared" si="1258"/>
        <v>-1000</v>
      </c>
      <c r="CN382" s="47">
        <f t="shared" si="1258"/>
        <v>-1000</v>
      </c>
      <c r="CO382" s="47">
        <f t="shared" si="1258"/>
        <v>-1000</v>
      </c>
      <c r="CP382" s="47">
        <f t="shared" si="1258"/>
        <v>-1000</v>
      </c>
      <c r="CQ382" s="47">
        <f t="shared" si="1258"/>
        <v>-1000</v>
      </c>
      <c r="CR382" s="47"/>
      <c r="CS382" s="47"/>
      <c r="CT382" s="47"/>
      <c r="CU382" s="50" t="str">
        <f>IFERROR(__xludf.DUMMYFUNCTION("""COMPUTED_VALUE"""),"9322 Moss Trail
Dallas, TX 75231          ")</f>
        <v>9322 Moss Trail
Dallas, TX 75231          </v>
      </c>
      <c r="CV382" s="51">
        <f>IFERROR(__xludf.DUMMYFUNCTION("IF(REGEXMATCH(UPPER(CU382), ""TX""),0,1)"),0.0)</f>
        <v>0</v>
      </c>
      <c r="CW382" s="51">
        <f>IFERROR(__xludf.DUMMYFUNCTION("IF(REGEXMATCH(UPPER(CU382), ""DALLAS""),0,1)"),0.0)</f>
        <v>0</v>
      </c>
      <c r="CX382" s="51">
        <f t="shared" si="17"/>
        <v>0</v>
      </c>
      <c r="CY382" s="51">
        <f t="shared" si="18"/>
        <v>0</v>
      </c>
      <c r="CZ382" s="52" t="str">
        <f t="shared" si="19"/>
        <v/>
      </c>
      <c r="DA382" s="58"/>
      <c r="DB382" s="52"/>
      <c r="DC382" s="52"/>
      <c r="DD382" s="52"/>
      <c r="DE382" s="52"/>
      <c r="DF382" s="52"/>
      <c r="DG382" s="52"/>
      <c r="DH382" s="52"/>
      <c r="DI382" s="52"/>
      <c r="DJ382" s="52"/>
      <c r="DK382" s="52"/>
      <c r="DL382" s="52"/>
      <c r="DM382" s="52"/>
      <c r="DN382" s="52"/>
      <c r="DO382" s="52"/>
      <c r="DP382" s="52"/>
      <c r="DQ382" s="52"/>
      <c r="DR382" s="52"/>
      <c r="DS382" s="52"/>
      <c r="DT382" s="52"/>
      <c r="DU382" s="52"/>
      <c r="DV382" s="52"/>
      <c r="DW382" s="52"/>
    </row>
    <row r="383">
      <c r="A383" s="41" t="s">
        <v>64</v>
      </c>
      <c r="B383" s="41" t="s">
        <v>56</v>
      </c>
      <c r="C383" s="31" t="s">
        <v>1065</v>
      </c>
      <c r="D383" s="25" t="str">
        <f>IFERROR(__xludf.DUMMYFUNCTION("SPLIT(C383,"" "")"),"Lazof,")</f>
        <v>Lazof,</v>
      </c>
      <c r="E383" s="40" t="str">
        <f>IFERROR(__xludf.DUMMYFUNCTION("""COMPUTED_VALUE"""),"Chenza
2555")</f>
        <v>Chenza
2555</v>
      </c>
      <c r="F383" s="40" t="str">
        <f>IFERROR(__xludf.DUMMYFUNCTION("""COMPUTED_VALUE"""),"North")</f>
        <v>North</v>
      </c>
      <c r="G383" s="40" t="str">
        <f>IFERROR(__xludf.DUMMYFUNCTION("""COMPUTED_VALUE"""),"Pearl")</f>
        <v>Pearl</v>
      </c>
      <c r="H383" s="40" t="str">
        <f>IFERROR(__xludf.DUMMYFUNCTION("""COMPUTED_VALUE"""),"St
Dallas,")</f>
        <v>St
Dallas,</v>
      </c>
      <c r="I383" s="40" t="str">
        <f>IFERROR(__xludf.DUMMYFUNCTION("""COMPUTED_VALUE"""),"TX")</f>
        <v>TX</v>
      </c>
      <c r="J383" s="40">
        <f>IFERROR(__xludf.DUMMYFUNCTION("""COMPUTED_VALUE"""),75201.0)</f>
        <v>75201</v>
      </c>
      <c r="K383" s="40"/>
      <c r="L383" s="40"/>
      <c r="M383" s="40"/>
      <c r="N383" s="40"/>
      <c r="O383" s="40"/>
      <c r="P383" s="40"/>
      <c r="Q383" s="40"/>
      <c r="R383" s="40"/>
      <c r="S383" s="40"/>
      <c r="T383" s="40"/>
      <c r="U383" s="24" t="str">
        <f>IFERROR(__xludf.DUMMYFUNCTION("SPLIT(E383,""01234567890"")"),"Chenza
")</f>
        <v>Chenza
</v>
      </c>
      <c r="V383" s="24" t="str">
        <f>IFERROR(__xludf.DUMMYFUNCTION("SPLIT(D383,"","")"),"Lazof")</f>
        <v>Lazof</v>
      </c>
      <c r="W383" s="25" t="str">
        <f t="shared" si="1"/>
        <v>CHENZA
 LAZOF</v>
      </c>
      <c r="X383" s="25" t="s">
        <v>1066</v>
      </c>
      <c r="Y383" s="25">
        <v>75201.0</v>
      </c>
      <c r="Z383" s="25" t="str">
        <f>IFERROR(__xludf.DUMMYFUNCTION("SPLIT(C383,""
"")"),"Lazof, Chenza")</f>
        <v>Lazof, Chenza</v>
      </c>
      <c r="AA383" s="25" t="str">
        <f>IFERROR(__xludf.DUMMYFUNCTION("""COMPUTED_VALUE"""),"2555 North Pearl St")</f>
        <v>2555 North Pearl St</v>
      </c>
      <c r="AB383" s="25" t="str">
        <f>IFERROR(__xludf.DUMMYFUNCTION("""COMPUTED_VALUE"""),"Dallas, TX 75201")</f>
        <v>Dallas, TX 75201</v>
      </c>
      <c r="AC383" s="24" t="s">
        <v>1067</v>
      </c>
      <c r="AD383" s="25"/>
      <c r="AE383" s="25"/>
      <c r="AF383" s="25"/>
      <c r="AG383" s="40" t="s">
        <v>60</v>
      </c>
      <c r="AH383" s="42">
        <v>2437.0</v>
      </c>
      <c r="AI383" s="40" t="s">
        <v>61</v>
      </c>
      <c r="AJ383" s="27">
        <v>100.0</v>
      </c>
      <c r="AK383" s="31" t="s">
        <v>25</v>
      </c>
      <c r="AL383" s="43">
        <v>44719.0</v>
      </c>
      <c r="AM383" s="44">
        <v>44754.83237268519</v>
      </c>
      <c r="AN383" s="30">
        <v>2.0</v>
      </c>
      <c r="AO383" s="40"/>
      <c r="AP383" s="40"/>
      <c r="AQ383" s="40"/>
      <c r="AR383" s="40"/>
      <c r="AS383" s="40"/>
      <c r="AT383" s="47"/>
      <c r="AU383" s="40"/>
      <c r="AV383" s="46" t="str">
        <f>IFERROR(__xludf.DUMMYFUNCTION("""COMPUTED_VALUE"""),"Newton")</f>
        <v>Newton</v>
      </c>
      <c r="AW383" s="46">
        <f t="shared" si="7"/>
        <v>100</v>
      </c>
      <c r="AX383" s="47">
        <f t="shared" ref="AX383:BQ383" si="1259">SUMIFS($AJ:$AJ,$V:$V,$AV383,$AK:$AK,AX$2)</f>
        <v>0</v>
      </c>
      <c r="AY383" s="48">
        <f t="shared" si="1259"/>
        <v>0</v>
      </c>
      <c r="AZ383" s="48">
        <f t="shared" si="1259"/>
        <v>0</v>
      </c>
      <c r="BA383" s="48">
        <f t="shared" si="1259"/>
        <v>100</v>
      </c>
      <c r="BB383" s="48">
        <f t="shared" si="1259"/>
        <v>0</v>
      </c>
      <c r="BC383" s="48">
        <f t="shared" si="1259"/>
        <v>0</v>
      </c>
      <c r="BD383" s="48">
        <f t="shared" si="1259"/>
        <v>0</v>
      </c>
      <c r="BE383" s="48">
        <f t="shared" si="1259"/>
        <v>0</v>
      </c>
      <c r="BF383" s="48">
        <f t="shared" si="1259"/>
        <v>0</v>
      </c>
      <c r="BG383" s="48">
        <f t="shared" si="1259"/>
        <v>0</v>
      </c>
      <c r="BH383" s="48">
        <f t="shared" si="1259"/>
        <v>0</v>
      </c>
      <c r="BI383" s="48">
        <f t="shared" si="1259"/>
        <v>0</v>
      </c>
      <c r="BJ383" s="48">
        <f t="shared" si="1259"/>
        <v>0</v>
      </c>
      <c r="BK383" s="48">
        <f t="shared" si="1259"/>
        <v>0</v>
      </c>
      <c r="BL383" s="48">
        <f t="shared" si="1259"/>
        <v>0</v>
      </c>
      <c r="BM383" s="48">
        <f t="shared" si="1259"/>
        <v>0</v>
      </c>
      <c r="BN383" s="48">
        <f t="shared" si="1259"/>
        <v>0</v>
      </c>
      <c r="BO383" s="48">
        <f t="shared" si="1259"/>
        <v>0</v>
      </c>
      <c r="BP383" s="48">
        <f t="shared" si="1259"/>
        <v>0</v>
      </c>
      <c r="BQ383" s="48">
        <f t="shared" si="1259"/>
        <v>0</v>
      </c>
      <c r="BR383" s="36">
        <f t="shared" si="9"/>
        <v>0</v>
      </c>
      <c r="BS383" s="38">
        <f t="shared" si="10"/>
        <v>1</v>
      </c>
      <c r="BT383" s="49">
        <f t="shared" si="11"/>
        <v>0</v>
      </c>
      <c r="BU383" s="38">
        <f t="shared" si="12"/>
        <v>1000</v>
      </c>
      <c r="BV383" s="46" t="str">
        <f>IFERROR(__xludf.DUMMYFUNCTION("""COMPUTED_VALUE"""),"Newton")</f>
        <v>Newton</v>
      </c>
      <c r="BW383" s="46">
        <f t="shared" si="13"/>
        <v>100</v>
      </c>
      <c r="BX383" s="47">
        <f t="shared" ref="BX383:CA383" si="1260">AX383-$BU383</f>
        <v>-1000</v>
      </c>
      <c r="BY383" s="47">
        <f t="shared" si="1260"/>
        <v>-1000</v>
      </c>
      <c r="BZ383" s="47">
        <f t="shared" si="1260"/>
        <v>-1000</v>
      </c>
      <c r="CA383" s="47">
        <f t="shared" si="1260"/>
        <v>-900</v>
      </c>
      <c r="CB383" s="47">
        <f t="shared" si="15"/>
        <v>-10000</v>
      </c>
      <c r="CC383" s="47">
        <f t="shared" ref="CC383:CQ383" si="1261">BC383-$BU383</f>
        <v>-1000</v>
      </c>
      <c r="CD383" s="47">
        <f t="shared" si="1261"/>
        <v>-1000</v>
      </c>
      <c r="CE383" s="47">
        <f t="shared" si="1261"/>
        <v>-1000</v>
      </c>
      <c r="CF383" s="47">
        <f t="shared" si="1261"/>
        <v>-1000</v>
      </c>
      <c r="CG383" s="47">
        <f t="shared" si="1261"/>
        <v>-1000</v>
      </c>
      <c r="CH383" s="47">
        <f t="shared" si="1261"/>
        <v>-1000</v>
      </c>
      <c r="CI383" s="47">
        <f t="shared" si="1261"/>
        <v>-1000</v>
      </c>
      <c r="CJ383" s="47">
        <f t="shared" si="1261"/>
        <v>-1000</v>
      </c>
      <c r="CK383" s="47">
        <f t="shared" si="1261"/>
        <v>-1000</v>
      </c>
      <c r="CL383" s="47">
        <f t="shared" si="1261"/>
        <v>-1000</v>
      </c>
      <c r="CM383" s="47">
        <f t="shared" si="1261"/>
        <v>-1000</v>
      </c>
      <c r="CN383" s="47">
        <f t="shared" si="1261"/>
        <v>-1000</v>
      </c>
      <c r="CO383" s="47">
        <f t="shared" si="1261"/>
        <v>-1000</v>
      </c>
      <c r="CP383" s="47">
        <f t="shared" si="1261"/>
        <v>-1000</v>
      </c>
      <c r="CQ383" s="47">
        <f t="shared" si="1261"/>
        <v>-1000</v>
      </c>
      <c r="CR383" s="47"/>
      <c r="CS383" s="47"/>
      <c r="CT383" s="47"/>
      <c r="CU383" s="50" t="str">
        <f>IFERROR(__xludf.DUMMYFUNCTION("""COMPUTED_VALUE"""),"9322 Summer Creek Circle
Dallas, TX 75231         ")</f>
        <v>9322 Summer Creek Circle
Dallas, TX 75231         </v>
      </c>
      <c r="CV383" s="51">
        <f>IFERROR(__xludf.DUMMYFUNCTION("IF(REGEXMATCH(UPPER(CU383), ""TX""),0,1)"),0.0)</f>
        <v>0</v>
      </c>
      <c r="CW383" s="51">
        <f>IFERROR(__xludf.DUMMYFUNCTION("IF(REGEXMATCH(UPPER(CU383), ""DALLAS""),0,1)"),0.0)</f>
        <v>0</v>
      </c>
      <c r="CX383" s="51">
        <f t="shared" si="17"/>
        <v>0</v>
      </c>
      <c r="CY383" s="51">
        <f t="shared" si="18"/>
        <v>0</v>
      </c>
      <c r="CZ383" s="52" t="str">
        <f t="shared" si="19"/>
        <v/>
      </c>
      <c r="DA383" s="58"/>
      <c r="DB383" s="52"/>
      <c r="DC383" s="52"/>
      <c r="DD383" s="52"/>
      <c r="DE383" s="52"/>
      <c r="DF383" s="52"/>
      <c r="DG383" s="52"/>
      <c r="DH383" s="52"/>
      <c r="DI383" s="52"/>
      <c r="DJ383" s="52"/>
      <c r="DK383" s="52"/>
      <c r="DL383" s="52"/>
      <c r="DM383" s="52"/>
      <c r="DN383" s="52"/>
      <c r="DO383" s="52"/>
      <c r="DP383" s="52"/>
      <c r="DQ383" s="52"/>
      <c r="DR383" s="52"/>
      <c r="DS383" s="52"/>
      <c r="DT383" s="52"/>
      <c r="DU383" s="52"/>
      <c r="DV383" s="52"/>
      <c r="DW383" s="52"/>
    </row>
    <row r="384">
      <c r="A384" s="22" t="s">
        <v>55</v>
      </c>
      <c r="B384" s="23" t="s">
        <v>56</v>
      </c>
      <c r="C384" s="31" t="s">
        <v>1068</v>
      </c>
      <c r="D384" s="25" t="str">
        <f>IFERROR(__xludf.DUMMYFUNCTION("SPLIT(C384,"" "")"),"Walne,")</f>
        <v>Walne,</v>
      </c>
      <c r="E384" s="22" t="str">
        <f>IFERROR(__xludf.DUMMYFUNCTION("""COMPUTED_VALUE"""),"Joni")</f>
        <v>Joni</v>
      </c>
      <c r="F384" s="22" t="str">
        <f>IFERROR(__xludf.DUMMYFUNCTION("""COMPUTED_VALUE"""),"&amp;")</f>
        <v>&amp;</v>
      </c>
      <c r="G384" s="22" t="str">
        <f>IFERROR(__xludf.DUMMYFUNCTION("""COMPUTED_VALUE"""),"Alan
10020")</f>
        <v>Alan
10020</v>
      </c>
      <c r="H384" s="22" t="str">
        <f>IFERROR(__xludf.DUMMYFUNCTION("""COMPUTED_VALUE"""),"Caribou")</f>
        <v>Caribou</v>
      </c>
      <c r="I384" s="22" t="str">
        <f>IFERROR(__xludf.DUMMYFUNCTION("""COMPUTED_VALUE"""),"Trail
Dallas,")</f>
        <v>Trail
Dallas,</v>
      </c>
      <c r="J384" s="22" t="str">
        <f>IFERROR(__xludf.DUMMYFUNCTION("""COMPUTED_VALUE"""),"TX")</f>
        <v>TX</v>
      </c>
      <c r="K384" s="22">
        <f>IFERROR(__xludf.DUMMYFUNCTION("""COMPUTED_VALUE"""),75238.0)</f>
        <v>75238</v>
      </c>
      <c r="L384" s="22"/>
      <c r="M384" s="22"/>
      <c r="N384" s="22"/>
      <c r="O384" s="22"/>
      <c r="P384" s="22"/>
      <c r="Q384" s="22"/>
      <c r="R384" s="22"/>
      <c r="S384" s="22"/>
      <c r="T384" s="22"/>
      <c r="U384" s="24" t="str">
        <f>IFERROR(__xludf.DUMMYFUNCTION("SPLIT(E384,""01234567890"")"),"Joni")</f>
        <v>Joni</v>
      </c>
      <c r="V384" s="24" t="str">
        <f>IFERROR(__xludf.DUMMYFUNCTION("SPLIT(D384,"","")"),"Walne")</f>
        <v>Walne</v>
      </c>
      <c r="W384" s="25" t="str">
        <f t="shared" si="1"/>
        <v>JONI WALNE</v>
      </c>
      <c r="X384" s="25" t="s">
        <v>1069</v>
      </c>
      <c r="Y384" s="25">
        <v>10020.0</v>
      </c>
      <c r="Z384" s="25" t="str">
        <f>IFERROR(__xludf.DUMMYFUNCTION("SPLIT(C384,""
"")"),"Walne, Joni &amp; Alan")</f>
        <v>Walne, Joni &amp; Alan</v>
      </c>
      <c r="AA384" s="25" t="str">
        <f>IFERROR(__xludf.DUMMYFUNCTION("""COMPUTED_VALUE"""),"10020 Caribou Trail")</f>
        <v>10020 Caribou Trail</v>
      </c>
      <c r="AB384" s="25" t="str">
        <f>IFERROR(__xludf.DUMMYFUNCTION("""COMPUTED_VALUE"""),"Dallas, TX 75238")</f>
        <v>Dallas, TX 75238</v>
      </c>
      <c r="AC384" s="24" t="s">
        <v>1070</v>
      </c>
      <c r="AD384" s="25"/>
      <c r="AE384" s="25"/>
      <c r="AF384" s="25"/>
      <c r="AG384" s="22" t="s">
        <v>60</v>
      </c>
      <c r="AH384" s="54">
        <v>2437.0</v>
      </c>
      <c r="AI384" s="22" t="s">
        <v>61</v>
      </c>
      <c r="AJ384" s="27">
        <v>1000.0</v>
      </c>
      <c r="AK384" s="31" t="s">
        <v>25</v>
      </c>
      <c r="AL384" s="28">
        <v>44719.0</v>
      </c>
      <c r="AM384" s="29">
        <v>44754.83237268519</v>
      </c>
      <c r="AN384" s="30">
        <v>2.0</v>
      </c>
      <c r="AO384" s="22"/>
      <c r="AP384" s="22"/>
      <c r="AQ384" s="22"/>
      <c r="AR384" s="22"/>
      <c r="AS384" s="22"/>
      <c r="AT384" s="70"/>
      <c r="AU384" s="22"/>
      <c r="AV384" s="57" t="str">
        <f>IFERROR(__xludf.DUMMYFUNCTION("""COMPUTED_VALUE"""),"Pearce")</f>
        <v>Pearce</v>
      </c>
      <c r="AW384" s="46">
        <f t="shared" si="7"/>
        <v>100</v>
      </c>
      <c r="AX384" s="47">
        <f t="shared" ref="AX384:BQ384" si="1262">SUMIFS($AJ:$AJ,$V:$V,$AV384,$AK:$AK,AX$2)</f>
        <v>0</v>
      </c>
      <c r="AY384" s="48">
        <f t="shared" si="1262"/>
        <v>0</v>
      </c>
      <c r="AZ384" s="48">
        <f t="shared" si="1262"/>
        <v>0</v>
      </c>
      <c r="BA384" s="48">
        <f t="shared" si="1262"/>
        <v>100</v>
      </c>
      <c r="BB384" s="48">
        <f t="shared" si="1262"/>
        <v>0</v>
      </c>
      <c r="BC384" s="48">
        <f t="shared" si="1262"/>
        <v>0</v>
      </c>
      <c r="BD384" s="48">
        <f t="shared" si="1262"/>
        <v>0</v>
      </c>
      <c r="BE384" s="48">
        <f t="shared" si="1262"/>
        <v>0</v>
      </c>
      <c r="BF384" s="48">
        <f t="shared" si="1262"/>
        <v>0</v>
      </c>
      <c r="BG384" s="48">
        <f t="shared" si="1262"/>
        <v>0</v>
      </c>
      <c r="BH384" s="48">
        <f t="shared" si="1262"/>
        <v>0</v>
      </c>
      <c r="BI384" s="48">
        <f t="shared" si="1262"/>
        <v>0</v>
      </c>
      <c r="BJ384" s="48">
        <f t="shared" si="1262"/>
        <v>0</v>
      </c>
      <c r="BK384" s="48">
        <f t="shared" si="1262"/>
        <v>0</v>
      </c>
      <c r="BL384" s="48">
        <f t="shared" si="1262"/>
        <v>0</v>
      </c>
      <c r="BM384" s="48">
        <f t="shared" si="1262"/>
        <v>0</v>
      </c>
      <c r="BN384" s="48">
        <f t="shared" si="1262"/>
        <v>0</v>
      </c>
      <c r="BO384" s="48">
        <f t="shared" si="1262"/>
        <v>0</v>
      </c>
      <c r="BP384" s="48">
        <f t="shared" si="1262"/>
        <v>0</v>
      </c>
      <c r="BQ384" s="48">
        <f t="shared" si="1262"/>
        <v>0</v>
      </c>
      <c r="BR384" s="36">
        <f t="shared" si="9"/>
        <v>0</v>
      </c>
      <c r="BS384" s="38">
        <f t="shared" si="10"/>
        <v>1</v>
      </c>
      <c r="BT384" s="49">
        <f t="shared" si="11"/>
        <v>0</v>
      </c>
      <c r="BU384" s="38">
        <f t="shared" si="12"/>
        <v>1000</v>
      </c>
      <c r="BV384" s="57" t="str">
        <f>IFERROR(__xludf.DUMMYFUNCTION("""COMPUTED_VALUE"""),"Pearce")</f>
        <v>Pearce</v>
      </c>
      <c r="BW384" s="46">
        <f t="shared" si="13"/>
        <v>100</v>
      </c>
      <c r="BX384" s="47">
        <f t="shared" ref="BX384:CA384" si="1263">AX384-$BU384</f>
        <v>-1000</v>
      </c>
      <c r="BY384" s="47">
        <f t="shared" si="1263"/>
        <v>-1000</v>
      </c>
      <c r="BZ384" s="47">
        <f t="shared" si="1263"/>
        <v>-1000</v>
      </c>
      <c r="CA384" s="47">
        <f t="shared" si="1263"/>
        <v>-900</v>
      </c>
      <c r="CB384" s="47">
        <f t="shared" si="15"/>
        <v>-10000</v>
      </c>
      <c r="CC384" s="47">
        <f t="shared" ref="CC384:CQ384" si="1264">BC384-$BU384</f>
        <v>-1000</v>
      </c>
      <c r="CD384" s="47">
        <f t="shared" si="1264"/>
        <v>-1000</v>
      </c>
      <c r="CE384" s="47">
        <f t="shared" si="1264"/>
        <v>-1000</v>
      </c>
      <c r="CF384" s="47">
        <f t="shared" si="1264"/>
        <v>-1000</v>
      </c>
      <c r="CG384" s="47">
        <f t="shared" si="1264"/>
        <v>-1000</v>
      </c>
      <c r="CH384" s="47">
        <f t="shared" si="1264"/>
        <v>-1000</v>
      </c>
      <c r="CI384" s="47">
        <f t="shared" si="1264"/>
        <v>-1000</v>
      </c>
      <c r="CJ384" s="47">
        <f t="shared" si="1264"/>
        <v>-1000</v>
      </c>
      <c r="CK384" s="47">
        <f t="shared" si="1264"/>
        <v>-1000</v>
      </c>
      <c r="CL384" s="47">
        <f t="shared" si="1264"/>
        <v>-1000</v>
      </c>
      <c r="CM384" s="47">
        <f t="shared" si="1264"/>
        <v>-1000</v>
      </c>
      <c r="CN384" s="47">
        <f t="shared" si="1264"/>
        <v>-1000</v>
      </c>
      <c r="CO384" s="47">
        <f t="shared" si="1264"/>
        <v>-1000</v>
      </c>
      <c r="CP384" s="47">
        <f t="shared" si="1264"/>
        <v>-1000</v>
      </c>
      <c r="CQ384" s="47">
        <f t="shared" si="1264"/>
        <v>-1000</v>
      </c>
      <c r="CR384" s="47"/>
      <c r="CS384" s="47"/>
      <c r="CT384" s="47"/>
      <c r="CU384" s="50" t="str">
        <f>IFERROR(__xludf.DUMMYFUNCTION("""COMPUTED_VALUE"""),"ray A.
12395 Crestline Avenue
Dallas, TX 75244         ")</f>
        <v>ray A.
12395 Crestline Avenue
Dallas, TX 75244         </v>
      </c>
      <c r="CV384" s="51">
        <f>IFERROR(__xludf.DUMMYFUNCTION("IF(REGEXMATCH(UPPER(CU384), ""TX""),0,1)"),0.0)</f>
        <v>0</v>
      </c>
      <c r="CW384" s="51">
        <f>IFERROR(__xludf.DUMMYFUNCTION("IF(REGEXMATCH(UPPER(CU384), ""DALLAS""),0,1)"),0.0)</f>
        <v>0</v>
      </c>
      <c r="CX384" s="51">
        <f t="shared" si="17"/>
        <v>0</v>
      </c>
      <c r="CY384" s="51">
        <f t="shared" si="18"/>
        <v>0</v>
      </c>
      <c r="CZ384" s="52" t="str">
        <f t="shared" si="19"/>
        <v/>
      </c>
      <c r="DA384" s="58"/>
      <c r="DB384" s="52"/>
      <c r="DC384" s="52"/>
      <c r="DD384" s="52"/>
      <c r="DE384" s="52"/>
      <c r="DF384" s="52"/>
      <c r="DG384" s="52"/>
      <c r="DH384" s="52"/>
      <c r="DI384" s="52"/>
      <c r="DJ384" s="52"/>
      <c r="DK384" s="52"/>
      <c r="DL384" s="52"/>
      <c r="DM384" s="52"/>
      <c r="DN384" s="52"/>
      <c r="DO384" s="52"/>
      <c r="DP384" s="52"/>
      <c r="DQ384" s="52"/>
      <c r="DR384" s="52"/>
      <c r="DS384" s="52"/>
      <c r="DT384" s="52"/>
      <c r="DU384" s="52"/>
      <c r="DV384" s="52"/>
      <c r="DW384" s="52"/>
    </row>
    <row r="385">
      <c r="A385" s="41" t="s">
        <v>64</v>
      </c>
      <c r="B385" s="41" t="s">
        <v>56</v>
      </c>
      <c r="C385" s="31" t="s">
        <v>1071</v>
      </c>
      <c r="D385" s="25" t="str">
        <f>IFERROR(__xludf.DUMMYFUNCTION("SPLIT(C385,"" "")"),"ODwyer,")</f>
        <v>ODwyer,</v>
      </c>
      <c r="E385" s="40" t="str">
        <f>IFERROR(__xludf.DUMMYFUNCTION("""COMPUTED_VALUE"""),"Tom
9615")</f>
        <v>Tom
9615</v>
      </c>
      <c r="F385" s="40" t="str">
        <f>IFERROR(__xludf.DUMMYFUNCTION("""COMPUTED_VALUE"""),"Airline")</f>
        <v>Airline</v>
      </c>
      <c r="G385" s="40" t="str">
        <f>IFERROR(__xludf.DUMMYFUNCTION("""COMPUTED_VALUE"""),"Road
Dallas,")</f>
        <v>Road
Dallas,</v>
      </c>
      <c r="H385" s="40" t="str">
        <f>IFERROR(__xludf.DUMMYFUNCTION("""COMPUTED_VALUE"""),"TX")</f>
        <v>TX</v>
      </c>
      <c r="I385" s="40">
        <f>IFERROR(__xludf.DUMMYFUNCTION("""COMPUTED_VALUE"""),75225.0)</f>
        <v>75225</v>
      </c>
      <c r="J385" s="40"/>
      <c r="K385" s="40"/>
      <c r="L385" s="40"/>
      <c r="M385" s="40"/>
      <c r="N385" s="40"/>
      <c r="O385" s="40"/>
      <c r="P385" s="40"/>
      <c r="Q385" s="40"/>
      <c r="R385" s="40"/>
      <c r="S385" s="40"/>
      <c r="T385" s="40"/>
      <c r="U385" s="24" t="str">
        <f>IFERROR(__xludf.DUMMYFUNCTION("SPLIT(E385,""01234567890"")"),"Tom
")</f>
        <v>Tom
</v>
      </c>
      <c r="V385" s="24" t="str">
        <f>IFERROR(__xludf.DUMMYFUNCTION("SPLIT(D385,"","")"),"ODwyer")</f>
        <v>ODwyer</v>
      </c>
      <c r="W385" s="25" t="str">
        <f t="shared" si="1"/>
        <v>TOM
 ODWYER</v>
      </c>
      <c r="X385" s="25" t="s">
        <v>1072</v>
      </c>
      <c r="Y385" s="25">
        <v>75225.0</v>
      </c>
      <c r="Z385" s="25" t="str">
        <f>IFERROR(__xludf.DUMMYFUNCTION("SPLIT(C385,""
"")"),"ODwyer, Tom")</f>
        <v>ODwyer, Tom</v>
      </c>
      <c r="AA385" s="25" t="str">
        <f>IFERROR(__xludf.DUMMYFUNCTION("""COMPUTED_VALUE"""),"9615 Airline Road")</f>
        <v>9615 Airline Road</v>
      </c>
      <c r="AB385" s="25" t="str">
        <f>IFERROR(__xludf.DUMMYFUNCTION("""COMPUTED_VALUE"""),"Dallas, TX 75225")</f>
        <v>Dallas, TX 75225</v>
      </c>
      <c r="AC385" s="24" t="s">
        <v>1073</v>
      </c>
      <c r="AD385" s="25"/>
      <c r="AE385" s="25"/>
      <c r="AF385" s="25"/>
      <c r="AG385" s="40" t="s">
        <v>60</v>
      </c>
      <c r="AH385" s="42">
        <v>2437.0</v>
      </c>
      <c r="AI385" s="40" t="s">
        <v>61</v>
      </c>
      <c r="AJ385" s="27">
        <v>500.0</v>
      </c>
      <c r="AK385" s="31" t="s">
        <v>25</v>
      </c>
      <c r="AL385" s="43">
        <v>44719.0</v>
      </c>
      <c r="AM385" s="44">
        <v>44754.83237268519</v>
      </c>
      <c r="AN385" s="30">
        <v>2.0</v>
      </c>
      <c r="AO385" s="40"/>
      <c r="AP385" s="40"/>
      <c r="AQ385" s="40"/>
      <c r="AR385" s="40"/>
      <c r="AS385" s="40"/>
      <c r="AT385" s="47"/>
      <c r="AU385" s="40"/>
      <c r="AV385" s="46" t="str">
        <f>IFERROR(__xludf.DUMMYFUNCTION("""COMPUTED_VALUE"""),"Shadid")</f>
        <v>Shadid</v>
      </c>
      <c r="AW385" s="46">
        <f t="shared" si="7"/>
        <v>100</v>
      </c>
      <c r="AX385" s="47">
        <f t="shared" ref="AX385:BQ385" si="1265">SUMIFS($AJ:$AJ,$V:$V,$AV385,$AK:$AK,AX$2)</f>
        <v>0</v>
      </c>
      <c r="AY385" s="48">
        <f t="shared" si="1265"/>
        <v>0</v>
      </c>
      <c r="AZ385" s="48">
        <f t="shared" si="1265"/>
        <v>0</v>
      </c>
      <c r="BA385" s="48">
        <f t="shared" si="1265"/>
        <v>100</v>
      </c>
      <c r="BB385" s="48">
        <f t="shared" si="1265"/>
        <v>0</v>
      </c>
      <c r="BC385" s="48">
        <f t="shared" si="1265"/>
        <v>0</v>
      </c>
      <c r="BD385" s="48">
        <f t="shared" si="1265"/>
        <v>0</v>
      </c>
      <c r="BE385" s="48">
        <f t="shared" si="1265"/>
        <v>0</v>
      </c>
      <c r="BF385" s="48">
        <f t="shared" si="1265"/>
        <v>0</v>
      </c>
      <c r="BG385" s="48">
        <f t="shared" si="1265"/>
        <v>0</v>
      </c>
      <c r="BH385" s="48">
        <f t="shared" si="1265"/>
        <v>0</v>
      </c>
      <c r="BI385" s="48">
        <f t="shared" si="1265"/>
        <v>0</v>
      </c>
      <c r="BJ385" s="48">
        <f t="shared" si="1265"/>
        <v>0</v>
      </c>
      <c r="BK385" s="48">
        <f t="shared" si="1265"/>
        <v>0</v>
      </c>
      <c r="BL385" s="48">
        <f t="shared" si="1265"/>
        <v>0</v>
      </c>
      <c r="BM385" s="48">
        <f t="shared" si="1265"/>
        <v>0</v>
      </c>
      <c r="BN385" s="48">
        <f t="shared" si="1265"/>
        <v>0</v>
      </c>
      <c r="BO385" s="48">
        <f t="shared" si="1265"/>
        <v>0</v>
      </c>
      <c r="BP385" s="48">
        <f t="shared" si="1265"/>
        <v>0</v>
      </c>
      <c r="BQ385" s="48">
        <f t="shared" si="1265"/>
        <v>0</v>
      </c>
      <c r="BR385" s="36">
        <f t="shared" si="9"/>
        <v>0</v>
      </c>
      <c r="BS385" s="38">
        <f t="shared" si="10"/>
        <v>1</v>
      </c>
      <c r="BT385" s="49">
        <f t="shared" si="11"/>
        <v>0</v>
      </c>
      <c r="BU385" s="38">
        <f t="shared" si="12"/>
        <v>1000</v>
      </c>
      <c r="BV385" s="46" t="str">
        <f>IFERROR(__xludf.DUMMYFUNCTION("""COMPUTED_VALUE"""),"Shadid")</f>
        <v>Shadid</v>
      </c>
      <c r="BW385" s="46">
        <f t="shared" si="13"/>
        <v>100</v>
      </c>
      <c r="BX385" s="47">
        <f t="shared" ref="BX385:CA385" si="1266">AX385-$BU385</f>
        <v>-1000</v>
      </c>
      <c r="BY385" s="47">
        <f t="shared" si="1266"/>
        <v>-1000</v>
      </c>
      <c r="BZ385" s="47">
        <f t="shared" si="1266"/>
        <v>-1000</v>
      </c>
      <c r="CA385" s="47">
        <f t="shared" si="1266"/>
        <v>-900</v>
      </c>
      <c r="CB385" s="47">
        <f t="shared" si="15"/>
        <v>-10000</v>
      </c>
      <c r="CC385" s="47">
        <f t="shared" ref="CC385:CQ385" si="1267">BC385-$BU385</f>
        <v>-1000</v>
      </c>
      <c r="CD385" s="47">
        <f t="shared" si="1267"/>
        <v>-1000</v>
      </c>
      <c r="CE385" s="47">
        <f t="shared" si="1267"/>
        <v>-1000</v>
      </c>
      <c r="CF385" s="47">
        <f t="shared" si="1267"/>
        <v>-1000</v>
      </c>
      <c r="CG385" s="47">
        <f t="shared" si="1267"/>
        <v>-1000</v>
      </c>
      <c r="CH385" s="47">
        <f t="shared" si="1267"/>
        <v>-1000</v>
      </c>
      <c r="CI385" s="47">
        <f t="shared" si="1267"/>
        <v>-1000</v>
      </c>
      <c r="CJ385" s="47">
        <f t="shared" si="1267"/>
        <v>-1000</v>
      </c>
      <c r="CK385" s="47">
        <f t="shared" si="1267"/>
        <v>-1000</v>
      </c>
      <c r="CL385" s="47">
        <f t="shared" si="1267"/>
        <v>-1000</v>
      </c>
      <c r="CM385" s="47">
        <f t="shared" si="1267"/>
        <v>-1000</v>
      </c>
      <c r="CN385" s="47">
        <f t="shared" si="1267"/>
        <v>-1000</v>
      </c>
      <c r="CO385" s="47">
        <f t="shared" si="1267"/>
        <v>-1000</v>
      </c>
      <c r="CP385" s="47">
        <f t="shared" si="1267"/>
        <v>-1000</v>
      </c>
      <c r="CQ385" s="47">
        <f t="shared" si="1267"/>
        <v>-1000</v>
      </c>
      <c r="CR385" s="47"/>
      <c r="CS385" s="47"/>
      <c r="CT385" s="47"/>
      <c r="CU385" s="50" t="str">
        <f>IFERROR(__xludf.DUMMYFUNCTION("""COMPUTED_VALUE"""),"5453 Surrey Circle
Dallas, TX 75209          ")</f>
        <v>5453 Surrey Circle
Dallas, TX 75209          </v>
      </c>
      <c r="CV385" s="51">
        <f>IFERROR(__xludf.DUMMYFUNCTION("IF(REGEXMATCH(UPPER(CU385), ""TX""),0,1)"),0.0)</f>
        <v>0</v>
      </c>
      <c r="CW385" s="51">
        <f>IFERROR(__xludf.DUMMYFUNCTION("IF(REGEXMATCH(UPPER(CU385), ""DALLAS""),0,1)"),0.0)</f>
        <v>0</v>
      </c>
      <c r="CX385" s="51">
        <f t="shared" si="17"/>
        <v>0</v>
      </c>
      <c r="CY385" s="51">
        <f t="shared" si="18"/>
        <v>0</v>
      </c>
      <c r="CZ385" s="52" t="str">
        <f t="shared" si="19"/>
        <v/>
      </c>
      <c r="DA385" s="58"/>
      <c r="DB385" s="52"/>
      <c r="DC385" s="52"/>
      <c r="DD385" s="52"/>
      <c r="DE385" s="52"/>
      <c r="DF385" s="52"/>
      <c r="DG385" s="52"/>
      <c r="DH385" s="52"/>
      <c r="DI385" s="52"/>
      <c r="DJ385" s="52"/>
      <c r="DK385" s="52"/>
      <c r="DL385" s="52"/>
      <c r="DM385" s="52"/>
      <c r="DN385" s="52"/>
      <c r="DO385" s="52"/>
      <c r="DP385" s="52"/>
      <c r="DQ385" s="52"/>
      <c r="DR385" s="52"/>
      <c r="DS385" s="52"/>
      <c r="DT385" s="52"/>
      <c r="DU385" s="52"/>
      <c r="DV385" s="52"/>
      <c r="DW385" s="52"/>
    </row>
    <row r="386">
      <c r="A386" s="22" t="s">
        <v>55</v>
      </c>
      <c r="B386" s="23" t="s">
        <v>56</v>
      </c>
      <c r="C386" s="31" t="s">
        <v>1074</v>
      </c>
      <c r="D386" s="25" t="str">
        <f>IFERROR(__xludf.DUMMYFUNCTION("SPLIT(C386,"" "")"),"Marshall,")</f>
        <v>Marshall,</v>
      </c>
      <c r="E386" s="22" t="str">
        <f>IFERROR(__xludf.DUMMYFUNCTION("""COMPUTED_VALUE"""),"E")</f>
        <v>E</v>
      </c>
      <c r="F386" s="22" t="str">
        <f>IFERROR(__xludf.DUMMYFUNCTION("""COMPUTED_VALUE"""),"Pierce
6425")</f>
        <v>Pierce
6425</v>
      </c>
      <c r="G386" s="22" t="str">
        <f>IFERROR(__xludf.DUMMYFUNCTION("""COMPUTED_VALUE"""),"Belmead")</f>
        <v>Belmead</v>
      </c>
      <c r="H386" s="22" t="str">
        <f>IFERROR(__xludf.DUMMYFUNCTION("""COMPUTED_VALUE"""),"Dr
Dallas,")</f>
        <v>Dr
Dallas,</v>
      </c>
      <c r="I386" s="22" t="str">
        <f>IFERROR(__xludf.DUMMYFUNCTION("""COMPUTED_VALUE"""),"TX")</f>
        <v>TX</v>
      </c>
      <c r="J386" s="22">
        <f>IFERROR(__xludf.DUMMYFUNCTION("""COMPUTED_VALUE"""),75230.0)</f>
        <v>75230</v>
      </c>
      <c r="K386" s="22"/>
      <c r="L386" s="22"/>
      <c r="M386" s="22"/>
      <c r="N386" s="22"/>
      <c r="O386" s="22"/>
      <c r="P386" s="22"/>
      <c r="Q386" s="22"/>
      <c r="R386" s="22"/>
      <c r="S386" s="22"/>
      <c r="T386" s="22"/>
      <c r="U386" s="24" t="str">
        <f>IFERROR(__xludf.DUMMYFUNCTION("SPLIT(E386,""01234567890"")"),"E")</f>
        <v>E</v>
      </c>
      <c r="V386" s="24" t="str">
        <f>IFERROR(__xludf.DUMMYFUNCTION("SPLIT(D386,"","")"),"Marshall")</f>
        <v>Marshall</v>
      </c>
      <c r="W386" s="25" t="str">
        <f t="shared" si="1"/>
        <v>E MARSHALL</v>
      </c>
      <c r="X386" s="25" t="s">
        <v>1075</v>
      </c>
      <c r="Y386" s="25">
        <v>75230.0</v>
      </c>
      <c r="Z386" s="25" t="str">
        <f>IFERROR(__xludf.DUMMYFUNCTION("SPLIT(C386,""
"")"),"Marshall, E Pierce")</f>
        <v>Marshall, E Pierce</v>
      </c>
      <c r="AA386" s="25" t="str">
        <f>IFERROR(__xludf.DUMMYFUNCTION("""COMPUTED_VALUE"""),"6425 Belmead Dr")</f>
        <v>6425 Belmead Dr</v>
      </c>
      <c r="AB386" s="25" t="str">
        <f>IFERROR(__xludf.DUMMYFUNCTION("""COMPUTED_VALUE"""),"Dallas, TX 75230")</f>
        <v>Dallas, TX 75230</v>
      </c>
      <c r="AC386" s="24" t="s">
        <v>1076</v>
      </c>
      <c r="AD386" s="25"/>
      <c r="AE386" s="25"/>
      <c r="AF386" s="25"/>
      <c r="AG386" s="22" t="s">
        <v>60</v>
      </c>
      <c r="AH386" s="54">
        <v>2437.0</v>
      </c>
      <c r="AI386" s="22" t="s">
        <v>61</v>
      </c>
      <c r="AJ386" s="27">
        <v>5000.0</v>
      </c>
      <c r="AK386" s="31" t="s">
        <v>25</v>
      </c>
      <c r="AL386" s="28">
        <v>44719.0</v>
      </c>
      <c r="AM386" s="29">
        <v>44754.83237268519</v>
      </c>
      <c r="AN386" s="30">
        <v>2.0</v>
      </c>
      <c r="AO386" s="22"/>
      <c r="AP386" s="22"/>
      <c r="AQ386" s="22"/>
      <c r="AR386" s="22"/>
      <c r="AS386" s="22"/>
      <c r="AT386" s="70"/>
      <c r="AU386" s="22"/>
      <c r="AV386" s="57" t="str">
        <f>IFERROR(__xludf.DUMMYFUNCTION("""COMPUTED_VALUE"""),"Suhm")</f>
        <v>Suhm</v>
      </c>
      <c r="AW386" s="46">
        <f t="shared" si="7"/>
        <v>120</v>
      </c>
      <c r="AX386" s="47">
        <f t="shared" ref="AX386:BQ386" si="1268">SUMIFS($AJ:$AJ,$V:$V,$AV386,$AK:$AK,AX$2)</f>
        <v>0</v>
      </c>
      <c r="AY386" s="48">
        <f t="shared" si="1268"/>
        <v>0</v>
      </c>
      <c r="AZ386" s="48">
        <f t="shared" si="1268"/>
        <v>0</v>
      </c>
      <c r="BA386" s="48">
        <f t="shared" si="1268"/>
        <v>120</v>
      </c>
      <c r="BB386" s="48">
        <f t="shared" si="1268"/>
        <v>0</v>
      </c>
      <c r="BC386" s="48">
        <f t="shared" si="1268"/>
        <v>0</v>
      </c>
      <c r="BD386" s="48">
        <f t="shared" si="1268"/>
        <v>0</v>
      </c>
      <c r="BE386" s="48">
        <f t="shared" si="1268"/>
        <v>0</v>
      </c>
      <c r="BF386" s="48">
        <f t="shared" si="1268"/>
        <v>0</v>
      </c>
      <c r="BG386" s="48">
        <f t="shared" si="1268"/>
        <v>0</v>
      </c>
      <c r="BH386" s="48">
        <f t="shared" si="1268"/>
        <v>0</v>
      </c>
      <c r="BI386" s="48">
        <f t="shared" si="1268"/>
        <v>0</v>
      </c>
      <c r="BJ386" s="48">
        <f t="shared" si="1268"/>
        <v>0</v>
      </c>
      <c r="BK386" s="48">
        <f t="shared" si="1268"/>
        <v>0</v>
      </c>
      <c r="BL386" s="48">
        <f t="shared" si="1268"/>
        <v>0</v>
      </c>
      <c r="BM386" s="48">
        <f t="shared" si="1268"/>
        <v>0</v>
      </c>
      <c r="BN386" s="48">
        <f t="shared" si="1268"/>
        <v>0</v>
      </c>
      <c r="BO386" s="48">
        <f t="shared" si="1268"/>
        <v>0</v>
      </c>
      <c r="BP386" s="48">
        <f t="shared" si="1268"/>
        <v>0</v>
      </c>
      <c r="BQ386" s="48">
        <f t="shared" si="1268"/>
        <v>0</v>
      </c>
      <c r="BR386" s="36">
        <f t="shared" si="9"/>
        <v>0</v>
      </c>
      <c r="BS386" s="38">
        <f t="shared" si="10"/>
        <v>1</v>
      </c>
      <c r="BT386" s="49">
        <f t="shared" si="11"/>
        <v>0</v>
      </c>
      <c r="BU386" s="38">
        <f t="shared" si="12"/>
        <v>1000</v>
      </c>
      <c r="BV386" s="57" t="str">
        <f>IFERROR(__xludf.DUMMYFUNCTION("""COMPUTED_VALUE"""),"Suhm")</f>
        <v>Suhm</v>
      </c>
      <c r="BW386" s="46">
        <f t="shared" si="13"/>
        <v>120</v>
      </c>
      <c r="BX386" s="47">
        <f t="shared" ref="BX386:CA386" si="1269">AX386-$BU386</f>
        <v>-1000</v>
      </c>
      <c r="BY386" s="47">
        <f t="shared" si="1269"/>
        <v>-1000</v>
      </c>
      <c r="BZ386" s="47">
        <f t="shared" si="1269"/>
        <v>-1000</v>
      </c>
      <c r="CA386" s="47">
        <f t="shared" si="1269"/>
        <v>-880</v>
      </c>
      <c r="CB386" s="47">
        <f t="shared" si="15"/>
        <v>-10000</v>
      </c>
      <c r="CC386" s="47">
        <f t="shared" ref="CC386:CQ386" si="1270">BC386-$BU386</f>
        <v>-1000</v>
      </c>
      <c r="CD386" s="47">
        <f t="shared" si="1270"/>
        <v>-1000</v>
      </c>
      <c r="CE386" s="47">
        <f t="shared" si="1270"/>
        <v>-1000</v>
      </c>
      <c r="CF386" s="47">
        <f t="shared" si="1270"/>
        <v>-1000</v>
      </c>
      <c r="CG386" s="47">
        <f t="shared" si="1270"/>
        <v>-1000</v>
      </c>
      <c r="CH386" s="47">
        <f t="shared" si="1270"/>
        <v>-1000</v>
      </c>
      <c r="CI386" s="47">
        <f t="shared" si="1270"/>
        <v>-1000</v>
      </c>
      <c r="CJ386" s="47">
        <f t="shared" si="1270"/>
        <v>-1000</v>
      </c>
      <c r="CK386" s="47">
        <f t="shared" si="1270"/>
        <v>-1000</v>
      </c>
      <c r="CL386" s="47">
        <f t="shared" si="1270"/>
        <v>-1000</v>
      </c>
      <c r="CM386" s="47">
        <f t="shared" si="1270"/>
        <v>-1000</v>
      </c>
      <c r="CN386" s="47">
        <f t="shared" si="1270"/>
        <v>-1000</v>
      </c>
      <c r="CO386" s="47">
        <f t="shared" si="1270"/>
        <v>-1000</v>
      </c>
      <c r="CP386" s="47">
        <f t="shared" si="1270"/>
        <v>-1000</v>
      </c>
      <c r="CQ386" s="47">
        <f t="shared" si="1270"/>
        <v>-1000</v>
      </c>
      <c r="CR386" s="47"/>
      <c r="CS386" s="47"/>
      <c r="CT386" s="47"/>
      <c r="CU386" s="50" t="str">
        <f>IFERROR(__xludf.DUMMYFUNCTION("""COMPUTED_VALUE"""),"10755 Morning Glory Drive
Dallas, TX 75229         ")</f>
        <v>10755 Morning Glory Drive
Dallas, TX 75229         </v>
      </c>
      <c r="CV386" s="51">
        <f>IFERROR(__xludf.DUMMYFUNCTION("IF(REGEXMATCH(UPPER(CU386), ""TX""),0,1)"),0.0)</f>
        <v>0</v>
      </c>
      <c r="CW386" s="51">
        <f>IFERROR(__xludf.DUMMYFUNCTION("IF(REGEXMATCH(UPPER(CU386), ""DALLAS""),0,1)"),0.0)</f>
        <v>0</v>
      </c>
      <c r="CX386" s="51">
        <f t="shared" si="17"/>
        <v>0</v>
      </c>
      <c r="CY386" s="51">
        <f t="shared" si="18"/>
        <v>0</v>
      </c>
      <c r="CZ386" s="52" t="str">
        <f t="shared" si="19"/>
        <v/>
      </c>
      <c r="DA386" s="58"/>
      <c r="DB386" s="52"/>
      <c r="DC386" s="52"/>
      <c r="DD386" s="52"/>
      <c r="DE386" s="52"/>
      <c r="DF386" s="52"/>
      <c r="DG386" s="52"/>
      <c r="DH386" s="52"/>
      <c r="DI386" s="52"/>
      <c r="DJ386" s="52"/>
      <c r="DK386" s="52"/>
      <c r="DL386" s="52"/>
      <c r="DM386" s="52"/>
      <c r="DN386" s="52"/>
      <c r="DO386" s="52"/>
      <c r="DP386" s="52"/>
      <c r="DQ386" s="52"/>
      <c r="DR386" s="52"/>
      <c r="DS386" s="52"/>
      <c r="DT386" s="52"/>
      <c r="DU386" s="52"/>
      <c r="DV386" s="52"/>
      <c r="DW386" s="52"/>
    </row>
    <row r="387">
      <c r="A387" s="41" t="s">
        <v>64</v>
      </c>
      <c r="B387" s="41" t="s">
        <v>56</v>
      </c>
      <c r="C387" s="31" t="s">
        <v>1077</v>
      </c>
      <c r="D387" s="25" t="str">
        <f>IFERROR(__xludf.DUMMYFUNCTION("SPLIT(C387,"" "")"),"Mitchell,")</f>
        <v>Mitchell,</v>
      </c>
      <c r="E387" s="40" t="str">
        <f>IFERROR(__xludf.DUMMYFUNCTION("""COMPUTED_VALUE"""),"Sarah
7008")</f>
        <v>Sarah
7008</v>
      </c>
      <c r="F387" s="40" t="str">
        <f>IFERROR(__xludf.DUMMYFUNCTION("""COMPUTED_VALUE"""),"Merrilee")</f>
        <v>Merrilee</v>
      </c>
      <c r="G387" s="40" t="str">
        <f>IFERROR(__xludf.DUMMYFUNCTION("""COMPUTED_VALUE"""),"Ln
Dallas,")</f>
        <v>Ln
Dallas,</v>
      </c>
      <c r="H387" s="40" t="str">
        <f>IFERROR(__xludf.DUMMYFUNCTION("""COMPUTED_VALUE"""),"TX")</f>
        <v>TX</v>
      </c>
      <c r="I387" s="40">
        <f>IFERROR(__xludf.DUMMYFUNCTION("""COMPUTED_VALUE"""),75214.0)</f>
        <v>75214</v>
      </c>
      <c r="J387" s="40"/>
      <c r="K387" s="40"/>
      <c r="L387" s="40"/>
      <c r="M387" s="40"/>
      <c r="N387" s="40"/>
      <c r="O387" s="40"/>
      <c r="P387" s="40"/>
      <c r="Q387" s="40"/>
      <c r="R387" s="40"/>
      <c r="S387" s="40"/>
      <c r="T387" s="40"/>
      <c r="U387" s="24" t="str">
        <f>IFERROR(__xludf.DUMMYFUNCTION("SPLIT(E387,""01234567890"")"),"Sarah
")</f>
        <v>Sarah
</v>
      </c>
      <c r="V387" s="24" t="str">
        <f>IFERROR(__xludf.DUMMYFUNCTION("SPLIT(D387,"","")"),"Mitchell")</f>
        <v>Mitchell</v>
      </c>
      <c r="W387" s="25" t="str">
        <f t="shared" si="1"/>
        <v>SARAH
 MITCHELL</v>
      </c>
      <c r="X387" s="25" t="s">
        <v>1078</v>
      </c>
      <c r="Y387" s="25">
        <v>75214.0</v>
      </c>
      <c r="Z387" s="25" t="str">
        <f>IFERROR(__xludf.DUMMYFUNCTION("SPLIT(C387,""
"")"),"Mitchell, Sarah")</f>
        <v>Mitchell, Sarah</v>
      </c>
      <c r="AA387" s="25" t="str">
        <f>IFERROR(__xludf.DUMMYFUNCTION("""COMPUTED_VALUE"""),"7008 Merrilee Ln")</f>
        <v>7008 Merrilee Ln</v>
      </c>
      <c r="AB387" s="25" t="str">
        <f>IFERROR(__xludf.DUMMYFUNCTION("""COMPUTED_VALUE"""),"Dallas, TX 75214")</f>
        <v>Dallas, TX 75214</v>
      </c>
      <c r="AC387" s="24" t="s">
        <v>1079</v>
      </c>
      <c r="AD387" s="25"/>
      <c r="AE387" s="25"/>
      <c r="AF387" s="25"/>
      <c r="AG387" s="40" t="s">
        <v>60</v>
      </c>
      <c r="AH387" s="42">
        <v>2437.0</v>
      </c>
      <c r="AI387" s="40" t="s">
        <v>61</v>
      </c>
      <c r="AJ387" s="27">
        <v>250.0</v>
      </c>
      <c r="AK387" s="31" t="s">
        <v>25</v>
      </c>
      <c r="AL387" s="43">
        <v>44719.0</v>
      </c>
      <c r="AM387" s="44">
        <v>44754.83237268519</v>
      </c>
      <c r="AN387" s="30">
        <v>2.0</v>
      </c>
      <c r="AO387" s="40"/>
      <c r="AP387" s="40"/>
      <c r="AQ387" s="40"/>
      <c r="AR387" s="40"/>
      <c r="AS387" s="40"/>
      <c r="AT387" s="47"/>
      <c r="AU387" s="40"/>
      <c r="AV387" s="46" t="str">
        <f>IFERROR(__xludf.DUMMYFUNCTION("""COMPUTED_VALUE"""),"Corcoran")</f>
        <v>Corcoran</v>
      </c>
      <c r="AW387" s="46">
        <f t="shared" si="7"/>
        <v>250</v>
      </c>
      <c r="AX387" s="47">
        <f t="shared" ref="AX387:BQ387" si="1271">SUMIFS($AJ:$AJ,$V:$V,$AV387,$AK:$AK,AX$2)</f>
        <v>0</v>
      </c>
      <c r="AY387" s="48">
        <f t="shared" si="1271"/>
        <v>0</v>
      </c>
      <c r="AZ387" s="48">
        <f t="shared" si="1271"/>
        <v>0</v>
      </c>
      <c r="BA387" s="48">
        <f t="shared" si="1271"/>
        <v>250</v>
      </c>
      <c r="BB387" s="48">
        <f t="shared" si="1271"/>
        <v>0</v>
      </c>
      <c r="BC387" s="48">
        <f t="shared" si="1271"/>
        <v>0</v>
      </c>
      <c r="BD387" s="48">
        <f t="shared" si="1271"/>
        <v>0</v>
      </c>
      <c r="BE387" s="48">
        <f t="shared" si="1271"/>
        <v>0</v>
      </c>
      <c r="BF387" s="48">
        <f t="shared" si="1271"/>
        <v>0</v>
      </c>
      <c r="BG387" s="48">
        <f t="shared" si="1271"/>
        <v>0</v>
      </c>
      <c r="BH387" s="48">
        <f t="shared" si="1271"/>
        <v>0</v>
      </c>
      <c r="BI387" s="48">
        <f t="shared" si="1271"/>
        <v>0</v>
      </c>
      <c r="BJ387" s="48">
        <f t="shared" si="1271"/>
        <v>0</v>
      </c>
      <c r="BK387" s="48">
        <f t="shared" si="1271"/>
        <v>0</v>
      </c>
      <c r="BL387" s="48">
        <f t="shared" si="1271"/>
        <v>0</v>
      </c>
      <c r="BM387" s="48">
        <f t="shared" si="1271"/>
        <v>0</v>
      </c>
      <c r="BN387" s="48">
        <f t="shared" si="1271"/>
        <v>0</v>
      </c>
      <c r="BO387" s="48">
        <f t="shared" si="1271"/>
        <v>0</v>
      </c>
      <c r="BP387" s="48">
        <f t="shared" si="1271"/>
        <v>0</v>
      </c>
      <c r="BQ387" s="48">
        <f t="shared" si="1271"/>
        <v>0</v>
      </c>
      <c r="BR387" s="36">
        <f t="shared" si="9"/>
        <v>0</v>
      </c>
      <c r="BS387" s="38">
        <f t="shared" si="10"/>
        <v>1</v>
      </c>
      <c r="BT387" s="49">
        <f t="shared" si="11"/>
        <v>0</v>
      </c>
      <c r="BU387" s="38">
        <f t="shared" si="12"/>
        <v>1000</v>
      </c>
      <c r="BV387" s="46" t="str">
        <f>IFERROR(__xludf.DUMMYFUNCTION("""COMPUTED_VALUE"""),"Corcoran")</f>
        <v>Corcoran</v>
      </c>
      <c r="BW387" s="46">
        <f t="shared" si="13"/>
        <v>250</v>
      </c>
      <c r="BX387" s="47">
        <f t="shared" ref="BX387:CA387" si="1272">AX387-$BU387</f>
        <v>-1000</v>
      </c>
      <c r="BY387" s="47">
        <f t="shared" si="1272"/>
        <v>-1000</v>
      </c>
      <c r="BZ387" s="47">
        <f t="shared" si="1272"/>
        <v>-1000</v>
      </c>
      <c r="CA387" s="47">
        <f t="shared" si="1272"/>
        <v>-750</v>
      </c>
      <c r="CB387" s="47">
        <f t="shared" si="15"/>
        <v>-10000</v>
      </c>
      <c r="CC387" s="47">
        <f t="shared" ref="CC387:CQ387" si="1273">BC387-$BU387</f>
        <v>-1000</v>
      </c>
      <c r="CD387" s="47">
        <f t="shared" si="1273"/>
        <v>-1000</v>
      </c>
      <c r="CE387" s="47">
        <f t="shared" si="1273"/>
        <v>-1000</v>
      </c>
      <c r="CF387" s="47">
        <f t="shared" si="1273"/>
        <v>-1000</v>
      </c>
      <c r="CG387" s="47">
        <f t="shared" si="1273"/>
        <v>-1000</v>
      </c>
      <c r="CH387" s="47">
        <f t="shared" si="1273"/>
        <v>-1000</v>
      </c>
      <c r="CI387" s="47">
        <f t="shared" si="1273"/>
        <v>-1000</v>
      </c>
      <c r="CJ387" s="47">
        <f t="shared" si="1273"/>
        <v>-1000</v>
      </c>
      <c r="CK387" s="47">
        <f t="shared" si="1273"/>
        <v>-1000</v>
      </c>
      <c r="CL387" s="47">
        <f t="shared" si="1273"/>
        <v>-1000</v>
      </c>
      <c r="CM387" s="47">
        <f t="shared" si="1273"/>
        <v>-1000</v>
      </c>
      <c r="CN387" s="47">
        <f t="shared" si="1273"/>
        <v>-1000</v>
      </c>
      <c r="CO387" s="47">
        <f t="shared" si="1273"/>
        <v>-1000</v>
      </c>
      <c r="CP387" s="47">
        <f t="shared" si="1273"/>
        <v>-1000</v>
      </c>
      <c r="CQ387" s="47">
        <f t="shared" si="1273"/>
        <v>-1000</v>
      </c>
      <c r="CR387" s="47"/>
      <c r="CS387" s="47"/>
      <c r="CT387" s="47"/>
      <c r="CU387" s="50" t="str">
        <f>IFERROR(__xludf.DUMMYFUNCTION("""COMPUTED_VALUE"""),"7712 Southwestern Blvd.
Dallas, TX 75225          ")</f>
        <v>7712 Southwestern Blvd.
Dallas, TX 75225          </v>
      </c>
      <c r="CV387" s="51">
        <f>IFERROR(__xludf.DUMMYFUNCTION("IF(REGEXMATCH(UPPER(CU387), ""TX""),0,1)"),0.0)</f>
        <v>0</v>
      </c>
      <c r="CW387" s="51">
        <f>IFERROR(__xludf.DUMMYFUNCTION("IF(REGEXMATCH(UPPER(CU387), ""DALLAS""),0,1)"),0.0)</f>
        <v>0</v>
      </c>
      <c r="CX387" s="51">
        <f t="shared" si="17"/>
        <v>0</v>
      </c>
      <c r="CY387" s="51">
        <f t="shared" si="18"/>
        <v>0</v>
      </c>
      <c r="CZ387" s="52" t="str">
        <f t="shared" si="19"/>
        <v/>
      </c>
      <c r="DA387" s="58"/>
      <c r="DB387" s="52"/>
      <c r="DC387" s="52"/>
      <c r="DD387" s="52"/>
      <c r="DE387" s="52"/>
      <c r="DF387" s="52"/>
      <c r="DG387" s="52"/>
      <c r="DH387" s="52"/>
      <c r="DI387" s="52"/>
      <c r="DJ387" s="52"/>
      <c r="DK387" s="52"/>
      <c r="DL387" s="52"/>
      <c r="DM387" s="52"/>
      <c r="DN387" s="52"/>
      <c r="DO387" s="52"/>
      <c r="DP387" s="52"/>
      <c r="DQ387" s="52"/>
      <c r="DR387" s="52"/>
      <c r="DS387" s="52"/>
      <c r="DT387" s="52"/>
      <c r="DU387" s="52"/>
      <c r="DV387" s="52"/>
      <c r="DW387" s="52"/>
    </row>
    <row r="388">
      <c r="A388" s="22" t="s">
        <v>55</v>
      </c>
      <c r="B388" s="23" t="s">
        <v>56</v>
      </c>
      <c r="C388" s="31" t="s">
        <v>1080</v>
      </c>
      <c r="D388" s="25" t="str">
        <f>IFERROR(__xludf.DUMMYFUNCTION("SPLIT(C388,"" "")"),"Welch,")</f>
        <v>Welch,</v>
      </c>
      <c r="E388" s="22" t="str">
        <f>IFERROR(__xludf.DUMMYFUNCTION("""COMPUTED_VALUE"""),"Terrence
4")</f>
        <v>Terrence
4</v>
      </c>
      <c r="F388" s="22" t="str">
        <f>IFERROR(__xludf.DUMMYFUNCTION("""COMPUTED_VALUE"""),"Ryddington")</f>
        <v>Ryddington</v>
      </c>
      <c r="G388" s="22" t="str">
        <f>IFERROR(__xludf.DUMMYFUNCTION("""COMPUTED_VALUE"""),"Pl
Dallas,")</f>
        <v>Pl
Dallas,</v>
      </c>
      <c r="H388" s="22" t="str">
        <f>IFERROR(__xludf.DUMMYFUNCTION("""COMPUTED_VALUE"""),"TX")</f>
        <v>TX</v>
      </c>
      <c r="I388" s="22">
        <f>IFERROR(__xludf.DUMMYFUNCTION("""COMPUTED_VALUE"""),75230.0)</f>
        <v>75230</v>
      </c>
      <c r="J388" s="22"/>
      <c r="K388" s="22"/>
      <c r="L388" s="22"/>
      <c r="M388" s="22"/>
      <c r="N388" s="22"/>
      <c r="O388" s="22"/>
      <c r="P388" s="22"/>
      <c r="Q388" s="22"/>
      <c r="R388" s="22"/>
      <c r="S388" s="22"/>
      <c r="T388" s="22"/>
      <c r="U388" s="24" t="str">
        <f>IFERROR(__xludf.DUMMYFUNCTION("SPLIT(E388,""01234567890"")"),"Terrence
")</f>
        <v>Terrence
</v>
      </c>
      <c r="V388" s="24" t="str">
        <f>IFERROR(__xludf.DUMMYFUNCTION("SPLIT(D388,"","")"),"Welch")</f>
        <v>Welch</v>
      </c>
      <c r="W388" s="25" t="str">
        <f t="shared" si="1"/>
        <v>TERRENCE
 WELCH</v>
      </c>
      <c r="X388" s="25" t="s">
        <v>1081</v>
      </c>
      <c r="Y388" s="25">
        <v>75230.0</v>
      </c>
      <c r="Z388" s="25" t="str">
        <f>IFERROR(__xludf.DUMMYFUNCTION("SPLIT(C388,""
"")"),"Welch, Terrence")</f>
        <v>Welch, Terrence</v>
      </c>
      <c r="AA388" s="25" t="str">
        <f>IFERROR(__xludf.DUMMYFUNCTION("""COMPUTED_VALUE"""),"4 Ryddington Pl")</f>
        <v>4 Ryddington Pl</v>
      </c>
      <c r="AB388" s="25" t="str">
        <f>IFERROR(__xludf.DUMMYFUNCTION("""COMPUTED_VALUE"""),"Dallas, TX 75230")</f>
        <v>Dallas, TX 75230</v>
      </c>
      <c r="AC388" s="24" t="s">
        <v>1082</v>
      </c>
      <c r="AD388" s="25"/>
      <c r="AE388" s="25"/>
      <c r="AF388" s="25"/>
      <c r="AG388" s="22" t="s">
        <v>60</v>
      </c>
      <c r="AH388" s="54">
        <v>2437.0</v>
      </c>
      <c r="AI388" s="22" t="s">
        <v>61</v>
      </c>
      <c r="AJ388" s="27">
        <v>1000.0</v>
      </c>
      <c r="AK388" s="31" t="s">
        <v>25</v>
      </c>
      <c r="AL388" s="28">
        <v>44719.0</v>
      </c>
      <c r="AM388" s="29">
        <v>44754.83237268519</v>
      </c>
      <c r="AN388" s="30">
        <v>2.0</v>
      </c>
      <c r="AO388" s="22"/>
      <c r="AP388" s="22"/>
      <c r="AQ388" s="22"/>
      <c r="AR388" s="22"/>
      <c r="AS388" s="22"/>
      <c r="AT388" s="70"/>
      <c r="AU388" s="22"/>
      <c r="AV388" s="57" t="str">
        <f>IFERROR(__xludf.DUMMYFUNCTION("""COMPUTED_VALUE"""),"Hoffman")</f>
        <v>Hoffman</v>
      </c>
      <c r="AW388" s="46">
        <f t="shared" si="7"/>
        <v>450</v>
      </c>
      <c r="AX388" s="47">
        <f t="shared" ref="AX388:BQ388" si="1274">SUMIFS($AJ:$AJ,$V:$V,$AV388,$AK:$AK,AX$2)</f>
        <v>0</v>
      </c>
      <c r="AY388" s="48">
        <f t="shared" si="1274"/>
        <v>0</v>
      </c>
      <c r="AZ388" s="48">
        <f t="shared" si="1274"/>
        <v>0</v>
      </c>
      <c r="BA388" s="48">
        <f t="shared" si="1274"/>
        <v>450</v>
      </c>
      <c r="BB388" s="48">
        <f t="shared" si="1274"/>
        <v>0</v>
      </c>
      <c r="BC388" s="48">
        <f t="shared" si="1274"/>
        <v>0</v>
      </c>
      <c r="BD388" s="48">
        <f t="shared" si="1274"/>
        <v>0</v>
      </c>
      <c r="BE388" s="48">
        <f t="shared" si="1274"/>
        <v>0</v>
      </c>
      <c r="BF388" s="48">
        <f t="shared" si="1274"/>
        <v>0</v>
      </c>
      <c r="BG388" s="48">
        <f t="shared" si="1274"/>
        <v>0</v>
      </c>
      <c r="BH388" s="48">
        <f t="shared" si="1274"/>
        <v>0</v>
      </c>
      <c r="BI388" s="48">
        <f t="shared" si="1274"/>
        <v>0</v>
      </c>
      <c r="BJ388" s="48">
        <f t="shared" si="1274"/>
        <v>0</v>
      </c>
      <c r="BK388" s="48">
        <f t="shared" si="1274"/>
        <v>0</v>
      </c>
      <c r="BL388" s="48">
        <f t="shared" si="1274"/>
        <v>0</v>
      </c>
      <c r="BM388" s="48">
        <f t="shared" si="1274"/>
        <v>0</v>
      </c>
      <c r="BN388" s="48">
        <f t="shared" si="1274"/>
        <v>0</v>
      </c>
      <c r="BO388" s="48">
        <f t="shared" si="1274"/>
        <v>0</v>
      </c>
      <c r="BP388" s="48">
        <f t="shared" si="1274"/>
        <v>0</v>
      </c>
      <c r="BQ388" s="48">
        <f t="shared" si="1274"/>
        <v>0</v>
      </c>
      <c r="BR388" s="36">
        <f t="shared" si="9"/>
        <v>1</v>
      </c>
      <c r="BS388" s="38">
        <f t="shared" si="10"/>
        <v>2</v>
      </c>
      <c r="BT388" s="49">
        <f t="shared" si="11"/>
        <v>0</v>
      </c>
      <c r="BU388" s="38">
        <f t="shared" si="12"/>
        <v>2000</v>
      </c>
      <c r="BV388" s="57" t="str">
        <f>IFERROR(__xludf.DUMMYFUNCTION("""COMPUTED_VALUE"""),"Hoffman")</f>
        <v>Hoffman</v>
      </c>
      <c r="BW388" s="46">
        <f t="shared" si="13"/>
        <v>450</v>
      </c>
      <c r="BX388" s="47">
        <f t="shared" ref="BX388:CA388" si="1275">AX388-$BU388</f>
        <v>-2000</v>
      </c>
      <c r="BY388" s="47">
        <f t="shared" si="1275"/>
        <v>-2000</v>
      </c>
      <c r="BZ388" s="47">
        <f t="shared" si="1275"/>
        <v>-2000</v>
      </c>
      <c r="CA388" s="47">
        <f t="shared" si="1275"/>
        <v>-1550</v>
      </c>
      <c r="CB388" s="47">
        <f t="shared" si="15"/>
        <v>-20000</v>
      </c>
      <c r="CC388" s="47">
        <f t="shared" ref="CC388:CQ388" si="1276">BC388-$BU388</f>
        <v>-2000</v>
      </c>
      <c r="CD388" s="47">
        <f t="shared" si="1276"/>
        <v>-2000</v>
      </c>
      <c r="CE388" s="47">
        <f t="shared" si="1276"/>
        <v>-2000</v>
      </c>
      <c r="CF388" s="47">
        <f t="shared" si="1276"/>
        <v>-2000</v>
      </c>
      <c r="CG388" s="47">
        <f t="shared" si="1276"/>
        <v>-2000</v>
      </c>
      <c r="CH388" s="47">
        <f t="shared" si="1276"/>
        <v>-2000</v>
      </c>
      <c r="CI388" s="47">
        <f t="shared" si="1276"/>
        <v>-2000</v>
      </c>
      <c r="CJ388" s="47">
        <f t="shared" si="1276"/>
        <v>-2000</v>
      </c>
      <c r="CK388" s="47">
        <f t="shared" si="1276"/>
        <v>-2000</v>
      </c>
      <c r="CL388" s="47">
        <f t="shared" si="1276"/>
        <v>-2000</v>
      </c>
      <c r="CM388" s="47">
        <f t="shared" si="1276"/>
        <v>-2000</v>
      </c>
      <c r="CN388" s="47">
        <f t="shared" si="1276"/>
        <v>-2000</v>
      </c>
      <c r="CO388" s="47">
        <f t="shared" si="1276"/>
        <v>-2000</v>
      </c>
      <c r="CP388" s="47">
        <f t="shared" si="1276"/>
        <v>-2000</v>
      </c>
      <c r="CQ388" s="47">
        <f t="shared" si="1276"/>
        <v>-2000</v>
      </c>
      <c r="CR388" s="47"/>
      <c r="CS388" s="47"/>
      <c r="CT388" s="47"/>
      <c r="CU388" s="50" t="str">
        <f>IFERROR(__xludf.DUMMYFUNCTION("""COMPUTED_VALUE"""),"5505 Montrose Dr
Dallas, TX 75209          ")</f>
        <v>5505 Montrose Dr
Dallas, TX 75209          </v>
      </c>
      <c r="CV388" s="51">
        <f>IFERROR(__xludf.DUMMYFUNCTION("IF(REGEXMATCH(UPPER(CU388), ""TX""),0,1)"),0.0)</f>
        <v>0</v>
      </c>
      <c r="CW388" s="51">
        <f>IFERROR(__xludf.DUMMYFUNCTION("IF(REGEXMATCH(UPPER(CU388), ""DALLAS""),0,1)"),0.0)</f>
        <v>0</v>
      </c>
      <c r="CX388" s="51">
        <f t="shared" si="17"/>
        <v>0</v>
      </c>
      <c r="CY388" s="51">
        <f t="shared" si="18"/>
        <v>0</v>
      </c>
      <c r="CZ388" s="52" t="str">
        <f t="shared" si="19"/>
        <v/>
      </c>
      <c r="DA388" s="58"/>
      <c r="DB388" s="52"/>
      <c r="DC388" s="52"/>
      <c r="DD388" s="52"/>
      <c r="DE388" s="52"/>
      <c r="DF388" s="52"/>
      <c r="DG388" s="52"/>
      <c r="DH388" s="52"/>
      <c r="DI388" s="52"/>
      <c r="DJ388" s="52"/>
      <c r="DK388" s="52"/>
      <c r="DL388" s="52"/>
      <c r="DM388" s="52"/>
      <c r="DN388" s="52"/>
      <c r="DO388" s="52"/>
      <c r="DP388" s="52"/>
      <c r="DQ388" s="52"/>
      <c r="DR388" s="52"/>
      <c r="DS388" s="52"/>
      <c r="DT388" s="52"/>
      <c r="DU388" s="52"/>
      <c r="DV388" s="52"/>
      <c r="DW388" s="52"/>
    </row>
    <row r="389">
      <c r="A389" s="41" t="s">
        <v>64</v>
      </c>
      <c r="B389" s="41" t="s">
        <v>56</v>
      </c>
      <c r="C389" s="31" t="s">
        <v>1083</v>
      </c>
      <c r="D389" s="25" t="str">
        <f>IFERROR(__xludf.DUMMYFUNCTION("SPLIT(C389,"" "")"),"Steinhart,")</f>
        <v>Steinhart,</v>
      </c>
      <c r="E389" s="40" t="str">
        <f>IFERROR(__xludf.DUMMYFUNCTION("""COMPUTED_VALUE"""),"Ronald
25")</f>
        <v>Ronald
25</v>
      </c>
      <c r="F389" s="40" t="str">
        <f>IFERROR(__xludf.DUMMYFUNCTION("""COMPUTED_VALUE"""),"Robledo")</f>
        <v>Robledo</v>
      </c>
      <c r="G389" s="40" t="str">
        <f>IFERROR(__xludf.DUMMYFUNCTION("""COMPUTED_VALUE"""),"Dr
Dallas,")</f>
        <v>Dr
Dallas,</v>
      </c>
      <c r="H389" s="40" t="str">
        <f>IFERROR(__xludf.DUMMYFUNCTION("""COMPUTED_VALUE"""),"TX")</f>
        <v>TX</v>
      </c>
      <c r="I389" s="40">
        <f>IFERROR(__xludf.DUMMYFUNCTION("""COMPUTED_VALUE"""),75230.0)</f>
        <v>75230</v>
      </c>
      <c r="J389" s="40"/>
      <c r="K389" s="40"/>
      <c r="L389" s="40"/>
      <c r="M389" s="40"/>
      <c r="N389" s="40"/>
      <c r="O389" s="40"/>
      <c r="P389" s="40"/>
      <c r="Q389" s="40"/>
      <c r="R389" s="40"/>
      <c r="S389" s="40"/>
      <c r="T389" s="40"/>
      <c r="U389" s="24" t="str">
        <f>IFERROR(__xludf.DUMMYFUNCTION("SPLIT(E389,""01234567890"")"),"Ronald
")</f>
        <v>Ronald
</v>
      </c>
      <c r="V389" s="24" t="str">
        <f>IFERROR(__xludf.DUMMYFUNCTION("SPLIT(D389,"","")"),"Steinhart")</f>
        <v>Steinhart</v>
      </c>
      <c r="W389" s="25" t="str">
        <f t="shared" si="1"/>
        <v>RONALD
 STEINHART</v>
      </c>
      <c r="X389" s="25" t="s">
        <v>1084</v>
      </c>
      <c r="Y389" s="25">
        <v>75230.0</v>
      </c>
      <c r="Z389" s="25" t="str">
        <f>IFERROR(__xludf.DUMMYFUNCTION("SPLIT(C389,""
"")"),"Steinhart, Ronald")</f>
        <v>Steinhart, Ronald</v>
      </c>
      <c r="AA389" s="25" t="str">
        <f>IFERROR(__xludf.DUMMYFUNCTION("""COMPUTED_VALUE"""),"25 Robledo Dr")</f>
        <v>25 Robledo Dr</v>
      </c>
      <c r="AB389" s="25" t="str">
        <f>IFERROR(__xludf.DUMMYFUNCTION("""COMPUTED_VALUE"""),"Dallas, TX 75230")</f>
        <v>Dallas, TX 75230</v>
      </c>
      <c r="AC389" s="24" t="s">
        <v>1085</v>
      </c>
      <c r="AD389" s="25"/>
      <c r="AE389" s="25"/>
      <c r="AF389" s="25"/>
      <c r="AG389" s="40" t="s">
        <v>60</v>
      </c>
      <c r="AH389" s="42">
        <v>2437.0</v>
      </c>
      <c r="AI389" s="40" t="s">
        <v>61</v>
      </c>
      <c r="AJ389" s="27">
        <v>1000.0</v>
      </c>
      <c r="AK389" s="31" t="s">
        <v>25</v>
      </c>
      <c r="AL389" s="43">
        <v>44719.0</v>
      </c>
      <c r="AM389" s="44">
        <v>44754.83237268519</v>
      </c>
      <c r="AN389" s="30">
        <v>2.0</v>
      </c>
      <c r="AO389" s="40"/>
      <c r="AP389" s="40"/>
      <c r="AQ389" s="40"/>
      <c r="AR389" s="40"/>
      <c r="AS389" s="40"/>
      <c r="AT389" s="47"/>
      <c r="AU389" s="40"/>
      <c r="AV389" s="46" t="str">
        <f>IFERROR(__xludf.DUMMYFUNCTION("""COMPUTED_VALUE"""),"Reed")</f>
        <v>Reed</v>
      </c>
      <c r="AW389" s="46">
        <f t="shared" si="7"/>
        <v>1500</v>
      </c>
      <c r="AX389" s="47">
        <f t="shared" ref="AX389:BQ389" si="1277">SUMIFS($AJ:$AJ,$V:$V,$AV389,$AK:$AK,AX$2)</f>
        <v>0</v>
      </c>
      <c r="AY389" s="48">
        <f t="shared" si="1277"/>
        <v>0</v>
      </c>
      <c r="AZ389" s="48">
        <f t="shared" si="1277"/>
        <v>0</v>
      </c>
      <c r="BA389" s="48">
        <f t="shared" si="1277"/>
        <v>1500</v>
      </c>
      <c r="BB389" s="48">
        <f t="shared" si="1277"/>
        <v>0</v>
      </c>
      <c r="BC389" s="48">
        <f t="shared" si="1277"/>
        <v>0</v>
      </c>
      <c r="BD389" s="48">
        <f t="shared" si="1277"/>
        <v>0</v>
      </c>
      <c r="BE389" s="48">
        <f t="shared" si="1277"/>
        <v>0</v>
      </c>
      <c r="BF389" s="48">
        <f t="shared" si="1277"/>
        <v>0</v>
      </c>
      <c r="BG389" s="48">
        <f t="shared" si="1277"/>
        <v>0</v>
      </c>
      <c r="BH389" s="48">
        <f t="shared" si="1277"/>
        <v>0</v>
      </c>
      <c r="BI389" s="48">
        <f t="shared" si="1277"/>
        <v>0</v>
      </c>
      <c r="BJ389" s="48">
        <f t="shared" si="1277"/>
        <v>0</v>
      </c>
      <c r="BK389" s="48">
        <f t="shared" si="1277"/>
        <v>0</v>
      </c>
      <c r="BL389" s="48">
        <f t="shared" si="1277"/>
        <v>0</v>
      </c>
      <c r="BM389" s="48">
        <f t="shared" si="1277"/>
        <v>0</v>
      </c>
      <c r="BN389" s="48">
        <f t="shared" si="1277"/>
        <v>0</v>
      </c>
      <c r="BO389" s="48">
        <f t="shared" si="1277"/>
        <v>0</v>
      </c>
      <c r="BP389" s="48">
        <f t="shared" si="1277"/>
        <v>0</v>
      </c>
      <c r="BQ389" s="48">
        <f t="shared" si="1277"/>
        <v>0</v>
      </c>
      <c r="BR389" s="36">
        <f t="shared" si="9"/>
        <v>0</v>
      </c>
      <c r="BS389" s="38">
        <f t="shared" si="10"/>
        <v>1</v>
      </c>
      <c r="BT389" s="49">
        <f t="shared" si="11"/>
        <v>0</v>
      </c>
      <c r="BU389" s="38">
        <f t="shared" si="12"/>
        <v>1000</v>
      </c>
      <c r="BV389" s="46" t="str">
        <f>IFERROR(__xludf.DUMMYFUNCTION("""COMPUTED_VALUE"""),"Reed")</f>
        <v>Reed</v>
      </c>
      <c r="BW389" s="46">
        <f t="shared" si="13"/>
        <v>1500</v>
      </c>
      <c r="BX389" s="47">
        <f t="shared" ref="BX389:CA389" si="1278">AX389-$BU389</f>
        <v>-1000</v>
      </c>
      <c r="BY389" s="47">
        <f t="shared" si="1278"/>
        <v>-1000</v>
      </c>
      <c r="BZ389" s="47">
        <f t="shared" si="1278"/>
        <v>-1000</v>
      </c>
      <c r="CA389" s="47">
        <f t="shared" si="1278"/>
        <v>500</v>
      </c>
      <c r="CB389" s="47">
        <f t="shared" si="15"/>
        <v>-10000</v>
      </c>
      <c r="CC389" s="47">
        <f t="shared" ref="CC389:CQ389" si="1279">BC389-$BU389</f>
        <v>-1000</v>
      </c>
      <c r="CD389" s="47">
        <f t="shared" si="1279"/>
        <v>-1000</v>
      </c>
      <c r="CE389" s="47">
        <f t="shared" si="1279"/>
        <v>-1000</v>
      </c>
      <c r="CF389" s="47">
        <f t="shared" si="1279"/>
        <v>-1000</v>
      </c>
      <c r="CG389" s="47">
        <f t="shared" si="1279"/>
        <v>-1000</v>
      </c>
      <c r="CH389" s="47">
        <f t="shared" si="1279"/>
        <v>-1000</v>
      </c>
      <c r="CI389" s="47">
        <f t="shared" si="1279"/>
        <v>-1000</v>
      </c>
      <c r="CJ389" s="47">
        <f t="shared" si="1279"/>
        <v>-1000</v>
      </c>
      <c r="CK389" s="47">
        <f t="shared" si="1279"/>
        <v>-1000</v>
      </c>
      <c r="CL389" s="47">
        <f t="shared" si="1279"/>
        <v>-1000</v>
      </c>
      <c r="CM389" s="47">
        <f t="shared" si="1279"/>
        <v>-1000</v>
      </c>
      <c r="CN389" s="47">
        <f t="shared" si="1279"/>
        <v>-1000</v>
      </c>
      <c r="CO389" s="47">
        <f t="shared" si="1279"/>
        <v>-1000</v>
      </c>
      <c r="CP389" s="47">
        <f t="shared" si="1279"/>
        <v>-1000</v>
      </c>
      <c r="CQ389" s="47">
        <f t="shared" si="1279"/>
        <v>-1000</v>
      </c>
      <c r="CR389" s="47"/>
      <c r="CS389" s="47"/>
      <c r="CT389" s="47"/>
      <c r="CU389" s="50" t="str">
        <f>IFERROR(__xludf.DUMMYFUNCTION("""COMPUTED_VALUE"""),"8240 Manderville Lane
Dallas, TX 75231          ")</f>
        <v>8240 Manderville Lane
Dallas, TX 75231          </v>
      </c>
      <c r="CV389" s="51">
        <f>IFERROR(__xludf.DUMMYFUNCTION("IF(REGEXMATCH(UPPER(CU389), ""TX""),0,1)"),0.0)</f>
        <v>0</v>
      </c>
      <c r="CW389" s="51">
        <f>IFERROR(__xludf.DUMMYFUNCTION("IF(REGEXMATCH(UPPER(CU389), ""DALLAS""),0,1)"),0.0)</f>
        <v>0</v>
      </c>
      <c r="CX389" s="51">
        <f t="shared" si="17"/>
        <v>0</v>
      </c>
      <c r="CY389" s="51">
        <f t="shared" si="18"/>
        <v>0</v>
      </c>
      <c r="CZ389" s="52" t="str">
        <f t="shared" si="19"/>
        <v/>
      </c>
      <c r="DA389" s="58"/>
      <c r="DB389" s="52"/>
      <c r="DC389" s="52"/>
      <c r="DD389" s="52"/>
      <c r="DE389" s="52"/>
      <c r="DF389" s="52"/>
      <c r="DG389" s="52"/>
      <c r="DH389" s="52"/>
      <c r="DI389" s="52"/>
      <c r="DJ389" s="52"/>
      <c r="DK389" s="52"/>
      <c r="DL389" s="52"/>
      <c r="DM389" s="52"/>
      <c r="DN389" s="52"/>
      <c r="DO389" s="52"/>
      <c r="DP389" s="52"/>
      <c r="DQ389" s="52"/>
      <c r="DR389" s="52"/>
      <c r="DS389" s="52"/>
      <c r="DT389" s="52"/>
      <c r="DU389" s="52"/>
      <c r="DV389" s="52"/>
      <c r="DW389" s="52"/>
    </row>
    <row r="390">
      <c r="A390" s="22" t="s">
        <v>55</v>
      </c>
      <c r="B390" s="23" t="s">
        <v>56</v>
      </c>
      <c r="C390" s="31" t="s">
        <v>1086</v>
      </c>
      <c r="D390" s="25" t="str">
        <f>IFERROR(__xludf.DUMMYFUNCTION("SPLIT(C390,"" "")"),"Murchison,")</f>
        <v>Murchison,</v>
      </c>
      <c r="E390" s="22" t="str">
        <f>IFERROR(__xludf.DUMMYFUNCTION("""COMPUTED_VALUE"""),"Robert
10131")</f>
        <v>Robert
10131</v>
      </c>
      <c r="F390" s="22" t="str">
        <f>IFERROR(__xludf.DUMMYFUNCTION("""COMPUTED_VALUE"""),"Gaywood")</f>
        <v>Gaywood</v>
      </c>
      <c r="G390" s="22" t="str">
        <f>IFERROR(__xludf.DUMMYFUNCTION("""COMPUTED_VALUE"""),"Road
Dallas,")</f>
        <v>Road
Dallas,</v>
      </c>
      <c r="H390" s="22" t="str">
        <f>IFERROR(__xludf.DUMMYFUNCTION("""COMPUTED_VALUE"""),"TX")</f>
        <v>TX</v>
      </c>
      <c r="I390" s="22">
        <f>IFERROR(__xludf.DUMMYFUNCTION("""COMPUTED_VALUE"""),75229.0)</f>
        <v>75229</v>
      </c>
      <c r="J390" s="22"/>
      <c r="K390" s="22"/>
      <c r="L390" s="22"/>
      <c r="M390" s="22"/>
      <c r="N390" s="22"/>
      <c r="O390" s="22"/>
      <c r="P390" s="22"/>
      <c r="Q390" s="22"/>
      <c r="R390" s="22"/>
      <c r="S390" s="22"/>
      <c r="T390" s="22"/>
      <c r="U390" s="24" t="str">
        <f>IFERROR(__xludf.DUMMYFUNCTION("SPLIT(E390,""01234567890"")"),"Robert
")</f>
        <v>Robert
</v>
      </c>
      <c r="V390" s="24" t="str">
        <f>IFERROR(__xludf.DUMMYFUNCTION("SPLIT(D390,"","")"),"Murchison")</f>
        <v>Murchison</v>
      </c>
      <c r="W390" s="25" t="str">
        <f t="shared" si="1"/>
        <v>ROBERT
 MURCHISON</v>
      </c>
      <c r="X390" s="25" t="s">
        <v>1087</v>
      </c>
      <c r="Y390" s="25">
        <v>75229.0</v>
      </c>
      <c r="Z390" s="25" t="str">
        <f>IFERROR(__xludf.DUMMYFUNCTION("SPLIT(C390,""
"")"),"Murchison, Robert")</f>
        <v>Murchison, Robert</v>
      </c>
      <c r="AA390" s="25" t="str">
        <f>IFERROR(__xludf.DUMMYFUNCTION("""COMPUTED_VALUE"""),"10131 Gaywood Road")</f>
        <v>10131 Gaywood Road</v>
      </c>
      <c r="AB390" s="25" t="str">
        <f>IFERROR(__xludf.DUMMYFUNCTION("""COMPUTED_VALUE"""),"Dallas, TX 75229")</f>
        <v>Dallas, TX 75229</v>
      </c>
      <c r="AC390" s="24" t="s">
        <v>1088</v>
      </c>
      <c r="AD390" s="25"/>
      <c r="AE390" s="25"/>
      <c r="AF390" s="25"/>
      <c r="AG390" s="22" t="s">
        <v>60</v>
      </c>
      <c r="AH390" s="54">
        <v>2437.0</v>
      </c>
      <c r="AI390" s="22" t="s">
        <v>61</v>
      </c>
      <c r="AJ390" s="27">
        <v>5000.0</v>
      </c>
      <c r="AK390" s="31" t="s">
        <v>25</v>
      </c>
      <c r="AL390" s="28">
        <v>44719.0</v>
      </c>
      <c r="AM390" s="29">
        <v>44754.83237268519</v>
      </c>
      <c r="AN390" s="30">
        <v>2.0</v>
      </c>
      <c r="AO390" s="22"/>
      <c r="AP390" s="22"/>
      <c r="AQ390" s="22"/>
      <c r="AR390" s="22"/>
      <c r="AS390" s="22"/>
      <c r="AT390" s="70"/>
      <c r="AU390" s="22"/>
      <c r="AV390" s="57" t="str">
        <f>IFERROR(__xludf.DUMMYFUNCTION("""COMPUTED_VALUE"""),"Maggard")</f>
        <v>Maggard</v>
      </c>
      <c r="AW390" s="46">
        <f t="shared" si="7"/>
        <v>250</v>
      </c>
      <c r="AX390" s="47">
        <f t="shared" ref="AX390:BQ390" si="1280">SUMIFS($AJ:$AJ,$V:$V,$AV390,$AK:$AK,AX$2)</f>
        <v>0</v>
      </c>
      <c r="AY390" s="48">
        <f t="shared" si="1280"/>
        <v>0</v>
      </c>
      <c r="AZ390" s="48">
        <f t="shared" si="1280"/>
        <v>0</v>
      </c>
      <c r="BA390" s="48">
        <f t="shared" si="1280"/>
        <v>250</v>
      </c>
      <c r="BB390" s="48">
        <f t="shared" si="1280"/>
        <v>0</v>
      </c>
      <c r="BC390" s="48">
        <f t="shared" si="1280"/>
        <v>0</v>
      </c>
      <c r="BD390" s="48">
        <f t="shared" si="1280"/>
        <v>0</v>
      </c>
      <c r="BE390" s="48">
        <f t="shared" si="1280"/>
        <v>0</v>
      </c>
      <c r="BF390" s="48">
        <f t="shared" si="1280"/>
        <v>0</v>
      </c>
      <c r="BG390" s="48">
        <f t="shared" si="1280"/>
        <v>0</v>
      </c>
      <c r="BH390" s="48">
        <f t="shared" si="1280"/>
        <v>0</v>
      </c>
      <c r="BI390" s="48">
        <f t="shared" si="1280"/>
        <v>0</v>
      </c>
      <c r="BJ390" s="48">
        <f t="shared" si="1280"/>
        <v>0</v>
      </c>
      <c r="BK390" s="48">
        <f t="shared" si="1280"/>
        <v>0</v>
      </c>
      <c r="BL390" s="48">
        <f t="shared" si="1280"/>
        <v>0</v>
      </c>
      <c r="BM390" s="48">
        <f t="shared" si="1280"/>
        <v>0</v>
      </c>
      <c r="BN390" s="48">
        <f t="shared" si="1280"/>
        <v>0</v>
      </c>
      <c r="BO390" s="48">
        <f t="shared" si="1280"/>
        <v>0</v>
      </c>
      <c r="BP390" s="48">
        <f t="shared" si="1280"/>
        <v>0</v>
      </c>
      <c r="BQ390" s="48">
        <f t="shared" si="1280"/>
        <v>0</v>
      </c>
      <c r="BR390" s="36">
        <f t="shared" si="9"/>
        <v>0</v>
      </c>
      <c r="BS390" s="38">
        <f t="shared" si="10"/>
        <v>1</v>
      </c>
      <c r="BT390" s="49">
        <f t="shared" si="11"/>
        <v>0</v>
      </c>
      <c r="BU390" s="38">
        <f t="shared" si="12"/>
        <v>1000</v>
      </c>
      <c r="BV390" s="57" t="str">
        <f>IFERROR(__xludf.DUMMYFUNCTION("""COMPUTED_VALUE"""),"Maggard")</f>
        <v>Maggard</v>
      </c>
      <c r="BW390" s="46">
        <f t="shared" si="13"/>
        <v>250</v>
      </c>
      <c r="BX390" s="47">
        <f t="shared" ref="BX390:CA390" si="1281">AX390-$BU390</f>
        <v>-1000</v>
      </c>
      <c r="BY390" s="47">
        <f t="shared" si="1281"/>
        <v>-1000</v>
      </c>
      <c r="BZ390" s="47">
        <f t="shared" si="1281"/>
        <v>-1000</v>
      </c>
      <c r="CA390" s="47">
        <f t="shared" si="1281"/>
        <v>-750</v>
      </c>
      <c r="CB390" s="47">
        <f t="shared" si="15"/>
        <v>-10000</v>
      </c>
      <c r="CC390" s="47">
        <f t="shared" ref="CC390:CQ390" si="1282">BC390-$BU390</f>
        <v>-1000</v>
      </c>
      <c r="CD390" s="47">
        <f t="shared" si="1282"/>
        <v>-1000</v>
      </c>
      <c r="CE390" s="47">
        <f t="shared" si="1282"/>
        <v>-1000</v>
      </c>
      <c r="CF390" s="47">
        <f t="shared" si="1282"/>
        <v>-1000</v>
      </c>
      <c r="CG390" s="47">
        <f t="shared" si="1282"/>
        <v>-1000</v>
      </c>
      <c r="CH390" s="47">
        <f t="shared" si="1282"/>
        <v>-1000</v>
      </c>
      <c r="CI390" s="47">
        <f t="shared" si="1282"/>
        <v>-1000</v>
      </c>
      <c r="CJ390" s="47">
        <f t="shared" si="1282"/>
        <v>-1000</v>
      </c>
      <c r="CK390" s="47">
        <f t="shared" si="1282"/>
        <v>-1000</v>
      </c>
      <c r="CL390" s="47">
        <f t="shared" si="1282"/>
        <v>-1000</v>
      </c>
      <c r="CM390" s="47">
        <f t="shared" si="1282"/>
        <v>-1000</v>
      </c>
      <c r="CN390" s="47">
        <f t="shared" si="1282"/>
        <v>-1000</v>
      </c>
      <c r="CO390" s="47">
        <f t="shared" si="1282"/>
        <v>-1000</v>
      </c>
      <c r="CP390" s="47">
        <f t="shared" si="1282"/>
        <v>-1000</v>
      </c>
      <c r="CQ390" s="47">
        <f t="shared" si="1282"/>
        <v>-1000</v>
      </c>
      <c r="CR390" s="47"/>
      <c r="CS390" s="47"/>
      <c r="CT390" s="47"/>
      <c r="CU390" s="50" t="str">
        <f>IFERROR(__xludf.DUMMYFUNCTION("""COMPUTED_VALUE"""),"8322 Ridgelea Street
Dallas, TX 75209          ")</f>
        <v>8322 Ridgelea Street
Dallas, TX 75209          </v>
      </c>
      <c r="CV390" s="51">
        <f>IFERROR(__xludf.DUMMYFUNCTION("IF(REGEXMATCH(UPPER(CU390), ""TX""),0,1)"),0.0)</f>
        <v>0</v>
      </c>
      <c r="CW390" s="51">
        <f>IFERROR(__xludf.DUMMYFUNCTION("IF(REGEXMATCH(UPPER(CU390), ""DALLAS""),0,1)"),0.0)</f>
        <v>0</v>
      </c>
      <c r="CX390" s="51">
        <f t="shared" si="17"/>
        <v>0</v>
      </c>
      <c r="CY390" s="51">
        <f t="shared" si="18"/>
        <v>0</v>
      </c>
      <c r="CZ390" s="52" t="str">
        <f t="shared" si="19"/>
        <v/>
      </c>
      <c r="DA390" s="58"/>
      <c r="DB390" s="52"/>
      <c r="DC390" s="52"/>
      <c r="DD390" s="52"/>
      <c r="DE390" s="52"/>
      <c r="DF390" s="52"/>
      <c r="DG390" s="52"/>
      <c r="DH390" s="52"/>
      <c r="DI390" s="52"/>
      <c r="DJ390" s="52"/>
      <c r="DK390" s="52"/>
      <c r="DL390" s="52"/>
      <c r="DM390" s="52"/>
      <c r="DN390" s="52"/>
      <c r="DO390" s="52"/>
      <c r="DP390" s="52"/>
      <c r="DQ390" s="52"/>
      <c r="DR390" s="52"/>
      <c r="DS390" s="52"/>
      <c r="DT390" s="52"/>
      <c r="DU390" s="52"/>
      <c r="DV390" s="52"/>
      <c r="DW390" s="52"/>
    </row>
    <row r="391">
      <c r="A391" s="41" t="s">
        <v>64</v>
      </c>
      <c r="B391" s="41" t="s">
        <v>56</v>
      </c>
      <c r="C391" s="31" t="s">
        <v>1089</v>
      </c>
      <c r="D391" s="25" t="str">
        <f>IFERROR(__xludf.DUMMYFUNCTION("SPLIT(C391,"" "")"),"Jordan,")</f>
        <v>Jordan,</v>
      </c>
      <c r="E391" s="40" t="str">
        <f>IFERROR(__xludf.DUMMYFUNCTION("""COMPUTED_VALUE"""),"Robert
6515")</f>
        <v>Robert
6515</v>
      </c>
      <c r="F391" s="40" t="str">
        <f>IFERROR(__xludf.DUMMYFUNCTION("""COMPUTED_VALUE"""),"Northaven")</f>
        <v>Northaven</v>
      </c>
      <c r="G391" s="40" t="str">
        <f>IFERROR(__xludf.DUMMYFUNCTION("""COMPUTED_VALUE"""),"Road
Dallas,")</f>
        <v>Road
Dallas,</v>
      </c>
      <c r="H391" s="40" t="str">
        <f>IFERROR(__xludf.DUMMYFUNCTION("""COMPUTED_VALUE"""),"TX")</f>
        <v>TX</v>
      </c>
      <c r="I391" s="40">
        <f>IFERROR(__xludf.DUMMYFUNCTION("""COMPUTED_VALUE"""),75230.0)</f>
        <v>75230</v>
      </c>
      <c r="J391" s="40"/>
      <c r="K391" s="40"/>
      <c r="L391" s="40"/>
      <c r="M391" s="40"/>
      <c r="N391" s="40"/>
      <c r="O391" s="40"/>
      <c r="P391" s="40"/>
      <c r="Q391" s="40"/>
      <c r="R391" s="40"/>
      <c r="S391" s="40"/>
      <c r="T391" s="40"/>
      <c r="U391" s="24" t="str">
        <f>IFERROR(__xludf.DUMMYFUNCTION("SPLIT(E391,""01234567890"")"),"Robert
")</f>
        <v>Robert
</v>
      </c>
      <c r="V391" s="24" t="str">
        <f>IFERROR(__xludf.DUMMYFUNCTION("SPLIT(D391,"","")"),"Jordan")</f>
        <v>Jordan</v>
      </c>
      <c r="W391" s="25" t="str">
        <f t="shared" si="1"/>
        <v>ROBERT
 JORDAN</v>
      </c>
      <c r="X391" s="25" t="s">
        <v>1090</v>
      </c>
      <c r="Y391" s="25">
        <v>75230.0</v>
      </c>
      <c r="Z391" s="25" t="str">
        <f>IFERROR(__xludf.DUMMYFUNCTION("SPLIT(C391,""
"")"),"Jordan, Robert")</f>
        <v>Jordan, Robert</v>
      </c>
      <c r="AA391" s="25" t="str">
        <f>IFERROR(__xludf.DUMMYFUNCTION("""COMPUTED_VALUE"""),"6515 Northaven Road")</f>
        <v>6515 Northaven Road</v>
      </c>
      <c r="AB391" s="25" t="str">
        <f>IFERROR(__xludf.DUMMYFUNCTION("""COMPUTED_VALUE"""),"Dallas, TX 75230")</f>
        <v>Dallas, TX 75230</v>
      </c>
      <c r="AC391" s="24" t="s">
        <v>1091</v>
      </c>
      <c r="AD391" s="25"/>
      <c r="AE391" s="25"/>
      <c r="AF391" s="25"/>
      <c r="AG391" s="40" t="s">
        <v>60</v>
      </c>
      <c r="AH391" s="42">
        <v>2437.0</v>
      </c>
      <c r="AI391" s="40" t="s">
        <v>61</v>
      </c>
      <c r="AJ391" s="27">
        <v>1000.0</v>
      </c>
      <c r="AK391" s="31" t="s">
        <v>25</v>
      </c>
      <c r="AL391" s="43">
        <v>44719.0</v>
      </c>
      <c r="AM391" s="44">
        <v>44754.83237268519</v>
      </c>
      <c r="AN391" s="30">
        <v>2.0</v>
      </c>
      <c r="AO391" s="40"/>
      <c r="AP391" s="40"/>
      <c r="AQ391" s="40"/>
      <c r="AR391" s="40"/>
      <c r="AS391" s="40"/>
      <c r="AT391" s="47"/>
      <c r="AU391" s="40"/>
      <c r="AV391" s="46" t="str">
        <f>IFERROR(__xludf.DUMMYFUNCTION("""COMPUTED_VALUE"""),"Gonzalez")</f>
        <v>Gonzalez</v>
      </c>
      <c r="AW391" s="46">
        <f t="shared" si="7"/>
        <v>600</v>
      </c>
      <c r="AX391" s="47">
        <f t="shared" ref="AX391:BQ391" si="1283">SUMIFS($AJ:$AJ,$V:$V,$AV391,$AK:$AK,AX$2)</f>
        <v>500</v>
      </c>
      <c r="AY391" s="48">
        <f t="shared" si="1283"/>
        <v>0</v>
      </c>
      <c r="AZ391" s="48">
        <f t="shared" si="1283"/>
        <v>0</v>
      </c>
      <c r="BA391" s="48">
        <f t="shared" si="1283"/>
        <v>100</v>
      </c>
      <c r="BB391" s="48">
        <f t="shared" si="1283"/>
        <v>0</v>
      </c>
      <c r="BC391" s="48">
        <f t="shared" si="1283"/>
        <v>0</v>
      </c>
      <c r="BD391" s="48">
        <f t="shared" si="1283"/>
        <v>0</v>
      </c>
      <c r="BE391" s="48">
        <f t="shared" si="1283"/>
        <v>0</v>
      </c>
      <c r="BF391" s="48">
        <f t="shared" si="1283"/>
        <v>0</v>
      </c>
      <c r="BG391" s="48">
        <f t="shared" si="1283"/>
        <v>0</v>
      </c>
      <c r="BH391" s="48">
        <f t="shared" si="1283"/>
        <v>0</v>
      </c>
      <c r="BI391" s="48">
        <f t="shared" si="1283"/>
        <v>0</v>
      </c>
      <c r="BJ391" s="48">
        <f t="shared" si="1283"/>
        <v>0</v>
      </c>
      <c r="BK391" s="48">
        <f t="shared" si="1283"/>
        <v>0</v>
      </c>
      <c r="BL391" s="48">
        <f t="shared" si="1283"/>
        <v>0</v>
      </c>
      <c r="BM391" s="48">
        <f t="shared" si="1283"/>
        <v>0</v>
      </c>
      <c r="BN391" s="48">
        <f t="shared" si="1283"/>
        <v>0</v>
      </c>
      <c r="BO391" s="48">
        <f t="shared" si="1283"/>
        <v>0</v>
      </c>
      <c r="BP391" s="48">
        <f t="shared" si="1283"/>
        <v>0</v>
      </c>
      <c r="BQ391" s="48">
        <f t="shared" si="1283"/>
        <v>0</v>
      </c>
      <c r="BR391" s="36">
        <f t="shared" si="9"/>
        <v>1</v>
      </c>
      <c r="BS391" s="38">
        <f t="shared" si="10"/>
        <v>2</v>
      </c>
      <c r="BT391" s="49">
        <f t="shared" si="11"/>
        <v>0</v>
      </c>
      <c r="BU391" s="38">
        <f t="shared" si="12"/>
        <v>2000</v>
      </c>
      <c r="BV391" s="46" t="str">
        <f>IFERROR(__xludf.DUMMYFUNCTION("""COMPUTED_VALUE"""),"Gonzalez")</f>
        <v>Gonzalez</v>
      </c>
      <c r="BW391" s="46">
        <f t="shared" si="13"/>
        <v>600</v>
      </c>
      <c r="BX391" s="47">
        <f t="shared" ref="BX391:CA391" si="1284">AX391-$BU391</f>
        <v>-1500</v>
      </c>
      <c r="BY391" s="47">
        <f t="shared" si="1284"/>
        <v>-2000</v>
      </c>
      <c r="BZ391" s="47">
        <f t="shared" si="1284"/>
        <v>-2000</v>
      </c>
      <c r="CA391" s="47">
        <f t="shared" si="1284"/>
        <v>-1900</v>
      </c>
      <c r="CB391" s="47">
        <f t="shared" si="15"/>
        <v>-20000</v>
      </c>
      <c r="CC391" s="47">
        <f t="shared" ref="CC391:CQ391" si="1285">BC391-$BU391</f>
        <v>-2000</v>
      </c>
      <c r="CD391" s="47">
        <f t="shared" si="1285"/>
        <v>-2000</v>
      </c>
      <c r="CE391" s="47">
        <f t="shared" si="1285"/>
        <v>-2000</v>
      </c>
      <c r="CF391" s="47">
        <f t="shared" si="1285"/>
        <v>-2000</v>
      </c>
      <c r="CG391" s="47">
        <f t="shared" si="1285"/>
        <v>-2000</v>
      </c>
      <c r="CH391" s="47">
        <f t="shared" si="1285"/>
        <v>-2000</v>
      </c>
      <c r="CI391" s="47">
        <f t="shared" si="1285"/>
        <v>-2000</v>
      </c>
      <c r="CJ391" s="47">
        <f t="shared" si="1285"/>
        <v>-2000</v>
      </c>
      <c r="CK391" s="47">
        <f t="shared" si="1285"/>
        <v>-2000</v>
      </c>
      <c r="CL391" s="47">
        <f t="shared" si="1285"/>
        <v>-2000</v>
      </c>
      <c r="CM391" s="47">
        <f t="shared" si="1285"/>
        <v>-2000</v>
      </c>
      <c r="CN391" s="47">
        <f t="shared" si="1285"/>
        <v>-2000</v>
      </c>
      <c r="CO391" s="47">
        <f t="shared" si="1285"/>
        <v>-2000</v>
      </c>
      <c r="CP391" s="47">
        <f t="shared" si="1285"/>
        <v>-2000</v>
      </c>
      <c r="CQ391" s="47">
        <f t="shared" si="1285"/>
        <v>-2000</v>
      </c>
      <c r="CR391" s="47"/>
      <c r="CS391" s="47"/>
      <c r="CT391" s="47"/>
      <c r="CU391" s="50" t="str">
        <f>IFERROR(__xludf.DUMMYFUNCTION("""COMPUTED_VALUE"""),"3511 Timberview Rd
Dallas, TX 75229          ")</f>
        <v>3511 Timberview Rd
Dallas, TX 75229          </v>
      </c>
      <c r="CV391" s="51">
        <f>IFERROR(__xludf.DUMMYFUNCTION("IF(REGEXMATCH(UPPER(CU391), ""TX""),0,1)"),0.0)</f>
        <v>0</v>
      </c>
      <c r="CW391" s="51">
        <f>IFERROR(__xludf.DUMMYFUNCTION("IF(REGEXMATCH(UPPER(CU391), ""DALLAS""),0,1)"),0.0)</f>
        <v>0</v>
      </c>
      <c r="CX391" s="51">
        <f t="shared" si="17"/>
        <v>0</v>
      </c>
      <c r="CY391" s="51">
        <f t="shared" si="18"/>
        <v>0</v>
      </c>
      <c r="CZ391" s="52" t="str">
        <f t="shared" si="19"/>
        <v/>
      </c>
      <c r="DA391" s="58"/>
      <c r="DB391" s="52"/>
      <c r="DC391" s="52"/>
      <c r="DD391" s="52"/>
      <c r="DE391" s="52"/>
      <c r="DF391" s="52"/>
      <c r="DG391" s="52"/>
      <c r="DH391" s="52"/>
      <c r="DI391" s="52"/>
      <c r="DJ391" s="52"/>
      <c r="DK391" s="52"/>
      <c r="DL391" s="52"/>
      <c r="DM391" s="52"/>
      <c r="DN391" s="52"/>
      <c r="DO391" s="52"/>
      <c r="DP391" s="52"/>
      <c r="DQ391" s="52"/>
      <c r="DR391" s="52"/>
      <c r="DS391" s="52"/>
      <c r="DT391" s="52"/>
      <c r="DU391" s="52"/>
      <c r="DV391" s="52"/>
      <c r="DW391" s="52"/>
    </row>
    <row r="392">
      <c r="A392" s="22" t="s">
        <v>55</v>
      </c>
      <c r="B392" s="23" t="s">
        <v>56</v>
      </c>
      <c r="C392" s="31" t="s">
        <v>1092</v>
      </c>
      <c r="D392" s="25" t="str">
        <f>IFERROR(__xludf.DUMMYFUNCTION("SPLIT(C392,"" "")"),"Gunnin,")</f>
        <v>Gunnin,</v>
      </c>
      <c r="E392" s="22" t="str">
        <f>IFERROR(__xludf.DUMMYFUNCTION("""COMPUTED_VALUE"""),"Mark
6027")</f>
        <v>Mark
6027</v>
      </c>
      <c r="F392" s="22" t="str">
        <f>IFERROR(__xludf.DUMMYFUNCTION("""COMPUTED_VALUE"""),"Desco")</f>
        <v>Desco</v>
      </c>
      <c r="G392" s="22" t="str">
        <f>IFERROR(__xludf.DUMMYFUNCTION("""COMPUTED_VALUE"""),"Drive
Dallas,")</f>
        <v>Drive
Dallas,</v>
      </c>
      <c r="H392" s="22" t="str">
        <f>IFERROR(__xludf.DUMMYFUNCTION("""COMPUTED_VALUE"""),"TX")</f>
        <v>TX</v>
      </c>
      <c r="I392" s="22">
        <f>IFERROR(__xludf.DUMMYFUNCTION("""COMPUTED_VALUE"""),75225.0)</f>
        <v>75225</v>
      </c>
      <c r="J392" s="22"/>
      <c r="K392" s="22"/>
      <c r="L392" s="22"/>
      <c r="M392" s="22"/>
      <c r="N392" s="22"/>
      <c r="O392" s="22"/>
      <c r="P392" s="22"/>
      <c r="Q392" s="22"/>
      <c r="R392" s="22"/>
      <c r="S392" s="22"/>
      <c r="T392" s="22"/>
      <c r="U392" s="24" t="str">
        <f>IFERROR(__xludf.DUMMYFUNCTION("SPLIT(E392,""01234567890"")"),"Mark
")</f>
        <v>Mark
</v>
      </c>
      <c r="V392" s="24" t="str">
        <f>IFERROR(__xludf.DUMMYFUNCTION("SPLIT(D392,"","")"),"Gunnin")</f>
        <v>Gunnin</v>
      </c>
      <c r="W392" s="25" t="str">
        <f t="shared" si="1"/>
        <v>MARK
 GUNNIN</v>
      </c>
      <c r="X392" s="25" t="s">
        <v>1093</v>
      </c>
      <c r="Y392" s="25">
        <v>75225.0</v>
      </c>
      <c r="Z392" s="25" t="str">
        <f>IFERROR(__xludf.DUMMYFUNCTION("SPLIT(C392,""
"")"),"Gunnin, Mark")</f>
        <v>Gunnin, Mark</v>
      </c>
      <c r="AA392" s="25" t="str">
        <f>IFERROR(__xludf.DUMMYFUNCTION("""COMPUTED_VALUE"""),"6027 Desco Drive")</f>
        <v>6027 Desco Drive</v>
      </c>
      <c r="AB392" s="25" t="str">
        <f>IFERROR(__xludf.DUMMYFUNCTION("""COMPUTED_VALUE"""),"Dallas, TX 75225")</f>
        <v>Dallas, TX 75225</v>
      </c>
      <c r="AC392" s="24" t="s">
        <v>1094</v>
      </c>
      <c r="AD392" s="25"/>
      <c r="AE392" s="25"/>
      <c r="AF392" s="25"/>
      <c r="AG392" s="22" t="s">
        <v>60</v>
      </c>
      <c r="AH392" s="54">
        <v>2437.0</v>
      </c>
      <c r="AI392" s="22" t="s">
        <v>61</v>
      </c>
      <c r="AJ392" s="27">
        <v>2500.0</v>
      </c>
      <c r="AK392" s="31" t="s">
        <v>25</v>
      </c>
      <c r="AL392" s="28">
        <v>44719.0</v>
      </c>
      <c r="AM392" s="29">
        <v>44754.83237268519</v>
      </c>
      <c r="AN392" s="30">
        <v>2.0</v>
      </c>
      <c r="AO392" s="22"/>
      <c r="AP392" s="22"/>
      <c r="AQ392" s="22"/>
      <c r="AR392" s="22"/>
      <c r="AS392" s="22"/>
      <c r="AT392" s="70"/>
      <c r="AU392" s="22"/>
      <c r="AV392" s="57" t="str">
        <f>IFERROR(__xludf.DUMMYFUNCTION("""COMPUTED_VALUE"""),"Weaver")</f>
        <v>Weaver</v>
      </c>
      <c r="AW392" s="46">
        <f t="shared" si="7"/>
        <v>100</v>
      </c>
      <c r="AX392" s="47">
        <f t="shared" ref="AX392:BQ392" si="1286">SUMIFS($AJ:$AJ,$V:$V,$AV392,$AK:$AK,AX$2)</f>
        <v>0</v>
      </c>
      <c r="AY392" s="48">
        <f t="shared" si="1286"/>
        <v>0</v>
      </c>
      <c r="AZ392" s="48">
        <f t="shared" si="1286"/>
        <v>0</v>
      </c>
      <c r="BA392" s="48">
        <f t="shared" si="1286"/>
        <v>100</v>
      </c>
      <c r="BB392" s="48">
        <f t="shared" si="1286"/>
        <v>0</v>
      </c>
      <c r="BC392" s="48">
        <f t="shared" si="1286"/>
        <v>0</v>
      </c>
      <c r="BD392" s="48">
        <f t="shared" si="1286"/>
        <v>0</v>
      </c>
      <c r="BE392" s="48">
        <f t="shared" si="1286"/>
        <v>0</v>
      </c>
      <c r="BF392" s="48">
        <f t="shared" si="1286"/>
        <v>0</v>
      </c>
      <c r="BG392" s="48">
        <f t="shared" si="1286"/>
        <v>0</v>
      </c>
      <c r="BH392" s="48">
        <f t="shared" si="1286"/>
        <v>0</v>
      </c>
      <c r="BI392" s="48">
        <f t="shared" si="1286"/>
        <v>0</v>
      </c>
      <c r="BJ392" s="48">
        <f t="shared" si="1286"/>
        <v>0</v>
      </c>
      <c r="BK392" s="48">
        <f t="shared" si="1286"/>
        <v>0</v>
      </c>
      <c r="BL392" s="48">
        <f t="shared" si="1286"/>
        <v>0</v>
      </c>
      <c r="BM392" s="48">
        <f t="shared" si="1286"/>
        <v>0</v>
      </c>
      <c r="BN392" s="48">
        <f t="shared" si="1286"/>
        <v>0</v>
      </c>
      <c r="BO392" s="48">
        <f t="shared" si="1286"/>
        <v>0</v>
      </c>
      <c r="BP392" s="48">
        <f t="shared" si="1286"/>
        <v>0</v>
      </c>
      <c r="BQ392" s="48">
        <f t="shared" si="1286"/>
        <v>0</v>
      </c>
      <c r="BR392" s="36">
        <f t="shared" si="9"/>
        <v>0</v>
      </c>
      <c r="BS392" s="38">
        <f t="shared" si="10"/>
        <v>1</v>
      </c>
      <c r="BT392" s="49">
        <f t="shared" si="11"/>
        <v>0</v>
      </c>
      <c r="BU392" s="38">
        <f t="shared" si="12"/>
        <v>1000</v>
      </c>
      <c r="BV392" s="57" t="str">
        <f>IFERROR(__xludf.DUMMYFUNCTION("""COMPUTED_VALUE"""),"Weaver")</f>
        <v>Weaver</v>
      </c>
      <c r="BW392" s="46">
        <f t="shared" si="13"/>
        <v>100</v>
      </c>
      <c r="BX392" s="47">
        <f t="shared" ref="BX392:CA392" si="1287">AX392-$BU392</f>
        <v>-1000</v>
      </c>
      <c r="BY392" s="47">
        <f t="shared" si="1287"/>
        <v>-1000</v>
      </c>
      <c r="BZ392" s="47">
        <f t="shared" si="1287"/>
        <v>-1000</v>
      </c>
      <c r="CA392" s="47">
        <f t="shared" si="1287"/>
        <v>-900</v>
      </c>
      <c r="CB392" s="47">
        <f t="shared" si="15"/>
        <v>-10000</v>
      </c>
      <c r="CC392" s="47">
        <f t="shared" ref="CC392:CQ392" si="1288">BC392-$BU392</f>
        <v>-1000</v>
      </c>
      <c r="CD392" s="47">
        <f t="shared" si="1288"/>
        <v>-1000</v>
      </c>
      <c r="CE392" s="47">
        <f t="shared" si="1288"/>
        <v>-1000</v>
      </c>
      <c r="CF392" s="47">
        <f t="shared" si="1288"/>
        <v>-1000</v>
      </c>
      <c r="CG392" s="47">
        <f t="shared" si="1288"/>
        <v>-1000</v>
      </c>
      <c r="CH392" s="47">
        <f t="shared" si="1288"/>
        <v>-1000</v>
      </c>
      <c r="CI392" s="47">
        <f t="shared" si="1288"/>
        <v>-1000</v>
      </c>
      <c r="CJ392" s="47">
        <f t="shared" si="1288"/>
        <v>-1000</v>
      </c>
      <c r="CK392" s="47">
        <f t="shared" si="1288"/>
        <v>-1000</v>
      </c>
      <c r="CL392" s="47">
        <f t="shared" si="1288"/>
        <v>-1000</v>
      </c>
      <c r="CM392" s="47">
        <f t="shared" si="1288"/>
        <v>-1000</v>
      </c>
      <c r="CN392" s="47">
        <f t="shared" si="1288"/>
        <v>-1000</v>
      </c>
      <c r="CO392" s="47">
        <f t="shared" si="1288"/>
        <v>-1000</v>
      </c>
      <c r="CP392" s="47">
        <f t="shared" si="1288"/>
        <v>-1000</v>
      </c>
      <c r="CQ392" s="47">
        <f t="shared" si="1288"/>
        <v>-1000</v>
      </c>
      <c r="CR392" s="47"/>
      <c r="CS392" s="47"/>
      <c r="CT392" s="47"/>
      <c r="CU392" s="50" t="str">
        <f>IFERROR(__xludf.DUMMYFUNCTION("""COMPUTED_VALUE"""),"6155 Bandera Av
Dallas, TX 75225          ")</f>
        <v>6155 Bandera Av
Dallas, TX 75225          </v>
      </c>
      <c r="CV392" s="51">
        <f>IFERROR(__xludf.DUMMYFUNCTION("IF(REGEXMATCH(UPPER(CU392), ""TX""),0,1)"),0.0)</f>
        <v>0</v>
      </c>
      <c r="CW392" s="51">
        <f>IFERROR(__xludf.DUMMYFUNCTION("IF(REGEXMATCH(UPPER(CU392), ""DALLAS""),0,1)"),0.0)</f>
        <v>0</v>
      </c>
      <c r="CX392" s="51">
        <f t="shared" si="17"/>
        <v>0</v>
      </c>
      <c r="CY392" s="51">
        <f t="shared" si="18"/>
        <v>0</v>
      </c>
      <c r="CZ392" s="52" t="str">
        <f t="shared" si="19"/>
        <v/>
      </c>
      <c r="DA392" s="58"/>
      <c r="DB392" s="52"/>
      <c r="DC392" s="52"/>
      <c r="DD392" s="52"/>
      <c r="DE392" s="52"/>
      <c r="DF392" s="52"/>
      <c r="DG392" s="52"/>
      <c r="DH392" s="52"/>
      <c r="DI392" s="52"/>
      <c r="DJ392" s="52"/>
      <c r="DK392" s="52"/>
      <c r="DL392" s="52"/>
      <c r="DM392" s="52"/>
      <c r="DN392" s="52"/>
      <c r="DO392" s="52"/>
      <c r="DP392" s="52"/>
      <c r="DQ392" s="52"/>
      <c r="DR392" s="52"/>
      <c r="DS392" s="52"/>
      <c r="DT392" s="52"/>
      <c r="DU392" s="52"/>
      <c r="DV392" s="52"/>
      <c r="DW392" s="52"/>
    </row>
    <row r="393">
      <c r="A393" s="41" t="s">
        <v>64</v>
      </c>
      <c r="B393" s="41" t="s">
        <v>56</v>
      </c>
      <c r="C393" s="31" t="s">
        <v>1095</v>
      </c>
      <c r="D393" s="25" t="str">
        <f>IFERROR(__xludf.DUMMYFUNCTION("SPLIT(C393,"" "")"),"Folsom,")</f>
        <v>Folsom,</v>
      </c>
      <c r="E393" s="40" t="str">
        <f>IFERROR(__xludf.DUMMYFUNCTION("""COMPUTED_VALUE"""),"Steve
16475")</f>
        <v>Steve
16475</v>
      </c>
      <c r="F393" s="40" t="str">
        <f>IFERROR(__xludf.DUMMYFUNCTION("""COMPUTED_VALUE"""),"Dallas")</f>
        <v>Dallas</v>
      </c>
      <c r="G393" s="40" t="str">
        <f>IFERROR(__xludf.DUMMYFUNCTION("""COMPUTED_VALUE"""),"Parkway
Addison,")</f>
        <v>Parkway
Addison,</v>
      </c>
      <c r="H393" s="40" t="str">
        <f>IFERROR(__xludf.DUMMYFUNCTION("""COMPUTED_VALUE"""),"TX")</f>
        <v>TX</v>
      </c>
      <c r="I393" s="40">
        <f>IFERROR(__xludf.DUMMYFUNCTION("""COMPUTED_VALUE"""),75001.0)</f>
        <v>75001</v>
      </c>
      <c r="J393" s="40"/>
      <c r="K393" s="40"/>
      <c r="L393" s="40"/>
      <c r="M393" s="40"/>
      <c r="N393" s="40"/>
      <c r="O393" s="40"/>
      <c r="P393" s="40"/>
      <c r="Q393" s="40"/>
      <c r="R393" s="40"/>
      <c r="S393" s="40"/>
      <c r="T393" s="40"/>
      <c r="U393" s="24" t="str">
        <f>IFERROR(__xludf.DUMMYFUNCTION("SPLIT(E393,""01234567890"")"),"Steve
")</f>
        <v>Steve
</v>
      </c>
      <c r="V393" s="24" t="str">
        <f>IFERROR(__xludf.DUMMYFUNCTION("SPLIT(D393,"","")"),"Folsom")</f>
        <v>Folsom</v>
      </c>
      <c r="W393" s="25" t="str">
        <f t="shared" si="1"/>
        <v>STEVE
 FOLSOM</v>
      </c>
      <c r="X393" s="25" t="s">
        <v>1096</v>
      </c>
      <c r="Y393" s="25">
        <v>75001.0</v>
      </c>
      <c r="Z393" s="25" t="str">
        <f>IFERROR(__xludf.DUMMYFUNCTION("SPLIT(C393,""
"")"),"Folsom, Steve")</f>
        <v>Folsom, Steve</v>
      </c>
      <c r="AA393" s="25" t="str">
        <f>IFERROR(__xludf.DUMMYFUNCTION("""COMPUTED_VALUE"""),"16475 Dallas Parkway")</f>
        <v>16475 Dallas Parkway</v>
      </c>
      <c r="AB393" s="25" t="str">
        <f>IFERROR(__xludf.DUMMYFUNCTION("""COMPUTED_VALUE"""),"Addison, TX 75001")</f>
        <v>Addison, TX 75001</v>
      </c>
      <c r="AC393" s="24" t="s">
        <v>1097</v>
      </c>
      <c r="AD393" s="25"/>
      <c r="AE393" s="25"/>
      <c r="AF393" s="25"/>
      <c r="AG393" s="40" t="s">
        <v>60</v>
      </c>
      <c r="AH393" s="42">
        <v>2437.0</v>
      </c>
      <c r="AI393" s="40" t="s">
        <v>61</v>
      </c>
      <c r="AJ393" s="27">
        <v>500.0</v>
      </c>
      <c r="AK393" s="31" t="s">
        <v>25</v>
      </c>
      <c r="AL393" s="43">
        <v>44719.0</v>
      </c>
      <c r="AM393" s="44">
        <v>44754.83237268519</v>
      </c>
      <c r="AN393" s="30">
        <v>2.0</v>
      </c>
      <c r="AO393" s="40"/>
      <c r="AP393" s="40"/>
      <c r="AQ393" s="40"/>
      <c r="AR393" s="40"/>
      <c r="AS393" s="40"/>
      <c r="AT393" s="47"/>
      <c r="AU393" s="40"/>
      <c r="AV393" s="46" t="str">
        <f>IFERROR(__xludf.DUMMYFUNCTION("""COMPUTED_VALUE"""),"Linebarger")</f>
        <v>Linebarger</v>
      </c>
      <c r="AW393" s="46">
        <f t="shared" si="7"/>
        <v>5000</v>
      </c>
      <c r="AX393" s="47">
        <f t="shared" ref="AX393:BQ393" si="1289">SUMIFS($AJ:$AJ,$V:$V,$AV393,$AK:$AK,AX$2)</f>
        <v>0</v>
      </c>
      <c r="AY393" s="48">
        <f t="shared" si="1289"/>
        <v>0</v>
      </c>
      <c r="AZ393" s="48">
        <f t="shared" si="1289"/>
        <v>1000</v>
      </c>
      <c r="BA393" s="48">
        <f t="shared" si="1289"/>
        <v>1000</v>
      </c>
      <c r="BB393" s="48">
        <f t="shared" si="1289"/>
        <v>0</v>
      </c>
      <c r="BC393" s="48">
        <f t="shared" si="1289"/>
        <v>0</v>
      </c>
      <c r="BD393" s="48">
        <f t="shared" si="1289"/>
        <v>1000</v>
      </c>
      <c r="BE393" s="48">
        <f t="shared" si="1289"/>
        <v>0</v>
      </c>
      <c r="BF393" s="48">
        <f t="shared" si="1289"/>
        <v>1000</v>
      </c>
      <c r="BG393" s="48">
        <f t="shared" si="1289"/>
        <v>1000</v>
      </c>
      <c r="BH393" s="48">
        <f t="shared" si="1289"/>
        <v>0</v>
      </c>
      <c r="BI393" s="48">
        <f t="shared" si="1289"/>
        <v>0</v>
      </c>
      <c r="BJ393" s="48">
        <f t="shared" si="1289"/>
        <v>0</v>
      </c>
      <c r="BK393" s="48">
        <f t="shared" si="1289"/>
        <v>0</v>
      </c>
      <c r="BL393" s="48">
        <f t="shared" si="1289"/>
        <v>0</v>
      </c>
      <c r="BM393" s="48">
        <f t="shared" si="1289"/>
        <v>0</v>
      </c>
      <c r="BN393" s="48">
        <f t="shared" si="1289"/>
        <v>0</v>
      </c>
      <c r="BO393" s="48">
        <f t="shared" si="1289"/>
        <v>0</v>
      </c>
      <c r="BP393" s="48">
        <f t="shared" si="1289"/>
        <v>0</v>
      </c>
      <c r="BQ393" s="48">
        <f t="shared" si="1289"/>
        <v>0</v>
      </c>
      <c r="BR393" s="36">
        <f t="shared" si="9"/>
        <v>1</v>
      </c>
      <c r="BS393" s="38">
        <f t="shared" si="10"/>
        <v>4</v>
      </c>
      <c r="BT393" s="49">
        <f t="shared" si="11"/>
        <v>0</v>
      </c>
      <c r="BU393" s="38">
        <f t="shared" si="12"/>
        <v>4000</v>
      </c>
      <c r="BV393" s="46" t="str">
        <f>IFERROR(__xludf.DUMMYFUNCTION("""COMPUTED_VALUE"""),"Linebarger")</f>
        <v>Linebarger</v>
      </c>
      <c r="BW393" s="46">
        <f t="shared" si="13"/>
        <v>5000</v>
      </c>
      <c r="BX393" s="47">
        <f t="shared" ref="BX393:CA393" si="1290">AX393-$BU393</f>
        <v>-4000</v>
      </c>
      <c r="BY393" s="47">
        <f t="shared" si="1290"/>
        <v>-4000</v>
      </c>
      <c r="BZ393" s="47">
        <f t="shared" si="1290"/>
        <v>-3000</v>
      </c>
      <c r="CA393" s="47">
        <f t="shared" si="1290"/>
        <v>-3000</v>
      </c>
      <c r="CB393" s="47">
        <f t="shared" si="15"/>
        <v>-40000</v>
      </c>
      <c r="CC393" s="47">
        <f t="shared" ref="CC393:CQ393" si="1291">BC393-$BU393</f>
        <v>-4000</v>
      </c>
      <c r="CD393" s="47">
        <f t="shared" si="1291"/>
        <v>-3000</v>
      </c>
      <c r="CE393" s="47">
        <f t="shared" si="1291"/>
        <v>-4000</v>
      </c>
      <c r="CF393" s="47">
        <f t="shared" si="1291"/>
        <v>-3000</v>
      </c>
      <c r="CG393" s="47">
        <f t="shared" si="1291"/>
        <v>-3000</v>
      </c>
      <c r="CH393" s="47">
        <f t="shared" si="1291"/>
        <v>-4000</v>
      </c>
      <c r="CI393" s="47">
        <f t="shared" si="1291"/>
        <v>-4000</v>
      </c>
      <c r="CJ393" s="47">
        <f t="shared" si="1291"/>
        <v>-4000</v>
      </c>
      <c r="CK393" s="47">
        <f t="shared" si="1291"/>
        <v>-4000</v>
      </c>
      <c r="CL393" s="47">
        <f t="shared" si="1291"/>
        <v>-4000</v>
      </c>
      <c r="CM393" s="47">
        <f t="shared" si="1291"/>
        <v>-4000</v>
      </c>
      <c r="CN393" s="47">
        <f t="shared" si="1291"/>
        <v>-4000</v>
      </c>
      <c r="CO393" s="47">
        <f t="shared" si="1291"/>
        <v>-4000</v>
      </c>
      <c r="CP393" s="47">
        <f t="shared" si="1291"/>
        <v>-4000</v>
      </c>
      <c r="CQ393" s="47">
        <f t="shared" si="1291"/>
        <v>-4000</v>
      </c>
      <c r="CR393" s="47"/>
      <c r="CS393" s="47"/>
      <c r="CT393" s="47"/>
      <c r="CU393" s="50" t="str">
        <f>IFERROR(__xludf.DUMMYFUNCTION("""COMPUTED_VALUE"""),"12523 12523 Matisse Lane
Dallas, TX 75230         ")</f>
        <v>12523 12523 Matisse Lane
Dallas, TX 75230         </v>
      </c>
      <c r="CV393" s="51">
        <f>IFERROR(__xludf.DUMMYFUNCTION("IF(REGEXMATCH(UPPER(CU393), ""TX""),0,1)"),0.0)</f>
        <v>0</v>
      </c>
      <c r="CW393" s="51">
        <f>IFERROR(__xludf.DUMMYFUNCTION("IF(REGEXMATCH(UPPER(CU393), ""DALLAS""),0,1)"),0.0)</f>
        <v>0</v>
      </c>
      <c r="CX393" s="51">
        <f t="shared" si="17"/>
        <v>0</v>
      </c>
      <c r="CY393" s="51">
        <f t="shared" si="18"/>
        <v>0</v>
      </c>
      <c r="CZ393" s="52" t="str">
        <f t="shared" si="19"/>
        <v/>
      </c>
      <c r="DA393" s="58"/>
      <c r="DB393" s="52"/>
      <c r="DC393" s="52"/>
      <c r="DD393" s="52"/>
      <c r="DE393" s="52"/>
      <c r="DF393" s="52"/>
      <c r="DG393" s="52"/>
      <c r="DH393" s="52"/>
      <c r="DI393" s="52"/>
      <c r="DJ393" s="52"/>
      <c r="DK393" s="52"/>
      <c r="DL393" s="52"/>
      <c r="DM393" s="52"/>
      <c r="DN393" s="52"/>
      <c r="DO393" s="52"/>
      <c r="DP393" s="52"/>
      <c r="DQ393" s="52"/>
      <c r="DR393" s="52"/>
      <c r="DS393" s="52"/>
      <c r="DT393" s="52"/>
      <c r="DU393" s="52"/>
      <c r="DV393" s="52"/>
      <c r="DW393" s="52"/>
    </row>
    <row r="394">
      <c r="A394" s="22" t="s">
        <v>55</v>
      </c>
      <c r="B394" s="23" t="s">
        <v>56</v>
      </c>
      <c r="C394" s="31" t="s">
        <v>1098</v>
      </c>
      <c r="D394" s="25" t="str">
        <f>IFERROR(__xludf.DUMMYFUNCTION("SPLIT(C394,"" "")"),"Heinbaugh,")</f>
        <v>Heinbaugh,</v>
      </c>
      <c r="E394" s="22" t="str">
        <f>IFERROR(__xludf.DUMMYFUNCTION("""COMPUTED_VALUE"""),"Chris
1801")</f>
        <v>Chris
1801</v>
      </c>
      <c r="F394" s="22" t="str">
        <f>IFERROR(__xludf.DUMMYFUNCTION("""COMPUTED_VALUE"""),"Annex")</f>
        <v>Annex</v>
      </c>
      <c r="G394" s="22" t="str">
        <f>IFERROR(__xludf.DUMMYFUNCTION("""COMPUTED_VALUE"""),"Ave
Dallas,")</f>
        <v>Ave
Dallas,</v>
      </c>
      <c r="H394" s="22" t="str">
        <f>IFERROR(__xludf.DUMMYFUNCTION("""COMPUTED_VALUE"""),"TX")</f>
        <v>TX</v>
      </c>
      <c r="I394" s="22">
        <f>IFERROR(__xludf.DUMMYFUNCTION("""COMPUTED_VALUE"""),75204.0)</f>
        <v>75204</v>
      </c>
      <c r="J394" s="22"/>
      <c r="K394" s="22"/>
      <c r="L394" s="22"/>
      <c r="M394" s="22"/>
      <c r="N394" s="22"/>
      <c r="O394" s="22"/>
      <c r="P394" s="22"/>
      <c r="Q394" s="22"/>
      <c r="R394" s="22"/>
      <c r="S394" s="22"/>
      <c r="T394" s="22"/>
      <c r="U394" s="24" t="str">
        <f>IFERROR(__xludf.DUMMYFUNCTION("SPLIT(E394,""01234567890"")"),"Chris
")</f>
        <v>Chris
</v>
      </c>
      <c r="V394" s="24" t="str">
        <f>IFERROR(__xludf.DUMMYFUNCTION("SPLIT(D394,"","")"),"Heinbaugh")</f>
        <v>Heinbaugh</v>
      </c>
      <c r="W394" s="25" t="str">
        <f t="shared" si="1"/>
        <v>CHRIS
 HEINBAUGH</v>
      </c>
      <c r="X394" s="25" t="s">
        <v>1099</v>
      </c>
      <c r="Y394" s="25">
        <v>75204.0</v>
      </c>
      <c r="Z394" s="25" t="str">
        <f>IFERROR(__xludf.DUMMYFUNCTION("SPLIT(C394,""
"")"),"Heinbaugh, Chris")</f>
        <v>Heinbaugh, Chris</v>
      </c>
      <c r="AA394" s="25" t="str">
        <f>IFERROR(__xludf.DUMMYFUNCTION("""COMPUTED_VALUE"""),"1801 Annex Ave")</f>
        <v>1801 Annex Ave</v>
      </c>
      <c r="AB394" s="25" t="str">
        <f>IFERROR(__xludf.DUMMYFUNCTION("""COMPUTED_VALUE"""),"Dallas, TX 75204")</f>
        <v>Dallas, TX 75204</v>
      </c>
      <c r="AC394" s="24" t="s">
        <v>1100</v>
      </c>
      <c r="AD394" s="25"/>
      <c r="AE394" s="25"/>
      <c r="AF394" s="25"/>
      <c r="AG394" s="22" t="s">
        <v>60</v>
      </c>
      <c r="AH394" s="54">
        <v>2437.0</v>
      </c>
      <c r="AI394" s="22" t="s">
        <v>61</v>
      </c>
      <c r="AJ394" s="27">
        <v>100.0</v>
      </c>
      <c r="AK394" s="31" t="s">
        <v>25</v>
      </c>
      <c r="AL394" s="28">
        <v>44718.0</v>
      </c>
      <c r="AM394" s="29">
        <v>44754.83237268519</v>
      </c>
      <c r="AN394" s="30">
        <v>2.0</v>
      </c>
      <c r="AO394" s="22"/>
      <c r="AP394" s="22"/>
      <c r="AQ394" s="22"/>
      <c r="AR394" s="22"/>
      <c r="AS394" s="22"/>
      <c r="AT394" s="70"/>
      <c r="AU394" s="22"/>
      <c r="AV394" s="57" t="str">
        <f>IFERROR(__xludf.DUMMYFUNCTION("""COMPUTED_VALUE"""),"Fergason")</f>
        <v>Fergason</v>
      </c>
      <c r="AW394" s="46">
        <f t="shared" si="7"/>
        <v>50</v>
      </c>
      <c r="AX394" s="47">
        <f t="shared" ref="AX394:BQ394" si="1292">SUMIFS($AJ:$AJ,$V:$V,$AV394,$AK:$AK,AX$2)</f>
        <v>0</v>
      </c>
      <c r="AY394" s="48">
        <f t="shared" si="1292"/>
        <v>0</v>
      </c>
      <c r="AZ394" s="48">
        <f t="shared" si="1292"/>
        <v>0</v>
      </c>
      <c r="BA394" s="48">
        <f t="shared" si="1292"/>
        <v>50</v>
      </c>
      <c r="BB394" s="48">
        <f t="shared" si="1292"/>
        <v>0</v>
      </c>
      <c r="BC394" s="48">
        <f t="shared" si="1292"/>
        <v>0</v>
      </c>
      <c r="BD394" s="48">
        <f t="shared" si="1292"/>
        <v>0</v>
      </c>
      <c r="BE394" s="48">
        <f t="shared" si="1292"/>
        <v>0</v>
      </c>
      <c r="BF394" s="48">
        <f t="shared" si="1292"/>
        <v>0</v>
      </c>
      <c r="BG394" s="48">
        <f t="shared" si="1292"/>
        <v>0</v>
      </c>
      <c r="BH394" s="48">
        <f t="shared" si="1292"/>
        <v>0</v>
      </c>
      <c r="BI394" s="48">
        <f t="shared" si="1292"/>
        <v>0</v>
      </c>
      <c r="BJ394" s="48">
        <f t="shared" si="1292"/>
        <v>0</v>
      </c>
      <c r="BK394" s="48">
        <f t="shared" si="1292"/>
        <v>0</v>
      </c>
      <c r="BL394" s="48">
        <f t="shared" si="1292"/>
        <v>0</v>
      </c>
      <c r="BM394" s="48">
        <f t="shared" si="1292"/>
        <v>0</v>
      </c>
      <c r="BN394" s="48">
        <f t="shared" si="1292"/>
        <v>0</v>
      </c>
      <c r="BO394" s="48">
        <f t="shared" si="1292"/>
        <v>0</v>
      </c>
      <c r="BP394" s="48">
        <f t="shared" si="1292"/>
        <v>0</v>
      </c>
      <c r="BQ394" s="48">
        <f t="shared" si="1292"/>
        <v>0</v>
      </c>
      <c r="BR394" s="36">
        <f t="shared" si="9"/>
        <v>0</v>
      </c>
      <c r="BS394" s="38">
        <f t="shared" si="10"/>
        <v>1</v>
      </c>
      <c r="BT394" s="49">
        <f t="shared" si="11"/>
        <v>0</v>
      </c>
      <c r="BU394" s="38">
        <f t="shared" si="12"/>
        <v>1000</v>
      </c>
      <c r="BV394" s="57" t="str">
        <f>IFERROR(__xludf.DUMMYFUNCTION("""COMPUTED_VALUE"""),"Fergason")</f>
        <v>Fergason</v>
      </c>
      <c r="BW394" s="46">
        <f t="shared" si="13"/>
        <v>50</v>
      </c>
      <c r="BX394" s="47">
        <f t="shared" ref="BX394:CA394" si="1293">AX394-$BU394</f>
        <v>-1000</v>
      </c>
      <c r="BY394" s="47">
        <f t="shared" si="1293"/>
        <v>-1000</v>
      </c>
      <c r="BZ394" s="47">
        <f t="shared" si="1293"/>
        <v>-1000</v>
      </c>
      <c r="CA394" s="47">
        <f t="shared" si="1293"/>
        <v>-950</v>
      </c>
      <c r="CB394" s="47">
        <f t="shared" si="15"/>
        <v>-10000</v>
      </c>
      <c r="CC394" s="47">
        <f t="shared" ref="CC394:CQ394" si="1294">BC394-$BU394</f>
        <v>-1000</v>
      </c>
      <c r="CD394" s="47">
        <f t="shared" si="1294"/>
        <v>-1000</v>
      </c>
      <c r="CE394" s="47">
        <f t="shared" si="1294"/>
        <v>-1000</v>
      </c>
      <c r="CF394" s="47">
        <f t="shared" si="1294"/>
        <v>-1000</v>
      </c>
      <c r="CG394" s="47">
        <f t="shared" si="1294"/>
        <v>-1000</v>
      </c>
      <c r="CH394" s="47">
        <f t="shared" si="1294"/>
        <v>-1000</v>
      </c>
      <c r="CI394" s="47">
        <f t="shared" si="1294"/>
        <v>-1000</v>
      </c>
      <c r="CJ394" s="47">
        <f t="shared" si="1294"/>
        <v>-1000</v>
      </c>
      <c r="CK394" s="47">
        <f t="shared" si="1294"/>
        <v>-1000</v>
      </c>
      <c r="CL394" s="47">
        <f t="shared" si="1294"/>
        <v>-1000</v>
      </c>
      <c r="CM394" s="47">
        <f t="shared" si="1294"/>
        <v>-1000</v>
      </c>
      <c r="CN394" s="47">
        <f t="shared" si="1294"/>
        <v>-1000</v>
      </c>
      <c r="CO394" s="47">
        <f t="shared" si="1294"/>
        <v>-1000</v>
      </c>
      <c r="CP394" s="47">
        <f t="shared" si="1294"/>
        <v>-1000</v>
      </c>
      <c r="CQ394" s="47">
        <f t="shared" si="1294"/>
        <v>-1000</v>
      </c>
      <c r="CR394" s="47"/>
      <c r="CS394" s="47"/>
      <c r="CT394" s="47"/>
      <c r="CU394" s="50" t="str">
        <f>IFERROR(__xludf.DUMMYFUNCTION("""COMPUTED_VALUE"""),"deborah &amp; Jim
4717 Mill Run Road
Dallas, TX 75244       ")</f>
        <v>deborah &amp; Jim
4717 Mill Run Road
Dallas, TX 75244       </v>
      </c>
      <c r="CV394" s="51">
        <f>IFERROR(__xludf.DUMMYFUNCTION("IF(REGEXMATCH(UPPER(CU394), ""TX""),0,1)"),0.0)</f>
        <v>0</v>
      </c>
      <c r="CW394" s="51">
        <f>IFERROR(__xludf.DUMMYFUNCTION("IF(REGEXMATCH(UPPER(CU394), ""DALLAS""),0,1)"),0.0)</f>
        <v>0</v>
      </c>
      <c r="CX394" s="51">
        <f t="shared" si="17"/>
        <v>0</v>
      </c>
      <c r="CY394" s="51">
        <f t="shared" si="18"/>
        <v>0</v>
      </c>
      <c r="CZ394" s="52" t="str">
        <f t="shared" si="19"/>
        <v/>
      </c>
      <c r="DA394" s="58"/>
      <c r="DB394" s="52"/>
      <c r="DC394" s="52"/>
      <c r="DD394" s="52"/>
      <c r="DE394" s="52"/>
      <c r="DF394" s="52"/>
      <c r="DG394" s="52"/>
      <c r="DH394" s="52"/>
      <c r="DI394" s="52"/>
      <c r="DJ394" s="52"/>
      <c r="DK394" s="52"/>
      <c r="DL394" s="52"/>
      <c r="DM394" s="52"/>
      <c r="DN394" s="52"/>
      <c r="DO394" s="52"/>
      <c r="DP394" s="52"/>
      <c r="DQ394" s="52"/>
      <c r="DR394" s="52"/>
      <c r="DS394" s="52"/>
      <c r="DT394" s="52"/>
      <c r="DU394" s="52"/>
      <c r="DV394" s="52"/>
      <c r="DW394" s="52"/>
    </row>
    <row r="395">
      <c r="A395" s="41" t="s">
        <v>64</v>
      </c>
      <c r="B395" s="41" t="s">
        <v>56</v>
      </c>
      <c r="C395" s="31" t="s">
        <v>1101</v>
      </c>
      <c r="D395" s="25" t="str">
        <f>IFERROR(__xludf.DUMMYFUNCTION("SPLIT(C395,"" "")"),"Kang,")</f>
        <v>Kang,</v>
      </c>
      <c r="E395" s="40" t="str">
        <f>IFERROR(__xludf.DUMMYFUNCTION("""COMPUTED_VALUE"""),"Julia
PO")</f>
        <v>Julia
PO</v>
      </c>
      <c r="F395" s="40" t="str">
        <f>IFERROR(__xludf.DUMMYFUNCTION("""COMPUTED_VALUE"""),"Box")</f>
        <v>Box</v>
      </c>
      <c r="G395" s="40" t="str">
        <f>IFERROR(__xludf.DUMMYFUNCTION("""COMPUTED_VALUE"""),"631153
Irving,")</f>
        <v>631153
Irving,</v>
      </c>
      <c r="H395" s="40" t="str">
        <f>IFERROR(__xludf.DUMMYFUNCTION("""COMPUTED_VALUE"""),"TX")</f>
        <v>TX</v>
      </c>
      <c r="I395" s="40">
        <f>IFERROR(__xludf.DUMMYFUNCTION("""COMPUTED_VALUE"""),75063.0)</f>
        <v>75063</v>
      </c>
      <c r="J395" s="40"/>
      <c r="K395" s="40"/>
      <c r="L395" s="40"/>
      <c r="M395" s="40"/>
      <c r="N395" s="40"/>
      <c r="O395" s="40"/>
      <c r="P395" s="40"/>
      <c r="Q395" s="40"/>
      <c r="R395" s="40"/>
      <c r="S395" s="40"/>
      <c r="T395" s="40"/>
      <c r="U395" s="24" t="str">
        <f>IFERROR(__xludf.DUMMYFUNCTION("SPLIT(E395,""01234567890"")"),"Julia
PO")</f>
        <v>Julia
PO</v>
      </c>
      <c r="V395" s="24" t="str">
        <f>IFERROR(__xludf.DUMMYFUNCTION("SPLIT(D395,"","")"),"Kang")</f>
        <v>Kang</v>
      </c>
      <c r="W395" s="25" t="str">
        <f t="shared" si="1"/>
        <v>JULIA
PO KANG</v>
      </c>
      <c r="X395" s="25" t="s">
        <v>1102</v>
      </c>
      <c r="Y395" s="25">
        <v>75063.0</v>
      </c>
      <c r="Z395" s="25" t="str">
        <f>IFERROR(__xludf.DUMMYFUNCTION("SPLIT(C395,""
"")"),"Kang, Julia")</f>
        <v>Kang, Julia</v>
      </c>
      <c r="AA395" s="25" t="str">
        <f>IFERROR(__xludf.DUMMYFUNCTION("""COMPUTED_VALUE"""),"PO Box 631153")</f>
        <v>PO Box 631153</v>
      </c>
      <c r="AB395" s="25" t="str">
        <f>IFERROR(__xludf.DUMMYFUNCTION("""COMPUTED_VALUE"""),"Irving, TX 75063")</f>
        <v>Irving, TX 75063</v>
      </c>
      <c r="AC395" s="24" t="s">
        <v>1103</v>
      </c>
      <c r="AD395" s="25"/>
      <c r="AE395" s="25"/>
      <c r="AF395" s="25"/>
      <c r="AG395" s="40" t="s">
        <v>60</v>
      </c>
      <c r="AH395" s="42">
        <v>2437.0</v>
      </c>
      <c r="AI395" s="40" t="s">
        <v>61</v>
      </c>
      <c r="AJ395" s="27">
        <v>1000.0</v>
      </c>
      <c r="AK395" s="31" t="s">
        <v>25</v>
      </c>
      <c r="AL395" s="43">
        <v>44717.0</v>
      </c>
      <c r="AM395" s="44">
        <v>44754.83237268519</v>
      </c>
      <c r="AN395" s="30">
        <v>2.0</v>
      </c>
      <c r="AO395" s="40"/>
      <c r="AP395" s="40"/>
      <c r="AQ395" s="40"/>
      <c r="AR395" s="40"/>
      <c r="AS395" s="40"/>
      <c r="AT395" s="47"/>
      <c r="AU395" s="40"/>
      <c r="AV395" s="46" t="str">
        <f>IFERROR(__xludf.DUMMYFUNCTION("""COMPUTED_VALUE"""),"Grantham")</f>
        <v>Grantham</v>
      </c>
      <c r="AW395" s="46">
        <f t="shared" si="7"/>
        <v>50</v>
      </c>
      <c r="AX395" s="47">
        <f t="shared" ref="AX395:BQ395" si="1295">SUMIFS($AJ:$AJ,$V:$V,$AV395,$AK:$AK,AX$2)</f>
        <v>0</v>
      </c>
      <c r="AY395" s="48">
        <f t="shared" si="1295"/>
        <v>0</v>
      </c>
      <c r="AZ395" s="48">
        <f t="shared" si="1295"/>
        <v>0</v>
      </c>
      <c r="BA395" s="48">
        <f t="shared" si="1295"/>
        <v>50</v>
      </c>
      <c r="BB395" s="48">
        <f t="shared" si="1295"/>
        <v>0</v>
      </c>
      <c r="BC395" s="48">
        <f t="shared" si="1295"/>
        <v>0</v>
      </c>
      <c r="BD395" s="48">
        <f t="shared" si="1295"/>
        <v>0</v>
      </c>
      <c r="BE395" s="48">
        <f t="shared" si="1295"/>
        <v>0</v>
      </c>
      <c r="BF395" s="48">
        <f t="shared" si="1295"/>
        <v>0</v>
      </c>
      <c r="BG395" s="48">
        <f t="shared" si="1295"/>
        <v>0</v>
      </c>
      <c r="BH395" s="48">
        <f t="shared" si="1295"/>
        <v>0</v>
      </c>
      <c r="BI395" s="48">
        <f t="shared" si="1295"/>
        <v>0</v>
      </c>
      <c r="BJ395" s="48">
        <f t="shared" si="1295"/>
        <v>0</v>
      </c>
      <c r="BK395" s="48">
        <f t="shared" si="1295"/>
        <v>0</v>
      </c>
      <c r="BL395" s="48">
        <f t="shared" si="1295"/>
        <v>0</v>
      </c>
      <c r="BM395" s="48">
        <f t="shared" si="1295"/>
        <v>0</v>
      </c>
      <c r="BN395" s="48">
        <f t="shared" si="1295"/>
        <v>0</v>
      </c>
      <c r="BO395" s="48">
        <f t="shared" si="1295"/>
        <v>0</v>
      </c>
      <c r="BP395" s="48">
        <f t="shared" si="1295"/>
        <v>0</v>
      </c>
      <c r="BQ395" s="48">
        <f t="shared" si="1295"/>
        <v>0</v>
      </c>
      <c r="BR395" s="36">
        <f t="shared" si="9"/>
        <v>0</v>
      </c>
      <c r="BS395" s="38">
        <f t="shared" si="10"/>
        <v>1</v>
      </c>
      <c r="BT395" s="49">
        <f t="shared" si="11"/>
        <v>0</v>
      </c>
      <c r="BU395" s="38">
        <f t="shared" si="12"/>
        <v>1000</v>
      </c>
      <c r="BV395" s="46" t="str">
        <f>IFERROR(__xludf.DUMMYFUNCTION("""COMPUTED_VALUE"""),"Grantham")</f>
        <v>Grantham</v>
      </c>
      <c r="BW395" s="46">
        <f t="shared" si="13"/>
        <v>50</v>
      </c>
      <c r="BX395" s="47">
        <f t="shared" ref="BX395:CA395" si="1296">AX395-$BU395</f>
        <v>-1000</v>
      </c>
      <c r="BY395" s="47">
        <f t="shared" si="1296"/>
        <v>-1000</v>
      </c>
      <c r="BZ395" s="47">
        <f t="shared" si="1296"/>
        <v>-1000</v>
      </c>
      <c r="CA395" s="47">
        <f t="shared" si="1296"/>
        <v>-950</v>
      </c>
      <c r="CB395" s="47">
        <f t="shared" si="15"/>
        <v>-10000</v>
      </c>
      <c r="CC395" s="47">
        <f t="shared" ref="CC395:CQ395" si="1297">BC395-$BU395</f>
        <v>-1000</v>
      </c>
      <c r="CD395" s="47">
        <f t="shared" si="1297"/>
        <v>-1000</v>
      </c>
      <c r="CE395" s="47">
        <f t="shared" si="1297"/>
        <v>-1000</v>
      </c>
      <c r="CF395" s="47">
        <f t="shared" si="1297"/>
        <v>-1000</v>
      </c>
      <c r="CG395" s="47">
        <f t="shared" si="1297"/>
        <v>-1000</v>
      </c>
      <c r="CH395" s="47">
        <f t="shared" si="1297"/>
        <v>-1000</v>
      </c>
      <c r="CI395" s="47">
        <f t="shared" si="1297"/>
        <v>-1000</v>
      </c>
      <c r="CJ395" s="47">
        <f t="shared" si="1297"/>
        <v>-1000</v>
      </c>
      <c r="CK395" s="47">
        <f t="shared" si="1297"/>
        <v>-1000</v>
      </c>
      <c r="CL395" s="47">
        <f t="shared" si="1297"/>
        <v>-1000</v>
      </c>
      <c r="CM395" s="47">
        <f t="shared" si="1297"/>
        <v>-1000</v>
      </c>
      <c r="CN395" s="47">
        <f t="shared" si="1297"/>
        <v>-1000</v>
      </c>
      <c r="CO395" s="47">
        <f t="shared" si="1297"/>
        <v>-1000</v>
      </c>
      <c r="CP395" s="47">
        <f t="shared" si="1297"/>
        <v>-1000</v>
      </c>
      <c r="CQ395" s="47">
        <f t="shared" si="1297"/>
        <v>-1000</v>
      </c>
      <c r="CR395" s="47"/>
      <c r="CS395" s="47"/>
      <c r="CT395" s="47"/>
      <c r="CU395" s="50" t="str">
        <f>IFERROR(__xludf.DUMMYFUNCTION("""COMPUTED_VALUE"""),"3031 Timberview Rd
Dallas, TX 75229          ")</f>
        <v>3031 Timberview Rd
Dallas, TX 75229          </v>
      </c>
      <c r="CV395" s="51">
        <f>IFERROR(__xludf.DUMMYFUNCTION("IF(REGEXMATCH(UPPER(CU395), ""TX""),0,1)"),0.0)</f>
        <v>0</v>
      </c>
      <c r="CW395" s="51">
        <f>IFERROR(__xludf.DUMMYFUNCTION("IF(REGEXMATCH(UPPER(CU395), ""DALLAS""),0,1)"),0.0)</f>
        <v>0</v>
      </c>
      <c r="CX395" s="51">
        <f t="shared" si="17"/>
        <v>0</v>
      </c>
      <c r="CY395" s="51">
        <f t="shared" si="18"/>
        <v>0</v>
      </c>
      <c r="CZ395" s="52" t="str">
        <f t="shared" si="19"/>
        <v/>
      </c>
      <c r="DA395" s="58"/>
      <c r="DB395" s="52"/>
      <c r="DC395" s="52"/>
      <c r="DD395" s="52"/>
      <c r="DE395" s="52"/>
      <c r="DF395" s="52"/>
      <c r="DG395" s="52"/>
      <c r="DH395" s="52"/>
      <c r="DI395" s="52"/>
      <c r="DJ395" s="52"/>
      <c r="DK395" s="52"/>
      <c r="DL395" s="52"/>
      <c r="DM395" s="52"/>
      <c r="DN395" s="52"/>
      <c r="DO395" s="52"/>
      <c r="DP395" s="52"/>
      <c r="DQ395" s="52"/>
      <c r="DR395" s="52"/>
      <c r="DS395" s="52"/>
      <c r="DT395" s="52"/>
      <c r="DU395" s="52"/>
      <c r="DV395" s="52"/>
      <c r="DW395" s="52"/>
    </row>
    <row r="396">
      <c r="A396" s="22" t="s">
        <v>55</v>
      </c>
      <c r="B396" s="23" t="s">
        <v>56</v>
      </c>
      <c r="C396" s="31" t="s">
        <v>1104</v>
      </c>
      <c r="D396" s="25" t="str">
        <f>IFERROR(__xludf.DUMMYFUNCTION("SPLIT(C396,"" "")"),"Poss,")</f>
        <v>Poss,</v>
      </c>
      <c r="E396" s="22" t="str">
        <f>IFERROR(__xludf.DUMMYFUNCTION("""COMPUTED_VALUE"""),"Mary
6405")</f>
        <v>Mary
6405</v>
      </c>
      <c r="F396" s="22" t="str">
        <f>IFERROR(__xludf.DUMMYFUNCTION("""COMPUTED_VALUE"""),"Mercedes")</f>
        <v>Mercedes</v>
      </c>
      <c r="G396" s="22" t="str">
        <f>IFERROR(__xludf.DUMMYFUNCTION("""COMPUTED_VALUE"""),"Ave
Dallas,")</f>
        <v>Ave
Dallas,</v>
      </c>
      <c r="H396" s="22" t="str">
        <f>IFERROR(__xludf.DUMMYFUNCTION("""COMPUTED_VALUE"""),"TX")</f>
        <v>TX</v>
      </c>
      <c r="I396" s="22">
        <f>IFERROR(__xludf.DUMMYFUNCTION("""COMPUTED_VALUE"""),75214.0)</f>
        <v>75214</v>
      </c>
      <c r="J396" s="22"/>
      <c r="K396" s="22"/>
      <c r="L396" s="22"/>
      <c r="M396" s="22"/>
      <c r="N396" s="22"/>
      <c r="O396" s="22"/>
      <c r="P396" s="22"/>
      <c r="Q396" s="22"/>
      <c r="R396" s="22"/>
      <c r="S396" s="22"/>
      <c r="T396" s="22"/>
      <c r="U396" s="24" t="str">
        <f>IFERROR(__xludf.DUMMYFUNCTION("SPLIT(E396,""01234567890"")"),"Mary
")</f>
        <v>Mary
</v>
      </c>
      <c r="V396" s="24" t="str">
        <f>IFERROR(__xludf.DUMMYFUNCTION("SPLIT(D396,"","")"),"Poss")</f>
        <v>Poss</v>
      </c>
      <c r="W396" s="25" t="str">
        <f t="shared" si="1"/>
        <v>MARY
 POSS</v>
      </c>
      <c r="X396" s="25" t="s">
        <v>1105</v>
      </c>
      <c r="Y396" s="25">
        <v>75214.0</v>
      </c>
      <c r="Z396" s="25" t="str">
        <f>IFERROR(__xludf.DUMMYFUNCTION("SPLIT(C396,""
"")"),"Poss, Mary")</f>
        <v>Poss, Mary</v>
      </c>
      <c r="AA396" s="25" t="str">
        <f>IFERROR(__xludf.DUMMYFUNCTION("""COMPUTED_VALUE"""),"6405 Mercedes Ave")</f>
        <v>6405 Mercedes Ave</v>
      </c>
      <c r="AB396" s="25" t="str">
        <f>IFERROR(__xludf.DUMMYFUNCTION("""COMPUTED_VALUE"""),"Dallas, TX 75214")</f>
        <v>Dallas, TX 75214</v>
      </c>
      <c r="AC396" s="24" t="s">
        <v>1106</v>
      </c>
      <c r="AD396" s="25"/>
      <c r="AE396" s="25"/>
      <c r="AF396" s="25"/>
      <c r="AG396" s="22" t="s">
        <v>60</v>
      </c>
      <c r="AH396" s="54">
        <v>2437.0</v>
      </c>
      <c r="AI396" s="22" t="s">
        <v>61</v>
      </c>
      <c r="AJ396" s="27">
        <v>1000.0</v>
      </c>
      <c r="AK396" s="31" t="s">
        <v>25</v>
      </c>
      <c r="AL396" s="28">
        <v>44715.0</v>
      </c>
      <c r="AM396" s="29">
        <v>44754.83237268519</v>
      </c>
      <c r="AN396" s="30">
        <v>2.0</v>
      </c>
      <c r="AO396" s="22"/>
      <c r="AP396" s="22"/>
      <c r="AQ396" s="22"/>
      <c r="AR396" s="22"/>
      <c r="AS396" s="22"/>
      <c r="AT396" s="70"/>
      <c r="AU396" s="22"/>
      <c r="AV396" s="57" t="str">
        <f>IFERROR(__xludf.DUMMYFUNCTION("""COMPUTED_VALUE"""),"Hoffland")</f>
        <v>Hoffland</v>
      </c>
      <c r="AW396" s="46">
        <f t="shared" si="7"/>
        <v>250</v>
      </c>
      <c r="AX396" s="47">
        <f t="shared" ref="AX396:BQ396" si="1298">SUMIFS($AJ:$AJ,$V:$V,$AV396,$AK:$AK,AX$2)</f>
        <v>0</v>
      </c>
      <c r="AY396" s="48">
        <f t="shared" si="1298"/>
        <v>0</v>
      </c>
      <c r="AZ396" s="48">
        <f t="shared" si="1298"/>
        <v>0</v>
      </c>
      <c r="BA396" s="48">
        <f t="shared" si="1298"/>
        <v>250</v>
      </c>
      <c r="BB396" s="48">
        <f t="shared" si="1298"/>
        <v>0</v>
      </c>
      <c r="BC396" s="48">
        <f t="shared" si="1298"/>
        <v>0</v>
      </c>
      <c r="BD396" s="48">
        <f t="shared" si="1298"/>
        <v>0</v>
      </c>
      <c r="BE396" s="48">
        <f t="shared" si="1298"/>
        <v>0</v>
      </c>
      <c r="BF396" s="48">
        <f t="shared" si="1298"/>
        <v>0</v>
      </c>
      <c r="BG396" s="48">
        <f t="shared" si="1298"/>
        <v>0</v>
      </c>
      <c r="BH396" s="48">
        <f t="shared" si="1298"/>
        <v>0</v>
      </c>
      <c r="BI396" s="48">
        <f t="shared" si="1298"/>
        <v>0</v>
      </c>
      <c r="BJ396" s="48">
        <f t="shared" si="1298"/>
        <v>0</v>
      </c>
      <c r="BK396" s="48">
        <f t="shared" si="1298"/>
        <v>0</v>
      </c>
      <c r="BL396" s="48">
        <f t="shared" si="1298"/>
        <v>0</v>
      </c>
      <c r="BM396" s="48">
        <f t="shared" si="1298"/>
        <v>0</v>
      </c>
      <c r="BN396" s="48">
        <f t="shared" si="1298"/>
        <v>0</v>
      </c>
      <c r="BO396" s="48">
        <f t="shared" si="1298"/>
        <v>0</v>
      </c>
      <c r="BP396" s="48">
        <f t="shared" si="1298"/>
        <v>0</v>
      </c>
      <c r="BQ396" s="48">
        <f t="shared" si="1298"/>
        <v>0</v>
      </c>
      <c r="BR396" s="36">
        <f t="shared" si="9"/>
        <v>1</v>
      </c>
      <c r="BS396" s="38">
        <f t="shared" si="10"/>
        <v>2</v>
      </c>
      <c r="BT396" s="49">
        <f t="shared" si="11"/>
        <v>0</v>
      </c>
      <c r="BU396" s="38">
        <f t="shared" si="12"/>
        <v>2000</v>
      </c>
      <c r="BV396" s="57" t="str">
        <f>IFERROR(__xludf.DUMMYFUNCTION("""COMPUTED_VALUE"""),"Hoffland")</f>
        <v>Hoffland</v>
      </c>
      <c r="BW396" s="46">
        <f t="shared" si="13"/>
        <v>250</v>
      </c>
      <c r="BX396" s="47">
        <f t="shared" ref="BX396:CA396" si="1299">AX396-$BU396</f>
        <v>-2000</v>
      </c>
      <c r="BY396" s="47">
        <f t="shared" si="1299"/>
        <v>-2000</v>
      </c>
      <c r="BZ396" s="47">
        <f t="shared" si="1299"/>
        <v>-2000</v>
      </c>
      <c r="CA396" s="47">
        <f t="shared" si="1299"/>
        <v>-1750</v>
      </c>
      <c r="CB396" s="47">
        <f t="shared" si="15"/>
        <v>-20000</v>
      </c>
      <c r="CC396" s="47">
        <f t="shared" ref="CC396:CQ396" si="1300">BC396-$BU396</f>
        <v>-2000</v>
      </c>
      <c r="CD396" s="47">
        <f t="shared" si="1300"/>
        <v>-2000</v>
      </c>
      <c r="CE396" s="47">
        <f t="shared" si="1300"/>
        <v>-2000</v>
      </c>
      <c r="CF396" s="47">
        <f t="shared" si="1300"/>
        <v>-2000</v>
      </c>
      <c r="CG396" s="47">
        <f t="shared" si="1300"/>
        <v>-2000</v>
      </c>
      <c r="CH396" s="47">
        <f t="shared" si="1300"/>
        <v>-2000</v>
      </c>
      <c r="CI396" s="47">
        <f t="shared" si="1300"/>
        <v>-2000</v>
      </c>
      <c r="CJ396" s="47">
        <f t="shared" si="1300"/>
        <v>-2000</v>
      </c>
      <c r="CK396" s="47">
        <f t="shared" si="1300"/>
        <v>-2000</v>
      </c>
      <c r="CL396" s="47">
        <f t="shared" si="1300"/>
        <v>-2000</v>
      </c>
      <c r="CM396" s="47">
        <f t="shared" si="1300"/>
        <v>-2000</v>
      </c>
      <c r="CN396" s="47">
        <f t="shared" si="1300"/>
        <v>-2000</v>
      </c>
      <c r="CO396" s="47">
        <f t="shared" si="1300"/>
        <v>-2000</v>
      </c>
      <c r="CP396" s="47">
        <f t="shared" si="1300"/>
        <v>-2000</v>
      </c>
      <c r="CQ396" s="47">
        <f t="shared" si="1300"/>
        <v>-2000</v>
      </c>
      <c r="CR396" s="47"/>
      <c r="CS396" s="47"/>
      <c r="CT396" s="47"/>
      <c r="CU396" s="50" t="str">
        <f>IFERROR(__xludf.DUMMYFUNCTION("""COMPUTED_VALUE"""),"25 Highland Park Village
Dallas, TX 75205         ")</f>
        <v>25 Highland Park Village
Dallas, TX 75205         </v>
      </c>
      <c r="CV396" s="51">
        <f>IFERROR(__xludf.DUMMYFUNCTION("IF(REGEXMATCH(UPPER(CU396), ""TX""),0,1)"),0.0)</f>
        <v>0</v>
      </c>
      <c r="CW396" s="51">
        <f>IFERROR(__xludf.DUMMYFUNCTION("IF(REGEXMATCH(UPPER(CU396), ""DALLAS""),0,1)"),0.0)</f>
        <v>0</v>
      </c>
      <c r="CX396" s="51">
        <f t="shared" si="17"/>
        <v>0</v>
      </c>
      <c r="CY396" s="51">
        <f t="shared" si="18"/>
        <v>0</v>
      </c>
      <c r="CZ396" s="52" t="str">
        <f t="shared" si="19"/>
        <v/>
      </c>
      <c r="DA396" s="58"/>
      <c r="DB396" s="52"/>
      <c r="DC396" s="52"/>
      <c r="DD396" s="52"/>
      <c r="DE396" s="52"/>
      <c r="DF396" s="52"/>
      <c r="DG396" s="52"/>
      <c r="DH396" s="52"/>
      <c r="DI396" s="52"/>
      <c r="DJ396" s="52"/>
      <c r="DK396" s="52"/>
      <c r="DL396" s="52"/>
      <c r="DM396" s="52"/>
      <c r="DN396" s="52"/>
      <c r="DO396" s="52"/>
      <c r="DP396" s="52"/>
      <c r="DQ396" s="52"/>
      <c r="DR396" s="52"/>
      <c r="DS396" s="52"/>
      <c r="DT396" s="52"/>
      <c r="DU396" s="52"/>
      <c r="DV396" s="52"/>
      <c r="DW396" s="52"/>
    </row>
    <row r="397">
      <c r="A397" s="41" t="s">
        <v>64</v>
      </c>
      <c r="B397" s="41" t="s">
        <v>56</v>
      </c>
      <c r="C397" s="31" t="s">
        <v>283</v>
      </c>
      <c r="D397" s="25" t="str">
        <f>IFERROR(__xludf.DUMMYFUNCTION("SPLIT(C397,"" "")"),"Bailey,")</f>
        <v>Bailey,</v>
      </c>
      <c r="E397" s="40" t="str">
        <f>IFERROR(__xludf.DUMMYFUNCTION("""COMPUTED_VALUE"""),"Mary
3817")</f>
        <v>Mary
3817</v>
      </c>
      <c r="F397" s="40" t="str">
        <f>IFERROR(__xludf.DUMMYFUNCTION("""COMPUTED_VALUE"""),"Normandy")</f>
        <v>Normandy</v>
      </c>
      <c r="G397" s="40" t="str">
        <f>IFERROR(__xludf.DUMMYFUNCTION("""COMPUTED_VALUE"""),"Ave
Dallas,")</f>
        <v>Ave
Dallas,</v>
      </c>
      <c r="H397" s="40" t="str">
        <f>IFERROR(__xludf.DUMMYFUNCTION("""COMPUTED_VALUE"""),"TX")</f>
        <v>TX</v>
      </c>
      <c r="I397" s="40">
        <f>IFERROR(__xludf.DUMMYFUNCTION("""COMPUTED_VALUE"""),75205.0)</f>
        <v>75205</v>
      </c>
      <c r="J397" s="40"/>
      <c r="K397" s="40"/>
      <c r="L397" s="40"/>
      <c r="M397" s="40"/>
      <c r="N397" s="40"/>
      <c r="O397" s="40"/>
      <c r="P397" s="40"/>
      <c r="Q397" s="40"/>
      <c r="R397" s="40"/>
      <c r="S397" s="40"/>
      <c r="T397" s="40"/>
      <c r="U397" s="24" t="str">
        <f>IFERROR(__xludf.DUMMYFUNCTION("SPLIT(E397,""01234567890"")"),"Mary
")</f>
        <v>Mary
</v>
      </c>
      <c r="V397" s="24" t="str">
        <f>IFERROR(__xludf.DUMMYFUNCTION("SPLIT(D397,"","")"),"Bailey")</f>
        <v>Bailey</v>
      </c>
      <c r="W397" s="25" t="str">
        <f t="shared" si="1"/>
        <v>MARY
 BAILEY</v>
      </c>
      <c r="X397" s="25" t="s">
        <v>284</v>
      </c>
      <c r="Y397" s="25">
        <v>75205.0</v>
      </c>
      <c r="Z397" s="25" t="str">
        <f>IFERROR(__xludf.DUMMYFUNCTION("SPLIT(C397,""
"")"),"Bailey, Mary")</f>
        <v>Bailey, Mary</v>
      </c>
      <c r="AA397" s="25" t="str">
        <f>IFERROR(__xludf.DUMMYFUNCTION("""COMPUTED_VALUE"""),"3817 Normandy Ave")</f>
        <v>3817 Normandy Ave</v>
      </c>
      <c r="AB397" s="25" t="str">
        <f>IFERROR(__xludf.DUMMYFUNCTION("""COMPUTED_VALUE"""),"Dallas, TX 75205")</f>
        <v>Dallas, TX 75205</v>
      </c>
      <c r="AC397" s="24" t="s">
        <v>285</v>
      </c>
      <c r="AD397" s="25"/>
      <c r="AE397" s="25"/>
      <c r="AF397" s="25"/>
      <c r="AG397" s="40" t="s">
        <v>60</v>
      </c>
      <c r="AH397" s="42">
        <v>2437.0</v>
      </c>
      <c r="AI397" s="40" t="s">
        <v>61</v>
      </c>
      <c r="AJ397" s="27">
        <v>1000.0</v>
      </c>
      <c r="AK397" s="31" t="s">
        <v>25</v>
      </c>
      <c r="AL397" s="43">
        <v>44715.0</v>
      </c>
      <c r="AM397" s="44">
        <v>44754.83237268519</v>
      </c>
      <c r="AN397" s="30">
        <v>2.0</v>
      </c>
      <c r="AO397" s="40"/>
      <c r="AP397" s="40"/>
      <c r="AQ397" s="40"/>
      <c r="AR397" s="40"/>
      <c r="AS397" s="40"/>
      <c r="AT397" s="47"/>
      <c r="AU397" s="40"/>
      <c r="AV397" s="46" t="str">
        <f>IFERROR(__xludf.DUMMYFUNCTION("""COMPUTED_VALUE"""),"Krywucki")</f>
        <v>Krywucki</v>
      </c>
      <c r="AW397" s="46">
        <f t="shared" si="7"/>
        <v>1000</v>
      </c>
      <c r="AX397" s="47">
        <f t="shared" ref="AX397:BQ397" si="1301">SUMIFS($AJ:$AJ,$V:$V,$AV397,$AK:$AK,AX$2)</f>
        <v>0</v>
      </c>
      <c r="AY397" s="48">
        <f t="shared" si="1301"/>
        <v>0</v>
      </c>
      <c r="AZ397" s="48">
        <f t="shared" si="1301"/>
        <v>0</v>
      </c>
      <c r="BA397" s="48">
        <f t="shared" si="1301"/>
        <v>1000</v>
      </c>
      <c r="BB397" s="48">
        <f t="shared" si="1301"/>
        <v>0</v>
      </c>
      <c r="BC397" s="48">
        <f t="shared" si="1301"/>
        <v>0</v>
      </c>
      <c r="BD397" s="48">
        <f t="shared" si="1301"/>
        <v>0</v>
      </c>
      <c r="BE397" s="48">
        <f t="shared" si="1301"/>
        <v>0</v>
      </c>
      <c r="BF397" s="48">
        <f t="shared" si="1301"/>
        <v>0</v>
      </c>
      <c r="BG397" s="48">
        <f t="shared" si="1301"/>
        <v>0</v>
      </c>
      <c r="BH397" s="48">
        <f t="shared" si="1301"/>
        <v>0</v>
      </c>
      <c r="BI397" s="48">
        <f t="shared" si="1301"/>
        <v>0</v>
      </c>
      <c r="BJ397" s="48">
        <f t="shared" si="1301"/>
        <v>0</v>
      </c>
      <c r="BK397" s="48">
        <f t="shared" si="1301"/>
        <v>0</v>
      </c>
      <c r="BL397" s="48">
        <f t="shared" si="1301"/>
        <v>0</v>
      </c>
      <c r="BM397" s="48">
        <f t="shared" si="1301"/>
        <v>0</v>
      </c>
      <c r="BN397" s="48">
        <f t="shared" si="1301"/>
        <v>0</v>
      </c>
      <c r="BO397" s="48">
        <f t="shared" si="1301"/>
        <v>0</v>
      </c>
      <c r="BP397" s="48">
        <f t="shared" si="1301"/>
        <v>0</v>
      </c>
      <c r="BQ397" s="48">
        <f t="shared" si="1301"/>
        <v>0</v>
      </c>
      <c r="BR397" s="36">
        <f t="shared" si="9"/>
        <v>0</v>
      </c>
      <c r="BS397" s="38">
        <f t="shared" si="10"/>
        <v>1</v>
      </c>
      <c r="BT397" s="49">
        <f t="shared" si="11"/>
        <v>0</v>
      </c>
      <c r="BU397" s="38">
        <f t="shared" si="12"/>
        <v>1000</v>
      </c>
      <c r="BV397" s="46" t="str">
        <f>IFERROR(__xludf.DUMMYFUNCTION("""COMPUTED_VALUE"""),"Krywucki")</f>
        <v>Krywucki</v>
      </c>
      <c r="BW397" s="46">
        <f t="shared" si="13"/>
        <v>1000</v>
      </c>
      <c r="BX397" s="47">
        <f t="shared" ref="BX397:CA397" si="1302">AX397-$BU397</f>
        <v>-1000</v>
      </c>
      <c r="BY397" s="47">
        <f t="shared" si="1302"/>
        <v>-1000</v>
      </c>
      <c r="BZ397" s="47">
        <f t="shared" si="1302"/>
        <v>-1000</v>
      </c>
      <c r="CA397" s="47">
        <f t="shared" si="1302"/>
        <v>0</v>
      </c>
      <c r="CB397" s="47">
        <f t="shared" si="15"/>
        <v>-10000</v>
      </c>
      <c r="CC397" s="47">
        <f t="shared" ref="CC397:CQ397" si="1303">BC397-$BU397</f>
        <v>-1000</v>
      </c>
      <c r="CD397" s="47">
        <f t="shared" si="1303"/>
        <v>-1000</v>
      </c>
      <c r="CE397" s="47">
        <f t="shared" si="1303"/>
        <v>-1000</v>
      </c>
      <c r="CF397" s="47">
        <f t="shared" si="1303"/>
        <v>-1000</v>
      </c>
      <c r="CG397" s="47">
        <f t="shared" si="1303"/>
        <v>-1000</v>
      </c>
      <c r="CH397" s="47">
        <f t="shared" si="1303"/>
        <v>-1000</v>
      </c>
      <c r="CI397" s="47">
        <f t="shared" si="1303"/>
        <v>-1000</v>
      </c>
      <c r="CJ397" s="47">
        <f t="shared" si="1303"/>
        <v>-1000</v>
      </c>
      <c r="CK397" s="47">
        <f t="shared" si="1303"/>
        <v>-1000</v>
      </c>
      <c r="CL397" s="47">
        <f t="shared" si="1303"/>
        <v>-1000</v>
      </c>
      <c r="CM397" s="47">
        <f t="shared" si="1303"/>
        <v>-1000</v>
      </c>
      <c r="CN397" s="47">
        <f t="shared" si="1303"/>
        <v>-1000</v>
      </c>
      <c r="CO397" s="47">
        <f t="shared" si="1303"/>
        <v>-1000</v>
      </c>
      <c r="CP397" s="47">
        <f t="shared" si="1303"/>
        <v>-1000</v>
      </c>
      <c r="CQ397" s="47">
        <f t="shared" si="1303"/>
        <v>-1000</v>
      </c>
      <c r="CR397" s="47"/>
      <c r="CS397" s="47"/>
      <c r="CT397" s="47"/>
      <c r="CU397" s="50" t="str">
        <f>IFERROR(__xludf.DUMMYFUNCTION("""COMPUTED_VALUE"""),"10615 Royal Club Ln
Dallas, TX 75229         ")</f>
        <v>10615 Royal Club Ln
Dallas, TX 75229         </v>
      </c>
      <c r="CV397" s="51">
        <f>IFERROR(__xludf.DUMMYFUNCTION("IF(REGEXMATCH(UPPER(CU397), ""TX""),0,1)"),0.0)</f>
        <v>0</v>
      </c>
      <c r="CW397" s="51">
        <f>IFERROR(__xludf.DUMMYFUNCTION("IF(REGEXMATCH(UPPER(CU397), ""DALLAS""),0,1)"),0.0)</f>
        <v>0</v>
      </c>
      <c r="CX397" s="51">
        <f t="shared" si="17"/>
        <v>0</v>
      </c>
      <c r="CY397" s="51">
        <f t="shared" si="18"/>
        <v>0</v>
      </c>
      <c r="CZ397" s="52" t="str">
        <f t="shared" si="19"/>
        <v/>
      </c>
      <c r="DA397" s="58"/>
      <c r="DB397" s="52"/>
      <c r="DC397" s="52"/>
      <c r="DD397" s="52"/>
      <c r="DE397" s="52"/>
      <c r="DF397" s="52"/>
      <c r="DG397" s="52"/>
      <c r="DH397" s="52"/>
      <c r="DI397" s="52"/>
      <c r="DJ397" s="52"/>
      <c r="DK397" s="52"/>
      <c r="DL397" s="52"/>
      <c r="DM397" s="52"/>
      <c r="DN397" s="52"/>
      <c r="DO397" s="52"/>
      <c r="DP397" s="52"/>
      <c r="DQ397" s="52"/>
      <c r="DR397" s="52"/>
      <c r="DS397" s="52"/>
      <c r="DT397" s="52"/>
      <c r="DU397" s="52"/>
      <c r="DV397" s="52"/>
      <c r="DW397" s="52"/>
    </row>
    <row r="398">
      <c r="A398" s="22" t="s">
        <v>55</v>
      </c>
      <c r="B398" s="23" t="s">
        <v>56</v>
      </c>
      <c r="C398" s="31" t="s">
        <v>1107</v>
      </c>
      <c r="D398" s="25" t="str">
        <f>IFERROR(__xludf.DUMMYFUNCTION("SPLIT(C398,"" "")"),"Lawry,")</f>
        <v>Lawry,</v>
      </c>
      <c r="E398" s="22" t="str">
        <f>IFERROR(__xludf.DUMMYFUNCTION("""COMPUTED_VALUE"""),"Aletheia
10462")</f>
        <v>Aletheia
10462</v>
      </c>
      <c r="F398" s="22" t="str">
        <f>IFERROR(__xludf.DUMMYFUNCTION("""COMPUTED_VALUE"""),"North")</f>
        <v>North</v>
      </c>
      <c r="G398" s="22" t="str">
        <f>IFERROR(__xludf.DUMMYFUNCTION("""COMPUTED_VALUE"""),"Nicklaus")</f>
        <v>Nicklaus</v>
      </c>
      <c r="H398" s="22" t="str">
        <f>IFERROR(__xludf.DUMMYFUNCTION("""COMPUTED_VALUE"""),"Dr
Fountain")</f>
        <v>Dr
Fountain</v>
      </c>
      <c r="I398" s="22" t="str">
        <f>IFERROR(__xludf.DUMMYFUNCTION("""COMPUTED_VALUE"""),"Hill,")</f>
        <v>Hill,</v>
      </c>
      <c r="J398" s="22" t="str">
        <f>IFERROR(__xludf.DUMMYFUNCTION("""COMPUTED_VALUE"""),"AZ")</f>
        <v>AZ</v>
      </c>
      <c r="K398" s="22">
        <f>IFERROR(__xludf.DUMMYFUNCTION("""COMPUTED_VALUE"""),85268.0)</f>
        <v>85268</v>
      </c>
      <c r="L398" s="22"/>
      <c r="M398" s="22"/>
      <c r="N398" s="22"/>
      <c r="O398" s="22"/>
      <c r="P398" s="22"/>
      <c r="Q398" s="22"/>
      <c r="R398" s="22"/>
      <c r="S398" s="22"/>
      <c r="T398" s="22"/>
      <c r="U398" s="24" t="str">
        <f>IFERROR(__xludf.DUMMYFUNCTION("SPLIT(E398,""01234567890"")"),"Aletheia
")</f>
        <v>Aletheia
</v>
      </c>
      <c r="V398" s="24" t="str">
        <f>IFERROR(__xludf.DUMMYFUNCTION("SPLIT(D398,"","")"),"Lawry")</f>
        <v>Lawry</v>
      </c>
      <c r="W398" s="25" t="str">
        <f t="shared" si="1"/>
        <v>ALETHEIA
 LAWRY</v>
      </c>
      <c r="X398" s="25" t="s">
        <v>1108</v>
      </c>
      <c r="Y398" s="25">
        <v>85268.0</v>
      </c>
      <c r="Z398" s="25" t="str">
        <f>IFERROR(__xludf.DUMMYFUNCTION("SPLIT(C398,""
"")"),"Lawry, Aletheia")</f>
        <v>Lawry, Aletheia</v>
      </c>
      <c r="AA398" s="25" t="str">
        <f>IFERROR(__xludf.DUMMYFUNCTION("""COMPUTED_VALUE"""),"10462 North Nicklaus Dr")</f>
        <v>10462 North Nicklaus Dr</v>
      </c>
      <c r="AB398" s="25" t="str">
        <f>IFERROR(__xludf.DUMMYFUNCTION("""COMPUTED_VALUE"""),"Fountain Hill, AZ 85268")</f>
        <v>Fountain Hill, AZ 85268</v>
      </c>
      <c r="AC398" s="24" t="s">
        <v>1109</v>
      </c>
      <c r="AD398" s="25"/>
      <c r="AE398" s="25"/>
      <c r="AF398" s="25"/>
      <c r="AG398" s="22" t="s">
        <v>60</v>
      </c>
      <c r="AH398" s="54">
        <v>2437.0</v>
      </c>
      <c r="AI398" s="22" t="s">
        <v>61</v>
      </c>
      <c r="AJ398" s="27">
        <v>500.0</v>
      </c>
      <c r="AK398" s="31" t="s">
        <v>25</v>
      </c>
      <c r="AL398" s="28">
        <v>44715.0</v>
      </c>
      <c r="AM398" s="29">
        <v>44754.83237268519</v>
      </c>
      <c r="AN398" s="30">
        <v>2.0</v>
      </c>
      <c r="AO398" s="22"/>
      <c r="AP398" s="22"/>
      <c r="AQ398" s="22"/>
      <c r="AR398" s="22"/>
      <c r="AS398" s="22"/>
      <c r="AT398" s="70"/>
      <c r="AU398" s="22"/>
      <c r="AV398" s="57" t="str">
        <f>IFERROR(__xludf.DUMMYFUNCTION("""COMPUTED_VALUE"""),"Lane")</f>
        <v>Lane</v>
      </c>
      <c r="AW398" s="46">
        <f t="shared" si="7"/>
        <v>50</v>
      </c>
      <c r="AX398" s="47">
        <f t="shared" ref="AX398:BQ398" si="1304">SUMIFS($AJ:$AJ,$V:$V,$AV398,$AK:$AK,AX$2)</f>
        <v>0</v>
      </c>
      <c r="AY398" s="48">
        <f t="shared" si="1304"/>
        <v>0</v>
      </c>
      <c r="AZ398" s="48">
        <f t="shared" si="1304"/>
        <v>0</v>
      </c>
      <c r="BA398" s="48">
        <f t="shared" si="1304"/>
        <v>50</v>
      </c>
      <c r="BB398" s="48">
        <f t="shared" si="1304"/>
        <v>0</v>
      </c>
      <c r="BC398" s="48">
        <f t="shared" si="1304"/>
        <v>0</v>
      </c>
      <c r="BD398" s="48">
        <f t="shared" si="1304"/>
        <v>0</v>
      </c>
      <c r="BE398" s="48">
        <f t="shared" si="1304"/>
        <v>0</v>
      </c>
      <c r="BF398" s="48">
        <f t="shared" si="1304"/>
        <v>0</v>
      </c>
      <c r="BG398" s="48">
        <f t="shared" si="1304"/>
        <v>0</v>
      </c>
      <c r="BH398" s="48">
        <f t="shared" si="1304"/>
        <v>0</v>
      </c>
      <c r="BI398" s="48">
        <f t="shared" si="1304"/>
        <v>0</v>
      </c>
      <c r="BJ398" s="48">
        <f t="shared" si="1304"/>
        <v>0</v>
      </c>
      <c r="BK398" s="48">
        <f t="shared" si="1304"/>
        <v>0</v>
      </c>
      <c r="BL398" s="48">
        <f t="shared" si="1304"/>
        <v>0</v>
      </c>
      <c r="BM398" s="48">
        <f t="shared" si="1304"/>
        <v>0</v>
      </c>
      <c r="BN398" s="48">
        <f t="shared" si="1304"/>
        <v>0</v>
      </c>
      <c r="BO398" s="48">
        <f t="shared" si="1304"/>
        <v>0</v>
      </c>
      <c r="BP398" s="48">
        <f t="shared" si="1304"/>
        <v>0</v>
      </c>
      <c r="BQ398" s="48">
        <f t="shared" si="1304"/>
        <v>0</v>
      </c>
      <c r="BR398" s="36">
        <f t="shared" si="9"/>
        <v>0</v>
      </c>
      <c r="BS398" s="38">
        <f t="shared" si="10"/>
        <v>1</v>
      </c>
      <c r="BT398" s="49">
        <f t="shared" si="11"/>
        <v>0</v>
      </c>
      <c r="BU398" s="38">
        <f t="shared" si="12"/>
        <v>1000</v>
      </c>
      <c r="BV398" s="57" t="str">
        <f>IFERROR(__xludf.DUMMYFUNCTION("""COMPUTED_VALUE"""),"Lane")</f>
        <v>Lane</v>
      </c>
      <c r="BW398" s="46">
        <f t="shared" si="13"/>
        <v>50</v>
      </c>
      <c r="BX398" s="47">
        <f t="shared" ref="BX398:CA398" si="1305">AX398-$BU398</f>
        <v>-1000</v>
      </c>
      <c r="BY398" s="47">
        <f t="shared" si="1305"/>
        <v>-1000</v>
      </c>
      <c r="BZ398" s="47">
        <f t="shared" si="1305"/>
        <v>-1000</v>
      </c>
      <c r="CA398" s="47">
        <f t="shared" si="1305"/>
        <v>-950</v>
      </c>
      <c r="CB398" s="47">
        <f t="shared" si="15"/>
        <v>-10000</v>
      </c>
      <c r="CC398" s="47">
        <f t="shared" ref="CC398:CQ398" si="1306">BC398-$BU398</f>
        <v>-1000</v>
      </c>
      <c r="CD398" s="47">
        <f t="shared" si="1306"/>
        <v>-1000</v>
      </c>
      <c r="CE398" s="47">
        <f t="shared" si="1306"/>
        <v>-1000</v>
      </c>
      <c r="CF398" s="47">
        <f t="shared" si="1306"/>
        <v>-1000</v>
      </c>
      <c r="CG398" s="47">
        <f t="shared" si="1306"/>
        <v>-1000</v>
      </c>
      <c r="CH398" s="47">
        <f t="shared" si="1306"/>
        <v>-1000</v>
      </c>
      <c r="CI398" s="47">
        <f t="shared" si="1306"/>
        <v>-1000</v>
      </c>
      <c r="CJ398" s="47">
        <f t="shared" si="1306"/>
        <v>-1000</v>
      </c>
      <c r="CK398" s="47">
        <f t="shared" si="1306"/>
        <v>-1000</v>
      </c>
      <c r="CL398" s="47">
        <f t="shared" si="1306"/>
        <v>-1000</v>
      </c>
      <c r="CM398" s="47">
        <f t="shared" si="1306"/>
        <v>-1000</v>
      </c>
      <c r="CN398" s="47">
        <f t="shared" si="1306"/>
        <v>-1000</v>
      </c>
      <c r="CO398" s="47">
        <f t="shared" si="1306"/>
        <v>-1000</v>
      </c>
      <c r="CP398" s="47">
        <f t="shared" si="1306"/>
        <v>-1000</v>
      </c>
      <c r="CQ398" s="47">
        <f t="shared" si="1306"/>
        <v>-1000</v>
      </c>
      <c r="CR398" s="47"/>
      <c r="CS398" s="47"/>
      <c r="CT398" s="47"/>
      <c r="CU398" s="50" t="str">
        <f>IFERROR(__xludf.DUMMYFUNCTION("""COMPUTED_VALUE"""),"10131 Gaywood Rd.
Dallas, TX 75229          ")</f>
        <v>10131 Gaywood Rd.
Dallas, TX 75229          </v>
      </c>
      <c r="CV398" s="51">
        <f>IFERROR(__xludf.DUMMYFUNCTION("IF(REGEXMATCH(UPPER(CU398), ""TX""),0,1)"),0.0)</f>
        <v>0</v>
      </c>
      <c r="CW398" s="51">
        <f>IFERROR(__xludf.DUMMYFUNCTION("IF(REGEXMATCH(UPPER(CU398), ""DALLAS""),0,1)"),0.0)</f>
        <v>0</v>
      </c>
      <c r="CX398" s="51">
        <f t="shared" si="17"/>
        <v>0</v>
      </c>
      <c r="CY398" s="51">
        <f t="shared" si="18"/>
        <v>0</v>
      </c>
      <c r="CZ398" s="52" t="str">
        <f t="shared" si="19"/>
        <v/>
      </c>
      <c r="DA398" s="58"/>
      <c r="DB398" s="52"/>
      <c r="DC398" s="52"/>
      <c r="DD398" s="52"/>
      <c r="DE398" s="52"/>
      <c r="DF398" s="52"/>
      <c r="DG398" s="52"/>
      <c r="DH398" s="52"/>
      <c r="DI398" s="52"/>
      <c r="DJ398" s="52"/>
      <c r="DK398" s="52"/>
      <c r="DL398" s="52"/>
      <c r="DM398" s="52"/>
      <c r="DN398" s="52"/>
      <c r="DO398" s="52"/>
      <c r="DP398" s="52"/>
      <c r="DQ398" s="52"/>
      <c r="DR398" s="52"/>
      <c r="DS398" s="52"/>
      <c r="DT398" s="52"/>
      <c r="DU398" s="52"/>
      <c r="DV398" s="52"/>
      <c r="DW398" s="52"/>
    </row>
    <row r="399">
      <c r="A399" s="41" t="s">
        <v>64</v>
      </c>
      <c r="B399" s="41" t="s">
        <v>56</v>
      </c>
      <c r="C399" s="31" t="s">
        <v>1110</v>
      </c>
      <c r="D399" s="25" t="str">
        <f>IFERROR(__xludf.DUMMYFUNCTION("SPLIT(C399,"" "")"),"Lanier,")</f>
        <v>Lanier,</v>
      </c>
      <c r="E399" s="40" t="str">
        <f>IFERROR(__xludf.DUMMYFUNCTION("""COMPUTED_VALUE"""),"Robert
345")</f>
        <v>Robert
345</v>
      </c>
      <c r="F399" s="40" t="str">
        <f>IFERROR(__xludf.DUMMYFUNCTION("""COMPUTED_VALUE"""),"Glen")</f>
        <v>Glen</v>
      </c>
      <c r="G399" s="40" t="str">
        <f>IFERROR(__xludf.DUMMYFUNCTION("""COMPUTED_VALUE"""),"Iris")</f>
        <v>Iris</v>
      </c>
      <c r="H399" s="40" t="str">
        <f>IFERROR(__xludf.DUMMYFUNCTION("""COMPUTED_VALUE"""),"Drive")</f>
        <v>Drive</v>
      </c>
      <c r="I399" s="40" t="str">
        <f>IFERROR(__xludf.DUMMYFUNCTION("""COMPUTED_VALUE"""),"NE
Atlanta,")</f>
        <v>NE
Atlanta,</v>
      </c>
      <c r="J399" s="40" t="str">
        <f>IFERROR(__xludf.DUMMYFUNCTION("""COMPUTED_VALUE"""),"GA")</f>
        <v>GA</v>
      </c>
      <c r="K399" s="40">
        <f>IFERROR(__xludf.DUMMYFUNCTION("""COMPUTED_VALUE"""),30312.0)</f>
        <v>30312</v>
      </c>
      <c r="L399" s="40"/>
      <c r="M399" s="40"/>
      <c r="N399" s="40"/>
      <c r="O399" s="40"/>
      <c r="P399" s="40"/>
      <c r="Q399" s="40"/>
      <c r="R399" s="40"/>
      <c r="S399" s="40"/>
      <c r="T399" s="40"/>
      <c r="U399" s="24" t="str">
        <f>IFERROR(__xludf.DUMMYFUNCTION("SPLIT(E399,""01234567890"")"),"Robert
")</f>
        <v>Robert
</v>
      </c>
      <c r="V399" s="24" t="str">
        <f>IFERROR(__xludf.DUMMYFUNCTION("SPLIT(D399,"","")"),"Lanier")</f>
        <v>Lanier</v>
      </c>
      <c r="W399" s="25" t="str">
        <f t="shared" si="1"/>
        <v>ROBERT
 LANIER</v>
      </c>
      <c r="X399" s="25" t="s">
        <v>1111</v>
      </c>
      <c r="Y399" s="25">
        <v>30312.0</v>
      </c>
      <c r="Z399" s="25" t="str">
        <f>IFERROR(__xludf.DUMMYFUNCTION("SPLIT(C399,""
"")"),"Lanier, Robert")</f>
        <v>Lanier, Robert</v>
      </c>
      <c r="AA399" s="25" t="str">
        <f>IFERROR(__xludf.DUMMYFUNCTION("""COMPUTED_VALUE"""),"345 Glen Iris Drive NE")</f>
        <v>345 Glen Iris Drive NE</v>
      </c>
      <c r="AB399" s="25" t="str">
        <f>IFERROR(__xludf.DUMMYFUNCTION("""COMPUTED_VALUE"""),"Atlanta, GA 30312")</f>
        <v>Atlanta, GA 30312</v>
      </c>
      <c r="AC399" s="24" t="s">
        <v>1112</v>
      </c>
      <c r="AD399" s="25"/>
      <c r="AE399" s="25"/>
      <c r="AF399" s="25"/>
      <c r="AG399" s="40" t="s">
        <v>60</v>
      </c>
      <c r="AH399" s="42">
        <v>2437.0</v>
      </c>
      <c r="AI399" s="40" t="s">
        <v>61</v>
      </c>
      <c r="AJ399" s="27">
        <v>500.0</v>
      </c>
      <c r="AK399" s="31" t="s">
        <v>25</v>
      </c>
      <c r="AL399" s="43">
        <v>44715.0</v>
      </c>
      <c r="AM399" s="44">
        <v>44754.83237268519</v>
      </c>
      <c r="AN399" s="30">
        <v>2.0</v>
      </c>
      <c r="AO399" s="40"/>
      <c r="AP399" s="40"/>
      <c r="AQ399" s="40"/>
      <c r="AR399" s="40"/>
      <c r="AS399" s="40"/>
      <c r="AT399" s="47"/>
      <c r="AU399" s="40"/>
      <c r="AV399" s="46" t="str">
        <f>IFERROR(__xludf.DUMMYFUNCTION("""COMPUTED_VALUE"""),"Veale")</f>
        <v>Veale</v>
      </c>
      <c r="AW399" s="46">
        <f t="shared" si="7"/>
        <v>350</v>
      </c>
      <c r="AX399" s="47">
        <f t="shared" ref="AX399:BQ399" si="1307">SUMIFS($AJ:$AJ,$V:$V,$AV399,$AK:$AK,AX$2)</f>
        <v>0</v>
      </c>
      <c r="AY399" s="48">
        <f t="shared" si="1307"/>
        <v>0</v>
      </c>
      <c r="AZ399" s="48">
        <f t="shared" si="1307"/>
        <v>0</v>
      </c>
      <c r="BA399" s="48">
        <f t="shared" si="1307"/>
        <v>350</v>
      </c>
      <c r="BB399" s="48">
        <f t="shared" si="1307"/>
        <v>0</v>
      </c>
      <c r="BC399" s="48">
        <f t="shared" si="1307"/>
        <v>0</v>
      </c>
      <c r="BD399" s="48">
        <f t="shared" si="1307"/>
        <v>0</v>
      </c>
      <c r="BE399" s="48">
        <f t="shared" si="1307"/>
        <v>0</v>
      </c>
      <c r="BF399" s="48">
        <f t="shared" si="1307"/>
        <v>0</v>
      </c>
      <c r="BG399" s="48">
        <f t="shared" si="1307"/>
        <v>0</v>
      </c>
      <c r="BH399" s="48">
        <f t="shared" si="1307"/>
        <v>0</v>
      </c>
      <c r="BI399" s="48">
        <f t="shared" si="1307"/>
        <v>0</v>
      </c>
      <c r="BJ399" s="48">
        <f t="shared" si="1307"/>
        <v>0</v>
      </c>
      <c r="BK399" s="48">
        <f t="shared" si="1307"/>
        <v>0</v>
      </c>
      <c r="BL399" s="48">
        <f t="shared" si="1307"/>
        <v>0</v>
      </c>
      <c r="BM399" s="48">
        <f t="shared" si="1307"/>
        <v>0</v>
      </c>
      <c r="BN399" s="48">
        <f t="shared" si="1307"/>
        <v>0</v>
      </c>
      <c r="BO399" s="48">
        <f t="shared" si="1307"/>
        <v>0</v>
      </c>
      <c r="BP399" s="48">
        <f t="shared" si="1307"/>
        <v>0</v>
      </c>
      <c r="BQ399" s="48">
        <f t="shared" si="1307"/>
        <v>0</v>
      </c>
      <c r="BR399" s="36">
        <f t="shared" si="9"/>
        <v>0</v>
      </c>
      <c r="BS399" s="38">
        <f t="shared" si="10"/>
        <v>1</v>
      </c>
      <c r="BT399" s="49">
        <f t="shared" si="11"/>
        <v>0</v>
      </c>
      <c r="BU399" s="38">
        <f t="shared" si="12"/>
        <v>1000</v>
      </c>
      <c r="BV399" s="46" t="str">
        <f>IFERROR(__xludf.DUMMYFUNCTION("""COMPUTED_VALUE"""),"Veale")</f>
        <v>Veale</v>
      </c>
      <c r="BW399" s="46">
        <f t="shared" si="13"/>
        <v>350</v>
      </c>
      <c r="BX399" s="47">
        <f t="shared" ref="BX399:CA399" si="1308">AX399-$BU399</f>
        <v>-1000</v>
      </c>
      <c r="BY399" s="47">
        <f t="shared" si="1308"/>
        <v>-1000</v>
      </c>
      <c r="BZ399" s="47">
        <f t="shared" si="1308"/>
        <v>-1000</v>
      </c>
      <c r="CA399" s="47">
        <f t="shared" si="1308"/>
        <v>-650</v>
      </c>
      <c r="CB399" s="47">
        <f t="shared" si="15"/>
        <v>-10000</v>
      </c>
      <c r="CC399" s="47">
        <f t="shared" ref="CC399:CQ399" si="1309">BC399-$BU399</f>
        <v>-1000</v>
      </c>
      <c r="CD399" s="47">
        <f t="shared" si="1309"/>
        <v>-1000</v>
      </c>
      <c r="CE399" s="47">
        <f t="shared" si="1309"/>
        <v>-1000</v>
      </c>
      <c r="CF399" s="47">
        <f t="shared" si="1309"/>
        <v>-1000</v>
      </c>
      <c r="CG399" s="47">
        <f t="shared" si="1309"/>
        <v>-1000</v>
      </c>
      <c r="CH399" s="47">
        <f t="shared" si="1309"/>
        <v>-1000</v>
      </c>
      <c r="CI399" s="47">
        <f t="shared" si="1309"/>
        <v>-1000</v>
      </c>
      <c r="CJ399" s="47">
        <f t="shared" si="1309"/>
        <v>-1000</v>
      </c>
      <c r="CK399" s="47">
        <f t="shared" si="1309"/>
        <v>-1000</v>
      </c>
      <c r="CL399" s="47">
        <f t="shared" si="1309"/>
        <v>-1000</v>
      </c>
      <c r="CM399" s="47">
        <f t="shared" si="1309"/>
        <v>-1000</v>
      </c>
      <c r="CN399" s="47">
        <f t="shared" si="1309"/>
        <v>-1000</v>
      </c>
      <c r="CO399" s="47">
        <f t="shared" si="1309"/>
        <v>-1000</v>
      </c>
      <c r="CP399" s="47">
        <f t="shared" si="1309"/>
        <v>-1000</v>
      </c>
      <c r="CQ399" s="47">
        <f t="shared" si="1309"/>
        <v>-1000</v>
      </c>
      <c r="CR399" s="47"/>
      <c r="CS399" s="47"/>
      <c r="CT399" s="47"/>
      <c r="CU399" s="50" t="str">
        <f>IFERROR(__xludf.DUMMYFUNCTION("""COMPUTED_VALUE"""),"5020 Lilac Lane
Dallas, TX 75209          ")</f>
        <v>5020 Lilac Lane
Dallas, TX 75209          </v>
      </c>
      <c r="CV399" s="51">
        <f>IFERROR(__xludf.DUMMYFUNCTION("IF(REGEXMATCH(UPPER(CU399), ""TX""),0,1)"),0.0)</f>
        <v>0</v>
      </c>
      <c r="CW399" s="51">
        <f>IFERROR(__xludf.DUMMYFUNCTION("IF(REGEXMATCH(UPPER(CU399), ""DALLAS""),0,1)"),0.0)</f>
        <v>0</v>
      </c>
      <c r="CX399" s="51">
        <f t="shared" si="17"/>
        <v>0</v>
      </c>
      <c r="CY399" s="51">
        <f t="shared" si="18"/>
        <v>0</v>
      </c>
      <c r="CZ399" s="52" t="str">
        <f t="shared" si="19"/>
        <v/>
      </c>
      <c r="DA399" s="58"/>
      <c r="DB399" s="52"/>
      <c r="DC399" s="52"/>
      <c r="DD399" s="52"/>
      <c r="DE399" s="52"/>
      <c r="DF399" s="52"/>
      <c r="DG399" s="52"/>
      <c r="DH399" s="52"/>
      <c r="DI399" s="52"/>
      <c r="DJ399" s="52"/>
      <c r="DK399" s="52"/>
      <c r="DL399" s="52"/>
      <c r="DM399" s="52"/>
      <c r="DN399" s="52"/>
      <c r="DO399" s="52"/>
      <c r="DP399" s="52"/>
      <c r="DQ399" s="52"/>
      <c r="DR399" s="52"/>
      <c r="DS399" s="52"/>
      <c r="DT399" s="52"/>
      <c r="DU399" s="52"/>
      <c r="DV399" s="52"/>
      <c r="DW399" s="52"/>
    </row>
    <row r="400">
      <c r="A400" s="22" t="s">
        <v>55</v>
      </c>
      <c r="B400" s="23" t="s">
        <v>56</v>
      </c>
      <c r="C400" s="31" t="s">
        <v>1113</v>
      </c>
      <c r="D400" s="25" t="str">
        <f>IFERROR(__xludf.DUMMYFUNCTION("SPLIT(C400,"" "")"),"Bumpas,")</f>
        <v>Bumpas,</v>
      </c>
      <c r="E400" s="22" t="str">
        <f>IFERROR(__xludf.DUMMYFUNCTION("""COMPUTED_VALUE"""),"Diane
5306")</f>
        <v>Diane
5306</v>
      </c>
      <c r="F400" s="22" t="str">
        <f>IFERROR(__xludf.DUMMYFUNCTION("""COMPUTED_VALUE"""),"Surrey")</f>
        <v>Surrey</v>
      </c>
      <c r="G400" s="22" t="str">
        <f>IFERROR(__xludf.DUMMYFUNCTION("""COMPUTED_VALUE"""),"Circle
Dallas,")</f>
        <v>Circle
Dallas,</v>
      </c>
      <c r="H400" s="22" t="str">
        <f>IFERROR(__xludf.DUMMYFUNCTION("""COMPUTED_VALUE"""),"TX")</f>
        <v>TX</v>
      </c>
      <c r="I400" s="22">
        <f>IFERROR(__xludf.DUMMYFUNCTION("""COMPUTED_VALUE"""),75209.0)</f>
        <v>75209</v>
      </c>
      <c r="J400" s="22"/>
      <c r="K400" s="22"/>
      <c r="L400" s="22"/>
      <c r="M400" s="22"/>
      <c r="N400" s="22"/>
      <c r="O400" s="22"/>
      <c r="P400" s="22"/>
      <c r="Q400" s="22"/>
      <c r="R400" s="22"/>
      <c r="S400" s="22"/>
      <c r="T400" s="22"/>
      <c r="U400" s="24" t="str">
        <f>IFERROR(__xludf.DUMMYFUNCTION("SPLIT(E400,""01234567890"")"),"Diane
")</f>
        <v>Diane
</v>
      </c>
      <c r="V400" s="24" t="str">
        <f>IFERROR(__xludf.DUMMYFUNCTION("SPLIT(D400,"","")"),"Bumpas")</f>
        <v>Bumpas</v>
      </c>
      <c r="W400" s="25" t="str">
        <f t="shared" si="1"/>
        <v>DIANE
 BUMPAS</v>
      </c>
      <c r="X400" s="25" t="s">
        <v>1114</v>
      </c>
      <c r="Y400" s="25">
        <v>75209.0</v>
      </c>
      <c r="Z400" s="25" t="str">
        <f>IFERROR(__xludf.DUMMYFUNCTION("SPLIT(C400,""
"")"),"Bumpas, Diane")</f>
        <v>Bumpas, Diane</v>
      </c>
      <c r="AA400" s="25" t="str">
        <f>IFERROR(__xludf.DUMMYFUNCTION("""COMPUTED_VALUE"""),"5306 Surrey Circle")</f>
        <v>5306 Surrey Circle</v>
      </c>
      <c r="AB400" s="25" t="str">
        <f>IFERROR(__xludf.DUMMYFUNCTION("""COMPUTED_VALUE"""),"Dallas, TX 75209")</f>
        <v>Dallas, TX 75209</v>
      </c>
      <c r="AC400" s="24" t="s">
        <v>1115</v>
      </c>
      <c r="AD400" s="25"/>
      <c r="AE400" s="25"/>
      <c r="AF400" s="25"/>
      <c r="AG400" s="22" t="s">
        <v>60</v>
      </c>
      <c r="AH400" s="54">
        <v>2437.0</v>
      </c>
      <c r="AI400" s="22" t="s">
        <v>61</v>
      </c>
      <c r="AJ400" s="27">
        <v>500.0</v>
      </c>
      <c r="AK400" s="31" t="s">
        <v>25</v>
      </c>
      <c r="AL400" s="28">
        <v>44715.0</v>
      </c>
      <c r="AM400" s="29">
        <v>44754.83237268519</v>
      </c>
      <c r="AN400" s="30">
        <v>2.0</v>
      </c>
      <c r="AO400" s="22"/>
      <c r="AP400" s="22"/>
      <c r="AQ400" s="22"/>
      <c r="AR400" s="22"/>
      <c r="AS400" s="22"/>
      <c r="AT400" s="70"/>
      <c r="AU400" s="22"/>
      <c r="AV400" s="57" t="str">
        <f>IFERROR(__xludf.DUMMYFUNCTION("""COMPUTED_VALUE"""),"Coates")</f>
        <v>Coates</v>
      </c>
      <c r="AW400" s="46">
        <f t="shared" si="7"/>
        <v>250</v>
      </c>
      <c r="AX400" s="47">
        <f t="shared" ref="AX400:BQ400" si="1310">SUMIFS($AJ:$AJ,$V:$V,$AV400,$AK:$AK,AX$2)</f>
        <v>0</v>
      </c>
      <c r="AY400" s="48">
        <f t="shared" si="1310"/>
        <v>0</v>
      </c>
      <c r="AZ400" s="48">
        <f t="shared" si="1310"/>
        <v>0</v>
      </c>
      <c r="BA400" s="48">
        <f t="shared" si="1310"/>
        <v>250</v>
      </c>
      <c r="BB400" s="48">
        <f t="shared" si="1310"/>
        <v>0</v>
      </c>
      <c r="BC400" s="48">
        <f t="shared" si="1310"/>
        <v>0</v>
      </c>
      <c r="BD400" s="48">
        <f t="shared" si="1310"/>
        <v>0</v>
      </c>
      <c r="BE400" s="48">
        <f t="shared" si="1310"/>
        <v>0</v>
      </c>
      <c r="BF400" s="48">
        <f t="shared" si="1310"/>
        <v>0</v>
      </c>
      <c r="BG400" s="48">
        <f t="shared" si="1310"/>
        <v>0</v>
      </c>
      <c r="BH400" s="48">
        <f t="shared" si="1310"/>
        <v>0</v>
      </c>
      <c r="BI400" s="48">
        <f t="shared" si="1310"/>
        <v>0</v>
      </c>
      <c r="BJ400" s="48">
        <f t="shared" si="1310"/>
        <v>0</v>
      </c>
      <c r="BK400" s="48">
        <f t="shared" si="1310"/>
        <v>0</v>
      </c>
      <c r="BL400" s="48">
        <f t="shared" si="1310"/>
        <v>0</v>
      </c>
      <c r="BM400" s="48">
        <f t="shared" si="1310"/>
        <v>0</v>
      </c>
      <c r="BN400" s="48">
        <f t="shared" si="1310"/>
        <v>0</v>
      </c>
      <c r="BO400" s="48">
        <f t="shared" si="1310"/>
        <v>0</v>
      </c>
      <c r="BP400" s="48">
        <f t="shared" si="1310"/>
        <v>0</v>
      </c>
      <c r="BQ400" s="48">
        <f t="shared" si="1310"/>
        <v>0</v>
      </c>
      <c r="BR400" s="36">
        <f t="shared" si="9"/>
        <v>0</v>
      </c>
      <c r="BS400" s="38">
        <f t="shared" si="10"/>
        <v>1</v>
      </c>
      <c r="BT400" s="49">
        <f t="shared" si="11"/>
        <v>0</v>
      </c>
      <c r="BU400" s="38">
        <f t="shared" si="12"/>
        <v>1000</v>
      </c>
      <c r="BV400" s="57" t="str">
        <f>IFERROR(__xludf.DUMMYFUNCTION("""COMPUTED_VALUE"""),"Coates")</f>
        <v>Coates</v>
      </c>
      <c r="BW400" s="46">
        <f t="shared" si="13"/>
        <v>250</v>
      </c>
      <c r="BX400" s="47">
        <f t="shared" ref="BX400:CA400" si="1311">AX400-$BU400</f>
        <v>-1000</v>
      </c>
      <c r="BY400" s="47">
        <f t="shared" si="1311"/>
        <v>-1000</v>
      </c>
      <c r="BZ400" s="47">
        <f t="shared" si="1311"/>
        <v>-1000</v>
      </c>
      <c r="CA400" s="47">
        <f t="shared" si="1311"/>
        <v>-750</v>
      </c>
      <c r="CB400" s="47">
        <f t="shared" si="15"/>
        <v>-10000</v>
      </c>
      <c r="CC400" s="47">
        <f t="shared" ref="CC400:CQ400" si="1312">BC400-$BU400</f>
        <v>-1000</v>
      </c>
      <c r="CD400" s="47">
        <f t="shared" si="1312"/>
        <v>-1000</v>
      </c>
      <c r="CE400" s="47">
        <f t="shared" si="1312"/>
        <v>-1000</v>
      </c>
      <c r="CF400" s="47">
        <f t="shared" si="1312"/>
        <v>-1000</v>
      </c>
      <c r="CG400" s="47">
        <f t="shared" si="1312"/>
        <v>-1000</v>
      </c>
      <c r="CH400" s="47">
        <f t="shared" si="1312"/>
        <v>-1000</v>
      </c>
      <c r="CI400" s="47">
        <f t="shared" si="1312"/>
        <v>-1000</v>
      </c>
      <c r="CJ400" s="47">
        <f t="shared" si="1312"/>
        <v>-1000</v>
      </c>
      <c r="CK400" s="47">
        <f t="shared" si="1312"/>
        <v>-1000</v>
      </c>
      <c r="CL400" s="47">
        <f t="shared" si="1312"/>
        <v>-1000</v>
      </c>
      <c r="CM400" s="47">
        <f t="shared" si="1312"/>
        <v>-1000</v>
      </c>
      <c r="CN400" s="47">
        <f t="shared" si="1312"/>
        <v>-1000</v>
      </c>
      <c r="CO400" s="47">
        <f t="shared" si="1312"/>
        <v>-1000</v>
      </c>
      <c r="CP400" s="47">
        <f t="shared" si="1312"/>
        <v>-1000</v>
      </c>
      <c r="CQ400" s="47">
        <f t="shared" si="1312"/>
        <v>-1000</v>
      </c>
      <c r="CR400" s="47"/>
      <c r="CS400" s="47"/>
      <c r="CT400" s="47"/>
      <c r="CU400" s="50" t="str">
        <f>IFERROR(__xludf.DUMMYFUNCTION("""COMPUTED_VALUE"""),"4829 Melissa Lane
Dallas, TX 75229          ")</f>
        <v>4829 Melissa Lane
Dallas, TX 75229          </v>
      </c>
      <c r="CV400" s="51">
        <f>IFERROR(__xludf.DUMMYFUNCTION("IF(REGEXMATCH(UPPER(CU400), ""TX""),0,1)"),0.0)</f>
        <v>0</v>
      </c>
      <c r="CW400" s="51">
        <f>IFERROR(__xludf.DUMMYFUNCTION("IF(REGEXMATCH(UPPER(CU400), ""DALLAS""),0,1)"),0.0)</f>
        <v>0</v>
      </c>
      <c r="CX400" s="51">
        <f t="shared" si="17"/>
        <v>0</v>
      </c>
      <c r="CY400" s="51">
        <f t="shared" si="18"/>
        <v>0</v>
      </c>
      <c r="CZ400" s="52" t="str">
        <f t="shared" si="19"/>
        <v/>
      </c>
      <c r="DA400" s="58"/>
      <c r="DB400" s="52"/>
      <c r="DC400" s="52"/>
      <c r="DD400" s="52"/>
      <c r="DE400" s="52"/>
      <c r="DF400" s="52"/>
      <c r="DG400" s="52"/>
      <c r="DH400" s="52"/>
      <c r="DI400" s="52"/>
      <c r="DJ400" s="52"/>
      <c r="DK400" s="52"/>
      <c r="DL400" s="52"/>
      <c r="DM400" s="52"/>
      <c r="DN400" s="52"/>
      <c r="DO400" s="52"/>
      <c r="DP400" s="52"/>
      <c r="DQ400" s="52"/>
      <c r="DR400" s="52"/>
      <c r="DS400" s="52"/>
      <c r="DT400" s="52"/>
      <c r="DU400" s="52"/>
      <c r="DV400" s="52"/>
      <c r="DW400" s="52"/>
    </row>
    <row r="401">
      <c r="A401" s="41" t="s">
        <v>64</v>
      </c>
      <c r="B401" s="41" t="s">
        <v>56</v>
      </c>
      <c r="C401" s="31" t="s">
        <v>1116</v>
      </c>
      <c r="D401" s="25" t="str">
        <f>IFERROR(__xludf.DUMMYFUNCTION("SPLIT(C401,"" "")"),"Gruber,")</f>
        <v>Gruber,</v>
      </c>
      <c r="E401" s="40" t="str">
        <f>IFERROR(__xludf.DUMMYFUNCTION("""COMPUTED_VALUE"""),"Mike
300")</f>
        <v>Mike
300</v>
      </c>
      <c r="F401" s="40" t="str">
        <f>IFERROR(__xludf.DUMMYFUNCTION("""COMPUTED_VALUE"""),"Crescent")</f>
        <v>Crescent</v>
      </c>
      <c r="G401" s="40" t="str">
        <f>IFERROR(__xludf.DUMMYFUNCTION("""COMPUTED_VALUE"""),"Court
Dallas,")</f>
        <v>Court
Dallas,</v>
      </c>
      <c r="H401" s="40" t="str">
        <f>IFERROR(__xludf.DUMMYFUNCTION("""COMPUTED_VALUE"""),"TX")</f>
        <v>TX</v>
      </c>
      <c r="I401" s="40">
        <f>IFERROR(__xludf.DUMMYFUNCTION("""COMPUTED_VALUE"""),75201.0)</f>
        <v>75201</v>
      </c>
      <c r="J401" s="40"/>
      <c r="K401" s="40"/>
      <c r="L401" s="40"/>
      <c r="M401" s="40"/>
      <c r="N401" s="40"/>
      <c r="O401" s="40"/>
      <c r="P401" s="40"/>
      <c r="Q401" s="40"/>
      <c r="R401" s="40"/>
      <c r="S401" s="40"/>
      <c r="T401" s="40"/>
      <c r="U401" s="24" t="str">
        <f>IFERROR(__xludf.DUMMYFUNCTION("SPLIT(E401,""01234567890"")"),"Mike
")</f>
        <v>Mike
</v>
      </c>
      <c r="V401" s="24" t="str">
        <f>IFERROR(__xludf.DUMMYFUNCTION("SPLIT(D401,"","")"),"Gruber")</f>
        <v>Gruber</v>
      </c>
      <c r="W401" s="25" t="str">
        <f t="shared" si="1"/>
        <v>MIKE
 GRUBER</v>
      </c>
      <c r="X401" s="25" t="s">
        <v>1117</v>
      </c>
      <c r="Y401" s="25">
        <v>75201.0</v>
      </c>
      <c r="Z401" s="25" t="str">
        <f>IFERROR(__xludf.DUMMYFUNCTION("SPLIT(C401,""
"")"),"Gruber, Mike")</f>
        <v>Gruber, Mike</v>
      </c>
      <c r="AA401" s="25" t="str">
        <f>IFERROR(__xludf.DUMMYFUNCTION("""COMPUTED_VALUE"""),"300 Crescent Court")</f>
        <v>300 Crescent Court</v>
      </c>
      <c r="AB401" s="25" t="str">
        <f>IFERROR(__xludf.DUMMYFUNCTION("""COMPUTED_VALUE"""),"Dallas, TX 75201")</f>
        <v>Dallas, TX 75201</v>
      </c>
      <c r="AC401" s="24" t="s">
        <v>1118</v>
      </c>
      <c r="AD401" s="25"/>
      <c r="AE401" s="25"/>
      <c r="AF401" s="25"/>
      <c r="AG401" s="40" t="s">
        <v>60</v>
      </c>
      <c r="AH401" s="42">
        <v>2437.0</v>
      </c>
      <c r="AI401" s="40" t="s">
        <v>61</v>
      </c>
      <c r="AJ401" s="27">
        <v>5000.0</v>
      </c>
      <c r="AK401" s="31" t="s">
        <v>25</v>
      </c>
      <c r="AL401" s="43">
        <v>44715.0</v>
      </c>
      <c r="AM401" s="44">
        <v>44754.83237268519</v>
      </c>
      <c r="AN401" s="30">
        <v>2.0</v>
      </c>
      <c r="AO401" s="40"/>
      <c r="AP401" s="40"/>
      <c r="AQ401" s="40"/>
      <c r="AR401" s="40"/>
      <c r="AS401" s="40"/>
      <c r="AT401" s="47"/>
      <c r="AU401" s="40"/>
      <c r="AV401" s="46" t="str">
        <f>IFERROR(__xludf.DUMMYFUNCTION("""COMPUTED_VALUE"""),"McDonough")</f>
        <v>McDonough</v>
      </c>
      <c r="AW401" s="46">
        <f t="shared" si="7"/>
        <v>100</v>
      </c>
      <c r="AX401" s="47">
        <f t="shared" ref="AX401:BQ401" si="1313">SUMIFS($AJ:$AJ,$V:$V,$AV401,$AK:$AK,AX$2)</f>
        <v>0</v>
      </c>
      <c r="AY401" s="48">
        <f t="shared" si="1313"/>
        <v>0</v>
      </c>
      <c r="AZ401" s="48">
        <f t="shared" si="1313"/>
        <v>0</v>
      </c>
      <c r="BA401" s="48">
        <f t="shared" si="1313"/>
        <v>100</v>
      </c>
      <c r="BB401" s="48">
        <f t="shared" si="1313"/>
        <v>0</v>
      </c>
      <c r="BC401" s="48">
        <f t="shared" si="1313"/>
        <v>0</v>
      </c>
      <c r="BD401" s="48">
        <f t="shared" si="1313"/>
        <v>0</v>
      </c>
      <c r="BE401" s="48">
        <f t="shared" si="1313"/>
        <v>0</v>
      </c>
      <c r="BF401" s="48">
        <f t="shared" si="1313"/>
        <v>0</v>
      </c>
      <c r="BG401" s="48">
        <f t="shared" si="1313"/>
        <v>0</v>
      </c>
      <c r="BH401" s="48">
        <f t="shared" si="1313"/>
        <v>0</v>
      </c>
      <c r="BI401" s="48">
        <f t="shared" si="1313"/>
        <v>0</v>
      </c>
      <c r="BJ401" s="48">
        <f t="shared" si="1313"/>
        <v>0</v>
      </c>
      <c r="BK401" s="48">
        <f t="shared" si="1313"/>
        <v>0</v>
      </c>
      <c r="BL401" s="48">
        <f t="shared" si="1313"/>
        <v>0</v>
      </c>
      <c r="BM401" s="48">
        <f t="shared" si="1313"/>
        <v>0</v>
      </c>
      <c r="BN401" s="48">
        <f t="shared" si="1313"/>
        <v>0</v>
      </c>
      <c r="BO401" s="48">
        <f t="shared" si="1313"/>
        <v>0</v>
      </c>
      <c r="BP401" s="48">
        <f t="shared" si="1313"/>
        <v>0</v>
      </c>
      <c r="BQ401" s="48">
        <f t="shared" si="1313"/>
        <v>0</v>
      </c>
      <c r="BR401" s="36">
        <f t="shared" si="9"/>
        <v>0</v>
      </c>
      <c r="BS401" s="38">
        <f t="shared" si="10"/>
        <v>1</v>
      </c>
      <c r="BT401" s="49">
        <f t="shared" si="11"/>
        <v>0</v>
      </c>
      <c r="BU401" s="38">
        <f t="shared" si="12"/>
        <v>1000</v>
      </c>
      <c r="BV401" s="46" t="str">
        <f>IFERROR(__xludf.DUMMYFUNCTION("""COMPUTED_VALUE"""),"McDonough")</f>
        <v>McDonough</v>
      </c>
      <c r="BW401" s="46">
        <f t="shared" si="13"/>
        <v>100</v>
      </c>
      <c r="BX401" s="47">
        <f t="shared" ref="BX401:CA401" si="1314">AX401-$BU401</f>
        <v>-1000</v>
      </c>
      <c r="BY401" s="47">
        <f t="shared" si="1314"/>
        <v>-1000</v>
      </c>
      <c r="BZ401" s="47">
        <f t="shared" si="1314"/>
        <v>-1000</v>
      </c>
      <c r="CA401" s="47">
        <f t="shared" si="1314"/>
        <v>-900</v>
      </c>
      <c r="CB401" s="47">
        <f t="shared" si="15"/>
        <v>-10000</v>
      </c>
      <c r="CC401" s="47">
        <f t="shared" ref="CC401:CQ401" si="1315">BC401-$BU401</f>
        <v>-1000</v>
      </c>
      <c r="CD401" s="47">
        <f t="shared" si="1315"/>
        <v>-1000</v>
      </c>
      <c r="CE401" s="47">
        <f t="shared" si="1315"/>
        <v>-1000</v>
      </c>
      <c r="CF401" s="47">
        <f t="shared" si="1315"/>
        <v>-1000</v>
      </c>
      <c r="CG401" s="47">
        <f t="shared" si="1315"/>
        <v>-1000</v>
      </c>
      <c r="CH401" s="47">
        <f t="shared" si="1315"/>
        <v>-1000</v>
      </c>
      <c r="CI401" s="47">
        <f t="shared" si="1315"/>
        <v>-1000</v>
      </c>
      <c r="CJ401" s="47">
        <f t="shared" si="1315"/>
        <v>-1000</v>
      </c>
      <c r="CK401" s="47">
        <f t="shared" si="1315"/>
        <v>-1000</v>
      </c>
      <c r="CL401" s="47">
        <f t="shared" si="1315"/>
        <v>-1000</v>
      </c>
      <c r="CM401" s="47">
        <f t="shared" si="1315"/>
        <v>-1000</v>
      </c>
      <c r="CN401" s="47">
        <f t="shared" si="1315"/>
        <v>-1000</v>
      </c>
      <c r="CO401" s="47">
        <f t="shared" si="1315"/>
        <v>-1000</v>
      </c>
      <c r="CP401" s="47">
        <f t="shared" si="1315"/>
        <v>-1000</v>
      </c>
      <c r="CQ401" s="47">
        <f t="shared" si="1315"/>
        <v>-1000</v>
      </c>
      <c r="CR401" s="47"/>
      <c r="CS401" s="47"/>
      <c r="CT401" s="47"/>
      <c r="CU401" s="50" t="str">
        <f>IFERROR(__xludf.DUMMYFUNCTION("""COMPUTED_VALUE"""),"8333 Douglas Ave Ste 1350
Dallas, TX 75225        ")</f>
        <v>8333 Douglas Ave Ste 1350
Dallas, TX 75225        </v>
      </c>
      <c r="CV401" s="51">
        <f>IFERROR(__xludf.DUMMYFUNCTION("IF(REGEXMATCH(UPPER(CU401), ""TX""),0,1)"),0.0)</f>
        <v>0</v>
      </c>
      <c r="CW401" s="51">
        <f>IFERROR(__xludf.DUMMYFUNCTION("IF(REGEXMATCH(UPPER(CU401), ""DALLAS""),0,1)"),0.0)</f>
        <v>0</v>
      </c>
      <c r="CX401" s="51">
        <f t="shared" si="17"/>
        <v>0</v>
      </c>
      <c r="CY401" s="51">
        <f t="shared" si="18"/>
        <v>0</v>
      </c>
      <c r="CZ401" s="52" t="str">
        <f t="shared" si="19"/>
        <v/>
      </c>
      <c r="DA401" s="58"/>
      <c r="DB401" s="52"/>
      <c r="DC401" s="52"/>
      <c r="DD401" s="52"/>
      <c r="DE401" s="52"/>
      <c r="DF401" s="52"/>
      <c r="DG401" s="52"/>
      <c r="DH401" s="52"/>
      <c r="DI401" s="52"/>
      <c r="DJ401" s="52"/>
      <c r="DK401" s="52"/>
      <c r="DL401" s="52"/>
      <c r="DM401" s="52"/>
      <c r="DN401" s="52"/>
      <c r="DO401" s="52"/>
      <c r="DP401" s="52"/>
      <c r="DQ401" s="52"/>
      <c r="DR401" s="52"/>
      <c r="DS401" s="52"/>
      <c r="DT401" s="52"/>
      <c r="DU401" s="52"/>
      <c r="DV401" s="52"/>
      <c r="DW401" s="52"/>
    </row>
    <row r="402">
      <c r="A402" s="22" t="s">
        <v>55</v>
      </c>
      <c r="B402" s="23" t="s">
        <v>56</v>
      </c>
      <c r="C402" s="31" t="s">
        <v>1119</v>
      </c>
      <c r="D402" s="25" t="str">
        <f>IFERROR(__xludf.DUMMYFUNCTION("SPLIT(C402,"" "")"),"Higgins,")</f>
        <v>Higgins,</v>
      </c>
      <c r="E402" s="22" t="str">
        <f>IFERROR(__xludf.DUMMYFUNCTION("""COMPUTED_VALUE"""),"Mary")</f>
        <v>Mary</v>
      </c>
      <c r="F402" s="22" t="str">
        <f>IFERROR(__xludf.DUMMYFUNCTION("""COMPUTED_VALUE"""),"Pat
9216")</f>
        <v>Pat
9216</v>
      </c>
      <c r="G402" s="22" t="str">
        <f>IFERROR(__xludf.DUMMYFUNCTION("""COMPUTED_VALUE"""),"Heatherdale")</f>
        <v>Heatherdale</v>
      </c>
      <c r="H402" s="22" t="str">
        <f>IFERROR(__xludf.DUMMYFUNCTION("""COMPUTED_VALUE"""),"rive
Dallas,")</f>
        <v>rive
Dallas,</v>
      </c>
      <c r="I402" s="22" t="str">
        <f>IFERROR(__xludf.DUMMYFUNCTION("""COMPUTED_VALUE"""),"TX")</f>
        <v>TX</v>
      </c>
      <c r="J402" s="22">
        <f>IFERROR(__xludf.DUMMYFUNCTION("""COMPUTED_VALUE"""),75243.0)</f>
        <v>75243</v>
      </c>
      <c r="K402" s="22"/>
      <c r="L402" s="22"/>
      <c r="M402" s="22"/>
      <c r="N402" s="22"/>
      <c r="O402" s="22"/>
      <c r="P402" s="22"/>
      <c r="Q402" s="22"/>
      <c r="R402" s="22"/>
      <c r="S402" s="22"/>
      <c r="T402" s="22"/>
      <c r="U402" s="24" t="str">
        <f>IFERROR(__xludf.DUMMYFUNCTION("SPLIT(E402,""01234567890"")"),"Mary")</f>
        <v>Mary</v>
      </c>
      <c r="V402" s="24" t="str">
        <f>IFERROR(__xludf.DUMMYFUNCTION("SPLIT(D402,"","")"),"Higgins")</f>
        <v>Higgins</v>
      </c>
      <c r="W402" s="25" t="str">
        <f t="shared" si="1"/>
        <v>MARY HIGGINS</v>
      </c>
      <c r="X402" s="25" t="s">
        <v>1120</v>
      </c>
      <c r="Y402" s="25">
        <v>75243.0</v>
      </c>
      <c r="Z402" s="25" t="str">
        <f>IFERROR(__xludf.DUMMYFUNCTION("SPLIT(C402,""
"")"),"Higgins, Mary Pat")</f>
        <v>Higgins, Mary Pat</v>
      </c>
      <c r="AA402" s="25" t="str">
        <f>IFERROR(__xludf.DUMMYFUNCTION("""COMPUTED_VALUE"""),"9216 Heatherdale rive")</f>
        <v>9216 Heatherdale rive</v>
      </c>
      <c r="AB402" s="25" t="str">
        <f>IFERROR(__xludf.DUMMYFUNCTION("""COMPUTED_VALUE"""),"Dallas, TX 75243")</f>
        <v>Dallas, TX 75243</v>
      </c>
      <c r="AC402" s="24" t="s">
        <v>1121</v>
      </c>
      <c r="AD402" s="25"/>
      <c r="AE402" s="25"/>
      <c r="AF402" s="25"/>
      <c r="AG402" s="22" t="s">
        <v>60</v>
      </c>
      <c r="AH402" s="54">
        <v>2437.0</v>
      </c>
      <c r="AI402" s="22" t="s">
        <v>61</v>
      </c>
      <c r="AJ402" s="27">
        <v>250.0</v>
      </c>
      <c r="AK402" s="31" t="s">
        <v>25</v>
      </c>
      <c r="AL402" s="28">
        <v>44714.0</v>
      </c>
      <c r="AM402" s="29">
        <v>44754.83237268519</v>
      </c>
      <c r="AN402" s="30">
        <v>2.0</v>
      </c>
      <c r="AO402" s="22"/>
      <c r="AP402" s="22"/>
      <c r="AQ402" s="22"/>
      <c r="AR402" s="22"/>
      <c r="AS402" s="22"/>
      <c r="AT402" s="70"/>
      <c r="AU402" s="22"/>
      <c r="AV402" s="57" t="str">
        <f>IFERROR(__xludf.DUMMYFUNCTION("""COMPUTED_VALUE"""),"Bryant")</f>
        <v>Bryant</v>
      </c>
      <c r="AW402" s="46">
        <f t="shared" si="7"/>
        <v>642.2</v>
      </c>
      <c r="AX402" s="47">
        <f t="shared" ref="AX402:BQ402" si="1316">SUMIFS($AJ:$AJ,$V:$V,$AV402,$AK:$AK,AX$2)</f>
        <v>142.2</v>
      </c>
      <c r="AY402" s="48">
        <f t="shared" si="1316"/>
        <v>0</v>
      </c>
      <c r="AZ402" s="48">
        <f t="shared" si="1316"/>
        <v>0</v>
      </c>
      <c r="BA402" s="48">
        <f t="shared" si="1316"/>
        <v>350</v>
      </c>
      <c r="BB402" s="48">
        <f t="shared" si="1316"/>
        <v>0</v>
      </c>
      <c r="BC402" s="48">
        <f t="shared" si="1316"/>
        <v>0</v>
      </c>
      <c r="BD402" s="48">
        <f t="shared" si="1316"/>
        <v>0</v>
      </c>
      <c r="BE402" s="48">
        <f t="shared" si="1316"/>
        <v>0</v>
      </c>
      <c r="BF402" s="48">
        <f t="shared" si="1316"/>
        <v>0</v>
      </c>
      <c r="BG402" s="48">
        <f t="shared" si="1316"/>
        <v>150</v>
      </c>
      <c r="BH402" s="48">
        <f t="shared" si="1316"/>
        <v>0</v>
      </c>
      <c r="BI402" s="48">
        <f t="shared" si="1316"/>
        <v>0</v>
      </c>
      <c r="BJ402" s="48">
        <f t="shared" si="1316"/>
        <v>0</v>
      </c>
      <c r="BK402" s="48">
        <f t="shared" si="1316"/>
        <v>0</v>
      </c>
      <c r="BL402" s="48">
        <f t="shared" si="1316"/>
        <v>0</v>
      </c>
      <c r="BM402" s="48">
        <f t="shared" si="1316"/>
        <v>0</v>
      </c>
      <c r="BN402" s="48">
        <f t="shared" si="1316"/>
        <v>0</v>
      </c>
      <c r="BO402" s="48">
        <f t="shared" si="1316"/>
        <v>0</v>
      </c>
      <c r="BP402" s="48">
        <f t="shared" si="1316"/>
        <v>0</v>
      </c>
      <c r="BQ402" s="48">
        <f t="shared" si="1316"/>
        <v>0</v>
      </c>
      <c r="BR402" s="36">
        <f t="shared" si="9"/>
        <v>1</v>
      </c>
      <c r="BS402" s="38">
        <f t="shared" si="10"/>
        <v>3</v>
      </c>
      <c r="BT402" s="49">
        <f t="shared" si="11"/>
        <v>0</v>
      </c>
      <c r="BU402" s="38">
        <f t="shared" si="12"/>
        <v>3000</v>
      </c>
      <c r="BV402" s="57" t="str">
        <f>IFERROR(__xludf.DUMMYFUNCTION("""COMPUTED_VALUE"""),"Bryant")</f>
        <v>Bryant</v>
      </c>
      <c r="BW402" s="46">
        <f t="shared" si="13"/>
        <v>642.2</v>
      </c>
      <c r="BX402" s="47">
        <f t="shared" ref="BX402:CA402" si="1317">AX402-$BU402</f>
        <v>-2857.8</v>
      </c>
      <c r="BY402" s="47">
        <f t="shared" si="1317"/>
        <v>-3000</v>
      </c>
      <c r="BZ402" s="47">
        <f t="shared" si="1317"/>
        <v>-3000</v>
      </c>
      <c r="CA402" s="47">
        <f t="shared" si="1317"/>
        <v>-2650</v>
      </c>
      <c r="CB402" s="47">
        <f t="shared" si="15"/>
        <v>-30000</v>
      </c>
      <c r="CC402" s="47">
        <f t="shared" ref="CC402:CQ402" si="1318">BC402-$BU402</f>
        <v>-3000</v>
      </c>
      <c r="CD402" s="47">
        <f t="shared" si="1318"/>
        <v>-3000</v>
      </c>
      <c r="CE402" s="47">
        <f t="shared" si="1318"/>
        <v>-3000</v>
      </c>
      <c r="CF402" s="47">
        <f t="shared" si="1318"/>
        <v>-3000</v>
      </c>
      <c r="CG402" s="47">
        <f t="shared" si="1318"/>
        <v>-2850</v>
      </c>
      <c r="CH402" s="47">
        <f t="shared" si="1318"/>
        <v>-3000</v>
      </c>
      <c r="CI402" s="47">
        <f t="shared" si="1318"/>
        <v>-3000</v>
      </c>
      <c r="CJ402" s="47">
        <f t="shared" si="1318"/>
        <v>-3000</v>
      </c>
      <c r="CK402" s="47">
        <f t="shared" si="1318"/>
        <v>-3000</v>
      </c>
      <c r="CL402" s="47">
        <f t="shared" si="1318"/>
        <v>-3000</v>
      </c>
      <c r="CM402" s="47">
        <f t="shared" si="1318"/>
        <v>-3000</v>
      </c>
      <c r="CN402" s="47">
        <f t="shared" si="1318"/>
        <v>-3000</v>
      </c>
      <c r="CO402" s="47">
        <f t="shared" si="1318"/>
        <v>-3000</v>
      </c>
      <c r="CP402" s="47">
        <f t="shared" si="1318"/>
        <v>-3000</v>
      </c>
      <c r="CQ402" s="47">
        <f t="shared" si="1318"/>
        <v>-3000</v>
      </c>
      <c r="CR402" s="47"/>
      <c r="CS402" s="47"/>
      <c r="CT402" s="47"/>
      <c r="CU402" s="50" t="str">
        <f>IFERROR(__xludf.DUMMYFUNCTION("""COMPUTED_VALUE"""),"6123 Lupton Drive
Dallas, TX 75225          ")</f>
        <v>6123 Lupton Drive
Dallas, TX 75225          </v>
      </c>
      <c r="CV402" s="51">
        <f>IFERROR(__xludf.DUMMYFUNCTION("IF(REGEXMATCH(UPPER(CU402), ""TX""),0,1)"),0.0)</f>
        <v>0</v>
      </c>
      <c r="CW402" s="51">
        <f>IFERROR(__xludf.DUMMYFUNCTION("IF(REGEXMATCH(UPPER(CU402), ""DALLAS""),0,1)"),0.0)</f>
        <v>0</v>
      </c>
      <c r="CX402" s="51">
        <f t="shared" si="17"/>
        <v>0</v>
      </c>
      <c r="CY402" s="51">
        <f t="shared" si="18"/>
        <v>0</v>
      </c>
      <c r="CZ402" s="52" t="str">
        <f t="shared" si="19"/>
        <v/>
      </c>
      <c r="DA402" s="58"/>
      <c r="DB402" s="52"/>
      <c r="DC402" s="52"/>
      <c r="DD402" s="52"/>
      <c r="DE402" s="52"/>
      <c r="DF402" s="52"/>
      <c r="DG402" s="52"/>
      <c r="DH402" s="52"/>
      <c r="DI402" s="52"/>
      <c r="DJ402" s="52"/>
      <c r="DK402" s="52"/>
      <c r="DL402" s="52"/>
      <c r="DM402" s="52"/>
      <c r="DN402" s="52"/>
      <c r="DO402" s="52"/>
      <c r="DP402" s="52"/>
      <c r="DQ402" s="52"/>
      <c r="DR402" s="52"/>
      <c r="DS402" s="52"/>
      <c r="DT402" s="52"/>
      <c r="DU402" s="52"/>
      <c r="DV402" s="52"/>
      <c r="DW402" s="52"/>
    </row>
    <row r="403">
      <c r="A403" s="41" t="s">
        <v>64</v>
      </c>
      <c r="B403" s="41" t="s">
        <v>56</v>
      </c>
      <c r="C403" s="31" t="s">
        <v>1122</v>
      </c>
      <c r="D403" s="25" t="str">
        <f>IFERROR(__xludf.DUMMYFUNCTION("SPLIT(C403,"" "")"),"Magnis,")</f>
        <v>Magnis,</v>
      </c>
      <c r="E403" s="40" t="str">
        <f>IFERROR(__xludf.DUMMYFUNCTION("""COMPUTED_VALUE"""),"Ellen
5511")</f>
        <v>Ellen
5511</v>
      </c>
      <c r="F403" s="40" t="str">
        <f>IFERROR(__xludf.DUMMYFUNCTION("""COMPUTED_VALUE"""),"Preston")</f>
        <v>Preston</v>
      </c>
      <c r="G403" s="40" t="str">
        <f>IFERROR(__xludf.DUMMYFUNCTION("""COMPUTED_VALUE"""),"Fairways")</f>
        <v>Fairways</v>
      </c>
      <c r="H403" s="40" t="str">
        <f>IFERROR(__xludf.DUMMYFUNCTION("""COMPUTED_VALUE"""),"Dr
Dallas,")</f>
        <v>Dr
Dallas,</v>
      </c>
      <c r="I403" s="40" t="str">
        <f>IFERROR(__xludf.DUMMYFUNCTION("""COMPUTED_VALUE"""),"TX")</f>
        <v>TX</v>
      </c>
      <c r="J403" s="40">
        <f>IFERROR(__xludf.DUMMYFUNCTION("""COMPUTED_VALUE"""),75252.0)</f>
        <v>75252</v>
      </c>
      <c r="K403" s="40"/>
      <c r="L403" s="40"/>
      <c r="M403" s="40"/>
      <c r="N403" s="40"/>
      <c r="O403" s="40"/>
      <c r="P403" s="40"/>
      <c r="Q403" s="40"/>
      <c r="R403" s="40"/>
      <c r="S403" s="40"/>
      <c r="T403" s="40"/>
      <c r="U403" s="24" t="str">
        <f>IFERROR(__xludf.DUMMYFUNCTION("SPLIT(E403,""01234567890"")"),"Ellen
")</f>
        <v>Ellen
</v>
      </c>
      <c r="V403" s="24" t="str">
        <f>IFERROR(__xludf.DUMMYFUNCTION("SPLIT(D403,"","")"),"Magnis")</f>
        <v>Magnis</v>
      </c>
      <c r="W403" s="25" t="str">
        <f t="shared" si="1"/>
        <v>ELLEN
 MAGNIS</v>
      </c>
      <c r="X403" s="25" t="s">
        <v>1123</v>
      </c>
      <c r="Y403" s="25">
        <v>75252.0</v>
      </c>
      <c r="Z403" s="25" t="str">
        <f>IFERROR(__xludf.DUMMYFUNCTION("SPLIT(C403,""
"")"),"Magnis, Ellen")</f>
        <v>Magnis, Ellen</v>
      </c>
      <c r="AA403" s="25" t="str">
        <f>IFERROR(__xludf.DUMMYFUNCTION("""COMPUTED_VALUE"""),"5511 Preston Fairways Dr")</f>
        <v>5511 Preston Fairways Dr</v>
      </c>
      <c r="AB403" s="25" t="str">
        <f>IFERROR(__xludf.DUMMYFUNCTION("""COMPUTED_VALUE"""),"Dallas, TX 75252")</f>
        <v>Dallas, TX 75252</v>
      </c>
      <c r="AC403" s="24" t="s">
        <v>1124</v>
      </c>
      <c r="AD403" s="25"/>
      <c r="AE403" s="25"/>
      <c r="AF403" s="25"/>
      <c r="AG403" s="40" t="s">
        <v>60</v>
      </c>
      <c r="AH403" s="42">
        <v>2437.0</v>
      </c>
      <c r="AI403" s="40" t="s">
        <v>61</v>
      </c>
      <c r="AJ403" s="27">
        <v>500.0</v>
      </c>
      <c r="AK403" s="31" t="s">
        <v>25</v>
      </c>
      <c r="AL403" s="43">
        <v>44713.0</v>
      </c>
      <c r="AM403" s="44">
        <v>44754.83237268519</v>
      </c>
      <c r="AN403" s="30">
        <v>2.0</v>
      </c>
      <c r="AO403" s="40"/>
      <c r="AP403" s="40"/>
      <c r="AQ403" s="40"/>
      <c r="AR403" s="40"/>
      <c r="AS403" s="40"/>
      <c r="AT403" s="47"/>
      <c r="AU403" s="40"/>
      <c r="AV403" s="46" t="str">
        <f>IFERROR(__xludf.DUMMYFUNCTION("""COMPUTED_VALUE"""),"Fossey")</f>
        <v>Fossey</v>
      </c>
      <c r="AW403" s="46">
        <f t="shared" si="7"/>
        <v>100</v>
      </c>
      <c r="AX403" s="47">
        <f t="shared" ref="AX403:BQ403" si="1319">SUMIFS($AJ:$AJ,$V:$V,$AV403,$AK:$AK,AX$2)</f>
        <v>0</v>
      </c>
      <c r="AY403" s="48">
        <f t="shared" si="1319"/>
        <v>0</v>
      </c>
      <c r="AZ403" s="48">
        <f t="shared" si="1319"/>
        <v>0</v>
      </c>
      <c r="BA403" s="48">
        <f t="shared" si="1319"/>
        <v>100</v>
      </c>
      <c r="BB403" s="48">
        <f t="shared" si="1319"/>
        <v>0</v>
      </c>
      <c r="BC403" s="48">
        <f t="shared" si="1319"/>
        <v>0</v>
      </c>
      <c r="BD403" s="48">
        <f t="shared" si="1319"/>
        <v>0</v>
      </c>
      <c r="BE403" s="48">
        <f t="shared" si="1319"/>
        <v>0</v>
      </c>
      <c r="BF403" s="48">
        <f t="shared" si="1319"/>
        <v>0</v>
      </c>
      <c r="BG403" s="48">
        <f t="shared" si="1319"/>
        <v>0</v>
      </c>
      <c r="BH403" s="48">
        <f t="shared" si="1319"/>
        <v>0</v>
      </c>
      <c r="BI403" s="48">
        <f t="shared" si="1319"/>
        <v>0</v>
      </c>
      <c r="BJ403" s="48">
        <f t="shared" si="1319"/>
        <v>0</v>
      </c>
      <c r="BK403" s="48">
        <f t="shared" si="1319"/>
        <v>0</v>
      </c>
      <c r="BL403" s="48">
        <f t="shared" si="1319"/>
        <v>0</v>
      </c>
      <c r="BM403" s="48">
        <f t="shared" si="1319"/>
        <v>0</v>
      </c>
      <c r="BN403" s="48">
        <f t="shared" si="1319"/>
        <v>0</v>
      </c>
      <c r="BO403" s="48">
        <f t="shared" si="1319"/>
        <v>0</v>
      </c>
      <c r="BP403" s="48">
        <f t="shared" si="1319"/>
        <v>0</v>
      </c>
      <c r="BQ403" s="48">
        <f t="shared" si="1319"/>
        <v>0</v>
      </c>
      <c r="BR403" s="36">
        <f t="shared" si="9"/>
        <v>0</v>
      </c>
      <c r="BS403" s="38">
        <f t="shared" si="10"/>
        <v>1</v>
      </c>
      <c r="BT403" s="49">
        <f t="shared" si="11"/>
        <v>0</v>
      </c>
      <c r="BU403" s="38">
        <f t="shared" si="12"/>
        <v>1000</v>
      </c>
      <c r="BV403" s="46" t="str">
        <f>IFERROR(__xludf.DUMMYFUNCTION("""COMPUTED_VALUE"""),"Fossey")</f>
        <v>Fossey</v>
      </c>
      <c r="BW403" s="46">
        <f t="shared" si="13"/>
        <v>100</v>
      </c>
      <c r="BX403" s="47">
        <f t="shared" ref="BX403:CA403" si="1320">AX403-$BU403</f>
        <v>-1000</v>
      </c>
      <c r="BY403" s="47">
        <f t="shared" si="1320"/>
        <v>-1000</v>
      </c>
      <c r="BZ403" s="47">
        <f t="shared" si="1320"/>
        <v>-1000</v>
      </c>
      <c r="CA403" s="47">
        <f t="shared" si="1320"/>
        <v>-900</v>
      </c>
      <c r="CB403" s="47">
        <f t="shared" si="15"/>
        <v>-10000</v>
      </c>
      <c r="CC403" s="47">
        <f t="shared" ref="CC403:CQ403" si="1321">BC403-$BU403</f>
        <v>-1000</v>
      </c>
      <c r="CD403" s="47">
        <f t="shared" si="1321"/>
        <v>-1000</v>
      </c>
      <c r="CE403" s="47">
        <f t="shared" si="1321"/>
        <v>-1000</v>
      </c>
      <c r="CF403" s="47">
        <f t="shared" si="1321"/>
        <v>-1000</v>
      </c>
      <c r="CG403" s="47">
        <f t="shared" si="1321"/>
        <v>-1000</v>
      </c>
      <c r="CH403" s="47">
        <f t="shared" si="1321"/>
        <v>-1000</v>
      </c>
      <c r="CI403" s="47">
        <f t="shared" si="1321"/>
        <v>-1000</v>
      </c>
      <c r="CJ403" s="47">
        <f t="shared" si="1321"/>
        <v>-1000</v>
      </c>
      <c r="CK403" s="47">
        <f t="shared" si="1321"/>
        <v>-1000</v>
      </c>
      <c r="CL403" s="47">
        <f t="shared" si="1321"/>
        <v>-1000</v>
      </c>
      <c r="CM403" s="47">
        <f t="shared" si="1321"/>
        <v>-1000</v>
      </c>
      <c r="CN403" s="47">
        <f t="shared" si="1321"/>
        <v>-1000</v>
      </c>
      <c r="CO403" s="47">
        <f t="shared" si="1321"/>
        <v>-1000</v>
      </c>
      <c r="CP403" s="47">
        <f t="shared" si="1321"/>
        <v>-1000</v>
      </c>
      <c r="CQ403" s="47">
        <f t="shared" si="1321"/>
        <v>-1000</v>
      </c>
      <c r="CR403" s="47"/>
      <c r="CS403" s="47"/>
      <c r="CT403" s="47"/>
      <c r="CU403" s="50" t="str">
        <f>IFERROR(__xludf.DUMMYFUNCTION("""COMPUTED_VALUE"""),"10647 Royal Springs Drive
Dallas, TX 75229         ")</f>
        <v>10647 Royal Springs Drive
Dallas, TX 75229         </v>
      </c>
      <c r="CV403" s="51">
        <f>IFERROR(__xludf.DUMMYFUNCTION("IF(REGEXMATCH(UPPER(CU403), ""TX""),0,1)"),0.0)</f>
        <v>0</v>
      </c>
      <c r="CW403" s="51">
        <f>IFERROR(__xludf.DUMMYFUNCTION("IF(REGEXMATCH(UPPER(CU403), ""DALLAS""),0,1)"),0.0)</f>
        <v>0</v>
      </c>
      <c r="CX403" s="51">
        <f t="shared" si="17"/>
        <v>0</v>
      </c>
      <c r="CY403" s="51">
        <f t="shared" si="18"/>
        <v>0</v>
      </c>
      <c r="CZ403" s="52" t="str">
        <f t="shared" si="19"/>
        <v/>
      </c>
      <c r="DA403" s="58"/>
      <c r="DB403" s="52"/>
      <c r="DC403" s="52"/>
      <c r="DD403" s="52"/>
      <c r="DE403" s="52"/>
      <c r="DF403" s="52"/>
      <c r="DG403" s="52"/>
      <c r="DH403" s="52"/>
      <c r="DI403" s="52"/>
      <c r="DJ403" s="52"/>
      <c r="DK403" s="52"/>
      <c r="DL403" s="52"/>
      <c r="DM403" s="52"/>
      <c r="DN403" s="52"/>
      <c r="DO403" s="52"/>
      <c r="DP403" s="52"/>
      <c r="DQ403" s="52"/>
      <c r="DR403" s="52"/>
      <c r="DS403" s="52"/>
      <c r="DT403" s="52"/>
      <c r="DU403" s="52"/>
      <c r="DV403" s="52"/>
      <c r="DW403" s="52"/>
    </row>
    <row r="404">
      <c r="A404" s="22" t="s">
        <v>55</v>
      </c>
      <c r="B404" s="23" t="s">
        <v>56</v>
      </c>
      <c r="C404" s="31" t="s">
        <v>1125</v>
      </c>
      <c r="D404" s="25" t="str">
        <f>IFERROR(__xludf.DUMMYFUNCTION("SPLIT(C404,"" "")"),"Chaisson,")</f>
        <v>Chaisson,</v>
      </c>
      <c r="E404" s="22" t="str">
        <f>IFERROR(__xludf.DUMMYFUNCTION("""COMPUTED_VALUE"""),"Avis
2828")</f>
        <v>Avis
2828</v>
      </c>
      <c r="F404" s="22" t="str">
        <f>IFERROR(__xludf.DUMMYFUNCTION("""COMPUTED_VALUE"""),"Woodside")</f>
        <v>Woodside</v>
      </c>
      <c r="G404" s="22" t="str">
        <f>IFERROR(__xludf.DUMMYFUNCTION("""COMPUTED_VALUE"""),"Street
Dallas,")</f>
        <v>Street
Dallas,</v>
      </c>
      <c r="H404" s="22" t="str">
        <f>IFERROR(__xludf.DUMMYFUNCTION("""COMPUTED_VALUE"""),"TX")</f>
        <v>TX</v>
      </c>
      <c r="I404" s="22">
        <f>IFERROR(__xludf.DUMMYFUNCTION("""COMPUTED_VALUE"""),75204.0)</f>
        <v>75204</v>
      </c>
      <c r="J404" s="22"/>
      <c r="K404" s="22"/>
      <c r="L404" s="22"/>
      <c r="M404" s="22"/>
      <c r="N404" s="22"/>
      <c r="O404" s="22"/>
      <c r="P404" s="22"/>
      <c r="Q404" s="22"/>
      <c r="R404" s="22"/>
      <c r="S404" s="22"/>
      <c r="T404" s="22"/>
      <c r="U404" s="24" t="str">
        <f>IFERROR(__xludf.DUMMYFUNCTION("SPLIT(E404,""01234567890"")"),"Avis
")</f>
        <v>Avis
</v>
      </c>
      <c r="V404" s="24" t="str">
        <f>IFERROR(__xludf.DUMMYFUNCTION("SPLIT(D404,"","")"),"Chaisson")</f>
        <v>Chaisson</v>
      </c>
      <c r="W404" s="25" t="str">
        <f t="shared" si="1"/>
        <v>AVIS
 CHAISSON</v>
      </c>
      <c r="X404" s="25" t="s">
        <v>1126</v>
      </c>
      <c r="Y404" s="25">
        <v>75204.0</v>
      </c>
      <c r="Z404" s="25" t="str">
        <f>IFERROR(__xludf.DUMMYFUNCTION("SPLIT(C404,""
"")"),"Chaisson, Avis")</f>
        <v>Chaisson, Avis</v>
      </c>
      <c r="AA404" s="25" t="str">
        <f>IFERROR(__xludf.DUMMYFUNCTION("""COMPUTED_VALUE"""),"2828 Woodside Street")</f>
        <v>2828 Woodside Street</v>
      </c>
      <c r="AB404" s="25" t="str">
        <f>IFERROR(__xludf.DUMMYFUNCTION("""COMPUTED_VALUE"""),"Dallas, TX 75204")</f>
        <v>Dallas, TX 75204</v>
      </c>
      <c r="AC404" s="24" t="s">
        <v>1127</v>
      </c>
      <c r="AD404" s="25"/>
      <c r="AE404" s="25"/>
      <c r="AF404" s="25"/>
      <c r="AG404" s="22" t="s">
        <v>60</v>
      </c>
      <c r="AH404" s="54">
        <v>2437.0</v>
      </c>
      <c r="AI404" s="22" t="s">
        <v>61</v>
      </c>
      <c r="AJ404" s="27">
        <v>250.0</v>
      </c>
      <c r="AK404" s="31" t="s">
        <v>25</v>
      </c>
      <c r="AL404" s="28">
        <v>44713.0</v>
      </c>
      <c r="AM404" s="29">
        <v>44754.83237268519</v>
      </c>
      <c r="AN404" s="30">
        <v>2.0</v>
      </c>
      <c r="AO404" s="22"/>
      <c r="AP404" s="22"/>
      <c r="AQ404" s="22"/>
      <c r="AR404" s="22"/>
      <c r="AS404" s="22"/>
      <c r="AT404" s="70"/>
      <c r="AU404" s="22"/>
      <c r="AV404" s="57" t="str">
        <f>IFERROR(__xludf.DUMMYFUNCTION("""COMPUTED_VALUE"""),"Sandoval")</f>
        <v>Sandoval</v>
      </c>
      <c r="AW404" s="46">
        <f t="shared" si="7"/>
        <v>100</v>
      </c>
      <c r="AX404" s="47">
        <f t="shared" ref="AX404:BQ404" si="1322">SUMIFS($AJ:$AJ,$V:$V,$AV404,$AK:$AK,AX$2)</f>
        <v>0</v>
      </c>
      <c r="AY404" s="48">
        <f t="shared" si="1322"/>
        <v>0</v>
      </c>
      <c r="AZ404" s="48">
        <f t="shared" si="1322"/>
        <v>0</v>
      </c>
      <c r="BA404" s="48">
        <f t="shared" si="1322"/>
        <v>100</v>
      </c>
      <c r="BB404" s="48">
        <f t="shared" si="1322"/>
        <v>0</v>
      </c>
      <c r="BC404" s="48">
        <f t="shared" si="1322"/>
        <v>0</v>
      </c>
      <c r="BD404" s="48">
        <f t="shared" si="1322"/>
        <v>0</v>
      </c>
      <c r="BE404" s="48">
        <f t="shared" si="1322"/>
        <v>0</v>
      </c>
      <c r="BF404" s="48">
        <f t="shared" si="1322"/>
        <v>0</v>
      </c>
      <c r="BG404" s="48">
        <f t="shared" si="1322"/>
        <v>0</v>
      </c>
      <c r="BH404" s="48">
        <f t="shared" si="1322"/>
        <v>0</v>
      </c>
      <c r="BI404" s="48">
        <f t="shared" si="1322"/>
        <v>0</v>
      </c>
      <c r="BJ404" s="48">
        <f t="shared" si="1322"/>
        <v>0</v>
      </c>
      <c r="BK404" s="48">
        <f t="shared" si="1322"/>
        <v>0</v>
      </c>
      <c r="BL404" s="48">
        <f t="shared" si="1322"/>
        <v>0</v>
      </c>
      <c r="BM404" s="48">
        <f t="shared" si="1322"/>
        <v>0</v>
      </c>
      <c r="BN404" s="48">
        <f t="shared" si="1322"/>
        <v>0</v>
      </c>
      <c r="BO404" s="48">
        <f t="shared" si="1322"/>
        <v>0</v>
      </c>
      <c r="BP404" s="48">
        <f t="shared" si="1322"/>
        <v>0</v>
      </c>
      <c r="BQ404" s="48">
        <f t="shared" si="1322"/>
        <v>0</v>
      </c>
      <c r="BR404" s="36">
        <f t="shared" si="9"/>
        <v>0</v>
      </c>
      <c r="BS404" s="38">
        <f t="shared" si="10"/>
        <v>1</v>
      </c>
      <c r="BT404" s="49">
        <f t="shared" si="11"/>
        <v>0</v>
      </c>
      <c r="BU404" s="38">
        <f t="shared" si="12"/>
        <v>1000</v>
      </c>
      <c r="BV404" s="57" t="str">
        <f>IFERROR(__xludf.DUMMYFUNCTION("""COMPUTED_VALUE"""),"Sandoval")</f>
        <v>Sandoval</v>
      </c>
      <c r="BW404" s="46">
        <f t="shared" si="13"/>
        <v>100</v>
      </c>
      <c r="BX404" s="47">
        <f t="shared" ref="BX404:CA404" si="1323">AX404-$BU404</f>
        <v>-1000</v>
      </c>
      <c r="BY404" s="47">
        <f t="shared" si="1323"/>
        <v>-1000</v>
      </c>
      <c r="BZ404" s="47">
        <f t="shared" si="1323"/>
        <v>-1000</v>
      </c>
      <c r="CA404" s="47">
        <f t="shared" si="1323"/>
        <v>-900</v>
      </c>
      <c r="CB404" s="47">
        <f t="shared" si="15"/>
        <v>-10000</v>
      </c>
      <c r="CC404" s="47">
        <f t="shared" ref="CC404:CQ404" si="1324">BC404-$BU404</f>
        <v>-1000</v>
      </c>
      <c r="CD404" s="47">
        <f t="shared" si="1324"/>
        <v>-1000</v>
      </c>
      <c r="CE404" s="47">
        <f t="shared" si="1324"/>
        <v>-1000</v>
      </c>
      <c r="CF404" s="47">
        <f t="shared" si="1324"/>
        <v>-1000</v>
      </c>
      <c r="CG404" s="47">
        <f t="shared" si="1324"/>
        <v>-1000</v>
      </c>
      <c r="CH404" s="47">
        <f t="shared" si="1324"/>
        <v>-1000</v>
      </c>
      <c r="CI404" s="47">
        <f t="shared" si="1324"/>
        <v>-1000</v>
      </c>
      <c r="CJ404" s="47">
        <f t="shared" si="1324"/>
        <v>-1000</v>
      </c>
      <c r="CK404" s="47">
        <f t="shared" si="1324"/>
        <v>-1000</v>
      </c>
      <c r="CL404" s="47">
        <f t="shared" si="1324"/>
        <v>-1000</v>
      </c>
      <c r="CM404" s="47">
        <f t="shared" si="1324"/>
        <v>-1000</v>
      </c>
      <c r="CN404" s="47">
        <f t="shared" si="1324"/>
        <v>-1000</v>
      </c>
      <c r="CO404" s="47">
        <f t="shared" si="1324"/>
        <v>-1000</v>
      </c>
      <c r="CP404" s="47">
        <f t="shared" si="1324"/>
        <v>-1000</v>
      </c>
      <c r="CQ404" s="47">
        <f t="shared" si="1324"/>
        <v>-1000</v>
      </c>
      <c r="CR404" s="47"/>
      <c r="CS404" s="47"/>
      <c r="CT404" s="47"/>
      <c r="CU404" s="50" t="str">
        <f>IFERROR(__xludf.DUMMYFUNCTION("""COMPUTED_VALUE"""),"4506 Park Lane
Dallas, TX 75220          ")</f>
        <v>4506 Park Lane
Dallas, TX 75220          </v>
      </c>
      <c r="CV404" s="51">
        <f>IFERROR(__xludf.DUMMYFUNCTION("IF(REGEXMATCH(UPPER(CU404), ""TX""),0,1)"),0.0)</f>
        <v>0</v>
      </c>
      <c r="CW404" s="51">
        <f>IFERROR(__xludf.DUMMYFUNCTION("IF(REGEXMATCH(UPPER(CU404), ""DALLAS""),0,1)"),0.0)</f>
        <v>0</v>
      </c>
      <c r="CX404" s="51">
        <f t="shared" si="17"/>
        <v>0</v>
      </c>
      <c r="CY404" s="51">
        <f t="shared" si="18"/>
        <v>0</v>
      </c>
      <c r="CZ404" s="52" t="str">
        <f t="shared" si="19"/>
        <v/>
      </c>
      <c r="DA404" s="58"/>
      <c r="DB404" s="52"/>
      <c r="DC404" s="52"/>
      <c r="DD404" s="52"/>
      <c r="DE404" s="52"/>
      <c r="DF404" s="52"/>
      <c r="DG404" s="52"/>
      <c r="DH404" s="52"/>
      <c r="DI404" s="52"/>
      <c r="DJ404" s="52"/>
      <c r="DK404" s="52"/>
      <c r="DL404" s="52"/>
      <c r="DM404" s="52"/>
      <c r="DN404" s="52"/>
      <c r="DO404" s="52"/>
      <c r="DP404" s="52"/>
      <c r="DQ404" s="52"/>
      <c r="DR404" s="52"/>
      <c r="DS404" s="52"/>
      <c r="DT404" s="52"/>
      <c r="DU404" s="52"/>
      <c r="DV404" s="52"/>
      <c r="DW404" s="52"/>
    </row>
    <row r="405">
      <c r="A405" s="41" t="s">
        <v>64</v>
      </c>
      <c r="B405" s="41" t="s">
        <v>56</v>
      </c>
      <c r="C405" s="31" t="s">
        <v>1128</v>
      </c>
      <c r="D405" s="25" t="str">
        <f>IFERROR(__xludf.DUMMYFUNCTION("SPLIT(C405,"" "")"),"Huth,")</f>
        <v>Huth,</v>
      </c>
      <c r="E405" s="40" t="str">
        <f>IFERROR(__xludf.DUMMYFUNCTION("""COMPUTED_VALUE"""),"Tom
13455")</f>
        <v>Tom
13455</v>
      </c>
      <c r="F405" s="40" t="str">
        <f>IFERROR(__xludf.DUMMYFUNCTION("""COMPUTED_VALUE"""),"Noel")</f>
        <v>Noel</v>
      </c>
      <c r="G405" s="40" t="str">
        <f>IFERROR(__xludf.DUMMYFUNCTION("""COMPUTED_VALUE"""),"Rd
Dallas,")</f>
        <v>Rd
Dallas,</v>
      </c>
      <c r="H405" s="40" t="str">
        <f>IFERROR(__xludf.DUMMYFUNCTION("""COMPUTED_VALUE"""),"TX")</f>
        <v>TX</v>
      </c>
      <c r="I405" s="40">
        <f>IFERROR(__xludf.DUMMYFUNCTION("""COMPUTED_VALUE"""),75240.0)</f>
        <v>75240</v>
      </c>
      <c r="J405" s="40"/>
      <c r="K405" s="40"/>
      <c r="L405" s="40"/>
      <c r="M405" s="40"/>
      <c r="N405" s="40"/>
      <c r="O405" s="40"/>
      <c r="P405" s="40"/>
      <c r="Q405" s="40"/>
      <c r="R405" s="40"/>
      <c r="S405" s="40"/>
      <c r="T405" s="40"/>
      <c r="U405" s="24" t="str">
        <f>IFERROR(__xludf.DUMMYFUNCTION("SPLIT(E405,""01234567890"")"),"Tom
")</f>
        <v>Tom
</v>
      </c>
      <c r="V405" s="24" t="str">
        <f>IFERROR(__xludf.DUMMYFUNCTION("SPLIT(D405,"","")"),"Huth")</f>
        <v>Huth</v>
      </c>
      <c r="W405" s="25" t="str">
        <f t="shared" si="1"/>
        <v>TOM
 HUTH</v>
      </c>
      <c r="X405" s="25" t="s">
        <v>1129</v>
      </c>
      <c r="Y405" s="25">
        <v>75240.0</v>
      </c>
      <c r="Z405" s="25" t="str">
        <f>IFERROR(__xludf.DUMMYFUNCTION("SPLIT(C405,""
"")"),"Huth, Tom")</f>
        <v>Huth, Tom</v>
      </c>
      <c r="AA405" s="25" t="str">
        <f>IFERROR(__xludf.DUMMYFUNCTION("""COMPUTED_VALUE"""),"13455 Noel Rd")</f>
        <v>13455 Noel Rd</v>
      </c>
      <c r="AB405" s="25" t="str">
        <f>IFERROR(__xludf.DUMMYFUNCTION("""COMPUTED_VALUE"""),"Dallas, TX 75240")</f>
        <v>Dallas, TX 75240</v>
      </c>
      <c r="AC405" s="24" t="s">
        <v>1130</v>
      </c>
      <c r="AD405" s="25"/>
      <c r="AE405" s="25"/>
      <c r="AF405" s="25"/>
      <c r="AG405" s="40" t="s">
        <v>60</v>
      </c>
      <c r="AH405" s="42">
        <v>2437.0</v>
      </c>
      <c r="AI405" s="40" t="s">
        <v>61</v>
      </c>
      <c r="AJ405" s="27">
        <v>250.0</v>
      </c>
      <c r="AK405" s="31" t="s">
        <v>25</v>
      </c>
      <c r="AL405" s="43">
        <v>44713.0</v>
      </c>
      <c r="AM405" s="44">
        <v>44754.83237268519</v>
      </c>
      <c r="AN405" s="30">
        <v>2.0</v>
      </c>
      <c r="AO405" s="40"/>
      <c r="AP405" s="40"/>
      <c r="AQ405" s="40"/>
      <c r="AR405" s="40"/>
      <c r="AS405" s="40"/>
      <c r="AT405" s="47"/>
      <c r="AU405" s="40"/>
      <c r="AV405" s="46" t="str">
        <f>IFERROR(__xludf.DUMMYFUNCTION("""COMPUTED_VALUE"""),"Hawkins")</f>
        <v>Hawkins</v>
      </c>
      <c r="AW405" s="46">
        <f t="shared" si="7"/>
        <v>100</v>
      </c>
      <c r="AX405" s="47">
        <f t="shared" ref="AX405:BQ405" si="1325">SUMIFS($AJ:$AJ,$V:$V,$AV405,$AK:$AK,AX$2)</f>
        <v>0</v>
      </c>
      <c r="AY405" s="48">
        <f t="shared" si="1325"/>
        <v>0</v>
      </c>
      <c r="AZ405" s="48">
        <f t="shared" si="1325"/>
        <v>0</v>
      </c>
      <c r="BA405" s="48">
        <f t="shared" si="1325"/>
        <v>100</v>
      </c>
      <c r="BB405" s="48">
        <f t="shared" si="1325"/>
        <v>0</v>
      </c>
      <c r="BC405" s="48">
        <f t="shared" si="1325"/>
        <v>0</v>
      </c>
      <c r="BD405" s="48">
        <f t="shared" si="1325"/>
        <v>0</v>
      </c>
      <c r="BE405" s="48">
        <f t="shared" si="1325"/>
        <v>0</v>
      </c>
      <c r="BF405" s="48">
        <f t="shared" si="1325"/>
        <v>0</v>
      </c>
      <c r="BG405" s="48">
        <f t="shared" si="1325"/>
        <v>0</v>
      </c>
      <c r="BH405" s="48">
        <f t="shared" si="1325"/>
        <v>0</v>
      </c>
      <c r="BI405" s="48">
        <f t="shared" si="1325"/>
        <v>0</v>
      </c>
      <c r="BJ405" s="48">
        <f t="shared" si="1325"/>
        <v>0</v>
      </c>
      <c r="BK405" s="48">
        <f t="shared" si="1325"/>
        <v>0</v>
      </c>
      <c r="BL405" s="48">
        <f t="shared" si="1325"/>
        <v>0</v>
      </c>
      <c r="BM405" s="48">
        <f t="shared" si="1325"/>
        <v>0</v>
      </c>
      <c r="BN405" s="48">
        <f t="shared" si="1325"/>
        <v>0</v>
      </c>
      <c r="BO405" s="48">
        <f t="shared" si="1325"/>
        <v>0</v>
      </c>
      <c r="BP405" s="48">
        <f t="shared" si="1325"/>
        <v>0</v>
      </c>
      <c r="BQ405" s="48">
        <f t="shared" si="1325"/>
        <v>0</v>
      </c>
      <c r="BR405" s="36">
        <f t="shared" si="9"/>
        <v>0</v>
      </c>
      <c r="BS405" s="38">
        <f t="shared" si="10"/>
        <v>1</v>
      </c>
      <c r="BT405" s="49">
        <f t="shared" si="11"/>
        <v>0</v>
      </c>
      <c r="BU405" s="38">
        <f t="shared" si="12"/>
        <v>1000</v>
      </c>
      <c r="BV405" s="46" t="str">
        <f>IFERROR(__xludf.DUMMYFUNCTION("""COMPUTED_VALUE"""),"Hawkins")</f>
        <v>Hawkins</v>
      </c>
      <c r="BW405" s="46">
        <f t="shared" si="13"/>
        <v>100</v>
      </c>
      <c r="BX405" s="47">
        <f t="shared" ref="BX405:CA405" si="1326">AX405-$BU405</f>
        <v>-1000</v>
      </c>
      <c r="BY405" s="47">
        <f t="shared" si="1326"/>
        <v>-1000</v>
      </c>
      <c r="BZ405" s="47">
        <f t="shared" si="1326"/>
        <v>-1000</v>
      </c>
      <c r="CA405" s="47">
        <f t="shared" si="1326"/>
        <v>-900</v>
      </c>
      <c r="CB405" s="47">
        <f t="shared" si="15"/>
        <v>-10000</v>
      </c>
      <c r="CC405" s="47">
        <f t="shared" ref="CC405:CQ405" si="1327">BC405-$BU405</f>
        <v>-1000</v>
      </c>
      <c r="CD405" s="47">
        <f t="shared" si="1327"/>
        <v>-1000</v>
      </c>
      <c r="CE405" s="47">
        <f t="shared" si="1327"/>
        <v>-1000</v>
      </c>
      <c r="CF405" s="47">
        <f t="shared" si="1327"/>
        <v>-1000</v>
      </c>
      <c r="CG405" s="47">
        <f t="shared" si="1327"/>
        <v>-1000</v>
      </c>
      <c r="CH405" s="47">
        <f t="shared" si="1327"/>
        <v>-1000</v>
      </c>
      <c r="CI405" s="47">
        <f t="shared" si="1327"/>
        <v>-1000</v>
      </c>
      <c r="CJ405" s="47">
        <f t="shared" si="1327"/>
        <v>-1000</v>
      </c>
      <c r="CK405" s="47">
        <f t="shared" si="1327"/>
        <v>-1000</v>
      </c>
      <c r="CL405" s="47">
        <f t="shared" si="1327"/>
        <v>-1000</v>
      </c>
      <c r="CM405" s="47">
        <f t="shared" si="1327"/>
        <v>-1000</v>
      </c>
      <c r="CN405" s="47">
        <f t="shared" si="1327"/>
        <v>-1000</v>
      </c>
      <c r="CO405" s="47">
        <f t="shared" si="1327"/>
        <v>-1000</v>
      </c>
      <c r="CP405" s="47">
        <f t="shared" si="1327"/>
        <v>-1000</v>
      </c>
      <c r="CQ405" s="47">
        <f t="shared" si="1327"/>
        <v>-1000</v>
      </c>
      <c r="CR405" s="47"/>
      <c r="CS405" s="47"/>
      <c r="CT405" s="47"/>
      <c r="CU405" s="50" t="str">
        <f>IFERROR(__xludf.DUMMYFUNCTION("""COMPUTED_VALUE"""),"5635 Southwestern Blvd
Dallas, TX 75209          ")</f>
        <v>5635 Southwestern Blvd
Dallas, TX 75209          </v>
      </c>
      <c r="CV405" s="51">
        <f>IFERROR(__xludf.DUMMYFUNCTION("IF(REGEXMATCH(UPPER(CU405), ""TX""),0,1)"),0.0)</f>
        <v>0</v>
      </c>
      <c r="CW405" s="51">
        <f>IFERROR(__xludf.DUMMYFUNCTION("IF(REGEXMATCH(UPPER(CU405), ""DALLAS""),0,1)"),0.0)</f>
        <v>0</v>
      </c>
      <c r="CX405" s="51">
        <f t="shared" si="17"/>
        <v>0</v>
      </c>
      <c r="CY405" s="51">
        <f t="shared" si="18"/>
        <v>0</v>
      </c>
      <c r="CZ405" s="52" t="str">
        <f t="shared" si="19"/>
        <v/>
      </c>
      <c r="DA405" s="58"/>
      <c r="DB405" s="52"/>
      <c r="DC405" s="52"/>
      <c r="DD405" s="52"/>
      <c r="DE405" s="52"/>
      <c r="DF405" s="52"/>
      <c r="DG405" s="52"/>
      <c r="DH405" s="52"/>
      <c r="DI405" s="52"/>
      <c r="DJ405" s="52"/>
      <c r="DK405" s="52"/>
      <c r="DL405" s="52"/>
      <c r="DM405" s="52"/>
      <c r="DN405" s="52"/>
      <c r="DO405" s="52"/>
      <c r="DP405" s="52"/>
      <c r="DQ405" s="52"/>
      <c r="DR405" s="52"/>
      <c r="DS405" s="52"/>
      <c r="DT405" s="52"/>
      <c r="DU405" s="52"/>
      <c r="DV405" s="52"/>
      <c r="DW405" s="52"/>
    </row>
    <row r="406">
      <c r="A406" s="22" t="s">
        <v>55</v>
      </c>
      <c r="B406" s="23" t="s">
        <v>56</v>
      </c>
      <c r="C406" s="31" t="s">
        <v>1131</v>
      </c>
      <c r="D406" s="25" t="str">
        <f>IFERROR(__xludf.DUMMYFUNCTION("SPLIT(C406,"" "")"),"Falvo,")</f>
        <v>Falvo,</v>
      </c>
      <c r="E406" s="22" t="str">
        <f>IFERROR(__xludf.DUMMYFUNCTION("""COMPUTED_VALUE"""),"Susan
2507")</f>
        <v>Susan
2507</v>
      </c>
      <c r="F406" s="22" t="str">
        <f>IFERROR(__xludf.DUMMYFUNCTION("""COMPUTED_VALUE"""),"Auburn")</f>
        <v>Auburn</v>
      </c>
      <c r="G406" s="22" t="str">
        <f>IFERROR(__xludf.DUMMYFUNCTION("""COMPUTED_VALUE"""),"Ave
Dallas,")</f>
        <v>Ave
Dallas,</v>
      </c>
      <c r="H406" s="22" t="str">
        <f>IFERROR(__xludf.DUMMYFUNCTION("""COMPUTED_VALUE"""),"TX")</f>
        <v>TX</v>
      </c>
      <c r="I406" s="22">
        <f>IFERROR(__xludf.DUMMYFUNCTION("""COMPUTED_VALUE"""),75214.0)</f>
        <v>75214</v>
      </c>
      <c r="J406" s="22"/>
      <c r="K406" s="22"/>
      <c r="L406" s="22"/>
      <c r="M406" s="22"/>
      <c r="N406" s="22"/>
      <c r="O406" s="22"/>
      <c r="P406" s="22"/>
      <c r="Q406" s="22"/>
      <c r="R406" s="22"/>
      <c r="S406" s="22"/>
      <c r="T406" s="22"/>
      <c r="U406" s="24" t="str">
        <f>IFERROR(__xludf.DUMMYFUNCTION("SPLIT(E406,""01234567890"")"),"Susan
")</f>
        <v>Susan
</v>
      </c>
      <c r="V406" s="24" t="str">
        <f>IFERROR(__xludf.DUMMYFUNCTION("SPLIT(D406,"","")"),"Falvo")</f>
        <v>Falvo</v>
      </c>
      <c r="W406" s="25" t="str">
        <f t="shared" si="1"/>
        <v>SUSAN
 FALVO</v>
      </c>
      <c r="X406" s="25" t="s">
        <v>1132</v>
      </c>
      <c r="Y406" s="25">
        <v>75214.0</v>
      </c>
      <c r="Z406" s="25" t="str">
        <f>IFERROR(__xludf.DUMMYFUNCTION("SPLIT(C406,""
"")"),"Falvo, Susan")</f>
        <v>Falvo, Susan</v>
      </c>
      <c r="AA406" s="25" t="str">
        <f>IFERROR(__xludf.DUMMYFUNCTION("""COMPUTED_VALUE"""),"2507 Auburn Ave")</f>
        <v>2507 Auburn Ave</v>
      </c>
      <c r="AB406" s="25" t="str">
        <f>IFERROR(__xludf.DUMMYFUNCTION("""COMPUTED_VALUE"""),"Dallas, TX 75214")</f>
        <v>Dallas, TX 75214</v>
      </c>
      <c r="AC406" s="24" t="s">
        <v>1133</v>
      </c>
      <c r="AD406" s="25"/>
      <c r="AE406" s="25"/>
      <c r="AF406" s="25"/>
      <c r="AG406" s="22" t="s">
        <v>60</v>
      </c>
      <c r="AH406" s="54">
        <v>2437.0</v>
      </c>
      <c r="AI406" s="22" t="s">
        <v>61</v>
      </c>
      <c r="AJ406" s="27">
        <v>500.0</v>
      </c>
      <c r="AK406" s="31" t="s">
        <v>25</v>
      </c>
      <c r="AL406" s="28">
        <v>44712.0</v>
      </c>
      <c r="AM406" s="29">
        <v>44754.83237268519</v>
      </c>
      <c r="AN406" s="30">
        <v>2.0</v>
      </c>
      <c r="AO406" s="22"/>
      <c r="AP406" s="22"/>
      <c r="AQ406" s="22"/>
      <c r="AR406" s="22"/>
      <c r="AS406" s="22"/>
      <c r="AT406" s="70"/>
      <c r="AU406" s="22"/>
      <c r="AV406" s="57" t="str">
        <f>IFERROR(__xludf.DUMMYFUNCTION("""COMPUTED_VALUE"""),"Kirk")</f>
        <v>Kirk</v>
      </c>
      <c r="AW406" s="46">
        <f t="shared" si="7"/>
        <v>250</v>
      </c>
      <c r="AX406" s="47">
        <f t="shared" ref="AX406:BQ406" si="1328">SUMIFS($AJ:$AJ,$V:$V,$AV406,$AK:$AK,AX$2)</f>
        <v>0</v>
      </c>
      <c r="AY406" s="48">
        <f t="shared" si="1328"/>
        <v>0</v>
      </c>
      <c r="AZ406" s="48">
        <f t="shared" si="1328"/>
        <v>0</v>
      </c>
      <c r="BA406" s="48">
        <f t="shared" si="1328"/>
        <v>250</v>
      </c>
      <c r="BB406" s="48">
        <f t="shared" si="1328"/>
        <v>0</v>
      </c>
      <c r="BC406" s="48">
        <f t="shared" si="1328"/>
        <v>0</v>
      </c>
      <c r="BD406" s="48">
        <f t="shared" si="1328"/>
        <v>0</v>
      </c>
      <c r="BE406" s="48">
        <f t="shared" si="1328"/>
        <v>0</v>
      </c>
      <c r="BF406" s="48">
        <f t="shared" si="1328"/>
        <v>0</v>
      </c>
      <c r="BG406" s="48">
        <f t="shared" si="1328"/>
        <v>0</v>
      </c>
      <c r="BH406" s="48">
        <f t="shared" si="1328"/>
        <v>0</v>
      </c>
      <c r="BI406" s="48">
        <f t="shared" si="1328"/>
        <v>0</v>
      </c>
      <c r="BJ406" s="48">
        <f t="shared" si="1328"/>
        <v>0</v>
      </c>
      <c r="BK406" s="48">
        <f t="shared" si="1328"/>
        <v>0</v>
      </c>
      <c r="BL406" s="48">
        <f t="shared" si="1328"/>
        <v>0</v>
      </c>
      <c r="BM406" s="48">
        <f t="shared" si="1328"/>
        <v>0</v>
      </c>
      <c r="BN406" s="48">
        <f t="shared" si="1328"/>
        <v>0</v>
      </c>
      <c r="BO406" s="48">
        <f t="shared" si="1328"/>
        <v>0</v>
      </c>
      <c r="BP406" s="48">
        <f t="shared" si="1328"/>
        <v>0</v>
      </c>
      <c r="BQ406" s="48">
        <f t="shared" si="1328"/>
        <v>0</v>
      </c>
      <c r="BR406" s="36">
        <f t="shared" si="9"/>
        <v>0</v>
      </c>
      <c r="BS406" s="38">
        <f t="shared" si="10"/>
        <v>1</v>
      </c>
      <c r="BT406" s="49">
        <f t="shared" si="11"/>
        <v>0</v>
      </c>
      <c r="BU406" s="38">
        <f t="shared" si="12"/>
        <v>1000</v>
      </c>
      <c r="BV406" s="57" t="str">
        <f>IFERROR(__xludf.DUMMYFUNCTION("""COMPUTED_VALUE"""),"Kirk")</f>
        <v>Kirk</v>
      </c>
      <c r="BW406" s="46">
        <f t="shared" si="13"/>
        <v>250</v>
      </c>
      <c r="BX406" s="47">
        <f t="shared" ref="BX406:CA406" si="1329">AX406-$BU406</f>
        <v>-1000</v>
      </c>
      <c r="BY406" s="47">
        <f t="shared" si="1329"/>
        <v>-1000</v>
      </c>
      <c r="BZ406" s="47">
        <f t="shared" si="1329"/>
        <v>-1000</v>
      </c>
      <c r="CA406" s="47">
        <f t="shared" si="1329"/>
        <v>-750</v>
      </c>
      <c r="CB406" s="47">
        <f t="shared" si="15"/>
        <v>-10000</v>
      </c>
      <c r="CC406" s="47">
        <f t="shared" ref="CC406:CQ406" si="1330">BC406-$BU406</f>
        <v>-1000</v>
      </c>
      <c r="CD406" s="47">
        <f t="shared" si="1330"/>
        <v>-1000</v>
      </c>
      <c r="CE406" s="47">
        <f t="shared" si="1330"/>
        <v>-1000</v>
      </c>
      <c r="CF406" s="47">
        <f t="shared" si="1330"/>
        <v>-1000</v>
      </c>
      <c r="CG406" s="47">
        <f t="shared" si="1330"/>
        <v>-1000</v>
      </c>
      <c r="CH406" s="47">
        <f t="shared" si="1330"/>
        <v>-1000</v>
      </c>
      <c r="CI406" s="47">
        <f t="shared" si="1330"/>
        <v>-1000</v>
      </c>
      <c r="CJ406" s="47">
        <f t="shared" si="1330"/>
        <v>-1000</v>
      </c>
      <c r="CK406" s="47">
        <f t="shared" si="1330"/>
        <v>-1000</v>
      </c>
      <c r="CL406" s="47">
        <f t="shared" si="1330"/>
        <v>-1000</v>
      </c>
      <c r="CM406" s="47">
        <f t="shared" si="1330"/>
        <v>-1000</v>
      </c>
      <c r="CN406" s="47">
        <f t="shared" si="1330"/>
        <v>-1000</v>
      </c>
      <c r="CO406" s="47">
        <f t="shared" si="1330"/>
        <v>-1000</v>
      </c>
      <c r="CP406" s="47">
        <f t="shared" si="1330"/>
        <v>-1000</v>
      </c>
      <c r="CQ406" s="47">
        <f t="shared" si="1330"/>
        <v>-1000</v>
      </c>
      <c r="CR406" s="47"/>
      <c r="CS406" s="47"/>
      <c r="CT406" s="47"/>
      <c r="CU406" s="50" t="str">
        <f>IFERROR(__xludf.DUMMYFUNCTION("""COMPUTED_VALUE"""),"7256 Ashington Drive
Dallas, TX 75225          ")</f>
        <v>7256 Ashington Drive
Dallas, TX 75225          </v>
      </c>
      <c r="CV406" s="51">
        <f>IFERROR(__xludf.DUMMYFUNCTION("IF(REGEXMATCH(UPPER(CU406), ""TX""),0,1)"),0.0)</f>
        <v>0</v>
      </c>
      <c r="CW406" s="51">
        <f>IFERROR(__xludf.DUMMYFUNCTION("IF(REGEXMATCH(UPPER(CU406), ""DALLAS""),0,1)"),0.0)</f>
        <v>0</v>
      </c>
      <c r="CX406" s="51">
        <f t="shared" si="17"/>
        <v>0</v>
      </c>
      <c r="CY406" s="51">
        <f t="shared" si="18"/>
        <v>0</v>
      </c>
      <c r="CZ406" s="52" t="str">
        <f t="shared" si="19"/>
        <v/>
      </c>
      <c r="DA406" s="58"/>
      <c r="DB406" s="52"/>
      <c r="DC406" s="52"/>
      <c r="DD406" s="52"/>
      <c r="DE406" s="52"/>
      <c r="DF406" s="52"/>
      <c r="DG406" s="52"/>
      <c r="DH406" s="52"/>
      <c r="DI406" s="52"/>
      <c r="DJ406" s="52"/>
      <c r="DK406" s="52"/>
      <c r="DL406" s="52"/>
      <c r="DM406" s="52"/>
      <c r="DN406" s="52"/>
      <c r="DO406" s="52"/>
      <c r="DP406" s="52"/>
      <c r="DQ406" s="52"/>
      <c r="DR406" s="52"/>
      <c r="DS406" s="52"/>
      <c r="DT406" s="52"/>
      <c r="DU406" s="52"/>
      <c r="DV406" s="52"/>
      <c r="DW406" s="52"/>
    </row>
    <row r="407">
      <c r="A407" s="41" t="s">
        <v>64</v>
      </c>
      <c r="B407" s="41" t="s">
        <v>56</v>
      </c>
      <c r="C407" s="31" t="s">
        <v>1134</v>
      </c>
      <c r="D407" s="25" t="str">
        <f>IFERROR(__xludf.DUMMYFUNCTION("SPLIT(C407,"" "")"),"Bullock,")</f>
        <v>Bullock,</v>
      </c>
      <c r="E407" s="40" t="str">
        <f>IFERROR(__xludf.DUMMYFUNCTION("""COMPUTED_VALUE"""),"Sue")</f>
        <v>Sue</v>
      </c>
      <c r="F407" s="40" t="str">
        <f>IFERROR(__xludf.DUMMYFUNCTION("""COMPUTED_VALUE"""),"&amp;")</f>
        <v>&amp;</v>
      </c>
      <c r="G407" s="40" t="str">
        <f>IFERROR(__xludf.DUMMYFUNCTION("""COMPUTED_VALUE"""),"Robert
8020")</f>
        <v>Robert
8020</v>
      </c>
      <c r="H407" s="40" t="str">
        <f>IFERROR(__xludf.DUMMYFUNCTION("""COMPUTED_VALUE"""),"Frankford")</f>
        <v>Frankford</v>
      </c>
      <c r="I407" s="40" t="str">
        <f>IFERROR(__xludf.DUMMYFUNCTION("""COMPUTED_VALUE"""),"Road
Dallas,")</f>
        <v>Road
Dallas,</v>
      </c>
      <c r="J407" s="40" t="str">
        <f>IFERROR(__xludf.DUMMYFUNCTION("""COMPUTED_VALUE"""),"TX")</f>
        <v>TX</v>
      </c>
      <c r="K407" s="40">
        <f>IFERROR(__xludf.DUMMYFUNCTION("""COMPUTED_VALUE"""),75252.0)</f>
        <v>75252</v>
      </c>
      <c r="L407" s="40"/>
      <c r="M407" s="40"/>
      <c r="N407" s="40"/>
      <c r="O407" s="40"/>
      <c r="P407" s="40"/>
      <c r="Q407" s="40"/>
      <c r="R407" s="40"/>
      <c r="S407" s="40"/>
      <c r="T407" s="40"/>
      <c r="U407" s="24" t="str">
        <f>IFERROR(__xludf.DUMMYFUNCTION("SPLIT(E407,""01234567890"")"),"Sue")</f>
        <v>Sue</v>
      </c>
      <c r="V407" s="24" t="str">
        <f>IFERROR(__xludf.DUMMYFUNCTION("SPLIT(D407,"","")"),"Bullock")</f>
        <v>Bullock</v>
      </c>
      <c r="W407" s="25" t="str">
        <f t="shared" si="1"/>
        <v>SUE BULLOCK</v>
      </c>
      <c r="X407" s="25" t="s">
        <v>1135</v>
      </c>
      <c r="Y407" s="25">
        <v>8020.0</v>
      </c>
      <c r="Z407" s="25" t="str">
        <f>IFERROR(__xludf.DUMMYFUNCTION("SPLIT(C407,""
"")"),"Bullock, Sue &amp; Robert")</f>
        <v>Bullock, Sue &amp; Robert</v>
      </c>
      <c r="AA407" s="25" t="str">
        <f>IFERROR(__xludf.DUMMYFUNCTION("""COMPUTED_VALUE"""),"8020 Frankford Road")</f>
        <v>8020 Frankford Road</v>
      </c>
      <c r="AB407" s="25" t="str">
        <f>IFERROR(__xludf.DUMMYFUNCTION("""COMPUTED_VALUE"""),"Dallas, TX 75252")</f>
        <v>Dallas, TX 75252</v>
      </c>
      <c r="AC407" s="24" t="s">
        <v>1136</v>
      </c>
      <c r="AD407" s="25"/>
      <c r="AE407" s="25"/>
      <c r="AF407" s="25"/>
      <c r="AG407" s="40" t="s">
        <v>60</v>
      </c>
      <c r="AH407" s="42">
        <v>2437.0</v>
      </c>
      <c r="AI407" s="40" t="s">
        <v>61</v>
      </c>
      <c r="AJ407" s="27">
        <v>35.0</v>
      </c>
      <c r="AK407" s="31" t="s">
        <v>25</v>
      </c>
      <c r="AL407" s="43">
        <v>44712.0</v>
      </c>
      <c r="AM407" s="44">
        <v>44754.83237268519</v>
      </c>
      <c r="AN407" s="30">
        <v>2.0</v>
      </c>
      <c r="AO407" s="40"/>
      <c r="AP407" s="40"/>
      <c r="AQ407" s="40"/>
      <c r="AR407" s="40"/>
      <c r="AS407" s="40"/>
      <c r="AT407" s="47"/>
      <c r="AU407" s="40"/>
      <c r="AV407" s="46" t="str">
        <f>IFERROR(__xludf.DUMMYFUNCTION("""COMPUTED_VALUE"""),"Montgomery")</f>
        <v>Montgomery</v>
      </c>
      <c r="AW407" s="46">
        <f t="shared" si="7"/>
        <v>850</v>
      </c>
      <c r="AX407" s="47">
        <f t="shared" ref="AX407:BQ407" si="1331">SUMIFS($AJ:$AJ,$V:$V,$AV407,$AK:$AK,AX$2)</f>
        <v>0</v>
      </c>
      <c r="AY407" s="48">
        <f t="shared" si="1331"/>
        <v>0</v>
      </c>
      <c r="AZ407" s="48">
        <f t="shared" si="1331"/>
        <v>0</v>
      </c>
      <c r="BA407" s="48">
        <f t="shared" si="1331"/>
        <v>100</v>
      </c>
      <c r="BB407" s="48">
        <f t="shared" si="1331"/>
        <v>0</v>
      </c>
      <c r="BC407" s="48">
        <f t="shared" si="1331"/>
        <v>0</v>
      </c>
      <c r="BD407" s="48">
        <f t="shared" si="1331"/>
        <v>0</v>
      </c>
      <c r="BE407" s="48">
        <f t="shared" si="1331"/>
        <v>0</v>
      </c>
      <c r="BF407" s="48">
        <f t="shared" si="1331"/>
        <v>750</v>
      </c>
      <c r="BG407" s="48">
        <f t="shared" si="1331"/>
        <v>0</v>
      </c>
      <c r="BH407" s="48">
        <f t="shared" si="1331"/>
        <v>0</v>
      </c>
      <c r="BI407" s="48">
        <f t="shared" si="1331"/>
        <v>0</v>
      </c>
      <c r="BJ407" s="48">
        <f t="shared" si="1331"/>
        <v>0</v>
      </c>
      <c r="BK407" s="48">
        <f t="shared" si="1331"/>
        <v>0</v>
      </c>
      <c r="BL407" s="48">
        <f t="shared" si="1331"/>
        <v>0</v>
      </c>
      <c r="BM407" s="48">
        <f t="shared" si="1331"/>
        <v>0</v>
      </c>
      <c r="BN407" s="48">
        <f t="shared" si="1331"/>
        <v>0</v>
      </c>
      <c r="BO407" s="48">
        <f t="shared" si="1331"/>
        <v>0</v>
      </c>
      <c r="BP407" s="48">
        <f t="shared" si="1331"/>
        <v>0</v>
      </c>
      <c r="BQ407" s="48">
        <f t="shared" si="1331"/>
        <v>0</v>
      </c>
      <c r="BR407" s="36">
        <f t="shared" si="9"/>
        <v>1</v>
      </c>
      <c r="BS407" s="38">
        <f t="shared" si="10"/>
        <v>2</v>
      </c>
      <c r="BT407" s="49">
        <f t="shared" si="11"/>
        <v>0</v>
      </c>
      <c r="BU407" s="38">
        <f t="shared" si="12"/>
        <v>2000</v>
      </c>
      <c r="BV407" s="46" t="str">
        <f>IFERROR(__xludf.DUMMYFUNCTION("""COMPUTED_VALUE"""),"Montgomery")</f>
        <v>Montgomery</v>
      </c>
      <c r="BW407" s="46">
        <f t="shared" si="13"/>
        <v>850</v>
      </c>
      <c r="BX407" s="47">
        <f t="shared" ref="BX407:CA407" si="1332">AX407-$BU407</f>
        <v>-2000</v>
      </c>
      <c r="BY407" s="47">
        <f t="shared" si="1332"/>
        <v>-2000</v>
      </c>
      <c r="BZ407" s="47">
        <f t="shared" si="1332"/>
        <v>-2000</v>
      </c>
      <c r="CA407" s="47">
        <f t="shared" si="1332"/>
        <v>-1900</v>
      </c>
      <c r="CB407" s="47">
        <f t="shared" si="15"/>
        <v>-20000</v>
      </c>
      <c r="CC407" s="47">
        <f t="shared" ref="CC407:CQ407" si="1333">BC407-$BU407</f>
        <v>-2000</v>
      </c>
      <c r="CD407" s="47">
        <f t="shared" si="1333"/>
        <v>-2000</v>
      </c>
      <c r="CE407" s="47">
        <f t="shared" si="1333"/>
        <v>-2000</v>
      </c>
      <c r="CF407" s="47">
        <f t="shared" si="1333"/>
        <v>-1250</v>
      </c>
      <c r="CG407" s="47">
        <f t="shared" si="1333"/>
        <v>-2000</v>
      </c>
      <c r="CH407" s="47">
        <f t="shared" si="1333"/>
        <v>-2000</v>
      </c>
      <c r="CI407" s="47">
        <f t="shared" si="1333"/>
        <v>-2000</v>
      </c>
      <c r="CJ407" s="47">
        <f t="shared" si="1333"/>
        <v>-2000</v>
      </c>
      <c r="CK407" s="47">
        <f t="shared" si="1333"/>
        <v>-2000</v>
      </c>
      <c r="CL407" s="47">
        <f t="shared" si="1333"/>
        <v>-2000</v>
      </c>
      <c r="CM407" s="47">
        <f t="shared" si="1333"/>
        <v>-2000</v>
      </c>
      <c r="CN407" s="47">
        <f t="shared" si="1333"/>
        <v>-2000</v>
      </c>
      <c r="CO407" s="47">
        <f t="shared" si="1333"/>
        <v>-2000</v>
      </c>
      <c r="CP407" s="47">
        <f t="shared" si="1333"/>
        <v>-2000</v>
      </c>
      <c r="CQ407" s="47">
        <f t="shared" si="1333"/>
        <v>-2000</v>
      </c>
      <c r="CR407" s="47"/>
      <c r="CS407" s="47"/>
      <c r="CT407" s="47"/>
      <c r="CU407" s="50" t="str">
        <f>IFERROR(__xludf.DUMMYFUNCTION("""COMPUTED_VALUE"""),"5337 Livingston Ave
Dallas, TX 75209          ")</f>
        <v>5337 Livingston Ave
Dallas, TX 75209          </v>
      </c>
      <c r="CV407" s="51">
        <f>IFERROR(__xludf.DUMMYFUNCTION("IF(REGEXMATCH(UPPER(CU407), ""TX""),0,1)"),0.0)</f>
        <v>0</v>
      </c>
      <c r="CW407" s="51">
        <f>IFERROR(__xludf.DUMMYFUNCTION("IF(REGEXMATCH(UPPER(CU407), ""DALLAS""),0,1)"),0.0)</f>
        <v>0</v>
      </c>
      <c r="CX407" s="51">
        <f t="shared" si="17"/>
        <v>0</v>
      </c>
      <c r="CY407" s="51">
        <f t="shared" si="18"/>
        <v>0</v>
      </c>
      <c r="CZ407" s="52" t="str">
        <f t="shared" si="19"/>
        <v/>
      </c>
      <c r="DA407" s="58"/>
      <c r="DB407" s="52"/>
      <c r="DC407" s="52"/>
      <c r="DD407" s="52"/>
      <c r="DE407" s="52"/>
      <c r="DF407" s="52"/>
      <c r="DG407" s="52"/>
      <c r="DH407" s="52"/>
      <c r="DI407" s="52"/>
      <c r="DJ407" s="52"/>
      <c r="DK407" s="52"/>
      <c r="DL407" s="52"/>
      <c r="DM407" s="52"/>
      <c r="DN407" s="52"/>
      <c r="DO407" s="52"/>
      <c r="DP407" s="52"/>
      <c r="DQ407" s="52"/>
      <c r="DR407" s="52"/>
      <c r="DS407" s="52"/>
      <c r="DT407" s="52"/>
      <c r="DU407" s="52"/>
      <c r="DV407" s="52"/>
      <c r="DW407" s="52"/>
    </row>
    <row r="408">
      <c r="A408" s="22" t="s">
        <v>55</v>
      </c>
      <c r="B408" s="23" t="s">
        <v>56</v>
      </c>
      <c r="C408" s="31" t="s">
        <v>1137</v>
      </c>
      <c r="D408" s="25" t="str">
        <f>IFERROR(__xludf.DUMMYFUNCTION("SPLIT(C408,"" "")"),"Nash-Huntley,")</f>
        <v>Nash-Huntley,</v>
      </c>
      <c r="E408" s="22" t="str">
        <f>IFERROR(__xludf.DUMMYFUNCTION("""COMPUTED_VALUE"""),"Tracey
6607")</f>
        <v>Tracey
6607</v>
      </c>
      <c r="F408" s="22" t="str">
        <f>IFERROR(__xludf.DUMMYFUNCTION("""COMPUTED_VALUE"""),"Orchid")</f>
        <v>Orchid</v>
      </c>
      <c r="G408" s="22" t="str">
        <f>IFERROR(__xludf.DUMMYFUNCTION("""COMPUTED_VALUE"""),"Lane
Dallas,")</f>
        <v>Lane
Dallas,</v>
      </c>
      <c r="H408" s="22" t="str">
        <f>IFERROR(__xludf.DUMMYFUNCTION("""COMPUTED_VALUE"""),"TX")</f>
        <v>TX</v>
      </c>
      <c r="I408" s="22">
        <f>IFERROR(__xludf.DUMMYFUNCTION("""COMPUTED_VALUE"""),75230.0)</f>
        <v>75230</v>
      </c>
      <c r="J408" s="22"/>
      <c r="K408" s="22"/>
      <c r="L408" s="22"/>
      <c r="M408" s="22"/>
      <c r="N408" s="22"/>
      <c r="O408" s="22"/>
      <c r="P408" s="22"/>
      <c r="Q408" s="22"/>
      <c r="R408" s="22"/>
      <c r="S408" s="22"/>
      <c r="T408" s="22"/>
      <c r="U408" s="24" t="str">
        <f>IFERROR(__xludf.DUMMYFUNCTION("SPLIT(E408,""01234567890"")"),"Tracey
")</f>
        <v>Tracey
</v>
      </c>
      <c r="V408" s="24" t="str">
        <f>IFERROR(__xludf.DUMMYFUNCTION("SPLIT(D408,"","")"),"Nash-Huntley")</f>
        <v>Nash-Huntley</v>
      </c>
      <c r="W408" s="25" t="str">
        <f t="shared" si="1"/>
        <v>TRACEY
 NASH-HUNTLEY</v>
      </c>
      <c r="X408" s="25" t="s">
        <v>1138</v>
      </c>
      <c r="Y408" s="25">
        <v>75230.0</v>
      </c>
      <c r="Z408" s="25" t="str">
        <f>IFERROR(__xludf.DUMMYFUNCTION("SPLIT(C408,""
"")"),"Nash-Huntley, Tracey")</f>
        <v>Nash-Huntley, Tracey</v>
      </c>
      <c r="AA408" s="25" t="str">
        <f>IFERROR(__xludf.DUMMYFUNCTION("""COMPUTED_VALUE"""),"6607 Orchid Lane")</f>
        <v>6607 Orchid Lane</v>
      </c>
      <c r="AB408" s="25" t="str">
        <f>IFERROR(__xludf.DUMMYFUNCTION("""COMPUTED_VALUE"""),"Dallas, TX 75230")</f>
        <v>Dallas, TX 75230</v>
      </c>
      <c r="AC408" s="24" t="s">
        <v>1139</v>
      </c>
      <c r="AD408" s="25"/>
      <c r="AE408" s="25"/>
      <c r="AF408" s="25"/>
      <c r="AG408" s="22" t="s">
        <v>60</v>
      </c>
      <c r="AH408" s="54">
        <v>2437.0</v>
      </c>
      <c r="AI408" s="22" t="s">
        <v>61</v>
      </c>
      <c r="AJ408" s="27">
        <v>500.0</v>
      </c>
      <c r="AK408" s="31" t="s">
        <v>25</v>
      </c>
      <c r="AL408" s="28">
        <v>44712.0</v>
      </c>
      <c r="AM408" s="29">
        <v>44754.83237268519</v>
      </c>
      <c r="AN408" s="30">
        <v>2.0</v>
      </c>
      <c r="AO408" s="22"/>
      <c r="AP408" s="22"/>
      <c r="AQ408" s="22"/>
      <c r="AR408" s="22"/>
      <c r="AS408" s="22"/>
      <c r="AT408" s="70"/>
      <c r="AU408" s="22"/>
      <c r="AV408" s="57" t="str">
        <f>IFERROR(__xludf.DUMMYFUNCTION("""COMPUTED_VALUE"""),"Snoyer")</f>
        <v>Snoyer</v>
      </c>
      <c r="AW408" s="46">
        <f t="shared" si="7"/>
        <v>1000</v>
      </c>
      <c r="AX408" s="47">
        <f t="shared" ref="AX408:BQ408" si="1334">SUMIFS($AJ:$AJ,$V:$V,$AV408,$AK:$AK,AX$2)</f>
        <v>0</v>
      </c>
      <c r="AY408" s="48">
        <f t="shared" si="1334"/>
        <v>0</v>
      </c>
      <c r="AZ408" s="48">
        <f t="shared" si="1334"/>
        <v>0</v>
      </c>
      <c r="BA408" s="48">
        <f t="shared" si="1334"/>
        <v>1000</v>
      </c>
      <c r="BB408" s="48">
        <f t="shared" si="1334"/>
        <v>0</v>
      </c>
      <c r="BC408" s="48">
        <f t="shared" si="1334"/>
        <v>0</v>
      </c>
      <c r="BD408" s="48">
        <f t="shared" si="1334"/>
        <v>0</v>
      </c>
      <c r="BE408" s="48">
        <f t="shared" si="1334"/>
        <v>0</v>
      </c>
      <c r="BF408" s="48">
        <f t="shared" si="1334"/>
        <v>0</v>
      </c>
      <c r="BG408" s="48">
        <f t="shared" si="1334"/>
        <v>0</v>
      </c>
      <c r="BH408" s="48">
        <f t="shared" si="1334"/>
        <v>0</v>
      </c>
      <c r="BI408" s="48">
        <f t="shared" si="1334"/>
        <v>0</v>
      </c>
      <c r="BJ408" s="48">
        <f t="shared" si="1334"/>
        <v>0</v>
      </c>
      <c r="BK408" s="48">
        <f t="shared" si="1334"/>
        <v>0</v>
      </c>
      <c r="BL408" s="48">
        <f t="shared" si="1334"/>
        <v>0</v>
      </c>
      <c r="BM408" s="48">
        <f t="shared" si="1334"/>
        <v>0</v>
      </c>
      <c r="BN408" s="48">
        <f t="shared" si="1334"/>
        <v>0</v>
      </c>
      <c r="BO408" s="48">
        <f t="shared" si="1334"/>
        <v>0</v>
      </c>
      <c r="BP408" s="48">
        <f t="shared" si="1334"/>
        <v>0</v>
      </c>
      <c r="BQ408" s="48">
        <f t="shared" si="1334"/>
        <v>0</v>
      </c>
      <c r="BR408" s="36">
        <f t="shared" si="9"/>
        <v>0</v>
      </c>
      <c r="BS408" s="38">
        <f t="shared" si="10"/>
        <v>1</v>
      </c>
      <c r="BT408" s="49">
        <f t="shared" si="11"/>
        <v>0</v>
      </c>
      <c r="BU408" s="38">
        <f t="shared" si="12"/>
        <v>1000</v>
      </c>
      <c r="BV408" s="57" t="str">
        <f>IFERROR(__xludf.DUMMYFUNCTION("""COMPUTED_VALUE"""),"Snoyer")</f>
        <v>Snoyer</v>
      </c>
      <c r="BW408" s="46">
        <f t="shared" si="13"/>
        <v>1000</v>
      </c>
      <c r="BX408" s="47">
        <f t="shared" ref="BX408:CA408" si="1335">AX408-$BU408</f>
        <v>-1000</v>
      </c>
      <c r="BY408" s="47">
        <f t="shared" si="1335"/>
        <v>-1000</v>
      </c>
      <c r="BZ408" s="47">
        <f t="shared" si="1335"/>
        <v>-1000</v>
      </c>
      <c r="CA408" s="47">
        <f t="shared" si="1335"/>
        <v>0</v>
      </c>
      <c r="CB408" s="47">
        <f t="shared" si="15"/>
        <v>-10000</v>
      </c>
      <c r="CC408" s="47">
        <f t="shared" ref="CC408:CQ408" si="1336">BC408-$BU408</f>
        <v>-1000</v>
      </c>
      <c r="CD408" s="47">
        <f t="shared" si="1336"/>
        <v>-1000</v>
      </c>
      <c r="CE408" s="47">
        <f t="shared" si="1336"/>
        <v>-1000</v>
      </c>
      <c r="CF408" s="47">
        <f t="shared" si="1336"/>
        <v>-1000</v>
      </c>
      <c r="CG408" s="47">
        <f t="shared" si="1336"/>
        <v>-1000</v>
      </c>
      <c r="CH408" s="47">
        <f t="shared" si="1336"/>
        <v>-1000</v>
      </c>
      <c r="CI408" s="47">
        <f t="shared" si="1336"/>
        <v>-1000</v>
      </c>
      <c r="CJ408" s="47">
        <f t="shared" si="1336"/>
        <v>-1000</v>
      </c>
      <c r="CK408" s="47">
        <f t="shared" si="1336"/>
        <v>-1000</v>
      </c>
      <c r="CL408" s="47">
        <f t="shared" si="1336"/>
        <v>-1000</v>
      </c>
      <c r="CM408" s="47">
        <f t="shared" si="1336"/>
        <v>-1000</v>
      </c>
      <c r="CN408" s="47">
        <f t="shared" si="1336"/>
        <v>-1000</v>
      </c>
      <c r="CO408" s="47">
        <f t="shared" si="1336"/>
        <v>-1000</v>
      </c>
      <c r="CP408" s="47">
        <f t="shared" si="1336"/>
        <v>-1000</v>
      </c>
      <c r="CQ408" s="47">
        <f t="shared" si="1336"/>
        <v>-1000</v>
      </c>
      <c r="CR408" s="47"/>
      <c r="CS408" s="47"/>
      <c r="CT408" s="47"/>
      <c r="CU408" s="50" t="str">
        <f>IFERROR(__xludf.DUMMYFUNCTION("""COMPUTED_VALUE"""),"4707 Crooked Lane
Dallas, TX 75229          ")</f>
        <v>4707 Crooked Lane
Dallas, TX 75229          </v>
      </c>
      <c r="CV408" s="51">
        <f>IFERROR(__xludf.DUMMYFUNCTION("IF(REGEXMATCH(UPPER(CU408), ""TX""),0,1)"),0.0)</f>
        <v>0</v>
      </c>
      <c r="CW408" s="51">
        <f>IFERROR(__xludf.DUMMYFUNCTION("IF(REGEXMATCH(UPPER(CU408), ""DALLAS""),0,1)"),0.0)</f>
        <v>0</v>
      </c>
      <c r="CX408" s="51">
        <f t="shared" si="17"/>
        <v>0</v>
      </c>
      <c r="CY408" s="51">
        <f t="shared" si="18"/>
        <v>0</v>
      </c>
      <c r="CZ408" s="52" t="str">
        <f t="shared" si="19"/>
        <v/>
      </c>
      <c r="DA408" s="58"/>
      <c r="DB408" s="52"/>
      <c r="DC408" s="52"/>
      <c r="DD408" s="52"/>
      <c r="DE408" s="52"/>
      <c r="DF408" s="52"/>
      <c r="DG408" s="52"/>
      <c r="DH408" s="52"/>
      <c r="DI408" s="52"/>
      <c r="DJ408" s="52"/>
      <c r="DK408" s="52"/>
      <c r="DL408" s="52"/>
      <c r="DM408" s="52"/>
      <c r="DN408" s="52"/>
      <c r="DO408" s="52"/>
      <c r="DP408" s="52"/>
      <c r="DQ408" s="52"/>
      <c r="DR408" s="52"/>
      <c r="DS408" s="52"/>
      <c r="DT408" s="52"/>
      <c r="DU408" s="52"/>
      <c r="DV408" s="52"/>
      <c r="DW408" s="52"/>
    </row>
    <row r="409">
      <c r="A409" s="41" t="s">
        <v>64</v>
      </c>
      <c r="B409" s="41" t="s">
        <v>56</v>
      </c>
      <c r="C409" s="31" t="s">
        <v>1140</v>
      </c>
      <c r="D409" s="25" t="str">
        <f>IFERROR(__xludf.DUMMYFUNCTION("SPLIT(C409,"" "")"),"Parobek,")</f>
        <v>Parobek,</v>
      </c>
      <c r="E409" s="40" t="str">
        <f>IFERROR(__xludf.DUMMYFUNCTION("""COMPUTED_VALUE"""),"Jim
7233")</f>
        <v>Jim
7233</v>
      </c>
      <c r="F409" s="40" t="str">
        <f>IFERROR(__xludf.DUMMYFUNCTION("""COMPUTED_VALUE"""),"Brennans")</f>
        <v>Brennans</v>
      </c>
      <c r="G409" s="40" t="str">
        <f>IFERROR(__xludf.DUMMYFUNCTION("""COMPUTED_VALUE"""),"Dr
Dallas,")</f>
        <v>Dr
Dallas,</v>
      </c>
      <c r="H409" s="40" t="str">
        <f>IFERROR(__xludf.DUMMYFUNCTION("""COMPUTED_VALUE"""),"TX")</f>
        <v>TX</v>
      </c>
      <c r="I409" s="40">
        <f>IFERROR(__xludf.DUMMYFUNCTION("""COMPUTED_VALUE"""),75214.0)</f>
        <v>75214</v>
      </c>
      <c r="J409" s="40"/>
      <c r="K409" s="40"/>
      <c r="L409" s="40"/>
      <c r="M409" s="40"/>
      <c r="N409" s="40"/>
      <c r="O409" s="40"/>
      <c r="P409" s="40"/>
      <c r="Q409" s="40"/>
      <c r="R409" s="40"/>
      <c r="S409" s="40"/>
      <c r="T409" s="40"/>
      <c r="U409" s="24" t="str">
        <f>IFERROR(__xludf.DUMMYFUNCTION("SPLIT(E409,""01234567890"")"),"Jim
")</f>
        <v>Jim
</v>
      </c>
      <c r="V409" s="24" t="str">
        <f>IFERROR(__xludf.DUMMYFUNCTION("SPLIT(D409,"","")"),"Parobek")</f>
        <v>Parobek</v>
      </c>
      <c r="W409" s="25" t="str">
        <f t="shared" si="1"/>
        <v>JIM
 PAROBEK</v>
      </c>
      <c r="X409" s="25" t="s">
        <v>1141</v>
      </c>
      <c r="Y409" s="25">
        <v>75214.0</v>
      </c>
      <c r="Z409" s="25" t="str">
        <f>IFERROR(__xludf.DUMMYFUNCTION("SPLIT(C409,""
"")"),"Parobek, Jim")</f>
        <v>Parobek, Jim</v>
      </c>
      <c r="AA409" s="25" t="str">
        <f>IFERROR(__xludf.DUMMYFUNCTION("""COMPUTED_VALUE"""),"7233 Brennans Dr")</f>
        <v>7233 Brennans Dr</v>
      </c>
      <c r="AB409" s="25" t="str">
        <f>IFERROR(__xludf.DUMMYFUNCTION("""COMPUTED_VALUE"""),"Dallas, TX 75214")</f>
        <v>Dallas, TX 75214</v>
      </c>
      <c r="AC409" s="24" t="s">
        <v>1142</v>
      </c>
      <c r="AD409" s="25"/>
      <c r="AE409" s="25"/>
      <c r="AF409" s="25"/>
      <c r="AG409" s="40" t="s">
        <v>60</v>
      </c>
      <c r="AH409" s="42">
        <v>2437.0</v>
      </c>
      <c r="AI409" s="40" t="s">
        <v>61</v>
      </c>
      <c r="AJ409" s="27">
        <v>250.0</v>
      </c>
      <c r="AK409" s="31" t="s">
        <v>25</v>
      </c>
      <c r="AL409" s="43">
        <v>44712.0</v>
      </c>
      <c r="AM409" s="44">
        <v>44754.83237268519</v>
      </c>
      <c r="AN409" s="30">
        <v>2.0</v>
      </c>
      <c r="AO409" s="40"/>
      <c r="AP409" s="40"/>
      <c r="AQ409" s="40"/>
      <c r="AR409" s="40"/>
      <c r="AS409" s="40"/>
      <c r="AT409" s="47"/>
      <c r="AU409" s="40"/>
      <c r="AV409" s="46" t="str">
        <f>IFERROR(__xludf.DUMMYFUNCTION("""COMPUTED_VALUE"""),"Casey")</f>
        <v>Casey</v>
      </c>
      <c r="AW409" s="46">
        <f t="shared" si="7"/>
        <v>151.99</v>
      </c>
      <c r="AX409" s="47">
        <f t="shared" ref="AX409:BQ409" si="1337">SUMIFS($AJ:$AJ,$V:$V,$AV409,$AK:$AK,AX$2)</f>
        <v>0</v>
      </c>
      <c r="AY409" s="48">
        <f t="shared" si="1337"/>
        <v>0</v>
      </c>
      <c r="AZ409" s="48">
        <f t="shared" si="1337"/>
        <v>0</v>
      </c>
      <c r="BA409" s="48">
        <f t="shared" si="1337"/>
        <v>100</v>
      </c>
      <c r="BB409" s="48">
        <f t="shared" si="1337"/>
        <v>0</v>
      </c>
      <c r="BC409" s="48">
        <f t="shared" si="1337"/>
        <v>0</v>
      </c>
      <c r="BD409" s="48">
        <f t="shared" si="1337"/>
        <v>0</v>
      </c>
      <c r="BE409" s="48">
        <f t="shared" si="1337"/>
        <v>0</v>
      </c>
      <c r="BF409" s="48">
        <f t="shared" si="1337"/>
        <v>0</v>
      </c>
      <c r="BG409" s="48">
        <f t="shared" si="1337"/>
        <v>0</v>
      </c>
      <c r="BH409" s="48">
        <f t="shared" si="1337"/>
        <v>0</v>
      </c>
      <c r="BI409" s="48">
        <f t="shared" si="1337"/>
        <v>0</v>
      </c>
      <c r="BJ409" s="48">
        <f t="shared" si="1337"/>
        <v>0</v>
      </c>
      <c r="BK409" s="48">
        <f t="shared" si="1337"/>
        <v>51.99</v>
      </c>
      <c r="BL409" s="48">
        <f t="shared" si="1337"/>
        <v>0</v>
      </c>
      <c r="BM409" s="48">
        <f t="shared" si="1337"/>
        <v>0</v>
      </c>
      <c r="BN409" s="48">
        <f t="shared" si="1337"/>
        <v>0</v>
      </c>
      <c r="BO409" s="48">
        <f t="shared" si="1337"/>
        <v>0</v>
      </c>
      <c r="BP409" s="48">
        <f t="shared" si="1337"/>
        <v>0</v>
      </c>
      <c r="BQ409" s="48">
        <f t="shared" si="1337"/>
        <v>0</v>
      </c>
      <c r="BR409" s="36">
        <f t="shared" si="9"/>
        <v>0</v>
      </c>
      <c r="BS409" s="38">
        <f t="shared" si="10"/>
        <v>1</v>
      </c>
      <c r="BT409" s="49">
        <f t="shared" si="11"/>
        <v>0</v>
      </c>
      <c r="BU409" s="38">
        <f t="shared" si="12"/>
        <v>1000</v>
      </c>
      <c r="BV409" s="46" t="str">
        <f>IFERROR(__xludf.DUMMYFUNCTION("""COMPUTED_VALUE"""),"Casey")</f>
        <v>Casey</v>
      </c>
      <c r="BW409" s="46">
        <f t="shared" si="13"/>
        <v>151.99</v>
      </c>
      <c r="BX409" s="47">
        <f t="shared" ref="BX409:CA409" si="1338">AX409-$BU409</f>
        <v>-1000</v>
      </c>
      <c r="BY409" s="47">
        <f t="shared" si="1338"/>
        <v>-1000</v>
      </c>
      <c r="BZ409" s="47">
        <f t="shared" si="1338"/>
        <v>-1000</v>
      </c>
      <c r="CA409" s="47">
        <f t="shared" si="1338"/>
        <v>-900</v>
      </c>
      <c r="CB409" s="47">
        <f t="shared" si="15"/>
        <v>-10000</v>
      </c>
      <c r="CC409" s="47">
        <f t="shared" ref="CC409:CQ409" si="1339">BC409-$BU409</f>
        <v>-1000</v>
      </c>
      <c r="CD409" s="47">
        <f t="shared" si="1339"/>
        <v>-1000</v>
      </c>
      <c r="CE409" s="47">
        <f t="shared" si="1339"/>
        <v>-1000</v>
      </c>
      <c r="CF409" s="47">
        <f t="shared" si="1339"/>
        <v>-1000</v>
      </c>
      <c r="CG409" s="47">
        <f t="shared" si="1339"/>
        <v>-1000</v>
      </c>
      <c r="CH409" s="47">
        <f t="shared" si="1339"/>
        <v>-1000</v>
      </c>
      <c r="CI409" s="47">
        <f t="shared" si="1339"/>
        <v>-1000</v>
      </c>
      <c r="CJ409" s="47">
        <f t="shared" si="1339"/>
        <v>-1000</v>
      </c>
      <c r="CK409" s="47">
        <f t="shared" si="1339"/>
        <v>-948.01</v>
      </c>
      <c r="CL409" s="47">
        <f t="shared" si="1339"/>
        <v>-1000</v>
      </c>
      <c r="CM409" s="47">
        <f t="shared" si="1339"/>
        <v>-1000</v>
      </c>
      <c r="CN409" s="47">
        <f t="shared" si="1339"/>
        <v>-1000</v>
      </c>
      <c r="CO409" s="47">
        <f t="shared" si="1339"/>
        <v>-1000</v>
      </c>
      <c r="CP409" s="47">
        <f t="shared" si="1339"/>
        <v>-1000</v>
      </c>
      <c r="CQ409" s="47">
        <f t="shared" si="1339"/>
        <v>-1000</v>
      </c>
      <c r="CR409" s="47"/>
      <c r="CS409" s="47"/>
      <c r="CT409" s="47"/>
      <c r="CU409" s="50" t="str">
        <f>IFERROR(__xludf.DUMMYFUNCTION("""COMPUTED_VALUE"""),"/
6152 Summer Creek Circle
Dallas, TX 75231         ")</f>
        <v>/
6152 Summer Creek Circle
Dallas, TX 75231         </v>
      </c>
      <c r="CV409" s="51">
        <f>IFERROR(__xludf.DUMMYFUNCTION("IF(REGEXMATCH(UPPER(CU409), ""TX""),0,1)"),0.0)</f>
        <v>0</v>
      </c>
      <c r="CW409" s="51">
        <f>IFERROR(__xludf.DUMMYFUNCTION("IF(REGEXMATCH(UPPER(CU409), ""DALLAS""),0,1)"),0.0)</f>
        <v>0</v>
      </c>
      <c r="CX409" s="51">
        <f t="shared" si="17"/>
        <v>0</v>
      </c>
      <c r="CY409" s="51">
        <f t="shared" si="18"/>
        <v>0</v>
      </c>
      <c r="CZ409" s="52" t="str">
        <f t="shared" si="19"/>
        <v/>
      </c>
      <c r="DA409" s="58"/>
      <c r="DB409" s="52"/>
      <c r="DC409" s="52"/>
      <c r="DD409" s="52"/>
      <c r="DE409" s="52"/>
      <c r="DF409" s="52"/>
      <c r="DG409" s="52"/>
      <c r="DH409" s="52"/>
      <c r="DI409" s="52"/>
      <c r="DJ409" s="52"/>
      <c r="DK409" s="52"/>
      <c r="DL409" s="52"/>
      <c r="DM409" s="52"/>
      <c r="DN409" s="52"/>
      <c r="DO409" s="52"/>
      <c r="DP409" s="52"/>
      <c r="DQ409" s="52"/>
      <c r="DR409" s="52"/>
      <c r="DS409" s="52"/>
      <c r="DT409" s="52"/>
      <c r="DU409" s="52"/>
      <c r="DV409" s="52"/>
      <c r="DW409" s="52"/>
    </row>
    <row r="410">
      <c r="A410" s="22" t="s">
        <v>55</v>
      </c>
      <c r="B410" s="23" t="s">
        <v>56</v>
      </c>
      <c r="C410" s="31" t="s">
        <v>1143</v>
      </c>
      <c r="D410" s="25" t="str">
        <f>IFERROR(__xludf.DUMMYFUNCTION("SPLIT(C410,"" "")"),"Margolin,")</f>
        <v>Margolin,</v>
      </c>
      <c r="E410" s="22" t="str">
        <f>IFERROR(__xludf.DUMMYFUNCTION("""COMPUTED_VALUE"""),"Ann
2828")</f>
        <v>Ann
2828</v>
      </c>
      <c r="F410" s="22" t="str">
        <f>IFERROR(__xludf.DUMMYFUNCTION("""COMPUTED_VALUE"""),"Hood")</f>
        <v>Hood</v>
      </c>
      <c r="G410" s="22" t="str">
        <f>IFERROR(__xludf.DUMMYFUNCTION("""COMPUTED_VALUE"""),"Street
Dallas,")</f>
        <v>Street
Dallas,</v>
      </c>
      <c r="H410" s="22" t="str">
        <f>IFERROR(__xludf.DUMMYFUNCTION("""COMPUTED_VALUE"""),"TX")</f>
        <v>TX</v>
      </c>
      <c r="I410" s="22">
        <f>IFERROR(__xludf.DUMMYFUNCTION("""COMPUTED_VALUE"""),75219.0)</f>
        <v>75219</v>
      </c>
      <c r="J410" s="22"/>
      <c r="K410" s="22"/>
      <c r="L410" s="22"/>
      <c r="M410" s="22"/>
      <c r="N410" s="22"/>
      <c r="O410" s="22"/>
      <c r="P410" s="22"/>
      <c r="Q410" s="22"/>
      <c r="R410" s="22"/>
      <c r="S410" s="22"/>
      <c r="T410" s="22"/>
      <c r="U410" s="24" t="str">
        <f>IFERROR(__xludf.DUMMYFUNCTION("SPLIT(E410,""01234567890"")"),"Ann
")</f>
        <v>Ann
</v>
      </c>
      <c r="V410" s="24" t="str">
        <f>IFERROR(__xludf.DUMMYFUNCTION("SPLIT(D410,"","")"),"Margolin")</f>
        <v>Margolin</v>
      </c>
      <c r="W410" s="25" t="str">
        <f t="shared" si="1"/>
        <v>ANN
 MARGOLIN</v>
      </c>
      <c r="X410" s="25" t="s">
        <v>1144</v>
      </c>
      <c r="Y410" s="25">
        <v>75219.0</v>
      </c>
      <c r="Z410" s="25" t="str">
        <f>IFERROR(__xludf.DUMMYFUNCTION("SPLIT(C410,""
"")"),"Margolin, Ann")</f>
        <v>Margolin, Ann</v>
      </c>
      <c r="AA410" s="25" t="str">
        <f>IFERROR(__xludf.DUMMYFUNCTION("""COMPUTED_VALUE"""),"2828 Hood Street")</f>
        <v>2828 Hood Street</v>
      </c>
      <c r="AB410" s="25" t="str">
        <f>IFERROR(__xludf.DUMMYFUNCTION("""COMPUTED_VALUE"""),"Dallas, TX 75219")</f>
        <v>Dallas, TX 75219</v>
      </c>
      <c r="AC410" s="24" t="s">
        <v>1145</v>
      </c>
      <c r="AD410" s="25"/>
      <c r="AE410" s="25"/>
      <c r="AF410" s="25"/>
      <c r="AG410" s="22" t="s">
        <v>60</v>
      </c>
      <c r="AH410" s="54">
        <v>2437.0</v>
      </c>
      <c r="AI410" s="22" t="s">
        <v>61</v>
      </c>
      <c r="AJ410" s="27">
        <v>1000.0</v>
      </c>
      <c r="AK410" s="31" t="s">
        <v>25</v>
      </c>
      <c r="AL410" s="28">
        <v>44709.0</v>
      </c>
      <c r="AM410" s="29">
        <v>44754.83237268519</v>
      </c>
      <c r="AN410" s="30">
        <v>2.0</v>
      </c>
      <c r="AO410" s="22"/>
      <c r="AP410" s="22"/>
      <c r="AQ410" s="22"/>
      <c r="AR410" s="22"/>
      <c r="AS410" s="22"/>
      <c r="AT410" s="70"/>
      <c r="AU410" s="22"/>
      <c r="AV410" s="57" t="str">
        <f>IFERROR(__xludf.DUMMYFUNCTION("""COMPUTED_VALUE"""),"Crone")</f>
        <v>Crone</v>
      </c>
      <c r="AW410" s="46">
        <f t="shared" si="7"/>
        <v>1000</v>
      </c>
      <c r="AX410" s="47">
        <f t="shared" ref="AX410:BQ410" si="1340">SUMIFS($AJ:$AJ,$V:$V,$AV410,$AK:$AK,AX$2)</f>
        <v>0</v>
      </c>
      <c r="AY410" s="48">
        <f t="shared" si="1340"/>
        <v>0</v>
      </c>
      <c r="AZ410" s="48">
        <f t="shared" si="1340"/>
        <v>0</v>
      </c>
      <c r="BA410" s="48">
        <f t="shared" si="1340"/>
        <v>1000</v>
      </c>
      <c r="BB410" s="48">
        <f t="shared" si="1340"/>
        <v>0</v>
      </c>
      <c r="BC410" s="48">
        <f t="shared" si="1340"/>
        <v>0</v>
      </c>
      <c r="BD410" s="48">
        <f t="shared" si="1340"/>
        <v>0</v>
      </c>
      <c r="BE410" s="48">
        <f t="shared" si="1340"/>
        <v>0</v>
      </c>
      <c r="BF410" s="48">
        <f t="shared" si="1340"/>
        <v>0</v>
      </c>
      <c r="BG410" s="48">
        <f t="shared" si="1340"/>
        <v>0</v>
      </c>
      <c r="BH410" s="48">
        <f t="shared" si="1340"/>
        <v>0</v>
      </c>
      <c r="BI410" s="48">
        <f t="shared" si="1340"/>
        <v>0</v>
      </c>
      <c r="BJ410" s="48">
        <f t="shared" si="1340"/>
        <v>0</v>
      </c>
      <c r="BK410" s="48">
        <f t="shared" si="1340"/>
        <v>0</v>
      </c>
      <c r="BL410" s="48">
        <f t="shared" si="1340"/>
        <v>0</v>
      </c>
      <c r="BM410" s="48">
        <f t="shared" si="1340"/>
        <v>0</v>
      </c>
      <c r="BN410" s="48">
        <f t="shared" si="1340"/>
        <v>0</v>
      </c>
      <c r="BO410" s="48">
        <f t="shared" si="1340"/>
        <v>0</v>
      </c>
      <c r="BP410" s="48">
        <f t="shared" si="1340"/>
        <v>0</v>
      </c>
      <c r="BQ410" s="48">
        <f t="shared" si="1340"/>
        <v>0</v>
      </c>
      <c r="BR410" s="36">
        <f t="shared" si="9"/>
        <v>0</v>
      </c>
      <c r="BS410" s="38">
        <f t="shared" si="10"/>
        <v>1</v>
      </c>
      <c r="BT410" s="49">
        <f t="shared" si="11"/>
        <v>0</v>
      </c>
      <c r="BU410" s="38">
        <f t="shared" si="12"/>
        <v>1000</v>
      </c>
      <c r="BV410" s="57" t="str">
        <f>IFERROR(__xludf.DUMMYFUNCTION("""COMPUTED_VALUE"""),"Crone")</f>
        <v>Crone</v>
      </c>
      <c r="BW410" s="46">
        <f t="shared" si="13"/>
        <v>1000</v>
      </c>
      <c r="BX410" s="47">
        <f t="shared" ref="BX410:CA410" si="1341">AX410-$BU410</f>
        <v>-1000</v>
      </c>
      <c r="BY410" s="47">
        <f t="shared" si="1341"/>
        <v>-1000</v>
      </c>
      <c r="BZ410" s="47">
        <f t="shared" si="1341"/>
        <v>-1000</v>
      </c>
      <c r="CA410" s="47">
        <f t="shared" si="1341"/>
        <v>0</v>
      </c>
      <c r="CB410" s="47">
        <f t="shared" si="15"/>
        <v>-10000</v>
      </c>
      <c r="CC410" s="47">
        <f t="shared" ref="CC410:CQ410" si="1342">BC410-$BU410</f>
        <v>-1000</v>
      </c>
      <c r="CD410" s="47">
        <f t="shared" si="1342"/>
        <v>-1000</v>
      </c>
      <c r="CE410" s="47">
        <f t="shared" si="1342"/>
        <v>-1000</v>
      </c>
      <c r="CF410" s="47">
        <f t="shared" si="1342"/>
        <v>-1000</v>
      </c>
      <c r="CG410" s="47">
        <f t="shared" si="1342"/>
        <v>-1000</v>
      </c>
      <c r="CH410" s="47">
        <f t="shared" si="1342"/>
        <v>-1000</v>
      </c>
      <c r="CI410" s="47">
        <f t="shared" si="1342"/>
        <v>-1000</v>
      </c>
      <c r="CJ410" s="47">
        <f t="shared" si="1342"/>
        <v>-1000</v>
      </c>
      <c r="CK410" s="47">
        <f t="shared" si="1342"/>
        <v>-1000</v>
      </c>
      <c r="CL410" s="47">
        <f t="shared" si="1342"/>
        <v>-1000</v>
      </c>
      <c r="CM410" s="47">
        <f t="shared" si="1342"/>
        <v>-1000</v>
      </c>
      <c r="CN410" s="47">
        <f t="shared" si="1342"/>
        <v>-1000</v>
      </c>
      <c r="CO410" s="47">
        <f t="shared" si="1342"/>
        <v>-1000</v>
      </c>
      <c r="CP410" s="47">
        <f t="shared" si="1342"/>
        <v>-1000</v>
      </c>
      <c r="CQ410" s="47">
        <f t="shared" si="1342"/>
        <v>-1000</v>
      </c>
      <c r="CR410" s="47"/>
      <c r="CS410" s="47"/>
      <c r="CT410" s="47"/>
      <c r="CU410" s="50" t="str">
        <f>IFERROR(__xludf.DUMMYFUNCTION("""COMPUTED_VALUE"""),"3320 Walchard Court
Dallas, TX 75229          ")</f>
        <v>3320 Walchard Court
Dallas, TX 75229          </v>
      </c>
      <c r="CV410" s="51">
        <f>IFERROR(__xludf.DUMMYFUNCTION("IF(REGEXMATCH(UPPER(CU410), ""TX""),0,1)"),0.0)</f>
        <v>0</v>
      </c>
      <c r="CW410" s="51">
        <f>IFERROR(__xludf.DUMMYFUNCTION("IF(REGEXMATCH(UPPER(CU410), ""DALLAS""),0,1)"),0.0)</f>
        <v>0</v>
      </c>
      <c r="CX410" s="51">
        <f t="shared" si="17"/>
        <v>0</v>
      </c>
      <c r="CY410" s="51">
        <f t="shared" si="18"/>
        <v>0</v>
      </c>
      <c r="CZ410" s="52" t="str">
        <f t="shared" si="19"/>
        <v/>
      </c>
      <c r="DA410" s="58"/>
      <c r="DB410" s="52"/>
      <c r="DC410" s="52"/>
      <c r="DD410" s="52"/>
      <c r="DE410" s="52"/>
      <c r="DF410" s="52"/>
      <c r="DG410" s="52"/>
      <c r="DH410" s="52"/>
      <c r="DI410" s="52"/>
      <c r="DJ410" s="52"/>
      <c r="DK410" s="52"/>
      <c r="DL410" s="52"/>
      <c r="DM410" s="52"/>
      <c r="DN410" s="52"/>
      <c r="DO410" s="52"/>
      <c r="DP410" s="52"/>
      <c r="DQ410" s="52"/>
      <c r="DR410" s="52"/>
      <c r="DS410" s="52"/>
      <c r="DT410" s="52"/>
      <c r="DU410" s="52"/>
      <c r="DV410" s="52"/>
      <c r="DW410" s="52"/>
    </row>
    <row r="411">
      <c r="A411" s="41" t="s">
        <v>64</v>
      </c>
      <c r="B411" s="41" t="s">
        <v>56</v>
      </c>
      <c r="C411" s="31" t="s">
        <v>430</v>
      </c>
      <c r="D411" s="25" t="str">
        <f>IFERROR(__xludf.DUMMYFUNCTION("SPLIT(C411,"" "")"),"Billingsley,")</f>
        <v>Billingsley,</v>
      </c>
      <c r="E411" s="40" t="str">
        <f>IFERROR(__xludf.DUMMYFUNCTION("""COMPUTED_VALUE"""),"Lucy
1722")</f>
        <v>Lucy
1722</v>
      </c>
      <c r="F411" s="40" t="str">
        <f>IFERROR(__xludf.DUMMYFUNCTION("""COMPUTED_VALUE"""),"Routh")</f>
        <v>Routh</v>
      </c>
      <c r="G411" s="40" t="str">
        <f>IFERROR(__xludf.DUMMYFUNCTION("""COMPUTED_VALUE"""),"Street
Dallas,")</f>
        <v>Street
Dallas,</v>
      </c>
      <c r="H411" s="40" t="str">
        <f>IFERROR(__xludf.DUMMYFUNCTION("""COMPUTED_VALUE"""),"TX")</f>
        <v>TX</v>
      </c>
      <c r="I411" s="40">
        <f>IFERROR(__xludf.DUMMYFUNCTION("""COMPUTED_VALUE"""),75201.0)</f>
        <v>75201</v>
      </c>
      <c r="J411" s="40"/>
      <c r="K411" s="40"/>
      <c r="L411" s="40"/>
      <c r="M411" s="40"/>
      <c r="N411" s="40"/>
      <c r="O411" s="40"/>
      <c r="P411" s="40"/>
      <c r="Q411" s="40"/>
      <c r="R411" s="40"/>
      <c r="S411" s="40"/>
      <c r="T411" s="40"/>
      <c r="U411" s="24" t="str">
        <f>IFERROR(__xludf.DUMMYFUNCTION("SPLIT(E411,""01234567890"")"),"Lucy
")</f>
        <v>Lucy
</v>
      </c>
      <c r="V411" s="24" t="str">
        <f>IFERROR(__xludf.DUMMYFUNCTION("SPLIT(D411,"","")"),"Billingsley")</f>
        <v>Billingsley</v>
      </c>
      <c r="W411" s="25" t="str">
        <f t="shared" si="1"/>
        <v>LUCY
 BILLINGSLEY</v>
      </c>
      <c r="X411" s="25" t="s">
        <v>431</v>
      </c>
      <c r="Y411" s="25">
        <v>75201.0</v>
      </c>
      <c r="Z411" s="25" t="str">
        <f>IFERROR(__xludf.DUMMYFUNCTION("SPLIT(C411,""
"")"),"Billingsley, Lucy")</f>
        <v>Billingsley, Lucy</v>
      </c>
      <c r="AA411" s="25" t="str">
        <f>IFERROR(__xludf.DUMMYFUNCTION("""COMPUTED_VALUE"""),"1722 Routh Street")</f>
        <v>1722 Routh Street</v>
      </c>
      <c r="AB411" s="25" t="str">
        <f>IFERROR(__xludf.DUMMYFUNCTION("""COMPUTED_VALUE"""),"Dallas, TX 75201")</f>
        <v>Dallas, TX 75201</v>
      </c>
      <c r="AC411" s="24" t="s">
        <v>425</v>
      </c>
      <c r="AD411" s="25"/>
      <c r="AE411" s="25"/>
      <c r="AF411" s="25"/>
      <c r="AG411" s="40" t="s">
        <v>60</v>
      </c>
      <c r="AH411" s="42">
        <v>2437.0</v>
      </c>
      <c r="AI411" s="40" t="s">
        <v>61</v>
      </c>
      <c r="AJ411" s="27">
        <v>1000.0</v>
      </c>
      <c r="AK411" s="31" t="s">
        <v>25</v>
      </c>
      <c r="AL411" s="43">
        <v>44701.0</v>
      </c>
      <c r="AM411" s="44">
        <v>44754.83237268519</v>
      </c>
      <c r="AN411" s="30">
        <v>2.0</v>
      </c>
      <c r="AO411" s="40"/>
      <c r="AP411" s="40"/>
      <c r="AQ411" s="40"/>
      <c r="AR411" s="40"/>
      <c r="AS411" s="40"/>
      <c r="AT411" s="47"/>
      <c r="AU411" s="40"/>
      <c r="AV411" s="46" t="str">
        <f>IFERROR(__xludf.DUMMYFUNCTION("""COMPUTED_VALUE"""),"Garcia")</f>
        <v>Garcia</v>
      </c>
      <c r="AW411" s="46">
        <f t="shared" si="7"/>
        <v>300</v>
      </c>
      <c r="AX411" s="47">
        <f t="shared" ref="AX411:BQ411" si="1343">SUMIFS($AJ:$AJ,$V:$V,$AV411,$AK:$AK,AX$2)</f>
        <v>0</v>
      </c>
      <c r="AY411" s="48">
        <f t="shared" si="1343"/>
        <v>0</v>
      </c>
      <c r="AZ411" s="48">
        <f t="shared" si="1343"/>
        <v>0</v>
      </c>
      <c r="BA411" s="48">
        <f t="shared" si="1343"/>
        <v>100</v>
      </c>
      <c r="BB411" s="48">
        <f t="shared" si="1343"/>
        <v>150</v>
      </c>
      <c r="BC411" s="48">
        <f t="shared" si="1343"/>
        <v>0</v>
      </c>
      <c r="BD411" s="48">
        <f t="shared" si="1343"/>
        <v>0</v>
      </c>
      <c r="BE411" s="48">
        <f t="shared" si="1343"/>
        <v>0</v>
      </c>
      <c r="BF411" s="48">
        <f t="shared" si="1343"/>
        <v>0</v>
      </c>
      <c r="BG411" s="48">
        <f t="shared" si="1343"/>
        <v>50</v>
      </c>
      <c r="BH411" s="48">
        <f t="shared" si="1343"/>
        <v>0</v>
      </c>
      <c r="BI411" s="48">
        <f t="shared" si="1343"/>
        <v>0</v>
      </c>
      <c r="BJ411" s="48">
        <f t="shared" si="1343"/>
        <v>0</v>
      </c>
      <c r="BK411" s="48">
        <f t="shared" si="1343"/>
        <v>0</v>
      </c>
      <c r="BL411" s="48">
        <f t="shared" si="1343"/>
        <v>0</v>
      </c>
      <c r="BM411" s="48">
        <f t="shared" si="1343"/>
        <v>0</v>
      </c>
      <c r="BN411" s="48">
        <f t="shared" si="1343"/>
        <v>0</v>
      </c>
      <c r="BO411" s="48">
        <f t="shared" si="1343"/>
        <v>0</v>
      </c>
      <c r="BP411" s="48">
        <f t="shared" si="1343"/>
        <v>0</v>
      </c>
      <c r="BQ411" s="48">
        <f t="shared" si="1343"/>
        <v>0</v>
      </c>
      <c r="BR411" s="36">
        <f t="shared" si="9"/>
        <v>1</v>
      </c>
      <c r="BS411" s="38">
        <f t="shared" si="10"/>
        <v>3</v>
      </c>
      <c r="BT411" s="49">
        <f t="shared" si="11"/>
        <v>0</v>
      </c>
      <c r="BU411" s="38">
        <f t="shared" si="12"/>
        <v>3000</v>
      </c>
      <c r="BV411" s="46" t="str">
        <f>IFERROR(__xludf.DUMMYFUNCTION("""COMPUTED_VALUE"""),"Garcia")</f>
        <v>Garcia</v>
      </c>
      <c r="BW411" s="46">
        <f t="shared" si="13"/>
        <v>300</v>
      </c>
      <c r="BX411" s="47">
        <f t="shared" ref="BX411:CA411" si="1344">AX411-$BU411</f>
        <v>-3000</v>
      </c>
      <c r="BY411" s="47">
        <f t="shared" si="1344"/>
        <v>-3000</v>
      </c>
      <c r="BZ411" s="47">
        <f t="shared" si="1344"/>
        <v>-3000</v>
      </c>
      <c r="CA411" s="47">
        <f t="shared" si="1344"/>
        <v>-2900</v>
      </c>
      <c r="CB411" s="47">
        <f t="shared" si="15"/>
        <v>-29850</v>
      </c>
      <c r="CC411" s="47">
        <f t="shared" ref="CC411:CQ411" si="1345">BC411-$BU411</f>
        <v>-3000</v>
      </c>
      <c r="CD411" s="47">
        <f t="shared" si="1345"/>
        <v>-3000</v>
      </c>
      <c r="CE411" s="47">
        <f t="shared" si="1345"/>
        <v>-3000</v>
      </c>
      <c r="CF411" s="47">
        <f t="shared" si="1345"/>
        <v>-3000</v>
      </c>
      <c r="CG411" s="47">
        <f t="shared" si="1345"/>
        <v>-2950</v>
      </c>
      <c r="CH411" s="47">
        <f t="shared" si="1345"/>
        <v>-3000</v>
      </c>
      <c r="CI411" s="47">
        <f t="shared" si="1345"/>
        <v>-3000</v>
      </c>
      <c r="CJ411" s="47">
        <f t="shared" si="1345"/>
        <v>-3000</v>
      </c>
      <c r="CK411" s="47">
        <f t="shared" si="1345"/>
        <v>-3000</v>
      </c>
      <c r="CL411" s="47">
        <f t="shared" si="1345"/>
        <v>-3000</v>
      </c>
      <c r="CM411" s="47">
        <f t="shared" si="1345"/>
        <v>-3000</v>
      </c>
      <c r="CN411" s="47">
        <f t="shared" si="1345"/>
        <v>-3000</v>
      </c>
      <c r="CO411" s="47">
        <f t="shared" si="1345"/>
        <v>-3000</v>
      </c>
      <c r="CP411" s="47">
        <f t="shared" si="1345"/>
        <v>-3000</v>
      </c>
      <c r="CQ411" s="47">
        <f t="shared" si="1345"/>
        <v>-3000</v>
      </c>
      <c r="CR411" s="47"/>
      <c r="CS411" s="47"/>
      <c r="CT411" s="47"/>
      <c r="CU411" s="50" t="str">
        <f>IFERROR(__xludf.DUMMYFUNCTION("""COMPUTED_VALUE"""),"1455 Oates Drive
Dallas, TX 75228          ")</f>
        <v>1455 Oates Drive
Dallas, TX 75228          </v>
      </c>
      <c r="CV411" s="51">
        <f>IFERROR(__xludf.DUMMYFUNCTION("IF(REGEXMATCH(UPPER(CU411), ""TX""),0,1)"),0.0)</f>
        <v>0</v>
      </c>
      <c r="CW411" s="51">
        <f>IFERROR(__xludf.DUMMYFUNCTION("IF(REGEXMATCH(UPPER(CU411), ""DALLAS""),0,1)"),0.0)</f>
        <v>0</v>
      </c>
      <c r="CX411" s="51">
        <f t="shared" si="17"/>
        <v>0</v>
      </c>
      <c r="CY411" s="51">
        <f t="shared" si="18"/>
        <v>0</v>
      </c>
      <c r="CZ411" s="52" t="str">
        <f t="shared" si="19"/>
        <v/>
      </c>
      <c r="DA411" s="58"/>
      <c r="DB411" s="52"/>
      <c r="DC411" s="52"/>
      <c r="DD411" s="52"/>
      <c r="DE411" s="52"/>
      <c r="DF411" s="52"/>
      <c r="DG411" s="52"/>
      <c r="DH411" s="52"/>
      <c r="DI411" s="52"/>
      <c r="DJ411" s="52"/>
      <c r="DK411" s="52"/>
      <c r="DL411" s="52"/>
      <c r="DM411" s="52"/>
      <c r="DN411" s="52"/>
      <c r="DO411" s="52"/>
      <c r="DP411" s="52"/>
      <c r="DQ411" s="52"/>
      <c r="DR411" s="52"/>
      <c r="DS411" s="52"/>
      <c r="DT411" s="52"/>
      <c r="DU411" s="52"/>
      <c r="DV411" s="52"/>
      <c r="DW411" s="52"/>
    </row>
    <row r="412">
      <c r="A412" s="22" t="s">
        <v>55</v>
      </c>
      <c r="B412" s="23" t="s">
        <v>56</v>
      </c>
      <c r="C412" s="31" t="s">
        <v>1146</v>
      </c>
      <c r="D412" s="25" t="str">
        <f>IFERROR(__xludf.DUMMYFUNCTION("SPLIT(C412,"" "")"),"Payne,")</f>
        <v>Payne,</v>
      </c>
      <c r="E412" s="22" t="str">
        <f>IFERROR(__xludf.DUMMYFUNCTION("""COMPUTED_VALUE"""),"Kendric
8304")</f>
        <v>Kendric
8304</v>
      </c>
      <c r="F412" s="22" t="str">
        <f>IFERROR(__xludf.DUMMYFUNCTION("""COMPUTED_VALUE"""),"Marble")</f>
        <v>Marble</v>
      </c>
      <c r="G412" s="22" t="str">
        <f>IFERROR(__xludf.DUMMYFUNCTION("""COMPUTED_VALUE"""),"Dale")</f>
        <v>Dale</v>
      </c>
      <c r="H412" s="22" t="str">
        <f>IFERROR(__xludf.DUMMYFUNCTION("""COMPUTED_VALUE"""),"Court
Alexandria,")</f>
        <v>Court
Alexandria,</v>
      </c>
      <c r="I412" s="22" t="str">
        <f>IFERROR(__xludf.DUMMYFUNCTION("""COMPUTED_VALUE"""),"VA")</f>
        <v>VA</v>
      </c>
      <c r="J412" s="22">
        <f>IFERROR(__xludf.DUMMYFUNCTION("""COMPUTED_VALUE"""),22308.0)</f>
        <v>22308</v>
      </c>
      <c r="K412" s="22"/>
      <c r="L412" s="22"/>
      <c r="M412" s="22"/>
      <c r="N412" s="22"/>
      <c r="O412" s="22"/>
      <c r="P412" s="22"/>
      <c r="Q412" s="22"/>
      <c r="R412" s="22"/>
      <c r="S412" s="22"/>
      <c r="T412" s="22"/>
      <c r="U412" s="24" t="str">
        <f>IFERROR(__xludf.DUMMYFUNCTION("SPLIT(E412,""01234567890"")"),"Kendric
")</f>
        <v>Kendric
</v>
      </c>
      <c r="V412" s="24" t="str">
        <f>IFERROR(__xludf.DUMMYFUNCTION("SPLIT(D412,"","")"),"Payne")</f>
        <v>Payne</v>
      </c>
      <c r="W412" s="25" t="str">
        <f t="shared" si="1"/>
        <v>KENDRIC
 PAYNE</v>
      </c>
      <c r="X412" s="25" t="s">
        <v>1147</v>
      </c>
      <c r="Y412" s="25">
        <v>22308.0</v>
      </c>
      <c r="Z412" s="25" t="str">
        <f>IFERROR(__xludf.DUMMYFUNCTION("SPLIT(C412,""
"")"),"Payne, Kendric")</f>
        <v>Payne, Kendric</v>
      </c>
      <c r="AA412" s="25" t="str">
        <f>IFERROR(__xludf.DUMMYFUNCTION("""COMPUTED_VALUE"""),"8304 Marble Dale Court")</f>
        <v>8304 Marble Dale Court</v>
      </c>
      <c r="AB412" s="25" t="str">
        <f>IFERROR(__xludf.DUMMYFUNCTION("""COMPUTED_VALUE"""),"Alexandria, VA 22308")</f>
        <v>Alexandria, VA 22308</v>
      </c>
      <c r="AC412" s="24" t="s">
        <v>1148</v>
      </c>
      <c r="AD412" s="25"/>
      <c r="AE412" s="25"/>
      <c r="AF412" s="25"/>
      <c r="AG412" s="22" t="s">
        <v>60</v>
      </c>
      <c r="AH412" s="54">
        <v>2437.0</v>
      </c>
      <c r="AI412" s="22" t="s">
        <v>61</v>
      </c>
      <c r="AJ412" s="27">
        <v>100.0</v>
      </c>
      <c r="AK412" s="31" t="s">
        <v>25</v>
      </c>
      <c r="AL412" s="28">
        <v>44698.0</v>
      </c>
      <c r="AM412" s="29">
        <v>44754.83237268519</v>
      </c>
      <c r="AN412" s="30">
        <v>2.0</v>
      </c>
      <c r="AO412" s="22"/>
      <c r="AP412" s="22"/>
      <c r="AQ412" s="22"/>
      <c r="AR412" s="22"/>
      <c r="AS412" s="22"/>
      <c r="AT412" s="70"/>
      <c r="AU412" s="22"/>
      <c r="AV412" s="57" t="str">
        <f>IFERROR(__xludf.DUMMYFUNCTION("""COMPUTED_VALUE"""),"Griggs")</f>
        <v>Griggs</v>
      </c>
      <c r="AW412" s="46">
        <f t="shared" si="7"/>
        <v>50</v>
      </c>
      <c r="AX412" s="47">
        <f t="shared" ref="AX412:BQ412" si="1346">SUMIFS($AJ:$AJ,$V:$V,$AV412,$AK:$AK,AX$2)</f>
        <v>0</v>
      </c>
      <c r="AY412" s="48">
        <f t="shared" si="1346"/>
        <v>0</v>
      </c>
      <c r="AZ412" s="48">
        <f t="shared" si="1346"/>
        <v>0</v>
      </c>
      <c r="BA412" s="48">
        <f t="shared" si="1346"/>
        <v>50</v>
      </c>
      <c r="BB412" s="48">
        <f t="shared" si="1346"/>
        <v>0</v>
      </c>
      <c r="BC412" s="48">
        <f t="shared" si="1346"/>
        <v>0</v>
      </c>
      <c r="BD412" s="48">
        <f t="shared" si="1346"/>
        <v>0</v>
      </c>
      <c r="BE412" s="48">
        <f t="shared" si="1346"/>
        <v>0</v>
      </c>
      <c r="BF412" s="48">
        <f t="shared" si="1346"/>
        <v>0</v>
      </c>
      <c r="BG412" s="48">
        <f t="shared" si="1346"/>
        <v>0</v>
      </c>
      <c r="BH412" s="48">
        <f t="shared" si="1346"/>
        <v>0</v>
      </c>
      <c r="BI412" s="48">
        <f t="shared" si="1346"/>
        <v>0</v>
      </c>
      <c r="BJ412" s="48">
        <f t="shared" si="1346"/>
        <v>0</v>
      </c>
      <c r="BK412" s="48">
        <f t="shared" si="1346"/>
        <v>0</v>
      </c>
      <c r="BL412" s="48">
        <f t="shared" si="1346"/>
        <v>0</v>
      </c>
      <c r="BM412" s="48">
        <f t="shared" si="1346"/>
        <v>0</v>
      </c>
      <c r="BN412" s="48">
        <f t="shared" si="1346"/>
        <v>0</v>
      </c>
      <c r="BO412" s="48">
        <f t="shared" si="1346"/>
        <v>0</v>
      </c>
      <c r="BP412" s="48">
        <f t="shared" si="1346"/>
        <v>0</v>
      </c>
      <c r="BQ412" s="48">
        <f t="shared" si="1346"/>
        <v>0</v>
      </c>
      <c r="BR412" s="36">
        <f t="shared" si="9"/>
        <v>0</v>
      </c>
      <c r="BS412" s="38">
        <f t="shared" si="10"/>
        <v>1</v>
      </c>
      <c r="BT412" s="49">
        <f t="shared" si="11"/>
        <v>0</v>
      </c>
      <c r="BU412" s="38">
        <f t="shared" si="12"/>
        <v>1000</v>
      </c>
      <c r="BV412" s="57" t="str">
        <f>IFERROR(__xludf.DUMMYFUNCTION("""COMPUTED_VALUE"""),"Griggs")</f>
        <v>Griggs</v>
      </c>
      <c r="BW412" s="46">
        <f t="shared" si="13"/>
        <v>50</v>
      </c>
      <c r="BX412" s="47">
        <f t="shared" ref="BX412:CA412" si="1347">AX412-$BU412</f>
        <v>-1000</v>
      </c>
      <c r="BY412" s="47">
        <f t="shared" si="1347"/>
        <v>-1000</v>
      </c>
      <c r="BZ412" s="47">
        <f t="shared" si="1347"/>
        <v>-1000</v>
      </c>
      <c r="CA412" s="47">
        <f t="shared" si="1347"/>
        <v>-950</v>
      </c>
      <c r="CB412" s="47">
        <f t="shared" si="15"/>
        <v>-10000</v>
      </c>
      <c r="CC412" s="47">
        <f t="shared" ref="CC412:CQ412" si="1348">BC412-$BU412</f>
        <v>-1000</v>
      </c>
      <c r="CD412" s="47">
        <f t="shared" si="1348"/>
        <v>-1000</v>
      </c>
      <c r="CE412" s="47">
        <f t="shared" si="1348"/>
        <v>-1000</v>
      </c>
      <c r="CF412" s="47">
        <f t="shared" si="1348"/>
        <v>-1000</v>
      </c>
      <c r="CG412" s="47">
        <f t="shared" si="1348"/>
        <v>-1000</v>
      </c>
      <c r="CH412" s="47">
        <f t="shared" si="1348"/>
        <v>-1000</v>
      </c>
      <c r="CI412" s="47">
        <f t="shared" si="1348"/>
        <v>-1000</v>
      </c>
      <c r="CJ412" s="47">
        <f t="shared" si="1348"/>
        <v>-1000</v>
      </c>
      <c r="CK412" s="47">
        <f t="shared" si="1348"/>
        <v>-1000</v>
      </c>
      <c r="CL412" s="47">
        <f t="shared" si="1348"/>
        <v>-1000</v>
      </c>
      <c r="CM412" s="47">
        <f t="shared" si="1348"/>
        <v>-1000</v>
      </c>
      <c r="CN412" s="47">
        <f t="shared" si="1348"/>
        <v>-1000</v>
      </c>
      <c r="CO412" s="47">
        <f t="shared" si="1348"/>
        <v>-1000</v>
      </c>
      <c r="CP412" s="47">
        <f t="shared" si="1348"/>
        <v>-1000</v>
      </c>
      <c r="CQ412" s="47">
        <f t="shared" si="1348"/>
        <v>-1000</v>
      </c>
      <c r="CR412" s="47"/>
      <c r="CS412" s="47"/>
      <c r="CT412" s="47"/>
      <c r="CU412" s="50" t="str">
        <f>IFERROR(__xludf.DUMMYFUNCTION("""COMPUTED_VALUE"""),"2030 Irving Blvd
Dallas, TX 75207          ")</f>
        <v>2030 Irving Blvd
Dallas, TX 75207          </v>
      </c>
      <c r="CV412" s="51">
        <f>IFERROR(__xludf.DUMMYFUNCTION("IF(REGEXMATCH(UPPER(CU412), ""TX""),0,1)"),0.0)</f>
        <v>0</v>
      </c>
      <c r="CW412" s="51">
        <f>IFERROR(__xludf.DUMMYFUNCTION("IF(REGEXMATCH(UPPER(CU412), ""DALLAS""),0,1)"),0.0)</f>
        <v>0</v>
      </c>
      <c r="CX412" s="51">
        <f t="shared" si="17"/>
        <v>0</v>
      </c>
      <c r="CY412" s="51">
        <f t="shared" si="18"/>
        <v>0</v>
      </c>
      <c r="CZ412" s="52" t="str">
        <f t="shared" si="19"/>
        <v/>
      </c>
      <c r="DA412" s="58"/>
      <c r="DB412" s="52"/>
      <c r="DC412" s="52"/>
      <c r="DD412" s="52"/>
      <c r="DE412" s="52"/>
      <c r="DF412" s="52"/>
      <c r="DG412" s="52"/>
      <c r="DH412" s="52"/>
      <c r="DI412" s="52"/>
      <c r="DJ412" s="52"/>
      <c r="DK412" s="52"/>
      <c r="DL412" s="52"/>
      <c r="DM412" s="52"/>
      <c r="DN412" s="52"/>
      <c r="DO412" s="52"/>
      <c r="DP412" s="52"/>
      <c r="DQ412" s="52"/>
      <c r="DR412" s="52"/>
      <c r="DS412" s="52"/>
      <c r="DT412" s="52"/>
      <c r="DU412" s="52"/>
      <c r="DV412" s="52"/>
      <c r="DW412" s="52"/>
    </row>
    <row r="413">
      <c r="A413" s="41" t="s">
        <v>64</v>
      </c>
      <c r="B413" s="41" t="s">
        <v>56</v>
      </c>
      <c r="C413" s="31" t="s">
        <v>1149</v>
      </c>
      <c r="D413" s="25" t="str">
        <f>IFERROR(__xludf.DUMMYFUNCTION("SPLIT(C413,"" "")"),"Fleiss,")</f>
        <v>Fleiss,</v>
      </c>
      <c r="E413" s="40" t="str">
        <f>IFERROR(__xludf.DUMMYFUNCTION("""COMPUTED_VALUE"""),"Eric
2100")</f>
        <v>Eric
2100</v>
      </c>
      <c r="F413" s="40" t="str">
        <f>IFERROR(__xludf.DUMMYFUNCTION("""COMPUTED_VALUE"""),"Ross")</f>
        <v>Ross</v>
      </c>
      <c r="G413" s="40" t="str">
        <f>IFERROR(__xludf.DUMMYFUNCTION("""COMPUTED_VALUE"""),"Ave
Dallas,")</f>
        <v>Ave
Dallas,</v>
      </c>
      <c r="H413" s="40" t="str">
        <f>IFERROR(__xludf.DUMMYFUNCTION("""COMPUTED_VALUE"""),"TX")</f>
        <v>TX</v>
      </c>
      <c r="I413" s="40">
        <f>IFERROR(__xludf.DUMMYFUNCTION("""COMPUTED_VALUE"""),75201.0)</f>
        <v>75201</v>
      </c>
      <c r="J413" s="40"/>
      <c r="K413" s="40"/>
      <c r="L413" s="40"/>
      <c r="M413" s="40"/>
      <c r="N413" s="40"/>
      <c r="O413" s="40"/>
      <c r="P413" s="40"/>
      <c r="Q413" s="40"/>
      <c r="R413" s="40"/>
      <c r="S413" s="40"/>
      <c r="T413" s="40"/>
      <c r="U413" s="24" t="str">
        <f>IFERROR(__xludf.DUMMYFUNCTION("SPLIT(E413,""01234567890"")"),"Eric
")</f>
        <v>Eric
</v>
      </c>
      <c r="V413" s="24" t="str">
        <f>IFERROR(__xludf.DUMMYFUNCTION("SPLIT(D413,"","")"),"Fleiss")</f>
        <v>Fleiss</v>
      </c>
      <c r="W413" s="25" t="str">
        <f t="shared" si="1"/>
        <v>ERIC
 FLEISS</v>
      </c>
      <c r="X413" s="25" t="s">
        <v>1150</v>
      </c>
      <c r="Y413" s="25">
        <v>75201.0</v>
      </c>
      <c r="Z413" s="25" t="str">
        <f>IFERROR(__xludf.DUMMYFUNCTION("SPLIT(C413,""
"")"),"Fleiss, Eric")</f>
        <v>Fleiss, Eric</v>
      </c>
      <c r="AA413" s="25" t="str">
        <f>IFERROR(__xludf.DUMMYFUNCTION("""COMPUTED_VALUE"""),"2100 Ross Ave")</f>
        <v>2100 Ross Ave</v>
      </c>
      <c r="AB413" s="25" t="str">
        <f>IFERROR(__xludf.DUMMYFUNCTION("""COMPUTED_VALUE"""),"Dallas, TX 75201")</f>
        <v>Dallas, TX 75201</v>
      </c>
      <c r="AC413" s="24" t="s">
        <v>1028</v>
      </c>
      <c r="AD413" s="25"/>
      <c r="AE413" s="25"/>
      <c r="AF413" s="25"/>
      <c r="AG413" s="40" t="s">
        <v>60</v>
      </c>
      <c r="AH413" s="42">
        <v>2437.0</v>
      </c>
      <c r="AI413" s="40" t="s">
        <v>61</v>
      </c>
      <c r="AJ413" s="27">
        <v>1000.0</v>
      </c>
      <c r="AK413" s="31" t="s">
        <v>25</v>
      </c>
      <c r="AL413" s="43">
        <v>44665.0</v>
      </c>
      <c r="AM413" s="44">
        <v>44754.83237268519</v>
      </c>
      <c r="AN413" s="30">
        <v>2.0</v>
      </c>
      <c r="AO413" s="40"/>
      <c r="AP413" s="40"/>
      <c r="AQ413" s="40"/>
      <c r="AR413" s="40"/>
      <c r="AS413" s="40"/>
      <c r="AT413" s="47"/>
      <c r="AU413" s="40"/>
      <c r="AV413" s="46" t="str">
        <f>IFERROR(__xludf.DUMMYFUNCTION("""COMPUTED_VALUE"""),"Kemp")</f>
        <v>Kemp</v>
      </c>
      <c r="AW413" s="46">
        <f t="shared" si="7"/>
        <v>200</v>
      </c>
      <c r="AX413" s="47">
        <f t="shared" ref="AX413:BQ413" si="1349">SUMIFS($AJ:$AJ,$V:$V,$AV413,$AK:$AK,AX$2)</f>
        <v>0</v>
      </c>
      <c r="AY413" s="48">
        <f t="shared" si="1349"/>
        <v>0</v>
      </c>
      <c r="AZ413" s="48">
        <f t="shared" si="1349"/>
        <v>0</v>
      </c>
      <c r="BA413" s="48">
        <f t="shared" si="1349"/>
        <v>200</v>
      </c>
      <c r="BB413" s="48">
        <f t="shared" si="1349"/>
        <v>0</v>
      </c>
      <c r="BC413" s="48">
        <f t="shared" si="1349"/>
        <v>0</v>
      </c>
      <c r="BD413" s="48">
        <f t="shared" si="1349"/>
        <v>0</v>
      </c>
      <c r="BE413" s="48">
        <f t="shared" si="1349"/>
        <v>0</v>
      </c>
      <c r="BF413" s="48">
        <f t="shared" si="1349"/>
        <v>0</v>
      </c>
      <c r="BG413" s="48">
        <f t="shared" si="1349"/>
        <v>0</v>
      </c>
      <c r="BH413" s="48">
        <f t="shared" si="1349"/>
        <v>0</v>
      </c>
      <c r="BI413" s="48">
        <f t="shared" si="1349"/>
        <v>0</v>
      </c>
      <c r="BJ413" s="48">
        <f t="shared" si="1349"/>
        <v>0</v>
      </c>
      <c r="BK413" s="48">
        <f t="shared" si="1349"/>
        <v>0</v>
      </c>
      <c r="BL413" s="48">
        <f t="shared" si="1349"/>
        <v>0</v>
      </c>
      <c r="BM413" s="48">
        <f t="shared" si="1349"/>
        <v>0</v>
      </c>
      <c r="BN413" s="48">
        <f t="shared" si="1349"/>
        <v>0</v>
      </c>
      <c r="BO413" s="48">
        <f t="shared" si="1349"/>
        <v>0</v>
      </c>
      <c r="BP413" s="48">
        <f t="shared" si="1349"/>
        <v>0</v>
      </c>
      <c r="BQ413" s="48">
        <f t="shared" si="1349"/>
        <v>0</v>
      </c>
      <c r="BR413" s="36">
        <f t="shared" si="9"/>
        <v>0</v>
      </c>
      <c r="BS413" s="38">
        <f t="shared" si="10"/>
        <v>1</v>
      </c>
      <c r="BT413" s="49">
        <f t="shared" si="11"/>
        <v>0</v>
      </c>
      <c r="BU413" s="38">
        <f t="shared" si="12"/>
        <v>1000</v>
      </c>
      <c r="BV413" s="46" t="str">
        <f>IFERROR(__xludf.DUMMYFUNCTION("""COMPUTED_VALUE"""),"Kemp")</f>
        <v>Kemp</v>
      </c>
      <c r="BW413" s="46">
        <f t="shared" si="13"/>
        <v>200</v>
      </c>
      <c r="BX413" s="47">
        <f t="shared" ref="BX413:CA413" si="1350">AX413-$BU413</f>
        <v>-1000</v>
      </c>
      <c r="BY413" s="47">
        <f t="shared" si="1350"/>
        <v>-1000</v>
      </c>
      <c r="BZ413" s="47">
        <f t="shared" si="1350"/>
        <v>-1000</v>
      </c>
      <c r="CA413" s="47">
        <f t="shared" si="1350"/>
        <v>-800</v>
      </c>
      <c r="CB413" s="47">
        <f t="shared" si="15"/>
        <v>-10000</v>
      </c>
      <c r="CC413" s="47">
        <f t="shared" ref="CC413:CQ413" si="1351">BC413-$BU413</f>
        <v>-1000</v>
      </c>
      <c r="CD413" s="47">
        <f t="shared" si="1351"/>
        <v>-1000</v>
      </c>
      <c r="CE413" s="47">
        <f t="shared" si="1351"/>
        <v>-1000</v>
      </c>
      <c r="CF413" s="47">
        <f t="shared" si="1351"/>
        <v>-1000</v>
      </c>
      <c r="CG413" s="47">
        <f t="shared" si="1351"/>
        <v>-1000</v>
      </c>
      <c r="CH413" s="47">
        <f t="shared" si="1351"/>
        <v>-1000</v>
      </c>
      <c r="CI413" s="47">
        <f t="shared" si="1351"/>
        <v>-1000</v>
      </c>
      <c r="CJ413" s="47">
        <f t="shared" si="1351"/>
        <v>-1000</v>
      </c>
      <c r="CK413" s="47">
        <f t="shared" si="1351"/>
        <v>-1000</v>
      </c>
      <c r="CL413" s="47">
        <f t="shared" si="1351"/>
        <v>-1000</v>
      </c>
      <c r="CM413" s="47">
        <f t="shared" si="1351"/>
        <v>-1000</v>
      </c>
      <c r="CN413" s="47">
        <f t="shared" si="1351"/>
        <v>-1000</v>
      </c>
      <c r="CO413" s="47">
        <f t="shared" si="1351"/>
        <v>-1000</v>
      </c>
      <c r="CP413" s="47">
        <f t="shared" si="1351"/>
        <v>-1000</v>
      </c>
      <c r="CQ413" s="47">
        <f t="shared" si="1351"/>
        <v>-1000</v>
      </c>
      <c r="CR413" s="47"/>
      <c r="CS413" s="47"/>
      <c r="CT413" s="47"/>
      <c r="CU413" s="50" t="str">
        <f>IFERROR(__xludf.DUMMYFUNCTION("""COMPUTED_VALUE"""),"4708 W. Hanover
Dallas, TX 75209          ")</f>
        <v>4708 W. Hanover
Dallas, TX 75209          </v>
      </c>
      <c r="CV413" s="51">
        <f>IFERROR(__xludf.DUMMYFUNCTION("IF(REGEXMATCH(UPPER(CU413), ""TX""),0,1)"),0.0)</f>
        <v>0</v>
      </c>
      <c r="CW413" s="51">
        <f>IFERROR(__xludf.DUMMYFUNCTION("IF(REGEXMATCH(UPPER(CU413), ""DALLAS""),0,1)"),0.0)</f>
        <v>0</v>
      </c>
      <c r="CX413" s="51">
        <f t="shared" si="17"/>
        <v>0</v>
      </c>
      <c r="CY413" s="51">
        <f t="shared" si="18"/>
        <v>0</v>
      </c>
      <c r="CZ413" s="52" t="str">
        <f t="shared" si="19"/>
        <v/>
      </c>
      <c r="DA413" s="58"/>
      <c r="DB413" s="52"/>
      <c r="DC413" s="52"/>
      <c r="DD413" s="52"/>
      <c r="DE413" s="52"/>
      <c r="DF413" s="52"/>
      <c r="DG413" s="52"/>
      <c r="DH413" s="52"/>
      <c r="DI413" s="52"/>
      <c r="DJ413" s="52"/>
      <c r="DK413" s="52"/>
      <c r="DL413" s="52"/>
      <c r="DM413" s="52"/>
      <c r="DN413" s="52"/>
      <c r="DO413" s="52"/>
      <c r="DP413" s="52"/>
      <c r="DQ413" s="52"/>
      <c r="DR413" s="52"/>
      <c r="DS413" s="52"/>
      <c r="DT413" s="52"/>
      <c r="DU413" s="52"/>
      <c r="DV413" s="52"/>
      <c r="DW413" s="52"/>
    </row>
    <row r="414">
      <c r="A414" s="22" t="s">
        <v>55</v>
      </c>
      <c r="B414" s="23" t="s">
        <v>56</v>
      </c>
      <c r="C414" s="31" t="s">
        <v>1151</v>
      </c>
      <c r="D414" s="25" t="str">
        <f>IFERROR(__xludf.DUMMYFUNCTION("SPLIT(C414,"" "")"),"Petree,")</f>
        <v>Petree,</v>
      </c>
      <c r="E414" s="22" t="str">
        <f>IFERROR(__xludf.DUMMYFUNCTION("""COMPUTED_VALUE"""),"Davana
5999")</f>
        <v>Davana
5999</v>
      </c>
      <c r="F414" s="22" t="str">
        <f>IFERROR(__xludf.DUMMYFUNCTION("""COMPUTED_VALUE"""),"Lindenshire")</f>
        <v>Lindenshire</v>
      </c>
      <c r="G414" s="22" t="str">
        <f>IFERROR(__xludf.DUMMYFUNCTION("""COMPUTED_VALUE"""),"Lane
Dallas,")</f>
        <v>Lane
Dallas,</v>
      </c>
      <c r="H414" s="22" t="str">
        <f>IFERROR(__xludf.DUMMYFUNCTION("""COMPUTED_VALUE"""),"TX")</f>
        <v>TX</v>
      </c>
      <c r="I414" s="22">
        <f>IFERROR(__xludf.DUMMYFUNCTION("""COMPUTED_VALUE"""),75230.0)</f>
        <v>75230</v>
      </c>
      <c r="J414" s="22"/>
      <c r="K414" s="22"/>
      <c r="L414" s="22"/>
      <c r="M414" s="22"/>
      <c r="N414" s="22"/>
      <c r="O414" s="22"/>
      <c r="P414" s="22"/>
      <c r="Q414" s="22"/>
      <c r="R414" s="22"/>
      <c r="S414" s="22"/>
      <c r="T414" s="22"/>
      <c r="U414" s="24" t="str">
        <f>IFERROR(__xludf.DUMMYFUNCTION("SPLIT(E414,""01234567890"")"),"Davana
")</f>
        <v>Davana
</v>
      </c>
      <c r="V414" s="24" t="str">
        <f>IFERROR(__xludf.DUMMYFUNCTION("SPLIT(D414,"","")"),"Petree")</f>
        <v>Petree</v>
      </c>
      <c r="W414" s="25" t="str">
        <f t="shared" si="1"/>
        <v>DAVANA
 PETREE</v>
      </c>
      <c r="X414" s="25" t="s">
        <v>1152</v>
      </c>
      <c r="Y414" s="25">
        <v>75230.0</v>
      </c>
      <c r="Z414" s="25" t="str">
        <f>IFERROR(__xludf.DUMMYFUNCTION("SPLIT(C414,""
"")"),"Petree, Davana")</f>
        <v>Petree, Davana</v>
      </c>
      <c r="AA414" s="25" t="str">
        <f>IFERROR(__xludf.DUMMYFUNCTION("""COMPUTED_VALUE"""),"5999 Lindenshire Lane")</f>
        <v>5999 Lindenshire Lane</v>
      </c>
      <c r="AB414" s="25" t="str">
        <f>IFERROR(__xludf.DUMMYFUNCTION("""COMPUTED_VALUE"""),"Dallas, TX 75230")</f>
        <v>Dallas, TX 75230</v>
      </c>
      <c r="AC414" s="24" t="s">
        <v>1153</v>
      </c>
      <c r="AD414" s="25"/>
      <c r="AE414" s="25"/>
      <c r="AF414" s="25"/>
      <c r="AG414" s="22" t="s">
        <v>60</v>
      </c>
      <c r="AH414" s="54">
        <v>2437.0</v>
      </c>
      <c r="AI414" s="22" t="s">
        <v>61</v>
      </c>
      <c r="AJ414" s="27">
        <v>100.0</v>
      </c>
      <c r="AK414" s="31" t="s">
        <v>25</v>
      </c>
      <c r="AL414" s="28">
        <v>44611.0</v>
      </c>
      <c r="AM414" s="29">
        <v>44754.83237268519</v>
      </c>
      <c r="AN414" s="30">
        <v>2.0</v>
      </c>
      <c r="AO414" s="22"/>
      <c r="AP414" s="22"/>
      <c r="AQ414" s="22"/>
      <c r="AR414" s="22"/>
      <c r="AS414" s="22"/>
      <c r="AT414" s="70"/>
      <c r="AU414" s="22"/>
      <c r="AV414" s="57" t="str">
        <f>IFERROR(__xludf.DUMMYFUNCTION("""COMPUTED_VALUE"""),"Rice")</f>
        <v>Rice</v>
      </c>
      <c r="AW414" s="46">
        <f t="shared" si="7"/>
        <v>100</v>
      </c>
      <c r="AX414" s="47">
        <f t="shared" ref="AX414:BQ414" si="1352">SUMIFS($AJ:$AJ,$V:$V,$AV414,$AK:$AK,AX$2)</f>
        <v>0</v>
      </c>
      <c r="AY414" s="48">
        <f t="shared" si="1352"/>
        <v>0</v>
      </c>
      <c r="AZ414" s="48">
        <f t="shared" si="1352"/>
        <v>0</v>
      </c>
      <c r="BA414" s="48">
        <f t="shared" si="1352"/>
        <v>100</v>
      </c>
      <c r="BB414" s="48">
        <f t="shared" si="1352"/>
        <v>0</v>
      </c>
      <c r="BC414" s="48">
        <f t="shared" si="1352"/>
        <v>0</v>
      </c>
      <c r="BD414" s="48">
        <f t="shared" si="1352"/>
        <v>0</v>
      </c>
      <c r="BE414" s="48">
        <f t="shared" si="1352"/>
        <v>0</v>
      </c>
      <c r="BF414" s="48">
        <f t="shared" si="1352"/>
        <v>0</v>
      </c>
      <c r="BG414" s="48">
        <f t="shared" si="1352"/>
        <v>0</v>
      </c>
      <c r="BH414" s="48">
        <f t="shared" si="1352"/>
        <v>0</v>
      </c>
      <c r="BI414" s="48">
        <f t="shared" si="1352"/>
        <v>0</v>
      </c>
      <c r="BJ414" s="48">
        <f t="shared" si="1352"/>
        <v>0</v>
      </c>
      <c r="BK414" s="48">
        <f t="shared" si="1352"/>
        <v>0</v>
      </c>
      <c r="BL414" s="48">
        <f t="shared" si="1352"/>
        <v>0</v>
      </c>
      <c r="BM414" s="48">
        <f t="shared" si="1352"/>
        <v>0</v>
      </c>
      <c r="BN414" s="48">
        <f t="shared" si="1352"/>
        <v>0</v>
      </c>
      <c r="BO414" s="48">
        <f t="shared" si="1352"/>
        <v>0</v>
      </c>
      <c r="BP414" s="48">
        <f t="shared" si="1352"/>
        <v>0</v>
      </c>
      <c r="BQ414" s="48">
        <f t="shared" si="1352"/>
        <v>0</v>
      </c>
      <c r="BR414" s="36">
        <f t="shared" si="9"/>
        <v>0</v>
      </c>
      <c r="BS414" s="38">
        <f t="shared" si="10"/>
        <v>1</v>
      </c>
      <c r="BT414" s="49">
        <f t="shared" si="11"/>
        <v>0</v>
      </c>
      <c r="BU414" s="38">
        <f t="shared" si="12"/>
        <v>1000</v>
      </c>
      <c r="BV414" s="57" t="str">
        <f>IFERROR(__xludf.DUMMYFUNCTION("""COMPUTED_VALUE"""),"Rice")</f>
        <v>Rice</v>
      </c>
      <c r="BW414" s="46">
        <f t="shared" si="13"/>
        <v>100</v>
      </c>
      <c r="BX414" s="47">
        <f t="shared" ref="BX414:CA414" si="1353">AX414-$BU414</f>
        <v>-1000</v>
      </c>
      <c r="BY414" s="47">
        <f t="shared" si="1353"/>
        <v>-1000</v>
      </c>
      <c r="BZ414" s="47">
        <f t="shared" si="1353"/>
        <v>-1000</v>
      </c>
      <c r="CA414" s="47">
        <f t="shared" si="1353"/>
        <v>-900</v>
      </c>
      <c r="CB414" s="47">
        <f t="shared" si="15"/>
        <v>-10000</v>
      </c>
      <c r="CC414" s="47">
        <f t="shared" ref="CC414:CQ414" si="1354">BC414-$BU414</f>
        <v>-1000</v>
      </c>
      <c r="CD414" s="47">
        <f t="shared" si="1354"/>
        <v>-1000</v>
      </c>
      <c r="CE414" s="47">
        <f t="shared" si="1354"/>
        <v>-1000</v>
      </c>
      <c r="CF414" s="47">
        <f t="shared" si="1354"/>
        <v>-1000</v>
      </c>
      <c r="CG414" s="47">
        <f t="shared" si="1354"/>
        <v>-1000</v>
      </c>
      <c r="CH414" s="47">
        <f t="shared" si="1354"/>
        <v>-1000</v>
      </c>
      <c r="CI414" s="47">
        <f t="shared" si="1354"/>
        <v>-1000</v>
      </c>
      <c r="CJ414" s="47">
        <f t="shared" si="1354"/>
        <v>-1000</v>
      </c>
      <c r="CK414" s="47">
        <f t="shared" si="1354"/>
        <v>-1000</v>
      </c>
      <c r="CL414" s="47">
        <f t="shared" si="1354"/>
        <v>-1000</v>
      </c>
      <c r="CM414" s="47">
        <f t="shared" si="1354"/>
        <v>-1000</v>
      </c>
      <c r="CN414" s="47">
        <f t="shared" si="1354"/>
        <v>-1000</v>
      </c>
      <c r="CO414" s="47">
        <f t="shared" si="1354"/>
        <v>-1000</v>
      </c>
      <c r="CP414" s="47">
        <f t="shared" si="1354"/>
        <v>-1000</v>
      </c>
      <c r="CQ414" s="47">
        <f t="shared" si="1354"/>
        <v>-1000</v>
      </c>
      <c r="CR414" s="47"/>
      <c r="CS414" s="47"/>
      <c r="CT414" s="47"/>
      <c r="CU414" s="50" t="str">
        <f>IFERROR(__xludf.DUMMYFUNCTION("""COMPUTED_VALUE"""),"3904 Fairlakes Drive
Dallas, TX 75226          ")</f>
        <v>3904 Fairlakes Drive
Dallas, TX 75226          </v>
      </c>
      <c r="CV414" s="51">
        <f>IFERROR(__xludf.DUMMYFUNCTION("IF(REGEXMATCH(UPPER(CU414), ""TX""),0,1)"),0.0)</f>
        <v>0</v>
      </c>
      <c r="CW414" s="51">
        <f>IFERROR(__xludf.DUMMYFUNCTION("IF(REGEXMATCH(UPPER(CU414), ""DALLAS""),0,1)"),0.0)</f>
        <v>0</v>
      </c>
      <c r="CX414" s="51">
        <f t="shared" si="17"/>
        <v>0</v>
      </c>
      <c r="CY414" s="51">
        <f t="shared" si="18"/>
        <v>0</v>
      </c>
      <c r="CZ414" s="52" t="str">
        <f t="shared" si="19"/>
        <v/>
      </c>
      <c r="DA414" s="58"/>
      <c r="DB414" s="52"/>
      <c r="DC414" s="52"/>
      <c r="DD414" s="52"/>
      <c r="DE414" s="52"/>
      <c r="DF414" s="52"/>
      <c r="DG414" s="52"/>
      <c r="DH414" s="52"/>
      <c r="DI414" s="52"/>
      <c r="DJ414" s="52"/>
      <c r="DK414" s="52"/>
      <c r="DL414" s="52"/>
      <c r="DM414" s="52"/>
      <c r="DN414" s="52"/>
      <c r="DO414" s="52"/>
      <c r="DP414" s="52"/>
      <c r="DQ414" s="52"/>
      <c r="DR414" s="52"/>
      <c r="DS414" s="52"/>
      <c r="DT414" s="52"/>
      <c r="DU414" s="52"/>
      <c r="DV414" s="52"/>
      <c r="DW414" s="52"/>
    </row>
    <row r="415">
      <c r="A415" s="41" t="s">
        <v>64</v>
      </c>
      <c r="B415" s="41" t="s">
        <v>56</v>
      </c>
      <c r="C415" s="31" t="s">
        <v>1154</v>
      </c>
      <c r="D415" s="25" t="str">
        <f>IFERROR(__xludf.DUMMYFUNCTION("SPLIT(C415,"" "")"),"Reis,")</f>
        <v>Reis,</v>
      </c>
      <c r="E415" s="40" t="str">
        <f>IFERROR(__xludf.DUMMYFUNCTION("""COMPUTED_VALUE"""),"James
4327")</f>
        <v>James
4327</v>
      </c>
      <c r="F415" s="40" t="str">
        <f>IFERROR(__xludf.DUMMYFUNCTION("""COMPUTED_VALUE"""),"Travis")</f>
        <v>Travis</v>
      </c>
      <c r="G415" s="40" t="str">
        <f>IFERROR(__xludf.DUMMYFUNCTION("""COMPUTED_VALUE"""),"Street
Dallas,")</f>
        <v>Street
Dallas,</v>
      </c>
      <c r="H415" s="40" t="str">
        <f>IFERROR(__xludf.DUMMYFUNCTION("""COMPUTED_VALUE"""),"TX")</f>
        <v>TX</v>
      </c>
      <c r="I415" s="40">
        <f>IFERROR(__xludf.DUMMYFUNCTION("""COMPUTED_VALUE"""),75205.0)</f>
        <v>75205</v>
      </c>
      <c r="J415" s="40"/>
      <c r="K415" s="40"/>
      <c r="L415" s="40"/>
      <c r="M415" s="40"/>
      <c r="N415" s="40"/>
      <c r="O415" s="40"/>
      <c r="P415" s="40"/>
      <c r="Q415" s="40"/>
      <c r="R415" s="40"/>
      <c r="S415" s="40"/>
      <c r="T415" s="40"/>
      <c r="U415" s="24" t="str">
        <f>IFERROR(__xludf.DUMMYFUNCTION("SPLIT(E415,""01234567890"")"),"James
")</f>
        <v>James
</v>
      </c>
      <c r="V415" s="24" t="str">
        <f>IFERROR(__xludf.DUMMYFUNCTION("SPLIT(D415,"","")"),"Reis")</f>
        <v>Reis</v>
      </c>
      <c r="W415" s="25" t="str">
        <f t="shared" si="1"/>
        <v>JAMES
 REIS</v>
      </c>
      <c r="X415" s="25" t="s">
        <v>446</v>
      </c>
      <c r="Y415" s="25">
        <v>75205.0</v>
      </c>
      <c r="Z415" s="25" t="str">
        <f>IFERROR(__xludf.DUMMYFUNCTION("SPLIT(C415,""
"")"),"Reis, James")</f>
        <v>Reis, James</v>
      </c>
      <c r="AA415" s="25" t="str">
        <f>IFERROR(__xludf.DUMMYFUNCTION("""COMPUTED_VALUE"""),"4327 Travis Street")</f>
        <v>4327 Travis Street</v>
      </c>
      <c r="AB415" s="25" t="str">
        <f>IFERROR(__xludf.DUMMYFUNCTION("""COMPUTED_VALUE"""),"Dallas, TX 75205")</f>
        <v>Dallas, TX 75205</v>
      </c>
      <c r="AC415" s="24" t="s">
        <v>1155</v>
      </c>
      <c r="AD415" s="25"/>
      <c r="AE415" s="25"/>
      <c r="AF415" s="25"/>
      <c r="AG415" s="40" t="s">
        <v>60</v>
      </c>
      <c r="AH415" s="42">
        <v>2437.0</v>
      </c>
      <c r="AI415" s="40" t="s">
        <v>61</v>
      </c>
      <c r="AJ415" s="27">
        <v>2500.0</v>
      </c>
      <c r="AK415" s="31" t="s">
        <v>25</v>
      </c>
      <c r="AL415" s="43">
        <v>44579.0</v>
      </c>
      <c r="AM415" s="44">
        <v>44754.83237268519</v>
      </c>
      <c r="AN415" s="30">
        <v>2.0</v>
      </c>
      <c r="AO415" s="40"/>
      <c r="AP415" s="40"/>
      <c r="AQ415" s="40"/>
      <c r="AR415" s="40"/>
      <c r="AS415" s="40"/>
      <c r="AT415" s="47"/>
      <c r="AU415" s="40"/>
      <c r="AV415" s="46" t="str">
        <f>IFERROR(__xludf.DUMMYFUNCTION("""COMPUTED_VALUE"""),"Cain")</f>
        <v>Cain</v>
      </c>
      <c r="AW415" s="46">
        <f t="shared" si="7"/>
        <v>200</v>
      </c>
      <c r="AX415" s="47">
        <f t="shared" ref="AX415:BQ415" si="1355">SUMIFS($AJ:$AJ,$V:$V,$AV415,$AK:$AK,AX$2)</f>
        <v>0</v>
      </c>
      <c r="AY415" s="48">
        <f t="shared" si="1355"/>
        <v>0</v>
      </c>
      <c r="AZ415" s="48">
        <f t="shared" si="1355"/>
        <v>0</v>
      </c>
      <c r="BA415" s="48">
        <f t="shared" si="1355"/>
        <v>200</v>
      </c>
      <c r="BB415" s="48">
        <f t="shared" si="1355"/>
        <v>0</v>
      </c>
      <c r="BC415" s="48">
        <f t="shared" si="1355"/>
        <v>0</v>
      </c>
      <c r="BD415" s="48">
        <f t="shared" si="1355"/>
        <v>0</v>
      </c>
      <c r="BE415" s="48">
        <f t="shared" si="1355"/>
        <v>0</v>
      </c>
      <c r="BF415" s="48">
        <f t="shared" si="1355"/>
        <v>0</v>
      </c>
      <c r="BG415" s="48">
        <f t="shared" si="1355"/>
        <v>0</v>
      </c>
      <c r="BH415" s="48">
        <f t="shared" si="1355"/>
        <v>0</v>
      </c>
      <c r="BI415" s="48">
        <f t="shared" si="1355"/>
        <v>0</v>
      </c>
      <c r="BJ415" s="48">
        <f t="shared" si="1355"/>
        <v>0</v>
      </c>
      <c r="BK415" s="48">
        <f t="shared" si="1355"/>
        <v>0</v>
      </c>
      <c r="BL415" s="48">
        <f t="shared" si="1355"/>
        <v>0</v>
      </c>
      <c r="BM415" s="48">
        <f t="shared" si="1355"/>
        <v>0</v>
      </c>
      <c r="BN415" s="48">
        <f t="shared" si="1355"/>
        <v>0</v>
      </c>
      <c r="BO415" s="48">
        <f t="shared" si="1355"/>
        <v>0</v>
      </c>
      <c r="BP415" s="48">
        <f t="shared" si="1355"/>
        <v>0</v>
      </c>
      <c r="BQ415" s="48">
        <f t="shared" si="1355"/>
        <v>0</v>
      </c>
      <c r="BR415" s="36">
        <f t="shared" si="9"/>
        <v>0</v>
      </c>
      <c r="BS415" s="38">
        <f t="shared" si="10"/>
        <v>1</v>
      </c>
      <c r="BT415" s="49">
        <f t="shared" si="11"/>
        <v>0</v>
      </c>
      <c r="BU415" s="38">
        <f t="shared" si="12"/>
        <v>1000</v>
      </c>
      <c r="BV415" s="46" t="str">
        <f>IFERROR(__xludf.DUMMYFUNCTION("""COMPUTED_VALUE"""),"Cain")</f>
        <v>Cain</v>
      </c>
      <c r="BW415" s="46">
        <f t="shared" si="13"/>
        <v>200</v>
      </c>
      <c r="BX415" s="47">
        <f t="shared" ref="BX415:CA415" si="1356">AX415-$BU415</f>
        <v>-1000</v>
      </c>
      <c r="BY415" s="47">
        <f t="shared" si="1356"/>
        <v>-1000</v>
      </c>
      <c r="BZ415" s="47">
        <f t="shared" si="1356"/>
        <v>-1000</v>
      </c>
      <c r="CA415" s="47">
        <f t="shared" si="1356"/>
        <v>-800</v>
      </c>
      <c r="CB415" s="47">
        <f t="shared" si="15"/>
        <v>-10000</v>
      </c>
      <c r="CC415" s="47">
        <f t="shared" ref="CC415:CQ415" si="1357">BC415-$BU415</f>
        <v>-1000</v>
      </c>
      <c r="CD415" s="47">
        <f t="shared" si="1357"/>
        <v>-1000</v>
      </c>
      <c r="CE415" s="47">
        <f t="shared" si="1357"/>
        <v>-1000</v>
      </c>
      <c r="CF415" s="47">
        <f t="shared" si="1357"/>
        <v>-1000</v>
      </c>
      <c r="CG415" s="47">
        <f t="shared" si="1357"/>
        <v>-1000</v>
      </c>
      <c r="CH415" s="47">
        <f t="shared" si="1357"/>
        <v>-1000</v>
      </c>
      <c r="CI415" s="47">
        <f t="shared" si="1357"/>
        <v>-1000</v>
      </c>
      <c r="CJ415" s="47">
        <f t="shared" si="1357"/>
        <v>-1000</v>
      </c>
      <c r="CK415" s="47">
        <f t="shared" si="1357"/>
        <v>-1000</v>
      </c>
      <c r="CL415" s="47">
        <f t="shared" si="1357"/>
        <v>-1000</v>
      </c>
      <c r="CM415" s="47">
        <f t="shared" si="1357"/>
        <v>-1000</v>
      </c>
      <c r="CN415" s="47">
        <f t="shared" si="1357"/>
        <v>-1000</v>
      </c>
      <c r="CO415" s="47">
        <f t="shared" si="1357"/>
        <v>-1000</v>
      </c>
      <c r="CP415" s="47">
        <f t="shared" si="1357"/>
        <v>-1000</v>
      </c>
      <c r="CQ415" s="47">
        <f t="shared" si="1357"/>
        <v>-1000</v>
      </c>
      <c r="CR415" s="47"/>
      <c r="CS415" s="47"/>
      <c r="CT415" s="47"/>
      <c r="CU415" s="50" t="str">
        <f>IFERROR(__xludf.DUMMYFUNCTION("""COMPUTED_VALUE"""),"4016 Fairlakes Dr
Dallas, TX 75228          ")</f>
        <v>4016 Fairlakes Dr
Dallas, TX 75228          </v>
      </c>
      <c r="CV415" s="51">
        <f>IFERROR(__xludf.DUMMYFUNCTION("IF(REGEXMATCH(UPPER(CU415), ""TX""),0,1)"),0.0)</f>
        <v>0</v>
      </c>
      <c r="CW415" s="51">
        <f>IFERROR(__xludf.DUMMYFUNCTION("IF(REGEXMATCH(UPPER(CU415), ""DALLAS""),0,1)"),0.0)</f>
        <v>0</v>
      </c>
      <c r="CX415" s="51">
        <f t="shared" si="17"/>
        <v>0</v>
      </c>
      <c r="CY415" s="51">
        <f t="shared" si="18"/>
        <v>0</v>
      </c>
      <c r="CZ415" s="52" t="str">
        <f t="shared" si="19"/>
        <v/>
      </c>
      <c r="DA415" s="58"/>
      <c r="DB415" s="52"/>
      <c r="DC415" s="52"/>
      <c r="DD415" s="52"/>
      <c r="DE415" s="52"/>
      <c r="DF415" s="52"/>
      <c r="DG415" s="52"/>
      <c r="DH415" s="52"/>
      <c r="DI415" s="52"/>
      <c r="DJ415" s="52"/>
      <c r="DK415" s="52"/>
      <c r="DL415" s="52"/>
      <c r="DM415" s="52"/>
      <c r="DN415" s="52"/>
      <c r="DO415" s="52"/>
      <c r="DP415" s="52"/>
      <c r="DQ415" s="52"/>
      <c r="DR415" s="52"/>
      <c r="DS415" s="52"/>
      <c r="DT415" s="52"/>
      <c r="DU415" s="52"/>
      <c r="DV415" s="52"/>
      <c r="DW415" s="52"/>
    </row>
    <row r="416">
      <c r="A416" s="22" t="s">
        <v>55</v>
      </c>
      <c r="B416" s="23" t="s">
        <v>56</v>
      </c>
      <c r="C416" s="31" t="s">
        <v>1156</v>
      </c>
      <c r="D416" s="25" t="str">
        <f>IFERROR(__xludf.DUMMYFUNCTION("SPLIT(C416,"" "")"),"Byrne,")</f>
        <v>Byrne,</v>
      </c>
      <c r="E416" s="22" t="str">
        <f>IFERROR(__xludf.DUMMYFUNCTION("""COMPUTED_VALUE"""),"Tim
2000")</f>
        <v>Tim
2000</v>
      </c>
      <c r="F416" s="22" t="str">
        <f>IFERROR(__xludf.DUMMYFUNCTION("""COMPUTED_VALUE"""),"McKinney")</f>
        <v>McKinney</v>
      </c>
      <c r="G416" s="22" t="str">
        <f>IFERROR(__xludf.DUMMYFUNCTION("""COMPUTED_VALUE"""),"Ave
Dallas,")</f>
        <v>Ave
Dallas,</v>
      </c>
      <c r="H416" s="22" t="str">
        <f>IFERROR(__xludf.DUMMYFUNCTION("""COMPUTED_VALUE"""),"TX")</f>
        <v>TX</v>
      </c>
      <c r="I416" s="22">
        <f>IFERROR(__xludf.DUMMYFUNCTION("""COMPUTED_VALUE"""),75201.0)</f>
        <v>75201</v>
      </c>
      <c r="J416" s="22"/>
      <c r="K416" s="22"/>
      <c r="L416" s="22"/>
      <c r="M416" s="22"/>
      <c r="N416" s="22"/>
      <c r="O416" s="22"/>
      <c r="P416" s="22"/>
      <c r="Q416" s="22"/>
      <c r="R416" s="22"/>
      <c r="S416" s="22"/>
      <c r="T416" s="22"/>
      <c r="U416" s="24" t="str">
        <f>IFERROR(__xludf.DUMMYFUNCTION("SPLIT(E416,""01234567890"")"),"Tim
")</f>
        <v>Tim
</v>
      </c>
      <c r="V416" s="24" t="str">
        <f>IFERROR(__xludf.DUMMYFUNCTION("SPLIT(D416,"","")"),"Byrne")</f>
        <v>Byrne</v>
      </c>
      <c r="W416" s="25" t="str">
        <f t="shared" si="1"/>
        <v>TIM
 BYRNE</v>
      </c>
      <c r="X416" s="25" t="s">
        <v>1157</v>
      </c>
      <c r="Y416" s="25">
        <v>75201.0</v>
      </c>
      <c r="Z416" s="25" t="str">
        <f>IFERROR(__xludf.DUMMYFUNCTION("SPLIT(C416,""
"")"),"Byrne, Tim")</f>
        <v>Byrne, Tim</v>
      </c>
      <c r="AA416" s="25" t="str">
        <f>IFERROR(__xludf.DUMMYFUNCTION("""COMPUTED_VALUE"""),"2000 McKinney Ave")</f>
        <v>2000 McKinney Ave</v>
      </c>
      <c r="AB416" s="25" t="str">
        <f>IFERROR(__xludf.DUMMYFUNCTION("""COMPUTED_VALUE"""),"Dallas, TX 75201")</f>
        <v>Dallas, TX 75201</v>
      </c>
      <c r="AC416" s="24" t="s">
        <v>1158</v>
      </c>
      <c r="AD416" s="25"/>
      <c r="AE416" s="25"/>
      <c r="AF416" s="25"/>
      <c r="AG416" s="22" t="s">
        <v>60</v>
      </c>
      <c r="AH416" s="54">
        <v>2441.0</v>
      </c>
      <c r="AI416" s="22" t="s">
        <v>61</v>
      </c>
      <c r="AJ416" s="27">
        <v>5000.0</v>
      </c>
      <c r="AK416" s="31" t="s">
        <v>21</v>
      </c>
      <c r="AL416" s="28">
        <v>44713.0</v>
      </c>
      <c r="AM416" s="29">
        <v>44756.4640625</v>
      </c>
      <c r="AN416" s="30">
        <v>2.0</v>
      </c>
      <c r="AO416" s="22"/>
      <c r="AP416" s="22"/>
      <c r="AQ416" s="22"/>
      <c r="AR416" s="22"/>
      <c r="AS416" s="22"/>
      <c r="AT416" s="70"/>
      <c r="AU416" s="22"/>
      <c r="AV416" s="57" t="str">
        <f>IFERROR(__xludf.DUMMYFUNCTION("""COMPUTED_VALUE"""),"Creuzot")</f>
        <v>Creuzot</v>
      </c>
      <c r="AW416" s="46">
        <f t="shared" si="7"/>
        <v>750</v>
      </c>
      <c r="AX416" s="47">
        <f t="shared" ref="AX416:BQ416" si="1358">SUMIFS($AJ:$AJ,$V:$V,$AV416,$AK:$AK,AX$2)</f>
        <v>0</v>
      </c>
      <c r="AY416" s="48">
        <f t="shared" si="1358"/>
        <v>0</v>
      </c>
      <c r="AZ416" s="48">
        <f t="shared" si="1358"/>
        <v>250</v>
      </c>
      <c r="BA416" s="48">
        <f t="shared" si="1358"/>
        <v>500</v>
      </c>
      <c r="BB416" s="48">
        <f t="shared" si="1358"/>
        <v>0</v>
      </c>
      <c r="BC416" s="48">
        <f t="shared" si="1358"/>
        <v>0</v>
      </c>
      <c r="BD416" s="48">
        <f t="shared" si="1358"/>
        <v>0</v>
      </c>
      <c r="BE416" s="48">
        <f t="shared" si="1358"/>
        <v>0</v>
      </c>
      <c r="BF416" s="48">
        <f t="shared" si="1358"/>
        <v>0</v>
      </c>
      <c r="BG416" s="48">
        <f t="shared" si="1358"/>
        <v>0</v>
      </c>
      <c r="BH416" s="48">
        <f t="shared" si="1358"/>
        <v>0</v>
      </c>
      <c r="BI416" s="48">
        <f t="shared" si="1358"/>
        <v>0</v>
      </c>
      <c r="BJ416" s="48">
        <f t="shared" si="1358"/>
        <v>0</v>
      </c>
      <c r="BK416" s="48">
        <f t="shared" si="1358"/>
        <v>0</v>
      </c>
      <c r="BL416" s="48">
        <f t="shared" si="1358"/>
        <v>0</v>
      </c>
      <c r="BM416" s="48">
        <f t="shared" si="1358"/>
        <v>0</v>
      </c>
      <c r="BN416" s="48">
        <f t="shared" si="1358"/>
        <v>0</v>
      </c>
      <c r="BO416" s="48">
        <f t="shared" si="1358"/>
        <v>0</v>
      </c>
      <c r="BP416" s="48">
        <f t="shared" si="1358"/>
        <v>0</v>
      </c>
      <c r="BQ416" s="48">
        <f t="shared" si="1358"/>
        <v>0</v>
      </c>
      <c r="BR416" s="36">
        <f t="shared" si="9"/>
        <v>0</v>
      </c>
      <c r="BS416" s="38">
        <f t="shared" si="10"/>
        <v>1</v>
      </c>
      <c r="BT416" s="49">
        <f t="shared" si="11"/>
        <v>0</v>
      </c>
      <c r="BU416" s="38">
        <f t="shared" si="12"/>
        <v>1000</v>
      </c>
      <c r="BV416" s="57" t="str">
        <f>IFERROR(__xludf.DUMMYFUNCTION("""COMPUTED_VALUE"""),"Creuzot")</f>
        <v>Creuzot</v>
      </c>
      <c r="BW416" s="46">
        <f t="shared" si="13"/>
        <v>750</v>
      </c>
      <c r="BX416" s="47">
        <f t="shared" ref="BX416:CA416" si="1359">AX416-$BU416</f>
        <v>-1000</v>
      </c>
      <c r="BY416" s="47">
        <f t="shared" si="1359"/>
        <v>-1000</v>
      </c>
      <c r="BZ416" s="47">
        <f t="shared" si="1359"/>
        <v>-750</v>
      </c>
      <c r="CA416" s="47">
        <f t="shared" si="1359"/>
        <v>-500</v>
      </c>
      <c r="CB416" s="47">
        <f t="shared" si="15"/>
        <v>-10000</v>
      </c>
      <c r="CC416" s="47">
        <f t="shared" ref="CC416:CQ416" si="1360">BC416-$BU416</f>
        <v>-1000</v>
      </c>
      <c r="CD416" s="47">
        <f t="shared" si="1360"/>
        <v>-1000</v>
      </c>
      <c r="CE416" s="47">
        <f t="shared" si="1360"/>
        <v>-1000</v>
      </c>
      <c r="CF416" s="47">
        <f t="shared" si="1360"/>
        <v>-1000</v>
      </c>
      <c r="CG416" s="47">
        <f t="shared" si="1360"/>
        <v>-1000</v>
      </c>
      <c r="CH416" s="47">
        <f t="shared" si="1360"/>
        <v>-1000</v>
      </c>
      <c r="CI416" s="47">
        <f t="shared" si="1360"/>
        <v>-1000</v>
      </c>
      <c r="CJ416" s="47">
        <f t="shared" si="1360"/>
        <v>-1000</v>
      </c>
      <c r="CK416" s="47">
        <f t="shared" si="1360"/>
        <v>-1000</v>
      </c>
      <c r="CL416" s="47">
        <f t="shared" si="1360"/>
        <v>-1000</v>
      </c>
      <c r="CM416" s="47">
        <f t="shared" si="1360"/>
        <v>-1000</v>
      </c>
      <c r="CN416" s="47">
        <f t="shared" si="1360"/>
        <v>-1000</v>
      </c>
      <c r="CO416" s="47">
        <f t="shared" si="1360"/>
        <v>-1000</v>
      </c>
      <c r="CP416" s="47">
        <f t="shared" si="1360"/>
        <v>-1000</v>
      </c>
      <c r="CQ416" s="47">
        <f t="shared" si="1360"/>
        <v>-1000</v>
      </c>
      <c r="CR416" s="47"/>
      <c r="CS416" s="47"/>
      <c r="CT416" s="47"/>
      <c r="CU416" s="50" t="str">
        <f>IFERROR(__xludf.DUMMYFUNCTION("""COMPUTED_VALUE"""),"3902 Fairlakes Dr
Dallas, TX 75228          ")</f>
        <v>3902 Fairlakes Dr
Dallas, TX 75228          </v>
      </c>
      <c r="CV416" s="51">
        <f>IFERROR(__xludf.DUMMYFUNCTION("IF(REGEXMATCH(UPPER(CU416), ""TX""),0,1)"),0.0)</f>
        <v>0</v>
      </c>
      <c r="CW416" s="51">
        <f>IFERROR(__xludf.DUMMYFUNCTION("IF(REGEXMATCH(UPPER(CU416), ""DALLAS""),0,1)"),0.0)</f>
        <v>0</v>
      </c>
      <c r="CX416" s="51">
        <f t="shared" si="17"/>
        <v>0</v>
      </c>
      <c r="CY416" s="51">
        <f t="shared" si="18"/>
        <v>0</v>
      </c>
      <c r="CZ416" s="52" t="str">
        <f t="shared" si="19"/>
        <v/>
      </c>
      <c r="DA416" s="58"/>
      <c r="DB416" s="52"/>
      <c r="DC416" s="52"/>
      <c r="DD416" s="52"/>
      <c r="DE416" s="52"/>
      <c r="DF416" s="52"/>
      <c r="DG416" s="52"/>
      <c r="DH416" s="52"/>
      <c r="DI416" s="52"/>
      <c r="DJ416" s="52"/>
      <c r="DK416" s="52"/>
      <c r="DL416" s="52"/>
      <c r="DM416" s="52"/>
      <c r="DN416" s="52"/>
      <c r="DO416" s="52"/>
      <c r="DP416" s="52"/>
      <c r="DQ416" s="52"/>
      <c r="DR416" s="52"/>
      <c r="DS416" s="52"/>
      <c r="DT416" s="52"/>
      <c r="DU416" s="52"/>
      <c r="DV416" s="52"/>
      <c r="DW416" s="52"/>
    </row>
    <row r="417">
      <c r="A417" s="40" t="s">
        <v>55</v>
      </c>
      <c r="B417" s="41" t="s">
        <v>56</v>
      </c>
      <c r="C417" s="31" t="s">
        <v>1159</v>
      </c>
      <c r="D417" s="25" t="str">
        <f>IFERROR(__xludf.DUMMYFUNCTION("SPLIT(C417,"" "")"),"Headington,")</f>
        <v>Headington,</v>
      </c>
      <c r="E417" s="40" t="str">
        <f>IFERROR(__xludf.DUMMYFUNCTION("""COMPUTED_VALUE"""),"Tim
1608")</f>
        <v>Tim
1608</v>
      </c>
      <c r="F417" s="40" t="str">
        <f>IFERROR(__xludf.DUMMYFUNCTION("""COMPUTED_VALUE"""),"Main")</f>
        <v>Main</v>
      </c>
      <c r="G417" s="40" t="str">
        <f>IFERROR(__xludf.DUMMYFUNCTION("""COMPUTED_VALUE"""),"Street
Dallas,")</f>
        <v>Street
Dallas,</v>
      </c>
      <c r="H417" s="40" t="str">
        <f>IFERROR(__xludf.DUMMYFUNCTION("""COMPUTED_VALUE"""),"TX")</f>
        <v>TX</v>
      </c>
      <c r="I417" s="40">
        <f>IFERROR(__xludf.DUMMYFUNCTION("""COMPUTED_VALUE"""),75201.0)</f>
        <v>75201</v>
      </c>
      <c r="J417" s="40"/>
      <c r="K417" s="40"/>
      <c r="L417" s="40"/>
      <c r="M417" s="40"/>
      <c r="N417" s="40"/>
      <c r="O417" s="40"/>
      <c r="P417" s="40"/>
      <c r="Q417" s="40"/>
      <c r="R417" s="40"/>
      <c r="S417" s="40"/>
      <c r="T417" s="40"/>
      <c r="U417" s="24" t="str">
        <f>IFERROR(__xludf.DUMMYFUNCTION("SPLIT(E417,""01234567890"")"),"Tim
")</f>
        <v>Tim
</v>
      </c>
      <c r="V417" s="24" t="str">
        <f>IFERROR(__xludf.DUMMYFUNCTION("SPLIT(D417,"","")"),"Headington")</f>
        <v>Headington</v>
      </c>
      <c r="W417" s="25" t="str">
        <f t="shared" si="1"/>
        <v>TIM
 HEADINGTON</v>
      </c>
      <c r="X417" s="25" t="s">
        <v>1160</v>
      </c>
      <c r="Y417" s="25">
        <v>75201.0</v>
      </c>
      <c r="Z417" s="25" t="str">
        <f>IFERROR(__xludf.DUMMYFUNCTION("SPLIT(C417,""
"")"),"Headington, Tim")</f>
        <v>Headington, Tim</v>
      </c>
      <c r="AA417" s="25" t="str">
        <f>IFERROR(__xludf.DUMMYFUNCTION("""COMPUTED_VALUE"""),"1608 Main Street")</f>
        <v>1608 Main Street</v>
      </c>
      <c r="AB417" s="25" t="str">
        <f>IFERROR(__xludf.DUMMYFUNCTION("""COMPUTED_VALUE"""),"Dallas, TX 75201")</f>
        <v>Dallas, TX 75201</v>
      </c>
      <c r="AC417" s="24" t="s">
        <v>1161</v>
      </c>
      <c r="AD417" s="25"/>
      <c r="AE417" s="25"/>
      <c r="AF417" s="25"/>
      <c r="AG417" s="40" t="s">
        <v>60</v>
      </c>
      <c r="AH417" s="42">
        <v>2441.0</v>
      </c>
      <c r="AI417" s="40" t="s">
        <v>61</v>
      </c>
      <c r="AJ417" s="27">
        <v>5000.0</v>
      </c>
      <c r="AK417" s="31" t="s">
        <v>21</v>
      </c>
      <c r="AL417" s="43">
        <v>44713.0</v>
      </c>
      <c r="AM417" s="44">
        <v>44756.4640625</v>
      </c>
      <c r="AN417" s="30">
        <v>2.0</v>
      </c>
      <c r="AO417" s="40"/>
      <c r="AP417" s="40"/>
      <c r="AQ417" s="40"/>
      <c r="AR417" s="40"/>
      <c r="AS417" s="40"/>
      <c r="AT417" s="47"/>
      <c r="AU417" s="40"/>
      <c r="AV417" s="46" t="str">
        <f>IFERROR(__xludf.DUMMYFUNCTION("""COMPUTED_VALUE"""),"Givens")</f>
        <v>Givens</v>
      </c>
      <c r="AW417" s="46">
        <f t="shared" si="7"/>
        <v>200</v>
      </c>
      <c r="AX417" s="47">
        <f t="shared" ref="AX417:BQ417" si="1361">SUMIFS($AJ:$AJ,$V:$V,$AV417,$AK:$AK,AX$2)</f>
        <v>0</v>
      </c>
      <c r="AY417" s="48">
        <f t="shared" si="1361"/>
        <v>0</v>
      </c>
      <c r="AZ417" s="48">
        <f t="shared" si="1361"/>
        <v>0</v>
      </c>
      <c r="BA417" s="48">
        <f t="shared" si="1361"/>
        <v>200</v>
      </c>
      <c r="BB417" s="48">
        <f t="shared" si="1361"/>
        <v>0</v>
      </c>
      <c r="BC417" s="48">
        <f t="shared" si="1361"/>
        <v>0</v>
      </c>
      <c r="BD417" s="48">
        <f t="shared" si="1361"/>
        <v>0</v>
      </c>
      <c r="BE417" s="48">
        <f t="shared" si="1361"/>
        <v>0</v>
      </c>
      <c r="BF417" s="48">
        <f t="shared" si="1361"/>
        <v>0</v>
      </c>
      <c r="BG417" s="48">
        <f t="shared" si="1361"/>
        <v>0</v>
      </c>
      <c r="BH417" s="48">
        <f t="shared" si="1361"/>
        <v>0</v>
      </c>
      <c r="BI417" s="48">
        <f t="shared" si="1361"/>
        <v>0</v>
      </c>
      <c r="BJ417" s="48">
        <f t="shared" si="1361"/>
        <v>0</v>
      </c>
      <c r="BK417" s="48">
        <f t="shared" si="1361"/>
        <v>0</v>
      </c>
      <c r="BL417" s="48">
        <f t="shared" si="1361"/>
        <v>0</v>
      </c>
      <c r="BM417" s="48">
        <f t="shared" si="1361"/>
        <v>0</v>
      </c>
      <c r="BN417" s="48">
        <f t="shared" si="1361"/>
        <v>0</v>
      </c>
      <c r="BO417" s="48">
        <f t="shared" si="1361"/>
        <v>0</v>
      </c>
      <c r="BP417" s="48">
        <f t="shared" si="1361"/>
        <v>0</v>
      </c>
      <c r="BQ417" s="48">
        <f t="shared" si="1361"/>
        <v>0</v>
      </c>
      <c r="BR417" s="36">
        <f t="shared" si="9"/>
        <v>0</v>
      </c>
      <c r="BS417" s="38">
        <f t="shared" si="10"/>
        <v>1</v>
      </c>
      <c r="BT417" s="49">
        <f t="shared" si="11"/>
        <v>0</v>
      </c>
      <c r="BU417" s="38">
        <f t="shared" si="12"/>
        <v>1000</v>
      </c>
      <c r="BV417" s="46" t="str">
        <f>IFERROR(__xludf.DUMMYFUNCTION("""COMPUTED_VALUE"""),"Givens")</f>
        <v>Givens</v>
      </c>
      <c r="BW417" s="46">
        <f t="shared" si="13"/>
        <v>200</v>
      </c>
      <c r="BX417" s="47">
        <f t="shared" ref="BX417:CA417" si="1362">AX417-$BU417</f>
        <v>-1000</v>
      </c>
      <c r="BY417" s="47">
        <f t="shared" si="1362"/>
        <v>-1000</v>
      </c>
      <c r="BZ417" s="47">
        <f t="shared" si="1362"/>
        <v>-1000</v>
      </c>
      <c r="CA417" s="47">
        <f t="shared" si="1362"/>
        <v>-800</v>
      </c>
      <c r="CB417" s="47">
        <f t="shared" si="15"/>
        <v>-10000</v>
      </c>
      <c r="CC417" s="47">
        <f t="shared" ref="CC417:CQ417" si="1363">BC417-$BU417</f>
        <v>-1000</v>
      </c>
      <c r="CD417" s="47">
        <f t="shared" si="1363"/>
        <v>-1000</v>
      </c>
      <c r="CE417" s="47">
        <f t="shared" si="1363"/>
        <v>-1000</v>
      </c>
      <c r="CF417" s="47">
        <f t="shared" si="1363"/>
        <v>-1000</v>
      </c>
      <c r="CG417" s="47">
        <f t="shared" si="1363"/>
        <v>-1000</v>
      </c>
      <c r="CH417" s="47">
        <f t="shared" si="1363"/>
        <v>-1000</v>
      </c>
      <c r="CI417" s="47">
        <f t="shared" si="1363"/>
        <v>-1000</v>
      </c>
      <c r="CJ417" s="47">
        <f t="shared" si="1363"/>
        <v>-1000</v>
      </c>
      <c r="CK417" s="47">
        <f t="shared" si="1363"/>
        <v>-1000</v>
      </c>
      <c r="CL417" s="47">
        <f t="shared" si="1363"/>
        <v>-1000</v>
      </c>
      <c r="CM417" s="47">
        <f t="shared" si="1363"/>
        <v>-1000</v>
      </c>
      <c r="CN417" s="47">
        <f t="shared" si="1363"/>
        <v>-1000</v>
      </c>
      <c r="CO417" s="47">
        <f t="shared" si="1363"/>
        <v>-1000</v>
      </c>
      <c r="CP417" s="47">
        <f t="shared" si="1363"/>
        <v>-1000</v>
      </c>
      <c r="CQ417" s="47">
        <f t="shared" si="1363"/>
        <v>-1000</v>
      </c>
      <c r="CR417" s="47"/>
      <c r="CS417" s="47"/>
      <c r="CT417" s="47"/>
      <c r="CU417" s="50" t="str">
        <f>IFERROR(__xludf.DUMMYFUNCTION("""COMPUTED_VALUE"""),"
 Box 670865
Dallas, TX 75367          ")</f>
        <v>
 Box 670865
Dallas, TX 75367          </v>
      </c>
      <c r="CV417" s="51">
        <f>IFERROR(__xludf.DUMMYFUNCTION("IF(REGEXMATCH(UPPER(CU417), ""TX""),0,1)"),0.0)</f>
        <v>0</v>
      </c>
      <c r="CW417" s="51">
        <f>IFERROR(__xludf.DUMMYFUNCTION("IF(REGEXMATCH(UPPER(CU417), ""DALLAS""),0,1)"),0.0)</f>
        <v>0</v>
      </c>
      <c r="CX417" s="51">
        <f t="shared" si="17"/>
        <v>0</v>
      </c>
      <c r="CY417" s="51">
        <f t="shared" si="18"/>
        <v>0</v>
      </c>
      <c r="CZ417" s="52" t="str">
        <f t="shared" si="19"/>
        <v/>
      </c>
      <c r="DA417" s="58"/>
      <c r="DB417" s="52"/>
      <c r="DC417" s="52"/>
      <c r="DD417" s="52"/>
      <c r="DE417" s="52"/>
      <c r="DF417" s="52"/>
      <c r="DG417" s="52"/>
      <c r="DH417" s="52"/>
      <c r="DI417" s="52"/>
      <c r="DJ417" s="52"/>
      <c r="DK417" s="52"/>
      <c r="DL417" s="52"/>
      <c r="DM417" s="52"/>
      <c r="DN417" s="52"/>
      <c r="DO417" s="52"/>
      <c r="DP417" s="52"/>
      <c r="DQ417" s="52"/>
      <c r="DR417" s="52"/>
      <c r="DS417" s="52"/>
      <c r="DT417" s="52"/>
      <c r="DU417" s="52"/>
      <c r="DV417" s="52"/>
      <c r="DW417" s="52"/>
    </row>
    <row r="418">
      <c r="A418" s="22" t="s">
        <v>55</v>
      </c>
      <c r="B418" s="23" t="s">
        <v>56</v>
      </c>
      <c r="C418" s="31" t="s">
        <v>1162</v>
      </c>
      <c r="D418" s="25" t="str">
        <f>IFERROR(__xludf.DUMMYFUNCTION("SPLIT(C418,"" "")"),"Hancock,")</f>
        <v>Hancock,</v>
      </c>
      <c r="E418" s="22" t="str">
        <f>IFERROR(__xludf.DUMMYFUNCTION("""COMPUTED_VALUE"""),"Barry
4514")</f>
        <v>Barry
4514</v>
      </c>
      <c r="F418" s="22" t="str">
        <f>IFERROR(__xludf.DUMMYFUNCTION("""COMPUTED_VALUE"""),"Travis")</f>
        <v>Travis</v>
      </c>
      <c r="G418" s="22" t="str">
        <f>IFERROR(__xludf.DUMMYFUNCTION("""COMPUTED_VALUE"""),"Street
Dallas,")</f>
        <v>Street
Dallas,</v>
      </c>
      <c r="H418" s="22" t="str">
        <f>IFERROR(__xludf.DUMMYFUNCTION("""COMPUTED_VALUE"""),"TX")</f>
        <v>TX</v>
      </c>
      <c r="I418" s="22">
        <f>IFERROR(__xludf.DUMMYFUNCTION("""COMPUTED_VALUE"""),75205.0)</f>
        <v>75205</v>
      </c>
      <c r="J418" s="22"/>
      <c r="K418" s="22"/>
      <c r="L418" s="22"/>
      <c r="M418" s="22"/>
      <c r="N418" s="22"/>
      <c r="O418" s="22"/>
      <c r="P418" s="22"/>
      <c r="Q418" s="22"/>
      <c r="R418" s="22"/>
      <c r="S418" s="22"/>
      <c r="T418" s="22"/>
      <c r="U418" s="24" t="str">
        <f>IFERROR(__xludf.DUMMYFUNCTION("SPLIT(E418,""01234567890"")"),"Barry
")</f>
        <v>Barry
</v>
      </c>
      <c r="V418" s="24" t="str">
        <f>IFERROR(__xludf.DUMMYFUNCTION("SPLIT(D418,"","")"),"Hancock")</f>
        <v>Hancock</v>
      </c>
      <c r="W418" s="25" t="str">
        <f t="shared" si="1"/>
        <v>BARRY
 HANCOCK</v>
      </c>
      <c r="X418" s="25" t="s">
        <v>1163</v>
      </c>
      <c r="Y418" s="25">
        <v>75205.0</v>
      </c>
      <c r="Z418" s="25" t="str">
        <f>IFERROR(__xludf.DUMMYFUNCTION("SPLIT(C418,""
"")"),"Hancock, Barry")</f>
        <v>Hancock, Barry</v>
      </c>
      <c r="AA418" s="25" t="str">
        <f>IFERROR(__xludf.DUMMYFUNCTION("""COMPUTED_VALUE"""),"4514 Travis Street")</f>
        <v>4514 Travis Street</v>
      </c>
      <c r="AB418" s="25" t="str">
        <f>IFERROR(__xludf.DUMMYFUNCTION("""COMPUTED_VALUE"""),"Dallas, TX 75205")</f>
        <v>Dallas, TX 75205</v>
      </c>
      <c r="AC418" s="24" t="s">
        <v>1164</v>
      </c>
      <c r="AD418" s="25"/>
      <c r="AE418" s="25"/>
      <c r="AF418" s="25"/>
      <c r="AG418" s="22" t="s">
        <v>60</v>
      </c>
      <c r="AH418" s="54">
        <v>2441.0</v>
      </c>
      <c r="AI418" s="22" t="s">
        <v>61</v>
      </c>
      <c r="AJ418" s="27">
        <v>1000.0</v>
      </c>
      <c r="AK418" s="31" t="s">
        <v>21</v>
      </c>
      <c r="AL418" s="28">
        <v>44700.0</v>
      </c>
      <c r="AM418" s="29">
        <v>44756.4640625</v>
      </c>
      <c r="AN418" s="30">
        <v>2.0</v>
      </c>
      <c r="AO418" s="22"/>
      <c r="AP418" s="22"/>
      <c r="AQ418" s="22"/>
      <c r="AR418" s="22"/>
      <c r="AS418" s="22"/>
      <c r="AT418" s="70"/>
      <c r="AU418" s="22"/>
      <c r="AV418" s="57" t="str">
        <f>IFERROR(__xludf.DUMMYFUNCTION("""COMPUTED_VALUE"""),"Jasso")</f>
        <v>Jasso</v>
      </c>
      <c r="AW418" s="46">
        <f t="shared" si="7"/>
        <v>100</v>
      </c>
      <c r="AX418" s="47">
        <f t="shared" ref="AX418:BQ418" si="1364">SUMIFS($AJ:$AJ,$V:$V,$AV418,$AK:$AK,AX$2)</f>
        <v>0</v>
      </c>
      <c r="AY418" s="48">
        <f t="shared" si="1364"/>
        <v>0</v>
      </c>
      <c r="AZ418" s="48">
        <f t="shared" si="1364"/>
        <v>0</v>
      </c>
      <c r="BA418" s="48">
        <f t="shared" si="1364"/>
        <v>100</v>
      </c>
      <c r="BB418" s="48">
        <f t="shared" si="1364"/>
        <v>0</v>
      </c>
      <c r="BC418" s="48">
        <f t="shared" si="1364"/>
        <v>0</v>
      </c>
      <c r="BD418" s="48">
        <f t="shared" si="1364"/>
        <v>0</v>
      </c>
      <c r="BE418" s="48">
        <f t="shared" si="1364"/>
        <v>0</v>
      </c>
      <c r="BF418" s="48">
        <f t="shared" si="1364"/>
        <v>0</v>
      </c>
      <c r="BG418" s="48">
        <f t="shared" si="1364"/>
        <v>0</v>
      </c>
      <c r="BH418" s="48">
        <f t="shared" si="1364"/>
        <v>0</v>
      </c>
      <c r="BI418" s="48">
        <f t="shared" si="1364"/>
        <v>0</v>
      </c>
      <c r="BJ418" s="48">
        <f t="shared" si="1364"/>
        <v>0</v>
      </c>
      <c r="BK418" s="48">
        <f t="shared" si="1364"/>
        <v>0</v>
      </c>
      <c r="BL418" s="48">
        <f t="shared" si="1364"/>
        <v>0</v>
      </c>
      <c r="BM418" s="48">
        <f t="shared" si="1364"/>
        <v>0</v>
      </c>
      <c r="BN418" s="48">
        <f t="shared" si="1364"/>
        <v>0</v>
      </c>
      <c r="BO418" s="48">
        <f t="shared" si="1364"/>
        <v>0</v>
      </c>
      <c r="BP418" s="48">
        <f t="shared" si="1364"/>
        <v>0</v>
      </c>
      <c r="BQ418" s="48">
        <f t="shared" si="1364"/>
        <v>0</v>
      </c>
      <c r="BR418" s="36">
        <f t="shared" si="9"/>
        <v>0</v>
      </c>
      <c r="BS418" s="38">
        <f t="shared" si="10"/>
        <v>1</v>
      </c>
      <c r="BT418" s="49">
        <f t="shared" si="11"/>
        <v>0</v>
      </c>
      <c r="BU418" s="38">
        <f t="shared" si="12"/>
        <v>1000</v>
      </c>
      <c r="BV418" s="57" t="str">
        <f>IFERROR(__xludf.DUMMYFUNCTION("""COMPUTED_VALUE"""),"Jasso")</f>
        <v>Jasso</v>
      </c>
      <c r="BW418" s="46">
        <f t="shared" si="13"/>
        <v>100</v>
      </c>
      <c r="BX418" s="47">
        <f t="shared" ref="BX418:CA418" si="1365">AX418-$BU418</f>
        <v>-1000</v>
      </c>
      <c r="BY418" s="47">
        <f t="shared" si="1365"/>
        <v>-1000</v>
      </c>
      <c r="BZ418" s="47">
        <f t="shared" si="1365"/>
        <v>-1000</v>
      </c>
      <c r="CA418" s="47">
        <f t="shared" si="1365"/>
        <v>-900</v>
      </c>
      <c r="CB418" s="47">
        <f t="shared" si="15"/>
        <v>-10000</v>
      </c>
      <c r="CC418" s="47">
        <f t="shared" ref="CC418:CQ418" si="1366">BC418-$BU418</f>
        <v>-1000</v>
      </c>
      <c r="CD418" s="47">
        <f t="shared" si="1366"/>
        <v>-1000</v>
      </c>
      <c r="CE418" s="47">
        <f t="shared" si="1366"/>
        <v>-1000</v>
      </c>
      <c r="CF418" s="47">
        <f t="shared" si="1366"/>
        <v>-1000</v>
      </c>
      <c r="CG418" s="47">
        <f t="shared" si="1366"/>
        <v>-1000</v>
      </c>
      <c r="CH418" s="47">
        <f t="shared" si="1366"/>
        <v>-1000</v>
      </c>
      <c r="CI418" s="47">
        <f t="shared" si="1366"/>
        <v>-1000</v>
      </c>
      <c r="CJ418" s="47">
        <f t="shared" si="1366"/>
        <v>-1000</v>
      </c>
      <c r="CK418" s="47">
        <f t="shared" si="1366"/>
        <v>-1000</v>
      </c>
      <c r="CL418" s="47">
        <f t="shared" si="1366"/>
        <v>-1000</v>
      </c>
      <c r="CM418" s="47">
        <f t="shared" si="1366"/>
        <v>-1000</v>
      </c>
      <c r="CN418" s="47">
        <f t="shared" si="1366"/>
        <v>-1000</v>
      </c>
      <c r="CO418" s="47">
        <f t="shared" si="1366"/>
        <v>-1000</v>
      </c>
      <c r="CP418" s="47">
        <f t="shared" si="1366"/>
        <v>-1000</v>
      </c>
      <c r="CQ418" s="47">
        <f t="shared" si="1366"/>
        <v>-1000</v>
      </c>
      <c r="CR418" s="47"/>
      <c r="CS418" s="47"/>
      <c r="CT418" s="47"/>
      <c r="CU418" s="50" t="str">
        <f>IFERROR(__xludf.DUMMYFUNCTION("""COMPUTED_VALUE"""),"614 Bishop
Dallas, TX 75208           ")</f>
        <v>614 Bishop
Dallas, TX 75208           </v>
      </c>
      <c r="CV418" s="51">
        <f>IFERROR(__xludf.DUMMYFUNCTION("IF(REGEXMATCH(UPPER(CU418), ""TX""),0,1)"),0.0)</f>
        <v>0</v>
      </c>
      <c r="CW418" s="51">
        <f>IFERROR(__xludf.DUMMYFUNCTION("IF(REGEXMATCH(UPPER(CU418), ""DALLAS""),0,1)"),0.0)</f>
        <v>0</v>
      </c>
      <c r="CX418" s="51">
        <f t="shared" si="17"/>
        <v>0</v>
      </c>
      <c r="CY418" s="51">
        <f t="shared" si="18"/>
        <v>0</v>
      </c>
      <c r="CZ418" s="52" t="str">
        <f t="shared" si="19"/>
        <v/>
      </c>
      <c r="DA418" s="58"/>
      <c r="DB418" s="52"/>
      <c r="DC418" s="52"/>
      <c r="DD418" s="52"/>
      <c r="DE418" s="52"/>
      <c r="DF418" s="52"/>
      <c r="DG418" s="52"/>
      <c r="DH418" s="52"/>
      <c r="DI418" s="52"/>
      <c r="DJ418" s="52"/>
      <c r="DK418" s="52"/>
      <c r="DL418" s="52"/>
      <c r="DM418" s="52"/>
      <c r="DN418" s="52"/>
      <c r="DO418" s="52"/>
      <c r="DP418" s="52"/>
      <c r="DQ418" s="52"/>
      <c r="DR418" s="52"/>
      <c r="DS418" s="52"/>
      <c r="DT418" s="52"/>
      <c r="DU418" s="52"/>
      <c r="DV418" s="52"/>
      <c r="DW418" s="52"/>
    </row>
    <row r="419">
      <c r="A419" s="40" t="s">
        <v>55</v>
      </c>
      <c r="B419" s="41" t="s">
        <v>56</v>
      </c>
      <c r="C419" s="31" t="s">
        <v>1165</v>
      </c>
      <c r="D419" s="25" t="str">
        <f>IFERROR(__xludf.DUMMYFUNCTION("SPLIT(C419,"" "")"),"Hunt,")</f>
        <v>Hunt,</v>
      </c>
      <c r="E419" s="40" t="str">
        <f>IFERROR(__xludf.DUMMYFUNCTION("""COMPUTED_VALUE"""),"Angela
8811")</f>
        <v>Angela
8811</v>
      </c>
      <c r="F419" s="40" t="str">
        <f>IFERROR(__xludf.DUMMYFUNCTION("""COMPUTED_VALUE"""),"Antrim")</f>
        <v>Antrim</v>
      </c>
      <c r="G419" s="40" t="str">
        <f>IFERROR(__xludf.DUMMYFUNCTION("""COMPUTED_VALUE"""),"Drive
Dallas,")</f>
        <v>Drive
Dallas,</v>
      </c>
      <c r="H419" s="40" t="str">
        <f>IFERROR(__xludf.DUMMYFUNCTION("""COMPUTED_VALUE"""),"TX")</f>
        <v>TX</v>
      </c>
      <c r="I419" s="40">
        <f>IFERROR(__xludf.DUMMYFUNCTION("""COMPUTED_VALUE"""),75218.0)</f>
        <v>75218</v>
      </c>
      <c r="J419" s="40"/>
      <c r="K419" s="40"/>
      <c r="L419" s="40"/>
      <c r="M419" s="40"/>
      <c r="N419" s="40"/>
      <c r="O419" s="40"/>
      <c r="P419" s="40"/>
      <c r="Q419" s="40"/>
      <c r="R419" s="40"/>
      <c r="S419" s="40"/>
      <c r="T419" s="40"/>
      <c r="U419" s="24" t="str">
        <f>IFERROR(__xludf.DUMMYFUNCTION("SPLIT(E419,""01234567890"")"),"Angela
")</f>
        <v>Angela
</v>
      </c>
      <c r="V419" s="24" t="str">
        <f>IFERROR(__xludf.DUMMYFUNCTION("SPLIT(D419,"","")"),"Hunt")</f>
        <v>Hunt</v>
      </c>
      <c r="W419" s="25" t="str">
        <f t="shared" si="1"/>
        <v>ANGELA
 HUNT</v>
      </c>
      <c r="X419" s="25" t="s">
        <v>1166</v>
      </c>
      <c r="Y419" s="25">
        <v>75218.0</v>
      </c>
      <c r="Z419" s="25" t="str">
        <f>IFERROR(__xludf.DUMMYFUNCTION("SPLIT(C419,""
"")"),"Hunt, Angela")</f>
        <v>Hunt, Angela</v>
      </c>
      <c r="AA419" s="25" t="str">
        <f>IFERROR(__xludf.DUMMYFUNCTION("""COMPUTED_VALUE"""),"8811 Antrim Drive")</f>
        <v>8811 Antrim Drive</v>
      </c>
      <c r="AB419" s="25" t="str">
        <f>IFERROR(__xludf.DUMMYFUNCTION("""COMPUTED_VALUE"""),"Dallas, TX 75218")</f>
        <v>Dallas, TX 75218</v>
      </c>
      <c r="AC419" s="24" t="s">
        <v>1167</v>
      </c>
      <c r="AD419" s="25"/>
      <c r="AE419" s="25"/>
      <c r="AF419" s="25"/>
      <c r="AG419" s="40" t="s">
        <v>60</v>
      </c>
      <c r="AH419" s="42">
        <v>2441.0</v>
      </c>
      <c r="AI419" s="40" t="s">
        <v>61</v>
      </c>
      <c r="AJ419" s="27">
        <v>250.0</v>
      </c>
      <c r="AK419" s="31" t="s">
        <v>21</v>
      </c>
      <c r="AL419" s="43">
        <v>44742.0</v>
      </c>
      <c r="AM419" s="44">
        <v>44756.4640625</v>
      </c>
      <c r="AN419" s="30">
        <v>2.0</v>
      </c>
      <c r="AO419" s="40"/>
      <c r="AP419" s="40"/>
      <c r="AQ419" s="40"/>
      <c r="AR419" s="40"/>
      <c r="AS419" s="40"/>
      <c r="AT419" s="47"/>
      <c r="AU419" s="40"/>
      <c r="AV419" s="46" t="str">
        <f>IFERROR(__xludf.DUMMYFUNCTION("""COMPUTED_VALUE"""),"Malone")</f>
        <v>Malone</v>
      </c>
      <c r="AW419" s="46">
        <f t="shared" si="7"/>
        <v>500</v>
      </c>
      <c r="AX419" s="47">
        <f t="shared" ref="AX419:BQ419" si="1367">SUMIFS($AJ:$AJ,$V:$V,$AV419,$AK:$AK,AX$2)</f>
        <v>0</v>
      </c>
      <c r="AY419" s="48">
        <f t="shared" si="1367"/>
        <v>0</v>
      </c>
      <c r="AZ419" s="48">
        <f t="shared" si="1367"/>
        <v>0</v>
      </c>
      <c r="BA419" s="48">
        <f t="shared" si="1367"/>
        <v>500</v>
      </c>
      <c r="BB419" s="48">
        <f t="shared" si="1367"/>
        <v>0</v>
      </c>
      <c r="BC419" s="48">
        <f t="shared" si="1367"/>
        <v>0</v>
      </c>
      <c r="BD419" s="48">
        <f t="shared" si="1367"/>
        <v>0</v>
      </c>
      <c r="BE419" s="48">
        <f t="shared" si="1367"/>
        <v>0</v>
      </c>
      <c r="BF419" s="48">
        <f t="shared" si="1367"/>
        <v>0</v>
      </c>
      <c r="BG419" s="48">
        <f t="shared" si="1367"/>
        <v>0</v>
      </c>
      <c r="BH419" s="48">
        <f t="shared" si="1367"/>
        <v>0</v>
      </c>
      <c r="BI419" s="48">
        <f t="shared" si="1367"/>
        <v>0</v>
      </c>
      <c r="BJ419" s="48">
        <f t="shared" si="1367"/>
        <v>0</v>
      </c>
      <c r="BK419" s="48">
        <f t="shared" si="1367"/>
        <v>0</v>
      </c>
      <c r="BL419" s="48">
        <f t="shared" si="1367"/>
        <v>0</v>
      </c>
      <c r="BM419" s="48">
        <f t="shared" si="1367"/>
        <v>0</v>
      </c>
      <c r="BN419" s="48">
        <f t="shared" si="1367"/>
        <v>0</v>
      </c>
      <c r="BO419" s="48">
        <f t="shared" si="1367"/>
        <v>0</v>
      </c>
      <c r="BP419" s="48">
        <f t="shared" si="1367"/>
        <v>0</v>
      </c>
      <c r="BQ419" s="48">
        <f t="shared" si="1367"/>
        <v>0</v>
      </c>
      <c r="BR419" s="36">
        <f t="shared" si="9"/>
        <v>0</v>
      </c>
      <c r="BS419" s="38">
        <f t="shared" si="10"/>
        <v>1</v>
      </c>
      <c r="BT419" s="49">
        <f t="shared" si="11"/>
        <v>0</v>
      </c>
      <c r="BU419" s="38">
        <f t="shared" si="12"/>
        <v>1000</v>
      </c>
      <c r="BV419" s="46" t="str">
        <f>IFERROR(__xludf.DUMMYFUNCTION("""COMPUTED_VALUE"""),"Malone")</f>
        <v>Malone</v>
      </c>
      <c r="BW419" s="46">
        <f t="shared" si="13"/>
        <v>500</v>
      </c>
      <c r="BX419" s="47">
        <f t="shared" ref="BX419:CA419" si="1368">AX419-$BU419</f>
        <v>-1000</v>
      </c>
      <c r="BY419" s="47">
        <f t="shared" si="1368"/>
        <v>-1000</v>
      </c>
      <c r="BZ419" s="47">
        <f t="shared" si="1368"/>
        <v>-1000</v>
      </c>
      <c r="CA419" s="47">
        <f t="shared" si="1368"/>
        <v>-500</v>
      </c>
      <c r="CB419" s="47">
        <f t="shared" si="15"/>
        <v>-10000</v>
      </c>
      <c r="CC419" s="47">
        <f t="shared" ref="CC419:CQ419" si="1369">BC419-$BU419</f>
        <v>-1000</v>
      </c>
      <c r="CD419" s="47">
        <f t="shared" si="1369"/>
        <v>-1000</v>
      </c>
      <c r="CE419" s="47">
        <f t="shared" si="1369"/>
        <v>-1000</v>
      </c>
      <c r="CF419" s="47">
        <f t="shared" si="1369"/>
        <v>-1000</v>
      </c>
      <c r="CG419" s="47">
        <f t="shared" si="1369"/>
        <v>-1000</v>
      </c>
      <c r="CH419" s="47">
        <f t="shared" si="1369"/>
        <v>-1000</v>
      </c>
      <c r="CI419" s="47">
        <f t="shared" si="1369"/>
        <v>-1000</v>
      </c>
      <c r="CJ419" s="47">
        <f t="shared" si="1369"/>
        <v>-1000</v>
      </c>
      <c r="CK419" s="47">
        <f t="shared" si="1369"/>
        <v>-1000</v>
      </c>
      <c r="CL419" s="47">
        <f t="shared" si="1369"/>
        <v>-1000</v>
      </c>
      <c r="CM419" s="47">
        <f t="shared" si="1369"/>
        <v>-1000</v>
      </c>
      <c r="CN419" s="47">
        <f t="shared" si="1369"/>
        <v>-1000</v>
      </c>
      <c r="CO419" s="47">
        <f t="shared" si="1369"/>
        <v>-1000</v>
      </c>
      <c r="CP419" s="47">
        <f t="shared" si="1369"/>
        <v>-1000</v>
      </c>
      <c r="CQ419" s="47">
        <f t="shared" si="1369"/>
        <v>-1000</v>
      </c>
      <c r="CR419" s="47"/>
      <c r="CS419" s="47"/>
      <c r="CT419" s="47"/>
      <c r="CU419" s="50" t="str">
        <f>IFERROR(__xludf.DUMMYFUNCTION("""COMPUTED_VALUE"""),"8230 Claremont Drive
Dallas, TX 75228          ")</f>
        <v>8230 Claremont Drive
Dallas, TX 75228          </v>
      </c>
      <c r="CV419" s="51">
        <f>IFERROR(__xludf.DUMMYFUNCTION("IF(REGEXMATCH(UPPER(CU419), ""TX""),0,1)"),0.0)</f>
        <v>0</v>
      </c>
      <c r="CW419" s="51">
        <f>IFERROR(__xludf.DUMMYFUNCTION("IF(REGEXMATCH(UPPER(CU419), ""DALLAS""),0,1)"),0.0)</f>
        <v>0</v>
      </c>
      <c r="CX419" s="51">
        <f t="shared" si="17"/>
        <v>0</v>
      </c>
      <c r="CY419" s="51">
        <f t="shared" si="18"/>
        <v>0</v>
      </c>
      <c r="CZ419" s="52" t="str">
        <f t="shared" si="19"/>
        <v/>
      </c>
      <c r="DA419" s="58"/>
      <c r="DB419" s="52"/>
      <c r="DC419" s="52"/>
      <c r="DD419" s="52"/>
      <c r="DE419" s="52"/>
      <c r="DF419" s="52"/>
      <c r="DG419" s="52"/>
      <c r="DH419" s="52"/>
      <c r="DI419" s="52"/>
      <c r="DJ419" s="52"/>
      <c r="DK419" s="52"/>
      <c r="DL419" s="52"/>
      <c r="DM419" s="52"/>
      <c r="DN419" s="52"/>
      <c r="DO419" s="52"/>
      <c r="DP419" s="52"/>
      <c r="DQ419" s="52"/>
      <c r="DR419" s="52"/>
      <c r="DS419" s="52"/>
      <c r="DT419" s="52"/>
      <c r="DU419" s="52"/>
      <c r="DV419" s="52"/>
      <c r="DW419" s="52"/>
    </row>
    <row r="420">
      <c r="A420" s="22" t="s">
        <v>55</v>
      </c>
      <c r="B420" s="23" t="s">
        <v>56</v>
      </c>
      <c r="C420" s="31" t="s">
        <v>1168</v>
      </c>
      <c r="D420" s="25" t="str">
        <f>IFERROR(__xludf.DUMMYFUNCTION("SPLIT(C420,"" "")"),"Panipinto,")</f>
        <v>Panipinto,</v>
      </c>
      <c r="E420" s="22" t="str">
        <f>IFERROR(__xludf.DUMMYFUNCTION("""COMPUTED_VALUE"""),"Jim
6146")</f>
        <v>Jim
6146</v>
      </c>
      <c r="F420" s="22" t="str">
        <f>IFERROR(__xludf.DUMMYFUNCTION("""COMPUTED_VALUE"""),"Lupton")</f>
        <v>Lupton</v>
      </c>
      <c r="G420" s="22" t="str">
        <f>IFERROR(__xludf.DUMMYFUNCTION("""COMPUTED_VALUE"""),"Drive
Dallas,")</f>
        <v>Drive
Dallas,</v>
      </c>
      <c r="H420" s="22" t="str">
        <f>IFERROR(__xludf.DUMMYFUNCTION("""COMPUTED_VALUE"""),"TX")</f>
        <v>TX</v>
      </c>
      <c r="I420" s="22">
        <f>IFERROR(__xludf.DUMMYFUNCTION("""COMPUTED_VALUE"""),75225.0)</f>
        <v>75225</v>
      </c>
      <c r="J420" s="22"/>
      <c r="K420" s="22"/>
      <c r="L420" s="22"/>
      <c r="M420" s="22"/>
      <c r="N420" s="22"/>
      <c r="O420" s="22"/>
      <c r="P420" s="22"/>
      <c r="Q420" s="22"/>
      <c r="R420" s="22"/>
      <c r="S420" s="22"/>
      <c r="T420" s="22"/>
      <c r="U420" s="24" t="str">
        <f>IFERROR(__xludf.DUMMYFUNCTION("SPLIT(E420,""01234567890"")"),"Jim
")</f>
        <v>Jim
</v>
      </c>
      <c r="V420" s="24" t="str">
        <f>IFERROR(__xludf.DUMMYFUNCTION("SPLIT(D420,"","")"),"Panipinto")</f>
        <v>Panipinto</v>
      </c>
      <c r="W420" s="25" t="str">
        <f t="shared" si="1"/>
        <v>JIM
 PANIPINTO</v>
      </c>
      <c r="X420" s="25" t="s">
        <v>1169</v>
      </c>
      <c r="Y420" s="25">
        <v>75225.0</v>
      </c>
      <c r="Z420" s="25" t="str">
        <f>IFERROR(__xludf.DUMMYFUNCTION("SPLIT(C420,""
"")"),"Panipinto, Jim")</f>
        <v>Panipinto, Jim</v>
      </c>
      <c r="AA420" s="25" t="str">
        <f>IFERROR(__xludf.DUMMYFUNCTION("""COMPUTED_VALUE"""),"6146 Lupton Drive")</f>
        <v>6146 Lupton Drive</v>
      </c>
      <c r="AB420" s="25" t="str">
        <f>IFERROR(__xludf.DUMMYFUNCTION("""COMPUTED_VALUE"""),"Dallas, TX 75225")</f>
        <v>Dallas, TX 75225</v>
      </c>
      <c r="AC420" s="24" t="s">
        <v>1170</v>
      </c>
      <c r="AD420" s="25"/>
      <c r="AE420" s="25"/>
      <c r="AF420" s="25"/>
      <c r="AG420" s="22" t="s">
        <v>60</v>
      </c>
      <c r="AH420" s="54">
        <v>2445.0</v>
      </c>
      <c r="AI420" s="22" t="s">
        <v>61</v>
      </c>
      <c r="AJ420" s="27">
        <v>100.0</v>
      </c>
      <c r="AK420" s="31" t="s">
        <v>30</v>
      </c>
      <c r="AL420" s="28">
        <v>44742.0</v>
      </c>
      <c r="AM420" s="29">
        <v>44755.778402777774</v>
      </c>
      <c r="AN420" s="30">
        <v>2.0</v>
      </c>
      <c r="AO420" s="22"/>
      <c r="AP420" s="22"/>
      <c r="AQ420" s="22"/>
      <c r="AR420" s="22"/>
      <c r="AS420" s="22"/>
      <c r="AT420" s="70"/>
      <c r="AU420" s="22"/>
      <c r="AV420" s="57" t="str">
        <f>IFERROR(__xludf.DUMMYFUNCTION("""COMPUTED_VALUE"""),"Paluso")</f>
        <v>Paluso</v>
      </c>
      <c r="AW420" s="46">
        <f t="shared" si="7"/>
        <v>100</v>
      </c>
      <c r="AX420" s="47">
        <f t="shared" ref="AX420:BQ420" si="1370">SUMIFS($AJ:$AJ,$V:$V,$AV420,$AK:$AK,AX$2)</f>
        <v>0</v>
      </c>
      <c r="AY420" s="48">
        <f t="shared" si="1370"/>
        <v>0</v>
      </c>
      <c r="AZ420" s="48">
        <f t="shared" si="1370"/>
        <v>0</v>
      </c>
      <c r="BA420" s="48">
        <f t="shared" si="1370"/>
        <v>100</v>
      </c>
      <c r="BB420" s="48">
        <f t="shared" si="1370"/>
        <v>0</v>
      </c>
      <c r="BC420" s="48">
        <f t="shared" si="1370"/>
        <v>0</v>
      </c>
      <c r="BD420" s="48">
        <f t="shared" si="1370"/>
        <v>0</v>
      </c>
      <c r="BE420" s="48">
        <f t="shared" si="1370"/>
        <v>0</v>
      </c>
      <c r="BF420" s="48">
        <f t="shared" si="1370"/>
        <v>0</v>
      </c>
      <c r="BG420" s="48">
        <f t="shared" si="1370"/>
        <v>0</v>
      </c>
      <c r="BH420" s="48">
        <f t="shared" si="1370"/>
        <v>0</v>
      </c>
      <c r="BI420" s="48">
        <f t="shared" si="1370"/>
        <v>0</v>
      </c>
      <c r="BJ420" s="48">
        <f t="shared" si="1370"/>
        <v>0</v>
      </c>
      <c r="BK420" s="48">
        <f t="shared" si="1370"/>
        <v>0</v>
      </c>
      <c r="BL420" s="48">
        <f t="shared" si="1370"/>
        <v>0</v>
      </c>
      <c r="BM420" s="48">
        <f t="shared" si="1370"/>
        <v>0</v>
      </c>
      <c r="BN420" s="48">
        <f t="shared" si="1370"/>
        <v>0</v>
      </c>
      <c r="BO420" s="48">
        <f t="shared" si="1370"/>
        <v>0</v>
      </c>
      <c r="BP420" s="48">
        <f t="shared" si="1370"/>
        <v>0</v>
      </c>
      <c r="BQ420" s="48">
        <f t="shared" si="1370"/>
        <v>0</v>
      </c>
      <c r="BR420" s="36">
        <f t="shared" si="9"/>
        <v>0</v>
      </c>
      <c r="BS420" s="38">
        <f t="shared" si="10"/>
        <v>1</v>
      </c>
      <c r="BT420" s="49">
        <f t="shared" si="11"/>
        <v>0</v>
      </c>
      <c r="BU420" s="38">
        <f t="shared" si="12"/>
        <v>1000</v>
      </c>
      <c r="BV420" s="57" t="str">
        <f>IFERROR(__xludf.DUMMYFUNCTION("""COMPUTED_VALUE"""),"Paluso")</f>
        <v>Paluso</v>
      </c>
      <c r="BW420" s="46">
        <f t="shared" si="13"/>
        <v>100</v>
      </c>
      <c r="BX420" s="47">
        <f t="shared" ref="BX420:CA420" si="1371">AX420-$BU420</f>
        <v>-1000</v>
      </c>
      <c r="BY420" s="47">
        <f t="shared" si="1371"/>
        <v>-1000</v>
      </c>
      <c r="BZ420" s="47">
        <f t="shared" si="1371"/>
        <v>-1000</v>
      </c>
      <c r="CA420" s="47">
        <f t="shared" si="1371"/>
        <v>-900</v>
      </c>
      <c r="CB420" s="47">
        <f t="shared" si="15"/>
        <v>-10000</v>
      </c>
      <c r="CC420" s="47">
        <f t="shared" ref="CC420:CQ420" si="1372">BC420-$BU420</f>
        <v>-1000</v>
      </c>
      <c r="CD420" s="47">
        <f t="shared" si="1372"/>
        <v>-1000</v>
      </c>
      <c r="CE420" s="47">
        <f t="shared" si="1372"/>
        <v>-1000</v>
      </c>
      <c r="CF420" s="47">
        <f t="shared" si="1372"/>
        <v>-1000</v>
      </c>
      <c r="CG420" s="47">
        <f t="shared" si="1372"/>
        <v>-1000</v>
      </c>
      <c r="CH420" s="47">
        <f t="shared" si="1372"/>
        <v>-1000</v>
      </c>
      <c r="CI420" s="47">
        <f t="shared" si="1372"/>
        <v>-1000</v>
      </c>
      <c r="CJ420" s="47">
        <f t="shared" si="1372"/>
        <v>-1000</v>
      </c>
      <c r="CK420" s="47">
        <f t="shared" si="1372"/>
        <v>-1000</v>
      </c>
      <c r="CL420" s="47">
        <f t="shared" si="1372"/>
        <v>-1000</v>
      </c>
      <c r="CM420" s="47">
        <f t="shared" si="1372"/>
        <v>-1000</v>
      </c>
      <c r="CN420" s="47">
        <f t="shared" si="1372"/>
        <v>-1000</v>
      </c>
      <c r="CO420" s="47">
        <f t="shared" si="1372"/>
        <v>-1000</v>
      </c>
      <c r="CP420" s="47">
        <f t="shared" si="1372"/>
        <v>-1000</v>
      </c>
      <c r="CQ420" s="47">
        <f t="shared" si="1372"/>
        <v>-1000</v>
      </c>
      <c r="CR420" s="47"/>
      <c r="CS420" s="47"/>
      <c r="CT420" s="47"/>
      <c r="CU420" s="50" t="str">
        <f>IFERROR(__xludf.DUMMYFUNCTION("""COMPUTED_VALUE"""),"3317 Purdue
Dallas, TX 75226           ")</f>
        <v>3317 Purdue
Dallas, TX 75226           </v>
      </c>
      <c r="CV420" s="51">
        <f>IFERROR(__xludf.DUMMYFUNCTION("IF(REGEXMATCH(UPPER(CU420), ""TX""),0,1)"),0.0)</f>
        <v>0</v>
      </c>
      <c r="CW420" s="51">
        <f>IFERROR(__xludf.DUMMYFUNCTION("IF(REGEXMATCH(UPPER(CU420), ""DALLAS""),0,1)"),0.0)</f>
        <v>0</v>
      </c>
      <c r="CX420" s="51">
        <f t="shared" si="17"/>
        <v>0</v>
      </c>
      <c r="CY420" s="51">
        <f t="shared" si="18"/>
        <v>0</v>
      </c>
      <c r="CZ420" s="52" t="str">
        <f t="shared" si="19"/>
        <v/>
      </c>
      <c r="DA420" s="58"/>
      <c r="DB420" s="52"/>
      <c r="DC420" s="52"/>
      <c r="DD420" s="52"/>
      <c r="DE420" s="52"/>
      <c r="DF420" s="52"/>
      <c r="DG420" s="52"/>
      <c r="DH420" s="52"/>
      <c r="DI420" s="52"/>
      <c r="DJ420" s="52"/>
      <c r="DK420" s="52"/>
      <c r="DL420" s="52"/>
      <c r="DM420" s="52"/>
      <c r="DN420" s="52"/>
      <c r="DO420" s="52"/>
      <c r="DP420" s="52"/>
      <c r="DQ420" s="52"/>
      <c r="DR420" s="52"/>
      <c r="DS420" s="52"/>
      <c r="DT420" s="52"/>
      <c r="DU420" s="52"/>
      <c r="DV420" s="52"/>
      <c r="DW420" s="52"/>
    </row>
    <row r="421">
      <c r="A421" s="40" t="s">
        <v>55</v>
      </c>
      <c r="B421" s="41" t="s">
        <v>56</v>
      </c>
      <c r="C421" s="31" t="s">
        <v>1171</v>
      </c>
      <c r="D421" s="25" t="str">
        <f>IFERROR(__xludf.DUMMYFUNCTION("SPLIT(C421,"" "")"),"Howell,")</f>
        <v>Howell,</v>
      </c>
      <c r="E421" s="40" t="str">
        <f>IFERROR(__xludf.DUMMYFUNCTION("""COMPUTED_VALUE"""),"Kristen
3408")</f>
        <v>Kristen
3408</v>
      </c>
      <c r="F421" s="40" t="str">
        <f>IFERROR(__xludf.DUMMYFUNCTION("""COMPUTED_VALUE"""),"Purdue
Dallas,")</f>
        <v>Purdue
Dallas,</v>
      </c>
      <c r="G421" s="40" t="str">
        <f>IFERROR(__xludf.DUMMYFUNCTION("""COMPUTED_VALUE"""),"TX")</f>
        <v>TX</v>
      </c>
      <c r="H421" s="40">
        <f>IFERROR(__xludf.DUMMYFUNCTION("""COMPUTED_VALUE"""),75225.0)</f>
        <v>75225</v>
      </c>
      <c r="I421" s="40"/>
      <c r="J421" s="40"/>
      <c r="K421" s="40"/>
      <c r="L421" s="40"/>
      <c r="M421" s="40"/>
      <c r="N421" s="40"/>
      <c r="O421" s="40"/>
      <c r="P421" s="40"/>
      <c r="Q421" s="40"/>
      <c r="R421" s="40"/>
      <c r="S421" s="40"/>
      <c r="T421" s="40"/>
      <c r="U421" s="24" t="str">
        <f>IFERROR(__xludf.DUMMYFUNCTION("SPLIT(E421,""01234567890"")"),"Kristen
")</f>
        <v>Kristen
</v>
      </c>
      <c r="V421" s="24" t="str">
        <f>IFERROR(__xludf.DUMMYFUNCTION("SPLIT(D421,"","")"),"Howell")</f>
        <v>Howell</v>
      </c>
      <c r="W421" s="25" t="str">
        <f t="shared" si="1"/>
        <v>KRISTEN
 HOWELL</v>
      </c>
      <c r="X421" s="25" t="s">
        <v>1172</v>
      </c>
      <c r="Y421" s="25">
        <v>75225.0</v>
      </c>
      <c r="Z421" s="25" t="str">
        <f>IFERROR(__xludf.DUMMYFUNCTION("SPLIT(C421,""
"")"),"Howell, Kristen")</f>
        <v>Howell, Kristen</v>
      </c>
      <c r="AA421" s="25" t="str">
        <f>IFERROR(__xludf.DUMMYFUNCTION("""COMPUTED_VALUE"""),"3408 Purdue")</f>
        <v>3408 Purdue</v>
      </c>
      <c r="AB421" s="25" t="str">
        <f>IFERROR(__xludf.DUMMYFUNCTION("""COMPUTED_VALUE"""),"Dallas, TX 75225")</f>
        <v>Dallas, TX 75225</v>
      </c>
      <c r="AC421" s="24" t="s">
        <v>1173</v>
      </c>
      <c r="AD421" s="25"/>
      <c r="AE421" s="25"/>
      <c r="AF421" s="25"/>
      <c r="AG421" s="40" t="s">
        <v>60</v>
      </c>
      <c r="AH421" s="42">
        <v>2445.0</v>
      </c>
      <c r="AI421" s="40" t="s">
        <v>61</v>
      </c>
      <c r="AJ421" s="27">
        <v>500.0</v>
      </c>
      <c r="AK421" s="31" t="s">
        <v>30</v>
      </c>
      <c r="AL421" s="43">
        <v>44742.0</v>
      </c>
      <c r="AM421" s="44">
        <v>44755.778402777774</v>
      </c>
      <c r="AN421" s="30">
        <v>2.0</v>
      </c>
      <c r="AO421" s="40"/>
      <c r="AP421" s="40"/>
      <c r="AQ421" s="40"/>
      <c r="AR421" s="40"/>
      <c r="AS421" s="40"/>
      <c r="AT421" s="47"/>
      <c r="AU421" s="40"/>
      <c r="AV421" s="46" t="str">
        <f>IFERROR(__xludf.DUMMYFUNCTION("""COMPUTED_VALUE"""),"Rivas")</f>
        <v>Rivas</v>
      </c>
      <c r="AW421" s="46">
        <f t="shared" si="7"/>
        <v>100</v>
      </c>
      <c r="AX421" s="47">
        <f t="shared" ref="AX421:BQ421" si="1373">SUMIFS($AJ:$AJ,$V:$V,$AV421,$AK:$AK,AX$2)</f>
        <v>0</v>
      </c>
      <c r="AY421" s="48">
        <f t="shared" si="1373"/>
        <v>0</v>
      </c>
      <c r="AZ421" s="48">
        <f t="shared" si="1373"/>
        <v>0</v>
      </c>
      <c r="BA421" s="48">
        <f t="shared" si="1373"/>
        <v>100</v>
      </c>
      <c r="BB421" s="48">
        <f t="shared" si="1373"/>
        <v>0</v>
      </c>
      <c r="BC421" s="48">
        <f t="shared" si="1373"/>
        <v>0</v>
      </c>
      <c r="BD421" s="48">
        <f t="shared" si="1373"/>
        <v>0</v>
      </c>
      <c r="BE421" s="48">
        <f t="shared" si="1373"/>
        <v>0</v>
      </c>
      <c r="BF421" s="48">
        <f t="shared" si="1373"/>
        <v>0</v>
      </c>
      <c r="BG421" s="48">
        <f t="shared" si="1373"/>
        <v>0</v>
      </c>
      <c r="BH421" s="48">
        <f t="shared" si="1373"/>
        <v>0</v>
      </c>
      <c r="BI421" s="48">
        <f t="shared" si="1373"/>
        <v>0</v>
      </c>
      <c r="BJ421" s="48">
        <f t="shared" si="1373"/>
        <v>0</v>
      </c>
      <c r="BK421" s="48">
        <f t="shared" si="1373"/>
        <v>0</v>
      </c>
      <c r="BL421" s="48">
        <f t="shared" si="1373"/>
        <v>0</v>
      </c>
      <c r="BM421" s="48">
        <f t="shared" si="1373"/>
        <v>0</v>
      </c>
      <c r="BN421" s="48">
        <f t="shared" si="1373"/>
        <v>0</v>
      </c>
      <c r="BO421" s="48">
        <f t="shared" si="1373"/>
        <v>0</v>
      </c>
      <c r="BP421" s="48">
        <f t="shared" si="1373"/>
        <v>0</v>
      </c>
      <c r="BQ421" s="48">
        <f t="shared" si="1373"/>
        <v>0</v>
      </c>
      <c r="BR421" s="36">
        <f t="shared" si="9"/>
        <v>0</v>
      </c>
      <c r="BS421" s="38">
        <f t="shared" si="10"/>
        <v>1</v>
      </c>
      <c r="BT421" s="49">
        <f t="shared" si="11"/>
        <v>0</v>
      </c>
      <c r="BU421" s="38">
        <f t="shared" si="12"/>
        <v>1000</v>
      </c>
      <c r="BV421" s="46" t="str">
        <f>IFERROR(__xludf.DUMMYFUNCTION("""COMPUTED_VALUE"""),"Rivas")</f>
        <v>Rivas</v>
      </c>
      <c r="BW421" s="46">
        <f t="shared" si="13"/>
        <v>100</v>
      </c>
      <c r="BX421" s="47">
        <f t="shared" ref="BX421:CA421" si="1374">AX421-$BU421</f>
        <v>-1000</v>
      </c>
      <c r="BY421" s="47">
        <f t="shared" si="1374"/>
        <v>-1000</v>
      </c>
      <c r="BZ421" s="47">
        <f t="shared" si="1374"/>
        <v>-1000</v>
      </c>
      <c r="CA421" s="47">
        <f t="shared" si="1374"/>
        <v>-900</v>
      </c>
      <c r="CB421" s="47">
        <f t="shared" si="15"/>
        <v>-10000</v>
      </c>
      <c r="CC421" s="47">
        <f t="shared" ref="CC421:CQ421" si="1375">BC421-$BU421</f>
        <v>-1000</v>
      </c>
      <c r="CD421" s="47">
        <f t="shared" si="1375"/>
        <v>-1000</v>
      </c>
      <c r="CE421" s="47">
        <f t="shared" si="1375"/>
        <v>-1000</v>
      </c>
      <c r="CF421" s="47">
        <f t="shared" si="1375"/>
        <v>-1000</v>
      </c>
      <c r="CG421" s="47">
        <f t="shared" si="1375"/>
        <v>-1000</v>
      </c>
      <c r="CH421" s="47">
        <f t="shared" si="1375"/>
        <v>-1000</v>
      </c>
      <c r="CI421" s="47">
        <f t="shared" si="1375"/>
        <v>-1000</v>
      </c>
      <c r="CJ421" s="47">
        <f t="shared" si="1375"/>
        <v>-1000</v>
      </c>
      <c r="CK421" s="47">
        <f t="shared" si="1375"/>
        <v>-1000</v>
      </c>
      <c r="CL421" s="47">
        <f t="shared" si="1375"/>
        <v>-1000</v>
      </c>
      <c r="CM421" s="47">
        <f t="shared" si="1375"/>
        <v>-1000</v>
      </c>
      <c r="CN421" s="47">
        <f t="shared" si="1375"/>
        <v>-1000</v>
      </c>
      <c r="CO421" s="47">
        <f t="shared" si="1375"/>
        <v>-1000</v>
      </c>
      <c r="CP421" s="47">
        <f t="shared" si="1375"/>
        <v>-1000</v>
      </c>
      <c r="CQ421" s="47">
        <f t="shared" si="1375"/>
        <v>-1000</v>
      </c>
      <c r="CR421" s="47"/>
      <c r="CS421" s="47"/>
      <c r="CT421" s="47"/>
      <c r="CU421" s="50" t="str">
        <f>IFERROR(__xludf.DUMMYFUNCTION("""COMPUTED_VALUE"""),"5645 Caruth
Dallas, TX 75209           ")</f>
        <v>5645 Caruth
Dallas, TX 75209           </v>
      </c>
      <c r="CV421" s="51">
        <f>IFERROR(__xludf.DUMMYFUNCTION("IF(REGEXMATCH(UPPER(CU421), ""TX""),0,1)"),0.0)</f>
        <v>0</v>
      </c>
      <c r="CW421" s="51">
        <f>IFERROR(__xludf.DUMMYFUNCTION("IF(REGEXMATCH(UPPER(CU421), ""DALLAS""),0,1)"),0.0)</f>
        <v>0</v>
      </c>
      <c r="CX421" s="51">
        <f t="shared" si="17"/>
        <v>0</v>
      </c>
      <c r="CY421" s="51">
        <f t="shared" si="18"/>
        <v>0</v>
      </c>
      <c r="CZ421" s="52" t="str">
        <f t="shared" si="19"/>
        <v/>
      </c>
      <c r="DA421" s="58"/>
      <c r="DB421" s="52"/>
      <c r="DC421" s="52"/>
      <c r="DD421" s="52"/>
      <c r="DE421" s="52"/>
      <c r="DF421" s="52"/>
      <c r="DG421" s="52"/>
      <c r="DH421" s="52"/>
      <c r="DI421" s="52"/>
      <c r="DJ421" s="52"/>
      <c r="DK421" s="52"/>
      <c r="DL421" s="52"/>
      <c r="DM421" s="52"/>
      <c r="DN421" s="52"/>
      <c r="DO421" s="52"/>
      <c r="DP421" s="52"/>
      <c r="DQ421" s="52"/>
      <c r="DR421" s="52"/>
      <c r="DS421" s="52"/>
      <c r="DT421" s="52"/>
      <c r="DU421" s="52"/>
      <c r="DV421" s="52"/>
      <c r="DW421" s="52"/>
    </row>
    <row r="422">
      <c r="A422" s="22" t="s">
        <v>55</v>
      </c>
      <c r="B422" s="23" t="s">
        <v>56</v>
      </c>
      <c r="C422" s="31" t="s">
        <v>1174</v>
      </c>
      <c r="D422" s="25" t="str">
        <f>IFERROR(__xludf.DUMMYFUNCTION("SPLIT(C422,"" "")"),"Perkins,")</f>
        <v>Perkins,</v>
      </c>
      <c r="E422" s="22" t="str">
        <f>IFERROR(__xludf.DUMMYFUNCTION("""COMPUTED_VALUE"""),"Mark
8911")</f>
        <v>Mark
8911</v>
      </c>
      <c r="F422" s="22" t="str">
        <f>IFERROR(__xludf.DUMMYFUNCTION("""COMPUTED_VALUE"""),"Guernsey")</f>
        <v>Guernsey</v>
      </c>
      <c r="G422" s="22" t="str">
        <f>IFERROR(__xludf.DUMMYFUNCTION("""COMPUTED_VALUE"""),"Ln
Dallas,")</f>
        <v>Ln
Dallas,</v>
      </c>
      <c r="H422" s="22" t="str">
        <f>IFERROR(__xludf.DUMMYFUNCTION("""COMPUTED_VALUE"""),"TX")</f>
        <v>TX</v>
      </c>
      <c r="I422" s="22">
        <f>IFERROR(__xludf.DUMMYFUNCTION("""COMPUTED_VALUE"""),75220.0)</f>
        <v>75220</v>
      </c>
      <c r="J422" s="22"/>
      <c r="K422" s="22"/>
      <c r="L422" s="22"/>
      <c r="M422" s="22"/>
      <c r="N422" s="22"/>
      <c r="O422" s="22"/>
      <c r="P422" s="22"/>
      <c r="Q422" s="22"/>
      <c r="R422" s="22"/>
      <c r="S422" s="22"/>
      <c r="T422" s="22"/>
      <c r="U422" s="24" t="str">
        <f>IFERROR(__xludf.DUMMYFUNCTION("SPLIT(E422,""01234567890"")"),"Mark
")</f>
        <v>Mark
</v>
      </c>
      <c r="V422" s="24" t="str">
        <f>IFERROR(__xludf.DUMMYFUNCTION("SPLIT(D422,"","")"),"Perkins")</f>
        <v>Perkins</v>
      </c>
      <c r="W422" s="25" t="str">
        <f t="shared" si="1"/>
        <v>MARK
 PERKINS</v>
      </c>
      <c r="X422" s="25" t="s">
        <v>1175</v>
      </c>
      <c r="Y422" s="25">
        <v>75220.0</v>
      </c>
      <c r="Z422" s="25" t="str">
        <f>IFERROR(__xludf.DUMMYFUNCTION("SPLIT(C422,""
"")"),"Perkins, Mark")</f>
        <v>Perkins, Mark</v>
      </c>
      <c r="AA422" s="25" t="str">
        <f>IFERROR(__xludf.DUMMYFUNCTION("""COMPUTED_VALUE"""),"8911 Guernsey Ln")</f>
        <v>8911 Guernsey Ln</v>
      </c>
      <c r="AB422" s="25" t="str">
        <f>IFERROR(__xludf.DUMMYFUNCTION("""COMPUTED_VALUE"""),"Dallas, TX 75220")</f>
        <v>Dallas, TX 75220</v>
      </c>
      <c r="AC422" s="24" t="s">
        <v>1176</v>
      </c>
      <c r="AD422" s="25"/>
      <c r="AE422" s="25"/>
      <c r="AF422" s="25"/>
      <c r="AG422" s="22" t="s">
        <v>60</v>
      </c>
      <c r="AH422" s="54">
        <v>2445.0</v>
      </c>
      <c r="AI422" s="22" t="s">
        <v>61</v>
      </c>
      <c r="AJ422" s="27">
        <v>360.0</v>
      </c>
      <c r="AK422" s="31" t="s">
        <v>30</v>
      </c>
      <c r="AL422" s="28">
        <v>44742.0</v>
      </c>
      <c r="AM422" s="29">
        <v>44755.778402777774</v>
      </c>
      <c r="AN422" s="30">
        <v>2.0</v>
      </c>
      <c r="AO422" s="22"/>
      <c r="AP422" s="22"/>
      <c r="AQ422" s="22"/>
      <c r="AR422" s="22"/>
      <c r="AS422" s="22"/>
      <c r="AT422" s="70"/>
      <c r="AU422" s="22"/>
      <c r="AV422" s="57" t="str">
        <f>IFERROR(__xludf.DUMMYFUNCTION("""COMPUTED_VALUE"""),"Simon")</f>
        <v>Simon</v>
      </c>
      <c r="AW422" s="46">
        <f t="shared" si="7"/>
        <v>250</v>
      </c>
      <c r="AX422" s="47">
        <f t="shared" ref="AX422:BQ422" si="1376">SUMIFS($AJ:$AJ,$V:$V,$AV422,$AK:$AK,AX$2)</f>
        <v>0</v>
      </c>
      <c r="AY422" s="48">
        <f t="shared" si="1376"/>
        <v>0</v>
      </c>
      <c r="AZ422" s="48">
        <f t="shared" si="1376"/>
        <v>0</v>
      </c>
      <c r="BA422" s="48">
        <f t="shared" si="1376"/>
        <v>250</v>
      </c>
      <c r="BB422" s="48">
        <f t="shared" si="1376"/>
        <v>0</v>
      </c>
      <c r="BC422" s="48">
        <f t="shared" si="1376"/>
        <v>0</v>
      </c>
      <c r="BD422" s="48">
        <f t="shared" si="1376"/>
        <v>0</v>
      </c>
      <c r="BE422" s="48">
        <f t="shared" si="1376"/>
        <v>0</v>
      </c>
      <c r="BF422" s="48">
        <f t="shared" si="1376"/>
        <v>0</v>
      </c>
      <c r="BG422" s="48">
        <f t="shared" si="1376"/>
        <v>0</v>
      </c>
      <c r="BH422" s="48">
        <f t="shared" si="1376"/>
        <v>0</v>
      </c>
      <c r="BI422" s="48">
        <f t="shared" si="1376"/>
        <v>0</v>
      </c>
      <c r="BJ422" s="48">
        <f t="shared" si="1376"/>
        <v>0</v>
      </c>
      <c r="BK422" s="48">
        <f t="shared" si="1376"/>
        <v>0</v>
      </c>
      <c r="BL422" s="48">
        <f t="shared" si="1376"/>
        <v>0</v>
      </c>
      <c r="BM422" s="48">
        <f t="shared" si="1376"/>
        <v>0</v>
      </c>
      <c r="BN422" s="48">
        <f t="shared" si="1376"/>
        <v>0</v>
      </c>
      <c r="BO422" s="48">
        <f t="shared" si="1376"/>
        <v>0</v>
      </c>
      <c r="BP422" s="48">
        <f t="shared" si="1376"/>
        <v>0</v>
      </c>
      <c r="BQ422" s="48">
        <f t="shared" si="1376"/>
        <v>0</v>
      </c>
      <c r="BR422" s="36">
        <f t="shared" si="9"/>
        <v>0</v>
      </c>
      <c r="BS422" s="38">
        <f t="shared" si="10"/>
        <v>1</v>
      </c>
      <c r="BT422" s="49">
        <f t="shared" si="11"/>
        <v>0</v>
      </c>
      <c r="BU422" s="38">
        <f t="shared" si="12"/>
        <v>1000</v>
      </c>
      <c r="BV422" s="57" t="str">
        <f>IFERROR(__xludf.DUMMYFUNCTION("""COMPUTED_VALUE"""),"Simon")</f>
        <v>Simon</v>
      </c>
      <c r="BW422" s="46">
        <f t="shared" si="13"/>
        <v>250</v>
      </c>
      <c r="BX422" s="47">
        <f t="shared" ref="BX422:CA422" si="1377">AX422-$BU422</f>
        <v>-1000</v>
      </c>
      <c r="BY422" s="47">
        <f t="shared" si="1377"/>
        <v>-1000</v>
      </c>
      <c r="BZ422" s="47">
        <f t="shared" si="1377"/>
        <v>-1000</v>
      </c>
      <c r="CA422" s="47">
        <f t="shared" si="1377"/>
        <v>-750</v>
      </c>
      <c r="CB422" s="47">
        <f t="shared" si="15"/>
        <v>-10000</v>
      </c>
      <c r="CC422" s="47">
        <f t="shared" ref="CC422:CQ422" si="1378">BC422-$BU422</f>
        <v>-1000</v>
      </c>
      <c r="CD422" s="47">
        <f t="shared" si="1378"/>
        <v>-1000</v>
      </c>
      <c r="CE422" s="47">
        <f t="shared" si="1378"/>
        <v>-1000</v>
      </c>
      <c r="CF422" s="47">
        <f t="shared" si="1378"/>
        <v>-1000</v>
      </c>
      <c r="CG422" s="47">
        <f t="shared" si="1378"/>
        <v>-1000</v>
      </c>
      <c r="CH422" s="47">
        <f t="shared" si="1378"/>
        <v>-1000</v>
      </c>
      <c r="CI422" s="47">
        <f t="shared" si="1378"/>
        <v>-1000</v>
      </c>
      <c r="CJ422" s="47">
        <f t="shared" si="1378"/>
        <v>-1000</v>
      </c>
      <c r="CK422" s="47">
        <f t="shared" si="1378"/>
        <v>-1000</v>
      </c>
      <c r="CL422" s="47">
        <f t="shared" si="1378"/>
        <v>-1000</v>
      </c>
      <c r="CM422" s="47">
        <f t="shared" si="1378"/>
        <v>-1000</v>
      </c>
      <c r="CN422" s="47">
        <f t="shared" si="1378"/>
        <v>-1000</v>
      </c>
      <c r="CO422" s="47">
        <f t="shared" si="1378"/>
        <v>-1000</v>
      </c>
      <c r="CP422" s="47">
        <f t="shared" si="1378"/>
        <v>-1000</v>
      </c>
      <c r="CQ422" s="47">
        <f t="shared" si="1378"/>
        <v>-1000</v>
      </c>
      <c r="CR422" s="47"/>
      <c r="CS422" s="47"/>
      <c r="CT422" s="47"/>
      <c r="CU422" s="50" t="str">
        <f>IFERROR(__xludf.DUMMYFUNCTION("""COMPUTED_VALUE"""),"drive Inns Inc
8522 Garland Rd
Dallas, TX 75218        ")</f>
        <v>drive Inns Inc
8522 Garland Rd
Dallas, TX 75218        </v>
      </c>
      <c r="CV422" s="51">
        <f>IFERROR(__xludf.DUMMYFUNCTION("IF(REGEXMATCH(UPPER(CU422), ""TX""),0,1)"),0.0)</f>
        <v>0</v>
      </c>
      <c r="CW422" s="51">
        <f>IFERROR(__xludf.DUMMYFUNCTION("IF(REGEXMATCH(UPPER(CU422), ""DALLAS""),0,1)"),0.0)</f>
        <v>0</v>
      </c>
      <c r="CX422" s="51">
        <f t="shared" si="17"/>
        <v>0</v>
      </c>
      <c r="CY422" s="51">
        <f t="shared" si="18"/>
        <v>0</v>
      </c>
      <c r="CZ422" s="52" t="str">
        <f t="shared" si="19"/>
        <v/>
      </c>
      <c r="DA422" s="58"/>
      <c r="DB422" s="52"/>
      <c r="DC422" s="52"/>
      <c r="DD422" s="52"/>
      <c r="DE422" s="52"/>
      <c r="DF422" s="52"/>
      <c r="DG422" s="52"/>
      <c r="DH422" s="52"/>
      <c r="DI422" s="52"/>
      <c r="DJ422" s="52"/>
      <c r="DK422" s="52"/>
      <c r="DL422" s="52"/>
      <c r="DM422" s="52"/>
      <c r="DN422" s="52"/>
      <c r="DO422" s="52"/>
      <c r="DP422" s="52"/>
      <c r="DQ422" s="52"/>
      <c r="DR422" s="52"/>
      <c r="DS422" s="52"/>
      <c r="DT422" s="52"/>
      <c r="DU422" s="52"/>
      <c r="DV422" s="52"/>
      <c r="DW422" s="52"/>
    </row>
    <row r="423">
      <c r="A423" s="40" t="s">
        <v>55</v>
      </c>
      <c r="B423" s="41" t="s">
        <v>56</v>
      </c>
      <c r="C423" s="31" t="s">
        <v>1177</v>
      </c>
      <c r="D423" s="25" t="str">
        <f>IFERROR(__xludf.DUMMYFUNCTION("SPLIT(C423,"" "")"),"Crumpecker,")</f>
        <v>Crumpecker,</v>
      </c>
      <c r="E423" s="40" t="str">
        <f>IFERROR(__xludf.DUMMYFUNCTION("""COMPUTED_VALUE"""),"Brad
4630")</f>
        <v>Brad
4630</v>
      </c>
      <c r="F423" s="40" t="str">
        <f>IFERROR(__xludf.DUMMYFUNCTION("""COMPUTED_VALUE"""),"Gulfstream")</f>
        <v>Gulfstream</v>
      </c>
      <c r="G423" s="40" t="str">
        <f>IFERROR(__xludf.DUMMYFUNCTION("""COMPUTED_VALUE"""),"Drive
Dallas,")</f>
        <v>Drive
Dallas,</v>
      </c>
      <c r="H423" s="40" t="str">
        <f>IFERROR(__xludf.DUMMYFUNCTION("""COMPUTED_VALUE"""),"TX")</f>
        <v>TX</v>
      </c>
      <c r="I423" s="40">
        <f>IFERROR(__xludf.DUMMYFUNCTION("""COMPUTED_VALUE"""),75244.0)</f>
        <v>75244</v>
      </c>
      <c r="J423" s="40"/>
      <c r="K423" s="40"/>
      <c r="L423" s="40"/>
      <c r="M423" s="40"/>
      <c r="N423" s="40"/>
      <c r="O423" s="40"/>
      <c r="P423" s="40"/>
      <c r="Q423" s="40"/>
      <c r="R423" s="40"/>
      <c r="S423" s="40"/>
      <c r="T423" s="40"/>
      <c r="U423" s="24" t="str">
        <f>IFERROR(__xludf.DUMMYFUNCTION("SPLIT(E423,""01234567890"")"),"Brad
")</f>
        <v>Brad
</v>
      </c>
      <c r="V423" s="24" t="str">
        <f>IFERROR(__xludf.DUMMYFUNCTION("SPLIT(D423,"","")"),"Crumpecker")</f>
        <v>Crumpecker</v>
      </c>
      <c r="W423" s="25" t="str">
        <f t="shared" si="1"/>
        <v>BRAD
 CRUMPECKER</v>
      </c>
      <c r="X423" s="25" t="s">
        <v>1178</v>
      </c>
      <c r="Y423" s="25">
        <v>75244.0</v>
      </c>
      <c r="Z423" s="25" t="str">
        <f>IFERROR(__xludf.DUMMYFUNCTION("SPLIT(C423,""
"")"),"Crumpecker, Brad")</f>
        <v>Crumpecker, Brad</v>
      </c>
      <c r="AA423" s="25" t="str">
        <f>IFERROR(__xludf.DUMMYFUNCTION("""COMPUTED_VALUE"""),"4630 Gulfstream Drive")</f>
        <v>4630 Gulfstream Drive</v>
      </c>
      <c r="AB423" s="25" t="str">
        <f>IFERROR(__xludf.DUMMYFUNCTION("""COMPUTED_VALUE"""),"Dallas, TX 75244")</f>
        <v>Dallas, TX 75244</v>
      </c>
      <c r="AC423" s="24" t="s">
        <v>1179</v>
      </c>
      <c r="AD423" s="25"/>
      <c r="AE423" s="25"/>
      <c r="AF423" s="25"/>
      <c r="AG423" s="40" t="s">
        <v>60</v>
      </c>
      <c r="AH423" s="42">
        <v>2445.0</v>
      </c>
      <c r="AI423" s="40" t="s">
        <v>61</v>
      </c>
      <c r="AJ423" s="27">
        <v>100.0</v>
      </c>
      <c r="AK423" s="31" t="s">
        <v>30</v>
      </c>
      <c r="AL423" s="43">
        <v>44742.0</v>
      </c>
      <c r="AM423" s="44">
        <v>44755.778402777774</v>
      </c>
      <c r="AN423" s="30">
        <v>2.0</v>
      </c>
      <c r="AO423" s="40"/>
      <c r="AP423" s="40"/>
      <c r="AQ423" s="40"/>
      <c r="AR423" s="40"/>
      <c r="AS423" s="40"/>
      <c r="AT423" s="47"/>
      <c r="AU423" s="40"/>
      <c r="AV423" s="46" t="str">
        <f>IFERROR(__xludf.DUMMYFUNCTION("""COMPUTED_VALUE"""),"Sleeper")</f>
        <v>Sleeper</v>
      </c>
      <c r="AW423" s="46">
        <f t="shared" si="7"/>
        <v>1000</v>
      </c>
      <c r="AX423" s="47">
        <f t="shared" ref="AX423:BQ423" si="1379">SUMIFS($AJ:$AJ,$V:$V,$AV423,$AK:$AK,AX$2)</f>
        <v>0</v>
      </c>
      <c r="AY423" s="48">
        <f t="shared" si="1379"/>
        <v>0</v>
      </c>
      <c r="AZ423" s="48">
        <f t="shared" si="1379"/>
        <v>0</v>
      </c>
      <c r="BA423" s="48">
        <f t="shared" si="1379"/>
        <v>500</v>
      </c>
      <c r="BB423" s="48">
        <f t="shared" si="1379"/>
        <v>0</v>
      </c>
      <c r="BC423" s="48">
        <f t="shared" si="1379"/>
        <v>0</v>
      </c>
      <c r="BD423" s="48">
        <f t="shared" si="1379"/>
        <v>0</v>
      </c>
      <c r="BE423" s="48">
        <f t="shared" si="1379"/>
        <v>0</v>
      </c>
      <c r="BF423" s="48">
        <f t="shared" si="1379"/>
        <v>0</v>
      </c>
      <c r="BG423" s="48">
        <f t="shared" si="1379"/>
        <v>0</v>
      </c>
      <c r="BH423" s="48">
        <f t="shared" si="1379"/>
        <v>0</v>
      </c>
      <c r="BI423" s="48">
        <f t="shared" si="1379"/>
        <v>0</v>
      </c>
      <c r="BJ423" s="48">
        <f t="shared" si="1379"/>
        <v>0</v>
      </c>
      <c r="BK423" s="48">
        <f t="shared" si="1379"/>
        <v>500</v>
      </c>
      <c r="BL423" s="48">
        <f t="shared" si="1379"/>
        <v>0</v>
      </c>
      <c r="BM423" s="48">
        <f t="shared" si="1379"/>
        <v>0</v>
      </c>
      <c r="BN423" s="48">
        <f t="shared" si="1379"/>
        <v>0</v>
      </c>
      <c r="BO423" s="48">
        <f t="shared" si="1379"/>
        <v>0</v>
      </c>
      <c r="BP423" s="48">
        <f t="shared" si="1379"/>
        <v>0</v>
      </c>
      <c r="BQ423" s="48">
        <f t="shared" si="1379"/>
        <v>0</v>
      </c>
      <c r="BR423" s="36">
        <f t="shared" si="9"/>
        <v>0</v>
      </c>
      <c r="BS423" s="38">
        <f t="shared" si="10"/>
        <v>1</v>
      </c>
      <c r="BT423" s="49">
        <f t="shared" si="11"/>
        <v>0</v>
      </c>
      <c r="BU423" s="38">
        <f t="shared" si="12"/>
        <v>1000</v>
      </c>
      <c r="BV423" s="46" t="str">
        <f>IFERROR(__xludf.DUMMYFUNCTION("""COMPUTED_VALUE"""),"Sleeper")</f>
        <v>Sleeper</v>
      </c>
      <c r="BW423" s="46">
        <f t="shared" si="13"/>
        <v>1000</v>
      </c>
      <c r="BX423" s="47">
        <f t="shared" ref="BX423:CA423" si="1380">AX423-$BU423</f>
        <v>-1000</v>
      </c>
      <c r="BY423" s="47">
        <f t="shared" si="1380"/>
        <v>-1000</v>
      </c>
      <c r="BZ423" s="47">
        <f t="shared" si="1380"/>
        <v>-1000</v>
      </c>
      <c r="CA423" s="47">
        <f t="shared" si="1380"/>
        <v>-500</v>
      </c>
      <c r="CB423" s="47">
        <f t="shared" si="15"/>
        <v>-10000</v>
      </c>
      <c r="CC423" s="47">
        <f t="shared" ref="CC423:CQ423" si="1381">BC423-$BU423</f>
        <v>-1000</v>
      </c>
      <c r="CD423" s="47">
        <f t="shared" si="1381"/>
        <v>-1000</v>
      </c>
      <c r="CE423" s="47">
        <f t="shared" si="1381"/>
        <v>-1000</v>
      </c>
      <c r="CF423" s="47">
        <f t="shared" si="1381"/>
        <v>-1000</v>
      </c>
      <c r="CG423" s="47">
        <f t="shared" si="1381"/>
        <v>-1000</v>
      </c>
      <c r="CH423" s="47">
        <f t="shared" si="1381"/>
        <v>-1000</v>
      </c>
      <c r="CI423" s="47">
        <f t="shared" si="1381"/>
        <v>-1000</v>
      </c>
      <c r="CJ423" s="47">
        <f t="shared" si="1381"/>
        <v>-1000</v>
      </c>
      <c r="CK423" s="47">
        <f t="shared" si="1381"/>
        <v>-500</v>
      </c>
      <c r="CL423" s="47">
        <f t="shared" si="1381"/>
        <v>-1000</v>
      </c>
      <c r="CM423" s="47">
        <f t="shared" si="1381"/>
        <v>-1000</v>
      </c>
      <c r="CN423" s="47">
        <f t="shared" si="1381"/>
        <v>-1000</v>
      </c>
      <c r="CO423" s="47">
        <f t="shared" si="1381"/>
        <v>-1000</v>
      </c>
      <c r="CP423" s="47">
        <f t="shared" si="1381"/>
        <v>-1000</v>
      </c>
      <c r="CQ423" s="47">
        <f t="shared" si="1381"/>
        <v>-1000</v>
      </c>
      <c r="CR423" s="47"/>
      <c r="CS423" s="47"/>
      <c r="CT423" s="47"/>
      <c r="CU423" s="50" t="str">
        <f>IFERROR(__xludf.DUMMYFUNCTION("""COMPUTED_VALUE"""),"4012 Miramar Ave
Dallas, TX 75205          ")</f>
        <v>4012 Miramar Ave
Dallas, TX 75205          </v>
      </c>
      <c r="CV423" s="51">
        <f>IFERROR(__xludf.DUMMYFUNCTION("IF(REGEXMATCH(UPPER(CU423), ""TX""),0,1)"),0.0)</f>
        <v>0</v>
      </c>
      <c r="CW423" s="51">
        <f>IFERROR(__xludf.DUMMYFUNCTION("IF(REGEXMATCH(UPPER(CU423), ""DALLAS""),0,1)"),0.0)</f>
        <v>0</v>
      </c>
      <c r="CX423" s="51">
        <f t="shared" si="17"/>
        <v>0</v>
      </c>
      <c r="CY423" s="51">
        <f t="shared" si="18"/>
        <v>0</v>
      </c>
      <c r="CZ423" s="52" t="str">
        <f t="shared" si="19"/>
        <v/>
      </c>
      <c r="DA423" s="58"/>
      <c r="DB423" s="52"/>
      <c r="DC423" s="52"/>
      <c r="DD423" s="52"/>
      <c r="DE423" s="52"/>
      <c r="DF423" s="52"/>
      <c r="DG423" s="52"/>
      <c r="DH423" s="52"/>
      <c r="DI423" s="52"/>
      <c r="DJ423" s="52"/>
      <c r="DK423" s="52"/>
      <c r="DL423" s="52"/>
      <c r="DM423" s="52"/>
      <c r="DN423" s="52"/>
      <c r="DO423" s="52"/>
      <c r="DP423" s="52"/>
      <c r="DQ423" s="52"/>
      <c r="DR423" s="52"/>
      <c r="DS423" s="52"/>
      <c r="DT423" s="52"/>
      <c r="DU423" s="52"/>
      <c r="DV423" s="52"/>
      <c r="DW423" s="52"/>
    </row>
    <row r="424">
      <c r="A424" s="22" t="s">
        <v>55</v>
      </c>
      <c r="B424" s="23" t="s">
        <v>56</v>
      </c>
      <c r="C424" s="31" t="s">
        <v>1180</v>
      </c>
      <c r="D424" s="25" t="str">
        <f>IFERROR(__xludf.DUMMYFUNCTION("SPLIT(C424,"" "")"),"Cowger,")</f>
        <v>Cowger,</v>
      </c>
      <c r="E424" s="22" t="str">
        <f>IFERROR(__xludf.DUMMYFUNCTION("""COMPUTED_VALUE"""),"Walter
6414")</f>
        <v>Walter
6414</v>
      </c>
      <c r="F424" s="22" t="str">
        <f>IFERROR(__xludf.DUMMYFUNCTION("""COMPUTED_VALUE"""),"Mimosa")</f>
        <v>Mimosa</v>
      </c>
      <c r="G424" s="22" t="str">
        <f>IFERROR(__xludf.DUMMYFUNCTION("""COMPUTED_VALUE"""),"Ln.
Dallas,")</f>
        <v>Ln.
Dallas,</v>
      </c>
      <c r="H424" s="22" t="str">
        <f>IFERROR(__xludf.DUMMYFUNCTION("""COMPUTED_VALUE"""),"TX")</f>
        <v>TX</v>
      </c>
      <c r="I424" s="22">
        <f>IFERROR(__xludf.DUMMYFUNCTION("""COMPUTED_VALUE"""),75230.0)</f>
        <v>75230</v>
      </c>
      <c r="J424" s="22"/>
      <c r="K424" s="22"/>
      <c r="L424" s="22"/>
      <c r="M424" s="22"/>
      <c r="N424" s="22"/>
      <c r="O424" s="22"/>
      <c r="P424" s="22"/>
      <c r="Q424" s="22"/>
      <c r="R424" s="22"/>
      <c r="S424" s="22"/>
      <c r="T424" s="22"/>
      <c r="U424" s="24" t="str">
        <f>IFERROR(__xludf.DUMMYFUNCTION("SPLIT(E424,""01234567890"")"),"Walter
")</f>
        <v>Walter
</v>
      </c>
      <c r="V424" s="24" t="str">
        <f>IFERROR(__xludf.DUMMYFUNCTION("SPLIT(D424,"","")"),"Cowger")</f>
        <v>Cowger</v>
      </c>
      <c r="W424" s="25" t="str">
        <f t="shared" si="1"/>
        <v>WALTER
 COWGER</v>
      </c>
      <c r="X424" s="25" t="s">
        <v>1181</v>
      </c>
      <c r="Y424" s="25">
        <v>75230.0</v>
      </c>
      <c r="Z424" s="25" t="str">
        <f>IFERROR(__xludf.DUMMYFUNCTION("SPLIT(C424,""
"")"),"Cowger, Walter")</f>
        <v>Cowger, Walter</v>
      </c>
      <c r="AA424" s="25" t="str">
        <f>IFERROR(__xludf.DUMMYFUNCTION("""COMPUTED_VALUE"""),"6414 Mimosa Ln.")</f>
        <v>6414 Mimosa Ln.</v>
      </c>
      <c r="AB424" s="25" t="str">
        <f>IFERROR(__xludf.DUMMYFUNCTION("""COMPUTED_VALUE"""),"Dallas, TX 75230")</f>
        <v>Dallas, TX 75230</v>
      </c>
      <c r="AC424" s="24" t="s">
        <v>1182</v>
      </c>
      <c r="AD424" s="25"/>
      <c r="AE424" s="25"/>
      <c r="AF424" s="25"/>
      <c r="AG424" s="22" t="s">
        <v>60</v>
      </c>
      <c r="AH424" s="54">
        <v>2445.0</v>
      </c>
      <c r="AI424" s="22" t="s">
        <v>61</v>
      </c>
      <c r="AJ424" s="27">
        <v>100.0</v>
      </c>
      <c r="AK424" s="31" t="s">
        <v>30</v>
      </c>
      <c r="AL424" s="28">
        <v>44742.0</v>
      </c>
      <c r="AM424" s="29">
        <v>44755.778402777774</v>
      </c>
      <c r="AN424" s="30">
        <v>2.0</v>
      </c>
      <c r="AO424" s="22"/>
      <c r="AP424" s="22"/>
      <c r="AQ424" s="22"/>
      <c r="AR424" s="22"/>
      <c r="AS424" s="22"/>
      <c r="AT424" s="70"/>
      <c r="AU424" s="22"/>
      <c r="AV424" s="57" t="str">
        <f>IFERROR(__xludf.DUMMYFUNCTION("""COMPUTED_VALUE"""),"Tiller")</f>
        <v>Tiller</v>
      </c>
      <c r="AW424" s="46">
        <f t="shared" si="7"/>
        <v>50</v>
      </c>
      <c r="AX424" s="47">
        <f t="shared" ref="AX424:BQ424" si="1382">SUMIFS($AJ:$AJ,$V:$V,$AV424,$AK:$AK,AX$2)</f>
        <v>0</v>
      </c>
      <c r="AY424" s="48">
        <f t="shared" si="1382"/>
        <v>0</v>
      </c>
      <c r="AZ424" s="48">
        <f t="shared" si="1382"/>
        <v>0</v>
      </c>
      <c r="BA424" s="48">
        <f t="shared" si="1382"/>
        <v>50</v>
      </c>
      <c r="BB424" s="48">
        <f t="shared" si="1382"/>
        <v>0</v>
      </c>
      <c r="BC424" s="48">
        <f t="shared" si="1382"/>
        <v>0</v>
      </c>
      <c r="BD424" s="48">
        <f t="shared" si="1382"/>
        <v>0</v>
      </c>
      <c r="BE424" s="48">
        <f t="shared" si="1382"/>
        <v>0</v>
      </c>
      <c r="BF424" s="48">
        <f t="shared" si="1382"/>
        <v>0</v>
      </c>
      <c r="BG424" s="48">
        <f t="shared" si="1382"/>
        <v>0</v>
      </c>
      <c r="BH424" s="48">
        <f t="shared" si="1382"/>
        <v>0</v>
      </c>
      <c r="BI424" s="48">
        <f t="shared" si="1382"/>
        <v>0</v>
      </c>
      <c r="BJ424" s="48">
        <f t="shared" si="1382"/>
        <v>0</v>
      </c>
      <c r="BK424" s="48">
        <f t="shared" si="1382"/>
        <v>0</v>
      </c>
      <c r="BL424" s="48">
        <f t="shared" si="1382"/>
        <v>0</v>
      </c>
      <c r="BM424" s="48">
        <f t="shared" si="1382"/>
        <v>0</v>
      </c>
      <c r="BN424" s="48">
        <f t="shared" si="1382"/>
        <v>0</v>
      </c>
      <c r="BO424" s="48">
        <f t="shared" si="1382"/>
        <v>0</v>
      </c>
      <c r="BP424" s="48">
        <f t="shared" si="1382"/>
        <v>0</v>
      </c>
      <c r="BQ424" s="48">
        <f t="shared" si="1382"/>
        <v>0</v>
      </c>
      <c r="BR424" s="36">
        <f t="shared" si="9"/>
        <v>0</v>
      </c>
      <c r="BS424" s="38">
        <f t="shared" si="10"/>
        <v>1</v>
      </c>
      <c r="BT424" s="49">
        <f t="shared" si="11"/>
        <v>0</v>
      </c>
      <c r="BU424" s="38">
        <f t="shared" si="12"/>
        <v>1000</v>
      </c>
      <c r="BV424" s="57" t="str">
        <f>IFERROR(__xludf.DUMMYFUNCTION("""COMPUTED_VALUE"""),"Tiller")</f>
        <v>Tiller</v>
      </c>
      <c r="BW424" s="46">
        <f t="shared" si="13"/>
        <v>50</v>
      </c>
      <c r="BX424" s="47">
        <f t="shared" ref="BX424:CA424" si="1383">AX424-$BU424</f>
        <v>-1000</v>
      </c>
      <c r="BY424" s="47">
        <f t="shared" si="1383"/>
        <v>-1000</v>
      </c>
      <c r="BZ424" s="47">
        <f t="shared" si="1383"/>
        <v>-1000</v>
      </c>
      <c r="CA424" s="47">
        <f t="shared" si="1383"/>
        <v>-950</v>
      </c>
      <c r="CB424" s="47">
        <f t="shared" si="15"/>
        <v>-10000</v>
      </c>
      <c r="CC424" s="47">
        <f t="shared" ref="CC424:CQ424" si="1384">BC424-$BU424</f>
        <v>-1000</v>
      </c>
      <c r="CD424" s="47">
        <f t="shared" si="1384"/>
        <v>-1000</v>
      </c>
      <c r="CE424" s="47">
        <f t="shared" si="1384"/>
        <v>-1000</v>
      </c>
      <c r="CF424" s="47">
        <f t="shared" si="1384"/>
        <v>-1000</v>
      </c>
      <c r="CG424" s="47">
        <f t="shared" si="1384"/>
        <v>-1000</v>
      </c>
      <c r="CH424" s="47">
        <f t="shared" si="1384"/>
        <v>-1000</v>
      </c>
      <c r="CI424" s="47">
        <f t="shared" si="1384"/>
        <v>-1000</v>
      </c>
      <c r="CJ424" s="47">
        <f t="shared" si="1384"/>
        <v>-1000</v>
      </c>
      <c r="CK424" s="47">
        <f t="shared" si="1384"/>
        <v>-1000</v>
      </c>
      <c r="CL424" s="47">
        <f t="shared" si="1384"/>
        <v>-1000</v>
      </c>
      <c r="CM424" s="47">
        <f t="shared" si="1384"/>
        <v>-1000</v>
      </c>
      <c r="CN424" s="47">
        <f t="shared" si="1384"/>
        <v>-1000</v>
      </c>
      <c r="CO424" s="47">
        <f t="shared" si="1384"/>
        <v>-1000</v>
      </c>
      <c r="CP424" s="47">
        <f t="shared" si="1384"/>
        <v>-1000</v>
      </c>
      <c r="CQ424" s="47">
        <f t="shared" si="1384"/>
        <v>-1000</v>
      </c>
      <c r="CR424" s="47"/>
      <c r="CS424" s="47"/>
      <c r="CT424" s="47"/>
      <c r="CU424" s="50" t="str">
        <f>IFERROR(__xludf.DUMMYFUNCTION("""COMPUTED_VALUE"""),"6019 St. Andrews
Dallas, TX 75205          ")</f>
        <v>6019 St. Andrews
Dallas, TX 75205          </v>
      </c>
      <c r="CV424" s="51">
        <f>IFERROR(__xludf.DUMMYFUNCTION("IF(REGEXMATCH(UPPER(CU424), ""TX""),0,1)"),0.0)</f>
        <v>0</v>
      </c>
      <c r="CW424" s="51">
        <f>IFERROR(__xludf.DUMMYFUNCTION("IF(REGEXMATCH(UPPER(CU424), ""DALLAS""),0,1)"),0.0)</f>
        <v>0</v>
      </c>
      <c r="CX424" s="51">
        <f t="shared" si="17"/>
        <v>0</v>
      </c>
      <c r="CY424" s="51">
        <f t="shared" si="18"/>
        <v>0</v>
      </c>
      <c r="CZ424" s="52" t="str">
        <f t="shared" si="19"/>
        <v/>
      </c>
      <c r="DA424" s="58"/>
      <c r="DB424" s="52"/>
      <c r="DC424" s="52"/>
      <c r="DD424" s="52"/>
      <c r="DE424" s="52"/>
      <c r="DF424" s="52"/>
      <c r="DG424" s="52"/>
      <c r="DH424" s="52"/>
      <c r="DI424" s="52"/>
      <c r="DJ424" s="52"/>
      <c r="DK424" s="52"/>
      <c r="DL424" s="52"/>
      <c r="DM424" s="52"/>
      <c r="DN424" s="52"/>
      <c r="DO424" s="52"/>
      <c r="DP424" s="52"/>
      <c r="DQ424" s="52"/>
      <c r="DR424" s="52"/>
      <c r="DS424" s="52"/>
      <c r="DT424" s="52"/>
      <c r="DU424" s="52"/>
      <c r="DV424" s="52"/>
      <c r="DW424" s="52"/>
    </row>
    <row r="425">
      <c r="A425" s="40" t="s">
        <v>55</v>
      </c>
      <c r="B425" s="41" t="s">
        <v>56</v>
      </c>
      <c r="C425" s="31" t="s">
        <v>1183</v>
      </c>
      <c r="D425" s="25" t="str">
        <f>IFERROR(__xludf.DUMMYFUNCTION("SPLIT(C425,"" "")"),"Frank,")</f>
        <v>Frank,</v>
      </c>
      <c r="E425" s="40" t="str">
        <f>IFERROR(__xludf.DUMMYFUNCTION("""COMPUTED_VALUE"""),"Jerome
6310")</f>
        <v>Jerome
6310</v>
      </c>
      <c r="F425" s="40" t="str">
        <f>IFERROR(__xludf.DUMMYFUNCTION("""COMPUTED_VALUE"""),"Lemmon")</f>
        <v>Lemmon</v>
      </c>
      <c r="G425" s="40" t="str">
        <f>IFERROR(__xludf.DUMMYFUNCTION("""COMPUTED_VALUE"""),"Ave
Dallas,")</f>
        <v>Ave
Dallas,</v>
      </c>
      <c r="H425" s="40" t="str">
        <f>IFERROR(__xludf.DUMMYFUNCTION("""COMPUTED_VALUE"""),"TX")</f>
        <v>TX</v>
      </c>
      <c r="I425" s="40">
        <f>IFERROR(__xludf.DUMMYFUNCTION("""COMPUTED_VALUE"""),75209.0)</f>
        <v>75209</v>
      </c>
      <c r="J425" s="40"/>
      <c r="K425" s="40"/>
      <c r="L425" s="40"/>
      <c r="M425" s="40"/>
      <c r="N425" s="40"/>
      <c r="O425" s="40"/>
      <c r="P425" s="40"/>
      <c r="Q425" s="40"/>
      <c r="R425" s="40"/>
      <c r="S425" s="40"/>
      <c r="T425" s="40"/>
      <c r="U425" s="24" t="str">
        <f>IFERROR(__xludf.DUMMYFUNCTION("SPLIT(E425,""01234567890"")"),"Jerome
")</f>
        <v>Jerome
</v>
      </c>
      <c r="V425" s="24" t="str">
        <f>IFERROR(__xludf.DUMMYFUNCTION("SPLIT(D425,"","")"),"Frank")</f>
        <v>Frank</v>
      </c>
      <c r="W425" s="25" t="str">
        <f t="shared" si="1"/>
        <v>JEROME
 FRANK</v>
      </c>
      <c r="X425" s="25" t="s">
        <v>798</v>
      </c>
      <c r="Y425" s="25">
        <v>75209.0</v>
      </c>
      <c r="Z425" s="25" t="str">
        <f>IFERROR(__xludf.DUMMYFUNCTION("SPLIT(C425,""
"")"),"Frank, Jerome")</f>
        <v>Frank, Jerome</v>
      </c>
      <c r="AA425" s="25" t="str">
        <f>IFERROR(__xludf.DUMMYFUNCTION("""COMPUTED_VALUE"""),"6310 Lemmon Ave")</f>
        <v>6310 Lemmon Ave</v>
      </c>
      <c r="AB425" s="25" t="str">
        <f>IFERROR(__xludf.DUMMYFUNCTION("""COMPUTED_VALUE"""),"Dallas, TX 75209")</f>
        <v>Dallas, TX 75209</v>
      </c>
      <c r="AC425" s="24" t="s">
        <v>1184</v>
      </c>
      <c r="AD425" s="25"/>
      <c r="AE425" s="25"/>
      <c r="AF425" s="25"/>
      <c r="AG425" s="40" t="s">
        <v>60</v>
      </c>
      <c r="AH425" s="42">
        <v>2445.0</v>
      </c>
      <c r="AI425" s="40" t="s">
        <v>61</v>
      </c>
      <c r="AJ425" s="27">
        <v>300.0</v>
      </c>
      <c r="AK425" s="31" t="s">
        <v>30</v>
      </c>
      <c r="AL425" s="43">
        <v>44742.0</v>
      </c>
      <c r="AM425" s="44">
        <v>44755.778402777774</v>
      </c>
      <c r="AN425" s="30">
        <v>2.0</v>
      </c>
      <c r="AO425" s="40"/>
      <c r="AP425" s="40"/>
      <c r="AQ425" s="40"/>
      <c r="AR425" s="40"/>
      <c r="AS425" s="40"/>
      <c r="AT425" s="47"/>
      <c r="AU425" s="40"/>
      <c r="AV425" s="46" t="str">
        <f>IFERROR(__xludf.DUMMYFUNCTION("""COMPUTED_VALUE"""),"Bragalone")</f>
        <v>Bragalone</v>
      </c>
      <c r="AW425" s="46">
        <f t="shared" si="7"/>
        <v>1000</v>
      </c>
      <c r="AX425" s="47">
        <f t="shared" ref="AX425:BQ425" si="1385">SUMIFS($AJ:$AJ,$V:$V,$AV425,$AK:$AK,AX$2)</f>
        <v>0</v>
      </c>
      <c r="AY425" s="48">
        <f t="shared" si="1385"/>
        <v>0</v>
      </c>
      <c r="AZ425" s="48">
        <f t="shared" si="1385"/>
        <v>0</v>
      </c>
      <c r="BA425" s="48">
        <f t="shared" si="1385"/>
        <v>1000</v>
      </c>
      <c r="BB425" s="48">
        <f t="shared" si="1385"/>
        <v>0</v>
      </c>
      <c r="BC425" s="48">
        <f t="shared" si="1385"/>
        <v>0</v>
      </c>
      <c r="BD425" s="48">
        <f t="shared" si="1385"/>
        <v>0</v>
      </c>
      <c r="BE425" s="48">
        <f t="shared" si="1385"/>
        <v>0</v>
      </c>
      <c r="BF425" s="48">
        <f t="shared" si="1385"/>
        <v>0</v>
      </c>
      <c r="BG425" s="48">
        <f t="shared" si="1385"/>
        <v>0</v>
      </c>
      <c r="BH425" s="48">
        <f t="shared" si="1385"/>
        <v>0</v>
      </c>
      <c r="BI425" s="48">
        <f t="shared" si="1385"/>
        <v>0</v>
      </c>
      <c r="BJ425" s="48">
        <f t="shared" si="1385"/>
        <v>0</v>
      </c>
      <c r="BK425" s="48">
        <f t="shared" si="1385"/>
        <v>0</v>
      </c>
      <c r="BL425" s="48">
        <f t="shared" si="1385"/>
        <v>0</v>
      </c>
      <c r="BM425" s="48">
        <f t="shared" si="1385"/>
        <v>0</v>
      </c>
      <c r="BN425" s="48">
        <f t="shared" si="1385"/>
        <v>0</v>
      </c>
      <c r="BO425" s="48">
        <f t="shared" si="1385"/>
        <v>0</v>
      </c>
      <c r="BP425" s="48">
        <f t="shared" si="1385"/>
        <v>0</v>
      </c>
      <c r="BQ425" s="48">
        <f t="shared" si="1385"/>
        <v>0</v>
      </c>
      <c r="BR425" s="36">
        <f t="shared" si="9"/>
        <v>0</v>
      </c>
      <c r="BS425" s="38">
        <f t="shared" si="10"/>
        <v>1</v>
      </c>
      <c r="BT425" s="49">
        <f t="shared" si="11"/>
        <v>0</v>
      </c>
      <c r="BU425" s="38">
        <f t="shared" si="12"/>
        <v>1000</v>
      </c>
      <c r="BV425" s="46" t="str">
        <f>IFERROR(__xludf.DUMMYFUNCTION("""COMPUTED_VALUE"""),"Bragalone")</f>
        <v>Bragalone</v>
      </c>
      <c r="BW425" s="46">
        <f t="shared" si="13"/>
        <v>1000</v>
      </c>
      <c r="BX425" s="47">
        <f t="shared" ref="BX425:CA425" si="1386">AX425-$BU425</f>
        <v>-1000</v>
      </c>
      <c r="BY425" s="47">
        <f t="shared" si="1386"/>
        <v>-1000</v>
      </c>
      <c r="BZ425" s="47">
        <f t="shared" si="1386"/>
        <v>-1000</v>
      </c>
      <c r="CA425" s="47">
        <f t="shared" si="1386"/>
        <v>0</v>
      </c>
      <c r="CB425" s="47">
        <f t="shared" si="15"/>
        <v>-10000</v>
      </c>
      <c r="CC425" s="47">
        <f t="shared" ref="CC425:CQ425" si="1387">BC425-$BU425</f>
        <v>-1000</v>
      </c>
      <c r="CD425" s="47">
        <f t="shared" si="1387"/>
        <v>-1000</v>
      </c>
      <c r="CE425" s="47">
        <f t="shared" si="1387"/>
        <v>-1000</v>
      </c>
      <c r="CF425" s="47">
        <f t="shared" si="1387"/>
        <v>-1000</v>
      </c>
      <c r="CG425" s="47">
        <f t="shared" si="1387"/>
        <v>-1000</v>
      </c>
      <c r="CH425" s="47">
        <f t="shared" si="1387"/>
        <v>-1000</v>
      </c>
      <c r="CI425" s="47">
        <f t="shared" si="1387"/>
        <v>-1000</v>
      </c>
      <c r="CJ425" s="47">
        <f t="shared" si="1387"/>
        <v>-1000</v>
      </c>
      <c r="CK425" s="47">
        <f t="shared" si="1387"/>
        <v>-1000</v>
      </c>
      <c r="CL425" s="47">
        <f t="shared" si="1387"/>
        <v>-1000</v>
      </c>
      <c r="CM425" s="47">
        <f t="shared" si="1387"/>
        <v>-1000</v>
      </c>
      <c r="CN425" s="47">
        <f t="shared" si="1387"/>
        <v>-1000</v>
      </c>
      <c r="CO425" s="47">
        <f t="shared" si="1387"/>
        <v>-1000</v>
      </c>
      <c r="CP425" s="47">
        <f t="shared" si="1387"/>
        <v>-1000</v>
      </c>
      <c r="CQ425" s="47">
        <f t="shared" si="1387"/>
        <v>-1000</v>
      </c>
      <c r="CR425" s="47"/>
      <c r="CS425" s="47"/>
      <c r="CT425" s="47"/>
      <c r="CU425" s="50" t="str">
        <f>IFERROR(__xludf.DUMMYFUNCTION("""COMPUTED_VALUE"""),"4633 N. Central Exprwy
Dallas, TX 75205         ")</f>
        <v>4633 N. Central Exprwy
Dallas, TX 75205         </v>
      </c>
      <c r="CV425" s="51">
        <f>IFERROR(__xludf.DUMMYFUNCTION("IF(REGEXMATCH(UPPER(CU425), ""TX""),0,1)"),0.0)</f>
        <v>0</v>
      </c>
      <c r="CW425" s="51">
        <f>IFERROR(__xludf.DUMMYFUNCTION("IF(REGEXMATCH(UPPER(CU425), ""DALLAS""),0,1)"),0.0)</f>
        <v>0</v>
      </c>
      <c r="CX425" s="51">
        <f t="shared" si="17"/>
        <v>0</v>
      </c>
      <c r="CY425" s="51">
        <f t="shared" si="18"/>
        <v>0</v>
      </c>
      <c r="CZ425" s="52" t="str">
        <f t="shared" si="19"/>
        <v/>
      </c>
      <c r="DA425" s="58"/>
      <c r="DB425" s="52"/>
      <c r="DC425" s="52"/>
      <c r="DD425" s="52"/>
      <c r="DE425" s="52"/>
      <c r="DF425" s="52"/>
      <c r="DG425" s="52"/>
      <c r="DH425" s="52"/>
      <c r="DI425" s="52"/>
      <c r="DJ425" s="52"/>
      <c r="DK425" s="52"/>
      <c r="DL425" s="52"/>
      <c r="DM425" s="52"/>
      <c r="DN425" s="52"/>
      <c r="DO425" s="52"/>
      <c r="DP425" s="52"/>
      <c r="DQ425" s="52"/>
      <c r="DR425" s="52"/>
      <c r="DS425" s="52"/>
      <c r="DT425" s="52"/>
      <c r="DU425" s="52"/>
      <c r="DV425" s="52"/>
      <c r="DW425" s="52"/>
    </row>
    <row r="426">
      <c r="A426" s="22" t="s">
        <v>55</v>
      </c>
      <c r="B426" s="23" t="s">
        <v>56</v>
      </c>
      <c r="C426" s="31" t="s">
        <v>1185</v>
      </c>
      <c r="D426" s="25" t="str">
        <f>IFERROR(__xludf.DUMMYFUNCTION("SPLIT(C426,"" "")"),"Music,")</f>
        <v>Music,</v>
      </c>
      <c r="E426" s="22" t="str">
        <f>IFERROR(__xludf.DUMMYFUNCTION("""COMPUTED_VALUE"""),"Josh")</f>
        <v>Josh</v>
      </c>
      <c r="F426" s="22" t="str">
        <f>IFERROR(__xludf.DUMMYFUNCTION("""COMPUTED_VALUE"""),"and")</f>
        <v>and</v>
      </c>
      <c r="G426" s="22" t="str">
        <f>IFERROR(__xludf.DUMMYFUNCTION("""COMPUTED_VALUE"""),"Jodi
4526")</f>
        <v>Jodi
4526</v>
      </c>
      <c r="H426" s="22" t="str">
        <f>IFERROR(__xludf.DUMMYFUNCTION("""COMPUTED_VALUE"""),"Forest")</f>
        <v>Forest</v>
      </c>
      <c r="I426" s="22" t="str">
        <f>IFERROR(__xludf.DUMMYFUNCTION("""COMPUTED_VALUE"""),"Bend")</f>
        <v>Bend</v>
      </c>
      <c r="J426" s="22" t="str">
        <f>IFERROR(__xludf.DUMMYFUNCTION("""COMPUTED_VALUE"""),"Road
Dallas,")</f>
        <v>Road
Dallas,</v>
      </c>
      <c r="K426" s="22" t="str">
        <f>IFERROR(__xludf.DUMMYFUNCTION("""COMPUTED_VALUE"""),"TX")</f>
        <v>TX</v>
      </c>
      <c r="L426" s="22">
        <f>IFERROR(__xludf.DUMMYFUNCTION("""COMPUTED_VALUE"""),75244.0)</f>
        <v>75244</v>
      </c>
      <c r="M426" s="22"/>
      <c r="N426" s="22"/>
      <c r="O426" s="22"/>
      <c r="P426" s="22"/>
      <c r="Q426" s="22"/>
      <c r="R426" s="22"/>
      <c r="S426" s="22"/>
      <c r="T426" s="22"/>
      <c r="U426" s="24" t="str">
        <f>IFERROR(__xludf.DUMMYFUNCTION("SPLIT(E426,""01234567890"")"),"Josh")</f>
        <v>Josh</v>
      </c>
      <c r="V426" s="24" t="str">
        <f>IFERROR(__xludf.DUMMYFUNCTION("SPLIT(D426,"","")"),"Music")</f>
        <v>Music</v>
      </c>
      <c r="W426" s="25" t="str">
        <f t="shared" si="1"/>
        <v>JOSH MUSIC</v>
      </c>
      <c r="X426" s="25" t="s">
        <v>1186</v>
      </c>
      <c r="Y426" s="25">
        <v>75244.0</v>
      </c>
      <c r="Z426" s="25" t="str">
        <f>IFERROR(__xludf.DUMMYFUNCTION("SPLIT(C426,""
"")"),"Music, Josh and Jodi")</f>
        <v>Music, Josh and Jodi</v>
      </c>
      <c r="AA426" s="25" t="str">
        <f>IFERROR(__xludf.DUMMYFUNCTION("""COMPUTED_VALUE"""),"4526 Forest Bend Road")</f>
        <v>4526 Forest Bend Road</v>
      </c>
      <c r="AB426" s="25" t="str">
        <f>IFERROR(__xludf.DUMMYFUNCTION("""COMPUTED_VALUE"""),"Dallas, TX 75244")</f>
        <v>Dallas, TX 75244</v>
      </c>
      <c r="AC426" s="24" t="s">
        <v>1187</v>
      </c>
      <c r="AD426" s="25"/>
      <c r="AE426" s="25"/>
      <c r="AF426" s="25"/>
      <c r="AG426" s="22" t="s">
        <v>60</v>
      </c>
      <c r="AH426" s="54">
        <v>2445.0</v>
      </c>
      <c r="AI426" s="22" t="s">
        <v>61</v>
      </c>
      <c r="AJ426" s="27">
        <v>200.0</v>
      </c>
      <c r="AK426" s="31" t="s">
        <v>30</v>
      </c>
      <c r="AL426" s="28">
        <v>44742.0</v>
      </c>
      <c r="AM426" s="29">
        <v>44755.778402777774</v>
      </c>
      <c r="AN426" s="30">
        <v>2.0</v>
      </c>
      <c r="AO426" s="22"/>
      <c r="AP426" s="22"/>
      <c r="AQ426" s="22"/>
      <c r="AR426" s="22"/>
      <c r="AS426" s="22"/>
      <c r="AT426" s="70"/>
      <c r="AU426" s="22"/>
      <c r="AV426" s="57" t="str">
        <f>IFERROR(__xludf.DUMMYFUNCTION("""COMPUTED_VALUE"""),"Fuentes")</f>
        <v>Fuentes</v>
      </c>
      <c r="AW426" s="46">
        <f t="shared" si="7"/>
        <v>50</v>
      </c>
      <c r="AX426" s="47">
        <f t="shared" ref="AX426:BQ426" si="1388">SUMIFS($AJ:$AJ,$V:$V,$AV426,$AK:$AK,AX$2)</f>
        <v>0</v>
      </c>
      <c r="AY426" s="48">
        <f t="shared" si="1388"/>
        <v>0</v>
      </c>
      <c r="AZ426" s="48">
        <f t="shared" si="1388"/>
        <v>0</v>
      </c>
      <c r="BA426" s="48">
        <f t="shared" si="1388"/>
        <v>50</v>
      </c>
      <c r="BB426" s="48">
        <f t="shared" si="1388"/>
        <v>0</v>
      </c>
      <c r="BC426" s="48">
        <f t="shared" si="1388"/>
        <v>0</v>
      </c>
      <c r="BD426" s="48">
        <f t="shared" si="1388"/>
        <v>0</v>
      </c>
      <c r="BE426" s="48">
        <f t="shared" si="1388"/>
        <v>0</v>
      </c>
      <c r="BF426" s="48">
        <f t="shared" si="1388"/>
        <v>0</v>
      </c>
      <c r="BG426" s="48">
        <f t="shared" si="1388"/>
        <v>0</v>
      </c>
      <c r="BH426" s="48">
        <f t="shared" si="1388"/>
        <v>0</v>
      </c>
      <c r="BI426" s="48">
        <f t="shared" si="1388"/>
        <v>0</v>
      </c>
      <c r="BJ426" s="48">
        <f t="shared" si="1388"/>
        <v>0</v>
      </c>
      <c r="BK426" s="48">
        <f t="shared" si="1388"/>
        <v>0</v>
      </c>
      <c r="BL426" s="48">
        <f t="shared" si="1388"/>
        <v>0</v>
      </c>
      <c r="BM426" s="48">
        <f t="shared" si="1388"/>
        <v>0</v>
      </c>
      <c r="BN426" s="48">
        <f t="shared" si="1388"/>
        <v>0</v>
      </c>
      <c r="BO426" s="48">
        <f t="shared" si="1388"/>
        <v>0</v>
      </c>
      <c r="BP426" s="48">
        <f t="shared" si="1388"/>
        <v>0</v>
      </c>
      <c r="BQ426" s="48">
        <f t="shared" si="1388"/>
        <v>0</v>
      </c>
      <c r="BR426" s="36">
        <f t="shared" si="9"/>
        <v>0</v>
      </c>
      <c r="BS426" s="38">
        <f t="shared" si="10"/>
        <v>1</v>
      </c>
      <c r="BT426" s="49">
        <f t="shared" si="11"/>
        <v>0</v>
      </c>
      <c r="BU426" s="38">
        <f t="shared" si="12"/>
        <v>1000</v>
      </c>
      <c r="BV426" s="57" t="str">
        <f>IFERROR(__xludf.DUMMYFUNCTION("""COMPUTED_VALUE"""),"Fuentes")</f>
        <v>Fuentes</v>
      </c>
      <c r="BW426" s="46">
        <f t="shared" si="13"/>
        <v>50</v>
      </c>
      <c r="BX426" s="47">
        <f t="shared" ref="BX426:CA426" si="1389">AX426-$BU426</f>
        <v>-1000</v>
      </c>
      <c r="BY426" s="47">
        <f t="shared" si="1389"/>
        <v>-1000</v>
      </c>
      <c r="BZ426" s="47">
        <f t="shared" si="1389"/>
        <v>-1000</v>
      </c>
      <c r="CA426" s="47">
        <f t="shared" si="1389"/>
        <v>-950</v>
      </c>
      <c r="CB426" s="47">
        <f t="shared" si="15"/>
        <v>-10000</v>
      </c>
      <c r="CC426" s="47">
        <f t="shared" ref="CC426:CQ426" si="1390">BC426-$BU426</f>
        <v>-1000</v>
      </c>
      <c r="CD426" s="47">
        <f t="shared" si="1390"/>
        <v>-1000</v>
      </c>
      <c r="CE426" s="47">
        <f t="shared" si="1390"/>
        <v>-1000</v>
      </c>
      <c r="CF426" s="47">
        <f t="shared" si="1390"/>
        <v>-1000</v>
      </c>
      <c r="CG426" s="47">
        <f t="shared" si="1390"/>
        <v>-1000</v>
      </c>
      <c r="CH426" s="47">
        <f t="shared" si="1390"/>
        <v>-1000</v>
      </c>
      <c r="CI426" s="47">
        <f t="shared" si="1390"/>
        <v>-1000</v>
      </c>
      <c r="CJ426" s="47">
        <f t="shared" si="1390"/>
        <v>-1000</v>
      </c>
      <c r="CK426" s="47">
        <f t="shared" si="1390"/>
        <v>-1000</v>
      </c>
      <c r="CL426" s="47">
        <f t="shared" si="1390"/>
        <v>-1000</v>
      </c>
      <c r="CM426" s="47">
        <f t="shared" si="1390"/>
        <v>-1000</v>
      </c>
      <c r="CN426" s="47">
        <f t="shared" si="1390"/>
        <v>-1000</v>
      </c>
      <c r="CO426" s="47">
        <f t="shared" si="1390"/>
        <v>-1000</v>
      </c>
      <c r="CP426" s="47">
        <f t="shared" si="1390"/>
        <v>-1000</v>
      </c>
      <c r="CQ426" s="47">
        <f t="shared" si="1390"/>
        <v>-1000</v>
      </c>
      <c r="CR426" s="47"/>
      <c r="CS426" s="47"/>
      <c r="CT426" s="47"/>
      <c r="CU426" s="50" t="str">
        <f>IFERROR(__xludf.DUMMYFUNCTION("""COMPUTED_VALUE"""),"4818 N. Lindhurst Ave
Dallas, TX 75229         ")</f>
        <v>4818 N. Lindhurst Ave
Dallas, TX 75229         </v>
      </c>
      <c r="CV426" s="51">
        <f>IFERROR(__xludf.DUMMYFUNCTION("IF(REGEXMATCH(UPPER(CU426), ""TX""),0,1)"),0.0)</f>
        <v>0</v>
      </c>
      <c r="CW426" s="51">
        <f>IFERROR(__xludf.DUMMYFUNCTION("IF(REGEXMATCH(UPPER(CU426), ""DALLAS""),0,1)"),0.0)</f>
        <v>0</v>
      </c>
      <c r="CX426" s="51">
        <f t="shared" si="17"/>
        <v>0</v>
      </c>
      <c r="CY426" s="51">
        <f t="shared" si="18"/>
        <v>0</v>
      </c>
      <c r="CZ426" s="52" t="str">
        <f t="shared" si="19"/>
        <v/>
      </c>
      <c r="DA426" s="58"/>
      <c r="DB426" s="52"/>
      <c r="DC426" s="52"/>
      <c r="DD426" s="52"/>
      <c r="DE426" s="52"/>
      <c r="DF426" s="52"/>
      <c r="DG426" s="52"/>
      <c r="DH426" s="52"/>
      <c r="DI426" s="52"/>
      <c r="DJ426" s="52"/>
      <c r="DK426" s="52"/>
      <c r="DL426" s="52"/>
      <c r="DM426" s="52"/>
      <c r="DN426" s="52"/>
      <c r="DO426" s="52"/>
      <c r="DP426" s="52"/>
      <c r="DQ426" s="52"/>
      <c r="DR426" s="52"/>
      <c r="DS426" s="52"/>
      <c r="DT426" s="52"/>
      <c r="DU426" s="52"/>
      <c r="DV426" s="52"/>
      <c r="DW426" s="52"/>
    </row>
    <row r="427">
      <c r="A427" s="40" t="s">
        <v>55</v>
      </c>
      <c r="B427" s="41" t="s">
        <v>56</v>
      </c>
      <c r="C427" s="31" t="s">
        <v>474</v>
      </c>
      <c r="D427" s="25" t="str">
        <f>IFERROR(__xludf.DUMMYFUNCTION("SPLIT(C427,"" "")"),"Bloom,")</f>
        <v>Bloom,</v>
      </c>
      <c r="E427" s="40" t="str">
        <f>IFERROR(__xludf.DUMMYFUNCTION("""COMPUTED_VALUE"""),"Brian
6330")</f>
        <v>Brian
6330</v>
      </c>
      <c r="F427" s="40" t="str">
        <f>IFERROR(__xludf.DUMMYFUNCTION("""COMPUTED_VALUE"""),"Northwood")</f>
        <v>Northwood</v>
      </c>
      <c r="G427" s="40" t="str">
        <f>IFERROR(__xludf.DUMMYFUNCTION("""COMPUTED_VALUE"""),"Road
Dallas,")</f>
        <v>Road
Dallas,</v>
      </c>
      <c r="H427" s="40" t="str">
        <f>IFERROR(__xludf.DUMMYFUNCTION("""COMPUTED_VALUE"""),"TX")</f>
        <v>TX</v>
      </c>
      <c r="I427" s="40">
        <f>IFERROR(__xludf.DUMMYFUNCTION("""COMPUTED_VALUE"""),75225.0)</f>
        <v>75225</v>
      </c>
      <c r="J427" s="40"/>
      <c r="K427" s="40"/>
      <c r="L427" s="40"/>
      <c r="M427" s="40"/>
      <c r="N427" s="40"/>
      <c r="O427" s="40"/>
      <c r="P427" s="40"/>
      <c r="Q427" s="40"/>
      <c r="R427" s="40"/>
      <c r="S427" s="40"/>
      <c r="T427" s="40"/>
      <c r="U427" s="24" t="str">
        <f>IFERROR(__xludf.DUMMYFUNCTION("SPLIT(E427,""01234567890"")"),"Brian
")</f>
        <v>Brian
</v>
      </c>
      <c r="V427" s="24" t="str">
        <f>IFERROR(__xludf.DUMMYFUNCTION("SPLIT(D427,"","")"),"Bloom")</f>
        <v>Bloom</v>
      </c>
      <c r="W427" s="25" t="str">
        <f t="shared" si="1"/>
        <v>BRIAN
 BLOOM</v>
      </c>
      <c r="X427" s="25" t="s">
        <v>475</v>
      </c>
      <c r="Y427" s="25">
        <v>75225.0</v>
      </c>
      <c r="Z427" s="25" t="str">
        <f>IFERROR(__xludf.DUMMYFUNCTION("SPLIT(C427,""
"")"),"Bloom, Brian")</f>
        <v>Bloom, Brian</v>
      </c>
      <c r="AA427" s="25" t="str">
        <f>IFERROR(__xludf.DUMMYFUNCTION("""COMPUTED_VALUE"""),"6330 Northwood Road")</f>
        <v>6330 Northwood Road</v>
      </c>
      <c r="AB427" s="25" t="str">
        <f>IFERROR(__xludf.DUMMYFUNCTION("""COMPUTED_VALUE"""),"Dallas, TX 75225")</f>
        <v>Dallas, TX 75225</v>
      </c>
      <c r="AC427" s="24" t="s">
        <v>476</v>
      </c>
      <c r="AD427" s="25"/>
      <c r="AE427" s="25"/>
      <c r="AF427" s="25"/>
      <c r="AG427" s="40" t="s">
        <v>60</v>
      </c>
      <c r="AH427" s="42">
        <v>2445.0</v>
      </c>
      <c r="AI427" s="40" t="s">
        <v>61</v>
      </c>
      <c r="AJ427" s="27">
        <v>500.0</v>
      </c>
      <c r="AK427" s="31" t="s">
        <v>30</v>
      </c>
      <c r="AL427" s="43">
        <v>44741.0</v>
      </c>
      <c r="AM427" s="44">
        <v>44755.778402777774</v>
      </c>
      <c r="AN427" s="30">
        <v>2.0</v>
      </c>
      <c r="AO427" s="40"/>
      <c r="AP427" s="40"/>
      <c r="AQ427" s="40"/>
      <c r="AR427" s="40"/>
      <c r="AS427" s="40"/>
      <c r="AT427" s="47"/>
      <c r="AU427" s="40"/>
      <c r="AV427" s="46" t="str">
        <f>IFERROR(__xludf.DUMMYFUNCTION("""COMPUTED_VALUE"""),"Platt")</f>
        <v>Platt</v>
      </c>
      <c r="AW427" s="46">
        <f t="shared" si="7"/>
        <v>250</v>
      </c>
      <c r="AX427" s="47">
        <f t="shared" ref="AX427:BQ427" si="1391">SUMIFS($AJ:$AJ,$V:$V,$AV427,$AK:$AK,AX$2)</f>
        <v>0</v>
      </c>
      <c r="AY427" s="48">
        <f t="shared" si="1391"/>
        <v>0</v>
      </c>
      <c r="AZ427" s="48">
        <f t="shared" si="1391"/>
        <v>0</v>
      </c>
      <c r="BA427" s="48">
        <f t="shared" si="1391"/>
        <v>250</v>
      </c>
      <c r="BB427" s="48">
        <f t="shared" si="1391"/>
        <v>0</v>
      </c>
      <c r="BC427" s="48">
        <f t="shared" si="1391"/>
        <v>0</v>
      </c>
      <c r="BD427" s="48">
        <f t="shared" si="1391"/>
        <v>0</v>
      </c>
      <c r="BE427" s="48">
        <f t="shared" si="1391"/>
        <v>0</v>
      </c>
      <c r="BF427" s="48">
        <f t="shared" si="1391"/>
        <v>0</v>
      </c>
      <c r="BG427" s="48">
        <f t="shared" si="1391"/>
        <v>0</v>
      </c>
      <c r="BH427" s="48">
        <f t="shared" si="1391"/>
        <v>0</v>
      </c>
      <c r="BI427" s="48">
        <f t="shared" si="1391"/>
        <v>0</v>
      </c>
      <c r="BJ427" s="48">
        <f t="shared" si="1391"/>
        <v>0</v>
      </c>
      <c r="BK427" s="48">
        <f t="shared" si="1391"/>
        <v>0</v>
      </c>
      <c r="BL427" s="48">
        <f t="shared" si="1391"/>
        <v>0</v>
      </c>
      <c r="BM427" s="48">
        <f t="shared" si="1391"/>
        <v>0</v>
      </c>
      <c r="BN427" s="48">
        <f t="shared" si="1391"/>
        <v>0</v>
      </c>
      <c r="BO427" s="48">
        <f t="shared" si="1391"/>
        <v>0</v>
      </c>
      <c r="BP427" s="48">
        <f t="shared" si="1391"/>
        <v>0</v>
      </c>
      <c r="BQ427" s="48">
        <f t="shared" si="1391"/>
        <v>0</v>
      </c>
      <c r="BR427" s="36">
        <f t="shared" si="9"/>
        <v>0</v>
      </c>
      <c r="BS427" s="38">
        <f t="shared" si="10"/>
        <v>1</v>
      </c>
      <c r="BT427" s="49">
        <f t="shared" si="11"/>
        <v>0</v>
      </c>
      <c r="BU427" s="38">
        <f t="shared" si="12"/>
        <v>1000</v>
      </c>
      <c r="BV427" s="46" t="str">
        <f>IFERROR(__xludf.DUMMYFUNCTION("""COMPUTED_VALUE"""),"Platt")</f>
        <v>Platt</v>
      </c>
      <c r="BW427" s="46">
        <f t="shared" si="13"/>
        <v>250</v>
      </c>
      <c r="BX427" s="47">
        <f t="shared" ref="BX427:CA427" si="1392">AX427-$BU427</f>
        <v>-1000</v>
      </c>
      <c r="BY427" s="47">
        <f t="shared" si="1392"/>
        <v>-1000</v>
      </c>
      <c r="BZ427" s="47">
        <f t="shared" si="1392"/>
        <v>-1000</v>
      </c>
      <c r="CA427" s="47">
        <f t="shared" si="1392"/>
        <v>-750</v>
      </c>
      <c r="CB427" s="47">
        <f t="shared" si="15"/>
        <v>-10000</v>
      </c>
      <c r="CC427" s="47">
        <f t="shared" ref="CC427:CQ427" si="1393">BC427-$BU427</f>
        <v>-1000</v>
      </c>
      <c r="CD427" s="47">
        <f t="shared" si="1393"/>
        <v>-1000</v>
      </c>
      <c r="CE427" s="47">
        <f t="shared" si="1393"/>
        <v>-1000</v>
      </c>
      <c r="CF427" s="47">
        <f t="shared" si="1393"/>
        <v>-1000</v>
      </c>
      <c r="CG427" s="47">
        <f t="shared" si="1393"/>
        <v>-1000</v>
      </c>
      <c r="CH427" s="47">
        <f t="shared" si="1393"/>
        <v>-1000</v>
      </c>
      <c r="CI427" s="47">
        <f t="shared" si="1393"/>
        <v>-1000</v>
      </c>
      <c r="CJ427" s="47">
        <f t="shared" si="1393"/>
        <v>-1000</v>
      </c>
      <c r="CK427" s="47">
        <f t="shared" si="1393"/>
        <v>-1000</v>
      </c>
      <c r="CL427" s="47">
        <f t="shared" si="1393"/>
        <v>-1000</v>
      </c>
      <c r="CM427" s="47">
        <f t="shared" si="1393"/>
        <v>-1000</v>
      </c>
      <c r="CN427" s="47">
        <f t="shared" si="1393"/>
        <v>-1000</v>
      </c>
      <c r="CO427" s="47">
        <f t="shared" si="1393"/>
        <v>-1000</v>
      </c>
      <c r="CP427" s="47">
        <f t="shared" si="1393"/>
        <v>-1000</v>
      </c>
      <c r="CQ427" s="47">
        <f t="shared" si="1393"/>
        <v>-1000</v>
      </c>
      <c r="CR427" s="47"/>
      <c r="CS427" s="47"/>
      <c r="CT427" s="47"/>
      <c r="CU427" s="50" t="str">
        <f>IFERROR(__xludf.DUMMYFUNCTION("""COMPUTED_VALUE"""),", Velletta
622 Blair Blvd.
Dallas, TX 75223         ")</f>
        <v>, Velletta
622 Blair Blvd.
Dallas, TX 75223         </v>
      </c>
      <c r="CV427" s="51">
        <f>IFERROR(__xludf.DUMMYFUNCTION("IF(REGEXMATCH(UPPER(CU427), ""TX""),0,1)"),0.0)</f>
        <v>0</v>
      </c>
      <c r="CW427" s="51">
        <f>IFERROR(__xludf.DUMMYFUNCTION("IF(REGEXMATCH(UPPER(CU427), ""DALLAS""),0,1)"),0.0)</f>
        <v>0</v>
      </c>
      <c r="CX427" s="51">
        <f t="shared" si="17"/>
        <v>0</v>
      </c>
      <c r="CY427" s="51">
        <f t="shared" si="18"/>
        <v>0</v>
      </c>
      <c r="CZ427" s="52" t="str">
        <f t="shared" si="19"/>
        <v/>
      </c>
      <c r="DA427" s="58"/>
      <c r="DB427" s="52"/>
      <c r="DC427" s="52"/>
      <c r="DD427" s="52"/>
      <c r="DE427" s="52"/>
      <c r="DF427" s="52"/>
      <c r="DG427" s="52"/>
      <c r="DH427" s="52"/>
      <c r="DI427" s="52"/>
      <c r="DJ427" s="52"/>
      <c r="DK427" s="52"/>
      <c r="DL427" s="52"/>
      <c r="DM427" s="52"/>
      <c r="DN427" s="52"/>
      <c r="DO427" s="52"/>
      <c r="DP427" s="52"/>
      <c r="DQ427" s="52"/>
      <c r="DR427" s="52"/>
      <c r="DS427" s="52"/>
      <c r="DT427" s="52"/>
      <c r="DU427" s="52"/>
      <c r="DV427" s="52"/>
      <c r="DW427" s="52"/>
    </row>
    <row r="428">
      <c r="A428" s="22" t="s">
        <v>55</v>
      </c>
      <c r="B428" s="23" t="s">
        <v>56</v>
      </c>
      <c r="C428" s="31" t="s">
        <v>1188</v>
      </c>
      <c r="D428" s="25" t="str">
        <f>IFERROR(__xludf.DUMMYFUNCTION("SPLIT(C428,"" "")"),"Lunceford,")</f>
        <v>Lunceford,</v>
      </c>
      <c r="E428" s="22" t="str">
        <f>IFERROR(__xludf.DUMMYFUNCTION("""COMPUTED_VALUE"""),"Kay
4411")</f>
        <v>Kay
4411</v>
      </c>
      <c r="F428" s="22" t="str">
        <f>IFERROR(__xludf.DUMMYFUNCTION("""COMPUTED_VALUE"""),"Williamsburg")</f>
        <v>Williamsburg</v>
      </c>
      <c r="G428" s="22" t="str">
        <f>IFERROR(__xludf.DUMMYFUNCTION("""COMPUTED_VALUE"""),"Road
Dallas,")</f>
        <v>Road
Dallas,</v>
      </c>
      <c r="H428" s="22" t="str">
        <f>IFERROR(__xludf.DUMMYFUNCTION("""COMPUTED_VALUE"""),"TX")</f>
        <v>TX</v>
      </c>
      <c r="I428" s="22">
        <f>IFERROR(__xludf.DUMMYFUNCTION("""COMPUTED_VALUE"""),75220.0)</f>
        <v>75220</v>
      </c>
      <c r="J428" s="22"/>
      <c r="K428" s="22"/>
      <c r="L428" s="22"/>
      <c r="M428" s="22"/>
      <c r="N428" s="22"/>
      <c r="O428" s="22"/>
      <c r="P428" s="22"/>
      <c r="Q428" s="22"/>
      <c r="R428" s="22"/>
      <c r="S428" s="22"/>
      <c r="T428" s="22"/>
      <c r="U428" s="24" t="str">
        <f>IFERROR(__xludf.DUMMYFUNCTION("SPLIT(E428,""01234567890"")"),"Kay
")</f>
        <v>Kay
</v>
      </c>
      <c r="V428" s="24" t="str">
        <f>IFERROR(__xludf.DUMMYFUNCTION("SPLIT(D428,"","")"),"Lunceford")</f>
        <v>Lunceford</v>
      </c>
      <c r="W428" s="25" t="str">
        <f t="shared" si="1"/>
        <v>KAY
 LUNCEFORD</v>
      </c>
      <c r="X428" s="25" t="s">
        <v>1189</v>
      </c>
      <c r="Y428" s="25">
        <v>75220.0</v>
      </c>
      <c r="Z428" s="25" t="str">
        <f>IFERROR(__xludf.DUMMYFUNCTION("SPLIT(C428,""
"")"),"Lunceford, Kay")</f>
        <v>Lunceford, Kay</v>
      </c>
      <c r="AA428" s="25" t="str">
        <f>IFERROR(__xludf.DUMMYFUNCTION("""COMPUTED_VALUE"""),"4411 Williamsburg Road")</f>
        <v>4411 Williamsburg Road</v>
      </c>
      <c r="AB428" s="25" t="str">
        <f>IFERROR(__xludf.DUMMYFUNCTION("""COMPUTED_VALUE"""),"Dallas, TX 75220")</f>
        <v>Dallas, TX 75220</v>
      </c>
      <c r="AC428" s="24" t="s">
        <v>1190</v>
      </c>
      <c r="AD428" s="25"/>
      <c r="AE428" s="25"/>
      <c r="AF428" s="25"/>
      <c r="AG428" s="22" t="s">
        <v>60</v>
      </c>
      <c r="AH428" s="54">
        <v>2445.0</v>
      </c>
      <c r="AI428" s="22" t="s">
        <v>61</v>
      </c>
      <c r="AJ428" s="27">
        <v>150.0</v>
      </c>
      <c r="AK428" s="31" t="s">
        <v>30</v>
      </c>
      <c r="AL428" s="28">
        <v>44741.0</v>
      </c>
      <c r="AM428" s="29">
        <v>44755.778402777774</v>
      </c>
      <c r="AN428" s="30">
        <v>2.0</v>
      </c>
      <c r="AO428" s="22"/>
      <c r="AP428" s="22"/>
      <c r="AQ428" s="22"/>
      <c r="AR428" s="22"/>
      <c r="AS428" s="22"/>
      <c r="AT428" s="70"/>
      <c r="AU428" s="22"/>
      <c r="AV428" s="57" t="str">
        <f>IFERROR(__xludf.DUMMYFUNCTION("""COMPUTED_VALUE"""),"Starr")</f>
        <v>Starr</v>
      </c>
      <c r="AW428" s="46">
        <f t="shared" si="7"/>
        <v>250</v>
      </c>
      <c r="AX428" s="47">
        <f t="shared" ref="AX428:BQ428" si="1394">SUMIFS($AJ:$AJ,$V:$V,$AV428,$AK:$AK,AX$2)</f>
        <v>0</v>
      </c>
      <c r="AY428" s="48">
        <f t="shared" si="1394"/>
        <v>0</v>
      </c>
      <c r="AZ428" s="48">
        <f t="shared" si="1394"/>
        <v>0</v>
      </c>
      <c r="BA428" s="48">
        <f t="shared" si="1394"/>
        <v>250</v>
      </c>
      <c r="BB428" s="48">
        <f t="shared" si="1394"/>
        <v>0</v>
      </c>
      <c r="BC428" s="48">
        <f t="shared" si="1394"/>
        <v>0</v>
      </c>
      <c r="BD428" s="48">
        <f t="shared" si="1394"/>
        <v>0</v>
      </c>
      <c r="BE428" s="48">
        <f t="shared" si="1394"/>
        <v>0</v>
      </c>
      <c r="BF428" s="48">
        <f t="shared" si="1394"/>
        <v>0</v>
      </c>
      <c r="BG428" s="48">
        <f t="shared" si="1394"/>
        <v>0</v>
      </c>
      <c r="BH428" s="48">
        <f t="shared" si="1394"/>
        <v>0</v>
      </c>
      <c r="BI428" s="48">
        <f t="shared" si="1394"/>
        <v>0</v>
      </c>
      <c r="BJ428" s="48">
        <f t="shared" si="1394"/>
        <v>0</v>
      </c>
      <c r="BK428" s="48">
        <f t="shared" si="1394"/>
        <v>0</v>
      </c>
      <c r="BL428" s="48">
        <f t="shared" si="1394"/>
        <v>0</v>
      </c>
      <c r="BM428" s="48">
        <f t="shared" si="1394"/>
        <v>0</v>
      </c>
      <c r="BN428" s="48">
        <f t="shared" si="1394"/>
        <v>0</v>
      </c>
      <c r="BO428" s="48">
        <f t="shared" si="1394"/>
        <v>0</v>
      </c>
      <c r="BP428" s="48">
        <f t="shared" si="1394"/>
        <v>0</v>
      </c>
      <c r="BQ428" s="48">
        <f t="shared" si="1394"/>
        <v>0</v>
      </c>
      <c r="BR428" s="36">
        <f t="shared" si="9"/>
        <v>0</v>
      </c>
      <c r="BS428" s="38">
        <f t="shared" si="10"/>
        <v>1</v>
      </c>
      <c r="BT428" s="49">
        <f t="shared" si="11"/>
        <v>0</v>
      </c>
      <c r="BU428" s="38">
        <f t="shared" si="12"/>
        <v>1000</v>
      </c>
      <c r="BV428" s="57" t="str">
        <f>IFERROR(__xludf.DUMMYFUNCTION("""COMPUTED_VALUE"""),"Starr")</f>
        <v>Starr</v>
      </c>
      <c r="BW428" s="46">
        <f t="shared" si="13"/>
        <v>250</v>
      </c>
      <c r="BX428" s="47">
        <f t="shared" ref="BX428:CA428" si="1395">AX428-$BU428</f>
        <v>-1000</v>
      </c>
      <c r="BY428" s="47">
        <f t="shared" si="1395"/>
        <v>-1000</v>
      </c>
      <c r="BZ428" s="47">
        <f t="shared" si="1395"/>
        <v>-1000</v>
      </c>
      <c r="CA428" s="47">
        <f t="shared" si="1395"/>
        <v>-750</v>
      </c>
      <c r="CB428" s="47">
        <f t="shared" si="15"/>
        <v>-10000</v>
      </c>
      <c r="CC428" s="47">
        <f t="shared" ref="CC428:CQ428" si="1396">BC428-$BU428</f>
        <v>-1000</v>
      </c>
      <c r="CD428" s="47">
        <f t="shared" si="1396"/>
        <v>-1000</v>
      </c>
      <c r="CE428" s="47">
        <f t="shared" si="1396"/>
        <v>-1000</v>
      </c>
      <c r="CF428" s="47">
        <f t="shared" si="1396"/>
        <v>-1000</v>
      </c>
      <c r="CG428" s="47">
        <f t="shared" si="1396"/>
        <v>-1000</v>
      </c>
      <c r="CH428" s="47">
        <f t="shared" si="1396"/>
        <v>-1000</v>
      </c>
      <c r="CI428" s="47">
        <f t="shared" si="1396"/>
        <v>-1000</v>
      </c>
      <c r="CJ428" s="47">
        <f t="shared" si="1396"/>
        <v>-1000</v>
      </c>
      <c r="CK428" s="47">
        <f t="shared" si="1396"/>
        <v>-1000</v>
      </c>
      <c r="CL428" s="47">
        <f t="shared" si="1396"/>
        <v>-1000</v>
      </c>
      <c r="CM428" s="47">
        <f t="shared" si="1396"/>
        <v>-1000</v>
      </c>
      <c r="CN428" s="47">
        <f t="shared" si="1396"/>
        <v>-1000</v>
      </c>
      <c r="CO428" s="47">
        <f t="shared" si="1396"/>
        <v>-1000</v>
      </c>
      <c r="CP428" s="47">
        <f t="shared" si="1396"/>
        <v>-1000</v>
      </c>
      <c r="CQ428" s="47">
        <f t="shared" si="1396"/>
        <v>-1000</v>
      </c>
      <c r="CR428" s="47"/>
      <c r="CS428" s="47"/>
      <c r="CT428" s="47"/>
      <c r="CU428" s="50" t="str">
        <f>IFERROR(__xludf.DUMMYFUNCTION("""COMPUTED_VALUE"""),"6629 Golf Dr
Dallas, TX 75205          ")</f>
        <v>6629 Golf Dr
Dallas, TX 75205          </v>
      </c>
      <c r="CV428" s="51">
        <f>IFERROR(__xludf.DUMMYFUNCTION("IF(REGEXMATCH(UPPER(CU428), ""TX""),0,1)"),0.0)</f>
        <v>0</v>
      </c>
      <c r="CW428" s="51">
        <f>IFERROR(__xludf.DUMMYFUNCTION("IF(REGEXMATCH(UPPER(CU428), ""DALLAS""),0,1)"),0.0)</f>
        <v>0</v>
      </c>
      <c r="CX428" s="51">
        <f t="shared" si="17"/>
        <v>0</v>
      </c>
      <c r="CY428" s="51">
        <f t="shared" si="18"/>
        <v>0</v>
      </c>
      <c r="CZ428" s="52" t="str">
        <f t="shared" si="19"/>
        <v/>
      </c>
      <c r="DA428" s="58"/>
      <c r="DB428" s="52"/>
      <c r="DC428" s="52"/>
      <c r="DD428" s="52"/>
      <c r="DE428" s="52"/>
      <c r="DF428" s="52"/>
      <c r="DG428" s="52"/>
      <c r="DH428" s="52"/>
      <c r="DI428" s="52"/>
      <c r="DJ428" s="52"/>
      <c r="DK428" s="52"/>
      <c r="DL428" s="52"/>
      <c r="DM428" s="52"/>
      <c r="DN428" s="52"/>
      <c r="DO428" s="52"/>
      <c r="DP428" s="52"/>
      <c r="DQ428" s="52"/>
      <c r="DR428" s="52"/>
      <c r="DS428" s="52"/>
      <c r="DT428" s="52"/>
      <c r="DU428" s="52"/>
      <c r="DV428" s="52"/>
      <c r="DW428" s="52"/>
    </row>
    <row r="429">
      <c r="A429" s="40" t="s">
        <v>55</v>
      </c>
      <c r="B429" s="41" t="s">
        <v>56</v>
      </c>
      <c r="C429" s="31" t="s">
        <v>1191</v>
      </c>
      <c r="D429" s="25" t="str">
        <f>IFERROR(__xludf.DUMMYFUNCTION("SPLIT(C429,"" "")"),"Henry,")</f>
        <v>Henry,</v>
      </c>
      <c r="E429" s="40" t="str">
        <f>IFERROR(__xludf.DUMMYFUNCTION("""COMPUTED_VALUE"""),"Rue
4803")</f>
        <v>Rue
4803</v>
      </c>
      <c r="F429" s="40" t="str">
        <f>IFERROR(__xludf.DUMMYFUNCTION("""COMPUTED_VALUE"""),"Shadywood")</f>
        <v>Shadywood</v>
      </c>
      <c r="G429" s="40" t="str">
        <f>IFERROR(__xludf.DUMMYFUNCTION("""COMPUTED_VALUE"""),"Lane
Dallas,")</f>
        <v>Lane
Dallas,</v>
      </c>
      <c r="H429" s="40" t="str">
        <f>IFERROR(__xludf.DUMMYFUNCTION("""COMPUTED_VALUE"""),"TX")</f>
        <v>TX</v>
      </c>
      <c r="I429" s="40">
        <f>IFERROR(__xludf.DUMMYFUNCTION("""COMPUTED_VALUE"""),75209.0)</f>
        <v>75209</v>
      </c>
      <c r="J429" s="40"/>
      <c r="K429" s="40"/>
      <c r="L429" s="40"/>
      <c r="M429" s="40"/>
      <c r="N429" s="40"/>
      <c r="O429" s="40"/>
      <c r="P429" s="40"/>
      <c r="Q429" s="40"/>
      <c r="R429" s="40"/>
      <c r="S429" s="40"/>
      <c r="T429" s="40"/>
      <c r="U429" s="24" t="str">
        <f>IFERROR(__xludf.DUMMYFUNCTION("SPLIT(E429,""01234567890"")"),"Rue
")</f>
        <v>Rue
</v>
      </c>
      <c r="V429" s="24" t="str">
        <f>IFERROR(__xludf.DUMMYFUNCTION("SPLIT(D429,"","")"),"Henry")</f>
        <v>Henry</v>
      </c>
      <c r="W429" s="25" t="str">
        <f t="shared" si="1"/>
        <v>RUE
 HENRY</v>
      </c>
      <c r="X429" s="25" t="s">
        <v>1192</v>
      </c>
      <c r="Y429" s="25">
        <v>75209.0</v>
      </c>
      <c r="Z429" s="25" t="str">
        <f>IFERROR(__xludf.DUMMYFUNCTION("SPLIT(C429,""
"")"),"Henry, Rue")</f>
        <v>Henry, Rue</v>
      </c>
      <c r="AA429" s="25" t="str">
        <f>IFERROR(__xludf.DUMMYFUNCTION("""COMPUTED_VALUE"""),"4803 Shadywood Lane")</f>
        <v>4803 Shadywood Lane</v>
      </c>
      <c r="AB429" s="25" t="str">
        <f>IFERROR(__xludf.DUMMYFUNCTION("""COMPUTED_VALUE"""),"Dallas, TX 75209")</f>
        <v>Dallas, TX 75209</v>
      </c>
      <c r="AC429" s="24" t="s">
        <v>1193</v>
      </c>
      <c r="AD429" s="25"/>
      <c r="AE429" s="25"/>
      <c r="AF429" s="25"/>
      <c r="AG429" s="40" t="s">
        <v>60</v>
      </c>
      <c r="AH429" s="42">
        <v>2445.0</v>
      </c>
      <c r="AI429" s="40" t="s">
        <v>61</v>
      </c>
      <c r="AJ429" s="27">
        <v>100.0</v>
      </c>
      <c r="AK429" s="31" t="s">
        <v>30</v>
      </c>
      <c r="AL429" s="43">
        <v>44741.0</v>
      </c>
      <c r="AM429" s="44">
        <v>44755.778402777774</v>
      </c>
      <c r="AN429" s="30">
        <v>2.0</v>
      </c>
      <c r="AO429" s="40"/>
      <c r="AP429" s="40"/>
      <c r="AQ429" s="40"/>
      <c r="AR429" s="40"/>
      <c r="AS429" s="40"/>
      <c r="AT429" s="47"/>
      <c r="AU429" s="40"/>
      <c r="AV429" s="46" t="str">
        <f>IFERROR(__xludf.DUMMYFUNCTION("""COMPUTED_VALUE"""),"Kotvis")</f>
        <v>Kotvis</v>
      </c>
      <c r="AW429" s="46">
        <f t="shared" si="7"/>
        <v>500</v>
      </c>
      <c r="AX429" s="47">
        <f t="shared" ref="AX429:BQ429" si="1397">SUMIFS($AJ:$AJ,$V:$V,$AV429,$AK:$AK,AX$2)</f>
        <v>0</v>
      </c>
      <c r="AY429" s="48">
        <f t="shared" si="1397"/>
        <v>0</v>
      </c>
      <c r="AZ429" s="48">
        <f t="shared" si="1397"/>
        <v>0</v>
      </c>
      <c r="BA429" s="48">
        <f t="shared" si="1397"/>
        <v>500</v>
      </c>
      <c r="BB429" s="48">
        <f t="shared" si="1397"/>
        <v>0</v>
      </c>
      <c r="BC429" s="48">
        <f t="shared" si="1397"/>
        <v>0</v>
      </c>
      <c r="BD429" s="48">
        <f t="shared" si="1397"/>
        <v>0</v>
      </c>
      <c r="BE429" s="48">
        <f t="shared" si="1397"/>
        <v>0</v>
      </c>
      <c r="BF429" s="48">
        <f t="shared" si="1397"/>
        <v>0</v>
      </c>
      <c r="BG429" s="48">
        <f t="shared" si="1397"/>
        <v>0</v>
      </c>
      <c r="BH429" s="48">
        <f t="shared" si="1397"/>
        <v>0</v>
      </c>
      <c r="BI429" s="48">
        <f t="shared" si="1397"/>
        <v>0</v>
      </c>
      <c r="BJ429" s="48">
        <f t="shared" si="1397"/>
        <v>0</v>
      </c>
      <c r="BK429" s="48">
        <f t="shared" si="1397"/>
        <v>0</v>
      </c>
      <c r="BL429" s="48">
        <f t="shared" si="1397"/>
        <v>0</v>
      </c>
      <c r="BM429" s="48">
        <f t="shared" si="1397"/>
        <v>0</v>
      </c>
      <c r="BN429" s="48">
        <f t="shared" si="1397"/>
        <v>0</v>
      </c>
      <c r="BO429" s="48">
        <f t="shared" si="1397"/>
        <v>0</v>
      </c>
      <c r="BP429" s="48">
        <f t="shared" si="1397"/>
        <v>0</v>
      </c>
      <c r="BQ429" s="48">
        <f t="shared" si="1397"/>
        <v>0</v>
      </c>
      <c r="BR429" s="36">
        <f t="shared" si="9"/>
        <v>0</v>
      </c>
      <c r="BS429" s="38">
        <f t="shared" si="10"/>
        <v>1</v>
      </c>
      <c r="BT429" s="49">
        <f t="shared" si="11"/>
        <v>0</v>
      </c>
      <c r="BU429" s="38">
        <f t="shared" si="12"/>
        <v>1000</v>
      </c>
      <c r="BV429" s="46" t="str">
        <f>IFERROR(__xludf.DUMMYFUNCTION("""COMPUTED_VALUE"""),"Kotvis")</f>
        <v>Kotvis</v>
      </c>
      <c r="BW429" s="46">
        <f t="shared" si="13"/>
        <v>500</v>
      </c>
      <c r="BX429" s="47">
        <f t="shared" ref="BX429:CA429" si="1398">AX429-$BU429</f>
        <v>-1000</v>
      </c>
      <c r="BY429" s="47">
        <f t="shared" si="1398"/>
        <v>-1000</v>
      </c>
      <c r="BZ429" s="47">
        <f t="shared" si="1398"/>
        <v>-1000</v>
      </c>
      <c r="CA429" s="47">
        <f t="shared" si="1398"/>
        <v>-500</v>
      </c>
      <c r="CB429" s="47">
        <f t="shared" si="15"/>
        <v>-10000</v>
      </c>
      <c r="CC429" s="47">
        <f t="shared" ref="CC429:CQ429" si="1399">BC429-$BU429</f>
        <v>-1000</v>
      </c>
      <c r="CD429" s="47">
        <f t="shared" si="1399"/>
        <v>-1000</v>
      </c>
      <c r="CE429" s="47">
        <f t="shared" si="1399"/>
        <v>-1000</v>
      </c>
      <c r="CF429" s="47">
        <f t="shared" si="1399"/>
        <v>-1000</v>
      </c>
      <c r="CG429" s="47">
        <f t="shared" si="1399"/>
        <v>-1000</v>
      </c>
      <c r="CH429" s="47">
        <f t="shared" si="1399"/>
        <v>-1000</v>
      </c>
      <c r="CI429" s="47">
        <f t="shared" si="1399"/>
        <v>-1000</v>
      </c>
      <c r="CJ429" s="47">
        <f t="shared" si="1399"/>
        <v>-1000</v>
      </c>
      <c r="CK429" s="47">
        <f t="shared" si="1399"/>
        <v>-1000</v>
      </c>
      <c r="CL429" s="47">
        <f t="shared" si="1399"/>
        <v>-1000</v>
      </c>
      <c r="CM429" s="47">
        <f t="shared" si="1399"/>
        <v>-1000</v>
      </c>
      <c r="CN429" s="47">
        <f t="shared" si="1399"/>
        <v>-1000</v>
      </c>
      <c r="CO429" s="47">
        <f t="shared" si="1399"/>
        <v>-1000</v>
      </c>
      <c r="CP429" s="47">
        <f t="shared" si="1399"/>
        <v>-1000</v>
      </c>
      <c r="CQ429" s="47">
        <f t="shared" si="1399"/>
        <v>-1000</v>
      </c>
      <c r="CR429" s="47"/>
      <c r="CS429" s="47"/>
      <c r="CT429" s="47"/>
      <c r="CU429" s="50" t="str">
        <f>IFERROR(__xludf.DUMMYFUNCTION("""COMPUTED_VALUE"""),"8378 Forest Hills Blvd.
Dallas, TX 75218         ")</f>
        <v>8378 Forest Hills Blvd.
Dallas, TX 75218         </v>
      </c>
      <c r="CV429" s="51">
        <f>IFERROR(__xludf.DUMMYFUNCTION("IF(REGEXMATCH(UPPER(CU429), ""TX""),0,1)"),0.0)</f>
        <v>0</v>
      </c>
      <c r="CW429" s="51">
        <f>IFERROR(__xludf.DUMMYFUNCTION("IF(REGEXMATCH(UPPER(CU429), ""DALLAS""),0,1)"),0.0)</f>
        <v>0</v>
      </c>
      <c r="CX429" s="51">
        <f t="shared" si="17"/>
        <v>0</v>
      </c>
      <c r="CY429" s="51">
        <f t="shared" si="18"/>
        <v>0</v>
      </c>
      <c r="CZ429" s="52" t="str">
        <f t="shared" si="19"/>
        <v/>
      </c>
      <c r="DA429" s="58"/>
      <c r="DB429" s="52"/>
      <c r="DC429" s="52"/>
      <c r="DD429" s="52"/>
      <c r="DE429" s="52"/>
      <c r="DF429" s="52"/>
      <c r="DG429" s="52"/>
      <c r="DH429" s="52"/>
      <c r="DI429" s="52"/>
      <c r="DJ429" s="52"/>
      <c r="DK429" s="52"/>
      <c r="DL429" s="52"/>
      <c r="DM429" s="52"/>
      <c r="DN429" s="52"/>
      <c r="DO429" s="52"/>
      <c r="DP429" s="52"/>
      <c r="DQ429" s="52"/>
      <c r="DR429" s="52"/>
      <c r="DS429" s="52"/>
      <c r="DT429" s="52"/>
      <c r="DU429" s="52"/>
      <c r="DV429" s="52"/>
      <c r="DW429" s="52"/>
    </row>
    <row r="430">
      <c r="A430" s="22" t="s">
        <v>55</v>
      </c>
      <c r="B430" s="23" t="s">
        <v>56</v>
      </c>
      <c r="C430" s="31" t="s">
        <v>1194</v>
      </c>
      <c r="D430" s="25" t="str">
        <f>IFERROR(__xludf.DUMMYFUNCTION("SPLIT(C430,"" "")"),"Murchison,")</f>
        <v>Murchison,</v>
      </c>
      <c r="E430" s="22" t="str">
        <f>IFERROR(__xludf.DUMMYFUNCTION("""COMPUTED_VALUE"""),"Suellen
6346")</f>
        <v>Suellen
6346</v>
      </c>
      <c r="F430" s="22" t="str">
        <f>IFERROR(__xludf.DUMMYFUNCTION("""COMPUTED_VALUE"""),"Northwood")</f>
        <v>Northwood</v>
      </c>
      <c r="G430" s="22" t="str">
        <f>IFERROR(__xludf.DUMMYFUNCTION("""COMPUTED_VALUE"""),"Rd.
Dallas,")</f>
        <v>Rd.
Dallas,</v>
      </c>
      <c r="H430" s="22" t="str">
        <f>IFERROR(__xludf.DUMMYFUNCTION("""COMPUTED_VALUE"""),"TX")</f>
        <v>TX</v>
      </c>
      <c r="I430" s="22">
        <f>IFERROR(__xludf.DUMMYFUNCTION("""COMPUTED_VALUE"""),75225.0)</f>
        <v>75225</v>
      </c>
      <c r="J430" s="22"/>
      <c r="K430" s="22"/>
      <c r="L430" s="22"/>
      <c r="M430" s="22"/>
      <c r="N430" s="22"/>
      <c r="O430" s="22"/>
      <c r="P430" s="22"/>
      <c r="Q430" s="22"/>
      <c r="R430" s="22"/>
      <c r="S430" s="22"/>
      <c r="T430" s="22"/>
      <c r="U430" s="24" t="str">
        <f>IFERROR(__xludf.DUMMYFUNCTION("SPLIT(E430,""01234567890"")"),"Suellen
")</f>
        <v>Suellen
</v>
      </c>
      <c r="V430" s="24" t="str">
        <f>IFERROR(__xludf.DUMMYFUNCTION("SPLIT(D430,"","")"),"Murchison")</f>
        <v>Murchison</v>
      </c>
      <c r="W430" s="25" t="str">
        <f t="shared" si="1"/>
        <v>SUELLEN
 MURCHISON</v>
      </c>
      <c r="X430" s="25" t="s">
        <v>1195</v>
      </c>
      <c r="Y430" s="25">
        <v>75225.0</v>
      </c>
      <c r="Z430" s="25" t="str">
        <f>IFERROR(__xludf.DUMMYFUNCTION("SPLIT(C430,""
"")"),"Murchison, Suellen")</f>
        <v>Murchison, Suellen</v>
      </c>
      <c r="AA430" s="25" t="str">
        <f>IFERROR(__xludf.DUMMYFUNCTION("""COMPUTED_VALUE"""),"6346 Northwood Rd.")</f>
        <v>6346 Northwood Rd.</v>
      </c>
      <c r="AB430" s="25" t="str">
        <f>IFERROR(__xludf.DUMMYFUNCTION("""COMPUTED_VALUE"""),"Dallas, TX 75225")</f>
        <v>Dallas, TX 75225</v>
      </c>
      <c r="AC430" s="24" t="s">
        <v>1196</v>
      </c>
      <c r="AD430" s="25"/>
      <c r="AE430" s="25"/>
      <c r="AF430" s="25"/>
      <c r="AG430" s="22" t="s">
        <v>60</v>
      </c>
      <c r="AH430" s="54">
        <v>2445.0</v>
      </c>
      <c r="AI430" s="22" t="s">
        <v>61</v>
      </c>
      <c r="AJ430" s="27">
        <v>100.0</v>
      </c>
      <c r="AK430" s="31" t="s">
        <v>30</v>
      </c>
      <c r="AL430" s="28">
        <v>44741.0</v>
      </c>
      <c r="AM430" s="29">
        <v>44755.778402777774</v>
      </c>
      <c r="AN430" s="30">
        <v>2.0</v>
      </c>
      <c r="AO430" s="22"/>
      <c r="AP430" s="22"/>
      <c r="AQ430" s="22"/>
      <c r="AR430" s="22"/>
      <c r="AS430" s="22"/>
      <c r="AT430" s="70"/>
      <c r="AU430" s="22"/>
      <c r="AV430" s="57" t="str">
        <f>IFERROR(__xludf.DUMMYFUNCTION("""COMPUTED_VALUE"""),"Rawlings")</f>
        <v>Rawlings</v>
      </c>
      <c r="AW430" s="46">
        <f t="shared" si="7"/>
        <v>1000</v>
      </c>
      <c r="AX430" s="47">
        <f t="shared" ref="AX430:BQ430" si="1400">SUMIFS($AJ:$AJ,$V:$V,$AV430,$AK:$AK,AX$2)</f>
        <v>0</v>
      </c>
      <c r="AY430" s="48">
        <f t="shared" si="1400"/>
        <v>0</v>
      </c>
      <c r="AZ430" s="48">
        <f t="shared" si="1400"/>
        <v>0</v>
      </c>
      <c r="BA430" s="48">
        <f t="shared" si="1400"/>
        <v>1000</v>
      </c>
      <c r="BB430" s="48">
        <f t="shared" si="1400"/>
        <v>0</v>
      </c>
      <c r="BC430" s="48">
        <f t="shared" si="1400"/>
        <v>0</v>
      </c>
      <c r="BD430" s="48">
        <f t="shared" si="1400"/>
        <v>0</v>
      </c>
      <c r="BE430" s="48">
        <f t="shared" si="1400"/>
        <v>0</v>
      </c>
      <c r="BF430" s="48">
        <f t="shared" si="1400"/>
        <v>0</v>
      </c>
      <c r="BG430" s="48">
        <f t="shared" si="1400"/>
        <v>0</v>
      </c>
      <c r="BH430" s="48">
        <f t="shared" si="1400"/>
        <v>0</v>
      </c>
      <c r="BI430" s="48">
        <f t="shared" si="1400"/>
        <v>0</v>
      </c>
      <c r="BJ430" s="48">
        <f t="shared" si="1400"/>
        <v>0</v>
      </c>
      <c r="BK430" s="48">
        <f t="shared" si="1400"/>
        <v>0</v>
      </c>
      <c r="BL430" s="48">
        <f t="shared" si="1400"/>
        <v>0</v>
      </c>
      <c r="BM430" s="48">
        <f t="shared" si="1400"/>
        <v>0</v>
      </c>
      <c r="BN430" s="48">
        <f t="shared" si="1400"/>
        <v>0</v>
      </c>
      <c r="BO430" s="48">
        <f t="shared" si="1400"/>
        <v>0</v>
      </c>
      <c r="BP430" s="48">
        <f t="shared" si="1400"/>
        <v>0</v>
      </c>
      <c r="BQ430" s="48">
        <f t="shared" si="1400"/>
        <v>0</v>
      </c>
      <c r="BR430" s="36">
        <f t="shared" si="9"/>
        <v>0</v>
      </c>
      <c r="BS430" s="38">
        <f t="shared" si="10"/>
        <v>1</v>
      </c>
      <c r="BT430" s="49">
        <f t="shared" si="11"/>
        <v>0</v>
      </c>
      <c r="BU430" s="38">
        <f t="shared" si="12"/>
        <v>1000</v>
      </c>
      <c r="BV430" s="57" t="str">
        <f>IFERROR(__xludf.DUMMYFUNCTION("""COMPUTED_VALUE"""),"Rawlings")</f>
        <v>Rawlings</v>
      </c>
      <c r="BW430" s="46">
        <f t="shared" si="13"/>
        <v>1000</v>
      </c>
      <c r="BX430" s="47">
        <f t="shared" ref="BX430:CA430" si="1401">AX430-$BU430</f>
        <v>-1000</v>
      </c>
      <c r="BY430" s="47">
        <f t="shared" si="1401"/>
        <v>-1000</v>
      </c>
      <c r="BZ430" s="47">
        <f t="shared" si="1401"/>
        <v>-1000</v>
      </c>
      <c r="CA430" s="47">
        <f t="shared" si="1401"/>
        <v>0</v>
      </c>
      <c r="CB430" s="47">
        <f t="shared" si="15"/>
        <v>-10000</v>
      </c>
      <c r="CC430" s="47">
        <f t="shared" ref="CC430:CQ430" si="1402">BC430-$BU430</f>
        <v>-1000</v>
      </c>
      <c r="CD430" s="47">
        <f t="shared" si="1402"/>
        <v>-1000</v>
      </c>
      <c r="CE430" s="47">
        <f t="shared" si="1402"/>
        <v>-1000</v>
      </c>
      <c r="CF430" s="47">
        <f t="shared" si="1402"/>
        <v>-1000</v>
      </c>
      <c r="CG430" s="47">
        <f t="shared" si="1402"/>
        <v>-1000</v>
      </c>
      <c r="CH430" s="47">
        <f t="shared" si="1402"/>
        <v>-1000</v>
      </c>
      <c r="CI430" s="47">
        <f t="shared" si="1402"/>
        <v>-1000</v>
      </c>
      <c r="CJ430" s="47">
        <f t="shared" si="1402"/>
        <v>-1000</v>
      </c>
      <c r="CK430" s="47">
        <f t="shared" si="1402"/>
        <v>-1000</v>
      </c>
      <c r="CL430" s="47">
        <f t="shared" si="1402"/>
        <v>-1000</v>
      </c>
      <c r="CM430" s="47">
        <f t="shared" si="1402"/>
        <v>-1000</v>
      </c>
      <c r="CN430" s="47">
        <f t="shared" si="1402"/>
        <v>-1000</v>
      </c>
      <c r="CO430" s="47">
        <f t="shared" si="1402"/>
        <v>-1000</v>
      </c>
      <c r="CP430" s="47">
        <f t="shared" si="1402"/>
        <v>-1000</v>
      </c>
      <c r="CQ430" s="47">
        <f t="shared" si="1402"/>
        <v>-1000</v>
      </c>
      <c r="CR430" s="47"/>
      <c r="CS430" s="47"/>
      <c r="CT430" s="47"/>
      <c r="CU430" s="50" t="str">
        <f>IFERROR(__xludf.DUMMYFUNCTION("""COMPUTED_VALUE"""),"1700 Pacific
Dallas, TX 75201           ")</f>
        <v>1700 Pacific
Dallas, TX 75201           </v>
      </c>
      <c r="CV430" s="51">
        <f>IFERROR(__xludf.DUMMYFUNCTION("IF(REGEXMATCH(UPPER(CU430), ""TX""),0,1)"),0.0)</f>
        <v>0</v>
      </c>
      <c r="CW430" s="51">
        <f>IFERROR(__xludf.DUMMYFUNCTION("IF(REGEXMATCH(UPPER(CU430), ""DALLAS""),0,1)"),0.0)</f>
        <v>0</v>
      </c>
      <c r="CX430" s="51">
        <f t="shared" si="17"/>
        <v>0</v>
      </c>
      <c r="CY430" s="51">
        <f t="shared" si="18"/>
        <v>0</v>
      </c>
      <c r="CZ430" s="52" t="str">
        <f t="shared" si="19"/>
        <v/>
      </c>
      <c r="DA430" s="58"/>
      <c r="DB430" s="52"/>
      <c r="DC430" s="52"/>
      <c r="DD430" s="52"/>
      <c r="DE430" s="52"/>
      <c r="DF430" s="52"/>
      <c r="DG430" s="52"/>
      <c r="DH430" s="52"/>
      <c r="DI430" s="52"/>
      <c r="DJ430" s="52"/>
      <c r="DK430" s="52"/>
      <c r="DL430" s="52"/>
      <c r="DM430" s="52"/>
      <c r="DN430" s="52"/>
      <c r="DO430" s="52"/>
      <c r="DP430" s="52"/>
      <c r="DQ430" s="52"/>
      <c r="DR430" s="52"/>
      <c r="DS430" s="52"/>
      <c r="DT430" s="52"/>
      <c r="DU430" s="52"/>
      <c r="DV430" s="52"/>
      <c r="DW430" s="52"/>
    </row>
    <row r="431">
      <c r="A431" s="40" t="s">
        <v>55</v>
      </c>
      <c r="B431" s="41" t="s">
        <v>56</v>
      </c>
      <c r="C431" s="31" t="s">
        <v>1197</v>
      </c>
      <c r="D431" s="25" t="str">
        <f>IFERROR(__xludf.DUMMYFUNCTION("SPLIT(C431,"" "")"),"Henry,")</f>
        <v>Henry,</v>
      </c>
      <c r="E431" s="40" t="str">
        <f>IFERROR(__xludf.DUMMYFUNCTION("""COMPUTED_VALUE"""),"Clayton
9322")</f>
        <v>Clayton
9322</v>
      </c>
      <c r="F431" s="40" t="str">
        <f>IFERROR(__xludf.DUMMYFUNCTION("""COMPUTED_VALUE"""),"Moss")</f>
        <v>Moss</v>
      </c>
      <c r="G431" s="40" t="str">
        <f>IFERROR(__xludf.DUMMYFUNCTION("""COMPUTED_VALUE"""),"Trail
Dallas,")</f>
        <v>Trail
Dallas,</v>
      </c>
      <c r="H431" s="40" t="str">
        <f>IFERROR(__xludf.DUMMYFUNCTION("""COMPUTED_VALUE"""),"TX")</f>
        <v>TX</v>
      </c>
      <c r="I431" s="40">
        <f>IFERROR(__xludf.DUMMYFUNCTION("""COMPUTED_VALUE"""),75231.0)</f>
        <v>75231</v>
      </c>
      <c r="J431" s="40"/>
      <c r="K431" s="40"/>
      <c r="L431" s="40"/>
      <c r="M431" s="40"/>
      <c r="N431" s="40"/>
      <c r="O431" s="40"/>
      <c r="P431" s="40"/>
      <c r="Q431" s="40"/>
      <c r="R431" s="40"/>
      <c r="S431" s="40"/>
      <c r="T431" s="40"/>
      <c r="U431" s="24" t="str">
        <f>IFERROR(__xludf.DUMMYFUNCTION("SPLIT(E431,""01234567890"")"),"Clayton
")</f>
        <v>Clayton
</v>
      </c>
      <c r="V431" s="24" t="str">
        <f>IFERROR(__xludf.DUMMYFUNCTION("SPLIT(D431,"","")"),"Henry")</f>
        <v>Henry</v>
      </c>
      <c r="W431" s="25" t="str">
        <f t="shared" si="1"/>
        <v>CLAYTON
 HENRY</v>
      </c>
      <c r="X431" s="25" t="s">
        <v>1198</v>
      </c>
      <c r="Y431" s="25">
        <v>75231.0</v>
      </c>
      <c r="Z431" s="25" t="str">
        <f>IFERROR(__xludf.DUMMYFUNCTION("SPLIT(C431,""
"")"),"Henry, Clayton")</f>
        <v>Henry, Clayton</v>
      </c>
      <c r="AA431" s="25" t="str">
        <f>IFERROR(__xludf.DUMMYFUNCTION("""COMPUTED_VALUE"""),"9322 Moss Trail")</f>
        <v>9322 Moss Trail</v>
      </c>
      <c r="AB431" s="25" t="str">
        <f>IFERROR(__xludf.DUMMYFUNCTION("""COMPUTED_VALUE"""),"Dallas, TX 75231")</f>
        <v>Dallas, TX 75231</v>
      </c>
      <c r="AC431" s="24" t="s">
        <v>1199</v>
      </c>
      <c r="AD431" s="25"/>
      <c r="AE431" s="25"/>
      <c r="AF431" s="25"/>
      <c r="AG431" s="40" t="s">
        <v>60</v>
      </c>
      <c r="AH431" s="42">
        <v>2445.0</v>
      </c>
      <c r="AI431" s="40" t="s">
        <v>61</v>
      </c>
      <c r="AJ431" s="27">
        <v>500.0</v>
      </c>
      <c r="AK431" s="31" t="s">
        <v>30</v>
      </c>
      <c r="AL431" s="43">
        <v>44741.0</v>
      </c>
      <c r="AM431" s="44">
        <v>44755.778402777774</v>
      </c>
      <c r="AN431" s="30">
        <v>2.0</v>
      </c>
      <c r="AO431" s="40"/>
      <c r="AP431" s="40"/>
      <c r="AQ431" s="40"/>
      <c r="AR431" s="40"/>
      <c r="AS431" s="40"/>
      <c r="AT431" s="47"/>
      <c r="AU431" s="40"/>
      <c r="AV431" s="46" t="str">
        <f>IFERROR(__xludf.DUMMYFUNCTION("""COMPUTED_VALUE"""),"Brewer")</f>
        <v>Brewer</v>
      </c>
      <c r="AW431" s="46">
        <f t="shared" si="7"/>
        <v>100</v>
      </c>
      <c r="AX431" s="47">
        <f t="shared" ref="AX431:BQ431" si="1403">SUMIFS($AJ:$AJ,$V:$V,$AV431,$AK:$AK,AX$2)</f>
        <v>0</v>
      </c>
      <c r="AY431" s="48">
        <f t="shared" si="1403"/>
        <v>0</v>
      </c>
      <c r="AZ431" s="48">
        <f t="shared" si="1403"/>
        <v>0</v>
      </c>
      <c r="BA431" s="48">
        <f t="shared" si="1403"/>
        <v>100</v>
      </c>
      <c r="BB431" s="48">
        <f t="shared" si="1403"/>
        <v>0</v>
      </c>
      <c r="BC431" s="48">
        <f t="shared" si="1403"/>
        <v>0</v>
      </c>
      <c r="BD431" s="48">
        <f t="shared" si="1403"/>
        <v>0</v>
      </c>
      <c r="BE431" s="48">
        <f t="shared" si="1403"/>
        <v>0</v>
      </c>
      <c r="BF431" s="48">
        <f t="shared" si="1403"/>
        <v>0</v>
      </c>
      <c r="BG431" s="48">
        <f t="shared" si="1403"/>
        <v>0</v>
      </c>
      <c r="BH431" s="48">
        <f t="shared" si="1403"/>
        <v>0</v>
      </c>
      <c r="BI431" s="48">
        <f t="shared" si="1403"/>
        <v>0</v>
      </c>
      <c r="BJ431" s="48">
        <f t="shared" si="1403"/>
        <v>0</v>
      </c>
      <c r="BK431" s="48">
        <f t="shared" si="1403"/>
        <v>0</v>
      </c>
      <c r="BL431" s="48">
        <f t="shared" si="1403"/>
        <v>0</v>
      </c>
      <c r="BM431" s="48">
        <f t="shared" si="1403"/>
        <v>0</v>
      </c>
      <c r="BN431" s="48">
        <f t="shared" si="1403"/>
        <v>0</v>
      </c>
      <c r="BO431" s="48">
        <f t="shared" si="1403"/>
        <v>0</v>
      </c>
      <c r="BP431" s="48">
        <f t="shared" si="1403"/>
        <v>0</v>
      </c>
      <c r="BQ431" s="48">
        <f t="shared" si="1403"/>
        <v>0</v>
      </c>
      <c r="BR431" s="36">
        <f t="shared" si="9"/>
        <v>0</v>
      </c>
      <c r="BS431" s="38">
        <f t="shared" si="10"/>
        <v>1</v>
      </c>
      <c r="BT431" s="49">
        <f t="shared" si="11"/>
        <v>0</v>
      </c>
      <c r="BU431" s="38">
        <f t="shared" si="12"/>
        <v>1000</v>
      </c>
      <c r="BV431" s="46" t="str">
        <f>IFERROR(__xludf.DUMMYFUNCTION("""COMPUTED_VALUE"""),"Brewer")</f>
        <v>Brewer</v>
      </c>
      <c r="BW431" s="46">
        <f t="shared" si="13"/>
        <v>100</v>
      </c>
      <c r="BX431" s="47">
        <f t="shared" ref="BX431:CA431" si="1404">AX431-$BU431</f>
        <v>-1000</v>
      </c>
      <c r="BY431" s="47">
        <f t="shared" si="1404"/>
        <v>-1000</v>
      </c>
      <c r="BZ431" s="47">
        <f t="shared" si="1404"/>
        <v>-1000</v>
      </c>
      <c r="CA431" s="47">
        <f t="shared" si="1404"/>
        <v>-900</v>
      </c>
      <c r="CB431" s="47">
        <f t="shared" si="15"/>
        <v>-10000</v>
      </c>
      <c r="CC431" s="47">
        <f t="shared" ref="CC431:CQ431" si="1405">BC431-$BU431</f>
        <v>-1000</v>
      </c>
      <c r="CD431" s="47">
        <f t="shared" si="1405"/>
        <v>-1000</v>
      </c>
      <c r="CE431" s="47">
        <f t="shared" si="1405"/>
        <v>-1000</v>
      </c>
      <c r="CF431" s="47">
        <f t="shared" si="1405"/>
        <v>-1000</v>
      </c>
      <c r="CG431" s="47">
        <f t="shared" si="1405"/>
        <v>-1000</v>
      </c>
      <c r="CH431" s="47">
        <f t="shared" si="1405"/>
        <v>-1000</v>
      </c>
      <c r="CI431" s="47">
        <f t="shared" si="1405"/>
        <v>-1000</v>
      </c>
      <c r="CJ431" s="47">
        <f t="shared" si="1405"/>
        <v>-1000</v>
      </c>
      <c r="CK431" s="47">
        <f t="shared" si="1405"/>
        <v>-1000</v>
      </c>
      <c r="CL431" s="47">
        <f t="shared" si="1405"/>
        <v>-1000</v>
      </c>
      <c r="CM431" s="47">
        <f t="shared" si="1405"/>
        <v>-1000</v>
      </c>
      <c r="CN431" s="47">
        <f t="shared" si="1405"/>
        <v>-1000</v>
      </c>
      <c r="CO431" s="47">
        <f t="shared" si="1405"/>
        <v>-1000</v>
      </c>
      <c r="CP431" s="47">
        <f t="shared" si="1405"/>
        <v>-1000</v>
      </c>
      <c r="CQ431" s="47">
        <f t="shared" si="1405"/>
        <v>-1000</v>
      </c>
      <c r="CR431" s="47"/>
      <c r="CS431" s="47"/>
      <c r="CT431" s="47"/>
      <c r="CU431" s="50" t="str">
        <f>IFERROR(__xludf.DUMMYFUNCTION("""COMPUTED_VALUE"""),"6872 burwood Lane
Dallas, TX 75214          ")</f>
        <v>6872 burwood Lane
Dallas, TX 75214          </v>
      </c>
      <c r="CV431" s="51">
        <f>IFERROR(__xludf.DUMMYFUNCTION("IF(REGEXMATCH(UPPER(CU431), ""TX""),0,1)"),0.0)</f>
        <v>0</v>
      </c>
      <c r="CW431" s="51">
        <f>IFERROR(__xludf.DUMMYFUNCTION("IF(REGEXMATCH(UPPER(CU431), ""DALLAS""),0,1)"),0.0)</f>
        <v>0</v>
      </c>
      <c r="CX431" s="51">
        <f t="shared" si="17"/>
        <v>0</v>
      </c>
      <c r="CY431" s="51">
        <f t="shared" si="18"/>
        <v>0</v>
      </c>
      <c r="CZ431" s="52" t="str">
        <f t="shared" si="19"/>
        <v/>
      </c>
      <c r="DA431" s="58"/>
      <c r="DB431" s="52"/>
      <c r="DC431" s="52"/>
      <c r="DD431" s="52"/>
      <c r="DE431" s="52"/>
      <c r="DF431" s="52"/>
      <c r="DG431" s="52"/>
      <c r="DH431" s="52"/>
      <c r="DI431" s="52"/>
      <c r="DJ431" s="52"/>
      <c r="DK431" s="52"/>
      <c r="DL431" s="52"/>
      <c r="DM431" s="52"/>
      <c r="DN431" s="52"/>
      <c r="DO431" s="52"/>
      <c r="DP431" s="52"/>
      <c r="DQ431" s="52"/>
      <c r="DR431" s="52"/>
      <c r="DS431" s="52"/>
      <c r="DT431" s="52"/>
      <c r="DU431" s="52"/>
      <c r="DV431" s="52"/>
      <c r="DW431" s="52"/>
    </row>
    <row r="432">
      <c r="A432" s="22" t="s">
        <v>55</v>
      </c>
      <c r="B432" s="23" t="s">
        <v>56</v>
      </c>
      <c r="C432" s="31" t="s">
        <v>1200</v>
      </c>
      <c r="D432" s="25" t="str">
        <f>IFERROR(__xludf.DUMMYFUNCTION("SPLIT(C432,"" "")"),"Minic,")</f>
        <v>Minic,</v>
      </c>
      <c r="E432" s="22" t="str">
        <f>IFERROR(__xludf.DUMMYFUNCTION("""COMPUTED_VALUE"""),"Bo
9322")</f>
        <v>Bo
9322</v>
      </c>
      <c r="F432" s="22" t="str">
        <f>IFERROR(__xludf.DUMMYFUNCTION("""COMPUTED_VALUE"""),"Summer")</f>
        <v>Summer</v>
      </c>
      <c r="G432" s="22" t="str">
        <f>IFERROR(__xludf.DUMMYFUNCTION("""COMPUTED_VALUE"""),"Creek")</f>
        <v>Creek</v>
      </c>
      <c r="H432" s="22" t="str">
        <f>IFERROR(__xludf.DUMMYFUNCTION("""COMPUTED_VALUE"""),"Circle
Dallas,")</f>
        <v>Circle
Dallas,</v>
      </c>
      <c r="I432" s="22" t="str">
        <f>IFERROR(__xludf.DUMMYFUNCTION("""COMPUTED_VALUE"""),"TX")</f>
        <v>TX</v>
      </c>
      <c r="J432" s="22">
        <f>IFERROR(__xludf.DUMMYFUNCTION("""COMPUTED_VALUE"""),75231.0)</f>
        <v>75231</v>
      </c>
      <c r="K432" s="22"/>
      <c r="L432" s="22"/>
      <c r="M432" s="22"/>
      <c r="N432" s="22"/>
      <c r="O432" s="22"/>
      <c r="P432" s="22"/>
      <c r="Q432" s="22"/>
      <c r="R432" s="22"/>
      <c r="S432" s="22"/>
      <c r="T432" s="22"/>
      <c r="U432" s="24" t="str">
        <f>IFERROR(__xludf.DUMMYFUNCTION("SPLIT(E432,""01234567890"")"),"Bo
")</f>
        <v>Bo
</v>
      </c>
      <c r="V432" s="24" t="str">
        <f>IFERROR(__xludf.DUMMYFUNCTION("SPLIT(D432,"","")"),"Minic")</f>
        <v>Minic</v>
      </c>
      <c r="W432" s="25" t="str">
        <f t="shared" si="1"/>
        <v>BO
 MINIC</v>
      </c>
      <c r="X432" s="25" t="s">
        <v>1201</v>
      </c>
      <c r="Y432" s="25">
        <v>75231.0</v>
      </c>
      <c r="Z432" s="25" t="str">
        <f>IFERROR(__xludf.DUMMYFUNCTION("SPLIT(C432,""
"")"),"Minic, Bo")</f>
        <v>Minic, Bo</v>
      </c>
      <c r="AA432" s="25" t="str">
        <f>IFERROR(__xludf.DUMMYFUNCTION("""COMPUTED_VALUE"""),"9322 Summer Creek Circle")</f>
        <v>9322 Summer Creek Circle</v>
      </c>
      <c r="AB432" s="25" t="str">
        <f>IFERROR(__xludf.DUMMYFUNCTION("""COMPUTED_VALUE"""),"Dallas, TX 75231")</f>
        <v>Dallas, TX 75231</v>
      </c>
      <c r="AC432" s="24" t="s">
        <v>1202</v>
      </c>
      <c r="AD432" s="25"/>
      <c r="AE432" s="25"/>
      <c r="AF432" s="25"/>
      <c r="AG432" s="22" t="s">
        <v>60</v>
      </c>
      <c r="AH432" s="54">
        <v>2445.0</v>
      </c>
      <c r="AI432" s="22" t="s">
        <v>61</v>
      </c>
      <c r="AJ432" s="27">
        <v>10.0</v>
      </c>
      <c r="AK432" s="31" t="s">
        <v>30</v>
      </c>
      <c r="AL432" s="28">
        <v>44741.0</v>
      </c>
      <c r="AM432" s="29">
        <v>44755.778402777774</v>
      </c>
      <c r="AN432" s="30">
        <v>2.0</v>
      </c>
      <c r="AO432" s="22"/>
      <c r="AP432" s="22"/>
      <c r="AQ432" s="22"/>
      <c r="AR432" s="22"/>
      <c r="AS432" s="22"/>
      <c r="AT432" s="70"/>
      <c r="AU432" s="22"/>
      <c r="AV432" s="57" t="str">
        <f>IFERROR(__xludf.DUMMYFUNCTION("""COMPUTED_VALUE"""),"Hansbany")</f>
        <v>Hansbany</v>
      </c>
      <c r="AW432" s="46">
        <f t="shared" si="7"/>
        <v>250</v>
      </c>
      <c r="AX432" s="47">
        <f t="shared" ref="AX432:BQ432" si="1406">SUMIFS($AJ:$AJ,$V:$V,$AV432,$AK:$AK,AX$2)</f>
        <v>0</v>
      </c>
      <c r="AY432" s="48">
        <f t="shared" si="1406"/>
        <v>0</v>
      </c>
      <c r="AZ432" s="48">
        <f t="shared" si="1406"/>
        <v>0</v>
      </c>
      <c r="BA432" s="48">
        <f t="shared" si="1406"/>
        <v>250</v>
      </c>
      <c r="BB432" s="48">
        <f t="shared" si="1406"/>
        <v>0</v>
      </c>
      <c r="BC432" s="48">
        <f t="shared" si="1406"/>
        <v>0</v>
      </c>
      <c r="BD432" s="48">
        <f t="shared" si="1406"/>
        <v>0</v>
      </c>
      <c r="BE432" s="48">
        <f t="shared" si="1406"/>
        <v>0</v>
      </c>
      <c r="BF432" s="48">
        <f t="shared" si="1406"/>
        <v>0</v>
      </c>
      <c r="BG432" s="48">
        <f t="shared" si="1406"/>
        <v>0</v>
      </c>
      <c r="BH432" s="48">
        <f t="shared" si="1406"/>
        <v>0</v>
      </c>
      <c r="BI432" s="48">
        <f t="shared" si="1406"/>
        <v>0</v>
      </c>
      <c r="BJ432" s="48">
        <f t="shared" si="1406"/>
        <v>0</v>
      </c>
      <c r="BK432" s="48">
        <f t="shared" si="1406"/>
        <v>0</v>
      </c>
      <c r="BL432" s="48">
        <f t="shared" si="1406"/>
        <v>0</v>
      </c>
      <c r="BM432" s="48">
        <f t="shared" si="1406"/>
        <v>0</v>
      </c>
      <c r="BN432" s="48">
        <f t="shared" si="1406"/>
        <v>0</v>
      </c>
      <c r="BO432" s="48">
        <f t="shared" si="1406"/>
        <v>0</v>
      </c>
      <c r="BP432" s="48">
        <f t="shared" si="1406"/>
        <v>0</v>
      </c>
      <c r="BQ432" s="48">
        <f t="shared" si="1406"/>
        <v>0</v>
      </c>
      <c r="BR432" s="36">
        <f t="shared" si="9"/>
        <v>0</v>
      </c>
      <c r="BS432" s="38">
        <f t="shared" si="10"/>
        <v>1</v>
      </c>
      <c r="BT432" s="49">
        <f t="shared" si="11"/>
        <v>0</v>
      </c>
      <c r="BU432" s="38">
        <f t="shared" si="12"/>
        <v>1000</v>
      </c>
      <c r="BV432" s="57" t="str">
        <f>IFERROR(__xludf.DUMMYFUNCTION("""COMPUTED_VALUE"""),"Hansbany")</f>
        <v>Hansbany</v>
      </c>
      <c r="BW432" s="46">
        <f t="shared" si="13"/>
        <v>250</v>
      </c>
      <c r="BX432" s="47">
        <f t="shared" ref="BX432:CA432" si="1407">AX432-$BU432</f>
        <v>-1000</v>
      </c>
      <c r="BY432" s="47">
        <f t="shared" si="1407"/>
        <v>-1000</v>
      </c>
      <c r="BZ432" s="47">
        <f t="shared" si="1407"/>
        <v>-1000</v>
      </c>
      <c r="CA432" s="47">
        <f t="shared" si="1407"/>
        <v>-750</v>
      </c>
      <c r="CB432" s="47">
        <f t="shared" si="15"/>
        <v>-10000</v>
      </c>
      <c r="CC432" s="47">
        <f t="shared" ref="CC432:CQ432" si="1408">BC432-$BU432</f>
        <v>-1000</v>
      </c>
      <c r="CD432" s="47">
        <f t="shared" si="1408"/>
        <v>-1000</v>
      </c>
      <c r="CE432" s="47">
        <f t="shared" si="1408"/>
        <v>-1000</v>
      </c>
      <c r="CF432" s="47">
        <f t="shared" si="1408"/>
        <v>-1000</v>
      </c>
      <c r="CG432" s="47">
        <f t="shared" si="1408"/>
        <v>-1000</v>
      </c>
      <c r="CH432" s="47">
        <f t="shared" si="1408"/>
        <v>-1000</v>
      </c>
      <c r="CI432" s="47">
        <f t="shared" si="1408"/>
        <v>-1000</v>
      </c>
      <c r="CJ432" s="47">
        <f t="shared" si="1408"/>
        <v>-1000</v>
      </c>
      <c r="CK432" s="47">
        <f t="shared" si="1408"/>
        <v>-1000</v>
      </c>
      <c r="CL432" s="47">
        <f t="shared" si="1408"/>
        <v>-1000</v>
      </c>
      <c r="CM432" s="47">
        <f t="shared" si="1408"/>
        <v>-1000</v>
      </c>
      <c r="CN432" s="47">
        <f t="shared" si="1408"/>
        <v>-1000</v>
      </c>
      <c r="CO432" s="47">
        <f t="shared" si="1408"/>
        <v>-1000</v>
      </c>
      <c r="CP432" s="47">
        <f t="shared" si="1408"/>
        <v>-1000</v>
      </c>
      <c r="CQ432" s="47">
        <f t="shared" si="1408"/>
        <v>-1000</v>
      </c>
      <c r="CR432" s="47"/>
      <c r="CS432" s="47"/>
      <c r="CT432" s="47"/>
      <c r="CU432" s="50" t="str">
        <f>IFERROR(__xludf.DUMMYFUNCTION("""COMPUTED_VALUE"""),"4435 HOLLAND AVE
DALLAS, TX 75219          ")</f>
        <v>4435 HOLLAND AVE
DALLAS, TX 75219          </v>
      </c>
      <c r="CV432" s="51">
        <f>IFERROR(__xludf.DUMMYFUNCTION("IF(REGEXMATCH(UPPER(CU432), ""TX""),0,1)"),0.0)</f>
        <v>0</v>
      </c>
      <c r="CW432" s="51">
        <f>IFERROR(__xludf.DUMMYFUNCTION("IF(REGEXMATCH(UPPER(CU432), ""DALLAS""),0,1)"),0.0)</f>
        <v>0</v>
      </c>
      <c r="CX432" s="51">
        <f t="shared" si="17"/>
        <v>0</v>
      </c>
      <c r="CY432" s="51">
        <f t="shared" si="18"/>
        <v>0</v>
      </c>
      <c r="CZ432" s="52" t="str">
        <f t="shared" si="19"/>
        <v/>
      </c>
      <c r="DA432" s="58"/>
      <c r="DB432" s="52"/>
      <c r="DC432" s="52"/>
      <c r="DD432" s="52"/>
      <c r="DE432" s="52"/>
      <c r="DF432" s="52"/>
      <c r="DG432" s="52"/>
      <c r="DH432" s="52"/>
      <c r="DI432" s="52"/>
      <c r="DJ432" s="52"/>
      <c r="DK432" s="52"/>
      <c r="DL432" s="52"/>
      <c r="DM432" s="52"/>
      <c r="DN432" s="52"/>
      <c r="DO432" s="52"/>
      <c r="DP432" s="52"/>
      <c r="DQ432" s="52"/>
      <c r="DR432" s="52"/>
      <c r="DS432" s="52"/>
      <c r="DT432" s="52"/>
      <c r="DU432" s="52"/>
      <c r="DV432" s="52"/>
      <c r="DW432" s="52"/>
    </row>
    <row r="433">
      <c r="A433" s="40" t="s">
        <v>55</v>
      </c>
      <c r="B433" s="41" t="s">
        <v>56</v>
      </c>
      <c r="C433" s="31" t="s">
        <v>1203</v>
      </c>
      <c r="D433" s="25" t="str">
        <f>IFERROR(__xludf.DUMMYFUNCTION("SPLIT(C433,"" "")"),"Smith,")</f>
        <v>Smith,</v>
      </c>
      <c r="E433" s="40" t="str">
        <f>IFERROR(__xludf.DUMMYFUNCTION("""COMPUTED_VALUE"""),"Ray")</f>
        <v>Ray</v>
      </c>
      <c r="F433" s="40" t="str">
        <f>IFERROR(__xludf.DUMMYFUNCTION("""COMPUTED_VALUE"""),"A.
12395")</f>
        <v>A.
12395</v>
      </c>
      <c r="G433" s="40" t="str">
        <f>IFERROR(__xludf.DUMMYFUNCTION("""COMPUTED_VALUE"""),"Crestline")</f>
        <v>Crestline</v>
      </c>
      <c r="H433" s="40" t="str">
        <f>IFERROR(__xludf.DUMMYFUNCTION("""COMPUTED_VALUE"""),"Avenue
Dallas,")</f>
        <v>Avenue
Dallas,</v>
      </c>
      <c r="I433" s="40" t="str">
        <f>IFERROR(__xludf.DUMMYFUNCTION("""COMPUTED_VALUE"""),"TX")</f>
        <v>TX</v>
      </c>
      <c r="J433" s="40">
        <f>IFERROR(__xludf.DUMMYFUNCTION("""COMPUTED_VALUE"""),75244.0)</f>
        <v>75244</v>
      </c>
      <c r="K433" s="40"/>
      <c r="L433" s="40"/>
      <c r="M433" s="40"/>
      <c r="N433" s="40"/>
      <c r="O433" s="40"/>
      <c r="P433" s="40"/>
      <c r="Q433" s="40"/>
      <c r="R433" s="40"/>
      <c r="S433" s="40"/>
      <c r="T433" s="40"/>
      <c r="U433" s="24" t="str">
        <f>IFERROR(__xludf.DUMMYFUNCTION("SPLIT(E433,""01234567890"")"),"Ray")</f>
        <v>Ray</v>
      </c>
      <c r="V433" s="24" t="str">
        <f>IFERROR(__xludf.DUMMYFUNCTION("SPLIT(D433,"","")"),"Smith")</f>
        <v>Smith</v>
      </c>
      <c r="W433" s="25" t="str">
        <f t="shared" si="1"/>
        <v>RAY SMITH</v>
      </c>
      <c r="X433" s="25" t="s">
        <v>1204</v>
      </c>
      <c r="Y433" s="25">
        <v>75244.0</v>
      </c>
      <c r="Z433" s="25" t="str">
        <f>IFERROR(__xludf.DUMMYFUNCTION("SPLIT(C433,""
"")"),"Smith, Ray A.")</f>
        <v>Smith, Ray A.</v>
      </c>
      <c r="AA433" s="25" t="str">
        <f>IFERROR(__xludf.DUMMYFUNCTION("""COMPUTED_VALUE"""),"12395 Crestline Avenue")</f>
        <v>12395 Crestline Avenue</v>
      </c>
      <c r="AB433" s="25" t="str">
        <f>IFERROR(__xludf.DUMMYFUNCTION("""COMPUTED_VALUE"""),"Dallas, TX 75244")</f>
        <v>Dallas, TX 75244</v>
      </c>
      <c r="AC433" s="24" t="s">
        <v>1205</v>
      </c>
      <c r="AD433" s="25"/>
      <c r="AE433" s="25"/>
      <c r="AF433" s="25"/>
      <c r="AG433" s="40" t="s">
        <v>60</v>
      </c>
      <c r="AH433" s="42">
        <v>2445.0</v>
      </c>
      <c r="AI433" s="40" t="s">
        <v>61</v>
      </c>
      <c r="AJ433" s="27">
        <v>100.0</v>
      </c>
      <c r="AK433" s="31" t="s">
        <v>30</v>
      </c>
      <c r="AL433" s="43">
        <v>44741.0</v>
      </c>
      <c r="AM433" s="44">
        <v>44755.778402777774</v>
      </c>
      <c r="AN433" s="30">
        <v>2.0</v>
      </c>
      <c r="AO433" s="40"/>
      <c r="AP433" s="40"/>
      <c r="AQ433" s="40"/>
      <c r="AR433" s="40"/>
      <c r="AS433" s="40"/>
      <c r="AT433" s="47"/>
      <c r="AU433" s="40"/>
      <c r="AV433" s="46" t="str">
        <f>IFERROR(__xludf.DUMMYFUNCTION("""COMPUTED_VALUE"""),"Johnston")</f>
        <v>Johnston</v>
      </c>
      <c r="AW433" s="46">
        <f t="shared" si="7"/>
        <v>250</v>
      </c>
      <c r="AX433" s="47">
        <f t="shared" ref="AX433:BQ433" si="1409">SUMIFS($AJ:$AJ,$V:$V,$AV433,$AK:$AK,AX$2)</f>
        <v>0</v>
      </c>
      <c r="AY433" s="48">
        <f t="shared" si="1409"/>
        <v>0</v>
      </c>
      <c r="AZ433" s="48">
        <f t="shared" si="1409"/>
        <v>0</v>
      </c>
      <c r="BA433" s="48">
        <f t="shared" si="1409"/>
        <v>250</v>
      </c>
      <c r="BB433" s="48">
        <f t="shared" si="1409"/>
        <v>0</v>
      </c>
      <c r="BC433" s="48">
        <f t="shared" si="1409"/>
        <v>0</v>
      </c>
      <c r="BD433" s="48">
        <f t="shared" si="1409"/>
        <v>0</v>
      </c>
      <c r="BE433" s="48">
        <f t="shared" si="1409"/>
        <v>0</v>
      </c>
      <c r="BF433" s="48">
        <f t="shared" si="1409"/>
        <v>0</v>
      </c>
      <c r="BG433" s="48">
        <f t="shared" si="1409"/>
        <v>0</v>
      </c>
      <c r="BH433" s="48">
        <f t="shared" si="1409"/>
        <v>0</v>
      </c>
      <c r="BI433" s="48">
        <f t="shared" si="1409"/>
        <v>0</v>
      </c>
      <c r="BJ433" s="48">
        <f t="shared" si="1409"/>
        <v>0</v>
      </c>
      <c r="BK433" s="48">
        <f t="shared" si="1409"/>
        <v>0</v>
      </c>
      <c r="BL433" s="48">
        <f t="shared" si="1409"/>
        <v>0</v>
      </c>
      <c r="BM433" s="48">
        <f t="shared" si="1409"/>
        <v>0</v>
      </c>
      <c r="BN433" s="48">
        <f t="shared" si="1409"/>
        <v>0</v>
      </c>
      <c r="BO433" s="48">
        <f t="shared" si="1409"/>
        <v>0</v>
      </c>
      <c r="BP433" s="48">
        <f t="shared" si="1409"/>
        <v>0</v>
      </c>
      <c r="BQ433" s="48">
        <f t="shared" si="1409"/>
        <v>0</v>
      </c>
      <c r="BR433" s="36">
        <f t="shared" si="9"/>
        <v>0</v>
      </c>
      <c r="BS433" s="38">
        <f t="shared" si="10"/>
        <v>1</v>
      </c>
      <c r="BT433" s="49">
        <f t="shared" si="11"/>
        <v>0</v>
      </c>
      <c r="BU433" s="38">
        <f t="shared" si="12"/>
        <v>1000</v>
      </c>
      <c r="BV433" s="46" t="str">
        <f>IFERROR(__xludf.DUMMYFUNCTION("""COMPUTED_VALUE"""),"Johnston")</f>
        <v>Johnston</v>
      </c>
      <c r="BW433" s="46">
        <f t="shared" si="13"/>
        <v>250</v>
      </c>
      <c r="BX433" s="47">
        <f t="shared" ref="BX433:CA433" si="1410">AX433-$BU433</f>
        <v>-1000</v>
      </c>
      <c r="BY433" s="47">
        <f t="shared" si="1410"/>
        <v>-1000</v>
      </c>
      <c r="BZ433" s="47">
        <f t="shared" si="1410"/>
        <v>-1000</v>
      </c>
      <c r="CA433" s="47">
        <f t="shared" si="1410"/>
        <v>-750</v>
      </c>
      <c r="CB433" s="47">
        <f t="shared" si="15"/>
        <v>-10000</v>
      </c>
      <c r="CC433" s="47">
        <f t="shared" ref="CC433:CQ433" si="1411">BC433-$BU433</f>
        <v>-1000</v>
      </c>
      <c r="CD433" s="47">
        <f t="shared" si="1411"/>
        <v>-1000</v>
      </c>
      <c r="CE433" s="47">
        <f t="shared" si="1411"/>
        <v>-1000</v>
      </c>
      <c r="CF433" s="47">
        <f t="shared" si="1411"/>
        <v>-1000</v>
      </c>
      <c r="CG433" s="47">
        <f t="shared" si="1411"/>
        <v>-1000</v>
      </c>
      <c r="CH433" s="47">
        <f t="shared" si="1411"/>
        <v>-1000</v>
      </c>
      <c r="CI433" s="47">
        <f t="shared" si="1411"/>
        <v>-1000</v>
      </c>
      <c r="CJ433" s="47">
        <f t="shared" si="1411"/>
        <v>-1000</v>
      </c>
      <c r="CK433" s="47">
        <f t="shared" si="1411"/>
        <v>-1000</v>
      </c>
      <c r="CL433" s="47">
        <f t="shared" si="1411"/>
        <v>-1000</v>
      </c>
      <c r="CM433" s="47">
        <f t="shared" si="1411"/>
        <v>-1000</v>
      </c>
      <c r="CN433" s="47">
        <f t="shared" si="1411"/>
        <v>-1000</v>
      </c>
      <c r="CO433" s="47">
        <f t="shared" si="1411"/>
        <v>-1000</v>
      </c>
      <c r="CP433" s="47">
        <f t="shared" si="1411"/>
        <v>-1000</v>
      </c>
      <c r="CQ433" s="47">
        <f t="shared" si="1411"/>
        <v>-1000</v>
      </c>
      <c r="CR433" s="47"/>
      <c r="CS433" s="47"/>
      <c r="CT433" s="47"/>
      <c r="CU433" s="50" t="str">
        <f>IFERROR(__xludf.DUMMYFUNCTION("""COMPUTED_VALUE"""),"6011 Desco Dr
Dallas, TX 75225          ")</f>
        <v>6011 Desco Dr
Dallas, TX 75225          </v>
      </c>
      <c r="CV433" s="51">
        <f>IFERROR(__xludf.DUMMYFUNCTION("IF(REGEXMATCH(UPPER(CU433), ""TX""),0,1)"),0.0)</f>
        <v>0</v>
      </c>
      <c r="CW433" s="51">
        <f>IFERROR(__xludf.DUMMYFUNCTION("IF(REGEXMATCH(UPPER(CU433), ""DALLAS""),0,1)"),0.0)</f>
        <v>0</v>
      </c>
      <c r="CX433" s="51">
        <f t="shared" si="17"/>
        <v>0</v>
      </c>
      <c r="CY433" s="51">
        <f t="shared" si="18"/>
        <v>0</v>
      </c>
      <c r="CZ433" s="52" t="str">
        <f t="shared" si="19"/>
        <v/>
      </c>
      <c r="DA433" s="58"/>
      <c r="DB433" s="52"/>
      <c r="DC433" s="52"/>
      <c r="DD433" s="52"/>
      <c r="DE433" s="52"/>
      <c r="DF433" s="52"/>
      <c r="DG433" s="52"/>
      <c r="DH433" s="52"/>
      <c r="DI433" s="52"/>
      <c r="DJ433" s="52"/>
      <c r="DK433" s="52"/>
      <c r="DL433" s="52"/>
      <c r="DM433" s="52"/>
      <c r="DN433" s="52"/>
      <c r="DO433" s="52"/>
      <c r="DP433" s="52"/>
      <c r="DQ433" s="52"/>
      <c r="DR433" s="52"/>
      <c r="DS433" s="52"/>
      <c r="DT433" s="52"/>
      <c r="DU433" s="52"/>
      <c r="DV433" s="52"/>
      <c r="DW433" s="52"/>
    </row>
    <row r="434">
      <c r="A434" s="22" t="s">
        <v>55</v>
      </c>
      <c r="B434" s="23" t="s">
        <v>56</v>
      </c>
      <c r="C434" s="31" t="s">
        <v>1206</v>
      </c>
      <c r="D434" s="25" t="str">
        <f>IFERROR(__xludf.DUMMYFUNCTION("SPLIT(C434,"" "")"),"Worsham,")</f>
        <v>Worsham,</v>
      </c>
      <c r="E434" s="22" t="str">
        <f>IFERROR(__xludf.DUMMYFUNCTION("""COMPUTED_VALUE"""),"Raguet
5453")</f>
        <v>Raguet
5453</v>
      </c>
      <c r="F434" s="22" t="str">
        <f>IFERROR(__xludf.DUMMYFUNCTION("""COMPUTED_VALUE"""),"Surrey")</f>
        <v>Surrey</v>
      </c>
      <c r="G434" s="22" t="str">
        <f>IFERROR(__xludf.DUMMYFUNCTION("""COMPUTED_VALUE"""),"Circle
Dallas,")</f>
        <v>Circle
Dallas,</v>
      </c>
      <c r="H434" s="22" t="str">
        <f>IFERROR(__xludf.DUMMYFUNCTION("""COMPUTED_VALUE"""),"TX")</f>
        <v>TX</v>
      </c>
      <c r="I434" s="22">
        <f>IFERROR(__xludf.DUMMYFUNCTION("""COMPUTED_VALUE"""),75209.0)</f>
        <v>75209</v>
      </c>
      <c r="J434" s="22"/>
      <c r="K434" s="22"/>
      <c r="L434" s="22"/>
      <c r="M434" s="22"/>
      <c r="N434" s="22"/>
      <c r="O434" s="22"/>
      <c r="P434" s="22"/>
      <c r="Q434" s="22"/>
      <c r="R434" s="22"/>
      <c r="S434" s="22"/>
      <c r="T434" s="22"/>
      <c r="U434" s="24" t="str">
        <f>IFERROR(__xludf.DUMMYFUNCTION("SPLIT(E434,""01234567890"")"),"Raguet
")</f>
        <v>Raguet
</v>
      </c>
      <c r="V434" s="24" t="str">
        <f>IFERROR(__xludf.DUMMYFUNCTION("SPLIT(D434,"","")"),"Worsham")</f>
        <v>Worsham</v>
      </c>
      <c r="W434" s="25" t="str">
        <f t="shared" si="1"/>
        <v>RAGUET
 WORSHAM</v>
      </c>
      <c r="X434" s="25" t="s">
        <v>1207</v>
      </c>
      <c r="Y434" s="25">
        <v>75209.0</v>
      </c>
      <c r="Z434" s="25" t="str">
        <f>IFERROR(__xludf.DUMMYFUNCTION("SPLIT(C434,""
"")"),"Worsham, Raguet")</f>
        <v>Worsham, Raguet</v>
      </c>
      <c r="AA434" s="25" t="str">
        <f>IFERROR(__xludf.DUMMYFUNCTION("""COMPUTED_VALUE"""),"5453 Surrey Circle")</f>
        <v>5453 Surrey Circle</v>
      </c>
      <c r="AB434" s="25" t="str">
        <f>IFERROR(__xludf.DUMMYFUNCTION("""COMPUTED_VALUE"""),"Dallas, TX 75209")</f>
        <v>Dallas, TX 75209</v>
      </c>
      <c r="AC434" s="24" t="s">
        <v>1208</v>
      </c>
      <c r="AD434" s="25"/>
      <c r="AE434" s="25"/>
      <c r="AF434" s="25"/>
      <c r="AG434" s="22" t="s">
        <v>60</v>
      </c>
      <c r="AH434" s="54">
        <v>2445.0</v>
      </c>
      <c r="AI434" s="22" t="s">
        <v>61</v>
      </c>
      <c r="AJ434" s="27">
        <v>100.0</v>
      </c>
      <c r="AK434" s="31" t="s">
        <v>30</v>
      </c>
      <c r="AL434" s="28">
        <v>44741.0</v>
      </c>
      <c r="AM434" s="29">
        <v>44755.778402777774</v>
      </c>
      <c r="AN434" s="30">
        <v>2.0</v>
      </c>
      <c r="AO434" s="22"/>
      <c r="AP434" s="22"/>
      <c r="AQ434" s="22"/>
      <c r="AR434" s="22"/>
      <c r="AS434" s="22"/>
      <c r="AT434" s="70"/>
      <c r="AU434" s="71" t="s">
        <v>1209</v>
      </c>
      <c r="AV434" s="57" t="str">
        <f>IFERROR(__xludf.DUMMYFUNCTION("""COMPUTED_VALUE"""),"Paradise")</f>
        <v>Paradise</v>
      </c>
      <c r="AW434" s="46">
        <f t="shared" si="7"/>
        <v>100</v>
      </c>
      <c r="AX434" s="47">
        <f t="shared" ref="AX434:BQ434" si="1412">SUMIFS($AJ:$AJ,$V:$V,$AV434,$AK:$AK,AX$2)</f>
        <v>0</v>
      </c>
      <c r="AY434" s="48">
        <f t="shared" si="1412"/>
        <v>0</v>
      </c>
      <c r="AZ434" s="48">
        <f t="shared" si="1412"/>
        <v>0</v>
      </c>
      <c r="BA434" s="48">
        <f t="shared" si="1412"/>
        <v>100</v>
      </c>
      <c r="BB434" s="48">
        <f t="shared" si="1412"/>
        <v>0</v>
      </c>
      <c r="BC434" s="48">
        <f t="shared" si="1412"/>
        <v>0</v>
      </c>
      <c r="BD434" s="48">
        <f t="shared" si="1412"/>
        <v>0</v>
      </c>
      <c r="BE434" s="48">
        <f t="shared" si="1412"/>
        <v>0</v>
      </c>
      <c r="BF434" s="48">
        <f t="shared" si="1412"/>
        <v>0</v>
      </c>
      <c r="BG434" s="48">
        <f t="shared" si="1412"/>
        <v>0</v>
      </c>
      <c r="BH434" s="48">
        <f t="shared" si="1412"/>
        <v>0</v>
      </c>
      <c r="BI434" s="48">
        <f t="shared" si="1412"/>
        <v>0</v>
      </c>
      <c r="BJ434" s="48">
        <f t="shared" si="1412"/>
        <v>0</v>
      </c>
      <c r="BK434" s="48">
        <f t="shared" si="1412"/>
        <v>0</v>
      </c>
      <c r="BL434" s="48">
        <f t="shared" si="1412"/>
        <v>0</v>
      </c>
      <c r="BM434" s="48">
        <f t="shared" si="1412"/>
        <v>0</v>
      </c>
      <c r="BN434" s="48">
        <f t="shared" si="1412"/>
        <v>0</v>
      </c>
      <c r="BO434" s="48">
        <f t="shared" si="1412"/>
        <v>0</v>
      </c>
      <c r="BP434" s="48">
        <f t="shared" si="1412"/>
        <v>0</v>
      </c>
      <c r="BQ434" s="48">
        <f t="shared" si="1412"/>
        <v>0</v>
      </c>
      <c r="BR434" s="36">
        <f t="shared" si="9"/>
        <v>0</v>
      </c>
      <c r="BS434" s="38">
        <f t="shared" si="10"/>
        <v>1</v>
      </c>
      <c r="BT434" s="49">
        <f t="shared" si="11"/>
        <v>0</v>
      </c>
      <c r="BU434" s="38">
        <f t="shared" si="12"/>
        <v>1000</v>
      </c>
      <c r="BV434" s="57" t="str">
        <f>IFERROR(__xludf.DUMMYFUNCTION("""COMPUTED_VALUE"""),"Paradise")</f>
        <v>Paradise</v>
      </c>
      <c r="BW434" s="46">
        <f t="shared" si="13"/>
        <v>100</v>
      </c>
      <c r="BX434" s="47">
        <f t="shared" ref="BX434:CA434" si="1413">AX434-$BU434</f>
        <v>-1000</v>
      </c>
      <c r="BY434" s="47">
        <f t="shared" si="1413"/>
        <v>-1000</v>
      </c>
      <c r="BZ434" s="47">
        <f t="shared" si="1413"/>
        <v>-1000</v>
      </c>
      <c r="CA434" s="47">
        <f t="shared" si="1413"/>
        <v>-900</v>
      </c>
      <c r="CB434" s="47">
        <f t="shared" si="15"/>
        <v>-10000</v>
      </c>
      <c r="CC434" s="47">
        <f t="shared" ref="CC434:CQ434" si="1414">BC434-$BU434</f>
        <v>-1000</v>
      </c>
      <c r="CD434" s="47">
        <f t="shared" si="1414"/>
        <v>-1000</v>
      </c>
      <c r="CE434" s="47">
        <f t="shared" si="1414"/>
        <v>-1000</v>
      </c>
      <c r="CF434" s="47">
        <f t="shared" si="1414"/>
        <v>-1000</v>
      </c>
      <c r="CG434" s="47">
        <f t="shared" si="1414"/>
        <v>-1000</v>
      </c>
      <c r="CH434" s="47">
        <f t="shared" si="1414"/>
        <v>-1000</v>
      </c>
      <c r="CI434" s="47">
        <f t="shared" si="1414"/>
        <v>-1000</v>
      </c>
      <c r="CJ434" s="47">
        <f t="shared" si="1414"/>
        <v>-1000</v>
      </c>
      <c r="CK434" s="47">
        <f t="shared" si="1414"/>
        <v>-1000</v>
      </c>
      <c r="CL434" s="47">
        <f t="shared" si="1414"/>
        <v>-1000</v>
      </c>
      <c r="CM434" s="47">
        <f t="shared" si="1414"/>
        <v>-1000</v>
      </c>
      <c r="CN434" s="47">
        <f t="shared" si="1414"/>
        <v>-1000</v>
      </c>
      <c r="CO434" s="47">
        <f t="shared" si="1414"/>
        <v>-1000</v>
      </c>
      <c r="CP434" s="47">
        <f t="shared" si="1414"/>
        <v>-1000</v>
      </c>
      <c r="CQ434" s="47">
        <f t="shared" si="1414"/>
        <v>-1000</v>
      </c>
      <c r="CR434" s="47"/>
      <c r="CS434" s="47"/>
      <c r="CT434" s="47"/>
      <c r="CU434" s="50" t="str">
        <f>IFERROR(__xludf.DUMMYFUNCTION("""COMPUTED_VALUE"""),"6038 Bryan Pkwy
Dallas, TX 75206          ")</f>
        <v>6038 Bryan Pkwy
Dallas, TX 75206          </v>
      </c>
      <c r="CV434" s="51">
        <f>IFERROR(__xludf.DUMMYFUNCTION("IF(REGEXMATCH(UPPER(CU434), ""TX""),0,1)"),0.0)</f>
        <v>0</v>
      </c>
      <c r="CW434" s="51">
        <f>IFERROR(__xludf.DUMMYFUNCTION("IF(REGEXMATCH(UPPER(CU434), ""DALLAS""),0,1)"),0.0)</f>
        <v>0</v>
      </c>
      <c r="CX434" s="51">
        <f t="shared" si="17"/>
        <v>0</v>
      </c>
      <c r="CY434" s="51">
        <f t="shared" si="18"/>
        <v>0</v>
      </c>
      <c r="CZ434" s="52" t="str">
        <f t="shared" si="19"/>
        <v/>
      </c>
      <c r="DA434" s="58"/>
      <c r="DB434" s="52"/>
      <c r="DC434" s="52"/>
      <c r="DD434" s="52"/>
      <c r="DE434" s="52"/>
      <c r="DF434" s="52"/>
      <c r="DG434" s="52"/>
      <c r="DH434" s="52"/>
      <c r="DI434" s="52"/>
      <c r="DJ434" s="52"/>
      <c r="DK434" s="52"/>
      <c r="DL434" s="52"/>
      <c r="DM434" s="52"/>
      <c r="DN434" s="52"/>
      <c r="DO434" s="52"/>
      <c r="DP434" s="52"/>
      <c r="DQ434" s="52"/>
      <c r="DR434" s="52"/>
      <c r="DS434" s="52"/>
      <c r="DT434" s="52"/>
      <c r="DU434" s="52"/>
      <c r="DV434" s="52"/>
      <c r="DW434" s="52"/>
    </row>
    <row r="435">
      <c r="A435" s="40" t="s">
        <v>55</v>
      </c>
      <c r="B435" s="41" t="s">
        <v>56</v>
      </c>
      <c r="C435" s="31" t="s">
        <v>1210</v>
      </c>
      <c r="D435" s="25" t="str">
        <f>IFERROR(__xludf.DUMMYFUNCTION("SPLIT(C435,"" "")"),"Gonzales,")</f>
        <v>Gonzales,</v>
      </c>
      <c r="E435" s="40" t="str">
        <f>IFERROR(__xludf.DUMMYFUNCTION("""COMPUTED_VALUE"""),"Pete
10755")</f>
        <v>Pete
10755</v>
      </c>
      <c r="F435" s="40" t="str">
        <f>IFERROR(__xludf.DUMMYFUNCTION("""COMPUTED_VALUE"""),"Morning")</f>
        <v>Morning</v>
      </c>
      <c r="G435" s="40" t="str">
        <f>IFERROR(__xludf.DUMMYFUNCTION("""COMPUTED_VALUE"""),"Glory")</f>
        <v>Glory</v>
      </c>
      <c r="H435" s="40" t="str">
        <f>IFERROR(__xludf.DUMMYFUNCTION("""COMPUTED_VALUE"""),"Drive
Dallas,")</f>
        <v>Drive
Dallas,</v>
      </c>
      <c r="I435" s="40" t="str">
        <f>IFERROR(__xludf.DUMMYFUNCTION("""COMPUTED_VALUE"""),"TX")</f>
        <v>TX</v>
      </c>
      <c r="J435" s="40">
        <f>IFERROR(__xludf.DUMMYFUNCTION("""COMPUTED_VALUE"""),75229.0)</f>
        <v>75229</v>
      </c>
      <c r="K435" s="40"/>
      <c r="L435" s="40"/>
      <c r="M435" s="40"/>
      <c r="N435" s="40"/>
      <c r="O435" s="40"/>
      <c r="P435" s="40"/>
      <c r="Q435" s="40"/>
      <c r="R435" s="40"/>
      <c r="S435" s="40"/>
      <c r="T435" s="40"/>
      <c r="U435" s="24" t="str">
        <f>IFERROR(__xludf.DUMMYFUNCTION("SPLIT(E435,""01234567890"")"),"Pete
")</f>
        <v>Pete
</v>
      </c>
      <c r="V435" s="24" t="str">
        <f>IFERROR(__xludf.DUMMYFUNCTION("SPLIT(D435,"","")"),"Gonzales")</f>
        <v>Gonzales</v>
      </c>
      <c r="W435" s="25" t="str">
        <f t="shared" si="1"/>
        <v>PETE
 GONZALES</v>
      </c>
      <c r="X435" s="25" t="s">
        <v>1211</v>
      </c>
      <c r="Y435" s="25">
        <v>75229.0</v>
      </c>
      <c r="Z435" s="25" t="str">
        <f>IFERROR(__xludf.DUMMYFUNCTION("SPLIT(C435,""
"")"),"Gonzales, Pete")</f>
        <v>Gonzales, Pete</v>
      </c>
      <c r="AA435" s="25" t="str">
        <f>IFERROR(__xludf.DUMMYFUNCTION("""COMPUTED_VALUE"""),"10755 Morning Glory Drive")</f>
        <v>10755 Morning Glory Drive</v>
      </c>
      <c r="AB435" s="25" t="str">
        <f>IFERROR(__xludf.DUMMYFUNCTION("""COMPUTED_VALUE"""),"Dallas, TX 75229")</f>
        <v>Dallas, TX 75229</v>
      </c>
      <c r="AC435" s="24" t="s">
        <v>1212</v>
      </c>
      <c r="AD435" s="25"/>
      <c r="AE435" s="25"/>
      <c r="AF435" s="25"/>
      <c r="AG435" s="40" t="s">
        <v>60</v>
      </c>
      <c r="AH435" s="42">
        <v>2445.0</v>
      </c>
      <c r="AI435" s="40" t="s">
        <v>61</v>
      </c>
      <c r="AJ435" s="27">
        <v>300.0</v>
      </c>
      <c r="AK435" s="31" t="s">
        <v>30</v>
      </c>
      <c r="AL435" s="43">
        <v>44741.0</v>
      </c>
      <c r="AM435" s="44">
        <v>44755.778402777774</v>
      </c>
      <c r="AN435" s="30">
        <v>2.0</v>
      </c>
      <c r="AO435" s="40"/>
      <c r="AP435" s="40"/>
      <c r="AQ435" s="40"/>
      <c r="AR435" s="40"/>
      <c r="AS435" s="40"/>
      <c r="AT435" s="47"/>
      <c r="AU435" s="72"/>
      <c r="AV435" s="46" t="str">
        <f>IFERROR(__xludf.DUMMYFUNCTION("""COMPUTED_VALUE"""),"Spellicy")</f>
        <v>Spellicy</v>
      </c>
      <c r="AW435" s="46">
        <f t="shared" si="7"/>
        <v>200</v>
      </c>
      <c r="AX435" s="47">
        <f t="shared" ref="AX435:BQ435" si="1415">SUMIFS($AJ:$AJ,$V:$V,$AV435,$AK:$AK,AX$2)</f>
        <v>0</v>
      </c>
      <c r="AY435" s="48">
        <f t="shared" si="1415"/>
        <v>0</v>
      </c>
      <c r="AZ435" s="48">
        <f t="shared" si="1415"/>
        <v>0</v>
      </c>
      <c r="BA435" s="48">
        <f t="shared" si="1415"/>
        <v>200</v>
      </c>
      <c r="BB435" s="48">
        <f t="shared" si="1415"/>
        <v>0</v>
      </c>
      <c r="BC435" s="48">
        <f t="shared" si="1415"/>
        <v>0</v>
      </c>
      <c r="BD435" s="48">
        <f t="shared" si="1415"/>
        <v>0</v>
      </c>
      <c r="BE435" s="48">
        <f t="shared" si="1415"/>
        <v>0</v>
      </c>
      <c r="BF435" s="48">
        <f t="shared" si="1415"/>
        <v>0</v>
      </c>
      <c r="BG435" s="48">
        <f t="shared" si="1415"/>
        <v>0</v>
      </c>
      <c r="BH435" s="48">
        <f t="shared" si="1415"/>
        <v>0</v>
      </c>
      <c r="BI435" s="48">
        <f t="shared" si="1415"/>
        <v>0</v>
      </c>
      <c r="BJ435" s="48">
        <f t="shared" si="1415"/>
        <v>0</v>
      </c>
      <c r="BK435" s="48">
        <f t="shared" si="1415"/>
        <v>0</v>
      </c>
      <c r="BL435" s="48">
        <f t="shared" si="1415"/>
        <v>0</v>
      </c>
      <c r="BM435" s="48">
        <f t="shared" si="1415"/>
        <v>0</v>
      </c>
      <c r="BN435" s="48">
        <f t="shared" si="1415"/>
        <v>0</v>
      </c>
      <c r="BO435" s="48">
        <f t="shared" si="1415"/>
        <v>0</v>
      </c>
      <c r="BP435" s="48">
        <f t="shared" si="1415"/>
        <v>0</v>
      </c>
      <c r="BQ435" s="48">
        <f t="shared" si="1415"/>
        <v>0</v>
      </c>
      <c r="BR435" s="36">
        <f t="shared" si="9"/>
        <v>0</v>
      </c>
      <c r="BS435" s="38">
        <f t="shared" si="10"/>
        <v>1</v>
      </c>
      <c r="BT435" s="49">
        <f t="shared" si="11"/>
        <v>0</v>
      </c>
      <c r="BU435" s="38">
        <f t="shared" si="12"/>
        <v>1000</v>
      </c>
      <c r="BV435" s="46" t="str">
        <f>IFERROR(__xludf.DUMMYFUNCTION("""COMPUTED_VALUE"""),"Spellicy")</f>
        <v>Spellicy</v>
      </c>
      <c r="BW435" s="46">
        <f t="shared" si="13"/>
        <v>200</v>
      </c>
      <c r="BX435" s="47">
        <f t="shared" ref="BX435:CA435" si="1416">AX435-$BU435</f>
        <v>-1000</v>
      </c>
      <c r="BY435" s="47">
        <f t="shared" si="1416"/>
        <v>-1000</v>
      </c>
      <c r="BZ435" s="47">
        <f t="shared" si="1416"/>
        <v>-1000</v>
      </c>
      <c r="CA435" s="47">
        <f t="shared" si="1416"/>
        <v>-800</v>
      </c>
      <c r="CB435" s="47">
        <f t="shared" si="15"/>
        <v>-10000</v>
      </c>
      <c r="CC435" s="47">
        <f t="shared" ref="CC435:CQ435" si="1417">BC435-$BU435</f>
        <v>-1000</v>
      </c>
      <c r="CD435" s="47">
        <f t="shared" si="1417"/>
        <v>-1000</v>
      </c>
      <c r="CE435" s="47">
        <f t="shared" si="1417"/>
        <v>-1000</v>
      </c>
      <c r="CF435" s="47">
        <f t="shared" si="1417"/>
        <v>-1000</v>
      </c>
      <c r="CG435" s="47">
        <f t="shared" si="1417"/>
        <v>-1000</v>
      </c>
      <c r="CH435" s="47">
        <f t="shared" si="1417"/>
        <v>-1000</v>
      </c>
      <c r="CI435" s="47">
        <f t="shared" si="1417"/>
        <v>-1000</v>
      </c>
      <c r="CJ435" s="47">
        <f t="shared" si="1417"/>
        <v>-1000</v>
      </c>
      <c r="CK435" s="47">
        <f t="shared" si="1417"/>
        <v>-1000</v>
      </c>
      <c r="CL435" s="47">
        <f t="shared" si="1417"/>
        <v>-1000</v>
      </c>
      <c r="CM435" s="47">
        <f t="shared" si="1417"/>
        <v>-1000</v>
      </c>
      <c r="CN435" s="47">
        <f t="shared" si="1417"/>
        <v>-1000</v>
      </c>
      <c r="CO435" s="47">
        <f t="shared" si="1417"/>
        <v>-1000</v>
      </c>
      <c r="CP435" s="47">
        <f t="shared" si="1417"/>
        <v>-1000</v>
      </c>
      <c r="CQ435" s="47">
        <f t="shared" si="1417"/>
        <v>-1000</v>
      </c>
      <c r="CR435" s="47"/>
      <c r="CS435" s="47"/>
      <c r="CT435" s="47"/>
      <c r="CU435" s="50" t="str">
        <f>IFERROR(__xludf.DUMMYFUNCTION("""COMPUTED_VALUE"""),"5916 Club Oaks Dr
Dallas, TX 75248         ")</f>
        <v>5916 Club Oaks Dr
Dallas, TX 75248         </v>
      </c>
      <c r="CV435" s="51">
        <f>IFERROR(__xludf.DUMMYFUNCTION("IF(REGEXMATCH(UPPER(CU435), ""TX""),0,1)"),0.0)</f>
        <v>0</v>
      </c>
      <c r="CW435" s="51">
        <f>IFERROR(__xludf.DUMMYFUNCTION("IF(REGEXMATCH(UPPER(CU435), ""DALLAS""),0,1)"),0.0)</f>
        <v>0</v>
      </c>
      <c r="CX435" s="51">
        <f t="shared" si="17"/>
        <v>0</v>
      </c>
      <c r="CY435" s="51">
        <f t="shared" si="18"/>
        <v>0</v>
      </c>
      <c r="CZ435" s="52" t="str">
        <f t="shared" si="19"/>
        <v/>
      </c>
      <c r="DA435" s="58"/>
      <c r="DB435" s="52"/>
      <c r="DC435" s="52"/>
      <c r="DD435" s="52"/>
      <c r="DE435" s="52"/>
      <c r="DF435" s="52"/>
      <c r="DG435" s="52"/>
      <c r="DH435" s="52"/>
      <c r="DI435" s="52"/>
      <c r="DJ435" s="52"/>
      <c r="DK435" s="52"/>
      <c r="DL435" s="52"/>
      <c r="DM435" s="52"/>
      <c r="DN435" s="52"/>
      <c r="DO435" s="52"/>
      <c r="DP435" s="52"/>
      <c r="DQ435" s="52"/>
      <c r="DR435" s="52"/>
      <c r="DS435" s="52"/>
      <c r="DT435" s="52"/>
      <c r="DU435" s="52"/>
      <c r="DV435" s="52"/>
      <c r="DW435" s="52"/>
    </row>
    <row r="436">
      <c r="A436" s="22" t="s">
        <v>55</v>
      </c>
      <c r="B436" s="23" t="s">
        <v>56</v>
      </c>
      <c r="C436" s="31" t="s">
        <v>1213</v>
      </c>
      <c r="D436" s="25" t="str">
        <f>IFERROR(__xludf.DUMMYFUNCTION("SPLIT(C436,"" "")"),"Perdue,")</f>
        <v>Perdue,</v>
      </c>
      <c r="E436" s="22" t="str">
        <f>IFERROR(__xludf.DUMMYFUNCTION("""COMPUTED_VALUE"""),"Rick
7712")</f>
        <v>Rick
7712</v>
      </c>
      <c r="F436" s="22" t="str">
        <f>IFERROR(__xludf.DUMMYFUNCTION("""COMPUTED_VALUE"""),"Southwestern")</f>
        <v>Southwestern</v>
      </c>
      <c r="G436" s="22" t="str">
        <f>IFERROR(__xludf.DUMMYFUNCTION("""COMPUTED_VALUE"""),"Blvd.
Dallas,")</f>
        <v>Blvd.
Dallas,</v>
      </c>
      <c r="H436" s="22" t="str">
        <f>IFERROR(__xludf.DUMMYFUNCTION("""COMPUTED_VALUE"""),"TX")</f>
        <v>TX</v>
      </c>
      <c r="I436" s="22">
        <f>IFERROR(__xludf.DUMMYFUNCTION("""COMPUTED_VALUE"""),75225.0)</f>
        <v>75225</v>
      </c>
      <c r="J436" s="22"/>
      <c r="K436" s="22"/>
      <c r="L436" s="22"/>
      <c r="M436" s="22"/>
      <c r="N436" s="22"/>
      <c r="O436" s="22"/>
      <c r="P436" s="22"/>
      <c r="Q436" s="22"/>
      <c r="R436" s="22"/>
      <c r="S436" s="22"/>
      <c r="T436" s="22"/>
      <c r="U436" s="24" t="str">
        <f>IFERROR(__xludf.DUMMYFUNCTION("SPLIT(E436,""01234567890"")"),"Rick
")</f>
        <v>Rick
</v>
      </c>
      <c r="V436" s="24" t="str">
        <f>IFERROR(__xludf.DUMMYFUNCTION("SPLIT(D436,"","")"),"Perdue")</f>
        <v>Perdue</v>
      </c>
      <c r="W436" s="25" t="str">
        <f t="shared" si="1"/>
        <v>RICK
 PERDUE</v>
      </c>
      <c r="X436" s="25" t="s">
        <v>1214</v>
      </c>
      <c r="Y436" s="25">
        <v>75225.0</v>
      </c>
      <c r="Z436" s="25" t="str">
        <f>IFERROR(__xludf.DUMMYFUNCTION("SPLIT(C436,""
"")"),"Perdue, Rick")</f>
        <v>Perdue, Rick</v>
      </c>
      <c r="AA436" s="25" t="str">
        <f>IFERROR(__xludf.DUMMYFUNCTION("""COMPUTED_VALUE"""),"7712 Southwestern Blvd.")</f>
        <v>7712 Southwestern Blvd.</v>
      </c>
      <c r="AB436" s="25" t="str">
        <f>IFERROR(__xludf.DUMMYFUNCTION("""COMPUTED_VALUE"""),"Dallas, TX 75225")</f>
        <v>Dallas, TX 75225</v>
      </c>
      <c r="AC436" s="24" t="s">
        <v>1215</v>
      </c>
      <c r="AD436" s="25"/>
      <c r="AE436" s="25"/>
      <c r="AF436" s="25"/>
      <c r="AG436" s="22" t="s">
        <v>60</v>
      </c>
      <c r="AH436" s="54">
        <v>2445.0</v>
      </c>
      <c r="AI436" s="22" t="s">
        <v>61</v>
      </c>
      <c r="AJ436" s="27">
        <v>1000.0</v>
      </c>
      <c r="AK436" s="31" t="s">
        <v>30</v>
      </c>
      <c r="AL436" s="28">
        <v>44741.0</v>
      </c>
      <c r="AM436" s="29">
        <v>44755.778402777774</v>
      </c>
      <c r="AN436" s="30">
        <v>2.0</v>
      </c>
      <c r="AO436" s="22"/>
      <c r="AP436" s="22"/>
      <c r="AQ436" s="22"/>
      <c r="AR436" s="22"/>
      <c r="AS436" s="22"/>
      <c r="AT436" s="70"/>
      <c r="AU436" s="72"/>
      <c r="AV436" s="57" t="str">
        <f>IFERROR(__xludf.DUMMYFUNCTION("""COMPUTED_VALUE"""),"Sullivan")</f>
        <v>Sullivan</v>
      </c>
      <c r="AW436" s="46">
        <f t="shared" si="7"/>
        <v>250</v>
      </c>
      <c r="AX436" s="47">
        <f t="shared" ref="AX436:BQ436" si="1418">SUMIFS($AJ:$AJ,$V:$V,$AV436,$AK:$AK,AX$2)</f>
        <v>0</v>
      </c>
      <c r="AY436" s="48">
        <f t="shared" si="1418"/>
        <v>0</v>
      </c>
      <c r="AZ436" s="48">
        <f t="shared" si="1418"/>
        <v>150</v>
      </c>
      <c r="BA436" s="48">
        <f t="shared" si="1418"/>
        <v>100</v>
      </c>
      <c r="BB436" s="48">
        <f t="shared" si="1418"/>
        <v>0</v>
      </c>
      <c r="BC436" s="48">
        <f t="shared" si="1418"/>
        <v>0</v>
      </c>
      <c r="BD436" s="48">
        <f t="shared" si="1418"/>
        <v>0</v>
      </c>
      <c r="BE436" s="48">
        <f t="shared" si="1418"/>
        <v>0</v>
      </c>
      <c r="BF436" s="48">
        <f t="shared" si="1418"/>
        <v>0</v>
      </c>
      <c r="BG436" s="48">
        <f t="shared" si="1418"/>
        <v>0</v>
      </c>
      <c r="BH436" s="48">
        <f t="shared" si="1418"/>
        <v>0</v>
      </c>
      <c r="BI436" s="48">
        <f t="shared" si="1418"/>
        <v>0</v>
      </c>
      <c r="BJ436" s="48">
        <f t="shared" si="1418"/>
        <v>0</v>
      </c>
      <c r="BK436" s="48">
        <f t="shared" si="1418"/>
        <v>0</v>
      </c>
      <c r="BL436" s="48">
        <f t="shared" si="1418"/>
        <v>0</v>
      </c>
      <c r="BM436" s="48">
        <f t="shared" si="1418"/>
        <v>0</v>
      </c>
      <c r="BN436" s="48">
        <f t="shared" si="1418"/>
        <v>0</v>
      </c>
      <c r="BO436" s="48">
        <f t="shared" si="1418"/>
        <v>0</v>
      </c>
      <c r="BP436" s="48">
        <f t="shared" si="1418"/>
        <v>0</v>
      </c>
      <c r="BQ436" s="48">
        <f t="shared" si="1418"/>
        <v>0</v>
      </c>
      <c r="BR436" s="36">
        <f t="shared" si="9"/>
        <v>1</v>
      </c>
      <c r="BS436" s="38">
        <f t="shared" si="10"/>
        <v>2</v>
      </c>
      <c r="BT436" s="49">
        <f t="shared" si="11"/>
        <v>0</v>
      </c>
      <c r="BU436" s="38">
        <f t="shared" si="12"/>
        <v>2000</v>
      </c>
      <c r="BV436" s="57" t="str">
        <f>IFERROR(__xludf.DUMMYFUNCTION("""COMPUTED_VALUE"""),"Sullivan")</f>
        <v>Sullivan</v>
      </c>
      <c r="BW436" s="46">
        <f t="shared" si="13"/>
        <v>250</v>
      </c>
      <c r="BX436" s="47">
        <f t="shared" ref="BX436:CA436" si="1419">AX436-$BU436</f>
        <v>-2000</v>
      </c>
      <c r="BY436" s="47">
        <f t="shared" si="1419"/>
        <v>-2000</v>
      </c>
      <c r="BZ436" s="47">
        <f t="shared" si="1419"/>
        <v>-1850</v>
      </c>
      <c r="CA436" s="47">
        <f t="shared" si="1419"/>
        <v>-1900</v>
      </c>
      <c r="CB436" s="47">
        <f t="shared" si="15"/>
        <v>-20000</v>
      </c>
      <c r="CC436" s="47">
        <f t="shared" ref="CC436:CQ436" si="1420">BC436-$BU436</f>
        <v>-2000</v>
      </c>
      <c r="CD436" s="47">
        <f t="shared" si="1420"/>
        <v>-2000</v>
      </c>
      <c r="CE436" s="47">
        <f t="shared" si="1420"/>
        <v>-2000</v>
      </c>
      <c r="CF436" s="47">
        <f t="shared" si="1420"/>
        <v>-2000</v>
      </c>
      <c r="CG436" s="47">
        <f t="shared" si="1420"/>
        <v>-2000</v>
      </c>
      <c r="CH436" s="47">
        <f t="shared" si="1420"/>
        <v>-2000</v>
      </c>
      <c r="CI436" s="47">
        <f t="shared" si="1420"/>
        <v>-2000</v>
      </c>
      <c r="CJ436" s="47">
        <f t="shared" si="1420"/>
        <v>-2000</v>
      </c>
      <c r="CK436" s="47">
        <f t="shared" si="1420"/>
        <v>-2000</v>
      </c>
      <c r="CL436" s="47">
        <f t="shared" si="1420"/>
        <v>-2000</v>
      </c>
      <c r="CM436" s="47">
        <f t="shared" si="1420"/>
        <v>-2000</v>
      </c>
      <c r="CN436" s="47">
        <f t="shared" si="1420"/>
        <v>-2000</v>
      </c>
      <c r="CO436" s="47">
        <f t="shared" si="1420"/>
        <v>-2000</v>
      </c>
      <c r="CP436" s="47">
        <f t="shared" si="1420"/>
        <v>-2000</v>
      </c>
      <c r="CQ436" s="47">
        <f t="shared" si="1420"/>
        <v>-2000</v>
      </c>
      <c r="CR436" s="47"/>
      <c r="CS436" s="47"/>
      <c r="CT436" s="47"/>
      <c r="CU436" s="50" t="str">
        <f>IFERROR(__xludf.DUMMYFUNCTION("""COMPUTED_VALUE"""),"6821 Carolyncrest
Dallas, TX 75214           ")</f>
        <v>6821 Carolyncrest
Dallas, TX 75214           </v>
      </c>
      <c r="CV436" s="51">
        <f>IFERROR(__xludf.DUMMYFUNCTION("IF(REGEXMATCH(UPPER(CU436), ""TX""),0,1)"),0.0)</f>
        <v>0</v>
      </c>
      <c r="CW436" s="51">
        <f>IFERROR(__xludf.DUMMYFUNCTION("IF(REGEXMATCH(UPPER(CU436), ""DALLAS""),0,1)"),0.0)</f>
        <v>0</v>
      </c>
      <c r="CX436" s="51">
        <f t="shared" si="17"/>
        <v>0</v>
      </c>
      <c r="CY436" s="51">
        <f t="shared" si="18"/>
        <v>0</v>
      </c>
      <c r="CZ436" s="52" t="str">
        <f t="shared" si="19"/>
        <v/>
      </c>
      <c r="DA436" s="58"/>
      <c r="DB436" s="52"/>
      <c r="DC436" s="52"/>
      <c r="DD436" s="52"/>
      <c r="DE436" s="52"/>
      <c r="DF436" s="52"/>
      <c r="DG436" s="52"/>
      <c r="DH436" s="52"/>
      <c r="DI436" s="52"/>
      <c r="DJ436" s="52"/>
      <c r="DK436" s="52"/>
      <c r="DL436" s="52"/>
      <c r="DM436" s="52"/>
      <c r="DN436" s="52"/>
      <c r="DO436" s="52"/>
      <c r="DP436" s="52"/>
      <c r="DQ436" s="52"/>
      <c r="DR436" s="52"/>
      <c r="DS436" s="52"/>
      <c r="DT436" s="52"/>
      <c r="DU436" s="52"/>
      <c r="DV436" s="52"/>
      <c r="DW436" s="52"/>
    </row>
    <row r="437">
      <c r="A437" s="40" t="s">
        <v>55</v>
      </c>
      <c r="B437" s="41" t="s">
        <v>56</v>
      </c>
      <c r="C437" s="31" t="s">
        <v>1216</v>
      </c>
      <c r="D437" s="25" t="str">
        <f>IFERROR(__xludf.DUMMYFUNCTION("SPLIT(C437,"" "")"),"Reisenbichler,")</f>
        <v>Reisenbichler,</v>
      </c>
      <c r="E437" s="40" t="str">
        <f>IFERROR(__xludf.DUMMYFUNCTION("""COMPUTED_VALUE"""),"Lori
5505")</f>
        <v>Lori
5505</v>
      </c>
      <c r="F437" s="40" t="str">
        <f>IFERROR(__xludf.DUMMYFUNCTION("""COMPUTED_VALUE"""),"Montrose")</f>
        <v>Montrose</v>
      </c>
      <c r="G437" s="40" t="str">
        <f>IFERROR(__xludf.DUMMYFUNCTION("""COMPUTED_VALUE"""),"Dr
Dallas,")</f>
        <v>Dr
Dallas,</v>
      </c>
      <c r="H437" s="40" t="str">
        <f>IFERROR(__xludf.DUMMYFUNCTION("""COMPUTED_VALUE"""),"TX")</f>
        <v>TX</v>
      </c>
      <c r="I437" s="40">
        <f>IFERROR(__xludf.DUMMYFUNCTION("""COMPUTED_VALUE"""),75209.0)</f>
        <v>75209</v>
      </c>
      <c r="J437" s="40"/>
      <c r="K437" s="40"/>
      <c r="L437" s="40"/>
      <c r="M437" s="40"/>
      <c r="N437" s="40"/>
      <c r="O437" s="40"/>
      <c r="P437" s="40"/>
      <c r="Q437" s="40"/>
      <c r="R437" s="40"/>
      <c r="S437" s="40"/>
      <c r="T437" s="40"/>
      <c r="U437" s="24" t="str">
        <f>IFERROR(__xludf.DUMMYFUNCTION("SPLIT(E437,""01234567890"")"),"Lori
")</f>
        <v>Lori
</v>
      </c>
      <c r="V437" s="24" t="str">
        <f>IFERROR(__xludf.DUMMYFUNCTION("SPLIT(D437,"","")"),"Reisenbichler")</f>
        <v>Reisenbichler</v>
      </c>
      <c r="W437" s="25" t="str">
        <f t="shared" si="1"/>
        <v>LORI
 REISENBICHLER</v>
      </c>
      <c r="X437" s="25" t="s">
        <v>1217</v>
      </c>
      <c r="Y437" s="25">
        <v>75209.0</v>
      </c>
      <c r="Z437" s="25" t="str">
        <f>IFERROR(__xludf.DUMMYFUNCTION("SPLIT(C437,""
"")"),"Reisenbichler, Lori")</f>
        <v>Reisenbichler, Lori</v>
      </c>
      <c r="AA437" s="25" t="str">
        <f>IFERROR(__xludf.DUMMYFUNCTION("""COMPUTED_VALUE"""),"5505 Montrose Dr")</f>
        <v>5505 Montrose Dr</v>
      </c>
      <c r="AB437" s="25" t="str">
        <f>IFERROR(__xludf.DUMMYFUNCTION("""COMPUTED_VALUE"""),"Dallas, TX 75209")</f>
        <v>Dallas, TX 75209</v>
      </c>
      <c r="AC437" s="24" t="s">
        <v>1218</v>
      </c>
      <c r="AD437" s="25"/>
      <c r="AE437" s="25"/>
      <c r="AF437" s="25"/>
      <c r="AG437" s="40" t="s">
        <v>60</v>
      </c>
      <c r="AH437" s="42">
        <v>2445.0</v>
      </c>
      <c r="AI437" s="40" t="s">
        <v>61</v>
      </c>
      <c r="AJ437" s="27">
        <v>500.0</v>
      </c>
      <c r="AK437" s="31" t="s">
        <v>30</v>
      </c>
      <c r="AL437" s="43">
        <v>44741.0</v>
      </c>
      <c r="AM437" s="44">
        <v>44755.778402777774</v>
      </c>
      <c r="AN437" s="30">
        <v>2.0</v>
      </c>
      <c r="AO437" s="40"/>
      <c r="AP437" s="40"/>
      <c r="AQ437" s="40"/>
      <c r="AR437" s="40"/>
      <c r="AS437" s="40"/>
      <c r="AT437" s="47"/>
      <c r="AU437" s="72"/>
      <c r="AV437" s="46" t="str">
        <f>IFERROR(__xludf.DUMMYFUNCTION("""COMPUTED_VALUE"""),"Wells")</f>
        <v>Wells</v>
      </c>
      <c r="AW437" s="46">
        <f t="shared" si="7"/>
        <v>250</v>
      </c>
      <c r="AX437" s="47">
        <f t="shared" ref="AX437:BQ437" si="1421">SUMIFS($AJ:$AJ,$V:$V,$AV437,$AK:$AK,AX$2)</f>
        <v>0</v>
      </c>
      <c r="AY437" s="48">
        <f t="shared" si="1421"/>
        <v>0</v>
      </c>
      <c r="AZ437" s="48">
        <f t="shared" si="1421"/>
        <v>0</v>
      </c>
      <c r="BA437" s="48">
        <f t="shared" si="1421"/>
        <v>250</v>
      </c>
      <c r="BB437" s="48">
        <f t="shared" si="1421"/>
        <v>0</v>
      </c>
      <c r="BC437" s="48">
        <f t="shared" si="1421"/>
        <v>0</v>
      </c>
      <c r="BD437" s="48">
        <f t="shared" si="1421"/>
        <v>0</v>
      </c>
      <c r="BE437" s="48">
        <f t="shared" si="1421"/>
        <v>0</v>
      </c>
      <c r="BF437" s="48">
        <f t="shared" si="1421"/>
        <v>0</v>
      </c>
      <c r="BG437" s="48">
        <f t="shared" si="1421"/>
        <v>0</v>
      </c>
      <c r="BH437" s="48">
        <f t="shared" si="1421"/>
        <v>0</v>
      </c>
      <c r="BI437" s="48">
        <f t="shared" si="1421"/>
        <v>0</v>
      </c>
      <c r="BJ437" s="48">
        <f t="shared" si="1421"/>
        <v>0</v>
      </c>
      <c r="BK437" s="48">
        <f t="shared" si="1421"/>
        <v>0</v>
      </c>
      <c r="BL437" s="48">
        <f t="shared" si="1421"/>
        <v>0</v>
      </c>
      <c r="BM437" s="48">
        <f t="shared" si="1421"/>
        <v>0</v>
      </c>
      <c r="BN437" s="48">
        <f t="shared" si="1421"/>
        <v>0</v>
      </c>
      <c r="BO437" s="48">
        <f t="shared" si="1421"/>
        <v>0</v>
      </c>
      <c r="BP437" s="48">
        <f t="shared" si="1421"/>
        <v>0</v>
      </c>
      <c r="BQ437" s="48">
        <f t="shared" si="1421"/>
        <v>0</v>
      </c>
      <c r="BR437" s="36">
        <f t="shared" si="9"/>
        <v>0</v>
      </c>
      <c r="BS437" s="38">
        <f t="shared" si="10"/>
        <v>1</v>
      </c>
      <c r="BT437" s="49">
        <f t="shared" si="11"/>
        <v>0</v>
      </c>
      <c r="BU437" s="38">
        <f t="shared" si="12"/>
        <v>1000</v>
      </c>
      <c r="BV437" s="46" t="str">
        <f>IFERROR(__xludf.DUMMYFUNCTION("""COMPUTED_VALUE"""),"Wells")</f>
        <v>Wells</v>
      </c>
      <c r="BW437" s="46">
        <f t="shared" si="13"/>
        <v>250</v>
      </c>
      <c r="BX437" s="47">
        <f t="shared" ref="BX437:CA437" si="1422">AX437-$BU437</f>
        <v>-1000</v>
      </c>
      <c r="BY437" s="47">
        <f t="shared" si="1422"/>
        <v>-1000</v>
      </c>
      <c r="BZ437" s="47">
        <f t="shared" si="1422"/>
        <v>-1000</v>
      </c>
      <c r="CA437" s="47">
        <f t="shared" si="1422"/>
        <v>-750</v>
      </c>
      <c r="CB437" s="47">
        <f t="shared" si="15"/>
        <v>-10000</v>
      </c>
      <c r="CC437" s="47">
        <f t="shared" ref="CC437:CQ437" si="1423">BC437-$BU437</f>
        <v>-1000</v>
      </c>
      <c r="CD437" s="47">
        <f t="shared" si="1423"/>
        <v>-1000</v>
      </c>
      <c r="CE437" s="47">
        <f t="shared" si="1423"/>
        <v>-1000</v>
      </c>
      <c r="CF437" s="47">
        <f t="shared" si="1423"/>
        <v>-1000</v>
      </c>
      <c r="CG437" s="47">
        <f t="shared" si="1423"/>
        <v>-1000</v>
      </c>
      <c r="CH437" s="47">
        <f t="shared" si="1423"/>
        <v>-1000</v>
      </c>
      <c r="CI437" s="47">
        <f t="shared" si="1423"/>
        <v>-1000</v>
      </c>
      <c r="CJ437" s="47">
        <f t="shared" si="1423"/>
        <v>-1000</v>
      </c>
      <c r="CK437" s="47">
        <f t="shared" si="1423"/>
        <v>-1000</v>
      </c>
      <c r="CL437" s="47">
        <f t="shared" si="1423"/>
        <v>-1000</v>
      </c>
      <c r="CM437" s="47">
        <f t="shared" si="1423"/>
        <v>-1000</v>
      </c>
      <c r="CN437" s="47">
        <f t="shared" si="1423"/>
        <v>-1000</v>
      </c>
      <c r="CO437" s="47">
        <f t="shared" si="1423"/>
        <v>-1000</v>
      </c>
      <c r="CP437" s="47">
        <f t="shared" si="1423"/>
        <v>-1000</v>
      </c>
      <c r="CQ437" s="47">
        <f t="shared" si="1423"/>
        <v>-1000</v>
      </c>
      <c r="CR437" s="47"/>
      <c r="CS437" s="47"/>
      <c r="CT437" s="47"/>
      <c r="CU437" s="50" t="str">
        <f>IFERROR(__xludf.DUMMYFUNCTION("""COMPUTED_VALUE"""),"25 Robledo Dr.
Dallas, TX 75230          ")</f>
        <v>25 Robledo Dr.
Dallas, TX 75230          </v>
      </c>
      <c r="CV437" s="51">
        <f>IFERROR(__xludf.DUMMYFUNCTION("IF(REGEXMATCH(UPPER(CU437), ""TX""),0,1)"),0.0)</f>
        <v>0</v>
      </c>
      <c r="CW437" s="51">
        <f>IFERROR(__xludf.DUMMYFUNCTION("IF(REGEXMATCH(UPPER(CU437), ""DALLAS""),0,1)"),0.0)</f>
        <v>0</v>
      </c>
      <c r="CX437" s="51">
        <f t="shared" si="17"/>
        <v>0</v>
      </c>
      <c r="CY437" s="51">
        <f t="shared" si="18"/>
        <v>0</v>
      </c>
      <c r="CZ437" s="52" t="str">
        <f t="shared" si="19"/>
        <v/>
      </c>
      <c r="DA437" s="58"/>
      <c r="DB437" s="52"/>
      <c r="DC437" s="52"/>
      <c r="DD437" s="52"/>
      <c r="DE437" s="52"/>
      <c r="DF437" s="52"/>
      <c r="DG437" s="52"/>
      <c r="DH437" s="52"/>
      <c r="DI437" s="52"/>
      <c r="DJ437" s="52"/>
      <c r="DK437" s="52"/>
      <c r="DL437" s="52"/>
      <c r="DM437" s="52"/>
      <c r="DN437" s="52"/>
      <c r="DO437" s="52"/>
      <c r="DP437" s="52"/>
      <c r="DQ437" s="52"/>
      <c r="DR437" s="52"/>
      <c r="DS437" s="52"/>
      <c r="DT437" s="52"/>
      <c r="DU437" s="52"/>
      <c r="DV437" s="52"/>
      <c r="DW437" s="52"/>
    </row>
    <row r="438">
      <c r="A438" s="22" t="s">
        <v>55</v>
      </c>
      <c r="B438" s="23" t="s">
        <v>56</v>
      </c>
      <c r="C438" s="31" t="s">
        <v>1219</v>
      </c>
      <c r="D438" s="25" t="str">
        <f>IFERROR(__xludf.DUMMYFUNCTION("SPLIT(C438,"" "")"),"Corman,")</f>
        <v>Corman,</v>
      </c>
      <c r="E438" s="22" t="str">
        <f>IFERROR(__xludf.DUMMYFUNCTION("""COMPUTED_VALUE"""),"Annette
8240")</f>
        <v>Annette
8240</v>
      </c>
      <c r="F438" s="22" t="str">
        <f>IFERROR(__xludf.DUMMYFUNCTION("""COMPUTED_VALUE"""),"Manderville")</f>
        <v>Manderville</v>
      </c>
      <c r="G438" s="22" t="str">
        <f>IFERROR(__xludf.DUMMYFUNCTION("""COMPUTED_VALUE"""),"Lane
Dallas,")</f>
        <v>Lane
Dallas,</v>
      </c>
      <c r="H438" s="22" t="str">
        <f>IFERROR(__xludf.DUMMYFUNCTION("""COMPUTED_VALUE"""),"TX")</f>
        <v>TX</v>
      </c>
      <c r="I438" s="22">
        <f>IFERROR(__xludf.DUMMYFUNCTION("""COMPUTED_VALUE"""),75231.0)</f>
        <v>75231</v>
      </c>
      <c r="J438" s="22"/>
      <c r="K438" s="22"/>
      <c r="L438" s="22"/>
      <c r="M438" s="22"/>
      <c r="N438" s="22"/>
      <c r="O438" s="22"/>
      <c r="P438" s="22"/>
      <c r="Q438" s="22"/>
      <c r="R438" s="22"/>
      <c r="S438" s="22"/>
      <c r="T438" s="22"/>
      <c r="U438" s="24" t="str">
        <f>IFERROR(__xludf.DUMMYFUNCTION("SPLIT(E438,""01234567890"")"),"Annette
")</f>
        <v>Annette
</v>
      </c>
      <c r="V438" s="24" t="str">
        <f>IFERROR(__xludf.DUMMYFUNCTION("SPLIT(D438,"","")"),"Corman")</f>
        <v>Corman</v>
      </c>
      <c r="W438" s="25" t="str">
        <f t="shared" si="1"/>
        <v>ANNETTE
 CORMAN</v>
      </c>
      <c r="X438" s="25" t="s">
        <v>1220</v>
      </c>
      <c r="Y438" s="25">
        <v>75231.0</v>
      </c>
      <c r="Z438" s="25" t="str">
        <f>IFERROR(__xludf.DUMMYFUNCTION("SPLIT(C438,""
"")"),"Corman, Annette")</f>
        <v>Corman, Annette</v>
      </c>
      <c r="AA438" s="25" t="str">
        <f>IFERROR(__xludf.DUMMYFUNCTION("""COMPUTED_VALUE"""),"8240 Manderville Lane")</f>
        <v>8240 Manderville Lane</v>
      </c>
      <c r="AB438" s="25" t="str">
        <f>IFERROR(__xludf.DUMMYFUNCTION("""COMPUTED_VALUE"""),"Dallas, TX 75231")</f>
        <v>Dallas, TX 75231</v>
      </c>
      <c r="AC438" s="24" t="s">
        <v>1221</v>
      </c>
      <c r="AD438" s="25"/>
      <c r="AE438" s="25"/>
      <c r="AF438" s="25"/>
      <c r="AG438" s="22" t="s">
        <v>60</v>
      </c>
      <c r="AH438" s="54">
        <v>2445.0</v>
      </c>
      <c r="AI438" s="22" t="s">
        <v>61</v>
      </c>
      <c r="AJ438" s="27">
        <v>100.0</v>
      </c>
      <c r="AK438" s="31" t="s">
        <v>30</v>
      </c>
      <c r="AL438" s="28">
        <v>44741.0</v>
      </c>
      <c r="AM438" s="29">
        <v>44755.778402777774</v>
      </c>
      <c r="AN438" s="30">
        <v>2.0</v>
      </c>
      <c r="AO438" s="22"/>
      <c r="AP438" s="22"/>
      <c r="AQ438" s="22"/>
      <c r="AR438" s="22"/>
      <c r="AS438" s="22"/>
      <c r="AT438" s="70"/>
      <c r="AU438" s="73"/>
      <c r="AV438" s="57" t="str">
        <f>IFERROR(__xludf.DUMMYFUNCTION("""COMPUTED_VALUE"""),"Wise")</f>
        <v>Wise</v>
      </c>
      <c r="AW438" s="46">
        <f t="shared" si="7"/>
        <v>1000</v>
      </c>
      <c r="AX438" s="47">
        <f t="shared" ref="AX438:BQ438" si="1424">SUMIFS($AJ:$AJ,$V:$V,$AV438,$AK:$AK,AX$2)</f>
        <v>0</v>
      </c>
      <c r="AY438" s="48">
        <f t="shared" si="1424"/>
        <v>0</v>
      </c>
      <c r="AZ438" s="48">
        <f t="shared" si="1424"/>
        <v>0</v>
      </c>
      <c r="BA438" s="48">
        <f t="shared" si="1424"/>
        <v>1000</v>
      </c>
      <c r="BB438" s="48">
        <f t="shared" si="1424"/>
        <v>0</v>
      </c>
      <c r="BC438" s="48">
        <f t="shared" si="1424"/>
        <v>0</v>
      </c>
      <c r="BD438" s="48">
        <f t="shared" si="1424"/>
        <v>0</v>
      </c>
      <c r="BE438" s="48">
        <f t="shared" si="1424"/>
        <v>0</v>
      </c>
      <c r="BF438" s="48">
        <f t="shared" si="1424"/>
        <v>0</v>
      </c>
      <c r="BG438" s="48">
        <f t="shared" si="1424"/>
        <v>0</v>
      </c>
      <c r="BH438" s="48">
        <f t="shared" si="1424"/>
        <v>0</v>
      </c>
      <c r="BI438" s="48">
        <f t="shared" si="1424"/>
        <v>0</v>
      </c>
      <c r="BJ438" s="48">
        <f t="shared" si="1424"/>
        <v>0</v>
      </c>
      <c r="BK438" s="48">
        <f t="shared" si="1424"/>
        <v>0</v>
      </c>
      <c r="BL438" s="48">
        <f t="shared" si="1424"/>
        <v>0</v>
      </c>
      <c r="BM438" s="48">
        <f t="shared" si="1424"/>
        <v>0</v>
      </c>
      <c r="BN438" s="48">
        <f t="shared" si="1424"/>
        <v>0</v>
      </c>
      <c r="BO438" s="48">
        <f t="shared" si="1424"/>
        <v>0</v>
      </c>
      <c r="BP438" s="48">
        <f t="shared" si="1424"/>
        <v>0</v>
      </c>
      <c r="BQ438" s="48">
        <f t="shared" si="1424"/>
        <v>0</v>
      </c>
      <c r="BR438" s="36">
        <f t="shared" si="9"/>
        <v>0</v>
      </c>
      <c r="BS438" s="38">
        <f t="shared" si="10"/>
        <v>1</v>
      </c>
      <c r="BT438" s="49">
        <f t="shared" si="11"/>
        <v>0</v>
      </c>
      <c r="BU438" s="38">
        <f t="shared" si="12"/>
        <v>1000</v>
      </c>
      <c r="BV438" s="57" t="str">
        <f>IFERROR(__xludf.DUMMYFUNCTION("""COMPUTED_VALUE"""),"Wise")</f>
        <v>Wise</v>
      </c>
      <c r="BW438" s="46">
        <f t="shared" si="13"/>
        <v>1000</v>
      </c>
      <c r="BX438" s="47">
        <f t="shared" ref="BX438:CA438" si="1425">AX438-$BU438</f>
        <v>-1000</v>
      </c>
      <c r="BY438" s="47">
        <f t="shared" si="1425"/>
        <v>-1000</v>
      </c>
      <c r="BZ438" s="47">
        <f t="shared" si="1425"/>
        <v>-1000</v>
      </c>
      <c r="CA438" s="47">
        <f t="shared" si="1425"/>
        <v>0</v>
      </c>
      <c r="CB438" s="47">
        <f t="shared" si="15"/>
        <v>-10000</v>
      </c>
      <c r="CC438" s="47">
        <f t="shared" ref="CC438:CQ438" si="1426">BC438-$BU438</f>
        <v>-1000</v>
      </c>
      <c r="CD438" s="47">
        <f t="shared" si="1426"/>
        <v>-1000</v>
      </c>
      <c r="CE438" s="47">
        <f t="shared" si="1426"/>
        <v>-1000</v>
      </c>
      <c r="CF438" s="47">
        <f t="shared" si="1426"/>
        <v>-1000</v>
      </c>
      <c r="CG438" s="47">
        <f t="shared" si="1426"/>
        <v>-1000</v>
      </c>
      <c r="CH438" s="47">
        <f t="shared" si="1426"/>
        <v>-1000</v>
      </c>
      <c r="CI438" s="47">
        <f t="shared" si="1426"/>
        <v>-1000</v>
      </c>
      <c r="CJ438" s="47">
        <f t="shared" si="1426"/>
        <v>-1000</v>
      </c>
      <c r="CK438" s="47">
        <f t="shared" si="1426"/>
        <v>-1000</v>
      </c>
      <c r="CL438" s="47">
        <f t="shared" si="1426"/>
        <v>-1000</v>
      </c>
      <c r="CM438" s="47">
        <f t="shared" si="1426"/>
        <v>-1000</v>
      </c>
      <c r="CN438" s="47">
        <f t="shared" si="1426"/>
        <v>-1000</v>
      </c>
      <c r="CO438" s="47">
        <f t="shared" si="1426"/>
        <v>-1000</v>
      </c>
      <c r="CP438" s="47">
        <f t="shared" si="1426"/>
        <v>-1000</v>
      </c>
      <c r="CQ438" s="47">
        <f t="shared" si="1426"/>
        <v>-1000</v>
      </c>
      <c r="CR438" s="47"/>
      <c r="CS438" s="47"/>
      <c r="CT438" s="47"/>
      <c r="CU438" s="50" t="str">
        <f>IFERROR(__xludf.DUMMYFUNCTION("""COMPUTED_VALUE"""),"6445 Lake Circle Dr.
Dallas, TX 75214         ")</f>
        <v>6445 Lake Circle Dr.
Dallas, TX 75214         </v>
      </c>
      <c r="CV438" s="51">
        <f>IFERROR(__xludf.DUMMYFUNCTION("IF(REGEXMATCH(UPPER(CU438), ""TX""),0,1)"),0.0)</f>
        <v>0</v>
      </c>
      <c r="CW438" s="51">
        <f>IFERROR(__xludf.DUMMYFUNCTION("IF(REGEXMATCH(UPPER(CU438), ""DALLAS""),0,1)"),0.0)</f>
        <v>0</v>
      </c>
      <c r="CX438" s="51">
        <f t="shared" si="17"/>
        <v>0</v>
      </c>
      <c r="CY438" s="51">
        <f t="shared" si="18"/>
        <v>0</v>
      </c>
      <c r="CZ438" s="52" t="str">
        <f t="shared" si="19"/>
        <v/>
      </c>
      <c r="DA438" s="58"/>
      <c r="DB438" s="52"/>
      <c r="DC438" s="52"/>
      <c r="DD438" s="52"/>
      <c r="DE438" s="52"/>
      <c r="DF438" s="52"/>
      <c r="DG438" s="52"/>
      <c r="DH438" s="52"/>
      <c r="DI438" s="52"/>
      <c r="DJ438" s="52"/>
      <c r="DK438" s="52"/>
      <c r="DL438" s="52"/>
      <c r="DM438" s="52"/>
      <c r="DN438" s="52"/>
      <c r="DO438" s="52"/>
      <c r="DP438" s="52"/>
      <c r="DQ438" s="52"/>
      <c r="DR438" s="52"/>
      <c r="DS438" s="52"/>
      <c r="DT438" s="52"/>
      <c r="DU438" s="52"/>
      <c r="DV438" s="52"/>
      <c r="DW438" s="52"/>
    </row>
    <row r="439">
      <c r="A439" s="40" t="s">
        <v>55</v>
      </c>
      <c r="B439" s="41" t="s">
        <v>56</v>
      </c>
      <c r="C439" s="31" t="s">
        <v>1222</v>
      </c>
      <c r="D439" s="25" t="str">
        <f>IFERROR(__xludf.DUMMYFUNCTION("SPLIT(C439,"" "")"),"Davis,")</f>
        <v>Davis,</v>
      </c>
      <c r="E439" s="40" t="str">
        <f>IFERROR(__xludf.DUMMYFUNCTION("""COMPUTED_VALUE"""),"Macey
8322")</f>
        <v>Macey
8322</v>
      </c>
      <c r="F439" s="40" t="str">
        <f>IFERROR(__xludf.DUMMYFUNCTION("""COMPUTED_VALUE"""),"Ridgelea")</f>
        <v>Ridgelea</v>
      </c>
      <c r="G439" s="40" t="str">
        <f>IFERROR(__xludf.DUMMYFUNCTION("""COMPUTED_VALUE"""),"Street
Dallas,")</f>
        <v>Street
Dallas,</v>
      </c>
      <c r="H439" s="40" t="str">
        <f>IFERROR(__xludf.DUMMYFUNCTION("""COMPUTED_VALUE"""),"TX")</f>
        <v>TX</v>
      </c>
      <c r="I439" s="40">
        <f>IFERROR(__xludf.DUMMYFUNCTION("""COMPUTED_VALUE"""),75209.0)</f>
        <v>75209</v>
      </c>
      <c r="J439" s="40"/>
      <c r="K439" s="40"/>
      <c r="L439" s="40"/>
      <c r="M439" s="40"/>
      <c r="N439" s="40"/>
      <c r="O439" s="40"/>
      <c r="P439" s="40"/>
      <c r="Q439" s="40"/>
      <c r="R439" s="40"/>
      <c r="S439" s="40"/>
      <c r="T439" s="40"/>
      <c r="U439" s="24" t="str">
        <f>IFERROR(__xludf.DUMMYFUNCTION("SPLIT(E439,""01234567890"")"),"Macey
")</f>
        <v>Macey
</v>
      </c>
      <c r="V439" s="24" t="str">
        <f>IFERROR(__xludf.DUMMYFUNCTION("SPLIT(D439,"","")"),"Davis")</f>
        <v>Davis</v>
      </c>
      <c r="W439" s="25" t="str">
        <f t="shared" si="1"/>
        <v>MACEY
 DAVIS</v>
      </c>
      <c r="X439" s="25" t="s">
        <v>1223</v>
      </c>
      <c r="Y439" s="25">
        <v>75209.0</v>
      </c>
      <c r="Z439" s="25" t="str">
        <f>IFERROR(__xludf.DUMMYFUNCTION("SPLIT(C439,""
"")"),"Davis, Macey")</f>
        <v>Davis, Macey</v>
      </c>
      <c r="AA439" s="25" t="str">
        <f>IFERROR(__xludf.DUMMYFUNCTION("""COMPUTED_VALUE"""),"8322 Ridgelea Street")</f>
        <v>8322 Ridgelea Street</v>
      </c>
      <c r="AB439" s="25" t="str">
        <f>IFERROR(__xludf.DUMMYFUNCTION("""COMPUTED_VALUE"""),"Dallas, TX 75209")</f>
        <v>Dallas, TX 75209</v>
      </c>
      <c r="AC439" s="24" t="s">
        <v>1224</v>
      </c>
      <c r="AD439" s="25"/>
      <c r="AE439" s="25"/>
      <c r="AF439" s="25"/>
      <c r="AG439" s="40" t="s">
        <v>60</v>
      </c>
      <c r="AH439" s="42">
        <v>2445.0</v>
      </c>
      <c r="AI439" s="40" t="s">
        <v>61</v>
      </c>
      <c r="AJ439" s="27">
        <v>1000.0</v>
      </c>
      <c r="AK439" s="31" t="s">
        <v>30</v>
      </c>
      <c r="AL439" s="43">
        <v>44741.0</v>
      </c>
      <c r="AM439" s="44">
        <v>44755.778402777774</v>
      </c>
      <c r="AN439" s="30">
        <v>2.0</v>
      </c>
      <c r="AO439" s="40"/>
      <c r="AP439" s="40"/>
      <c r="AQ439" s="40"/>
      <c r="AR439" s="40"/>
      <c r="AS439" s="40"/>
      <c r="AT439" s="47"/>
      <c r="AU439" s="40"/>
      <c r="AV439" s="46" t="str">
        <f>IFERROR(__xludf.DUMMYFUNCTION("""COMPUTED_VALUE"""),"Wynne")</f>
        <v>Wynne</v>
      </c>
      <c r="AW439" s="46">
        <f t="shared" si="7"/>
        <v>600</v>
      </c>
      <c r="AX439" s="47">
        <f t="shared" ref="AX439:BQ439" si="1427">SUMIFS($AJ:$AJ,$V:$V,$AV439,$AK:$AK,AX$2)</f>
        <v>0</v>
      </c>
      <c r="AY439" s="48">
        <f t="shared" si="1427"/>
        <v>0</v>
      </c>
      <c r="AZ439" s="48">
        <f t="shared" si="1427"/>
        <v>0</v>
      </c>
      <c r="BA439" s="48">
        <f t="shared" si="1427"/>
        <v>500</v>
      </c>
      <c r="BB439" s="48">
        <f t="shared" si="1427"/>
        <v>100</v>
      </c>
      <c r="BC439" s="48">
        <f t="shared" si="1427"/>
        <v>0</v>
      </c>
      <c r="BD439" s="48">
        <f t="shared" si="1427"/>
        <v>0</v>
      </c>
      <c r="BE439" s="48">
        <f t="shared" si="1427"/>
        <v>0</v>
      </c>
      <c r="BF439" s="48">
        <f t="shared" si="1427"/>
        <v>0</v>
      </c>
      <c r="BG439" s="48">
        <f t="shared" si="1427"/>
        <v>0</v>
      </c>
      <c r="BH439" s="48">
        <f t="shared" si="1427"/>
        <v>0</v>
      </c>
      <c r="BI439" s="48">
        <f t="shared" si="1427"/>
        <v>0</v>
      </c>
      <c r="BJ439" s="48">
        <f t="shared" si="1427"/>
        <v>0</v>
      </c>
      <c r="BK439" s="48">
        <f t="shared" si="1427"/>
        <v>0</v>
      </c>
      <c r="BL439" s="48">
        <f t="shared" si="1427"/>
        <v>0</v>
      </c>
      <c r="BM439" s="48">
        <f t="shared" si="1427"/>
        <v>0</v>
      </c>
      <c r="BN439" s="48">
        <f t="shared" si="1427"/>
        <v>0</v>
      </c>
      <c r="BO439" s="48">
        <f t="shared" si="1427"/>
        <v>0</v>
      </c>
      <c r="BP439" s="48">
        <f t="shared" si="1427"/>
        <v>0</v>
      </c>
      <c r="BQ439" s="48">
        <f t="shared" si="1427"/>
        <v>0</v>
      </c>
      <c r="BR439" s="36">
        <f t="shared" si="9"/>
        <v>1</v>
      </c>
      <c r="BS439" s="38">
        <f t="shared" si="10"/>
        <v>2</v>
      </c>
      <c r="BT439" s="49">
        <f t="shared" si="11"/>
        <v>0</v>
      </c>
      <c r="BU439" s="38">
        <f t="shared" si="12"/>
        <v>2000</v>
      </c>
      <c r="BV439" s="46" t="str">
        <f>IFERROR(__xludf.DUMMYFUNCTION("""COMPUTED_VALUE"""),"Wynne")</f>
        <v>Wynne</v>
      </c>
      <c r="BW439" s="46">
        <f t="shared" si="13"/>
        <v>600</v>
      </c>
      <c r="BX439" s="47">
        <f t="shared" ref="BX439:CA439" si="1428">AX439-$BU439</f>
        <v>-2000</v>
      </c>
      <c r="BY439" s="47">
        <f t="shared" si="1428"/>
        <v>-2000</v>
      </c>
      <c r="BZ439" s="47">
        <f t="shared" si="1428"/>
        <v>-2000</v>
      </c>
      <c r="CA439" s="47">
        <f t="shared" si="1428"/>
        <v>-1500</v>
      </c>
      <c r="CB439" s="47">
        <f t="shared" si="15"/>
        <v>-19900</v>
      </c>
      <c r="CC439" s="47">
        <f t="shared" ref="CC439:CQ439" si="1429">BC439-$BU439</f>
        <v>-2000</v>
      </c>
      <c r="CD439" s="47">
        <f t="shared" si="1429"/>
        <v>-2000</v>
      </c>
      <c r="CE439" s="47">
        <f t="shared" si="1429"/>
        <v>-2000</v>
      </c>
      <c r="CF439" s="47">
        <f t="shared" si="1429"/>
        <v>-2000</v>
      </c>
      <c r="CG439" s="47">
        <f t="shared" si="1429"/>
        <v>-2000</v>
      </c>
      <c r="CH439" s="47">
        <f t="shared" si="1429"/>
        <v>-2000</v>
      </c>
      <c r="CI439" s="47">
        <f t="shared" si="1429"/>
        <v>-2000</v>
      </c>
      <c r="CJ439" s="47">
        <f t="shared" si="1429"/>
        <v>-2000</v>
      </c>
      <c r="CK439" s="47">
        <f t="shared" si="1429"/>
        <v>-2000</v>
      </c>
      <c r="CL439" s="47">
        <f t="shared" si="1429"/>
        <v>-2000</v>
      </c>
      <c r="CM439" s="47">
        <f t="shared" si="1429"/>
        <v>-2000</v>
      </c>
      <c r="CN439" s="47">
        <f t="shared" si="1429"/>
        <v>-2000</v>
      </c>
      <c r="CO439" s="47">
        <f t="shared" si="1429"/>
        <v>-2000</v>
      </c>
      <c r="CP439" s="47">
        <f t="shared" si="1429"/>
        <v>-2000</v>
      </c>
      <c r="CQ439" s="47">
        <f t="shared" si="1429"/>
        <v>-2000</v>
      </c>
      <c r="CR439" s="47"/>
      <c r="CS439" s="47"/>
      <c r="CT439" s="47"/>
      <c r="CU439" s="50" t="str">
        <f>IFERROR(__xludf.DUMMYFUNCTION("""COMPUTED_VALUE"""),"6278 Martel Dr
Dallas, TX 75214          ")</f>
        <v>6278 Martel Dr
Dallas, TX 75214          </v>
      </c>
      <c r="CV439" s="51">
        <f>IFERROR(__xludf.DUMMYFUNCTION("IF(REGEXMATCH(UPPER(CU439), ""TX""),0,1)"),0.0)</f>
        <v>0</v>
      </c>
      <c r="CW439" s="51">
        <f>IFERROR(__xludf.DUMMYFUNCTION("IF(REGEXMATCH(UPPER(CU439), ""DALLAS""),0,1)"),0.0)</f>
        <v>0</v>
      </c>
      <c r="CX439" s="51">
        <f t="shared" si="17"/>
        <v>0</v>
      </c>
      <c r="CY439" s="51">
        <f t="shared" si="18"/>
        <v>0</v>
      </c>
      <c r="CZ439" s="52" t="str">
        <f t="shared" si="19"/>
        <v/>
      </c>
      <c r="DA439" s="58"/>
      <c r="DB439" s="52"/>
      <c r="DC439" s="52"/>
      <c r="DD439" s="52"/>
      <c r="DE439" s="52"/>
      <c r="DF439" s="52"/>
      <c r="DG439" s="52"/>
      <c r="DH439" s="52"/>
      <c r="DI439" s="52"/>
      <c r="DJ439" s="52"/>
      <c r="DK439" s="52"/>
      <c r="DL439" s="52"/>
      <c r="DM439" s="52"/>
      <c r="DN439" s="52"/>
      <c r="DO439" s="52"/>
      <c r="DP439" s="52"/>
      <c r="DQ439" s="52"/>
      <c r="DR439" s="52"/>
      <c r="DS439" s="52"/>
      <c r="DT439" s="52"/>
      <c r="DU439" s="52"/>
      <c r="DV439" s="52"/>
      <c r="DW439" s="52"/>
    </row>
    <row r="440">
      <c r="A440" s="22" t="s">
        <v>55</v>
      </c>
      <c r="B440" s="23" t="s">
        <v>56</v>
      </c>
      <c r="C440" s="31" t="s">
        <v>1225</v>
      </c>
      <c r="D440" s="25" t="str">
        <f>IFERROR(__xludf.DUMMYFUNCTION("SPLIT(C440,"" "")"),"Name,")</f>
        <v>Name,</v>
      </c>
      <c r="E440" s="22" t="str">
        <f>IFERROR(__xludf.DUMMYFUNCTION("""COMPUTED_VALUE"""),"Kara
3511")</f>
        <v>Kara
3511</v>
      </c>
      <c r="F440" s="22" t="str">
        <f>IFERROR(__xludf.DUMMYFUNCTION("""COMPUTED_VALUE"""),"Timberview")</f>
        <v>Timberview</v>
      </c>
      <c r="G440" s="22" t="str">
        <f>IFERROR(__xludf.DUMMYFUNCTION("""COMPUTED_VALUE"""),"Rd
Dallas,")</f>
        <v>Rd
Dallas,</v>
      </c>
      <c r="H440" s="22" t="str">
        <f>IFERROR(__xludf.DUMMYFUNCTION("""COMPUTED_VALUE"""),"TX")</f>
        <v>TX</v>
      </c>
      <c r="I440" s="22">
        <f>IFERROR(__xludf.DUMMYFUNCTION("""COMPUTED_VALUE"""),75229.0)</f>
        <v>75229</v>
      </c>
      <c r="J440" s="22"/>
      <c r="K440" s="22"/>
      <c r="L440" s="22"/>
      <c r="M440" s="22"/>
      <c r="N440" s="22"/>
      <c r="O440" s="22"/>
      <c r="P440" s="22"/>
      <c r="Q440" s="22"/>
      <c r="R440" s="22"/>
      <c r="S440" s="22"/>
      <c r="T440" s="22"/>
      <c r="U440" s="24" t="str">
        <f>IFERROR(__xludf.DUMMYFUNCTION("SPLIT(E440,""01234567890"")"),"Kara
")</f>
        <v>Kara
</v>
      </c>
      <c r="V440" s="24" t="str">
        <f>IFERROR(__xludf.DUMMYFUNCTION("SPLIT(D440,"","")"),"Name")</f>
        <v>Name</v>
      </c>
      <c r="W440" s="25" t="str">
        <f t="shared" si="1"/>
        <v>KARA
 NAME</v>
      </c>
      <c r="X440" s="25" t="s">
        <v>1226</v>
      </c>
      <c r="Y440" s="25">
        <v>75229.0</v>
      </c>
      <c r="Z440" s="25" t="str">
        <f>IFERROR(__xludf.DUMMYFUNCTION("SPLIT(C440,""
"")"),"Name, Kara")</f>
        <v>Name, Kara</v>
      </c>
      <c r="AA440" s="25" t="str">
        <f>IFERROR(__xludf.DUMMYFUNCTION("""COMPUTED_VALUE"""),"3511 Timberview Rd")</f>
        <v>3511 Timberview Rd</v>
      </c>
      <c r="AB440" s="25" t="str">
        <f>IFERROR(__xludf.DUMMYFUNCTION("""COMPUTED_VALUE"""),"Dallas, TX 75229")</f>
        <v>Dallas, TX 75229</v>
      </c>
      <c r="AC440" s="24" t="s">
        <v>1227</v>
      </c>
      <c r="AD440" s="25"/>
      <c r="AE440" s="25"/>
      <c r="AF440" s="25"/>
      <c r="AG440" s="22" t="s">
        <v>60</v>
      </c>
      <c r="AH440" s="54">
        <v>2445.0</v>
      </c>
      <c r="AI440" s="22" t="s">
        <v>61</v>
      </c>
      <c r="AJ440" s="27">
        <v>50.0</v>
      </c>
      <c r="AK440" s="31" t="s">
        <v>30</v>
      </c>
      <c r="AL440" s="28">
        <v>44741.0</v>
      </c>
      <c r="AM440" s="29">
        <v>44755.778402777774</v>
      </c>
      <c r="AN440" s="30">
        <v>2.0</v>
      </c>
      <c r="AO440" s="22"/>
      <c r="AP440" s="22"/>
      <c r="AQ440" s="22"/>
      <c r="AR440" s="22"/>
      <c r="AS440" s="22"/>
      <c r="AT440" s="70"/>
      <c r="AU440" s="22"/>
      <c r="AV440" s="57" t="str">
        <f>IFERROR(__xludf.DUMMYFUNCTION("""COMPUTED_VALUE"""),"Davidson")</f>
        <v>Davidson</v>
      </c>
      <c r="AW440" s="46">
        <f t="shared" si="7"/>
        <v>1350</v>
      </c>
      <c r="AX440" s="47">
        <f t="shared" ref="AX440:BQ440" si="1430">SUMIFS($AJ:$AJ,$V:$V,$AV440,$AK:$AK,AX$2)</f>
        <v>0</v>
      </c>
      <c r="AY440" s="48">
        <f t="shared" si="1430"/>
        <v>0</v>
      </c>
      <c r="AZ440" s="48">
        <f t="shared" si="1430"/>
        <v>0</v>
      </c>
      <c r="BA440" s="48">
        <f t="shared" si="1430"/>
        <v>250</v>
      </c>
      <c r="BB440" s="48">
        <f t="shared" si="1430"/>
        <v>100</v>
      </c>
      <c r="BC440" s="48">
        <f t="shared" si="1430"/>
        <v>0</v>
      </c>
      <c r="BD440" s="48">
        <f t="shared" si="1430"/>
        <v>0</v>
      </c>
      <c r="BE440" s="48">
        <f t="shared" si="1430"/>
        <v>0</v>
      </c>
      <c r="BF440" s="48">
        <f t="shared" si="1430"/>
        <v>1000</v>
      </c>
      <c r="BG440" s="48">
        <f t="shared" si="1430"/>
        <v>0</v>
      </c>
      <c r="BH440" s="48">
        <f t="shared" si="1430"/>
        <v>0</v>
      </c>
      <c r="BI440" s="48">
        <f t="shared" si="1430"/>
        <v>0</v>
      </c>
      <c r="BJ440" s="48">
        <f t="shared" si="1430"/>
        <v>0</v>
      </c>
      <c r="BK440" s="48">
        <f t="shared" si="1430"/>
        <v>0</v>
      </c>
      <c r="BL440" s="48">
        <f t="shared" si="1430"/>
        <v>0</v>
      </c>
      <c r="BM440" s="48">
        <f t="shared" si="1430"/>
        <v>0</v>
      </c>
      <c r="BN440" s="48">
        <f t="shared" si="1430"/>
        <v>0</v>
      </c>
      <c r="BO440" s="48">
        <f t="shared" si="1430"/>
        <v>0</v>
      </c>
      <c r="BP440" s="48">
        <f t="shared" si="1430"/>
        <v>0</v>
      </c>
      <c r="BQ440" s="48">
        <f t="shared" si="1430"/>
        <v>0</v>
      </c>
      <c r="BR440" s="36">
        <f t="shared" si="9"/>
        <v>1</v>
      </c>
      <c r="BS440" s="38">
        <f t="shared" si="10"/>
        <v>3</v>
      </c>
      <c r="BT440" s="49">
        <f t="shared" si="11"/>
        <v>0</v>
      </c>
      <c r="BU440" s="38">
        <f t="shared" si="12"/>
        <v>3000</v>
      </c>
      <c r="BV440" s="57" t="str">
        <f>IFERROR(__xludf.DUMMYFUNCTION("""COMPUTED_VALUE"""),"Davidson")</f>
        <v>Davidson</v>
      </c>
      <c r="BW440" s="46">
        <f t="shared" si="13"/>
        <v>1350</v>
      </c>
      <c r="BX440" s="47">
        <f t="shared" ref="BX440:CA440" si="1431">AX440-$BU440</f>
        <v>-3000</v>
      </c>
      <c r="BY440" s="47">
        <f t="shared" si="1431"/>
        <v>-3000</v>
      </c>
      <c r="BZ440" s="47">
        <f t="shared" si="1431"/>
        <v>-3000</v>
      </c>
      <c r="CA440" s="47">
        <f t="shared" si="1431"/>
        <v>-2750</v>
      </c>
      <c r="CB440" s="47">
        <f t="shared" si="15"/>
        <v>-29900</v>
      </c>
      <c r="CC440" s="47">
        <f t="shared" ref="CC440:CQ440" si="1432">BC440-$BU440</f>
        <v>-3000</v>
      </c>
      <c r="CD440" s="47">
        <f t="shared" si="1432"/>
        <v>-3000</v>
      </c>
      <c r="CE440" s="47">
        <f t="shared" si="1432"/>
        <v>-3000</v>
      </c>
      <c r="CF440" s="47">
        <f t="shared" si="1432"/>
        <v>-2000</v>
      </c>
      <c r="CG440" s="47">
        <f t="shared" si="1432"/>
        <v>-3000</v>
      </c>
      <c r="CH440" s="47">
        <f t="shared" si="1432"/>
        <v>-3000</v>
      </c>
      <c r="CI440" s="47">
        <f t="shared" si="1432"/>
        <v>-3000</v>
      </c>
      <c r="CJ440" s="47">
        <f t="shared" si="1432"/>
        <v>-3000</v>
      </c>
      <c r="CK440" s="47">
        <f t="shared" si="1432"/>
        <v>-3000</v>
      </c>
      <c r="CL440" s="47">
        <f t="shared" si="1432"/>
        <v>-3000</v>
      </c>
      <c r="CM440" s="47">
        <f t="shared" si="1432"/>
        <v>-3000</v>
      </c>
      <c r="CN440" s="47">
        <f t="shared" si="1432"/>
        <v>-3000</v>
      </c>
      <c r="CO440" s="47">
        <f t="shared" si="1432"/>
        <v>-3000</v>
      </c>
      <c r="CP440" s="47">
        <f t="shared" si="1432"/>
        <v>-3000</v>
      </c>
      <c r="CQ440" s="47">
        <f t="shared" si="1432"/>
        <v>-3000</v>
      </c>
      <c r="CR440" s="47"/>
      <c r="CS440" s="47"/>
      <c r="CT440" s="47"/>
      <c r="CU440" s="50" t="str">
        <f>IFERROR(__xludf.DUMMYFUNCTION("""COMPUTED_VALUE"""),"6726 Williamson Rd.
Dallas, TX 75214          ")</f>
        <v>6726 Williamson Rd.
Dallas, TX 75214          </v>
      </c>
      <c r="CV440" s="51">
        <f>IFERROR(__xludf.DUMMYFUNCTION("IF(REGEXMATCH(UPPER(CU440), ""TX""),0,1)"),0.0)</f>
        <v>0</v>
      </c>
      <c r="CW440" s="51">
        <f>IFERROR(__xludf.DUMMYFUNCTION("IF(REGEXMATCH(UPPER(CU440), ""DALLAS""),0,1)"),0.0)</f>
        <v>0</v>
      </c>
      <c r="CX440" s="51">
        <f t="shared" si="17"/>
        <v>0</v>
      </c>
      <c r="CY440" s="51">
        <f t="shared" si="18"/>
        <v>0</v>
      </c>
      <c r="CZ440" s="52" t="str">
        <f t="shared" si="19"/>
        <v/>
      </c>
      <c r="DA440" s="58"/>
      <c r="DB440" s="52"/>
      <c r="DC440" s="52"/>
      <c r="DD440" s="52"/>
      <c r="DE440" s="52"/>
      <c r="DF440" s="52"/>
      <c r="DG440" s="52"/>
      <c r="DH440" s="52"/>
      <c r="DI440" s="52"/>
      <c r="DJ440" s="52"/>
      <c r="DK440" s="52"/>
      <c r="DL440" s="52"/>
      <c r="DM440" s="52"/>
      <c r="DN440" s="52"/>
      <c r="DO440" s="52"/>
      <c r="DP440" s="52"/>
      <c r="DQ440" s="52"/>
      <c r="DR440" s="52"/>
      <c r="DS440" s="52"/>
      <c r="DT440" s="52"/>
      <c r="DU440" s="52"/>
      <c r="DV440" s="52"/>
      <c r="DW440" s="52"/>
    </row>
    <row r="441">
      <c r="A441" s="40" t="s">
        <v>55</v>
      </c>
      <c r="B441" s="41" t="s">
        <v>56</v>
      </c>
      <c r="C441" s="31" t="s">
        <v>1228</v>
      </c>
      <c r="D441" s="25" t="str">
        <f>IFERROR(__xludf.DUMMYFUNCTION("SPLIT(C441,"" "")"),"Horwitz,")</f>
        <v>Horwitz,</v>
      </c>
      <c r="E441" s="40" t="str">
        <f>IFERROR(__xludf.DUMMYFUNCTION("""COMPUTED_VALUE"""),"Sandy
6155")</f>
        <v>Sandy
6155</v>
      </c>
      <c r="F441" s="40" t="str">
        <f>IFERROR(__xludf.DUMMYFUNCTION("""COMPUTED_VALUE"""),"Bandera")</f>
        <v>Bandera</v>
      </c>
      <c r="G441" s="40" t="str">
        <f>IFERROR(__xludf.DUMMYFUNCTION("""COMPUTED_VALUE"""),"Av
Dallas,")</f>
        <v>Av
Dallas,</v>
      </c>
      <c r="H441" s="40" t="str">
        <f>IFERROR(__xludf.DUMMYFUNCTION("""COMPUTED_VALUE"""),"TX")</f>
        <v>TX</v>
      </c>
      <c r="I441" s="40">
        <f>IFERROR(__xludf.DUMMYFUNCTION("""COMPUTED_VALUE"""),75225.0)</f>
        <v>75225</v>
      </c>
      <c r="J441" s="40"/>
      <c r="K441" s="40"/>
      <c r="L441" s="40"/>
      <c r="M441" s="40"/>
      <c r="N441" s="40"/>
      <c r="O441" s="40"/>
      <c r="P441" s="40"/>
      <c r="Q441" s="40"/>
      <c r="R441" s="40"/>
      <c r="S441" s="40"/>
      <c r="T441" s="40"/>
      <c r="U441" s="24" t="str">
        <f>IFERROR(__xludf.DUMMYFUNCTION("SPLIT(E441,""01234567890"")"),"Sandy
")</f>
        <v>Sandy
</v>
      </c>
      <c r="V441" s="24" t="str">
        <f>IFERROR(__xludf.DUMMYFUNCTION("SPLIT(D441,"","")"),"Horwitz")</f>
        <v>Horwitz</v>
      </c>
      <c r="W441" s="25" t="str">
        <f t="shared" si="1"/>
        <v>SANDY
 HORWITZ</v>
      </c>
      <c r="X441" s="25" t="s">
        <v>1229</v>
      </c>
      <c r="Y441" s="25">
        <v>75225.0</v>
      </c>
      <c r="Z441" s="25" t="str">
        <f>IFERROR(__xludf.DUMMYFUNCTION("SPLIT(C441,""
"")"),"Horwitz, Sandy")</f>
        <v>Horwitz, Sandy</v>
      </c>
      <c r="AA441" s="25" t="str">
        <f>IFERROR(__xludf.DUMMYFUNCTION("""COMPUTED_VALUE"""),"6155 Bandera Av")</f>
        <v>6155 Bandera Av</v>
      </c>
      <c r="AB441" s="25" t="str">
        <f>IFERROR(__xludf.DUMMYFUNCTION("""COMPUTED_VALUE"""),"Dallas, TX 75225")</f>
        <v>Dallas, TX 75225</v>
      </c>
      <c r="AC441" s="24" t="s">
        <v>1230</v>
      </c>
      <c r="AD441" s="25"/>
      <c r="AE441" s="25"/>
      <c r="AF441" s="25"/>
      <c r="AG441" s="40" t="s">
        <v>60</v>
      </c>
      <c r="AH441" s="42">
        <v>2445.0</v>
      </c>
      <c r="AI441" s="40" t="s">
        <v>61</v>
      </c>
      <c r="AJ441" s="27">
        <v>25.0</v>
      </c>
      <c r="AK441" s="31" t="s">
        <v>30</v>
      </c>
      <c r="AL441" s="43">
        <v>44741.0</v>
      </c>
      <c r="AM441" s="44">
        <v>44755.778402777774</v>
      </c>
      <c r="AN441" s="30">
        <v>2.0</v>
      </c>
      <c r="AO441" s="40"/>
      <c r="AP441" s="40"/>
      <c r="AQ441" s="40"/>
      <c r="AR441" s="40"/>
      <c r="AS441" s="40"/>
      <c r="AT441" s="47"/>
      <c r="AU441" s="40"/>
      <c r="AV441" s="46" t="str">
        <f>IFERROR(__xludf.DUMMYFUNCTION("""COMPUTED_VALUE"""),"Brown")</f>
        <v>Brown</v>
      </c>
      <c r="AW441" s="46">
        <f t="shared" si="7"/>
        <v>1950</v>
      </c>
      <c r="AX441" s="47">
        <f t="shared" ref="AX441:BQ441" si="1433">SUMIFS($AJ:$AJ,$V:$V,$AV441,$AK:$AK,AX$2)</f>
        <v>0</v>
      </c>
      <c r="AY441" s="48">
        <f t="shared" si="1433"/>
        <v>0</v>
      </c>
      <c r="AZ441" s="48">
        <f t="shared" si="1433"/>
        <v>500</v>
      </c>
      <c r="BA441" s="48">
        <f t="shared" si="1433"/>
        <v>250</v>
      </c>
      <c r="BB441" s="48">
        <f t="shared" si="1433"/>
        <v>600</v>
      </c>
      <c r="BC441" s="48">
        <f t="shared" si="1433"/>
        <v>0</v>
      </c>
      <c r="BD441" s="48">
        <f t="shared" si="1433"/>
        <v>100</v>
      </c>
      <c r="BE441" s="48">
        <f t="shared" si="1433"/>
        <v>0</v>
      </c>
      <c r="BF441" s="48">
        <f t="shared" si="1433"/>
        <v>0</v>
      </c>
      <c r="BG441" s="48">
        <f t="shared" si="1433"/>
        <v>0</v>
      </c>
      <c r="BH441" s="48">
        <f t="shared" si="1433"/>
        <v>500</v>
      </c>
      <c r="BI441" s="48">
        <f t="shared" si="1433"/>
        <v>0</v>
      </c>
      <c r="BJ441" s="48">
        <f t="shared" si="1433"/>
        <v>0</v>
      </c>
      <c r="BK441" s="48">
        <f t="shared" si="1433"/>
        <v>0</v>
      </c>
      <c r="BL441" s="48">
        <f t="shared" si="1433"/>
        <v>0</v>
      </c>
      <c r="BM441" s="48">
        <f t="shared" si="1433"/>
        <v>0</v>
      </c>
      <c r="BN441" s="48">
        <f t="shared" si="1433"/>
        <v>0</v>
      </c>
      <c r="BO441" s="48">
        <f t="shared" si="1433"/>
        <v>0</v>
      </c>
      <c r="BP441" s="48">
        <f t="shared" si="1433"/>
        <v>0</v>
      </c>
      <c r="BQ441" s="48">
        <f t="shared" si="1433"/>
        <v>0</v>
      </c>
      <c r="BR441" s="36">
        <f t="shared" si="9"/>
        <v>1</v>
      </c>
      <c r="BS441" s="38">
        <f t="shared" si="10"/>
        <v>7</v>
      </c>
      <c r="BT441" s="49">
        <f t="shared" si="11"/>
        <v>0</v>
      </c>
      <c r="BU441" s="38">
        <f t="shared" si="12"/>
        <v>7000</v>
      </c>
      <c r="BV441" s="46" t="str">
        <f>IFERROR(__xludf.DUMMYFUNCTION("""COMPUTED_VALUE"""),"Brown")</f>
        <v>Brown</v>
      </c>
      <c r="BW441" s="46">
        <f t="shared" si="13"/>
        <v>1950</v>
      </c>
      <c r="BX441" s="47">
        <f t="shared" ref="BX441:CA441" si="1434">AX441-$BU441</f>
        <v>-7000</v>
      </c>
      <c r="BY441" s="47">
        <f t="shared" si="1434"/>
        <v>-7000</v>
      </c>
      <c r="BZ441" s="47">
        <f t="shared" si="1434"/>
        <v>-6500</v>
      </c>
      <c r="CA441" s="47">
        <f t="shared" si="1434"/>
        <v>-6750</v>
      </c>
      <c r="CB441" s="47">
        <f t="shared" si="15"/>
        <v>-69400</v>
      </c>
      <c r="CC441" s="47">
        <f t="shared" ref="CC441:CQ441" si="1435">BC441-$BU441</f>
        <v>-7000</v>
      </c>
      <c r="CD441" s="47">
        <f t="shared" si="1435"/>
        <v>-6900</v>
      </c>
      <c r="CE441" s="47">
        <f t="shared" si="1435"/>
        <v>-7000</v>
      </c>
      <c r="CF441" s="47">
        <f t="shared" si="1435"/>
        <v>-7000</v>
      </c>
      <c r="CG441" s="47">
        <f t="shared" si="1435"/>
        <v>-7000</v>
      </c>
      <c r="CH441" s="47">
        <f t="shared" si="1435"/>
        <v>-6500</v>
      </c>
      <c r="CI441" s="47">
        <f t="shared" si="1435"/>
        <v>-7000</v>
      </c>
      <c r="CJ441" s="47">
        <f t="shared" si="1435"/>
        <v>-7000</v>
      </c>
      <c r="CK441" s="47">
        <f t="shared" si="1435"/>
        <v>-7000</v>
      </c>
      <c r="CL441" s="47">
        <f t="shared" si="1435"/>
        <v>-7000</v>
      </c>
      <c r="CM441" s="47">
        <f t="shared" si="1435"/>
        <v>-7000</v>
      </c>
      <c r="CN441" s="47">
        <f t="shared" si="1435"/>
        <v>-7000</v>
      </c>
      <c r="CO441" s="47">
        <f t="shared" si="1435"/>
        <v>-7000</v>
      </c>
      <c r="CP441" s="47">
        <f t="shared" si="1435"/>
        <v>-7000</v>
      </c>
      <c r="CQ441" s="47">
        <f t="shared" si="1435"/>
        <v>-7000</v>
      </c>
      <c r="CR441" s="47"/>
      <c r="CS441" s="47"/>
      <c r="CT441" s="47"/>
      <c r="CU441" s="50" t="str">
        <f>IFERROR(__xludf.DUMMYFUNCTION("""COMPUTED_VALUE"""),"1717 Arts Plaza
Dallas, TX 75201          ")</f>
        <v>1717 Arts Plaza
Dallas, TX 75201          </v>
      </c>
      <c r="CV441" s="51">
        <f>IFERROR(__xludf.DUMMYFUNCTION("IF(REGEXMATCH(UPPER(CU441), ""TX""),0,1)"),0.0)</f>
        <v>0</v>
      </c>
      <c r="CW441" s="51">
        <f>IFERROR(__xludf.DUMMYFUNCTION("IF(REGEXMATCH(UPPER(CU441), ""DALLAS""),0,1)"),0.0)</f>
        <v>0</v>
      </c>
      <c r="CX441" s="51">
        <f t="shared" si="17"/>
        <v>0</v>
      </c>
      <c r="CY441" s="51">
        <f t="shared" si="18"/>
        <v>0</v>
      </c>
      <c r="CZ441" s="52" t="str">
        <f t="shared" si="19"/>
        <v/>
      </c>
      <c r="DA441" s="58"/>
      <c r="DB441" s="52"/>
      <c r="DC441" s="52"/>
      <c r="DD441" s="52"/>
      <c r="DE441" s="52"/>
      <c r="DF441" s="52"/>
      <c r="DG441" s="52"/>
      <c r="DH441" s="52"/>
      <c r="DI441" s="52"/>
      <c r="DJ441" s="52"/>
      <c r="DK441" s="52"/>
      <c r="DL441" s="52"/>
      <c r="DM441" s="52"/>
      <c r="DN441" s="52"/>
      <c r="DO441" s="52"/>
      <c r="DP441" s="52"/>
      <c r="DQ441" s="52"/>
      <c r="DR441" s="52"/>
      <c r="DS441" s="52"/>
      <c r="DT441" s="52"/>
      <c r="DU441" s="52"/>
      <c r="DV441" s="52"/>
      <c r="DW441" s="52"/>
    </row>
    <row r="442">
      <c r="A442" s="22" t="s">
        <v>55</v>
      </c>
      <c r="B442" s="23" t="s">
        <v>56</v>
      </c>
      <c r="C442" s="31" t="s">
        <v>1231</v>
      </c>
      <c r="D442" s="25" t="str">
        <f>IFERROR(__xludf.DUMMYFUNCTION("SPLIT(C442,"" "")"),"Edmondson,")</f>
        <v>Edmondson,</v>
      </c>
      <c r="E442" s="22" t="str">
        <f>IFERROR(__xludf.DUMMYFUNCTION("""COMPUTED_VALUE"""),"Mark
12523")</f>
        <v>Mark
12523</v>
      </c>
      <c r="F442" s="22">
        <f>IFERROR(__xludf.DUMMYFUNCTION("""COMPUTED_VALUE"""),12523.0)</f>
        <v>12523</v>
      </c>
      <c r="G442" s="22" t="str">
        <f>IFERROR(__xludf.DUMMYFUNCTION("""COMPUTED_VALUE"""),"Matisse")</f>
        <v>Matisse</v>
      </c>
      <c r="H442" s="22" t="str">
        <f>IFERROR(__xludf.DUMMYFUNCTION("""COMPUTED_VALUE"""),"Lane
Dallas,")</f>
        <v>Lane
Dallas,</v>
      </c>
      <c r="I442" s="22" t="str">
        <f>IFERROR(__xludf.DUMMYFUNCTION("""COMPUTED_VALUE"""),"TX")</f>
        <v>TX</v>
      </c>
      <c r="J442" s="22">
        <f>IFERROR(__xludf.DUMMYFUNCTION("""COMPUTED_VALUE"""),75230.0)</f>
        <v>75230</v>
      </c>
      <c r="K442" s="22"/>
      <c r="L442" s="22"/>
      <c r="M442" s="22"/>
      <c r="N442" s="22"/>
      <c r="O442" s="22"/>
      <c r="P442" s="22"/>
      <c r="Q442" s="22"/>
      <c r="R442" s="22"/>
      <c r="S442" s="22"/>
      <c r="T442" s="22"/>
      <c r="U442" s="24" t="str">
        <f>IFERROR(__xludf.DUMMYFUNCTION("SPLIT(E442,""01234567890"")"),"Mark
")</f>
        <v>Mark
</v>
      </c>
      <c r="V442" s="24" t="str">
        <f>IFERROR(__xludf.DUMMYFUNCTION("SPLIT(D442,"","")"),"Edmondson")</f>
        <v>Edmondson</v>
      </c>
      <c r="W442" s="25" t="str">
        <f t="shared" si="1"/>
        <v>MARK
 EDMONDSON</v>
      </c>
      <c r="X442" s="25" t="s">
        <v>1232</v>
      </c>
      <c r="Y442" s="25">
        <v>12523.0</v>
      </c>
      <c r="Z442" s="25" t="str">
        <f>IFERROR(__xludf.DUMMYFUNCTION("SPLIT(C442,""
"")"),"Edmondson, Mark")</f>
        <v>Edmondson, Mark</v>
      </c>
      <c r="AA442" s="25" t="str">
        <f>IFERROR(__xludf.DUMMYFUNCTION("""COMPUTED_VALUE"""),"12523 12523 Matisse Lane")</f>
        <v>12523 12523 Matisse Lane</v>
      </c>
      <c r="AB442" s="25" t="str">
        <f>IFERROR(__xludf.DUMMYFUNCTION("""COMPUTED_VALUE"""),"Dallas, TX 75230")</f>
        <v>Dallas, TX 75230</v>
      </c>
      <c r="AC442" s="24" t="s">
        <v>1233</v>
      </c>
      <c r="AD442" s="25"/>
      <c r="AE442" s="25"/>
      <c r="AF442" s="25"/>
      <c r="AG442" s="22" t="s">
        <v>60</v>
      </c>
      <c r="AH442" s="54">
        <v>2445.0</v>
      </c>
      <c r="AI442" s="22" t="s">
        <v>61</v>
      </c>
      <c r="AJ442" s="27">
        <v>100.0</v>
      </c>
      <c r="AK442" s="31" t="s">
        <v>30</v>
      </c>
      <c r="AL442" s="28">
        <v>44741.0</v>
      </c>
      <c r="AM442" s="29">
        <v>44755.778402777774</v>
      </c>
      <c r="AN442" s="30">
        <v>2.0</v>
      </c>
      <c r="AO442" s="22"/>
      <c r="AP442" s="22"/>
      <c r="AQ442" s="22"/>
      <c r="AR442" s="22"/>
      <c r="AS442" s="22"/>
      <c r="AT442" s="70"/>
      <c r="AU442" s="22"/>
      <c r="AV442" s="57" t="str">
        <f>IFERROR(__xludf.DUMMYFUNCTION("""COMPUTED_VALUE"""),"Cline")</f>
        <v>Cline</v>
      </c>
      <c r="AW442" s="46">
        <f t="shared" si="7"/>
        <v>60</v>
      </c>
      <c r="AX442" s="47">
        <f t="shared" ref="AX442:BQ442" si="1436">SUMIFS($AJ:$AJ,$V:$V,$AV442,$AK:$AK,AX$2)</f>
        <v>0</v>
      </c>
      <c r="AY442" s="48">
        <f t="shared" si="1436"/>
        <v>0</v>
      </c>
      <c r="AZ442" s="48">
        <f t="shared" si="1436"/>
        <v>0</v>
      </c>
      <c r="BA442" s="48">
        <f t="shared" si="1436"/>
        <v>60</v>
      </c>
      <c r="BB442" s="48">
        <f t="shared" si="1436"/>
        <v>0</v>
      </c>
      <c r="BC442" s="48">
        <f t="shared" si="1436"/>
        <v>0</v>
      </c>
      <c r="BD442" s="48">
        <f t="shared" si="1436"/>
        <v>0</v>
      </c>
      <c r="BE442" s="48">
        <f t="shared" si="1436"/>
        <v>0</v>
      </c>
      <c r="BF442" s="48">
        <f t="shared" si="1436"/>
        <v>0</v>
      </c>
      <c r="BG442" s="48">
        <f t="shared" si="1436"/>
        <v>0</v>
      </c>
      <c r="BH442" s="48">
        <f t="shared" si="1436"/>
        <v>0</v>
      </c>
      <c r="BI442" s="48">
        <f t="shared" si="1436"/>
        <v>0</v>
      </c>
      <c r="BJ442" s="48">
        <f t="shared" si="1436"/>
        <v>0</v>
      </c>
      <c r="BK442" s="48">
        <f t="shared" si="1436"/>
        <v>0</v>
      </c>
      <c r="BL442" s="48">
        <f t="shared" si="1436"/>
        <v>0</v>
      </c>
      <c r="BM442" s="48">
        <f t="shared" si="1436"/>
        <v>0</v>
      </c>
      <c r="BN442" s="48">
        <f t="shared" si="1436"/>
        <v>0</v>
      </c>
      <c r="BO442" s="48">
        <f t="shared" si="1436"/>
        <v>0</v>
      </c>
      <c r="BP442" s="48">
        <f t="shared" si="1436"/>
        <v>0</v>
      </c>
      <c r="BQ442" s="48">
        <f t="shared" si="1436"/>
        <v>0</v>
      </c>
      <c r="BR442" s="36">
        <f t="shared" si="9"/>
        <v>0</v>
      </c>
      <c r="BS442" s="38">
        <f t="shared" si="10"/>
        <v>1</v>
      </c>
      <c r="BT442" s="49">
        <f t="shared" si="11"/>
        <v>0</v>
      </c>
      <c r="BU442" s="38">
        <f t="shared" si="12"/>
        <v>1000</v>
      </c>
      <c r="BV442" s="57" t="str">
        <f>IFERROR(__xludf.DUMMYFUNCTION("""COMPUTED_VALUE"""),"Cline")</f>
        <v>Cline</v>
      </c>
      <c r="BW442" s="46">
        <f t="shared" si="13"/>
        <v>60</v>
      </c>
      <c r="BX442" s="47">
        <f t="shared" ref="BX442:CA442" si="1437">AX442-$BU442</f>
        <v>-1000</v>
      </c>
      <c r="BY442" s="47">
        <f t="shared" si="1437"/>
        <v>-1000</v>
      </c>
      <c r="BZ442" s="47">
        <f t="shared" si="1437"/>
        <v>-1000</v>
      </c>
      <c r="CA442" s="47">
        <f t="shared" si="1437"/>
        <v>-940</v>
      </c>
      <c r="CB442" s="47">
        <f t="shared" si="15"/>
        <v>-10000</v>
      </c>
      <c r="CC442" s="47">
        <f t="shared" ref="CC442:CQ442" si="1438">BC442-$BU442</f>
        <v>-1000</v>
      </c>
      <c r="CD442" s="47">
        <f t="shared" si="1438"/>
        <v>-1000</v>
      </c>
      <c r="CE442" s="47">
        <f t="shared" si="1438"/>
        <v>-1000</v>
      </c>
      <c r="CF442" s="47">
        <f t="shared" si="1438"/>
        <v>-1000</v>
      </c>
      <c r="CG442" s="47">
        <f t="shared" si="1438"/>
        <v>-1000</v>
      </c>
      <c r="CH442" s="47">
        <f t="shared" si="1438"/>
        <v>-1000</v>
      </c>
      <c r="CI442" s="47">
        <f t="shared" si="1438"/>
        <v>-1000</v>
      </c>
      <c r="CJ442" s="47">
        <f t="shared" si="1438"/>
        <v>-1000</v>
      </c>
      <c r="CK442" s="47">
        <f t="shared" si="1438"/>
        <v>-1000</v>
      </c>
      <c r="CL442" s="47">
        <f t="shared" si="1438"/>
        <v>-1000</v>
      </c>
      <c r="CM442" s="47">
        <f t="shared" si="1438"/>
        <v>-1000</v>
      </c>
      <c r="CN442" s="47">
        <f t="shared" si="1438"/>
        <v>-1000</v>
      </c>
      <c r="CO442" s="47">
        <f t="shared" si="1438"/>
        <v>-1000</v>
      </c>
      <c r="CP442" s="47">
        <f t="shared" si="1438"/>
        <v>-1000</v>
      </c>
      <c r="CQ442" s="47">
        <f t="shared" si="1438"/>
        <v>-1000</v>
      </c>
      <c r="CR442" s="47"/>
      <c r="CS442" s="47"/>
      <c r="CT442" s="47"/>
      <c r="CU442" s="50" t="str">
        <f>IFERROR(__xludf.DUMMYFUNCTION("""COMPUTED_VALUE"""),"4727 Arvilla
Houston, TX 77021           ")</f>
        <v>4727 Arvilla
Houston, TX 77021           </v>
      </c>
      <c r="CV442" s="51">
        <f>IFERROR(__xludf.DUMMYFUNCTION("IF(REGEXMATCH(UPPER(CU442), ""TX""),0,1)"),0.0)</f>
        <v>0</v>
      </c>
      <c r="CW442" s="51">
        <f>IFERROR(__xludf.DUMMYFUNCTION("IF(REGEXMATCH(UPPER(CU442), ""DALLAS""),0,1)"),1.0)</f>
        <v>1</v>
      </c>
      <c r="CX442" s="51">
        <f t="shared" si="17"/>
        <v>0</v>
      </c>
      <c r="CY442" s="51">
        <f t="shared" si="18"/>
        <v>1000</v>
      </c>
      <c r="CZ442" s="52" t="str">
        <f t="shared" si="19"/>
        <v>4727 Arvilla
Houston, TX 77021           </v>
      </c>
      <c r="DA442" s="58"/>
      <c r="DB442" s="52"/>
      <c r="DC442" s="52"/>
      <c r="DD442" s="52"/>
      <c r="DE442" s="52"/>
      <c r="DF442" s="52"/>
      <c r="DG442" s="52"/>
      <c r="DH442" s="52"/>
      <c r="DI442" s="52"/>
      <c r="DJ442" s="52"/>
      <c r="DK442" s="52"/>
      <c r="DL442" s="52"/>
      <c r="DM442" s="52"/>
      <c r="DN442" s="52"/>
      <c r="DO442" s="52"/>
      <c r="DP442" s="52"/>
      <c r="DQ442" s="52"/>
      <c r="DR442" s="52"/>
      <c r="DS442" s="52"/>
      <c r="DT442" s="52"/>
      <c r="DU442" s="52"/>
      <c r="DV442" s="52"/>
      <c r="DW442" s="52"/>
    </row>
    <row r="443">
      <c r="A443" s="40" t="s">
        <v>55</v>
      </c>
      <c r="B443" s="41" t="s">
        <v>56</v>
      </c>
      <c r="C443" s="31" t="s">
        <v>1234</v>
      </c>
      <c r="D443" s="25" t="str">
        <f>IFERROR(__xludf.DUMMYFUNCTION("SPLIT(C443,"" "")"),"Nugent,")</f>
        <v>Nugent,</v>
      </c>
      <c r="E443" s="40" t="str">
        <f>IFERROR(__xludf.DUMMYFUNCTION("""COMPUTED_VALUE"""),"Deborah")</f>
        <v>Deborah</v>
      </c>
      <c r="F443" s="40" t="str">
        <f>IFERROR(__xludf.DUMMYFUNCTION("""COMPUTED_VALUE"""),"&amp;")</f>
        <v>&amp;</v>
      </c>
      <c r="G443" s="40" t="str">
        <f>IFERROR(__xludf.DUMMYFUNCTION("""COMPUTED_VALUE"""),"Jim
4717")</f>
        <v>Jim
4717</v>
      </c>
      <c r="H443" s="40" t="str">
        <f>IFERROR(__xludf.DUMMYFUNCTION("""COMPUTED_VALUE"""),"Mill")</f>
        <v>Mill</v>
      </c>
      <c r="I443" s="40" t="str">
        <f>IFERROR(__xludf.DUMMYFUNCTION("""COMPUTED_VALUE"""),"Run")</f>
        <v>Run</v>
      </c>
      <c r="J443" s="40" t="str">
        <f>IFERROR(__xludf.DUMMYFUNCTION("""COMPUTED_VALUE"""),"Road
Dallas,")</f>
        <v>Road
Dallas,</v>
      </c>
      <c r="K443" s="40" t="str">
        <f>IFERROR(__xludf.DUMMYFUNCTION("""COMPUTED_VALUE"""),"TX")</f>
        <v>TX</v>
      </c>
      <c r="L443" s="40">
        <f>IFERROR(__xludf.DUMMYFUNCTION("""COMPUTED_VALUE"""),75244.0)</f>
        <v>75244</v>
      </c>
      <c r="M443" s="40"/>
      <c r="N443" s="40"/>
      <c r="O443" s="40"/>
      <c r="P443" s="40"/>
      <c r="Q443" s="40"/>
      <c r="R443" s="40"/>
      <c r="S443" s="40"/>
      <c r="T443" s="40"/>
      <c r="U443" s="24" t="str">
        <f>IFERROR(__xludf.DUMMYFUNCTION("SPLIT(E443,""01234567890"")"),"Deborah")</f>
        <v>Deborah</v>
      </c>
      <c r="V443" s="24" t="str">
        <f>IFERROR(__xludf.DUMMYFUNCTION("SPLIT(D443,"","")"),"Nugent")</f>
        <v>Nugent</v>
      </c>
      <c r="W443" s="25" t="str">
        <f t="shared" si="1"/>
        <v>DEBORAH NUGENT</v>
      </c>
      <c r="X443" s="25" t="s">
        <v>1235</v>
      </c>
      <c r="Y443" s="25">
        <v>4717.0</v>
      </c>
      <c r="Z443" s="25" t="str">
        <f>IFERROR(__xludf.DUMMYFUNCTION("SPLIT(C443,""
"")"),"Nugent, Deborah &amp; Jim")</f>
        <v>Nugent, Deborah &amp; Jim</v>
      </c>
      <c r="AA443" s="25" t="str">
        <f>IFERROR(__xludf.DUMMYFUNCTION("""COMPUTED_VALUE"""),"4717 Mill Run Road")</f>
        <v>4717 Mill Run Road</v>
      </c>
      <c r="AB443" s="25" t="str">
        <f>IFERROR(__xludf.DUMMYFUNCTION("""COMPUTED_VALUE"""),"Dallas, TX 75244")</f>
        <v>Dallas, TX 75244</v>
      </c>
      <c r="AC443" s="24" t="s">
        <v>1236</v>
      </c>
      <c r="AD443" s="25"/>
      <c r="AE443" s="25"/>
      <c r="AF443" s="25"/>
      <c r="AG443" s="40" t="s">
        <v>60</v>
      </c>
      <c r="AH443" s="42">
        <v>2445.0</v>
      </c>
      <c r="AI443" s="40" t="s">
        <v>61</v>
      </c>
      <c r="AJ443" s="27">
        <v>250.0</v>
      </c>
      <c r="AK443" s="31" t="s">
        <v>30</v>
      </c>
      <c r="AL443" s="43">
        <v>44741.0</v>
      </c>
      <c r="AM443" s="44">
        <v>44755.778402777774</v>
      </c>
      <c r="AN443" s="30">
        <v>2.0</v>
      </c>
      <c r="AO443" s="40"/>
      <c r="AP443" s="40"/>
      <c r="AQ443" s="40"/>
      <c r="AR443" s="40"/>
      <c r="AS443" s="40"/>
      <c r="AT443" s="47"/>
      <c r="AU443" s="40"/>
      <c r="AV443" s="46" t="str">
        <f>IFERROR(__xludf.DUMMYFUNCTION("""COMPUTED_VALUE"""),"Terry")</f>
        <v>Terry</v>
      </c>
      <c r="AW443" s="46">
        <f t="shared" si="7"/>
        <v>1000</v>
      </c>
      <c r="AX443" s="47">
        <f t="shared" ref="AX443:BQ443" si="1439">SUMIFS($AJ:$AJ,$V:$V,$AV443,$AK:$AK,AX$2)</f>
        <v>0</v>
      </c>
      <c r="AY443" s="48">
        <f t="shared" si="1439"/>
        <v>0</v>
      </c>
      <c r="AZ443" s="48">
        <f t="shared" si="1439"/>
        <v>0</v>
      </c>
      <c r="BA443" s="48">
        <f t="shared" si="1439"/>
        <v>1000</v>
      </c>
      <c r="BB443" s="48">
        <f t="shared" si="1439"/>
        <v>0</v>
      </c>
      <c r="BC443" s="48">
        <f t="shared" si="1439"/>
        <v>0</v>
      </c>
      <c r="BD443" s="48">
        <f t="shared" si="1439"/>
        <v>0</v>
      </c>
      <c r="BE443" s="48">
        <f t="shared" si="1439"/>
        <v>0</v>
      </c>
      <c r="BF443" s="48">
        <f t="shared" si="1439"/>
        <v>0</v>
      </c>
      <c r="BG443" s="48">
        <f t="shared" si="1439"/>
        <v>0</v>
      </c>
      <c r="BH443" s="48">
        <f t="shared" si="1439"/>
        <v>0</v>
      </c>
      <c r="BI443" s="48">
        <f t="shared" si="1439"/>
        <v>0</v>
      </c>
      <c r="BJ443" s="48">
        <f t="shared" si="1439"/>
        <v>0</v>
      </c>
      <c r="BK443" s="48">
        <f t="shared" si="1439"/>
        <v>0</v>
      </c>
      <c r="BL443" s="48">
        <f t="shared" si="1439"/>
        <v>0</v>
      </c>
      <c r="BM443" s="48">
        <f t="shared" si="1439"/>
        <v>0</v>
      </c>
      <c r="BN443" s="48">
        <f t="shared" si="1439"/>
        <v>0</v>
      </c>
      <c r="BO443" s="48">
        <f t="shared" si="1439"/>
        <v>0</v>
      </c>
      <c r="BP443" s="48">
        <f t="shared" si="1439"/>
        <v>0</v>
      </c>
      <c r="BQ443" s="48">
        <f t="shared" si="1439"/>
        <v>0</v>
      </c>
      <c r="BR443" s="36">
        <f t="shared" si="9"/>
        <v>0</v>
      </c>
      <c r="BS443" s="38">
        <f t="shared" si="10"/>
        <v>1</v>
      </c>
      <c r="BT443" s="49">
        <f t="shared" si="11"/>
        <v>0</v>
      </c>
      <c r="BU443" s="38">
        <f t="shared" si="12"/>
        <v>1000</v>
      </c>
      <c r="BV443" s="46" t="str">
        <f>IFERROR(__xludf.DUMMYFUNCTION("""COMPUTED_VALUE"""),"Terry")</f>
        <v>Terry</v>
      </c>
      <c r="BW443" s="46">
        <f t="shared" si="13"/>
        <v>1000</v>
      </c>
      <c r="BX443" s="47">
        <f t="shared" ref="BX443:CA443" si="1440">AX443-$BU443</f>
        <v>-1000</v>
      </c>
      <c r="BY443" s="47">
        <f t="shared" si="1440"/>
        <v>-1000</v>
      </c>
      <c r="BZ443" s="47">
        <f t="shared" si="1440"/>
        <v>-1000</v>
      </c>
      <c r="CA443" s="47">
        <f t="shared" si="1440"/>
        <v>0</v>
      </c>
      <c r="CB443" s="47">
        <f t="shared" si="15"/>
        <v>-10000</v>
      </c>
      <c r="CC443" s="47">
        <f t="shared" ref="CC443:CQ443" si="1441">BC443-$BU443</f>
        <v>-1000</v>
      </c>
      <c r="CD443" s="47">
        <f t="shared" si="1441"/>
        <v>-1000</v>
      </c>
      <c r="CE443" s="47">
        <f t="shared" si="1441"/>
        <v>-1000</v>
      </c>
      <c r="CF443" s="47">
        <f t="shared" si="1441"/>
        <v>-1000</v>
      </c>
      <c r="CG443" s="47">
        <f t="shared" si="1441"/>
        <v>-1000</v>
      </c>
      <c r="CH443" s="47">
        <f t="shared" si="1441"/>
        <v>-1000</v>
      </c>
      <c r="CI443" s="47">
        <f t="shared" si="1441"/>
        <v>-1000</v>
      </c>
      <c r="CJ443" s="47">
        <f t="shared" si="1441"/>
        <v>-1000</v>
      </c>
      <c r="CK443" s="47">
        <f t="shared" si="1441"/>
        <v>-1000</v>
      </c>
      <c r="CL443" s="47">
        <f t="shared" si="1441"/>
        <v>-1000</v>
      </c>
      <c r="CM443" s="47">
        <f t="shared" si="1441"/>
        <v>-1000</v>
      </c>
      <c r="CN443" s="47">
        <f t="shared" si="1441"/>
        <v>-1000</v>
      </c>
      <c r="CO443" s="47">
        <f t="shared" si="1441"/>
        <v>-1000</v>
      </c>
      <c r="CP443" s="47">
        <f t="shared" si="1441"/>
        <v>-1000</v>
      </c>
      <c r="CQ443" s="47">
        <f t="shared" si="1441"/>
        <v>-1000</v>
      </c>
      <c r="CR443" s="47"/>
      <c r="CS443" s="47"/>
      <c r="CT443" s="47"/>
      <c r="CU443" s="50" t="str">
        <f>IFERROR(__xludf.DUMMYFUNCTION("""COMPUTED_VALUE"""),"8543 ALta Mira Dr
Dallas, TX 75218         ")</f>
        <v>8543 ALta Mira Dr
Dallas, TX 75218         </v>
      </c>
      <c r="CV443" s="51">
        <f>IFERROR(__xludf.DUMMYFUNCTION("IF(REGEXMATCH(UPPER(CU443), ""TX""),0,1)"),0.0)</f>
        <v>0</v>
      </c>
      <c r="CW443" s="51">
        <f>IFERROR(__xludf.DUMMYFUNCTION("IF(REGEXMATCH(UPPER(CU443), ""DALLAS""),0,1)"),0.0)</f>
        <v>0</v>
      </c>
      <c r="CX443" s="51">
        <f t="shared" si="17"/>
        <v>0</v>
      </c>
      <c r="CY443" s="51">
        <f t="shared" si="18"/>
        <v>0</v>
      </c>
      <c r="CZ443" s="52" t="str">
        <f t="shared" si="19"/>
        <v/>
      </c>
      <c r="DA443" s="58"/>
      <c r="DB443" s="52"/>
      <c r="DC443" s="52"/>
      <c r="DD443" s="52"/>
      <c r="DE443" s="52"/>
      <c r="DF443" s="52"/>
      <c r="DG443" s="52"/>
      <c r="DH443" s="52"/>
      <c r="DI443" s="52"/>
      <c r="DJ443" s="52"/>
      <c r="DK443" s="52"/>
      <c r="DL443" s="52"/>
      <c r="DM443" s="52"/>
      <c r="DN443" s="52"/>
      <c r="DO443" s="52"/>
      <c r="DP443" s="52"/>
      <c r="DQ443" s="52"/>
      <c r="DR443" s="52"/>
      <c r="DS443" s="52"/>
      <c r="DT443" s="52"/>
      <c r="DU443" s="52"/>
      <c r="DV443" s="52"/>
      <c r="DW443" s="52"/>
    </row>
    <row r="444">
      <c r="A444" s="22" t="s">
        <v>55</v>
      </c>
      <c r="B444" s="23" t="s">
        <v>56</v>
      </c>
      <c r="C444" s="31" t="s">
        <v>1237</v>
      </c>
      <c r="D444" s="25" t="str">
        <f>IFERROR(__xludf.DUMMYFUNCTION("SPLIT(C444,"" "")"),"Harding,")</f>
        <v>Harding,</v>
      </c>
      <c r="E444" s="22" t="str">
        <f>IFERROR(__xludf.DUMMYFUNCTION("""COMPUTED_VALUE"""),"Anne
3031")</f>
        <v>Anne
3031</v>
      </c>
      <c r="F444" s="22" t="str">
        <f>IFERROR(__xludf.DUMMYFUNCTION("""COMPUTED_VALUE"""),"Timberview")</f>
        <v>Timberview</v>
      </c>
      <c r="G444" s="22" t="str">
        <f>IFERROR(__xludf.DUMMYFUNCTION("""COMPUTED_VALUE"""),"Rd
Dallas,")</f>
        <v>Rd
Dallas,</v>
      </c>
      <c r="H444" s="22" t="str">
        <f>IFERROR(__xludf.DUMMYFUNCTION("""COMPUTED_VALUE"""),"TX")</f>
        <v>TX</v>
      </c>
      <c r="I444" s="22">
        <f>IFERROR(__xludf.DUMMYFUNCTION("""COMPUTED_VALUE"""),75229.0)</f>
        <v>75229</v>
      </c>
      <c r="J444" s="22"/>
      <c r="K444" s="22"/>
      <c r="L444" s="22"/>
      <c r="M444" s="22"/>
      <c r="N444" s="22"/>
      <c r="O444" s="22"/>
      <c r="P444" s="22"/>
      <c r="Q444" s="22"/>
      <c r="R444" s="22"/>
      <c r="S444" s="22"/>
      <c r="T444" s="22"/>
      <c r="U444" s="24" t="str">
        <f>IFERROR(__xludf.DUMMYFUNCTION("SPLIT(E444,""01234567890"")"),"Anne
")</f>
        <v>Anne
</v>
      </c>
      <c r="V444" s="24" t="str">
        <f>IFERROR(__xludf.DUMMYFUNCTION("SPLIT(D444,"","")"),"Harding")</f>
        <v>Harding</v>
      </c>
      <c r="W444" s="25" t="str">
        <f t="shared" si="1"/>
        <v>ANNE
 HARDING</v>
      </c>
      <c r="X444" s="25" t="s">
        <v>1238</v>
      </c>
      <c r="Y444" s="25">
        <v>75229.0</v>
      </c>
      <c r="Z444" s="25" t="str">
        <f>IFERROR(__xludf.DUMMYFUNCTION("SPLIT(C444,""
"")"),"Harding, Anne")</f>
        <v>Harding, Anne</v>
      </c>
      <c r="AA444" s="25" t="str">
        <f>IFERROR(__xludf.DUMMYFUNCTION("""COMPUTED_VALUE"""),"3031 Timberview Rd")</f>
        <v>3031 Timberview Rd</v>
      </c>
      <c r="AB444" s="25" t="str">
        <f>IFERROR(__xludf.DUMMYFUNCTION("""COMPUTED_VALUE"""),"Dallas, TX 75229")</f>
        <v>Dallas, TX 75229</v>
      </c>
      <c r="AC444" s="24" t="s">
        <v>1239</v>
      </c>
      <c r="AD444" s="25"/>
      <c r="AE444" s="25"/>
      <c r="AF444" s="25"/>
      <c r="AG444" s="22" t="s">
        <v>60</v>
      </c>
      <c r="AH444" s="54">
        <v>2445.0</v>
      </c>
      <c r="AI444" s="22" t="s">
        <v>61</v>
      </c>
      <c r="AJ444" s="27">
        <v>250.0</v>
      </c>
      <c r="AK444" s="31" t="s">
        <v>30</v>
      </c>
      <c r="AL444" s="28">
        <v>44741.0</v>
      </c>
      <c r="AM444" s="29">
        <v>44755.778402777774</v>
      </c>
      <c r="AN444" s="30">
        <v>2.0</v>
      </c>
      <c r="AO444" s="22"/>
      <c r="AP444" s="22"/>
      <c r="AQ444" s="22"/>
      <c r="AR444" s="22"/>
      <c r="AS444" s="22"/>
      <c r="AT444" s="70"/>
      <c r="AU444" s="22"/>
      <c r="AV444" s="57" t="str">
        <f>IFERROR(__xludf.DUMMYFUNCTION("""COMPUTED_VALUE"""),"Ragan")</f>
        <v>Ragan</v>
      </c>
      <c r="AW444" s="46">
        <f t="shared" si="7"/>
        <v>1000</v>
      </c>
      <c r="AX444" s="47">
        <f t="shared" ref="AX444:BQ444" si="1442">SUMIFS($AJ:$AJ,$V:$V,$AV444,$AK:$AK,AX$2)</f>
        <v>0</v>
      </c>
      <c r="AY444" s="48">
        <f t="shared" si="1442"/>
        <v>0</v>
      </c>
      <c r="AZ444" s="48">
        <f t="shared" si="1442"/>
        <v>0</v>
      </c>
      <c r="BA444" s="48">
        <f t="shared" si="1442"/>
        <v>0</v>
      </c>
      <c r="BB444" s="48">
        <f t="shared" si="1442"/>
        <v>0</v>
      </c>
      <c r="BC444" s="48">
        <f t="shared" si="1442"/>
        <v>0</v>
      </c>
      <c r="BD444" s="48">
        <f t="shared" si="1442"/>
        <v>0</v>
      </c>
      <c r="BE444" s="48">
        <f t="shared" si="1442"/>
        <v>0</v>
      </c>
      <c r="BF444" s="48">
        <f t="shared" si="1442"/>
        <v>1000</v>
      </c>
      <c r="BG444" s="48">
        <f t="shared" si="1442"/>
        <v>0</v>
      </c>
      <c r="BH444" s="48">
        <f t="shared" si="1442"/>
        <v>0</v>
      </c>
      <c r="BI444" s="48">
        <f t="shared" si="1442"/>
        <v>0</v>
      </c>
      <c r="BJ444" s="48">
        <f t="shared" si="1442"/>
        <v>0</v>
      </c>
      <c r="BK444" s="48">
        <f t="shared" si="1442"/>
        <v>0</v>
      </c>
      <c r="BL444" s="48">
        <f t="shared" si="1442"/>
        <v>0</v>
      </c>
      <c r="BM444" s="48">
        <f t="shared" si="1442"/>
        <v>0</v>
      </c>
      <c r="BN444" s="48">
        <f t="shared" si="1442"/>
        <v>0</v>
      </c>
      <c r="BO444" s="48">
        <f t="shared" si="1442"/>
        <v>0</v>
      </c>
      <c r="BP444" s="48">
        <f t="shared" si="1442"/>
        <v>0</v>
      </c>
      <c r="BQ444" s="48">
        <f t="shared" si="1442"/>
        <v>0</v>
      </c>
      <c r="BR444" s="36">
        <f t="shared" si="9"/>
        <v>0</v>
      </c>
      <c r="BS444" s="38">
        <f t="shared" si="10"/>
        <v>1</v>
      </c>
      <c r="BT444" s="49">
        <f t="shared" si="11"/>
        <v>0</v>
      </c>
      <c r="BU444" s="38">
        <f t="shared" si="12"/>
        <v>1000</v>
      </c>
      <c r="BV444" s="57" t="str">
        <f>IFERROR(__xludf.DUMMYFUNCTION("""COMPUTED_VALUE"""),"Ragan")</f>
        <v>Ragan</v>
      </c>
      <c r="BW444" s="46">
        <f t="shared" si="13"/>
        <v>1000</v>
      </c>
      <c r="BX444" s="47">
        <f t="shared" ref="BX444:CA444" si="1443">AX444-$BU444</f>
        <v>-1000</v>
      </c>
      <c r="BY444" s="47">
        <f t="shared" si="1443"/>
        <v>-1000</v>
      </c>
      <c r="BZ444" s="47">
        <f t="shared" si="1443"/>
        <v>-1000</v>
      </c>
      <c r="CA444" s="47">
        <f t="shared" si="1443"/>
        <v>-1000</v>
      </c>
      <c r="CB444" s="47">
        <f t="shared" si="15"/>
        <v>-10000</v>
      </c>
      <c r="CC444" s="47">
        <f t="shared" ref="CC444:CQ444" si="1444">BC444-$BU444</f>
        <v>-1000</v>
      </c>
      <c r="CD444" s="47">
        <f t="shared" si="1444"/>
        <v>-1000</v>
      </c>
      <c r="CE444" s="47">
        <f t="shared" si="1444"/>
        <v>-1000</v>
      </c>
      <c r="CF444" s="47">
        <f t="shared" si="1444"/>
        <v>0</v>
      </c>
      <c r="CG444" s="47">
        <f t="shared" si="1444"/>
        <v>-1000</v>
      </c>
      <c r="CH444" s="47">
        <f t="shared" si="1444"/>
        <v>-1000</v>
      </c>
      <c r="CI444" s="47">
        <f t="shared" si="1444"/>
        <v>-1000</v>
      </c>
      <c r="CJ444" s="47">
        <f t="shared" si="1444"/>
        <v>-1000</v>
      </c>
      <c r="CK444" s="47">
        <f t="shared" si="1444"/>
        <v>-1000</v>
      </c>
      <c r="CL444" s="47">
        <f t="shared" si="1444"/>
        <v>-1000</v>
      </c>
      <c r="CM444" s="47">
        <f t="shared" si="1444"/>
        <v>-1000</v>
      </c>
      <c r="CN444" s="47">
        <f t="shared" si="1444"/>
        <v>-1000</v>
      </c>
      <c r="CO444" s="47">
        <f t="shared" si="1444"/>
        <v>-1000</v>
      </c>
      <c r="CP444" s="47">
        <f t="shared" si="1444"/>
        <v>-1000</v>
      </c>
      <c r="CQ444" s="47">
        <f t="shared" si="1444"/>
        <v>-1000</v>
      </c>
      <c r="CR444" s="47"/>
      <c r="CS444" s="47"/>
      <c r="CT444" s="47"/>
      <c r="CU444" s="50" t="str">
        <f>IFERROR(__xludf.DUMMYFUNCTION("""COMPUTED_VALUE"""),"mary Beth
6656 Lakewood Blvd
Dallas, TX 75214         ")</f>
        <v>mary Beth
6656 Lakewood Blvd
Dallas, TX 75214         </v>
      </c>
      <c r="CV444" s="51">
        <f>IFERROR(__xludf.DUMMYFUNCTION("IF(REGEXMATCH(UPPER(CU444), ""TX""),0,1)"),0.0)</f>
        <v>0</v>
      </c>
      <c r="CW444" s="51">
        <f>IFERROR(__xludf.DUMMYFUNCTION("IF(REGEXMATCH(UPPER(CU444), ""DALLAS""),0,1)"),0.0)</f>
        <v>0</v>
      </c>
      <c r="CX444" s="51">
        <f t="shared" si="17"/>
        <v>0</v>
      </c>
      <c r="CY444" s="51">
        <f t="shared" si="18"/>
        <v>0</v>
      </c>
      <c r="CZ444" s="52" t="str">
        <f t="shared" si="19"/>
        <v/>
      </c>
      <c r="DA444" s="58"/>
      <c r="DB444" s="52"/>
      <c r="DC444" s="52"/>
      <c r="DD444" s="52"/>
      <c r="DE444" s="52"/>
      <c r="DF444" s="52"/>
      <c r="DG444" s="52"/>
      <c r="DH444" s="52"/>
      <c r="DI444" s="52"/>
      <c r="DJ444" s="52"/>
      <c r="DK444" s="52"/>
      <c r="DL444" s="52"/>
      <c r="DM444" s="52"/>
      <c r="DN444" s="52"/>
      <c r="DO444" s="52"/>
      <c r="DP444" s="52"/>
      <c r="DQ444" s="52"/>
      <c r="DR444" s="52"/>
      <c r="DS444" s="52"/>
      <c r="DT444" s="52"/>
      <c r="DU444" s="52"/>
      <c r="DV444" s="52"/>
      <c r="DW444" s="52"/>
    </row>
    <row r="445">
      <c r="A445" s="40" t="s">
        <v>55</v>
      </c>
      <c r="B445" s="41" t="s">
        <v>56</v>
      </c>
      <c r="C445" s="31" t="s">
        <v>1240</v>
      </c>
      <c r="D445" s="25" t="str">
        <f>IFERROR(__xludf.DUMMYFUNCTION("SPLIT(C445,"" "")"),"Spalding,")</f>
        <v>Spalding,</v>
      </c>
      <c r="E445" s="40" t="str">
        <f>IFERROR(__xludf.DUMMYFUNCTION("""COMPUTED_VALUE"""),"Dawn
25")</f>
        <v>Dawn
25</v>
      </c>
      <c r="F445" s="40" t="str">
        <f>IFERROR(__xludf.DUMMYFUNCTION("""COMPUTED_VALUE"""),"Highland")</f>
        <v>Highland</v>
      </c>
      <c r="G445" s="40" t="str">
        <f>IFERROR(__xludf.DUMMYFUNCTION("""COMPUTED_VALUE"""),"Park")</f>
        <v>Park</v>
      </c>
      <c r="H445" s="40" t="str">
        <f>IFERROR(__xludf.DUMMYFUNCTION("""COMPUTED_VALUE"""),"Village
Dallas,")</f>
        <v>Village
Dallas,</v>
      </c>
      <c r="I445" s="40" t="str">
        <f>IFERROR(__xludf.DUMMYFUNCTION("""COMPUTED_VALUE"""),"TX")</f>
        <v>TX</v>
      </c>
      <c r="J445" s="40">
        <f>IFERROR(__xludf.DUMMYFUNCTION("""COMPUTED_VALUE"""),75205.0)</f>
        <v>75205</v>
      </c>
      <c r="K445" s="40"/>
      <c r="L445" s="40"/>
      <c r="M445" s="40"/>
      <c r="N445" s="40"/>
      <c r="O445" s="40"/>
      <c r="P445" s="40"/>
      <c r="Q445" s="40"/>
      <c r="R445" s="40"/>
      <c r="S445" s="40"/>
      <c r="T445" s="40"/>
      <c r="U445" s="24" t="str">
        <f>IFERROR(__xludf.DUMMYFUNCTION("SPLIT(E445,""01234567890"")"),"Dawn
")</f>
        <v>Dawn
</v>
      </c>
      <c r="V445" s="24" t="str">
        <f>IFERROR(__xludf.DUMMYFUNCTION("SPLIT(D445,"","")"),"Spalding")</f>
        <v>Spalding</v>
      </c>
      <c r="W445" s="25" t="str">
        <f t="shared" si="1"/>
        <v>DAWN
 SPALDING</v>
      </c>
      <c r="X445" s="25" t="s">
        <v>1241</v>
      </c>
      <c r="Y445" s="25">
        <v>75205.0</v>
      </c>
      <c r="Z445" s="25" t="str">
        <f>IFERROR(__xludf.DUMMYFUNCTION("SPLIT(C445,""
"")"),"Spalding, Dawn")</f>
        <v>Spalding, Dawn</v>
      </c>
      <c r="AA445" s="25" t="str">
        <f>IFERROR(__xludf.DUMMYFUNCTION("""COMPUTED_VALUE"""),"25 Highland Park Village")</f>
        <v>25 Highland Park Village</v>
      </c>
      <c r="AB445" s="25" t="str">
        <f>IFERROR(__xludf.DUMMYFUNCTION("""COMPUTED_VALUE"""),"Dallas, TX 75205")</f>
        <v>Dallas, TX 75205</v>
      </c>
      <c r="AC445" s="24" t="s">
        <v>1242</v>
      </c>
      <c r="AD445" s="25"/>
      <c r="AE445" s="25"/>
      <c r="AF445" s="25"/>
      <c r="AG445" s="40" t="s">
        <v>60</v>
      </c>
      <c r="AH445" s="42">
        <v>2445.0</v>
      </c>
      <c r="AI445" s="40" t="s">
        <v>61</v>
      </c>
      <c r="AJ445" s="27">
        <v>50.0</v>
      </c>
      <c r="AK445" s="31" t="s">
        <v>30</v>
      </c>
      <c r="AL445" s="43">
        <v>44741.0</v>
      </c>
      <c r="AM445" s="44">
        <v>44755.778402777774</v>
      </c>
      <c r="AN445" s="30">
        <v>2.0</v>
      </c>
      <c r="AO445" s="40"/>
      <c r="AP445" s="40"/>
      <c r="AQ445" s="40"/>
      <c r="AR445" s="40"/>
      <c r="AS445" s="40"/>
      <c r="AT445" s="47"/>
      <c r="AU445" s="40"/>
      <c r="AV445" s="46" t="str">
        <f>IFERROR(__xludf.DUMMYFUNCTION("""COMPUTED_VALUE"""),"Minnis")</f>
        <v>Minnis</v>
      </c>
      <c r="AW445" s="46">
        <f t="shared" si="7"/>
        <v>250</v>
      </c>
      <c r="AX445" s="47">
        <f t="shared" ref="AX445:BQ445" si="1445">SUMIFS($AJ:$AJ,$V:$V,$AV445,$AK:$AK,AX$2)</f>
        <v>0</v>
      </c>
      <c r="AY445" s="48">
        <f t="shared" si="1445"/>
        <v>0</v>
      </c>
      <c r="AZ445" s="48">
        <f t="shared" si="1445"/>
        <v>0</v>
      </c>
      <c r="BA445" s="48">
        <f t="shared" si="1445"/>
        <v>0</v>
      </c>
      <c r="BB445" s="48">
        <f t="shared" si="1445"/>
        <v>0</v>
      </c>
      <c r="BC445" s="48">
        <f t="shared" si="1445"/>
        <v>0</v>
      </c>
      <c r="BD445" s="48">
        <f t="shared" si="1445"/>
        <v>0</v>
      </c>
      <c r="BE445" s="48">
        <f t="shared" si="1445"/>
        <v>0</v>
      </c>
      <c r="BF445" s="48">
        <f t="shared" si="1445"/>
        <v>250</v>
      </c>
      <c r="BG445" s="48">
        <f t="shared" si="1445"/>
        <v>0</v>
      </c>
      <c r="BH445" s="48">
        <f t="shared" si="1445"/>
        <v>0</v>
      </c>
      <c r="BI445" s="48">
        <f t="shared" si="1445"/>
        <v>0</v>
      </c>
      <c r="BJ445" s="48">
        <f t="shared" si="1445"/>
        <v>0</v>
      </c>
      <c r="BK445" s="48">
        <f t="shared" si="1445"/>
        <v>0</v>
      </c>
      <c r="BL445" s="48">
        <f t="shared" si="1445"/>
        <v>0</v>
      </c>
      <c r="BM445" s="48">
        <f t="shared" si="1445"/>
        <v>0</v>
      </c>
      <c r="BN445" s="48">
        <f t="shared" si="1445"/>
        <v>0</v>
      </c>
      <c r="BO445" s="48">
        <f t="shared" si="1445"/>
        <v>0</v>
      </c>
      <c r="BP445" s="48">
        <f t="shared" si="1445"/>
        <v>0</v>
      </c>
      <c r="BQ445" s="48">
        <f t="shared" si="1445"/>
        <v>0</v>
      </c>
      <c r="BR445" s="36">
        <f t="shared" si="9"/>
        <v>0</v>
      </c>
      <c r="BS445" s="38">
        <f t="shared" si="10"/>
        <v>1</v>
      </c>
      <c r="BT445" s="49">
        <f t="shared" si="11"/>
        <v>0</v>
      </c>
      <c r="BU445" s="38">
        <f t="shared" si="12"/>
        <v>1000</v>
      </c>
      <c r="BV445" s="46" t="str">
        <f>IFERROR(__xludf.DUMMYFUNCTION("""COMPUTED_VALUE"""),"Minnis")</f>
        <v>Minnis</v>
      </c>
      <c r="BW445" s="46">
        <f t="shared" si="13"/>
        <v>250</v>
      </c>
      <c r="BX445" s="47">
        <f t="shared" ref="BX445:CA445" si="1446">AX445-$BU445</f>
        <v>-1000</v>
      </c>
      <c r="BY445" s="47">
        <f t="shared" si="1446"/>
        <v>-1000</v>
      </c>
      <c r="BZ445" s="47">
        <f t="shared" si="1446"/>
        <v>-1000</v>
      </c>
      <c r="CA445" s="47">
        <f t="shared" si="1446"/>
        <v>-1000</v>
      </c>
      <c r="CB445" s="47">
        <f t="shared" si="15"/>
        <v>-10000</v>
      </c>
      <c r="CC445" s="47">
        <f t="shared" ref="CC445:CQ445" si="1447">BC445-$BU445</f>
        <v>-1000</v>
      </c>
      <c r="CD445" s="47">
        <f t="shared" si="1447"/>
        <v>-1000</v>
      </c>
      <c r="CE445" s="47">
        <f t="shared" si="1447"/>
        <v>-1000</v>
      </c>
      <c r="CF445" s="47">
        <f t="shared" si="1447"/>
        <v>-750</v>
      </c>
      <c r="CG445" s="47">
        <f t="shared" si="1447"/>
        <v>-1000</v>
      </c>
      <c r="CH445" s="47">
        <f t="shared" si="1447"/>
        <v>-1000</v>
      </c>
      <c r="CI445" s="47">
        <f t="shared" si="1447"/>
        <v>-1000</v>
      </c>
      <c r="CJ445" s="47">
        <f t="shared" si="1447"/>
        <v>-1000</v>
      </c>
      <c r="CK445" s="47">
        <f t="shared" si="1447"/>
        <v>-1000</v>
      </c>
      <c r="CL445" s="47">
        <f t="shared" si="1447"/>
        <v>-1000</v>
      </c>
      <c r="CM445" s="47">
        <f t="shared" si="1447"/>
        <v>-1000</v>
      </c>
      <c r="CN445" s="47">
        <f t="shared" si="1447"/>
        <v>-1000</v>
      </c>
      <c r="CO445" s="47">
        <f t="shared" si="1447"/>
        <v>-1000</v>
      </c>
      <c r="CP445" s="47">
        <f t="shared" si="1447"/>
        <v>-1000</v>
      </c>
      <c r="CQ445" s="47">
        <f t="shared" si="1447"/>
        <v>-1000</v>
      </c>
      <c r="CR445" s="47"/>
      <c r="CS445" s="47"/>
      <c r="CT445" s="47"/>
      <c r="CU445" s="50" t="str">
        <f>IFERROR(__xludf.DUMMYFUNCTION("""COMPUTED_VALUE"""),"6615 Lange Circle
Dallas, TX 75214          ")</f>
        <v>6615 Lange Circle
Dallas, TX 75214          </v>
      </c>
      <c r="CV445" s="51">
        <f>IFERROR(__xludf.DUMMYFUNCTION("IF(REGEXMATCH(UPPER(CU445), ""TX""),0,1)"),0.0)</f>
        <v>0</v>
      </c>
      <c r="CW445" s="51">
        <f>IFERROR(__xludf.DUMMYFUNCTION("IF(REGEXMATCH(UPPER(CU445), ""DALLAS""),0,1)"),0.0)</f>
        <v>0</v>
      </c>
      <c r="CX445" s="51">
        <f t="shared" si="17"/>
        <v>0</v>
      </c>
      <c r="CY445" s="51">
        <f t="shared" si="18"/>
        <v>0</v>
      </c>
      <c r="CZ445" s="52" t="str">
        <f t="shared" si="19"/>
        <v/>
      </c>
      <c r="DA445" s="58"/>
      <c r="DB445" s="52"/>
      <c r="DC445" s="52"/>
      <c r="DD445" s="52"/>
      <c r="DE445" s="52"/>
      <c r="DF445" s="52"/>
      <c r="DG445" s="52"/>
      <c r="DH445" s="52"/>
      <c r="DI445" s="52"/>
      <c r="DJ445" s="52"/>
      <c r="DK445" s="52"/>
      <c r="DL445" s="52"/>
      <c r="DM445" s="52"/>
      <c r="DN445" s="52"/>
      <c r="DO445" s="52"/>
      <c r="DP445" s="52"/>
      <c r="DQ445" s="52"/>
      <c r="DR445" s="52"/>
      <c r="DS445" s="52"/>
      <c r="DT445" s="52"/>
      <c r="DU445" s="52"/>
      <c r="DV445" s="52"/>
      <c r="DW445" s="52"/>
    </row>
    <row r="446">
      <c r="A446" s="22" t="s">
        <v>55</v>
      </c>
      <c r="B446" s="23" t="s">
        <v>56</v>
      </c>
      <c r="C446" s="31" t="s">
        <v>1243</v>
      </c>
      <c r="D446" s="25" t="str">
        <f>IFERROR(__xludf.DUMMYFUNCTION("SPLIT(C446,"" "")"),"Hunt,")</f>
        <v>Hunt,</v>
      </c>
      <c r="E446" s="22" t="str">
        <f>IFERROR(__xludf.DUMMYFUNCTION("""COMPUTED_VALUE"""),"Amy
10615")</f>
        <v>Amy
10615</v>
      </c>
      <c r="F446" s="22" t="str">
        <f>IFERROR(__xludf.DUMMYFUNCTION("""COMPUTED_VALUE"""),"Royal")</f>
        <v>Royal</v>
      </c>
      <c r="G446" s="22" t="str">
        <f>IFERROR(__xludf.DUMMYFUNCTION("""COMPUTED_VALUE"""),"Club")</f>
        <v>Club</v>
      </c>
      <c r="H446" s="22" t="str">
        <f>IFERROR(__xludf.DUMMYFUNCTION("""COMPUTED_VALUE"""),"Ln
Dallas,")</f>
        <v>Ln
Dallas,</v>
      </c>
      <c r="I446" s="22" t="str">
        <f>IFERROR(__xludf.DUMMYFUNCTION("""COMPUTED_VALUE"""),"TX")</f>
        <v>TX</v>
      </c>
      <c r="J446" s="22">
        <f>IFERROR(__xludf.DUMMYFUNCTION("""COMPUTED_VALUE"""),75229.0)</f>
        <v>75229</v>
      </c>
      <c r="K446" s="22"/>
      <c r="L446" s="22"/>
      <c r="M446" s="22"/>
      <c r="N446" s="22"/>
      <c r="O446" s="22"/>
      <c r="P446" s="22"/>
      <c r="Q446" s="22"/>
      <c r="R446" s="22"/>
      <c r="S446" s="22"/>
      <c r="T446" s="22"/>
      <c r="U446" s="24" t="str">
        <f>IFERROR(__xludf.DUMMYFUNCTION("SPLIT(E446,""01234567890"")"),"Amy
")</f>
        <v>Amy
</v>
      </c>
      <c r="V446" s="24" t="str">
        <f>IFERROR(__xludf.DUMMYFUNCTION("SPLIT(D446,"","")"),"Hunt")</f>
        <v>Hunt</v>
      </c>
      <c r="W446" s="25" t="str">
        <f t="shared" si="1"/>
        <v>AMY
 HUNT</v>
      </c>
      <c r="X446" s="25" t="s">
        <v>1244</v>
      </c>
      <c r="Y446" s="25">
        <v>75229.0</v>
      </c>
      <c r="Z446" s="25" t="str">
        <f>IFERROR(__xludf.DUMMYFUNCTION("SPLIT(C446,""
"")"),"Hunt, Amy")</f>
        <v>Hunt, Amy</v>
      </c>
      <c r="AA446" s="25" t="str">
        <f>IFERROR(__xludf.DUMMYFUNCTION("""COMPUTED_VALUE"""),"10615 Royal Club Ln")</f>
        <v>10615 Royal Club Ln</v>
      </c>
      <c r="AB446" s="25" t="str">
        <f>IFERROR(__xludf.DUMMYFUNCTION("""COMPUTED_VALUE"""),"Dallas, TX 75229")</f>
        <v>Dallas, TX 75229</v>
      </c>
      <c r="AC446" s="24" t="s">
        <v>1245</v>
      </c>
      <c r="AD446" s="25"/>
      <c r="AE446" s="25"/>
      <c r="AF446" s="25"/>
      <c r="AG446" s="22" t="s">
        <v>60</v>
      </c>
      <c r="AH446" s="54">
        <v>2445.0</v>
      </c>
      <c r="AI446" s="22" t="s">
        <v>61</v>
      </c>
      <c r="AJ446" s="27">
        <v>100.0</v>
      </c>
      <c r="AK446" s="31" t="s">
        <v>30</v>
      </c>
      <c r="AL446" s="28">
        <v>44741.0</v>
      </c>
      <c r="AM446" s="29">
        <v>44755.778402777774</v>
      </c>
      <c r="AN446" s="30">
        <v>2.0</v>
      </c>
      <c r="AO446" s="22"/>
      <c r="AP446" s="22"/>
      <c r="AQ446" s="22"/>
      <c r="AR446" s="22"/>
      <c r="AS446" s="22"/>
      <c r="AT446" s="70"/>
      <c r="AU446" s="22"/>
      <c r="AV446" s="57" t="str">
        <f>IFERROR(__xludf.DUMMYFUNCTION("""COMPUTED_VALUE"""),"Cadena")</f>
        <v>Cadena</v>
      </c>
      <c r="AW446" s="46">
        <f t="shared" si="7"/>
        <v>500</v>
      </c>
      <c r="AX446" s="47">
        <f t="shared" ref="AX446:BQ446" si="1448">SUMIFS($AJ:$AJ,$V:$V,$AV446,$AK:$AK,AX$2)</f>
        <v>0</v>
      </c>
      <c r="AY446" s="48">
        <f t="shared" si="1448"/>
        <v>0</v>
      </c>
      <c r="AZ446" s="48">
        <f t="shared" si="1448"/>
        <v>0</v>
      </c>
      <c r="BA446" s="48">
        <f t="shared" si="1448"/>
        <v>0</v>
      </c>
      <c r="BB446" s="48">
        <f t="shared" si="1448"/>
        <v>0</v>
      </c>
      <c r="BC446" s="48">
        <f t="shared" si="1448"/>
        <v>0</v>
      </c>
      <c r="BD446" s="48">
        <f t="shared" si="1448"/>
        <v>0</v>
      </c>
      <c r="BE446" s="48">
        <f t="shared" si="1448"/>
        <v>0</v>
      </c>
      <c r="BF446" s="48">
        <f t="shared" si="1448"/>
        <v>500</v>
      </c>
      <c r="BG446" s="48">
        <f t="shared" si="1448"/>
        <v>0</v>
      </c>
      <c r="BH446" s="48">
        <f t="shared" si="1448"/>
        <v>0</v>
      </c>
      <c r="BI446" s="48">
        <f t="shared" si="1448"/>
        <v>0</v>
      </c>
      <c r="BJ446" s="48">
        <f t="shared" si="1448"/>
        <v>0</v>
      </c>
      <c r="BK446" s="48">
        <f t="shared" si="1448"/>
        <v>0</v>
      </c>
      <c r="BL446" s="48">
        <f t="shared" si="1448"/>
        <v>0</v>
      </c>
      <c r="BM446" s="48">
        <f t="shared" si="1448"/>
        <v>0</v>
      </c>
      <c r="BN446" s="48">
        <f t="shared" si="1448"/>
        <v>0</v>
      </c>
      <c r="BO446" s="48">
        <f t="shared" si="1448"/>
        <v>0</v>
      </c>
      <c r="BP446" s="48">
        <f t="shared" si="1448"/>
        <v>0</v>
      </c>
      <c r="BQ446" s="48">
        <f t="shared" si="1448"/>
        <v>0</v>
      </c>
      <c r="BR446" s="36">
        <f t="shared" si="9"/>
        <v>0</v>
      </c>
      <c r="BS446" s="38">
        <f t="shared" si="10"/>
        <v>1</v>
      </c>
      <c r="BT446" s="49">
        <f t="shared" si="11"/>
        <v>0</v>
      </c>
      <c r="BU446" s="38">
        <f t="shared" si="12"/>
        <v>1000</v>
      </c>
      <c r="BV446" s="57" t="str">
        <f>IFERROR(__xludf.DUMMYFUNCTION("""COMPUTED_VALUE"""),"Cadena")</f>
        <v>Cadena</v>
      </c>
      <c r="BW446" s="46">
        <f t="shared" si="13"/>
        <v>500</v>
      </c>
      <c r="BX446" s="47">
        <f t="shared" ref="BX446:CA446" si="1449">AX446-$BU446</f>
        <v>-1000</v>
      </c>
      <c r="BY446" s="47">
        <f t="shared" si="1449"/>
        <v>-1000</v>
      </c>
      <c r="BZ446" s="47">
        <f t="shared" si="1449"/>
        <v>-1000</v>
      </c>
      <c r="CA446" s="47">
        <f t="shared" si="1449"/>
        <v>-1000</v>
      </c>
      <c r="CB446" s="47">
        <f t="shared" si="15"/>
        <v>-10000</v>
      </c>
      <c r="CC446" s="47">
        <f t="shared" ref="CC446:CQ446" si="1450">BC446-$BU446</f>
        <v>-1000</v>
      </c>
      <c r="CD446" s="47">
        <f t="shared" si="1450"/>
        <v>-1000</v>
      </c>
      <c r="CE446" s="47">
        <f t="shared" si="1450"/>
        <v>-1000</v>
      </c>
      <c r="CF446" s="47">
        <f t="shared" si="1450"/>
        <v>-500</v>
      </c>
      <c r="CG446" s="47">
        <f t="shared" si="1450"/>
        <v>-1000</v>
      </c>
      <c r="CH446" s="47">
        <f t="shared" si="1450"/>
        <v>-1000</v>
      </c>
      <c r="CI446" s="47">
        <f t="shared" si="1450"/>
        <v>-1000</v>
      </c>
      <c r="CJ446" s="47">
        <f t="shared" si="1450"/>
        <v>-1000</v>
      </c>
      <c r="CK446" s="47">
        <f t="shared" si="1450"/>
        <v>-1000</v>
      </c>
      <c r="CL446" s="47">
        <f t="shared" si="1450"/>
        <v>-1000</v>
      </c>
      <c r="CM446" s="47">
        <f t="shared" si="1450"/>
        <v>-1000</v>
      </c>
      <c r="CN446" s="47">
        <f t="shared" si="1450"/>
        <v>-1000</v>
      </c>
      <c r="CO446" s="47">
        <f t="shared" si="1450"/>
        <v>-1000</v>
      </c>
      <c r="CP446" s="47">
        <f t="shared" si="1450"/>
        <v>-1000</v>
      </c>
      <c r="CQ446" s="47">
        <f t="shared" si="1450"/>
        <v>-1000</v>
      </c>
      <c r="CR446" s="47"/>
      <c r="CS446" s="47"/>
      <c r="CT446" s="47"/>
      <c r="CU446" s="50" t="str">
        <f>IFERROR(__xludf.DUMMYFUNCTION("""COMPUTED_VALUE"""),"7110 Lakewood Blvd
Dallas, TX 75214          ")</f>
        <v>7110 Lakewood Blvd
Dallas, TX 75214          </v>
      </c>
      <c r="CV446" s="51">
        <f>IFERROR(__xludf.DUMMYFUNCTION("IF(REGEXMATCH(UPPER(CU446), ""TX""),0,1)"),0.0)</f>
        <v>0</v>
      </c>
      <c r="CW446" s="51">
        <f>IFERROR(__xludf.DUMMYFUNCTION("IF(REGEXMATCH(UPPER(CU446), ""DALLAS""),0,1)"),0.0)</f>
        <v>0</v>
      </c>
      <c r="CX446" s="51">
        <f t="shared" si="17"/>
        <v>0</v>
      </c>
      <c r="CY446" s="51">
        <f t="shared" si="18"/>
        <v>0</v>
      </c>
      <c r="CZ446" s="52" t="str">
        <f t="shared" si="19"/>
        <v/>
      </c>
      <c r="DA446" s="58"/>
      <c r="DB446" s="52"/>
      <c r="DC446" s="52"/>
      <c r="DD446" s="52"/>
      <c r="DE446" s="52"/>
      <c r="DF446" s="52"/>
      <c r="DG446" s="52"/>
      <c r="DH446" s="52"/>
      <c r="DI446" s="52"/>
      <c r="DJ446" s="52"/>
      <c r="DK446" s="52"/>
      <c r="DL446" s="52"/>
      <c r="DM446" s="52"/>
      <c r="DN446" s="52"/>
      <c r="DO446" s="52"/>
      <c r="DP446" s="52"/>
      <c r="DQ446" s="52"/>
      <c r="DR446" s="52"/>
      <c r="DS446" s="52"/>
      <c r="DT446" s="52"/>
      <c r="DU446" s="52"/>
      <c r="DV446" s="52"/>
      <c r="DW446" s="52"/>
    </row>
    <row r="447">
      <c r="A447" s="40" t="s">
        <v>55</v>
      </c>
      <c r="B447" s="41" t="s">
        <v>56</v>
      </c>
      <c r="C447" s="31" t="s">
        <v>1246</v>
      </c>
      <c r="D447" s="25" t="str">
        <f>IFERROR(__xludf.DUMMYFUNCTION("SPLIT(C447,"" "")"),"Murchison,")</f>
        <v>Murchison,</v>
      </c>
      <c r="E447" s="40" t="str">
        <f>IFERROR(__xludf.DUMMYFUNCTION("""COMPUTED_VALUE"""),"Maggie
10131")</f>
        <v>Maggie
10131</v>
      </c>
      <c r="F447" s="40" t="str">
        <f>IFERROR(__xludf.DUMMYFUNCTION("""COMPUTED_VALUE"""),"Gaywood")</f>
        <v>Gaywood</v>
      </c>
      <c r="G447" s="40" t="str">
        <f>IFERROR(__xludf.DUMMYFUNCTION("""COMPUTED_VALUE"""),"Rd.
Dallas,")</f>
        <v>Rd.
Dallas,</v>
      </c>
      <c r="H447" s="40" t="str">
        <f>IFERROR(__xludf.DUMMYFUNCTION("""COMPUTED_VALUE"""),"TX")</f>
        <v>TX</v>
      </c>
      <c r="I447" s="40">
        <f>IFERROR(__xludf.DUMMYFUNCTION("""COMPUTED_VALUE"""),75229.0)</f>
        <v>75229</v>
      </c>
      <c r="J447" s="40"/>
      <c r="K447" s="40"/>
      <c r="L447" s="40"/>
      <c r="M447" s="40"/>
      <c r="N447" s="40"/>
      <c r="O447" s="40"/>
      <c r="P447" s="40"/>
      <c r="Q447" s="40"/>
      <c r="R447" s="40"/>
      <c r="S447" s="40"/>
      <c r="T447" s="40"/>
      <c r="U447" s="24" t="str">
        <f>IFERROR(__xludf.DUMMYFUNCTION("SPLIT(E447,""01234567890"")"),"Maggie
")</f>
        <v>Maggie
</v>
      </c>
      <c r="V447" s="24" t="str">
        <f>IFERROR(__xludf.DUMMYFUNCTION("SPLIT(D447,"","")"),"Murchison")</f>
        <v>Murchison</v>
      </c>
      <c r="W447" s="25" t="str">
        <f t="shared" si="1"/>
        <v>MAGGIE
 MURCHISON</v>
      </c>
      <c r="X447" s="25" t="s">
        <v>1247</v>
      </c>
      <c r="Y447" s="25">
        <v>75229.0</v>
      </c>
      <c r="Z447" s="25" t="str">
        <f>IFERROR(__xludf.DUMMYFUNCTION("SPLIT(C447,""
"")"),"Murchison, Maggie")</f>
        <v>Murchison, Maggie</v>
      </c>
      <c r="AA447" s="25" t="str">
        <f>IFERROR(__xludf.DUMMYFUNCTION("""COMPUTED_VALUE"""),"10131 Gaywood Rd.")</f>
        <v>10131 Gaywood Rd.</v>
      </c>
      <c r="AB447" s="25" t="str">
        <f>IFERROR(__xludf.DUMMYFUNCTION("""COMPUTED_VALUE"""),"Dallas, TX 75229")</f>
        <v>Dallas, TX 75229</v>
      </c>
      <c r="AC447" s="24" t="s">
        <v>1248</v>
      </c>
      <c r="AD447" s="25"/>
      <c r="AE447" s="25"/>
      <c r="AF447" s="25"/>
      <c r="AG447" s="40" t="s">
        <v>60</v>
      </c>
      <c r="AH447" s="42">
        <v>2445.0</v>
      </c>
      <c r="AI447" s="40" t="s">
        <v>61</v>
      </c>
      <c r="AJ447" s="27">
        <v>2500.0</v>
      </c>
      <c r="AK447" s="31" t="s">
        <v>30</v>
      </c>
      <c r="AL447" s="43">
        <v>44738.0</v>
      </c>
      <c r="AM447" s="44">
        <v>44755.778402777774</v>
      </c>
      <c r="AN447" s="30">
        <v>2.0</v>
      </c>
      <c r="AO447" s="40"/>
      <c r="AP447" s="40"/>
      <c r="AQ447" s="40"/>
      <c r="AR447" s="40"/>
      <c r="AS447" s="40"/>
      <c r="AT447" s="47"/>
      <c r="AU447" s="40"/>
      <c r="AV447" s="46" t="str">
        <f>IFERROR(__xludf.DUMMYFUNCTION("""COMPUTED_VALUE"""),"Reznik")</f>
        <v>Reznik</v>
      </c>
      <c r="AW447" s="46">
        <f t="shared" si="7"/>
        <v>125</v>
      </c>
      <c r="AX447" s="47">
        <f t="shared" ref="AX447:BQ447" si="1451">SUMIFS($AJ:$AJ,$V:$V,$AV447,$AK:$AK,AX$2)</f>
        <v>0</v>
      </c>
      <c r="AY447" s="48">
        <f t="shared" si="1451"/>
        <v>0</v>
      </c>
      <c r="AZ447" s="48">
        <f t="shared" si="1451"/>
        <v>0</v>
      </c>
      <c r="BA447" s="48">
        <f t="shared" si="1451"/>
        <v>0</v>
      </c>
      <c r="BB447" s="48">
        <f t="shared" si="1451"/>
        <v>0</v>
      </c>
      <c r="BC447" s="48">
        <f t="shared" si="1451"/>
        <v>0</v>
      </c>
      <c r="BD447" s="48">
        <f t="shared" si="1451"/>
        <v>0</v>
      </c>
      <c r="BE447" s="48">
        <f t="shared" si="1451"/>
        <v>0</v>
      </c>
      <c r="BF447" s="48">
        <f t="shared" si="1451"/>
        <v>125</v>
      </c>
      <c r="BG447" s="48">
        <f t="shared" si="1451"/>
        <v>0</v>
      </c>
      <c r="BH447" s="48">
        <f t="shared" si="1451"/>
        <v>0</v>
      </c>
      <c r="BI447" s="48">
        <f t="shared" si="1451"/>
        <v>0</v>
      </c>
      <c r="BJ447" s="48">
        <f t="shared" si="1451"/>
        <v>0</v>
      </c>
      <c r="BK447" s="48">
        <f t="shared" si="1451"/>
        <v>0</v>
      </c>
      <c r="BL447" s="48">
        <f t="shared" si="1451"/>
        <v>0</v>
      </c>
      <c r="BM447" s="48">
        <f t="shared" si="1451"/>
        <v>0</v>
      </c>
      <c r="BN447" s="48">
        <f t="shared" si="1451"/>
        <v>0</v>
      </c>
      <c r="BO447" s="48">
        <f t="shared" si="1451"/>
        <v>0</v>
      </c>
      <c r="BP447" s="48">
        <f t="shared" si="1451"/>
        <v>0</v>
      </c>
      <c r="BQ447" s="48">
        <f t="shared" si="1451"/>
        <v>0</v>
      </c>
      <c r="BR447" s="36">
        <f t="shared" si="9"/>
        <v>0</v>
      </c>
      <c r="BS447" s="38">
        <f t="shared" si="10"/>
        <v>1</v>
      </c>
      <c r="BT447" s="49">
        <f t="shared" si="11"/>
        <v>0</v>
      </c>
      <c r="BU447" s="38">
        <f t="shared" si="12"/>
        <v>1000</v>
      </c>
      <c r="BV447" s="46" t="str">
        <f>IFERROR(__xludf.DUMMYFUNCTION("""COMPUTED_VALUE"""),"Reznik")</f>
        <v>Reznik</v>
      </c>
      <c r="BW447" s="46">
        <f t="shared" si="13"/>
        <v>125</v>
      </c>
      <c r="BX447" s="47">
        <f t="shared" ref="BX447:CA447" si="1452">AX447-$BU447</f>
        <v>-1000</v>
      </c>
      <c r="BY447" s="47">
        <f t="shared" si="1452"/>
        <v>-1000</v>
      </c>
      <c r="BZ447" s="47">
        <f t="shared" si="1452"/>
        <v>-1000</v>
      </c>
      <c r="CA447" s="47">
        <f t="shared" si="1452"/>
        <v>-1000</v>
      </c>
      <c r="CB447" s="47">
        <f t="shared" si="15"/>
        <v>-10000</v>
      </c>
      <c r="CC447" s="47">
        <f t="shared" ref="CC447:CQ447" si="1453">BC447-$BU447</f>
        <v>-1000</v>
      </c>
      <c r="CD447" s="47">
        <f t="shared" si="1453"/>
        <v>-1000</v>
      </c>
      <c r="CE447" s="47">
        <f t="shared" si="1453"/>
        <v>-1000</v>
      </c>
      <c r="CF447" s="47">
        <f t="shared" si="1453"/>
        <v>-875</v>
      </c>
      <c r="CG447" s="47">
        <f t="shared" si="1453"/>
        <v>-1000</v>
      </c>
      <c r="CH447" s="47">
        <f t="shared" si="1453"/>
        <v>-1000</v>
      </c>
      <c r="CI447" s="47">
        <f t="shared" si="1453"/>
        <v>-1000</v>
      </c>
      <c r="CJ447" s="47">
        <f t="shared" si="1453"/>
        <v>-1000</v>
      </c>
      <c r="CK447" s="47">
        <f t="shared" si="1453"/>
        <v>-1000</v>
      </c>
      <c r="CL447" s="47">
        <f t="shared" si="1453"/>
        <v>-1000</v>
      </c>
      <c r="CM447" s="47">
        <f t="shared" si="1453"/>
        <v>-1000</v>
      </c>
      <c r="CN447" s="47">
        <f t="shared" si="1453"/>
        <v>-1000</v>
      </c>
      <c r="CO447" s="47">
        <f t="shared" si="1453"/>
        <v>-1000</v>
      </c>
      <c r="CP447" s="47">
        <f t="shared" si="1453"/>
        <v>-1000</v>
      </c>
      <c r="CQ447" s="47">
        <f t="shared" si="1453"/>
        <v>-1000</v>
      </c>
      <c r="CR447" s="47"/>
      <c r="CS447" s="47"/>
      <c r="CT447" s="47"/>
      <c r="CU447" s="50" t="str">
        <f>IFERROR(__xludf.DUMMYFUNCTION("""COMPUTED_VALUE"""),"9623 Athelone
Dallas, TX 75218           ")</f>
        <v>9623 Athelone
Dallas, TX 75218           </v>
      </c>
      <c r="CV447" s="51">
        <f>IFERROR(__xludf.DUMMYFUNCTION("IF(REGEXMATCH(UPPER(CU447), ""TX""),0,1)"),0.0)</f>
        <v>0</v>
      </c>
      <c r="CW447" s="51">
        <f>IFERROR(__xludf.DUMMYFUNCTION("IF(REGEXMATCH(UPPER(CU447), ""DALLAS""),0,1)"),0.0)</f>
        <v>0</v>
      </c>
      <c r="CX447" s="51">
        <f t="shared" si="17"/>
        <v>0</v>
      </c>
      <c r="CY447" s="51">
        <f t="shared" si="18"/>
        <v>0</v>
      </c>
      <c r="CZ447" s="52" t="str">
        <f t="shared" si="19"/>
        <v/>
      </c>
      <c r="DA447" s="58"/>
      <c r="DB447" s="52"/>
      <c r="DC447" s="52"/>
      <c r="DD447" s="52"/>
      <c r="DE447" s="52"/>
      <c r="DF447" s="52"/>
      <c r="DG447" s="52"/>
      <c r="DH447" s="52"/>
      <c r="DI447" s="52"/>
      <c r="DJ447" s="52"/>
      <c r="DK447" s="52"/>
      <c r="DL447" s="52"/>
      <c r="DM447" s="52"/>
      <c r="DN447" s="52"/>
      <c r="DO447" s="52"/>
      <c r="DP447" s="52"/>
      <c r="DQ447" s="52"/>
      <c r="DR447" s="52"/>
      <c r="DS447" s="52"/>
      <c r="DT447" s="52"/>
      <c r="DU447" s="52"/>
      <c r="DV447" s="52"/>
      <c r="DW447" s="52"/>
    </row>
    <row r="448">
      <c r="A448" s="22" t="s">
        <v>55</v>
      </c>
      <c r="B448" s="23" t="s">
        <v>56</v>
      </c>
      <c r="C448" s="31" t="s">
        <v>1249</v>
      </c>
      <c r="D448" s="25" t="str">
        <f>IFERROR(__xludf.DUMMYFUNCTION("SPLIT(C448,"" "")"),"Huntington,")</f>
        <v>Huntington,</v>
      </c>
      <c r="E448" s="22" t="str">
        <f>IFERROR(__xludf.DUMMYFUNCTION("""COMPUTED_VALUE"""),"Ann
5020")</f>
        <v>Ann
5020</v>
      </c>
      <c r="F448" s="22" t="str">
        <f>IFERROR(__xludf.DUMMYFUNCTION("""COMPUTED_VALUE"""),"Lilac")</f>
        <v>Lilac</v>
      </c>
      <c r="G448" s="22" t="str">
        <f>IFERROR(__xludf.DUMMYFUNCTION("""COMPUTED_VALUE"""),"Lane
Dallas,")</f>
        <v>Lane
Dallas,</v>
      </c>
      <c r="H448" s="22" t="str">
        <f>IFERROR(__xludf.DUMMYFUNCTION("""COMPUTED_VALUE"""),"TX")</f>
        <v>TX</v>
      </c>
      <c r="I448" s="22">
        <f>IFERROR(__xludf.DUMMYFUNCTION("""COMPUTED_VALUE"""),75209.0)</f>
        <v>75209</v>
      </c>
      <c r="J448" s="22"/>
      <c r="K448" s="22"/>
      <c r="L448" s="22"/>
      <c r="M448" s="22"/>
      <c r="N448" s="22"/>
      <c r="O448" s="22"/>
      <c r="P448" s="22"/>
      <c r="Q448" s="22"/>
      <c r="R448" s="22"/>
      <c r="S448" s="22"/>
      <c r="T448" s="22"/>
      <c r="U448" s="24" t="str">
        <f>IFERROR(__xludf.DUMMYFUNCTION("SPLIT(E448,""01234567890"")"),"Ann
")</f>
        <v>Ann
</v>
      </c>
      <c r="V448" s="24" t="str">
        <f>IFERROR(__xludf.DUMMYFUNCTION("SPLIT(D448,"","")"),"Huntington")</f>
        <v>Huntington</v>
      </c>
      <c r="W448" s="25" t="str">
        <f t="shared" si="1"/>
        <v>ANN
 HUNTINGTON</v>
      </c>
      <c r="X448" s="25" t="s">
        <v>1250</v>
      </c>
      <c r="Y448" s="25">
        <v>75209.0</v>
      </c>
      <c r="Z448" s="25" t="str">
        <f>IFERROR(__xludf.DUMMYFUNCTION("SPLIT(C448,""
"")"),"Huntington, Ann")</f>
        <v>Huntington, Ann</v>
      </c>
      <c r="AA448" s="25" t="str">
        <f>IFERROR(__xludf.DUMMYFUNCTION("""COMPUTED_VALUE"""),"5020 Lilac Lane")</f>
        <v>5020 Lilac Lane</v>
      </c>
      <c r="AB448" s="25" t="str">
        <f>IFERROR(__xludf.DUMMYFUNCTION("""COMPUTED_VALUE"""),"Dallas, TX 75209")</f>
        <v>Dallas, TX 75209</v>
      </c>
      <c r="AC448" s="24" t="s">
        <v>1251</v>
      </c>
      <c r="AD448" s="25"/>
      <c r="AE448" s="25"/>
      <c r="AF448" s="25"/>
      <c r="AG448" s="22" t="s">
        <v>60</v>
      </c>
      <c r="AH448" s="54">
        <v>2445.0</v>
      </c>
      <c r="AI448" s="22" t="s">
        <v>61</v>
      </c>
      <c r="AJ448" s="27">
        <v>200.0</v>
      </c>
      <c r="AK448" s="31" t="s">
        <v>30</v>
      </c>
      <c r="AL448" s="28">
        <v>44735.0</v>
      </c>
      <c r="AM448" s="29">
        <v>44755.778402777774</v>
      </c>
      <c r="AN448" s="30">
        <v>2.0</v>
      </c>
      <c r="AO448" s="22"/>
      <c r="AP448" s="22"/>
      <c r="AQ448" s="22"/>
      <c r="AR448" s="22"/>
      <c r="AS448" s="22"/>
      <c r="AT448" s="70"/>
      <c r="AU448" s="22"/>
      <c r="AV448" s="57" t="str">
        <f>IFERROR(__xludf.DUMMYFUNCTION("""COMPUTED_VALUE"""),"Hill")</f>
        <v>Hill</v>
      </c>
      <c r="AW448" s="46">
        <f t="shared" si="7"/>
        <v>750</v>
      </c>
      <c r="AX448" s="47">
        <f t="shared" ref="AX448:BQ448" si="1454">SUMIFS($AJ:$AJ,$V:$V,$AV448,$AK:$AK,AX$2)</f>
        <v>250</v>
      </c>
      <c r="AY448" s="48">
        <f t="shared" si="1454"/>
        <v>0</v>
      </c>
      <c r="AZ448" s="48">
        <f t="shared" si="1454"/>
        <v>0</v>
      </c>
      <c r="BA448" s="48">
        <f t="shared" si="1454"/>
        <v>0</v>
      </c>
      <c r="BB448" s="48">
        <f t="shared" si="1454"/>
        <v>50</v>
      </c>
      <c r="BC448" s="48">
        <f t="shared" si="1454"/>
        <v>0</v>
      </c>
      <c r="BD448" s="48">
        <f t="shared" si="1454"/>
        <v>0</v>
      </c>
      <c r="BE448" s="48">
        <f t="shared" si="1454"/>
        <v>0</v>
      </c>
      <c r="BF448" s="48">
        <f t="shared" si="1454"/>
        <v>450</v>
      </c>
      <c r="BG448" s="48">
        <f t="shared" si="1454"/>
        <v>0</v>
      </c>
      <c r="BH448" s="48">
        <f t="shared" si="1454"/>
        <v>0</v>
      </c>
      <c r="BI448" s="48">
        <f t="shared" si="1454"/>
        <v>0</v>
      </c>
      <c r="BJ448" s="48">
        <f t="shared" si="1454"/>
        <v>0</v>
      </c>
      <c r="BK448" s="48">
        <f t="shared" si="1454"/>
        <v>0</v>
      </c>
      <c r="BL448" s="48">
        <f t="shared" si="1454"/>
        <v>0</v>
      </c>
      <c r="BM448" s="48">
        <f t="shared" si="1454"/>
        <v>0</v>
      </c>
      <c r="BN448" s="48">
        <f t="shared" si="1454"/>
        <v>0</v>
      </c>
      <c r="BO448" s="48">
        <f t="shared" si="1454"/>
        <v>0</v>
      </c>
      <c r="BP448" s="48">
        <f t="shared" si="1454"/>
        <v>0</v>
      </c>
      <c r="BQ448" s="48">
        <f t="shared" si="1454"/>
        <v>0</v>
      </c>
      <c r="BR448" s="36">
        <f t="shared" si="9"/>
        <v>1</v>
      </c>
      <c r="BS448" s="38">
        <f t="shared" si="10"/>
        <v>4</v>
      </c>
      <c r="BT448" s="49">
        <f t="shared" si="11"/>
        <v>0</v>
      </c>
      <c r="BU448" s="38">
        <f t="shared" si="12"/>
        <v>4000</v>
      </c>
      <c r="BV448" s="57" t="str">
        <f>IFERROR(__xludf.DUMMYFUNCTION("""COMPUTED_VALUE"""),"Hill")</f>
        <v>Hill</v>
      </c>
      <c r="BW448" s="46">
        <f t="shared" si="13"/>
        <v>750</v>
      </c>
      <c r="BX448" s="47">
        <f t="shared" ref="BX448:CA448" si="1455">AX448-$BU448</f>
        <v>-3750</v>
      </c>
      <c r="BY448" s="47">
        <f t="shared" si="1455"/>
        <v>-4000</v>
      </c>
      <c r="BZ448" s="47">
        <f t="shared" si="1455"/>
        <v>-4000</v>
      </c>
      <c r="CA448" s="47">
        <f t="shared" si="1455"/>
        <v>-4000</v>
      </c>
      <c r="CB448" s="47">
        <f t="shared" si="15"/>
        <v>-39950</v>
      </c>
      <c r="CC448" s="47">
        <f t="shared" ref="CC448:CQ448" si="1456">BC448-$BU448</f>
        <v>-4000</v>
      </c>
      <c r="CD448" s="47">
        <f t="shared" si="1456"/>
        <v>-4000</v>
      </c>
      <c r="CE448" s="47">
        <f t="shared" si="1456"/>
        <v>-4000</v>
      </c>
      <c r="CF448" s="47">
        <f t="shared" si="1456"/>
        <v>-3550</v>
      </c>
      <c r="CG448" s="47">
        <f t="shared" si="1456"/>
        <v>-4000</v>
      </c>
      <c r="CH448" s="47">
        <f t="shared" si="1456"/>
        <v>-4000</v>
      </c>
      <c r="CI448" s="47">
        <f t="shared" si="1456"/>
        <v>-4000</v>
      </c>
      <c r="CJ448" s="47">
        <f t="shared" si="1456"/>
        <v>-4000</v>
      </c>
      <c r="CK448" s="47">
        <f t="shared" si="1456"/>
        <v>-4000</v>
      </c>
      <c r="CL448" s="47">
        <f t="shared" si="1456"/>
        <v>-4000</v>
      </c>
      <c r="CM448" s="47">
        <f t="shared" si="1456"/>
        <v>-4000</v>
      </c>
      <c r="CN448" s="47">
        <f t="shared" si="1456"/>
        <v>-4000</v>
      </c>
      <c r="CO448" s="47">
        <f t="shared" si="1456"/>
        <v>-4000</v>
      </c>
      <c r="CP448" s="47">
        <f t="shared" si="1456"/>
        <v>-4000</v>
      </c>
      <c r="CQ448" s="47">
        <f t="shared" si="1456"/>
        <v>-4000</v>
      </c>
      <c r="CR448" s="47"/>
      <c r="CS448" s="47"/>
      <c r="CT448" s="47"/>
      <c r="CU448" s="50" t="str">
        <f>IFERROR(__xludf.DUMMYFUNCTION("""COMPUTED_VALUE"""),"5370 Medors Lane
Dallas, TX 75229          ")</f>
        <v>5370 Medors Lane
Dallas, TX 75229          </v>
      </c>
      <c r="CV448" s="51">
        <f>IFERROR(__xludf.DUMMYFUNCTION("IF(REGEXMATCH(UPPER(CU448), ""TX""),0,1)"),0.0)</f>
        <v>0</v>
      </c>
      <c r="CW448" s="51">
        <f>IFERROR(__xludf.DUMMYFUNCTION("IF(REGEXMATCH(UPPER(CU448), ""DALLAS""),0,1)"),0.0)</f>
        <v>0</v>
      </c>
      <c r="CX448" s="51">
        <f t="shared" si="17"/>
        <v>0</v>
      </c>
      <c r="CY448" s="51">
        <f t="shared" si="18"/>
        <v>0</v>
      </c>
      <c r="CZ448" s="52" t="str">
        <f t="shared" si="19"/>
        <v/>
      </c>
      <c r="DA448" s="58"/>
      <c r="DB448" s="52"/>
      <c r="DC448" s="52"/>
      <c r="DD448" s="52"/>
      <c r="DE448" s="52"/>
      <c r="DF448" s="52"/>
      <c r="DG448" s="52"/>
      <c r="DH448" s="52"/>
      <c r="DI448" s="52"/>
      <c r="DJ448" s="52"/>
      <c r="DK448" s="52"/>
      <c r="DL448" s="52"/>
      <c r="DM448" s="52"/>
      <c r="DN448" s="52"/>
      <c r="DO448" s="52"/>
      <c r="DP448" s="52"/>
      <c r="DQ448" s="52"/>
      <c r="DR448" s="52"/>
      <c r="DS448" s="52"/>
      <c r="DT448" s="52"/>
      <c r="DU448" s="52"/>
      <c r="DV448" s="52"/>
      <c r="DW448" s="52"/>
    </row>
    <row r="449">
      <c r="A449" s="40" t="s">
        <v>55</v>
      </c>
      <c r="B449" s="41" t="s">
        <v>56</v>
      </c>
      <c r="C449" s="31" t="s">
        <v>1252</v>
      </c>
      <c r="D449" s="25" t="str">
        <f>IFERROR(__xludf.DUMMYFUNCTION("SPLIT(C449,"" "")"),"Hazelton,")</f>
        <v>Hazelton,</v>
      </c>
      <c r="E449" s="40" t="str">
        <f>IFERROR(__xludf.DUMMYFUNCTION("""COMPUTED_VALUE"""),"John
4829")</f>
        <v>John
4829</v>
      </c>
      <c r="F449" s="40" t="str">
        <f>IFERROR(__xludf.DUMMYFUNCTION("""COMPUTED_VALUE"""),"Melissa")</f>
        <v>Melissa</v>
      </c>
      <c r="G449" s="40" t="str">
        <f>IFERROR(__xludf.DUMMYFUNCTION("""COMPUTED_VALUE"""),"Lane
Dallas,")</f>
        <v>Lane
Dallas,</v>
      </c>
      <c r="H449" s="40" t="str">
        <f>IFERROR(__xludf.DUMMYFUNCTION("""COMPUTED_VALUE"""),"TX")</f>
        <v>TX</v>
      </c>
      <c r="I449" s="40">
        <f>IFERROR(__xludf.DUMMYFUNCTION("""COMPUTED_VALUE"""),75229.0)</f>
        <v>75229</v>
      </c>
      <c r="J449" s="40"/>
      <c r="K449" s="40"/>
      <c r="L449" s="40"/>
      <c r="M449" s="40"/>
      <c r="N449" s="40"/>
      <c r="O449" s="40"/>
      <c r="P449" s="40"/>
      <c r="Q449" s="40"/>
      <c r="R449" s="40"/>
      <c r="S449" s="40"/>
      <c r="T449" s="40"/>
      <c r="U449" s="24" t="str">
        <f>IFERROR(__xludf.DUMMYFUNCTION("SPLIT(E449,""01234567890"")"),"John
")</f>
        <v>John
</v>
      </c>
      <c r="V449" s="24" t="str">
        <f>IFERROR(__xludf.DUMMYFUNCTION("SPLIT(D449,"","")"),"Hazelton")</f>
        <v>Hazelton</v>
      </c>
      <c r="W449" s="25" t="str">
        <f t="shared" si="1"/>
        <v>JOHN
 HAZELTON</v>
      </c>
      <c r="X449" s="25" t="s">
        <v>1253</v>
      </c>
      <c r="Y449" s="25">
        <v>75229.0</v>
      </c>
      <c r="Z449" s="25" t="str">
        <f>IFERROR(__xludf.DUMMYFUNCTION("SPLIT(C449,""
"")"),"Hazelton, John")</f>
        <v>Hazelton, John</v>
      </c>
      <c r="AA449" s="25" t="str">
        <f>IFERROR(__xludf.DUMMYFUNCTION("""COMPUTED_VALUE"""),"4829 Melissa Lane")</f>
        <v>4829 Melissa Lane</v>
      </c>
      <c r="AB449" s="25" t="str">
        <f>IFERROR(__xludf.DUMMYFUNCTION("""COMPUTED_VALUE"""),"Dallas, TX 75229")</f>
        <v>Dallas, TX 75229</v>
      </c>
      <c r="AC449" s="24" t="s">
        <v>1254</v>
      </c>
      <c r="AD449" s="25"/>
      <c r="AE449" s="25"/>
      <c r="AF449" s="25"/>
      <c r="AG449" s="40" t="s">
        <v>60</v>
      </c>
      <c r="AH449" s="42">
        <v>2445.0</v>
      </c>
      <c r="AI449" s="40" t="s">
        <v>61</v>
      </c>
      <c r="AJ449" s="27">
        <v>500.0</v>
      </c>
      <c r="AK449" s="31" t="s">
        <v>30</v>
      </c>
      <c r="AL449" s="43">
        <v>44728.0</v>
      </c>
      <c r="AM449" s="44">
        <v>44755.778402777774</v>
      </c>
      <c r="AN449" s="30">
        <v>2.0</v>
      </c>
      <c r="AO449" s="40"/>
      <c r="AP449" s="40"/>
      <c r="AQ449" s="40"/>
      <c r="AR449" s="40"/>
      <c r="AS449" s="40"/>
      <c r="AT449" s="47"/>
      <c r="AU449" s="40"/>
      <c r="AV449" s="46" t="str">
        <f>IFERROR(__xludf.DUMMYFUNCTION("""COMPUTED_VALUE"""),"Pegram")</f>
        <v>Pegram</v>
      </c>
      <c r="AW449" s="46">
        <f t="shared" si="7"/>
        <v>50</v>
      </c>
      <c r="AX449" s="47">
        <f t="shared" ref="AX449:BQ449" si="1457">SUMIFS($AJ:$AJ,$V:$V,$AV449,$AK:$AK,AX$2)</f>
        <v>0</v>
      </c>
      <c r="AY449" s="48">
        <f t="shared" si="1457"/>
        <v>0</v>
      </c>
      <c r="AZ449" s="48">
        <f t="shared" si="1457"/>
        <v>0</v>
      </c>
      <c r="BA449" s="48">
        <f t="shared" si="1457"/>
        <v>0</v>
      </c>
      <c r="BB449" s="48">
        <f t="shared" si="1457"/>
        <v>0</v>
      </c>
      <c r="BC449" s="48">
        <f t="shared" si="1457"/>
        <v>0</v>
      </c>
      <c r="BD449" s="48">
        <f t="shared" si="1457"/>
        <v>0</v>
      </c>
      <c r="BE449" s="48">
        <f t="shared" si="1457"/>
        <v>0</v>
      </c>
      <c r="BF449" s="48">
        <f t="shared" si="1457"/>
        <v>50</v>
      </c>
      <c r="BG449" s="48">
        <f t="shared" si="1457"/>
        <v>0</v>
      </c>
      <c r="BH449" s="48">
        <f t="shared" si="1457"/>
        <v>0</v>
      </c>
      <c r="BI449" s="48">
        <f t="shared" si="1457"/>
        <v>0</v>
      </c>
      <c r="BJ449" s="48">
        <f t="shared" si="1457"/>
        <v>0</v>
      </c>
      <c r="BK449" s="48">
        <f t="shared" si="1457"/>
        <v>0</v>
      </c>
      <c r="BL449" s="48">
        <f t="shared" si="1457"/>
        <v>0</v>
      </c>
      <c r="BM449" s="48">
        <f t="shared" si="1457"/>
        <v>0</v>
      </c>
      <c r="BN449" s="48">
        <f t="shared" si="1457"/>
        <v>0</v>
      </c>
      <c r="BO449" s="48">
        <f t="shared" si="1457"/>
        <v>0</v>
      </c>
      <c r="BP449" s="48">
        <f t="shared" si="1457"/>
        <v>0</v>
      </c>
      <c r="BQ449" s="48">
        <f t="shared" si="1457"/>
        <v>0</v>
      </c>
      <c r="BR449" s="36">
        <f t="shared" si="9"/>
        <v>0</v>
      </c>
      <c r="BS449" s="38">
        <f t="shared" si="10"/>
        <v>1</v>
      </c>
      <c r="BT449" s="49">
        <f t="shared" si="11"/>
        <v>0</v>
      </c>
      <c r="BU449" s="38">
        <f t="shared" si="12"/>
        <v>1000</v>
      </c>
      <c r="BV449" s="46" t="str">
        <f>IFERROR(__xludf.DUMMYFUNCTION("""COMPUTED_VALUE"""),"Pegram")</f>
        <v>Pegram</v>
      </c>
      <c r="BW449" s="46">
        <f t="shared" si="13"/>
        <v>50</v>
      </c>
      <c r="BX449" s="47">
        <f t="shared" ref="BX449:CA449" si="1458">AX449-$BU449</f>
        <v>-1000</v>
      </c>
      <c r="BY449" s="47">
        <f t="shared" si="1458"/>
        <v>-1000</v>
      </c>
      <c r="BZ449" s="47">
        <f t="shared" si="1458"/>
        <v>-1000</v>
      </c>
      <c r="CA449" s="47">
        <f t="shared" si="1458"/>
        <v>-1000</v>
      </c>
      <c r="CB449" s="47">
        <f t="shared" si="15"/>
        <v>-10000</v>
      </c>
      <c r="CC449" s="47">
        <f t="shared" ref="CC449:CQ449" si="1459">BC449-$BU449</f>
        <v>-1000</v>
      </c>
      <c r="CD449" s="47">
        <f t="shared" si="1459"/>
        <v>-1000</v>
      </c>
      <c r="CE449" s="47">
        <f t="shared" si="1459"/>
        <v>-1000</v>
      </c>
      <c r="CF449" s="47">
        <f t="shared" si="1459"/>
        <v>-950</v>
      </c>
      <c r="CG449" s="47">
        <f t="shared" si="1459"/>
        <v>-1000</v>
      </c>
      <c r="CH449" s="47">
        <f t="shared" si="1459"/>
        <v>-1000</v>
      </c>
      <c r="CI449" s="47">
        <f t="shared" si="1459"/>
        <v>-1000</v>
      </c>
      <c r="CJ449" s="47">
        <f t="shared" si="1459"/>
        <v>-1000</v>
      </c>
      <c r="CK449" s="47">
        <f t="shared" si="1459"/>
        <v>-1000</v>
      </c>
      <c r="CL449" s="47">
        <f t="shared" si="1459"/>
        <v>-1000</v>
      </c>
      <c r="CM449" s="47">
        <f t="shared" si="1459"/>
        <v>-1000</v>
      </c>
      <c r="CN449" s="47">
        <f t="shared" si="1459"/>
        <v>-1000</v>
      </c>
      <c r="CO449" s="47">
        <f t="shared" si="1459"/>
        <v>-1000</v>
      </c>
      <c r="CP449" s="47">
        <f t="shared" si="1459"/>
        <v>-1000</v>
      </c>
      <c r="CQ449" s="47">
        <f t="shared" si="1459"/>
        <v>-1000</v>
      </c>
      <c r="CR449" s="47"/>
      <c r="CS449" s="47"/>
      <c r="CT449" s="47"/>
      <c r="CU449" s="50" t="str">
        <f>IFERROR(__xludf.DUMMYFUNCTION("""COMPUTED_VALUE"""),"7100 Bennington Dr
Dallas, TX 75214          ")</f>
        <v>7100 Bennington Dr
Dallas, TX 75214          </v>
      </c>
      <c r="CV449" s="51">
        <f>IFERROR(__xludf.DUMMYFUNCTION("IF(REGEXMATCH(UPPER(CU449), ""TX""),0,1)"),0.0)</f>
        <v>0</v>
      </c>
      <c r="CW449" s="51">
        <f>IFERROR(__xludf.DUMMYFUNCTION("IF(REGEXMATCH(UPPER(CU449), ""DALLAS""),0,1)"),0.0)</f>
        <v>0</v>
      </c>
      <c r="CX449" s="51">
        <f t="shared" si="17"/>
        <v>0</v>
      </c>
      <c r="CY449" s="51">
        <f t="shared" si="18"/>
        <v>0</v>
      </c>
      <c r="CZ449" s="52" t="str">
        <f t="shared" si="19"/>
        <v/>
      </c>
      <c r="DA449" s="58"/>
      <c r="DB449" s="52"/>
      <c r="DC449" s="52"/>
      <c r="DD449" s="52"/>
      <c r="DE449" s="52"/>
      <c r="DF449" s="52"/>
      <c r="DG449" s="52"/>
      <c r="DH449" s="52"/>
      <c r="DI449" s="52"/>
      <c r="DJ449" s="52"/>
      <c r="DK449" s="52"/>
      <c r="DL449" s="52"/>
      <c r="DM449" s="52"/>
      <c r="DN449" s="52"/>
      <c r="DO449" s="52"/>
      <c r="DP449" s="52"/>
      <c r="DQ449" s="52"/>
      <c r="DR449" s="52"/>
      <c r="DS449" s="52"/>
      <c r="DT449" s="52"/>
      <c r="DU449" s="52"/>
      <c r="DV449" s="52"/>
      <c r="DW449" s="52"/>
    </row>
    <row r="450">
      <c r="A450" s="22" t="s">
        <v>55</v>
      </c>
      <c r="B450" s="23" t="s">
        <v>56</v>
      </c>
      <c r="C450" s="31" t="s">
        <v>192</v>
      </c>
      <c r="D450" s="25" t="str">
        <f>IFERROR(__xludf.DUMMYFUNCTION("SPLIT(C450,"" "")"),"Anderson-Guthrie,")</f>
        <v>Anderson-Guthrie,</v>
      </c>
      <c r="E450" s="22" t="str">
        <f>IFERROR(__xludf.DUMMYFUNCTION("""COMPUTED_VALUE"""),"Carol
3211")</f>
        <v>Carol
3211</v>
      </c>
      <c r="F450" s="22" t="str">
        <f>IFERROR(__xludf.DUMMYFUNCTION("""COMPUTED_VALUE"""),"Basil")</f>
        <v>Basil</v>
      </c>
      <c r="G450" s="22" t="str">
        <f>IFERROR(__xludf.DUMMYFUNCTION("""COMPUTED_VALUE"""),"Ct
Dallas,")</f>
        <v>Ct
Dallas,</v>
      </c>
      <c r="H450" s="22" t="str">
        <f>IFERROR(__xludf.DUMMYFUNCTION("""COMPUTED_VALUE"""),"TX")</f>
        <v>TX</v>
      </c>
      <c r="I450" s="22">
        <f>IFERROR(__xludf.DUMMYFUNCTION("""COMPUTED_VALUE"""),75204.0)</f>
        <v>75204</v>
      </c>
      <c r="J450" s="22"/>
      <c r="K450" s="22"/>
      <c r="L450" s="22"/>
      <c r="M450" s="22"/>
      <c r="N450" s="22"/>
      <c r="O450" s="22"/>
      <c r="P450" s="22"/>
      <c r="Q450" s="22"/>
      <c r="R450" s="22"/>
      <c r="S450" s="22"/>
      <c r="T450" s="22"/>
      <c r="U450" s="24" t="str">
        <f>IFERROR(__xludf.DUMMYFUNCTION("SPLIT(E450,""01234567890"")"),"Carol
")</f>
        <v>Carol
</v>
      </c>
      <c r="V450" s="24" t="str">
        <f>IFERROR(__xludf.DUMMYFUNCTION("SPLIT(D450,"","")"),"Anderson-Guthrie")</f>
        <v>Anderson-Guthrie</v>
      </c>
      <c r="W450" s="25" t="str">
        <f t="shared" si="1"/>
        <v>CAROL
 ANDERSON-GUTHRIE</v>
      </c>
      <c r="X450" s="25" t="s">
        <v>193</v>
      </c>
      <c r="Y450" s="25">
        <v>75204.0</v>
      </c>
      <c r="Z450" s="25" t="str">
        <f>IFERROR(__xludf.DUMMYFUNCTION("SPLIT(C450,""
"")"),"Anderson-Guthrie, Carol")</f>
        <v>Anderson-Guthrie, Carol</v>
      </c>
      <c r="AA450" s="25" t="str">
        <f>IFERROR(__xludf.DUMMYFUNCTION("""COMPUTED_VALUE"""),"3211 Basil Ct")</f>
        <v>3211 Basil Ct</v>
      </c>
      <c r="AB450" s="25" t="str">
        <f>IFERROR(__xludf.DUMMYFUNCTION("""COMPUTED_VALUE"""),"Dallas, TX 75204")</f>
        <v>Dallas, TX 75204</v>
      </c>
      <c r="AC450" s="24" t="s">
        <v>194</v>
      </c>
      <c r="AD450" s="25"/>
      <c r="AE450" s="25"/>
      <c r="AF450" s="25"/>
      <c r="AG450" s="22" t="s">
        <v>60</v>
      </c>
      <c r="AH450" s="54">
        <v>2445.0</v>
      </c>
      <c r="AI450" s="22" t="s">
        <v>61</v>
      </c>
      <c r="AJ450" s="27">
        <v>100.0</v>
      </c>
      <c r="AK450" s="31" t="s">
        <v>30</v>
      </c>
      <c r="AL450" s="28">
        <v>44727.0</v>
      </c>
      <c r="AM450" s="29">
        <v>44755.778402777774</v>
      </c>
      <c r="AN450" s="30">
        <v>2.0</v>
      </c>
      <c r="AO450" s="22"/>
      <c r="AP450" s="22"/>
      <c r="AQ450" s="22"/>
      <c r="AR450" s="22"/>
      <c r="AS450" s="22"/>
      <c r="AT450" s="70"/>
      <c r="AU450" s="22"/>
      <c r="AV450" s="57" t="str">
        <f>IFERROR(__xludf.DUMMYFUNCTION("""COMPUTED_VALUE"""),"Hernandez")</f>
        <v>Hernandez</v>
      </c>
      <c r="AW450" s="46">
        <f t="shared" si="7"/>
        <v>2000</v>
      </c>
      <c r="AX450" s="47">
        <f t="shared" ref="AX450:BQ450" si="1460">SUMIFS($AJ:$AJ,$V:$V,$AV450,$AK:$AK,AX$2)</f>
        <v>0</v>
      </c>
      <c r="AY450" s="48">
        <f t="shared" si="1460"/>
        <v>0</v>
      </c>
      <c r="AZ450" s="48">
        <f t="shared" si="1460"/>
        <v>0</v>
      </c>
      <c r="BA450" s="48">
        <f t="shared" si="1460"/>
        <v>0</v>
      </c>
      <c r="BB450" s="48">
        <f t="shared" si="1460"/>
        <v>500</v>
      </c>
      <c r="BC450" s="48">
        <f t="shared" si="1460"/>
        <v>0</v>
      </c>
      <c r="BD450" s="48">
        <f t="shared" si="1460"/>
        <v>0</v>
      </c>
      <c r="BE450" s="48">
        <f t="shared" si="1460"/>
        <v>0</v>
      </c>
      <c r="BF450" s="48">
        <f t="shared" si="1460"/>
        <v>1000</v>
      </c>
      <c r="BG450" s="48">
        <f t="shared" si="1460"/>
        <v>0</v>
      </c>
      <c r="BH450" s="48">
        <f t="shared" si="1460"/>
        <v>0</v>
      </c>
      <c r="BI450" s="48">
        <f t="shared" si="1460"/>
        <v>0</v>
      </c>
      <c r="BJ450" s="48">
        <f t="shared" si="1460"/>
        <v>0</v>
      </c>
      <c r="BK450" s="48">
        <f t="shared" si="1460"/>
        <v>0</v>
      </c>
      <c r="BL450" s="48">
        <f t="shared" si="1460"/>
        <v>0</v>
      </c>
      <c r="BM450" s="48">
        <f t="shared" si="1460"/>
        <v>0</v>
      </c>
      <c r="BN450" s="48">
        <f t="shared" si="1460"/>
        <v>500</v>
      </c>
      <c r="BO450" s="48">
        <f t="shared" si="1460"/>
        <v>0</v>
      </c>
      <c r="BP450" s="48">
        <f t="shared" si="1460"/>
        <v>0</v>
      </c>
      <c r="BQ450" s="48">
        <f t="shared" si="1460"/>
        <v>0</v>
      </c>
      <c r="BR450" s="36">
        <f t="shared" si="9"/>
        <v>1</v>
      </c>
      <c r="BS450" s="38">
        <f t="shared" si="10"/>
        <v>3</v>
      </c>
      <c r="BT450" s="49">
        <f t="shared" si="11"/>
        <v>0</v>
      </c>
      <c r="BU450" s="38">
        <f t="shared" si="12"/>
        <v>3000</v>
      </c>
      <c r="BV450" s="57" t="str">
        <f>IFERROR(__xludf.DUMMYFUNCTION("""COMPUTED_VALUE"""),"Hernandez")</f>
        <v>Hernandez</v>
      </c>
      <c r="BW450" s="46">
        <f t="shared" si="13"/>
        <v>2000</v>
      </c>
      <c r="BX450" s="47">
        <f t="shared" ref="BX450:CA450" si="1461">AX450-$BU450</f>
        <v>-3000</v>
      </c>
      <c r="BY450" s="47">
        <f t="shared" si="1461"/>
        <v>-3000</v>
      </c>
      <c r="BZ450" s="47">
        <f t="shared" si="1461"/>
        <v>-3000</v>
      </c>
      <c r="CA450" s="47">
        <f t="shared" si="1461"/>
        <v>-3000</v>
      </c>
      <c r="CB450" s="47">
        <f t="shared" si="15"/>
        <v>-29500</v>
      </c>
      <c r="CC450" s="47">
        <f t="shared" ref="CC450:CQ450" si="1462">BC450-$BU450</f>
        <v>-3000</v>
      </c>
      <c r="CD450" s="47">
        <f t="shared" si="1462"/>
        <v>-3000</v>
      </c>
      <c r="CE450" s="47">
        <f t="shared" si="1462"/>
        <v>-3000</v>
      </c>
      <c r="CF450" s="47">
        <f t="shared" si="1462"/>
        <v>-2000</v>
      </c>
      <c r="CG450" s="47">
        <f t="shared" si="1462"/>
        <v>-3000</v>
      </c>
      <c r="CH450" s="47">
        <f t="shared" si="1462"/>
        <v>-3000</v>
      </c>
      <c r="CI450" s="47">
        <f t="shared" si="1462"/>
        <v>-3000</v>
      </c>
      <c r="CJ450" s="47">
        <f t="shared" si="1462"/>
        <v>-3000</v>
      </c>
      <c r="CK450" s="47">
        <f t="shared" si="1462"/>
        <v>-3000</v>
      </c>
      <c r="CL450" s="47">
        <f t="shared" si="1462"/>
        <v>-3000</v>
      </c>
      <c r="CM450" s="47">
        <f t="shared" si="1462"/>
        <v>-3000</v>
      </c>
      <c r="CN450" s="47">
        <f t="shared" si="1462"/>
        <v>-2500</v>
      </c>
      <c r="CO450" s="47">
        <f t="shared" si="1462"/>
        <v>-3000</v>
      </c>
      <c r="CP450" s="47">
        <f t="shared" si="1462"/>
        <v>-3000</v>
      </c>
      <c r="CQ450" s="47">
        <f t="shared" si="1462"/>
        <v>-3000</v>
      </c>
      <c r="CR450" s="47"/>
      <c r="CS450" s="47"/>
      <c r="CT450" s="47"/>
      <c r="CU450" s="50" t="str">
        <f>IFERROR(__xludf.DUMMYFUNCTION("""COMPUTED_VALUE"""),"3210 Carlisle
Dallas, TX 75204           ")</f>
        <v>3210 Carlisle
Dallas, TX 75204           </v>
      </c>
      <c r="CV450" s="51">
        <f>IFERROR(__xludf.DUMMYFUNCTION("IF(REGEXMATCH(UPPER(CU450), ""TX""),0,1)"),0.0)</f>
        <v>0</v>
      </c>
      <c r="CW450" s="51">
        <f>IFERROR(__xludf.DUMMYFUNCTION("IF(REGEXMATCH(UPPER(CU450), ""DALLAS""),0,1)"),0.0)</f>
        <v>0</v>
      </c>
      <c r="CX450" s="51">
        <f t="shared" si="17"/>
        <v>0</v>
      </c>
      <c r="CY450" s="51">
        <f t="shared" si="18"/>
        <v>0</v>
      </c>
      <c r="CZ450" s="52" t="str">
        <f t="shared" si="19"/>
        <v/>
      </c>
      <c r="DA450" s="58"/>
      <c r="DB450" s="52"/>
      <c r="DC450" s="52"/>
      <c r="DD450" s="52"/>
      <c r="DE450" s="52"/>
      <c r="DF450" s="52"/>
      <c r="DG450" s="52"/>
      <c r="DH450" s="52"/>
      <c r="DI450" s="52"/>
      <c r="DJ450" s="52"/>
      <c r="DK450" s="52"/>
      <c r="DL450" s="52"/>
      <c r="DM450" s="52"/>
      <c r="DN450" s="52"/>
      <c r="DO450" s="52"/>
      <c r="DP450" s="52"/>
      <c r="DQ450" s="52"/>
      <c r="DR450" s="52"/>
      <c r="DS450" s="52"/>
      <c r="DT450" s="52"/>
      <c r="DU450" s="52"/>
      <c r="DV450" s="52"/>
      <c r="DW450" s="52"/>
    </row>
    <row r="451">
      <c r="A451" s="40" t="s">
        <v>55</v>
      </c>
      <c r="B451" s="41" t="s">
        <v>56</v>
      </c>
      <c r="C451" s="31" t="s">
        <v>1219</v>
      </c>
      <c r="D451" s="25" t="str">
        <f>IFERROR(__xludf.DUMMYFUNCTION("SPLIT(C451,"" "")"),"Corman,")</f>
        <v>Corman,</v>
      </c>
      <c r="E451" s="40" t="str">
        <f>IFERROR(__xludf.DUMMYFUNCTION("""COMPUTED_VALUE"""),"Annette
8240")</f>
        <v>Annette
8240</v>
      </c>
      <c r="F451" s="40" t="str">
        <f>IFERROR(__xludf.DUMMYFUNCTION("""COMPUTED_VALUE"""),"Manderville")</f>
        <v>Manderville</v>
      </c>
      <c r="G451" s="40" t="str">
        <f>IFERROR(__xludf.DUMMYFUNCTION("""COMPUTED_VALUE"""),"Lane
Dallas,")</f>
        <v>Lane
Dallas,</v>
      </c>
      <c r="H451" s="40" t="str">
        <f>IFERROR(__xludf.DUMMYFUNCTION("""COMPUTED_VALUE"""),"TX")</f>
        <v>TX</v>
      </c>
      <c r="I451" s="40">
        <f>IFERROR(__xludf.DUMMYFUNCTION("""COMPUTED_VALUE"""),75231.0)</f>
        <v>75231</v>
      </c>
      <c r="J451" s="40"/>
      <c r="K451" s="40"/>
      <c r="L451" s="40"/>
      <c r="M451" s="40"/>
      <c r="N451" s="40"/>
      <c r="O451" s="40"/>
      <c r="P451" s="40"/>
      <c r="Q451" s="40"/>
      <c r="R451" s="40"/>
      <c r="S451" s="40"/>
      <c r="T451" s="40"/>
      <c r="U451" s="24" t="str">
        <f>IFERROR(__xludf.DUMMYFUNCTION("SPLIT(E451,""01234567890"")"),"Annette
")</f>
        <v>Annette
</v>
      </c>
      <c r="V451" s="24" t="str">
        <f>IFERROR(__xludf.DUMMYFUNCTION("SPLIT(D451,"","")"),"Corman")</f>
        <v>Corman</v>
      </c>
      <c r="W451" s="25" t="str">
        <f t="shared" si="1"/>
        <v>ANNETTE
 CORMAN</v>
      </c>
      <c r="X451" s="25" t="s">
        <v>1220</v>
      </c>
      <c r="Y451" s="25">
        <v>75231.0</v>
      </c>
      <c r="Z451" s="25" t="str">
        <f>IFERROR(__xludf.DUMMYFUNCTION("SPLIT(C451,""
"")"),"Corman, Annette")</f>
        <v>Corman, Annette</v>
      </c>
      <c r="AA451" s="25" t="str">
        <f>IFERROR(__xludf.DUMMYFUNCTION("""COMPUTED_VALUE"""),"8240 Manderville Lane")</f>
        <v>8240 Manderville Lane</v>
      </c>
      <c r="AB451" s="25" t="str">
        <f>IFERROR(__xludf.DUMMYFUNCTION("""COMPUTED_VALUE"""),"Dallas, TX 75231")</f>
        <v>Dallas, TX 75231</v>
      </c>
      <c r="AC451" s="24" t="s">
        <v>1221</v>
      </c>
      <c r="AD451" s="25"/>
      <c r="AE451" s="25"/>
      <c r="AF451" s="25"/>
      <c r="AG451" s="40" t="s">
        <v>60</v>
      </c>
      <c r="AH451" s="42">
        <v>2445.0</v>
      </c>
      <c r="AI451" s="40" t="s">
        <v>61</v>
      </c>
      <c r="AJ451" s="27">
        <v>100.0</v>
      </c>
      <c r="AK451" s="31" t="s">
        <v>30</v>
      </c>
      <c r="AL451" s="43">
        <v>44727.0</v>
      </c>
      <c r="AM451" s="44">
        <v>44755.778402777774</v>
      </c>
      <c r="AN451" s="30">
        <v>2.0</v>
      </c>
      <c r="AO451" s="40"/>
      <c r="AP451" s="40"/>
      <c r="AQ451" s="40"/>
      <c r="AR451" s="40"/>
      <c r="AS451" s="40"/>
      <c r="AT451" s="47"/>
      <c r="AU451" s="40"/>
      <c r="AV451" s="46" t="str">
        <f>IFERROR(__xludf.DUMMYFUNCTION("""COMPUTED_VALUE"""),"Marston")</f>
        <v>Marston</v>
      </c>
      <c r="AW451" s="46">
        <f t="shared" si="7"/>
        <v>6000</v>
      </c>
      <c r="AX451" s="47">
        <f t="shared" ref="AX451:BQ451" si="1463">SUMIFS($AJ:$AJ,$V:$V,$AV451,$AK:$AK,AX$2)</f>
        <v>0</v>
      </c>
      <c r="AY451" s="48">
        <f t="shared" si="1463"/>
        <v>0</v>
      </c>
      <c r="AZ451" s="48">
        <f t="shared" si="1463"/>
        <v>0</v>
      </c>
      <c r="BA451" s="48">
        <f t="shared" si="1463"/>
        <v>0</v>
      </c>
      <c r="BB451" s="48">
        <f t="shared" si="1463"/>
        <v>0</v>
      </c>
      <c r="BC451" s="48">
        <f t="shared" si="1463"/>
        <v>0</v>
      </c>
      <c r="BD451" s="48">
        <f t="shared" si="1463"/>
        <v>0</v>
      </c>
      <c r="BE451" s="48">
        <f t="shared" si="1463"/>
        <v>0</v>
      </c>
      <c r="BF451" s="48">
        <f t="shared" si="1463"/>
        <v>0</v>
      </c>
      <c r="BG451" s="48">
        <f t="shared" si="1463"/>
        <v>0</v>
      </c>
      <c r="BH451" s="48">
        <f t="shared" si="1463"/>
        <v>0</v>
      </c>
      <c r="BI451" s="48">
        <f t="shared" si="1463"/>
        <v>0</v>
      </c>
      <c r="BJ451" s="48">
        <f t="shared" si="1463"/>
        <v>0</v>
      </c>
      <c r="BK451" s="48">
        <f t="shared" si="1463"/>
        <v>0</v>
      </c>
      <c r="BL451" s="48">
        <f t="shared" si="1463"/>
        <v>0</v>
      </c>
      <c r="BM451" s="48">
        <f t="shared" si="1463"/>
        <v>6000</v>
      </c>
      <c r="BN451" s="48">
        <f t="shared" si="1463"/>
        <v>0</v>
      </c>
      <c r="BO451" s="48">
        <f t="shared" si="1463"/>
        <v>0</v>
      </c>
      <c r="BP451" s="48">
        <f t="shared" si="1463"/>
        <v>0</v>
      </c>
      <c r="BQ451" s="48">
        <f t="shared" si="1463"/>
        <v>0</v>
      </c>
      <c r="BR451" s="36">
        <f t="shared" si="9"/>
        <v>0</v>
      </c>
      <c r="BS451" s="38">
        <f t="shared" si="10"/>
        <v>1</v>
      </c>
      <c r="BT451" s="49">
        <f t="shared" si="11"/>
        <v>0</v>
      </c>
      <c r="BU451" s="38">
        <f t="shared" si="12"/>
        <v>1000</v>
      </c>
      <c r="BV451" s="46" t="str">
        <f>IFERROR(__xludf.DUMMYFUNCTION("""COMPUTED_VALUE"""),"Marston")</f>
        <v>Marston</v>
      </c>
      <c r="BW451" s="46">
        <f t="shared" si="13"/>
        <v>6000</v>
      </c>
      <c r="BX451" s="47">
        <f t="shared" ref="BX451:CA451" si="1464">AX451-$BU451</f>
        <v>-1000</v>
      </c>
      <c r="BY451" s="47">
        <f t="shared" si="1464"/>
        <v>-1000</v>
      </c>
      <c r="BZ451" s="47">
        <f t="shared" si="1464"/>
        <v>-1000</v>
      </c>
      <c r="CA451" s="47">
        <f t="shared" si="1464"/>
        <v>-1000</v>
      </c>
      <c r="CB451" s="47">
        <f t="shared" si="15"/>
        <v>-10000</v>
      </c>
      <c r="CC451" s="47">
        <f t="shared" ref="CC451:CQ451" si="1465">BC451-$BU451</f>
        <v>-1000</v>
      </c>
      <c r="CD451" s="47">
        <f t="shared" si="1465"/>
        <v>-1000</v>
      </c>
      <c r="CE451" s="47">
        <f t="shared" si="1465"/>
        <v>-1000</v>
      </c>
      <c r="CF451" s="47">
        <f t="shared" si="1465"/>
        <v>-1000</v>
      </c>
      <c r="CG451" s="47">
        <f t="shared" si="1465"/>
        <v>-1000</v>
      </c>
      <c r="CH451" s="47">
        <f t="shared" si="1465"/>
        <v>-1000</v>
      </c>
      <c r="CI451" s="47">
        <f t="shared" si="1465"/>
        <v>-1000</v>
      </c>
      <c r="CJ451" s="47">
        <f t="shared" si="1465"/>
        <v>-1000</v>
      </c>
      <c r="CK451" s="47">
        <f t="shared" si="1465"/>
        <v>-1000</v>
      </c>
      <c r="CL451" s="47">
        <f t="shared" si="1465"/>
        <v>-1000</v>
      </c>
      <c r="CM451" s="47">
        <f t="shared" si="1465"/>
        <v>5000</v>
      </c>
      <c r="CN451" s="47">
        <f t="shared" si="1465"/>
        <v>-1000</v>
      </c>
      <c r="CO451" s="47">
        <f t="shared" si="1465"/>
        <v>-1000</v>
      </c>
      <c r="CP451" s="47">
        <f t="shared" si="1465"/>
        <v>-1000</v>
      </c>
      <c r="CQ451" s="47">
        <f t="shared" si="1465"/>
        <v>-1000</v>
      </c>
      <c r="CR451" s="47"/>
      <c r="CS451" s="47"/>
      <c r="CT451" s="47"/>
      <c r="CU451" s="50" t="str">
        <f>IFERROR(__xludf.DUMMYFUNCTION("""COMPUTED_VALUE"""),"6661 Lakewood Blvd
Dallas, TX 75214          ")</f>
        <v>6661 Lakewood Blvd
Dallas, TX 75214          </v>
      </c>
      <c r="CV451" s="51">
        <f>IFERROR(__xludf.DUMMYFUNCTION("IF(REGEXMATCH(UPPER(CU451), ""TX""),0,1)"),0.0)</f>
        <v>0</v>
      </c>
      <c r="CW451" s="51">
        <f>IFERROR(__xludf.DUMMYFUNCTION("IF(REGEXMATCH(UPPER(CU451), ""DALLAS""),0,1)"),0.0)</f>
        <v>0</v>
      </c>
      <c r="CX451" s="51">
        <f t="shared" si="17"/>
        <v>0</v>
      </c>
      <c r="CY451" s="51">
        <f t="shared" si="18"/>
        <v>0</v>
      </c>
      <c r="CZ451" s="52" t="str">
        <f t="shared" si="19"/>
        <v/>
      </c>
      <c r="DA451" s="58"/>
      <c r="DB451" s="52"/>
      <c r="DC451" s="52"/>
      <c r="DD451" s="52"/>
      <c r="DE451" s="52"/>
      <c r="DF451" s="52"/>
      <c r="DG451" s="52"/>
      <c r="DH451" s="52"/>
      <c r="DI451" s="52"/>
      <c r="DJ451" s="52"/>
      <c r="DK451" s="52"/>
      <c r="DL451" s="52"/>
      <c r="DM451" s="52"/>
      <c r="DN451" s="52"/>
      <c r="DO451" s="52"/>
      <c r="DP451" s="52"/>
      <c r="DQ451" s="52"/>
      <c r="DR451" s="52"/>
      <c r="DS451" s="52"/>
      <c r="DT451" s="52"/>
      <c r="DU451" s="52"/>
      <c r="DV451" s="52"/>
      <c r="DW451" s="52"/>
    </row>
    <row r="452">
      <c r="A452" s="22" t="s">
        <v>55</v>
      </c>
      <c r="B452" s="23" t="s">
        <v>56</v>
      </c>
      <c r="C452" s="31" t="s">
        <v>1255</v>
      </c>
      <c r="D452" s="25" t="str">
        <f>IFERROR(__xludf.DUMMYFUNCTION("SPLIT(C452,"" "")"),"Trimble,")</f>
        <v>Trimble,</v>
      </c>
      <c r="E452" s="22" t="str">
        <f>IFERROR(__xludf.DUMMYFUNCTION("""COMPUTED_VALUE"""),"Robert
8333")</f>
        <v>Robert
8333</v>
      </c>
      <c r="F452" s="22" t="str">
        <f>IFERROR(__xludf.DUMMYFUNCTION("""COMPUTED_VALUE"""),"Douglas")</f>
        <v>Douglas</v>
      </c>
      <c r="G452" s="22" t="str">
        <f>IFERROR(__xludf.DUMMYFUNCTION("""COMPUTED_VALUE"""),"Ave")</f>
        <v>Ave</v>
      </c>
      <c r="H452" s="22" t="str">
        <f>IFERROR(__xludf.DUMMYFUNCTION("""COMPUTED_VALUE"""),"Ste")</f>
        <v>Ste</v>
      </c>
      <c r="I452" s="22" t="str">
        <f>IFERROR(__xludf.DUMMYFUNCTION("""COMPUTED_VALUE"""),"1350
Dallas,")</f>
        <v>1350
Dallas,</v>
      </c>
      <c r="J452" s="22" t="str">
        <f>IFERROR(__xludf.DUMMYFUNCTION("""COMPUTED_VALUE"""),"TX")</f>
        <v>TX</v>
      </c>
      <c r="K452" s="22">
        <f>IFERROR(__xludf.DUMMYFUNCTION("""COMPUTED_VALUE"""),75225.0)</f>
        <v>75225</v>
      </c>
      <c r="L452" s="22"/>
      <c r="M452" s="22"/>
      <c r="N452" s="22"/>
      <c r="O452" s="22"/>
      <c r="P452" s="22"/>
      <c r="Q452" s="22"/>
      <c r="R452" s="22"/>
      <c r="S452" s="22"/>
      <c r="T452" s="22"/>
      <c r="U452" s="24" t="str">
        <f>IFERROR(__xludf.DUMMYFUNCTION("SPLIT(E452,""01234567890"")"),"Robert
")</f>
        <v>Robert
</v>
      </c>
      <c r="V452" s="24" t="str">
        <f>IFERROR(__xludf.DUMMYFUNCTION("SPLIT(D452,"","")"),"Trimble")</f>
        <v>Trimble</v>
      </c>
      <c r="W452" s="25" t="str">
        <f t="shared" si="1"/>
        <v>ROBERT
 TRIMBLE</v>
      </c>
      <c r="X452" s="25" t="s">
        <v>1256</v>
      </c>
      <c r="Y452" s="25">
        <v>1350.0</v>
      </c>
      <c r="Z452" s="25" t="str">
        <f>IFERROR(__xludf.DUMMYFUNCTION("SPLIT(C452,""
"")"),"Trimble, Robert")</f>
        <v>Trimble, Robert</v>
      </c>
      <c r="AA452" s="25" t="str">
        <f>IFERROR(__xludf.DUMMYFUNCTION("""COMPUTED_VALUE"""),"8333 Douglas Ave Ste 1350")</f>
        <v>8333 Douglas Ave Ste 1350</v>
      </c>
      <c r="AB452" s="25" t="str">
        <f>IFERROR(__xludf.DUMMYFUNCTION("""COMPUTED_VALUE"""),"Dallas, TX 75225")</f>
        <v>Dallas, TX 75225</v>
      </c>
      <c r="AC452" s="24" t="s">
        <v>1257</v>
      </c>
      <c r="AD452" s="25"/>
      <c r="AE452" s="25"/>
      <c r="AF452" s="25"/>
      <c r="AG452" s="22" t="s">
        <v>60</v>
      </c>
      <c r="AH452" s="54">
        <v>2445.0</v>
      </c>
      <c r="AI452" s="22" t="s">
        <v>61</v>
      </c>
      <c r="AJ452" s="27">
        <v>1000.0</v>
      </c>
      <c r="AK452" s="31" t="s">
        <v>30</v>
      </c>
      <c r="AL452" s="28">
        <v>44727.0</v>
      </c>
      <c r="AM452" s="29">
        <v>44755.778402777774</v>
      </c>
      <c r="AN452" s="30">
        <v>2.0</v>
      </c>
      <c r="AO452" s="22"/>
      <c r="AP452" s="22"/>
      <c r="AQ452" s="22"/>
      <c r="AR452" s="22"/>
      <c r="AS452" s="22"/>
      <c r="AT452" s="70"/>
      <c r="AU452" s="22"/>
      <c r="AV452" s="57" t="str">
        <f>IFERROR(__xludf.DUMMYFUNCTION("""COMPUTED_VALUE"""),"Stewart")</f>
        <v>Stewart</v>
      </c>
      <c r="AW452" s="46">
        <f t="shared" si="7"/>
        <v>3350</v>
      </c>
      <c r="AX452" s="47">
        <f t="shared" ref="AX452:BQ452" si="1466">SUMIFS($AJ:$AJ,$V:$V,$AV452,$AK:$AK,AX$2)</f>
        <v>0</v>
      </c>
      <c r="AY452" s="48">
        <f t="shared" si="1466"/>
        <v>0</v>
      </c>
      <c r="AZ452" s="48">
        <f t="shared" si="1466"/>
        <v>0</v>
      </c>
      <c r="BA452" s="48">
        <f t="shared" si="1466"/>
        <v>0</v>
      </c>
      <c r="BB452" s="48">
        <f t="shared" si="1466"/>
        <v>100</v>
      </c>
      <c r="BC452" s="48">
        <f t="shared" si="1466"/>
        <v>3000</v>
      </c>
      <c r="BD452" s="48">
        <f t="shared" si="1466"/>
        <v>0</v>
      </c>
      <c r="BE452" s="48">
        <f t="shared" si="1466"/>
        <v>0</v>
      </c>
      <c r="BF452" s="48">
        <f t="shared" si="1466"/>
        <v>0</v>
      </c>
      <c r="BG452" s="48">
        <f t="shared" si="1466"/>
        <v>250</v>
      </c>
      <c r="BH452" s="48">
        <f t="shared" si="1466"/>
        <v>0</v>
      </c>
      <c r="BI452" s="48">
        <f t="shared" si="1466"/>
        <v>0</v>
      </c>
      <c r="BJ452" s="48">
        <f t="shared" si="1466"/>
        <v>0</v>
      </c>
      <c r="BK452" s="48">
        <f t="shared" si="1466"/>
        <v>0</v>
      </c>
      <c r="BL452" s="48">
        <f t="shared" si="1466"/>
        <v>0</v>
      </c>
      <c r="BM452" s="48">
        <f t="shared" si="1466"/>
        <v>0</v>
      </c>
      <c r="BN452" s="48">
        <f t="shared" si="1466"/>
        <v>0</v>
      </c>
      <c r="BO452" s="48">
        <f t="shared" si="1466"/>
        <v>0</v>
      </c>
      <c r="BP452" s="48">
        <f t="shared" si="1466"/>
        <v>0</v>
      </c>
      <c r="BQ452" s="48">
        <f t="shared" si="1466"/>
        <v>0</v>
      </c>
      <c r="BR452" s="36">
        <f t="shared" si="9"/>
        <v>1</v>
      </c>
      <c r="BS452" s="38">
        <f t="shared" si="10"/>
        <v>5</v>
      </c>
      <c r="BT452" s="49">
        <f t="shared" si="11"/>
        <v>0</v>
      </c>
      <c r="BU452" s="38">
        <f t="shared" si="12"/>
        <v>5000</v>
      </c>
      <c r="BV452" s="57" t="str">
        <f>IFERROR(__xludf.DUMMYFUNCTION("""COMPUTED_VALUE"""),"Stewart")</f>
        <v>Stewart</v>
      </c>
      <c r="BW452" s="46">
        <f t="shared" si="13"/>
        <v>3350</v>
      </c>
      <c r="BX452" s="47">
        <f t="shared" ref="BX452:CA452" si="1467">AX452-$BU452</f>
        <v>-5000</v>
      </c>
      <c r="BY452" s="47">
        <f t="shared" si="1467"/>
        <v>-5000</v>
      </c>
      <c r="BZ452" s="47">
        <f t="shared" si="1467"/>
        <v>-5000</v>
      </c>
      <c r="CA452" s="47">
        <f t="shared" si="1467"/>
        <v>-5000</v>
      </c>
      <c r="CB452" s="47">
        <f t="shared" si="15"/>
        <v>-49900</v>
      </c>
      <c r="CC452" s="47">
        <f t="shared" ref="CC452:CQ452" si="1468">BC452-$BU452</f>
        <v>-2000</v>
      </c>
      <c r="CD452" s="47">
        <f t="shared" si="1468"/>
        <v>-5000</v>
      </c>
      <c r="CE452" s="47">
        <f t="shared" si="1468"/>
        <v>-5000</v>
      </c>
      <c r="CF452" s="47">
        <f t="shared" si="1468"/>
        <v>-5000</v>
      </c>
      <c r="CG452" s="47">
        <f t="shared" si="1468"/>
        <v>-4750</v>
      </c>
      <c r="CH452" s="47">
        <f t="shared" si="1468"/>
        <v>-5000</v>
      </c>
      <c r="CI452" s="47">
        <f t="shared" si="1468"/>
        <v>-5000</v>
      </c>
      <c r="CJ452" s="47">
        <f t="shared" si="1468"/>
        <v>-5000</v>
      </c>
      <c r="CK452" s="47">
        <f t="shared" si="1468"/>
        <v>-5000</v>
      </c>
      <c r="CL452" s="47">
        <f t="shared" si="1468"/>
        <v>-5000</v>
      </c>
      <c r="CM452" s="47">
        <f t="shared" si="1468"/>
        <v>-5000</v>
      </c>
      <c r="CN452" s="47">
        <f t="shared" si="1468"/>
        <v>-5000</v>
      </c>
      <c r="CO452" s="47">
        <f t="shared" si="1468"/>
        <v>-5000</v>
      </c>
      <c r="CP452" s="47">
        <f t="shared" si="1468"/>
        <v>-5000</v>
      </c>
      <c r="CQ452" s="47">
        <f t="shared" si="1468"/>
        <v>-5000</v>
      </c>
      <c r="CR452" s="47"/>
      <c r="CS452" s="47"/>
      <c r="CT452" s="47"/>
      <c r="CU452" s="50" t="str">
        <f>IFERROR(__xludf.DUMMYFUNCTION("""COMPUTED_VALUE"""),"4333 Gilbert Ave
Dallas, TX 75219          ")</f>
        <v>4333 Gilbert Ave
Dallas, TX 75219          </v>
      </c>
      <c r="CV452" s="51">
        <f>IFERROR(__xludf.DUMMYFUNCTION("IF(REGEXMATCH(UPPER(CU452), ""TX""),0,1)"),0.0)</f>
        <v>0</v>
      </c>
      <c r="CW452" s="51">
        <f>IFERROR(__xludf.DUMMYFUNCTION("IF(REGEXMATCH(UPPER(CU452), ""DALLAS""),0,1)"),0.0)</f>
        <v>0</v>
      </c>
      <c r="CX452" s="51">
        <f t="shared" si="17"/>
        <v>0</v>
      </c>
      <c r="CY452" s="51">
        <f t="shared" si="18"/>
        <v>0</v>
      </c>
      <c r="CZ452" s="52" t="str">
        <f t="shared" si="19"/>
        <v/>
      </c>
      <c r="DA452" s="58"/>
      <c r="DB452" s="52"/>
      <c r="DC452" s="52"/>
      <c r="DD452" s="52"/>
      <c r="DE452" s="52"/>
      <c r="DF452" s="52"/>
      <c r="DG452" s="52"/>
      <c r="DH452" s="52"/>
      <c r="DI452" s="52"/>
      <c r="DJ452" s="52"/>
      <c r="DK452" s="52"/>
      <c r="DL452" s="52"/>
      <c r="DM452" s="52"/>
      <c r="DN452" s="52"/>
      <c r="DO452" s="52"/>
      <c r="DP452" s="52"/>
      <c r="DQ452" s="52"/>
      <c r="DR452" s="52"/>
      <c r="DS452" s="52"/>
      <c r="DT452" s="52"/>
      <c r="DU452" s="52"/>
      <c r="DV452" s="52"/>
      <c r="DW452" s="52"/>
    </row>
    <row r="453">
      <c r="A453" s="40" t="s">
        <v>55</v>
      </c>
      <c r="B453" s="41" t="s">
        <v>56</v>
      </c>
      <c r="C453" s="31" t="s">
        <v>1258</v>
      </c>
      <c r="D453" s="25" t="str">
        <f>IFERROR(__xludf.DUMMYFUNCTION("SPLIT(C453,"" "")"),"Dunlap,")</f>
        <v>Dunlap,</v>
      </c>
      <c r="E453" s="40" t="str">
        <f>IFERROR(__xludf.DUMMYFUNCTION("""COMPUTED_VALUE"""),"John
6123")</f>
        <v>John
6123</v>
      </c>
      <c r="F453" s="40" t="str">
        <f>IFERROR(__xludf.DUMMYFUNCTION("""COMPUTED_VALUE"""),"Lupton")</f>
        <v>Lupton</v>
      </c>
      <c r="G453" s="40" t="str">
        <f>IFERROR(__xludf.DUMMYFUNCTION("""COMPUTED_VALUE"""),"Drive
Dallas,")</f>
        <v>Drive
Dallas,</v>
      </c>
      <c r="H453" s="40" t="str">
        <f>IFERROR(__xludf.DUMMYFUNCTION("""COMPUTED_VALUE"""),"TX")</f>
        <v>TX</v>
      </c>
      <c r="I453" s="40">
        <f>IFERROR(__xludf.DUMMYFUNCTION("""COMPUTED_VALUE"""),75225.0)</f>
        <v>75225</v>
      </c>
      <c r="J453" s="40"/>
      <c r="K453" s="40"/>
      <c r="L453" s="40"/>
      <c r="M453" s="40"/>
      <c r="N453" s="40"/>
      <c r="O453" s="40"/>
      <c r="P453" s="40"/>
      <c r="Q453" s="40"/>
      <c r="R453" s="40"/>
      <c r="S453" s="40"/>
      <c r="T453" s="40"/>
      <c r="U453" s="24" t="str">
        <f>IFERROR(__xludf.DUMMYFUNCTION("SPLIT(E453,""01234567890"")"),"John
")</f>
        <v>John
</v>
      </c>
      <c r="V453" s="24" t="str">
        <f>IFERROR(__xludf.DUMMYFUNCTION("SPLIT(D453,"","")"),"Dunlap")</f>
        <v>Dunlap</v>
      </c>
      <c r="W453" s="25" t="str">
        <f t="shared" si="1"/>
        <v>JOHN
 DUNLAP</v>
      </c>
      <c r="X453" s="25" t="s">
        <v>1259</v>
      </c>
      <c r="Y453" s="25">
        <v>75225.0</v>
      </c>
      <c r="Z453" s="25" t="str">
        <f>IFERROR(__xludf.DUMMYFUNCTION("SPLIT(C453,""
"")"),"Dunlap, John")</f>
        <v>Dunlap, John</v>
      </c>
      <c r="AA453" s="25" t="str">
        <f>IFERROR(__xludf.DUMMYFUNCTION("""COMPUTED_VALUE"""),"6123 Lupton Drive")</f>
        <v>6123 Lupton Drive</v>
      </c>
      <c r="AB453" s="25" t="str">
        <f>IFERROR(__xludf.DUMMYFUNCTION("""COMPUTED_VALUE"""),"Dallas, TX 75225")</f>
        <v>Dallas, TX 75225</v>
      </c>
      <c r="AC453" s="24" t="s">
        <v>1260</v>
      </c>
      <c r="AD453" s="25"/>
      <c r="AE453" s="25"/>
      <c r="AF453" s="25"/>
      <c r="AG453" s="40" t="s">
        <v>60</v>
      </c>
      <c r="AH453" s="42">
        <v>2445.0</v>
      </c>
      <c r="AI453" s="40" t="s">
        <v>61</v>
      </c>
      <c r="AJ453" s="27">
        <v>100.0</v>
      </c>
      <c r="AK453" s="31" t="s">
        <v>30</v>
      </c>
      <c r="AL453" s="43">
        <v>44727.0</v>
      </c>
      <c r="AM453" s="44">
        <v>44755.778402777774</v>
      </c>
      <c r="AN453" s="30">
        <v>2.0</v>
      </c>
      <c r="AO453" s="40"/>
      <c r="AP453" s="40"/>
      <c r="AQ453" s="40"/>
      <c r="AR453" s="40"/>
      <c r="AS453" s="40"/>
      <c r="AT453" s="47"/>
      <c r="AU453" s="40"/>
      <c r="AV453" s="46" t="str">
        <f>IFERROR(__xludf.DUMMYFUNCTION("""COMPUTED_VALUE"""),"Cox")</f>
        <v>Cox</v>
      </c>
      <c r="AW453" s="46">
        <f t="shared" si="7"/>
        <v>3500</v>
      </c>
      <c r="AX453" s="47">
        <f t="shared" ref="AX453:BQ453" si="1469">SUMIFS($AJ:$AJ,$V:$V,$AV453,$AK:$AK,AX$2)</f>
        <v>0</v>
      </c>
      <c r="AY453" s="48">
        <f t="shared" si="1469"/>
        <v>0</v>
      </c>
      <c r="AZ453" s="48">
        <f t="shared" si="1469"/>
        <v>0</v>
      </c>
      <c r="BA453" s="48">
        <f t="shared" si="1469"/>
        <v>0</v>
      </c>
      <c r="BB453" s="48">
        <f t="shared" si="1469"/>
        <v>1000</v>
      </c>
      <c r="BC453" s="48">
        <f t="shared" si="1469"/>
        <v>1000</v>
      </c>
      <c r="BD453" s="48">
        <f t="shared" si="1469"/>
        <v>0</v>
      </c>
      <c r="BE453" s="48">
        <f t="shared" si="1469"/>
        <v>0</v>
      </c>
      <c r="BF453" s="48">
        <f t="shared" si="1469"/>
        <v>0</v>
      </c>
      <c r="BG453" s="48">
        <f t="shared" si="1469"/>
        <v>0</v>
      </c>
      <c r="BH453" s="48">
        <f t="shared" si="1469"/>
        <v>0</v>
      </c>
      <c r="BI453" s="48">
        <f t="shared" si="1469"/>
        <v>0</v>
      </c>
      <c r="BJ453" s="48">
        <f t="shared" si="1469"/>
        <v>0</v>
      </c>
      <c r="BK453" s="48">
        <f t="shared" si="1469"/>
        <v>0</v>
      </c>
      <c r="BL453" s="48">
        <f t="shared" si="1469"/>
        <v>0</v>
      </c>
      <c r="BM453" s="48">
        <f t="shared" si="1469"/>
        <v>0</v>
      </c>
      <c r="BN453" s="48">
        <f t="shared" si="1469"/>
        <v>0</v>
      </c>
      <c r="BO453" s="48">
        <f t="shared" si="1469"/>
        <v>0</v>
      </c>
      <c r="BP453" s="48">
        <f t="shared" si="1469"/>
        <v>0</v>
      </c>
      <c r="BQ453" s="48">
        <f t="shared" si="1469"/>
        <v>1500</v>
      </c>
      <c r="BR453" s="36">
        <f t="shared" si="9"/>
        <v>1</v>
      </c>
      <c r="BS453" s="38">
        <f t="shared" si="10"/>
        <v>3</v>
      </c>
      <c r="BT453" s="49">
        <f t="shared" si="11"/>
        <v>0</v>
      </c>
      <c r="BU453" s="38">
        <f t="shared" si="12"/>
        <v>3000</v>
      </c>
      <c r="BV453" s="46" t="str">
        <f>IFERROR(__xludf.DUMMYFUNCTION("""COMPUTED_VALUE"""),"Cox")</f>
        <v>Cox</v>
      </c>
      <c r="BW453" s="46">
        <f t="shared" si="13"/>
        <v>3500</v>
      </c>
      <c r="BX453" s="47">
        <f t="shared" ref="BX453:CA453" si="1470">AX453-$BU453</f>
        <v>-3000</v>
      </c>
      <c r="BY453" s="47">
        <f t="shared" si="1470"/>
        <v>-3000</v>
      </c>
      <c r="BZ453" s="47">
        <f t="shared" si="1470"/>
        <v>-3000</v>
      </c>
      <c r="CA453" s="47">
        <f t="shared" si="1470"/>
        <v>-3000</v>
      </c>
      <c r="CB453" s="47">
        <f t="shared" si="15"/>
        <v>-29000</v>
      </c>
      <c r="CC453" s="47">
        <f t="shared" ref="CC453:CQ453" si="1471">BC453-$BU453</f>
        <v>-2000</v>
      </c>
      <c r="CD453" s="47">
        <f t="shared" si="1471"/>
        <v>-3000</v>
      </c>
      <c r="CE453" s="47">
        <f t="shared" si="1471"/>
        <v>-3000</v>
      </c>
      <c r="CF453" s="47">
        <f t="shared" si="1471"/>
        <v>-3000</v>
      </c>
      <c r="CG453" s="47">
        <f t="shared" si="1471"/>
        <v>-3000</v>
      </c>
      <c r="CH453" s="47">
        <f t="shared" si="1471"/>
        <v>-3000</v>
      </c>
      <c r="CI453" s="47">
        <f t="shared" si="1471"/>
        <v>-3000</v>
      </c>
      <c r="CJ453" s="47">
        <f t="shared" si="1471"/>
        <v>-3000</v>
      </c>
      <c r="CK453" s="47">
        <f t="shared" si="1471"/>
        <v>-3000</v>
      </c>
      <c r="CL453" s="47">
        <f t="shared" si="1471"/>
        <v>-3000</v>
      </c>
      <c r="CM453" s="47">
        <f t="shared" si="1471"/>
        <v>-3000</v>
      </c>
      <c r="CN453" s="47">
        <f t="shared" si="1471"/>
        <v>-3000</v>
      </c>
      <c r="CO453" s="47">
        <f t="shared" si="1471"/>
        <v>-3000</v>
      </c>
      <c r="CP453" s="47">
        <f t="shared" si="1471"/>
        <v>-3000</v>
      </c>
      <c r="CQ453" s="47">
        <f t="shared" si="1471"/>
        <v>-1500</v>
      </c>
      <c r="CR453" s="47"/>
      <c r="CS453" s="47"/>
      <c r="CT453" s="47"/>
      <c r="CU453" s="50" t="str">
        <f>IFERROR(__xludf.DUMMYFUNCTION("""COMPUTED_VALUE"""),"6665 Lakewood Blvd.
Dallas, TX 75214          ")</f>
        <v>6665 Lakewood Blvd.
Dallas, TX 75214          </v>
      </c>
      <c r="CV453" s="51">
        <f>IFERROR(__xludf.DUMMYFUNCTION("IF(REGEXMATCH(UPPER(CU453), ""TX""),0,1)"),0.0)</f>
        <v>0</v>
      </c>
      <c r="CW453" s="51">
        <f>IFERROR(__xludf.DUMMYFUNCTION("IF(REGEXMATCH(UPPER(CU453), ""DALLAS""),0,1)"),0.0)</f>
        <v>0</v>
      </c>
      <c r="CX453" s="51">
        <f t="shared" si="17"/>
        <v>0</v>
      </c>
      <c r="CY453" s="51">
        <f t="shared" si="18"/>
        <v>0</v>
      </c>
      <c r="CZ453" s="52" t="str">
        <f t="shared" si="19"/>
        <v/>
      </c>
      <c r="DA453" s="58"/>
      <c r="DB453" s="52"/>
      <c r="DC453" s="52"/>
      <c r="DD453" s="52"/>
      <c r="DE453" s="52"/>
      <c r="DF453" s="52"/>
      <c r="DG453" s="52"/>
      <c r="DH453" s="52"/>
      <c r="DI453" s="52"/>
      <c r="DJ453" s="52"/>
      <c r="DK453" s="52"/>
      <c r="DL453" s="52"/>
      <c r="DM453" s="52"/>
      <c r="DN453" s="52"/>
      <c r="DO453" s="52"/>
      <c r="DP453" s="52"/>
      <c r="DQ453" s="52"/>
      <c r="DR453" s="52"/>
      <c r="DS453" s="52"/>
      <c r="DT453" s="52"/>
      <c r="DU453" s="52"/>
      <c r="DV453" s="52"/>
      <c r="DW453" s="52"/>
    </row>
    <row r="454">
      <c r="A454" s="22" t="s">
        <v>55</v>
      </c>
      <c r="B454" s="23" t="s">
        <v>56</v>
      </c>
      <c r="C454" s="31" t="s">
        <v>1191</v>
      </c>
      <c r="D454" s="25" t="str">
        <f>IFERROR(__xludf.DUMMYFUNCTION("SPLIT(C454,"" "")"),"Henry,")</f>
        <v>Henry,</v>
      </c>
      <c r="E454" s="22" t="str">
        <f>IFERROR(__xludf.DUMMYFUNCTION("""COMPUTED_VALUE"""),"Rue
4803")</f>
        <v>Rue
4803</v>
      </c>
      <c r="F454" s="22" t="str">
        <f>IFERROR(__xludf.DUMMYFUNCTION("""COMPUTED_VALUE"""),"Shadywood")</f>
        <v>Shadywood</v>
      </c>
      <c r="G454" s="22" t="str">
        <f>IFERROR(__xludf.DUMMYFUNCTION("""COMPUTED_VALUE"""),"Lane
Dallas,")</f>
        <v>Lane
Dallas,</v>
      </c>
      <c r="H454" s="22" t="str">
        <f>IFERROR(__xludf.DUMMYFUNCTION("""COMPUTED_VALUE"""),"TX")</f>
        <v>TX</v>
      </c>
      <c r="I454" s="22">
        <f>IFERROR(__xludf.DUMMYFUNCTION("""COMPUTED_VALUE"""),75209.0)</f>
        <v>75209</v>
      </c>
      <c r="J454" s="22"/>
      <c r="K454" s="22"/>
      <c r="L454" s="22"/>
      <c r="M454" s="22"/>
      <c r="N454" s="22"/>
      <c r="O454" s="22"/>
      <c r="P454" s="22"/>
      <c r="Q454" s="22"/>
      <c r="R454" s="22"/>
      <c r="S454" s="22"/>
      <c r="T454" s="22"/>
      <c r="U454" s="24" t="str">
        <f>IFERROR(__xludf.DUMMYFUNCTION("SPLIT(E454,""01234567890"")"),"Rue
")</f>
        <v>Rue
</v>
      </c>
      <c r="V454" s="24" t="str">
        <f>IFERROR(__xludf.DUMMYFUNCTION("SPLIT(D454,"","")"),"Henry")</f>
        <v>Henry</v>
      </c>
      <c r="W454" s="25" t="str">
        <f t="shared" si="1"/>
        <v>RUE
 HENRY</v>
      </c>
      <c r="X454" s="25" t="s">
        <v>1192</v>
      </c>
      <c r="Y454" s="25">
        <v>75209.0</v>
      </c>
      <c r="Z454" s="25" t="str">
        <f>IFERROR(__xludf.DUMMYFUNCTION("SPLIT(C454,""
"")"),"Henry, Rue")</f>
        <v>Henry, Rue</v>
      </c>
      <c r="AA454" s="25" t="str">
        <f>IFERROR(__xludf.DUMMYFUNCTION("""COMPUTED_VALUE"""),"4803 Shadywood Lane")</f>
        <v>4803 Shadywood Lane</v>
      </c>
      <c r="AB454" s="25" t="str">
        <f>IFERROR(__xludf.DUMMYFUNCTION("""COMPUTED_VALUE"""),"Dallas, TX 75209")</f>
        <v>Dallas, TX 75209</v>
      </c>
      <c r="AC454" s="24" t="s">
        <v>1193</v>
      </c>
      <c r="AD454" s="25"/>
      <c r="AE454" s="25"/>
      <c r="AF454" s="25"/>
      <c r="AG454" s="22" t="s">
        <v>60</v>
      </c>
      <c r="AH454" s="54">
        <v>2445.0</v>
      </c>
      <c r="AI454" s="22" t="s">
        <v>61</v>
      </c>
      <c r="AJ454" s="27">
        <v>100.0</v>
      </c>
      <c r="AK454" s="31" t="s">
        <v>30</v>
      </c>
      <c r="AL454" s="28">
        <v>44727.0</v>
      </c>
      <c r="AM454" s="29">
        <v>44755.778402777774</v>
      </c>
      <c r="AN454" s="30">
        <v>2.0</v>
      </c>
      <c r="AO454" s="22"/>
      <c r="AP454" s="22"/>
      <c r="AQ454" s="22"/>
      <c r="AR454" s="22"/>
      <c r="AS454" s="22"/>
      <c r="AT454" s="70"/>
      <c r="AU454" s="22"/>
      <c r="AV454" s="57" t="str">
        <f>IFERROR(__xludf.DUMMYFUNCTION("""COMPUTED_VALUE"""),"Klemme")</f>
        <v>Klemme</v>
      </c>
      <c r="AW454" s="46">
        <f t="shared" si="7"/>
        <v>100</v>
      </c>
      <c r="AX454" s="47">
        <f t="shared" ref="AX454:BQ454" si="1472">SUMIFS($AJ:$AJ,$V:$V,$AV454,$AK:$AK,AX$2)</f>
        <v>0</v>
      </c>
      <c r="AY454" s="48">
        <f t="shared" si="1472"/>
        <v>0</v>
      </c>
      <c r="AZ454" s="48">
        <f t="shared" si="1472"/>
        <v>0</v>
      </c>
      <c r="BA454" s="48">
        <f t="shared" si="1472"/>
        <v>0</v>
      </c>
      <c r="BB454" s="48">
        <f t="shared" si="1472"/>
        <v>0</v>
      </c>
      <c r="BC454" s="48">
        <f t="shared" si="1472"/>
        <v>100</v>
      </c>
      <c r="BD454" s="48">
        <f t="shared" si="1472"/>
        <v>0</v>
      </c>
      <c r="BE454" s="48">
        <f t="shared" si="1472"/>
        <v>0</v>
      </c>
      <c r="BF454" s="48">
        <f t="shared" si="1472"/>
        <v>0</v>
      </c>
      <c r="BG454" s="48">
        <f t="shared" si="1472"/>
        <v>0</v>
      </c>
      <c r="BH454" s="48">
        <f t="shared" si="1472"/>
        <v>0</v>
      </c>
      <c r="BI454" s="48">
        <f t="shared" si="1472"/>
        <v>0</v>
      </c>
      <c r="BJ454" s="48">
        <f t="shared" si="1472"/>
        <v>0</v>
      </c>
      <c r="BK454" s="48">
        <f t="shared" si="1472"/>
        <v>0</v>
      </c>
      <c r="BL454" s="48">
        <f t="shared" si="1472"/>
        <v>0</v>
      </c>
      <c r="BM454" s="48">
        <f t="shared" si="1472"/>
        <v>0</v>
      </c>
      <c r="BN454" s="48">
        <f t="shared" si="1472"/>
        <v>0</v>
      </c>
      <c r="BO454" s="48">
        <f t="shared" si="1472"/>
        <v>0</v>
      </c>
      <c r="BP454" s="48">
        <f t="shared" si="1472"/>
        <v>0</v>
      </c>
      <c r="BQ454" s="48">
        <f t="shared" si="1472"/>
        <v>0</v>
      </c>
      <c r="BR454" s="36">
        <f t="shared" si="9"/>
        <v>0</v>
      </c>
      <c r="BS454" s="38">
        <f t="shared" si="10"/>
        <v>1</v>
      </c>
      <c r="BT454" s="49">
        <f t="shared" si="11"/>
        <v>0</v>
      </c>
      <c r="BU454" s="38">
        <f t="shared" si="12"/>
        <v>1000</v>
      </c>
      <c r="BV454" s="57" t="str">
        <f>IFERROR(__xludf.DUMMYFUNCTION("""COMPUTED_VALUE"""),"Klemme")</f>
        <v>Klemme</v>
      </c>
      <c r="BW454" s="46">
        <f t="shared" si="13"/>
        <v>100</v>
      </c>
      <c r="BX454" s="47">
        <f t="shared" ref="BX454:CA454" si="1473">AX454-$BU454</f>
        <v>-1000</v>
      </c>
      <c r="BY454" s="47">
        <f t="shared" si="1473"/>
        <v>-1000</v>
      </c>
      <c r="BZ454" s="47">
        <f t="shared" si="1473"/>
        <v>-1000</v>
      </c>
      <c r="CA454" s="47">
        <f t="shared" si="1473"/>
        <v>-1000</v>
      </c>
      <c r="CB454" s="47">
        <f t="shared" si="15"/>
        <v>-10000</v>
      </c>
      <c r="CC454" s="47">
        <f t="shared" ref="CC454:CQ454" si="1474">BC454-$BU454</f>
        <v>-900</v>
      </c>
      <c r="CD454" s="47">
        <f t="shared" si="1474"/>
        <v>-1000</v>
      </c>
      <c r="CE454" s="47">
        <f t="shared" si="1474"/>
        <v>-1000</v>
      </c>
      <c r="CF454" s="47">
        <f t="shared" si="1474"/>
        <v>-1000</v>
      </c>
      <c r="CG454" s="47">
        <f t="shared" si="1474"/>
        <v>-1000</v>
      </c>
      <c r="CH454" s="47">
        <f t="shared" si="1474"/>
        <v>-1000</v>
      </c>
      <c r="CI454" s="47">
        <f t="shared" si="1474"/>
        <v>-1000</v>
      </c>
      <c r="CJ454" s="47">
        <f t="shared" si="1474"/>
        <v>-1000</v>
      </c>
      <c r="CK454" s="47">
        <f t="shared" si="1474"/>
        <v>-1000</v>
      </c>
      <c r="CL454" s="47">
        <f t="shared" si="1474"/>
        <v>-1000</v>
      </c>
      <c r="CM454" s="47">
        <f t="shared" si="1474"/>
        <v>-1000</v>
      </c>
      <c r="CN454" s="47">
        <f t="shared" si="1474"/>
        <v>-1000</v>
      </c>
      <c r="CO454" s="47">
        <f t="shared" si="1474"/>
        <v>-1000</v>
      </c>
      <c r="CP454" s="47">
        <f t="shared" si="1474"/>
        <v>-1000</v>
      </c>
      <c r="CQ454" s="47">
        <f t="shared" si="1474"/>
        <v>-1000</v>
      </c>
      <c r="CR454" s="47"/>
      <c r="CS454" s="47"/>
      <c r="CT454" s="47"/>
      <c r="CU454" s="50" t="str">
        <f>IFERROR(__xludf.DUMMYFUNCTION("""COMPUTED_VALUE"""),"6665 Lakewood Blvd
Dallas, TX 75214          ")</f>
        <v>6665 Lakewood Blvd
Dallas, TX 75214          </v>
      </c>
      <c r="CV454" s="51">
        <f>IFERROR(__xludf.DUMMYFUNCTION("IF(REGEXMATCH(UPPER(CU454), ""TX""),0,1)"),0.0)</f>
        <v>0</v>
      </c>
      <c r="CW454" s="51">
        <f>IFERROR(__xludf.DUMMYFUNCTION("IF(REGEXMATCH(UPPER(CU454), ""DALLAS""),0,1)"),0.0)</f>
        <v>0</v>
      </c>
      <c r="CX454" s="51">
        <f t="shared" si="17"/>
        <v>0</v>
      </c>
      <c r="CY454" s="51">
        <f t="shared" si="18"/>
        <v>0</v>
      </c>
      <c r="CZ454" s="52" t="str">
        <f t="shared" si="19"/>
        <v/>
      </c>
      <c r="DA454" s="58"/>
      <c r="DB454" s="52"/>
      <c r="DC454" s="52"/>
      <c r="DD454" s="52"/>
      <c r="DE454" s="52"/>
      <c r="DF454" s="52"/>
      <c r="DG454" s="52"/>
      <c r="DH454" s="52"/>
      <c r="DI454" s="52"/>
      <c r="DJ454" s="52"/>
      <c r="DK454" s="52"/>
      <c r="DL454" s="52"/>
      <c r="DM454" s="52"/>
      <c r="DN454" s="52"/>
      <c r="DO454" s="52"/>
      <c r="DP454" s="52"/>
      <c r="DQ454" s="52"/>
      <c r="DR454" s="52"/>
      <c r="DS454" s="52"/>
      <c r="DT454" s="52"/>
      <c r="DU454" s="52"/>
      <c r="DV454" s="52"/>
      <c r="DW454" s="52"/>
    </row>
    <row r="455">
      <c r="A455" s="40" t="s">
        <v>55</v>
      </c>
      <c r="B455" s="41" t="s">
        <v>56</v>
      </c>
      <c r="C455" s="31" t="s">
        <v>1261</v>
      </c>
      <c r="D455" s="25" t="str">
        <f>IFERROR(__xludf.DUMMYFUNCTION("SPLIT(C455,"" "")"),"Noyes,")</f>
        <v>Noyes,</v>
      </c>
      <c r="E455" s="40" t="str">
        <f>IFERROR(__xludf.DUMMYFUNCTION("""COMPUTED_VALUE"""),"Bob
10647")</f>
        <v>Bob
10647</v>
      </c>
      <c r="F455" s="40" t="str">
        <f>IFERROR(__xludf.DUMMYFUNCTION("""COMPUTED_VALUE"""),"Royal")</f>
        <v>Royal</v>
      </c>
      <c r="G455" s="40" t="str">
        <f>IFERROR(__xludf.DUMMYFUNCTION("""COMPUTED_VALUE"""),"Springs")</f>
        <v>Springs</v>
      </c>
      <c r="H455" s="40" t="str">
        <f>IFERROR(__xludf.DUMMYFUNCTION("""COMPUTED_VALUE"""),"Drive
Dallas,")</f>
        <v>Drive
Dallas,</v>
      </c>
      <c r="I455" s="40" t="str">
        <f>IFERROR(__xludf.DUMMYFUNCTION("""COMPUTED_VALUE"""),"TX")</f>
        <v>TX</v>
      </c>
      <c r="J455" s="40">
        <f>IFERROR(__xludf.DUMMYFUNCTION("""COMPUTED_VALUE"""),75229.0)</f>
        <v>75229</v>
      </c>
      <c r="K455" s="40"/>
      <c r="L455" s="40"/>
      <c r="M455" s="40"/>
      <c r="N455" s="40"/>
      <c r="O455" s="40"/>
      <c r="P455" s="40"/>
      <c r="Q455" s="40"/>
      <c r="R455" s="40"/>
      <c r="S455" s="40"/>
      <c r="T455" s="40"/>
      <c r="U455" s="24" t="str">
        <f>IFERROR(__xludf.DUMMYFUNCTION("SPLIT(E455,""01234567890"")"),"Bob
")</f>
        <v>Bob
</v>
      </c>
      <c r="V455" s="24" t="str">
        <f>IFERROR(__xludf.DUMMYFUNCTION("SPLIT(D455,"","")"),"Noyes")</f>
        <v>Noyes</v>
      </c>
      <c r="W455" s="25" t="str">
        <f t="shared" si="1"/>
        <v>BOB
 NOYES</v>
      </c>
      <c r="X455" s="25" t="s">
        <v>1262</v>
      </c>
      <c r="Y455" s="25">
        <v>75229.0</v>
      </c>
      <c r="Z455" s="25" t="str">
        <f>IFERROR(__xludf.DUMMYFUNCTION("SPLIT(C455,""
"")"),"Noyes, Bob")</f>
        <v>Noyes, Bob</v>
      </c>
      <c r="AA455" s="25" t="str">
        <f>IFERROR(__xludf.DUMMYFUNCTION("""COMPUTED_VALUE"""),"10647 Royal Springs Drive")</f>
        <v>10647 Royal Springs Drive</v>
      </c>
      <c r="AB455" s="25" t="str">
        <f>IFERROR(__xludf.DUMMYFUNCTION("""COMPUTED_VALUE"""),"Dallas, TX 75229")</f>
        <v>Dallas, TX 75229</v>
      </c>
      <c r="AC455" s="24" t="s">
        <v>1263</v>
      </c>
      <c r="AD455" s="25"/>
      <c r="AE455" s="25"/>
      <c r="AF455" s="25"/>
      <c r="AG455" s="40" t="s">
        <v>60</v>
      </c>
      <c r="AH455" s="42">
        <v>2445.0</v>
      </c>
      <c r="AI455" s="40" t="s">
        <v>61</v>
      </c>
      <c r="AJ455" s="27">
        <v>50.0</v>
      </c>
      <c r="AK455" s="31" t="s">
        <v>30</v>
      </c>
      <c r="AL455" s="43">
        <v>44727.0</v>
      </c>
      <c r="AM455" s="44">
        <v>44755.778402777774</v>
      </c>
      <c r="AN455" s="30">
        <v>2.0</v>
      </c>
      <c r="AO455" s="40"/>
      <c r="AP455" s="40"/>
      <c r="AQ455" s="40"/>
      <c r="AR455" s="40"/>
      <c r="AS455" s="40"/>
      <c r="AT455" s="47"/>
      <c r="AU455" s="40"/>
      <c r="AV455" s="46" t="str">
        <f>IFERROR(__xludf.DUMMYFUNCTION("""COMPUTED_VALUE"""),"Briggs")</f>
        <v>Briggs</v>
      </c>
      <c r="AW455" s="46">
        <f t="shared" si="7"/>
        <v>500</v>
      </c>
      <c r="AX455" s="47">
        <f t="shared" ref="AX455:BQ455" si="1475">SUMIFS($AJ:$AJ,$V:$V,$AV455,$AK:$AK,AX$2)</f>
        <v>0</v>
      </c>
      <c r="AY455" s="48">
        <f t="shared" si="1475"/>
        <v>0</v>
      </c>
      <c r="AZ455" s="48">
        <f t="shared" si="1475"/>
        <v>0</v>
      </c>
      <c r="BA455" s="48">
        <f t="shared" si="1475"/>
        <v>0</v>
      </c>
      <c r="BB455" s="48">
        <f t="shared" si="1475"/>
        <v>0</v>
      </c>
      <c r="BC455" s="48">
        <f t="shared" si="1475"/>
        <v>500</v>
      </c>
      <c r="BD455" s="48">
        <f t="shared" si="1475"/>
        <v>0</v>
      </c>
      <c r="BE455" s="48">
        <f t="shared" si="1475"/>
        <v>0</v>
      </c>
      <c r="BF455" s="48">
        <f t="shared" si="1475"/>
        <v>0</v>
      </c>
      <c r="BG455" s="48">
        <f t="shared" si="1475"/>
        <v>0</v>
      </c>
      <c r="BH455" s="48">
        <f t="shared" si="1475"/>
        <v>0</v>
      </c>
      <c r="BI455" s="48">
        <f t="shared" si="1475"/>
        <v>0</v>
      </c>
      <c r="BJ455" s="48">
        <f t="shared" si="1475"/>
        <v>0</v>
      </c>
      <c r="BK455" s="48">
        <f t="shared" si="1475"/>
        <v>0</v>
      </c>
      <c r="BL455" s="48">
        <f t="shared" si="1475"/>
        <v>0</v>
      </c>
      <c r="BM455" s="48">
        <f t="shared" si="1475"/>
        <v>0</v>
      </c>
      <c r="BN455" s="48">
        <f t="shared" si="1475"/>
        <v>0</v>
      </c>
      <c r="BO455" s="48">
        <f t="shared" si="1475"/>
        <v>0</v>
      </c>
      <c r="BP455" s="48">
        <f t="shared" si="1475"/>
        <v>0</v>
      </c>
      <c r="BQ455" s="48">
        <f t="shared" si="1475"/>
        <v>0</v>
      </c>
      <c r="BR455" s="36">
        <f t="shared" si="9"/>
        <v>0</v>
      </c>
      <c r="BS455" s="38">
        <f t="shared" si="10"/>
        <v>1</v>
      </c>
      <c r="BT455" s="49">
        <f t="shared" si="11"/>
        <v>0</v>
      </c>
      <c r="BU455" s="38">
        <f t="shared" si="12"/>
        <v>1000</v>
      </c>
      <c r="BV455" s="46" t="str">
        <f>IFERROR(__xludf.DUMMYFUNCTION("""COMPUTED_VALUE"""),"Briggs")</f>
        <v>Briggs</v>
      </c>
      <c r="BW455" s="46">
        <f t="shared" si="13"/>
        <v>500</v>
      </c>
      <c r="BX455" s="47">
        <f t="shared" ref="BX455:CA455" si="1476">AX455-$BU455</f>
        <v>-1000</v>
      </c>
      <c r="BY455" s="47">
        <f t="shared" si="1476"/>
        <v>-1000</v>
      </c>
      <c r="BZ455" s="47">
        <f t="shared" si="1476"/>
        <v>-1000</v>
      </c>
      <c r="CA455" s="47">
        <f t="shared" si="1476"/>
        <v>-1000</v>
      </c>
      <c r="CB455" s="47">
        <f t="shared" si="15"/>
        <v>-10000</v>
      </c>
      <c r="CC455" s="47">
        <f t="shared" ref="CC455:CQ455" si="1477">BC455-$BU455</f>
        <v>-500</v>
      </c>
      <c r="CD455" s="47">
        <f t="shared" si="1477"/>
        <v>-1000</v>
      </c>
      <c r="CE455" s="47">
        <f t="shared" si="1477"/>
        <v>-1000</v>
      </c>
      <c r="CF455" s="47">
        <f t="shared" si="1477"/>
        <v>-1000</v>
      </c>
      <c r="CG455" s="47">
        <f t="shared" si="1477"/>
        <v>-1000</v>
      </c>
      <c r="CH455" s="47">
        <f t="shared" si="1477"/>
        <v>-1000</v>
      </c>
      <c r="CI455" s="47">
        <f t="shared" si="1477"/>
        <v>-1000</v>
      </c>
      <c r="CJ455" s="47">
        <f t="shared" si="1477"/>
        <v>-1000</v>
      </c>
      <c r="CK455" s="47">
        <f t="shared" si="1477"/>
        <v>-1000</v>
      </c>
      <c r="CL455" s="47">
        <f t="shared" si="1477"/>
        <v>-1000</v>
      </c>
      <c r="CM455" s="47">
        <f t="shared" si="1477"/>
        <v>-1000</v>
      </c>
      <c r="CN455" s="47">
        <f t="shared" si="1477"/>
        <v>-1000</v>
      </c>
      <c r="CO455" s="47">
        <f t="shared" si="1477"/>
        <v>-1000</v>
      </c>
      <c r="CP455" s="47">
        <f t="shared" si="1477"/>
        <v>-1000</v>
      </c>
      <c r="CQ455" s="47">
        <f t="shared" si="1477"/>
        <v>-1000</v>
      </c>
      <c r="CR455" s="47"/>
      <c r="CS455" s="47"/>
      <c r="CT455" s="47"/>
      <c r="CU455" s="50" t="str">
        <f>IFERROR(__xludf.DUMMYFUNCTION("""COMPUTED_VALUE"""),"6336 Tulip
Dallas, TX 75230           ")</f>
        <v>6336 Tulip
Dallas, TX 75230           </v>
      </c>
      <c r="CV455" s="51">
        <f>IFERROR(__xludf.DUMMYFUNCTION("IF(REGEXMATCH(UPPER(CU455), ""TX""),0,1)"),0.0)</f>
        <v>0</v>
      </c>
      <c r="CW455" s="51">
        <f>IFERROR(__xludf.DUMMYFUNCTION("IF(REGEXMATCH(UPPER(CU455), ""DALLAS""),0,1)"),0.0)</f>
        <v>0</v>
      </c>
      <c r="CX455" s="51">
        <f t="shared" si="17"/>
        <v>0</v>
      </c>
      <c r="CY455" s="51">
        <f t="shared" si="18"/>
        <v>0</v>
      </c>
      <c r="CZ455" s="52" t="str">
        <f t="shared" si="19"/>
        <v/>
      </c>
      <c r="DA455" s="58"/>
      <c r="DB455" s="52"/>
      <c r="DC455" s="52"/>
      <c r="DD455" s="52"/>
      <c r="DE455" s="52"/>
      <c r="DF455" s="52"/>
      <c r="DG455" s="52"/>
      <c r="DH455" s="52"/>
      <c r="DI455" s="52"/>
      <c r="DJ455" s="52"/>
      <c r="DK455" s="52"/>
      <c r="DL455" s="52"/>
      <c r="DM455" s="52"/>
      <c r="DN455" s="52"/>
      <c r="DO455" s="52"/>
      <c r="DP455" s="52"/>
      <c r="DQ455" s="52"/>
      <c r="DR455" s="52"/>
      <c r="DS455" s="52"/>
      <c r="DT455" s="52"/>
      <c r="DU455" s="52"/>
      <c r="DV455" s="52"/>
      <c r="DW455" s="52"/>
    </row>
    <row r="456">
      <c r="A456" s="22" t="s">
        <v>55</v>
      </c>
      <c r="B456" s="23" t="s">
        <v>56</v>
      </c>
      <c r="C456" s="31" t="s">
        <v>1264</v>
      </c>
      <c r="D456" s="25" t="str">
        <f>IFERROR(__xludf.DUMMYFUNCTION("SPLIT(C456,"" "")"),"Losinger,")</f>
        <v>Losinger,</v>
      </c>
      <c r="E456" s="22" t="str">
        <f>IFERROR(__xludf.DUMMYFUNCTION("""COMPUTED_VALUE"""),"Sarah
4506")</f>
        <v>Sarah
4506</v>
      </c>
      <c r="F456" s="22" t="str">
        <f>IFERROR(__xludf.DUMMYFUNCTION("""COMPUTED_VALUE"""),"Park")</f>
        <v>Park</v>
      </c>
      <c r="G456" s="22" t="str">
        <f>IFERROR(__xludf.DUMMYFUNCTION("""COMPUTED_VALUE"""),"Lane
Dallas,")</f>
        <v>Lane
Dallas,</v>
      </c>
      <c r="H456" s="22" t="str">
        <f>IFERROR(__xludf.DUMMYFUNCTION("""COMPUTED_VALUE"""),"TX")</f>
        <v>TX</v>
      </c>
      <c r="I456" s="22">
        <f>IFERROR(__xludf.DUMMYFUNCTION("""COMPUTED_VALUE"""),75220.0)</f>
        <v>75220</v>
      </c>
      <c r="J456" s="22"/>
      <c r="K456" s="22"/>
      <c r="L456" s="22"/>
      <c r="M456" s="22"/>
      <c r="N456" s="22"/>
      <c r="O456" s="22"/>
      <c r="P456" s="22"/>
      <c r="Q456" s="22"/>
      <c r="R456" s="22"/>
      <c r="S456" s="22"/>
      <c r="T456" s="22"/>
      <c r="U456" s="24" t="str">
        <f>IFERROR(__xludf.DUMMYFUNCTION("SPLIT(E456,""01234567890"")"),"Sarah
")</f>
        <v>Sarah
</v>
      </c>
      <c r="V456" s="24" t="str">
        <f>IFERROR(__xludf.DUMMYFUNCTION("SPLIT(D456,"","")"),"Losinger")</f>
        <v>Losinger</v>
      </c>
      <c r="W456" s="25" t="str">
        <f t="shared" si="1"/>
        <v>SARAH
 LOSINGER</v>
      </c>
      <c r="X456" s="25" t="s">
        <v>1265</v>
      </c>
      <c r="Y456" s="25">
        <v>75220.0</v>
      </c>
      <c r="Z456" s="25" t="str">
        <f>IFERROR(__xludf.DUMMYFUNCTION("SPLIT(C456,""
"")"),"Losinger, Sarah")</f>
        <v>Losinger, Sarah</v>
      </c>
      <c r="AA456" s="25" t="str">
        <f>IFERROR(__xludf.DUMMYFUNCTION("""COMPUTED_VALUE"""),"4506 Park Lane")</f>
        <v>4506 Park Lane</v>
      </c>
      <c r="AB456" s="25" t="str">
        <f>IFERROR(__xludf.DUMMYFUNCTION("""COMPUTED_VALUE"""),"Dallas, TX 75220")</f>
        <v>Dallas, TX 75220</v>
      </c>
      <c r="AC456" s="24" t="s">
        <v>1266</v>
      </c>
      <c r="AD456" s="25"/>
      <c r="AE456" s="25"/>
      <c r="AF456" s="25"/>
      <c r="AG456" s="22" t="s">
        <v>60</v>
      </c>
      <c r="AH456" s="54">
        <v>2445.0</v>
      </c>
      <c r="AI456" s="22" t="s">
        <v>61</v>
      </c>
      <c r="AJ456" s="27">
        <v>250.0</v>
      </c>
      <c r="AK456" s="31" t="s">
        <v>30</v>
      </c>
      <c r="AL456" s="28">
        <v>44727.0</v>
      </c>
      <c r="AM456" s="29">
        <v>44755.778402777774</v>
      </c>
      <c r="AN456" s="30">
        <v>2.0</v>
      </c>
      <c r="AO456" s="22"/>
      <c r="AP456" s="22"/>
      <c r="AQ456" s="22"/>
      <c r="AR456" s="22"/>
      <c r="AS456" s="22"/>
      <c r="AT456" s="70"/>
      <c r="AU456" s="22"/>
      <c r="AV456" s="57" t="str">
        <f>IFERROR(__xludf.DUMMYFUNCTION("""COMPUTED_VALUE"""),"Hedrick")</f>
        <v>Hedrick</v>
      </c>
      <c r="AW456" s="46">
        <f t="shared" si="7"/>
        <v>1000</v>
      </c>
      <c r="AX456" s="47">
        <f t="shared" ref="AX456:BQ456" si="1478">SUMIFS($AJ:$AJ,$V:$V,$AV456,$AK:$AK,AX$2)</f>
        <v>0</v>
      </c>
      <c r="AY456" s="48">
        <f t="shared" si="1478"/>
        <v>0</v>
      </c>
      <c r="AZ456" s="48">
        <f t="shared" si="1478"/>
        <v>0</v>
      </c>
      <c r="BA456" s="48">
        <f t="shared" si="1478"/>
        <v>0</v>
      </c>
      <c r="BB456" s="48">
        <f t="shared" si="1478"/>
        <v>0</v>
      </c>
      <c r="BC456" s="48">
        <f t="shared" si="1478"/>
        <v>1000</v>
      </c>
      <c r="BD456" s="48">
        <f t="shared" si="1478"/>
        <v>0</v>
      </c>
      <c r="BE456" s="48">
        <f t="shared" si="1478"/>
        <v>0</v>
      </c>
      <c r="BF456" s="48">
        <f t="shared" si="1478"/>
        <v>0</v>
      </c>
      <c r="BG456" s="48">
        <f t="shared" si="1478"/>
        <v>0</v>
      </c>
      <c r="BH456" s="48">
        <f t="shared" si="1478"/>
        <v>0</v>
      </c>
      <c r="BI456" s="48">
        <f t="shared" si="1478"/>
        <v>0</v>
      </c>
      <c r="BJ456" s="48">
        <f t="shared" si="1478"/>
        <v>0</v>
      </c>
      <c r="BK456" s="48">
        <f t="shared" si="1478"/>
        <v>0</v>
      </c>
      <c r="BL456" s="48">
        <f t="shared" si="1478"/>
        <v>0</v>
      </c>
      <c r="BM456" s="48">
        <f t="shared" si="1478"/>
        <v>0</v>
      </c>
      <c r="BN456" s="48">
        <f t="shared" si="1478"/>
        <v>0</v>
      </c>
      <c r="BO456" s="48">
        <f t="shared" si="1478"/>
        <v>0</v>
      </c>
      <c r="BP456" s="48">
        <f t="shared" si="1478"/>
        <v>0</v>
      </c>
      <c r="BQ456" s="48">
        <f t="shared" si="1478"/>
        <v>0</v>
      </c>
      <c r="BR456" s="36">
        <f t="shared" si="9"/>
        <v>0</v>
      </c>
      <c r="BS456" s="38">
        <f t="shared" si="10"/>
        <v>1</v>
      </c>
      <c r="BT456" s="49">
        <f t="shared" si="11"/>
        <v>0</v>
      </c>
      <c r="BU456" s="38">
        <f t="shared" si="12"/>
        <v>1000</v>
      </c>
      <c r="BV456" s="57" t="str">
        <f>IFERROR(__xludf.DUMMYFUNCTION("""COMPUTED_VALUE"""),"Hedrick")</f>
        <v>Hedrick</v>
      </c>
      <c r="BW456" s="46">
        <f t="shared" si="13"/>
        <v>1000</v>
      </c>
      <c r="BX456" s="47">
        <f t="shared" ref="BX456:CA456" si="1479">AX456-$BU456</f>
        <v>-1000</v>
      </c>
      <c r="BY456" s="47">
        <f t="shared" si="1479"/>
        <v>-1000</v>
      </c>
      <c r="BZ456" s="47">
        <f t="shared" si="1479"/>
        <v>-1000</v>
      </c>
      <c r="CA456" s="47">
        <f t="shared" si="1479"/>
        <v>-1000</v>
      </c>
      <c r="CB456" s="47">
        <f t="shared" si="15"/>
        <v>-10000</v>
      </c>
      <c r="CC456" s="47">
        <f t="shared" ref="CC456:CQ456" si="1480">BC456-$BU456</f>
        <v>0</v>
      </c>
      <c r="CD456" s="47">
        <f t="shared" si="1480"/>
        <v>-1000</v>
      </c>
      <c r="CE456" s="47">
        <f t="shared" si="1480"/>
        <v>-1000</v>
      </c>
      <c r="CF456" s="47">
        <f t="shared" si="1480"/>
        <v>-1000</v>
      </c>
      <c r="CG456" s="47">
        <f t="shared" si="1480"/>
        <v>-1000</v>
      </c>
      <c r="CH456" s="47">
        <f t="shared" si="1480"/>
        <v>-1000</v>
      </c>
      <c r="CI456" s="47">
        <f t="shared" si="1480"/>
        <v>-1000</v>
      </c>
      <c r="CJ456" s="47">
        <f t="shared" si="1480"/>
        <v>-1000</v>
      </c>
      <c r="CK456" s="47">
        <f t="shared" si="1480"/>
        <v>-1000</v>
      </c>
      <c r="CL456" s="47">
        <f t="shared" si="1480"/>
        <v>-1000</v>
      </c>
      <c r="CM456" s="47">
        <f t="shared" si="1480"/>
        <v>-1000</v>
      </c>
      <c r="CN456" s="47">
        <f t="shared" si="1480"/>
        <v>-1000</v>
      </c>
      <c r="CO456" s="47">
        <f t="shared" si="1480"/>
        <v>-1000</v>
      </c>
      <c r="CP456" s="47">
        <f t="shared" si="1480"/>
        <v>-1000</v>
      </c>
      <c r="CQ456" s="47">
        <f t="shared" si="1480"/>
        <v>-1000</v>
      </c>
      <c r="CR456" s="47"/>
      <c r="CS456" s="47"/>
      <c r="CT456" s="47"/>
      <c r="CU456" s="50" t="str">
        <f>IFERROR(__xludf.DUMMYFUNCTION("""COMPUTED_VALUE"""),"6913 Lakewood Blvd
Dallas, TX 75214          ")</f>
        <v>6913 Lakewood Blvd
Dallas, TX 75214          </v>
      </c>
      <c r="CV456" s="51">
        <f>IFERROR(__xludf.DUMMYFUNCTION("IF(REGEXMATCH(UPPER(CU456), ""TX""),0,1)"),0.0)</f>
        <v>0</v>
      </c>
      <c r="CW456" s="51">
        <f>IFERROR(__xludf.DUMMYFUNCTION("IF(REGEXMATCH(UPPER(CU456), ""DALLAS""),0,1)"),0.0)</f>
        <v>0</v>
      </c>
      <c r="CX456" s="51">
        <f t="shared" si="17"/>
        <v>0</v>
      </c>
      <c r="CY456" s="51">
        <f t="shared" si="18"/>
        <v>0</v>
      </c>
      <c r="CZ456" s="52" t="str">
        <f t="shared" si="19"/>
        <v/>
      </c>
      <c r="DA456" s="58"/>
      <c r="DB456" s="52"/>
      <c r="DC456" s="52"/>
      <c r="DD456" s="52"/>
      <c r="DE456" s="52"/>
      <c r="DF456" s="52"/>
      <c r="DG456" s="52"/>
      <c r="DH456" s="52"/>
      <c r="DI456" s="52"/>
      <c r="DJ456" s="52"/>
      <c r="DK456" s="52"/>
      <c r="DL456" s="52"/>
      <c r="DM456" s="52"/>
      <c r="DN456" s="52"/>
      <c r="DO456" s="52"/>
      <c r="DP456" s="52"/>
      <c r="DQ456" s="52"/>
      <c r="DR456" s="52"/>
      <c r="DS456" s="52"/>
      <c r="DT456" s="52"/>
      <c r="DU456" s="52"/>
      <c r="DV456" s="52"/>
      <c r="DW456" s="52"/>
    </row>
    <row r="457">
      <c r="A457" s="40" t="s">
        <v>55</v>
      </c>
      <c r="B457" s="41" t="s">
        <v>56</v>
      </c>
      <c r="C457" s="31" t="s">
        <v>812</v>
      </c>
      <c r="D457" s="25" t="str">
        <f>IFERROR(__xludf.DUMMYFUNCTION("SPLIT(C457,"" "")"),"Sampson,")</f>
        <v>Sampson,</v>
      </c>
      <c r="E457" s="40" t="str">
        <f>IFERROR(__xludf.DUMMYFUNCTION("""COMPUTED_VALUE"""),"Demetris
PO")</f>
        <v>Demetris
PO</v>
      </c>
      <c r="F457" s="40" t="str">
        <f>IFERROR(__xludf.DUMMYFUNCTION("""COMPUTED_VALUE"""),"Box")</f>
        <v>Box</v>
      </c>
      <c r="G457" s="40" t="str">
        <f>IFERROR(__xludf.DUMMYFUNCTION("""COMPUTED_VALUE"""),"763834
Dallas,")</f>
        <v>763834
Dallas,</v>
      </c>
      <c r="H457" s="40" t="str">
        <f>IFERROR(__xludf.DUMMYFUNCTION("""COMPUTED_VALUE"""),"TX")</f>
        <v>TX</v>
      </c>
      <c r="I457" s="40">
        <f>IFERROR(__xludf.DUMMYFUNCTION("""COMPUTED_VALUE"""),75376.0)</f>
        <v>75376</v>
      </c>
      <c r="J457" s="40"/>
      <c r="K457" s="40"/>
      <c r="L457" s="40"/>
      <c r="M457" s="40"/>
      <c r="N457" s="40"/>
      <c r="O457" s="40"/>
      <c r="P457" s="40"/>
      <c r="Q457" s="40"/>
      <c r="R457" s="40"/>
      <c r="S457" s="40"/>
      <c r="T457" s="40"/>
      <c r="U457" s="24" t="str">
        <f>IFERROR(__xludf.DUMMYFUNCTION("SPLIT(E457,""01234567890"")"),"Demetris
PO")</f>
        <v>Demetris
PO</v>
      </c>
      <c r="V457" s="24" t="str">
        <f>IFERROR(__xludf.DUMMYFUNCTION("SPLIT(D457,"","")"),"Sampson")</f>
        <v>Sampson</v>
      </c>
      <c r="W457" s="25" t="str">
        <f t="shared" si="1"/>
        <v>DEMETRIS
PO SAMPSON</v>
      </c>
      <c r="X457" s="25" t="s">
        <v>813</v>
      </c>
      <c r="Y457" s="25">
        <v>75376.0</v>
      </c>
      <c r="Z457" s="25" t="str">
        <f>IFERROR(__xludf.DUMMYFUNCTION("SPLIT(C457,""
"")"),"Sampson, Demetris")</f>
        <v>Sampson, Demetris</v>
      </c>
      <c r="AA457" s="25" t="str">
        <f>IFERROR(__xludf.DUMMYFUNCTION("""COMPUTED_VALUE"""),"PO Box 763834")</f>
        <v>PO Box 763834</v>
      </c>
      <c r="AB457" s="25" t="str">
        <f>IFERROR(__xludf.DUMMYFUNCTION("""COMPUTED_VALUE"""),"Dallas, TX 75376")</f>
        <v>Dallas, TX 75376</v>
      </c>
      <c r="AC457" s="24" t="s">
        <v>814</v>
      </c>
      <c r="AD457" s="25"/>
      <c r="AE457" s="25"/>
      <c r="AF457" s="25"/>
      <c r="AG457" s="40" t="s">
        <v>60</v>
      </c>
      <c r="AH457" s="42">
        <v>2445.0</v>
      </c>
      <c r="AI457" s="40" t="s">
        <v>61</v>
      </c>
      <c r="AJ457" s="27">
        <v>250.0</v>
      </c>
      <c r="AK457" s="31" t="s">
        <v>30</v>
      </c>
      <c r="AL457" s="43">
        <v>44727.0</v>
      </c>
      <c r="AM457" s="44">
        <v>44755.778402777774</v>
      </c>
      <c r="AN457" s="30">
        <v>2.0</v>
      </c>
      <c r="AO457" s="40"/>
      <c r="AP457" s="40"/>
      <c r="AQ457" s="40"/>
      <c r="AR457" s="40"/>
      <c r="AS457" s="40"/>
      <c r="AT457" s="47"/>
      <c r="AU457" s="40"/>
      <c r="AV457" s="46" t="str">
        <f>IFERROR(__xludf.DUMMYFUNCTION("""COMPUTED_VALUE"""),"Coutant")</f>
        <v>Coutant</v>
      </c>
      <c r="AW457" s="46">
        <f t="shared" si="7"/>
        <v>500</v>
      </c>
      <c r="AX457" s="47">
        <f t="shared" ref="AX457:BQ457" si="1481">SUMIFS($AJ:$AJ,$V:$V,$AV457,$AK:$AK,AX$2)</f>
        <v>0</v>
      </c>
      <c r="AY457" s="48">
        <f t="shared" si="1481"/>
        <v>0</v>
      </c>
      <c r="AZ457" s="48">
        <f t="shared" si="1481"/>
        <v>0</v>
      </c>
      <c r="BA457" s="48">
        <f t="shared" si="1481"/>
        <v>0</v>
      </c>
      <c r="BB457" s="48">
        <f t="shared" si="1481"/>
        <v>0</v>
      </c>
      <c r="BC457" s="48">
        <f t="shared" si="1481"/>
        <v>500</v>
      </c>
      <c r="BD457" s="48">
        <f t="shared" si="1481"/>
        <v>0</v>
      </c>
      <c r="BE457" s="48">
        <f t="shared" si="1481"/>
        <v>0</v>
      </c>
      <c r="BF457" s="48">
        <f t="shared" si="1481"/>
        <v>0</v>
      </c>
      <c r="BG457" s="48">
        <f t="shared" si="1481"/>
        <v>0</v>
      </c>
      <c r="BH457" s="48">
        <f t="shared" si="1481"/>
        <v>0</v>
      </c>
      <c r="BI457" s="48">
        <f t="shared" si="1481"/>
        <v>0</v>
      </c>
      <c r="BJ457" s="48">
        <f t="shared" si="1481"/>
        <v>0</v>
      </c>
      <c r="BK457" s="48">
        <f t="shared" si="1481"/>
        <v>0</v>
      </c>
      <c r="BL457" s="48">
        <f t="shared" si="1481"/>
        <v>0</v>
      </c>
      <c r="BM457" s="48">
        <f t="shared" si="1481"/>
        <v>0</v>
      </c>
      <c r="BN457" s="48">
        <f t="shared" si="1481"/>
        <v>0</v>
      </c>
      <c r="BO457" s="48">
        <f t="shared" si="1481"/>
        <v>0</v>
      </c>
      <c r="BP457" s="48">
        <f t="shared" si="1481"/>
        <v>0</v>
      </c>
      <c r="BQ457" s="48">
        <f t="shared" si="1481"/>
        <v>0</v>
      </c>
      <c r="BR457" s="36">
        <f t="shared" si="9"/>
        <v>0</v>
      </c>
      <c r="BS457" s="38">
        <f t="shared" si="10"/>
        <v>1</v>
      </c>
      <c r="BT457" s="49">
        <f t="shared" si="11"/>
        <v>0</v>
      </c>
      <c r="BU457" s="38">
        <f t="shared" si="12"/>
        <v>1000</v>
      </c>
      <c r="BV457" s="46" t="str">
        <f>IFERROR(__xludf.DUMMYFUNCTION("""COMPUTED_VALUE"""),"Coutant")</f>
        <v>Coutant</v>
      </c>
      <c r="BW457" s="46">
        <f t="shared" si="13"/>
        <v>500</v>
      </c>
      <c r="BX457" s="47">
        <f t="shared" ref="BX457:CA457" si="1482">AX457-$BU457</f>
        <v>-1000</v>
      </c>
      <c r="BY457" s="47">
        <f t="shared" si="1482"/>
        <v>-1000</v>
      </c>
      <c r="BZ457" s="47">
        <f t="shared" si="1482"/>
        <v>-1000</v>
      </c>
      <c r="CA457" s="47">
        <f t="shared" si="1482"/>
        <v>-1000</v>
      </c>
      <c r="CB457" s="47">
        <f t="shared" si="15"/>
        <v>-10000</v>
      </c>
      <c r="CC457" s="47">
        <f t="shared" ref="CC457:CQ457" si="1483">BC457-$BU457</f>
        <v>-500</v>
      </c>
      <c r="CD457" s="47">
        <f t="shared" si="1483"/>
        <v>-1000</v>
      </c>
      <c r="CE457" s="47">
        <f t="shared" si="1483"/>
        <v>-1000</v>
      </c>
      <c r="CF457" s="47">
        <f t="shared" si="1483"/>
        <v>-1000</v>
      </c>
      <c r="CG457" s="47">
        <f t="shared" si="1483"/>
        <v>-1000</v>
      </c>
      <c r="CH457" s="47">
        <f t="shared" si="1483"/>
        <v>-1000</v>
      </c>
      <c r="CI457" s="47">
        <f t="shared" si="1483"/>
        <v>-1000</v>
      </c>
      <c r="CJ457" s="47">
        <f t="shared" si="1483"/>
        <v>-1000</v>
      </c>
      <c r="CK457" s="47">
        <f t="shared" si="1483"/>
        <v>-1000</v>
      </c>
      <c r="CL457" s="47">
        <f t="shared" si="1483"/>
        <v>-1000</v>
      </c>
      <c r="CM457" s="47">
        <f t="shared" si="1483"/>
        <v>-1000</v>
      </c>
      <c r="CN457" s="47">
        <f t="shared" si="1483"/>
        <v>-1000</v>
      </c>
      <c r="CO457" s="47">
        <f t="shared" si="1483"/>
        <v>-1000</v>
      </c>
      <c r="CP457" s="47">
        <f t="shared" si="1483"/>
        <v>-1000</v>
      </c>
      <c r="CQ457" s="47">
        <f t="shared" si="1483"/>
        <v>-1000</v>
      </c>
      <c r="CR457" s="47"/>
      <c r="CS457" s="47"/>
      <c r="CT457" s="47"/>
      <c r="CU457" s="50" t="str">
        <f>IFERROR(__xludf.DUMMYFUNCTION("""COMPUTED_VALUE"""),"8322 Ridgelea St.
Dallas, TX 75209          ")</f>
        <v>8322 Ridgelea St.
Dallas, TX 75209          </v>
      </c>
      <c r="CV457" s="51">
        <f>IFERROR(__xludf.DUMMYFUNCTION("IF(REGEXMATCH(UPPER(CU457), ""TX""),0,1)"),0.0)</f>
        <v>0</v>
      </c>
      <c r="CW457" s="51">
        <f>IFERROR(__xludf.DUMMYFUNCTION("IF(REGEXMATCH(UPPER(CU457), ""DALLAS""),0,1)"),0.0)</f>
        <v>0</v>
      </c>
      <c r="CX457" s="51">
        <f t="shared" si="17"/>
        <v>0</v>
      </c>
      <c r="CY457" s="51">
        <f t="shared" si="18"/>
        <v>0</v>
      </c>
      <c r="CZ457" s="52" t="str">
        <f t="shared" si="19"/>
        <v/>
      </c>
      <c r="DA457" s="58"/>
      <c r="DB457" s="52"/>
      <c r="DC457" s="52"/>
      <c r="DD457" s="52"/>
      <c r="DE457" s="52"/>
      <c r="DF457" s="52"/>
      <c r="DG457" s="52"/>
      <c r="DH457" s="52"/>
      <c r="DI457" s="52"/>
      <c r="DJ457" s="52"/>
      <c r="DK457" s="52"/>
      <c r="DL457" s="52"/>
      <c r="DM457" s="52"/>
      <c r="DN457" s="52"/>
      <c r="DO457" s="52"/>
      <c r="DP457" s="52"/>
      <c r="DQ457" s="52"/>
      <c r="DR457" s="52"/>
      <c r="DS457" s="52"/>
      <c r="DT457" s="52"/>
      <c r="DU457" s="52"/>
      <c r="DV457" s="52"/>
      <c r="DW457" s="52"/>
    </row>
    <row r="458">
      <c r="A458" s="22" t="s">
        <v>55</v>
      </c>
      <c r="B458" s="23" t="s">
        <v>56</v>
      </c>
      <c r="C458" s="31" t="s">
        <v>1267</v>
      </c>
      <c r="D458" s="25" t="str">
        <f>IFERROR(__xludf.DUMMYFUNCTION("SPLIT(C458,"" "")"),"Glaser,")</f>
        <v>Glaser,</v>
      </c>
      <c r="E458" s="22" t="str">
        <f>IFERROR(__xludf.DUMMYFUNCTION("""COMPUTED_VALUE"""),"Marnie
5635")</f>
        <v>Marnie
5635</v>
      </c>
      <c r="F458" s="22" t="str">
        <f>IFERROR(__xludf.DUMMYFUNCTION("""COMPUTED_VALUE"""),"Southwestern")</f>
        <v>Southwestern</v>
      </c>
      <c r="G458" s="22" t="str">
        <f>IFERROR(__xludf.DUMMYFUNCTION("""COMPUTED_VALUE"""),"Blvd
Dallas,")</f>
        <v>Blvd
Dallas,</v>
      </c>
      <c r="H458" s="22" t="str">
        <f>IFERROR(__xludf.DUMMYFUNCTION("""COMPUTED_VALUE"""),"TX")</f>
        <v>TX</v>
      </c>
      <c r="I458" s="22">
        <f>IFERROR(__xludf.DUMMYFUNCTION("""COMPUTED_VALUE"""),75209.0)</f>
        <v>75209</v>
      </c>
      <c r="J458" s="22"/>
      <c r="K458" s="22"/>
      <c r="L458" s="22"/>
      <c r="M458" s="22"/>
      <c r="N458" s="22"/>
      <c r="O458" s="22"/>
      <c r="P458" s="22"/>
      <c r="Q458" s="22"/>
      <c r="R458" s="22"/>
      <c r="S458" s="22"/>
      <c r="T458" s="22"/>
      <c r="U458" s="24" t="str">
        <f>IFERROR(__xludf.DUMMYFUNCTION("SPLIT(E458,""01234567890"")"),"Marnie
")</f>
        <v>Marnie
</v>
      </c>
      <c r="V458" s="24" t="str">
        <f>IFERROR(__xludf.DUMMYFUNCTION("SPLIT(D458,"","")"),"Glaser")</f>
        <v>Glaser</v>
      </c>
      <c r="W458" s="25" t="str">
        <f t="shared" si="1"/>
        <v>MARNIE
 GLASER</v>
      </c>
      <c r="X458" s="25" t="s">
        <v>1268</v>
      </c>
      <c r="Y458" s="25">
        <v>75209.0</v>
      </c>
      <c r="Z458" s="25" t="str">
        <f>IFERROR(__xludf.DUMMYFUNCTION("SPLIT(C458,""
"")"),"Glaser, Marnie")</f>
        <v>Glaser, Marnie</v>
      </c>
      <c r="AA458" s="25" t="str">
        <f>IFERROR(__xludf.DUMMYFUNCTION("""COMPUTED_VALUE"""),"5635 Southwestern Blvd")</f>
        <v>5635 Southwestern Blvd</v>
      </c>
      <c r="AB458" s="25" t="str">
        <f>IFERROR(__xludf.DUMMYFUNCTION("""COMPUTED_VALUE"""),"Dallas, TX 75209")</f>
        <v>Dallas, TX 75209</v>
      </c>
      <c r="AC458" s="24" t="s">
        <v>1269</v>
      </c>
      <c r="AD458" s="25"/>
      <c r="AE458" s="25"/>
      <c r="AF458" s="25"/>
      <c r="AG458" s="22" t="s">
        <v>60</v>
      </c>
      <c r="AH458" s="54">
        <v>2445.0</v>
      </c>
      <c r="AI458" s="22" t="s">
        <v>61</v>
      </c>
      <c r="AJ458" s="27">
        <v>100.0</v>
      </c>
      <c r="AK458" s="31" t="s">
        <v>30</v>
      </c>
      <c r="AL458" s="28">
        <v>44726.0</v>
      </c>
      <c r="AM458" s="29">
        <v>44755.778402777774</v>
      </c>
      <c r="AN458" s="30">
        <v>2.0</v>
      </c>
      <c r="AO458" s="22"/>
      <c r="AP458" s="22"/>
      <c r="AQ458" s="22"/>
      <c r="AR458" s="22"/>
      <c r="AS458" s="22"/>
      <c r="AT458" s="70"/>
      <c r="AU458" s="22"/>
      <c r="AV458" s="57" t="str">
        <f>IFERROR(__xludf.DUMMYFUNCTION("""COMPUTED_VALUE"""),"Siegers")</f>
        <v>Siegers</v>
      </c>
      <c r="AW458" s="46">
        <f t="shared" si="7"/>
        <v>2000</v>
      </c>
      <c r="AX458" s="47">
        <f t="shared" ref="AX458:BQ458" si="1484">SUMIFS($AJ:$AJ,$V:$V,$AV458,$AK:$AK,AX$2)</f>
        <v>0</v>
      </c>
      <c r="AY458" s="48">
        <f t="shared" si="1484"/>
        <v>0</v>
      </c>
      <c r="AZ458" s="48">
        <f t="shared" si="1484"/>
        <v>0</v>
      </c>
      <c r="BA458" s="48">
        <f t="shared" si="1484"/>
        <v>0</v>
      </c>
      <c r="BB458" s="48">
        <f t="shared" si="1484"/>
        <v>0</v>
      </c>
      <c r="BC458" s="48">
        <f t="shared" si="1484"/>
        <v>2000</v>
      </c>
      <c r="BD458" s="48">
        <f t="shared" si="1484"/>
        <v>0</v>
      </c>
      <c r="BE458" s="48">
        <f t="shared" si="1484"/>
        <v>0</v>
      </c>
      <c r="BF458" s="48">
        <f t="shared" si="1484"/>
        <v>0</v>
      </c>
      <c r="BG458" s="48">
        <f t="shared" si="1484"/>
        <v>0</v>
      </c>
      <c r="BH458" s="48">
        <f t="shared" si="1484"/>
        <v>0</v>
      </c>
      <c r="BI458" s="48">
        <f t="shared" si="1484"/>
        <v>0</v>
      </c>
      <c r="BJ458" s="48">
        <f t="shared" si="1484"/>
        <v>0</v>
      </c>
      <c r="BK458" s="48">
        <f t="shared" si="1484"/>
        <v>0</v>
      </c>
      <c r="BL458" s="48">
        <f t="shared" si="1484"/>
        <v>0</v>
      </c>
      <c r="BM458" s="48">
        <f t="shared" si="1484"/>
        <v>0</v>
      </c>
      <c r="BN458" s="48">
        <f t="shared" si="1484"/>
        <v>0</v>
      </c>
      <c r="BO458" s="48">
        <f t="shared" si="1484"/>
        <v>0</v>
      </c>
      <c r="BP458" s="48">
        <f t="shared" si="1484"/>
        <v>0</v>
      </c>
      <c r="BQ458" s="48">
        <f t="shared" si="1484"/>
        <v>0</v>
      </c>
      <c r="BR458" s="36">
        <f t="shared" si="9"/>
        <v>1</v>
      </c>
      <c r="BS458" s="38">
        <f t="shared" si="10"/>
        <v>2</v>
      </c>
      <c r="BT458" s="49">
        <f t="shared" si="11"/>
        <v>0</v>
      </c>
      <c r="BU458" s="38">
        <f t="shared" si="12"/>
        <v>2000</v>
      </c>
      <c r="BV458" s="57" t="str">
        <f>IFERROR(__xludf.DUMMYFUNCTION("""COMPUTED_VALUE"""),"Siegers")</f>
        <v>Siegers</v>
      </c>
      <c r="BW458" s="46">
        <f t="shared" si="13"/>
        <v>2000</v>
      </c>
      <c r="BX458" s="47">
        <f t="shared" ref="BX458:CA458" si="1485">AX458-$BU458</f>
        <v>-2000</v>
      </c>
      <c r="BY458" s="47">
        <f t="shared" si="1485"/>
        <v>-2000</v>
      </c>
      <c r="BZ458" s="47">
        <f t="shared" si="1485"/>
        <v>-2000</v>
      </c>
      <c r="CA458" s="47">
        <f t="shared" si="1485"/>
        <v>-2000</v>
      </c>
      <c r="CB458" s="47">
        <f t="shared" si="15"/>
        <v>-20000</v>
      </c>
      <c r="CC458" s="47">
        <f t="shared" ref="CC458:CQ458" si="1486">BC458-$BU458</f>
        <v>0</v>
      </c>
      <c r="CD458" s="47">
        <f t="shared" si="1486"/>
        <v>-2000</v>
      </c>
      <c r="CE458" s="47">
        <f t="shared" si="1486"/>
        <v>-2000</v>
      </c>
      <c r="CF458" s="47">
        <f t="shared" si="1486"/>
        <v>-2000</v>
      </c>
      <c r="CG458" s="47">
        <f t="shared" si="1486"/>
        <v>-2000</v>
      </c>
      <c r="CH458" s="47">
        <f t="shared" si="1486"/>
        <v>-2000</v>
      </c>
      <c r="CI458" s="47">
        <f t="shared" si="1486"/>
        <v>-2000</v>
      </c>
      <c r="CJ458" s="47">
        <f t="shared" si="1486"/>
        <v>-2000</v>
      </c>
      <c r="CK458" s="47">
        <f t="shared" si="1486"/>
        <v>-2000</v>
      </c>
      <c r="CL458" s="47">
        <f t="shared" si="1486"/>
        <v>-2000</v>
      </c>
      <c r="CM458" s="47">
        <f t="shared" si="1486"/>
        <v>-2000</v>
      </c>
      <c r="CN458" s="47">
        <f t="shared" si="1486"/>
        <v>-2000</v>
      </c>
      <c r="CO458" s="47">
        <f t="shared" si="1486"/>
        <v>-2000</v>
      </c>
      <c r="CP458" s="47">
        <f t="shared" si="1486"/>
        <v>-2000</v>
      </c>
      <c r="CQ458" s="47">
        <f t="shared" si="1486"/>
        <v>-2000</v>
      </c>
      <c r="CR458" s="47"/>
      <c r="CS458" s="47"/>
      <c r="CT458" s="47"/>
      <c r="CU458" s="50" t="str">
        <f>IFERROR(__xludf.DUMMYFUNCTION("""COMPUTED_VALUE"""),"7520 Yamani
Dallas, TX 75230           ")</f>
        <v>7520 Yamani
Dallas, TX 75230           </v>
      </c>
      <c r="CV458" s="51">
        <f>IFERROR(__xludf.DUMMYFUNCTION("IF(REGEXMATCH(UPPER(CU458), ""TX""),0,1)"),0.0)</f>
        <v>0</v>
      </c>
      <c r="CW458" s="51">
        <f>IFERROR(__xludf.DUMMYFUNCTION("IF(REGEXMATCH(UPPER(CU458), ""DALLAS""),0,1)"),0.0)</f>
        <v>0</v>
      </c>
      <c r="CX458" s="51">
        <f t="shared" si="17"/>
        <v>0</v>
      </c>
      <c r="CY458" s="51">
        <f t="shared" si="18"/>
        <v>0</v>
      </c>
      <c r="CZ458" s="52" t="str">
        <f t="shared" si="19"/>
        <v/>
      </c>
      <c r="DA458" s="58"/>
      <c r="DB458" s="52"/>
      <c r="DC458" s="52"/>
      <c r="DD458" s="52"/>
      <c r="DE458" s="52"/>
      <c r="DF458" s="52"/>
      <c r="DG458" s="52"/>
      <c r="DH458" s="52"/>
      <c r="DI458" s="52"/>
      <c r="DJ458" s="52"/>
      <c r="DK458" s="52"/>
      <c r="DL458" s="52"/>
      <c r="DM458" s="52"/>
      <c r="DN458" s="52"/>
      <c r="DO458" s="52"/>
      <c r="DP458" s="52"/>
      <c r="DQ458" s="52"/>
      <c r="DR458" s="52"/>
      <c r="DS458" s="52"/>
      <c r="DT458" s="52"/>
      <c r="DU458" s="52"/>
      <c r="DV458" s="52"/>
      <c r="DW458" s="52"/>
    </row>
    <row r="459">
      <c r="A459" s="40" t="s">
        <v>55</v>
      </c>
      <c r="B459" s="41" t="s">
        <v>56</v>
      </c>
      <c r="C459" s="31" t="s">
        <v>1270</v>
      </c>
      <c r="D459" s="25" t="str">
        <f>IFERROR(__xludf.DUMMYFUNCTION("SPLIT(C459,"" "")"),"Sutton,")</f>
        <v>Sutton,</v>
      </c>
      <c r="E459" s="40" t="str">
        <f>IFERROR(__xludf.DUMMYFUNCTION("""COMPUTED_VALUE"""),"Deborah
7256")</f>
        <v>Deborah
7256</v>
      </c>
      <c r="F459" s="40" t="str">
        <f>IFERROR(__xludf.DUMMYFUNCTION("""COMPUTED_VALUE"""),"Ashington")</f>
        <v>Ashington</v>
      </c>
      <c r="G459" s="40" t="str">
        <f>IFERROR(__xludf.DUMMYFUNCTION("""COMPUTED_VALUE"""),"Drive
Dallas,")</f>
        <v>Drive
Dallas,</v>
      </c>
      <c r="H459" s="40" t="str">
        <f>IFERROR(__xludf.DUMMYFUNCTION("""COMPUTED_VALUE"""),"TX")</f>
        <v>TX</v>
      </c>
      <c r="I459" s="40">
        <f>IFERROR(__xludf.DUMMYFUNCTION("""COMPUTED_VALUE"""),75225.0)</f>
        <v>75225</v>
      </c>
      <c r="J459" s="40"/>
      <c r="K459" s="40"/>
      <c r="L459" s="40"/>
      <c r="M459" s="40"/>
      <c r="N459" s="40"/>
      <c r="O459" s="40"/>
      <c r="P459" s="40"/>
      <c r="Q459" s="40"/>
      <c r="R459" s="40"/>
      <c r="S459" s="40"/>
      <c r="T459" s="40"/>
      <c r="U459" s="24" t="str">
        <f>IFERROR(__xludf.DUMMYFUNCTION("SPLIT(E459,""01234567890"")"),"Deborah
")</f>
        <v>Deborah
</v>
      </c>
      <c r="V459" s="24" t="str">
        <f>IFERROR(__xludf.DUMMYFUNCTION("SPLIT(D459,"","")"),"Sutton")</f>
        <v>Sutton</v>
      </c>
      <c r="W459" s="25" t="str">
        <f t="shared" si="1"/>
        <v>DEBORAH
 SUTTON</v>
      </c>
      <c r="X459" s="25" t="s">
        <v>1271</v>
      </c>
      <c r="Y459" s="25">
        <v>75225.0</v>
      </c>
      <c r="Z459" s="25" t="str">
        <f>IFERROR(__xludf.DUMMYFUNCTION("SPLIT(C459,""
"")"),"Sutton, Deborah")</f>
        <v>Sutton, Deborah</v>
      </c>
      <c r="AA459" s="25" t="str">
        <f>IFERROR(__xludf.DUMMYFUNCTION("""COMPUTED_VALUE"""),"7256 Ashington Drive")</f>
        <v>7256 Ashington Drive</v>
      </c>
      <c r="AB459" s="25" t="str">
        <f>IFERROR(__xludf.DUMMYFUNCTION("""COMPUTED_VALUE"""),"Dallas, TX 75225")</f>
        <v>Dallas, TX 75225</v>
      </c>
      <c r="AC459" s="24" t="s">
        <v>1272</v>
      </c>
      <c r="AD459" s="25"/>
      <c r="AE459" s="25"/>
      <c r="AF459" s="25"/>
      <c r="AG459" s="40" t="s">
        <v>60</v>
      </c>
      <c r="AH459" s="42">
        <v>2445.0</v>
      </c>
      <c r="AI459" s="40" t="s">
        <v>61</v>
      </c>
      <c r="AJ459" s="27">
        <v>100.0</v>
      </c>
      <c r="AK459" s="31" t="s">
        <v>30</v>
      </c>
      <c r="AL459" s="43">
        <v>44726.0</v>
      </c>
      <c r="AM459" s="44">
        <v>44755.778402777774</v>
      </c>
      <c r="AN459" s="30">
        <v>2.0</v>
      </c>
      <c r="AO459" s="40"/>
      <c r="AP459" s="40"/>
      <c r="AQ459" s="40"/>
      <c r="AR459" s="40"/>
      <c r="AS459" s="40"/>
      <c r="AT459" s="47"/>
      <c r="AU459" s="40"/>
      <c r="AV459" s="46" t="str">
        <f>IFERROR(__xludf.DUMMYFUNCTION("""COMPUTED_VALUE"""),"Boyd")</f>
        <v>Boyd</v>
      </c>
      <c r="AW459" s="46">
        <f t="shared" si="7"/>
        <v>500</v>
      </c>
      <c r="AX459" s="47">
        <f t="shared" ref="AX459:BQ459" si="1487">SUMIFS($AJ:$AJ,$V:$V,$AV459,$AK:$AK,AX$2)</f>
        <v>0</v>
      </c>
      <c r="AY459" s="48">
        <f t="shared" si="1487"/>
        <v>0</v>
      </c>
      <c r="AZ459" s="48">
        <f t="shared" si="1487"/>
        <v>0</v>
      </c>
      <c r="BA459" s="48">
        <f t="shared" si="1487"/>
        <v>0</v>
      </c>
      <c r="BB459" s="48">
        <f t="shared" si="1487"/>
        <v>0</v>
      </c>
      <c r="BC459" s="48">
        <f t="shared" si="1487"/>
        <v>500</v>
      </c>
      <c r="BD459" s="48">
        <f t="shared" si="1487"/>
        <v>0</v>
      </c>
      <c r="BE459" s="48">
        <f t="shared" si="1487"/>
        <v>0</v>
      </c>
      <c r="BF459" s="48">
        <f t="shared" si="1487"/>
        <v>0</v>
      </c>
      <c r="BG459" s="48">
        <f t="shared" si="1487"/>
        <v>0</v>
      </c>
      <c r="BH459" s="48">
        <f t="shared" si="1487"/>
        <v>0</v>
      </c>
      <c r="BI459" s="48">
        <f t="shared" si="1487"/>
        <v>0</v>
      </c>
      <c r="BJ459" s="48">
        <f t="shared" si="1487"/>
        <v>0</v>
      </c>
      <c r="BK459" s="48">
        <f t="shared" si="1487"/>
        <v>0</v>
      </c>
      <c r="BL459" s="48">
        <f t="shared" si="1487"/>
        <v>0</v>
      </c>
      <c r="BM459" s="48">
        <f t="shared" si="1487"/>
        <v>0</v>
      </c>
      <c r="BN459" s="48">
        <f t="shared" si="1487"/>
        <v>0</v>
      </c>
      <c r="BO459" s="48">
        <f t="shared" si="1487"/>
        <v>0</v>
      </c>
      <c r="BP459" s="48">
        <f t="shared" si="1487"/>
        <v>0</v>
      </c>
      <c r="BQ459" s="48">
        <f t="shared" si="1487"/>
        <v>0</v>
      </c>
      <c r="BR459" s="36">
        <f t="shared" si="9"/>
        <v>0</v>
      </c>
      <c r="BS459" s="38">
        <f t="shared" si="10"/>
        <v>1</v>
      </c>
      <c r="BT459" s="49">
        <f t="shared" si="11"/>
        <v>0</v>
      </c>
      <c r="BU459" s="38">
        <f t="shared" si="12"/>
        <v>1000</v>
      </c>
      <c r="BV459" s="46" t="str">
        <f>IFERROR(__xludf.DUMMYFUNCTION("""COMPUTED_VALUE"""),"Boyd")</f>
        <v>Boyd</v>
      </c>
      <c r="BW459" s="46">
        <f t="shared" si="13"/>
        <v>500</v>
      </c>
      <c r="BX459" s="47">
        <f t="shared" ref="BX459:CA459" si="1488">AX459-$BU459</f>
        <v>-1000</v>
      </c>
      <c r="BY459" s="47">
        <f t="shared" si="1488"/>
        <v>-1000</v>
      </c>
      <c r="BZ459" s="47">
        <f t="shared" si="1488"/>
        <v>-1000</v>
      </c>
      <c r="CA459" s="47">
        <f t="shared" si="1488"/>
        <v>-1000</v>
      </c>
      <c r="CB459" s="47">
        <f t="shared" si="15"/>
        <v>-10000</v>
      </c>
      <c r="CC459" s="47">
        <f t="shared" ref="CC459:CQ459" si="1489">BC459-$BU459</f>
        <v>-500</v>
      </c>
      <c r="CD459" s="47">
        <f t="shared" si="1489"/>
        <v>-1000</v>
      </c>
      <c r="CE459" s="47">
        <f t="shared" si="1489"/>
        <v>-1000</v>
      </c>
      <c r="CF459" s="47">
        <f t="shared" si="1489"/>
        <v>-1000</v>
      </c>
      <c r="CG459" s="47">
        <f t="shared" si="1489"/>
        <v>-1000</v>
      </c>
      <c r="CH459" s="47">
        <f t="shared" si="1489"/>
        <v>-1000</v>
      </c>
      <c r="CI459" s="47">
        <f t="shared" si="1489"/>
        <v>-1000</v>
      </c>
      <c r="CJ459" s="47">
        <f t="shared" si="1489"/>
        <v>-1000</v>
      </c>
      <c r="CK459" s="47">
        <f t="shared" si="1489"/>
        <v>-1000</v>
      </c>
      <c r="CL459" s="47">
        <f t="shared" si="1489"/>
        <v>-1000</v>
      </c>
      <c r="CM459" s="47">
        <f t="shared" si="1489"/>
        <v>-1000</v>
      </c>
      <c r="CN459" s="47">
        <f t="shared" si="1489"/>
        <v>-1000</v>
      </c>
      <c r="CO459" s="47">
        <f t="shared" si="1489"/>
        <v>-1000</v>
      </c>
      <c r="CP459" s="47">
        <f t="shared" si="1489"/>
        <v>-1000</v>
      </c>
      <c r="CQ459" s="47">
        <f t="shared" si="1489"/>
        <v>-1000</v>
      </c>
      <c r="CR459" s="47"/>
      <c r="CS459" s="47"/>
      <c r="CT459" s="47"/>
      <c r="CU459" s="50" t="str">
        <f>IFERROR(__xludf.DUMMYFUNCTION("""COMPUTED_VALUE"""),"1507 Tranquilla Dr
Dallas, TX 75218          ")</f>
        <v>1507 Tranquilla Dr
Dallas, TX 75218          </v>
      </c>
      <c r="CV459" s="51">
        <f>IFERROR(__xludf.DUMMYFUNCTION("IF(REGEXMATCH(UPPER(CU459), ""TX""),0,1)"),0.0)</f>
        <v>0</v>
      </c>
      <c r="CW459" s="51">
        <f>IFERROR(__xludf.DUMMYFUNCTION("IF(REGEXMATCH(UPPER(CU459), ""DALLAS""),0,1)"),0.0)</f>
        <v>0</v>
      </c>
      <c r="CX459" s="51">
        <f t="shared" si="17"/>
        <v>0</v>
      </c>
      <c r="CY459" s="51">
        <f t="shared" si="18"/>
        <v>0</v>
      </c>
      <c r="CZ459" s="52" t="str">
        <f t="shared" si="19"/>
        <v/>
      </c>
      <c r="DA459" s="58"/>
      <c r="DB459" s="52"/>
      <c r="DC459" s="52"/>
      <c r="DD459" s="52"/>
      <c r="DE459" s="52"/>
      <c r="DF459" s="52"/>
      <c r="DG459" s="52"/>
      <c r="DH459" s="52"/>
      <c r="DI459" s="52"/>
      <c r="DJ459" s="52"/>
      <c r="DK459" s="52"/>
      <c r="DL459" s="52"/>
      <c r="DM459" s="52"/>
      <c r="DN459" s="52"/>
      <c r="DO459" s="52"/>
      <c r="DP459" s="52"/>
      <c r="DQ459" s="52"/>
      <c r="DR459" s="52"/>
      <c r="DS459" s="52"/>
      <c r="DT459" s="52"/>
      <c r="DU459" s="52"/>
      <c r="DV459" s="52"/>
      <c r="DW459" s="52"/>
    </row>
    <row r="460">
      <c r="A460" s="22" t="s">
        <v>55</v>
      </c>
      <c r="B460" s="23" t="s">
        <v>56</v>
      </c>
      <c r="C460" s="31" t="s">
        <v>1273</v>
      </c>
      <c r="D460" s="25" t="str">
        <f>IFERROR(__xludf.DUMMYFUNCTION("SPLIT(C460,"" "")"),"Jones,")</f>
        <v>Jones,</v>
      </c>
      <c r="E460" s="22" t="str">
        <f>IFERROR(__xludf.DUMMYFUNCTION("""COMPUTED_VALUE"""),"Joanne
5337")</f>
        <v>Joanne
5337</v>
      </c>
      <c r="F460" s="22" t="str">
        <f>IFERROR(__xludf.DUMMYFUNCTION("""COMPUTED_VALUE"""),"Livingston")</f>
        <v>Livingston</v>
      </c>
      <c r="G460" s="22" t="str">
        <f>IFERROR(__xludf.DUMMYFUNCTION("""COMPUTED_VALUE"""),"Ave
Dallas,")</f>
        <v>Ave
Dallas,</v>
      </c>
      <c r="H460" s="22" t="str">
        <f>IFERROR(__xludf.DUMMYFUNCTION("""COMPUTED_VALUE"""),"TX")</f>
        <v>TX</v>
      </c>
      <c r="I460" s="22">
        <f>IFERROR(__xludf.DUMMYFUNCTION("""COMPUTED_VALUE"""),75209.0)</f>
        <v>75209</v>
      </c>
      <c r="J460" s="22"/>
      <c r="K460" s="22"/>
      <c r="L460" s="22"/>
      <c r="M460" s="22"/>
      <c r="N460" s="22"/>
      <c r="O460" s="22"/>
      <c r="P460" s="22"/>
      <c r="Q460" s="22"/>
      <c r="R460" s="22"/>
      <c r="S460" s="22"/>
      <c r="T460" s="22"/>
      <c r="U460" s="24" t="str">
        <f>IFERROR(__xludf.DUMMYFUNCTION("SPLIT(E460,""01234567890"")"),"Joanne
")</f>
        <v>Joanne
</v>
      </c>
      <c r="V460" s="24" t="str">
        <f>IFERROR(__xludf.DUMMYFUNCTION("SPLIT(D460,"","")"),"Jones")</f>
        <v>Jones</v>
      </c>
      <c r="W460" s="25" t="str">
        <f t="shared" si="1"/>
        <v>JOANNE
 JONES</v>
      </c>
      <c r="X460" s="25" t="s">
        <v>1274</v>
      </c>
      <c r="Y460" s="25">
        <v>75209.0</v>
      </c>
      <c r="Z460" s="25" t="str">
        <f>IFERROR(__xludf.DUMMYFUNCTION("SPLIT(C460,""
"")"),"Jones, Joanne")</f>
        <v>Jones, Joanne</v>
      </c>
      <c r="AA460" s="25" t="str">
        <f>IFERROR(__xludf.DUMMYFUNCTION("""COMPUTED_VALUE"""),"5337 Livingston Ave")</f>
        <v>5337 Livingston Ave</v>
      </c>
      <c r="AB460" s="25" t="str">
        <f>IFERROR(__xludf.DUMMYFUNCTION("""COMPUTED_VALUE"""),"Dallas, TX 75209")</f>
        <v>Dallas, TX 75209</v>
      </c>
      <c r="AC460" s="24" t="s">
        <v>1275</v>
      </c>
      <c r="AD460" s="25"/>
      <c r="AE460" s="25"/>
      <c r="AF460" s="25"/>
      <c r="AG460" s="22" t="s">
        <v>60</v>
      </c>
      <c r="AH460" s="54">
        <v>2445.0</v>
      </c>
      <c r="AI460" s="22" t="s">
        <v>61</v>
      </c>
      <c r="AJ460" s="27">
        <v>50.0</v>
      </c>
      <c r="AK460" s="31" t="s">
        <v>30</v>
      </c>
      <c r="AL460" s="28">
        <v>44726.0</v>
      </c>
      <c r="AM460" s="29">
        <v>44755.778402777774</v>
      </c>
      <c r="AN460" s="30">
        <v>2.0</v>
      </c>
      <c r="AO460" s="22"/>
      <c r="AP460" s="22"/>
      <c r="AQ460" s="22"/>
      <c r="AR460" s="22"/>
      <c r="AS460" s="22"/>
      <c r="AT460" s="70"/>
      <c r="AU460" s="22"/>
      <c r="AV460" s="57" t="str">
        <f>IFERROR(__xludf.DUMMYFUNCTION("""COMPUTED_VALUE"""),"Bonahoom")</f>
        <v>Bonahoom</v>
      </c>
      <c r="AW460" s="46">
        <f t="shared" si="7"/>
        <v>100</v>
      </c>
      <c r="AX460" s="47">
        <f t="shared" ref="AX460:BQ460" si="1490">SUMIFS($AJ:$AJ,$V:$V,$AV460,$AK:$AK,AX$2)</f>
        <v>0</v>
      </c>
      <c r="AY460" s="48">
        <f t="shared" si="1490"/>
        <v>0</v>
      </c>
      <c r="AZ460" s="48">
        <f t="shared" si="1490"/>
        <v>0</v>
      </c>
      <c r="BA460" s="48">
        <f t="shared" si="1490"/>
        <v>0</v>
      </c>
      <c r="BB460" s="48">
        <f t="shared" si="1490"/>
        <v>0</v>
      </c>
      <c r="BC460" s="48">
        <f t="shared" si="1490"/>
        <v>100</v>
      </c>
      <c r="BD460" s="48">
        <f t="shared" si="1490"/>
        <v>0</v>
      </c>
      <c r="BE460" s="48">
        <f t="shared" si="1490"/>
        <v>0</v>
      </c>
      <c r="BF460" s="48">
        <f t="shared" si="1490"/>
        <v>0</v>
      </c>
      <c r="BG460" s="48">
        <f t="shared" si="1490"/>
        <v>0</v>
      </c>
      <c r="BH460" s="48">
        <f t="shared" si="1490"/>
        <v>0</v>
      </c>
      <c r="BI460" s="48">
        <f t="shared" si="1490"/>
        <v>0</v>
      </c>
      <c r="BJ460" s="48">
        <f t="shared" si="1490"/>
        <v>0</v>
      </c>
      <c r="BK460" s="48">
        <f t="shared" si="1490"/>
        <v>0</v>
      </c>
      <c r="BL460" s="48">
        <f t="shared" si="1490"/>
        <v>0</v>
      </c>
      <c r="BM460" s="48">
        <f t="shared" si="1490"/>
        <v>0</v>
      </c>
      <c r="BN460" s="48">
        <f t="shared" si="1490"/>
        <v>0</v>
      </c>
      <c r="BO460" s="48">
        <f t="shared" si="1490"/>
        <v>0</v>
      </c>
      <c r="BP460" s="48">
        <f t="shared" si="1490"/>
        <v>0</v>
      </c>
      <c r="BQ460" s="48">
        <f t="shared" si="1490"/>
        <v>0</v>
      </c>
      <c r="BR460" s="36">
        <f t="shared" si="9"/>
        <v>0</v>
      </c>
      <c r="BS460" s="38">
        <f t="shared" si="10"/>
        <v>1</v>
      </c>
      <c r="BT460" s="49">
        <f t="shared" si="11"/>
        <v>0</v>
      </c>
      <c r="BU460" s="38">
        <f t="shared" si="12"/>
        <v>1000</v>
      </c>
      <c r="BV460" s="57" t="str">
        <f>IFERROR(__xludf.DUMMYFUNCTION("""COMPUTED_VALUE"""),"Bonahoom")</f>
        <v>Bonahoom</v>
      </c>
      <c r="BW460" s="46">
        <f t="shared" si="13"/>
        <v>100</v>
      </c>
      <c r="BX460" s="47">
        <f t="shared" ref="BX460:CA460" si="1491">AX460-$BU460</f>
        <v>-1000</v>
      </c>
      <c r="BY460" s="47">
        <f t="shared" si="1491"/>
        <v>-1000</v>
      </c>
      <c r="BZ460" s="47">
        <f t="shared" si="1491"/>
        <v>-1000</v>
      </c>
      <c r="CA460" s="47">
        <f t="shared" si="1491"/>
        <v>-1000</v>
      </c>
      <c r="CB460" s="47">
        <f t="shared" si="15"/>
        <v>-10000</v>
      </c>
      <c r="CC460" s="47">
        <f t="shared" ref="CC460:CQ460" si="1492">BC460-$BU460</f>
        <v>-900</v>
      </c>
      <c r="CD460" s="47">
        <f t="shared" si="1492"/>
        <v>-1000</v>
      </c>
      <c r="CE460" s="47">
        <f t="shared" si="1492"/>
        <v>-1000</v>
      </c>
      <c r="CF460" s="47">
        <f t="shared" si="1492"/>
        <v>-1000</v>
      </c>
      <c r="CG460" s="47">
        <f t="shared" si="1492"/>
        <v>-1000</v>
      </c>
      <c r="CH460" s="47">
        <f t="shared" si="1492"/>
        <v>-1000</v>
      </c>
      <c r="CI460" s="47">
        <f t="shared" si="1492"/>
        <v>-1000</v>
      </c>
      <c r="CJ460" s="47">
        <f t="shared" si="1492"/>
        <v>-1000</v>
      </c>
      <c r="CK460" s="47">
        <f t="shared" si="1492"/>
        <v>-1000</v>
      </c>
      <c r="CL460" s="47">
        <f t="shared" si="1492"/>
        <v>-1000</v>
      </c>
      <c r="CM460" s="47">
        <f t="shared" si="1492"/>
        <v>-1000</v>
      </c>
      <c r="CN460" s="47">
        <f t="shared" si="1492"/>
        <v>-1000</v>
      </c>
      <c r="CO460" s="47">
        <f t="shared" si="1492"/>
        <v>-1000</v>
      </c>
      <c r="CP460" s="47">
        <f t="shared" si="1492"/>
        <v>-1000</v>
      </c>
      <c r="CQ460" s="47">
        <f t="shared" si="1492"/>
        <v>-1000</v>
      </c>
      <c r="CR460" s="47"/>
      <c r="CS460" s="47"/>
      <c r="CT460" s="47"/>
      <c r="CU460" s="50" t="str">
        <f>IFERROR(__xludf.DUMMYFUNCTION("""COMPUTED_VALUE"""),"6541 Arborist
Dallas, TX 75214           ")</f>
        <v>6541 Arborist
Dallas, TX 75214           </v>
      </c>
      <c r="CV460" s="51">
        <f>IFERROR(__xludf.DUMMYFUNCTION("IF(REGEXMATCH(UPPER(CU460), ""TX""),0,1)"),0.0)</f>
        <v>0</v>
      </c>
      <c r="CW460" s="51">
        <f>IFERROR(__xludf.DUMMYFUNCTION("IF(REGEXMATCH(UPPER(CU460), ""DALLAS""),0,1)"),0.0)</f>
        <v>0</v>
      </c>
      <c r="CX460" s="51">
        <f t="shared" si="17"/>
        <v>0</v>
      </c>
      <c r="CY460" s="51">
        <f t="shared" si="18"/>
        <v>0</v>
      </c>
      <c r="CZ460" s="52" t="str">
        <f t="shared" si="19"/>
        <v/>
      </c>
      <c r="DA460" s="58"/>
      <c r="DB460" s="52"/>
      <c r="DC460" s="52"/>
      <c r="DD460" s="52"/>
      <c r="DE460" s="52"/>
      <c r="DF460" s="52"/>
      <c r="DG460" s="52"/>
      <c r="DH460" s="52"/>
      <c r="DI460" s="52"/>
      <c r="DJ460" s="52"/>
      <c r="DK460" s="52"/>
      <c r="DL460" s="52"/>
      <c r="DM460" s="52"/>
      <c r="DN460" s="52"/>
      <c r="DO460" s="52"/>
      <c r="DP460" s="52"/>
      <c r="DQ460" s="52"/>
      <c r="DR460" s="52"/>
      <c r="DS460" s="52"/>
      <c r="DT460" s="52"/>
      <c r="DU460" s="52"/>
      <c r="DV460" s="52"/>
      <c r="DW460" s="52"/>
    </row>
    <row r="461">
      <c r="A461" s="40" t="s">
        <v>55</v>
      </c>
      <c r="B461" s="41" t="s">
        <v>56</v>
      </c>
      <c r="C461" s="31" t="s">
        <v>1276</v>
      </c>
      <c r="D461" s="25" t="str">
        <f>IFERROR(__xludf.DUMMYFUNCTION("SPLIT(C461,"" "")"),"Hopkins,")</f>
        <v>Hopkins,</v>
      </c>
      <c r="E461" s="40" t="str">
        <f>IFERROR(__xludf.DUMMYFUNCTION("""COMPUTED_VALUE"""),"Shelton
4707")</f>
        <v>Shelton
4707</v>
      </c>
      <c r="F461" s="40" t="str">
        <f>IFERROR(__xludf.DUMMYFUNCTION("""COMPUTED_VALUE"""),"Crooked")</f>
        <v>Crooked</v>
      </c>
      <c r="G461" s="40" t="str">
        <f>IFERROR(__xludf.DUMMYFUNCTION("""COMPUTED_VALUE"""),"Lane
Dallas,")</f>
        <v>Lane
Dallas,</v>
      </c>
      <c r="H461" s="40" t="str">
        <f>IFERROR(__xludf.DUMMYFUNCTION("""COMPUTED_VALUE"""),"TX")</f>
        <v>TX</v>
      </c>
      <c r="I461" s="40">
        <f>IFERROR(__xludf.DUMMYFUNCTION("""COMPUTED_VALUE"""),75229.0)</f>
        <v>75229</v>
      </c>
      <c r="J461" s="40"/>
      <c r="K461" s="40"/>
      <c r="L461" s="40"/>
      <c r="M461" s="40"/>
      <c r="N461" s="40"/>
      <c r="O461" s="40"/>
      <c r="P461" s="40"/>
      <c r="Q461" s="40"/>
      <c r="R461" s="40"/>
      <c r="S461" s="40"/>
      <c r="T461" s="40"/>
      <c r="U461" s="24" t="str">
        <f>IFERROR(__xludf.DUMMYFUNCTION("SPLIT(E461,""01234567890"")"),"Shelton
")</f>
        <v>Shelton
</v>
      </c>
      <c r="V461" s="24" t="str">
        <f>IFERROR(__xludf.DUMMYFUNCTION("SPLIT(D461,"","")"),"Hopkins")</f>
        <v>Hopkins</v>
      </c>
      <c r="W461" s="25" t="str">
        <f t="shared" si="1"/>
        <v>SHELTON
 HOPKINS</v>
      </c>
      <c r="X461" s="25" t="s">
        <v>1277</v>
      </c>
      <c r="Y461" s="25">
        <v>75229.0</v>
      </c>
      <c r="Z461" s="25" t="str">
        <f>IFERROR(__xludf.DUMMYFUNCTION("SPLIT(C461,""
"")"),"Hopkins, Shelton")</f>
        <v>Hopkins, Shelton</v>
      </c>
      <c r="AA461" s="25" t="str">
        <f>IFERROR(__xludf.DUMMYFUNCTION("""COMPUTED_VALUE"""),"4707 Crooked Lane")</f>
        <v>4707 Crooked Lane</v>
      </c>
      <c r="AB461" s="25" t="str">
        <f>IFERROR(__xludf.DUMMYFUNCTION("""COMPUTED_VALUE"""),"Dallas, TX 75229")</f>
        <v>Dallas, TX 75229</v>
      </c>
      <c r="AC461" s="24" t="s">
        <v>1278</v>
      </c>
      <c r="AD461" s="25"/>
      <c r="AE461" s="25"/>
      <c r="AF461" s="25"/>
      <c r="AG461" s="40" t="s">
        <v>60</v>
      </c>
      <c r="AH461" s="42">
        <v>2445.0</v>
      </c>
      <c r="AI461" s="40" t="s">
        <v>61</v>
      </c>
      <c r="AJ461" s="27">
        <v>30.0</v>
      </c>
      <c r="AK461" s="31" t="s">
        <v>30</v>
      </c>
      <c r="AL461" s="43">
        <v>44726.0</v>
      </c>
      <c r="AM461" s="44">
        <v>44755.778402777774</v>
      </c>
      <c r="AN461" s="30">
        <v>2.0</v>
      </c>
      <c r="AO461" s="40"/>
      <c r="AP461" s="40"/>
      <c r="AQ461" s="40"/>
      <c r="AR461" s="40"/>
      <c r="AS461" s="40"/>
      <c r="AT461" s="47"/>
      <c r="AU461" s="40"/>
      <c r="AV461" s="46" t="str">
        <f>IFERROR(__xludf.DUMMYFUNCTION("""COMPUTED_VALUE"""),"Lauck")</f>
        <v>Lauck</v>
      </c>
      <c r="AW461" s="46">
        <f t="shared" si="7"/>
        <v>250</v>
      </c>
      <c r="AX461" s="47">
        <f t="shared" ref="AX461:BQ461" si="1493">SUMIFS($AJ:$AJ,$V:$V,$AV461,$AK:$AK,AX$2)</f>
        <v>0</v>
      </c>
      <c r="AY461" s="48">
        <f t="shared" si="1493"/>
        <v>0</v>
      </c>
      <c r="AZ461" s="48">
        <f t="shared" si="1493"/>
        <v>0</v>
      </c>
      <c r="BA461" s="48">
        <f t="shared" si="1493"/>
        <v>0</v>
      </c>
      <c r="BB461" s="48">
        <f t="shared" si="1493"/>
        <v>0</v>
      </c>
      <c r="BC461" s="48">
        <f t="shared" si="1493"/>
        <v>250</v>
      </c>
      <c r="BD461" s="48">
        <f t="shared" si="1493"/>
        <v>0</v>
      </c>
      <c r="BE461" s="48">
        <f t="shared" si="1493"/>
        <v>0</v>
      </c>
      <c r="BF461" s="48">
        <f t="shared" si="1493"/>
        <v>0</v>
      </c>
      <c r="BG461" s="48">
        <f t="shared" si="1493"/>
        <v>0</v>
      </c>
      <c r="BH461" s="48">
        <f t="shared" si="1493"/>
        <v>0</v>
      </c>
      <c r="BI461" s="48">
        <f t="shared" si="1493"/>
        <v>0</v>
      </c>
      <c r="BJ461" s="48">
        <f t="shared" si="1493"/>
        <v>0</v>
      </c>
      <c r="BK461" s="48">
        <f t="shared" si="1493"/>
        <v>0</v>
      </c>
      <c r="BL461" s="48">
        <f t="shared" si="1493"/>
        <v>0</v>
      </c>
      <c r="BM461" s="48">
        <f t="shared" si="1493"/>
        <v>0</v>
      </c>
      <c r="BN461" s="48">
        <f t="shared" si="1493"/>
        <v>0</v>
      </c>
      <c r="BO461" s="48">
        <f t="shared" si="1493"/>
        <v>0</v>
      </c>
      <c r="BP461" s="48">
        <f t="shared" si="1493"/>
        <v>0</v>
      </c>
      <c r="BQ461" s="48">
        <f t="shared" si="1493"/>
        <v>0</v>
      </c>
      <c r="BR461" s="36">
        <f t="shared" si="9"/>
        <v>0</v>
      </c>
      <c r="BS461" s="38">
        <f t="shared" si="10"/>
        <v>1</v>
      </c>
      <c r="BT461" s="49">
        <f t="shared" si="11"/>
        <v>0</v>
      </c>
      <c r="BU461" s="38">
        <f t="shared" si="12"/>
        <v>1000</v>
      </c>
      <c r="BV461" s="46" t="str">
        <f>IFERROR(__xludf.DUMMYFUNCTION("""COMPUTED_VALUE"""),"Lauck")</f>
        <v>Lauck</v>
      </c>
      <c r="BW461" s="46">
        <f t="shared" si="13"/>
        <v>250</v>
      </c>
      <c r="BX461" s="47">
        <f t="shared" ref="BX461:CA461" si="1494">AX461-$BU461</f>
        <v>-1000</v>
      </c>
      <c r="BY461" s="47">
        <f t="shared" si="1494"/>
        <v>-1000</v>
      </c>
      <c r="BZ461" s="47">
        <f t="shared" si="1494"/>
        <v>-1000</v>
      </c>
      <c r="CA461" s="47">
        <f t="shared" si="1494"/>
        <v>-1000</v>
      </c>
      <c r="CB461" s="47">
        <f t="shared" si="15"/>
        <v>-10000</v>
      </c>
      <c r="CC461" s="47">
        <f t="shared" ref="CC461:CQ461" si="1495">BC461-$BU461</f>
        <v>-750</v>
      </c>
      <c r="CD461" s="47">
        <f t="shared" si="1495"/>
        <v>-1000</v>
      </c>
      <c r="CE461" s="47">
        <f t="shared" si="1495"/>
        <v>-1000</v>
      </c>
      <c r="CF461" s="47">
        <f t="shared" si="1495"/>
        <v>-1000</v>
      </c>
      <c r="CG461" s="47">
        <f t="shared" si="1495"/>
        <v>-1000</v>
      </c>
      <c r="CH461" s="47">
        <f t="shared" si="1495"/>
        <v>-1000</v>
      </c>
      <c r="CI461" s="47">
        <f t="shared" si="1495"/>
        <v>-1000</v>
      </c>
      <c r="CJ461" s="47">
        <f t="shared" si="1495"/>
        <v>-1000</v>
      </c>
      <c r="CK461" s="47">
        <f t="shared" si="1495"/>
        <v>-1000</v>
      </c>
      <c r="CL461" s="47">
        <f t="shared" si="1495"/>
        <v>-1000</v>
      </c>
      <c r="CM461" s="47">
        <f t="shared" si="1495"/>
        <v>-1000</v>
      </c>
      <c r="CN461" s="47">
        <f t="shared" si="1495"/>
        <v>-1000</v>
      </c>
      <c r="CO461" s="47">
        <f t="shared" si="1495"/>
        <v>-1000</v>
      </c>
      <c r="CP461" s="47">
        <f t="shared" si="1495"/>
        <v>-1000</v>
      </c>
      <c r="CQ461" s="47">
        <f t="shared" si="1495"/>
        <v>-1000</v>
      </c>
      <c r="CR461" s="47"/>
      <c r="CS461" s="47"/>
      <c r="CT461" s="47"/>
      <c r="CU461" s="50" t="str">
        <f>IFERROR(__xludf.DUMMYFUNCTION("""COMPUTED_VALUE"""),"101 N. Clinton Ave
Dallas, TX 75208         ")</f>
        <v>101 N. Clinton Ave
Dallas, TX 75208         </v>
      </c>
      <c r="CV461" s="51">
        <f>IFERROR(__xludf.DUMMYFUNCTION("IF(REGEXMATCH(UPPER(CU461), ""TX""),0,1)"),0.0)</f>
        <v>0</v>
      </c>
      <c r="CW461" s="51">
        <f>IFERROR(__xludf.DUMMYFUNCTION("IF(REGEXMATCH(UPPER(CU461), ""DALLAS""),0,1)"),0.0)</f>
        <v>0</v>
      </c>
      <c r="CX461" s="51">
        <f t="shared" si="17"/>
        <v>0</v>
      </c>
      <c r="CY461" s="51">
        <f t="shared" si="18"/>
        <v>0</v>
      </c>
      <c r="CZ461" s="52" t="str">
        <f t="shared" si="19"/>
        <v/>
      </c>
      <c r="DA461" s="58"/>
      <c r="DB461" s="52"/>
      <c r="DC461" s="52"/>
      <c r="DD461" s="52"/>
      <c r="DE461" s="52"/>
      <c r="DF461" s="52"/>
      <c r="DG461" s="52"/>
      <c r="DH461" s="52"/>
      <c r="DI461" s="52"/>
      <c r="DJ461" s="52"/>
      <c r="DK461" s="52"/>
      <c r="DL461" s="52"/>
      <c r="DM461" s="52"/>
      <c r="DN461" s="52"/>
      <c r="DO461" s="52"/>
      <c r="DP461" s="52"/>
      <c r="DQ461" s="52"/>
      <c r="DR461" s="52"/>
      <c r="DS461" s="52"/>
      <c r="DT461" s="52"/>
      <c r="DU461" s="52"/>
      <c r="DV461" s="52"/>
      <c r="DW461" s="52"/>
    </row>
    <row r="462">
      <c r="A462" s="22" t="s">
        <v>55</v>
      </c>
      <c r="B462" s="23" t="s">
        <v>56</v>
      </c>
      <c r="C462" s="31" t="s">
        <v>1279</v>
      </c>
      <c r="D462" s="25" t="str">
        <f>IFERROR(__xludf.DUMMYFUNCTION("SPLIT(C462,"" "")"),"Minic,")</f>
        <v>Minic,</v>
      </c>
      <c r="E462" s="22" t="str">
        <f>IFERROR(__xludf.DUMMYFUNCTION("""COMPUTED_VALUE"""),"Bo/
6152")</f>
        <v>Bo/
6152</v>
      </c>
      <c r="F462" s="22" t="str">
        <f>IFERROR(__xludf.DUMMYFUNCTION("""COMPUTED_VALUE"""),"Summer")</f>
        <v>Summer</v>
      </c>
      <c r="G462" s="22" t="str">
        <f>IFERROR(__xludf.DUMMYFUNCTION("""COMPUTED_VALUE"""),"Creek")</f>
        <v>Creek</v>
      </c>
      <c r="H462" s="22" t="str">
        <f>IFERROR(__xludf.DUMMYFUNCTION("""COMPUTED_VALUE"""),"Circle
Dallas,")</f>
        <v>Circle
Dallas,</v>
      </c>
      <c r="I462" s="22" t="str">
        <f>IFERROR(__xludf.DUMMYFUNCTION("""COMPUTED_VALUE"""),"TX")</f>
        <v>TX</v>
      </c>
      <c r="J462" s="22">
        <f>IFERROR(__xludf.DUMMYFUNCTION("""COMPUTED_VALUE"""),75231.0)</f>
        <v>75231</v>
      </c>
      <c r="K462" s="22"/>
      <c r="L462" s="22"/>
      <c r="M462" s="22"/>
      <c r="N462" s="22"/>
      <c r="O462" s="22"/>
      <c r="P462" s="22"/>
      <c r="Q462" s="22"/>
      <c r="R462" s="22"/>
      <c r="S462" s="22"/>
      <c r="T462" s="22"/>
      <c r="U462" s="24" t="str">
        <f>IFERROR(__xludf.DUMMYFUNCTION("SPLIT(E462,""01234567890"")"),"Bo/
")</f>
        <v>Bo/
</v>
      </c>
      <c r="V462" s="24" t="str">
        <f>IFERROR(__xludf.DUMMYFUNCTION("SPLIT(D462,"","")"),"Minic")</f>
        <v>Minic</v>
      </c>
      <c r="W462" s="25" t="str">
        <f t="shared" si="1"/>
        <v>BO/
 MINIC</v>
      </c>
      <c r="X462" s="25" t="s">
        <v>1280</v>
      </c>
      <c r="Y462" s="25">
        <v>6152.0</v>
      </c>
      <c r="Z462" s="25" t="str">
        <f>IFERROR(__xludf.DUMMYFUNCTION("SPLIT(C462,""
"")"),"Minic, Bo/")</f>
        <v>Minic, Bo/</v>
      </c>
      <c r="AA462" s="25" t="str">
        <f>IFERROR(__xludf.DUMMYFUNCTION("""COMPUTED_VALUE"""),"6152 Summer Creek Circle")</f>
        <v>6152 Summer Creek Circle</v>
      </c>
      <c r="AB462" s="25" t="str">
        <f>IFERROR(__xludf.DUMMYFUNCTION("""COMPUTED_VALUE"""),"Dallas, TX 75231")</f>
        <v>Dallas, TX 75231</v>
      </c>
      <c r="AC462" s="24" t="s">
        <v>1281</v>
      </c>
      <c r="AD462" s="25"/>
      <c r="AE462" s="25"/>
      <c r="AF462" s="25"/>
      <c r="AG462" s="22" t="s">
        <v>60</v>
      </c>
      <c r="AH462" s="54">
        <v>2445.0</v>
      </c>
      <c r="AI462" s="22" t="s">
        <v>61</v>
      </c>
      <c r="AJ462" s="27">
        <v>10.0</v>
      </c>
      <c r="AK462" s="31" t="s">
        <v>30</v>
      </c>
      <c r="AL462" s="28">
        <v>44726.0</v>
      </c>
      <c r="AM462" s="29">
        <v>44755.778402777774</v>
      </c>
      <c r="AN462" s="30">
        <v>2.0</v>
      </c>
      <c r="AO462" s="22"/>
      <c r="AP462" s="22"/>
      <c r="AQ462" s="22"/>
      <c r="AR462" s="22"/>
      <c r="AS462" s="22"/>
      <c r="AT462" s="70"/>
      <c r="AU462" s="22"/>
      <c r="AV462" s="57" t="str">
        <f>IFERROR(__xludf.DUMMYFUNCTION("""COMPUTED_VALUE"""),"Timmerman")</f>
        <v>Timmerman</v>
      </c>
      <c r="AW462" s="46">
        <f t="shared" si="7"/>
        <v>100</v>
      </c>
      <c r="AX462" s="47">
        <f t="shared" ref="AX462:BQ462" si="1496">SUMIFS($AJ:$AJ,$V:$V,$AV462,$AK:$AK,AX$2)</f>
        <v>0</v>
      </c>
      <c r="AY462" s="48">
        <f t="shared" si="1496"/>
        <v>0</v>
      </c>
      <c r="AZ462" s="48">
        <f t="shared" si="1496"/>
        <v>0</v>
      </c>
      <c r="BA462" s="48">
        <f t="shared" si="1496"/>
        <v>0</v>
      </c>
      <c r="BB462" s="48">
        <f t="shared" si="1496"/>
        <v>0</v>
      </c>
      <c r="BC462" s="48">
        <f t="shared" si="1496"/>
        <v>100</v>
      </c>
      <c r="BD462" s="48">
        <f t="shared" si="1496"/>
        <v>0</v>
      </c>
      <c r="BE462" s="48">
        <f t="shared" si="1496"/>
        <v>0</v>
      </c>
      <c r="BF462" s="48">
        <f t="shared" si="1496"/>
        <v>0</v>
      </c>
      <c r="BG462" s="48">
        <f t="shared" si="1496"/>
        <v>0</v>
      </c>
      <c r="BH462" s="48">
        <f t="shared" si="1496"/>
        <v>0</v>
      </c>
      <c r="BI462" s="48">
        <f t="shared" si="1496"/>
        <v>0</v>
      </c>
      <c r="BJ462" s="48">
        <f t="shared" si="1496"/>
        <v>0</v>
      </c>
      <c r="BK462" s="48">
        <f t="shared" si="1496"/>
        <v>0</v>
      </c>
      <c r="BL462" s="48">
        <f t="shared" si="1496"/>
        <v>0</v>
      </c>
      <c r="BM462" s="48">
        <f t="shared" si="1496"/>
        <v>0</v>
      </c>
      <c r="BN462" s="48">
        <f t="shared" si="1496"/>
        <v>0</v>
      </c>
      <c r="BO462" s="48">
        <f t="shared" si="1496"/>
        <v>0</v>
      </c>
      <c r="BP462" s="48">
        <f t="shared" si="1496"/>
        <v>0</v>
      </c>
      <c r="BQ462" s="48">
        <f t="shared" si="1496"/>
        <v>0</v>
      </c>
      <c r="BR462" s="36">
        <f t="shared" si="9"/>
        <v>0</v>
      </c>
      <c r="BS462" s="38">
        <f t="shared" si="10"/>
        <v>1</v>
      </c>
      <c r="BT462" s="49">
        <f t="shared" si="11"/>
        <v>0</v>
      </c>
      <c r="BU462" s="38">
        <f t="shared" si="12"/>
        <v>1000</v>
      </c>
      <c r="BV462" s="57" t="str">
        <f>IFERROR(__xludf.DUMMYFUNCTION("""COMPUTED_VALUE"""),"Timmerman")</f>
        <v>Timmerman</v>
      </c>
      <c r="BW462" s="46">
        <f t="shared" si="13"/>
        <v>100</v>
      </c>
      <c r="BX462" s="47">
        <f t="shared" ref="BX462:CA462" si="1497">AX462-$BU462</f>
        <v>-1000</v>
      </c>
      <c r="BY462" s="47">
        <f t="shared" si="1497"/>
        <v>-1000</v>
      </c>
      <c r="BZ462" s="47">
        <f t="shared" si="1497"/>
        <v>-1000</v>
      </c>
      <c r="CA462" s="47">
        <f t="shared" si="1497"/>
        <v>-1000</v>
      </c>
      <c r="CB462" s="47">
        <f t="shared" si="15"/>
        <v>-10000</v>
      </c>
      <c r="CC462" s="47">
        <f t="shared" ref="CC462:CQ462" si="1498">BC462-$BU462</f>
        <v>-900</v>
      </c>
      <c r="CD462" s="47">
        <f t="shared" si="1498"/>
        <v>-1000</v>
      </c>
      <c r="CE462" s="47">
        <f t="shared" si="1498"/>
        <v>-1000</v>
      </c>
      <c r="CF462" s="47">
        <f t="shared" si="1498"/>
        <v>-1000</v>
      </c>
      <c r="CG462" s="47">
        <f t="shared" si="1498"/>
        <v>-1000</v>
      </c>
      <c r="CH462" s="47">
        <f t="shared" si="1498"/>
        <v>-1000</v>
      </c>
      <c r="CI462" s="47">
        <f t="shared" si="1498"/>
        <v>-1000</v>
      </c>
      <c r="CJ462" s="47">
        <f t="shared" si="1498"/>
        <v>-1000</v>
      </c>
      <c r="CK462" s="47">
        <f t="shared" si="1498"/>
        <v>-1000</v>
      </c>
      <c r="CL462" s="47">
        <f t="shared" si="1498"/>
        <v>-1000</v>
      </c>
      <c r="CM462" s="47">
        <f t="shared" si="1498"/>
        <v>-1000</v>
      </c>
      <c r="CN462" s="47">
        <f t="shared" si="1498"/>
        <v>-1000</v>
      </c>
      <c r="CO462" s="47">
        <f t="shared" si="1498"/>
        <v>-1000</v>
      </c>
      <c r="CP462" s="47">
        <f t="shared" si="1498"/>
        <v>-1000</v>
      </c>
      <c r="CQ462" s="47">
        <f t="shared" si="1498"/>
        <v>-1000</v>
      </c>
      <c r="CR462" s="47"/>
      <c r="CS462" s="47"/>
      <c r="CT462" s="47"/>
      <c r="CU462" s="50" t="str">
        <f>IFERROR(__xludf.DUMMYFUNCTION("""COMPUTED_VALUE"""),", Veletta
622 Blair Blvd
Dallas, TX 75223         ")</f>
        <v>, Veletta
622 Blair Blvd
Dallas, TX 75223         </v>
      </c>
      <c r="CV462" s="51">
        <f>IFERROR(__xludf.DUMMYFUNCTION("IF(REGEXMATCH(UPPER(CU462), ""TX""),0,1)"),0.0)</f>
        <v>0</v>
      </c>
      <c r="CW462" s="51">
        <f>IFERROR(__xludf.DUMMYFUNCTION("IF(REGEXMATCH(UPPER(CU462), ""DALLAS""),0,1)"),0.0)</f>
        <v>0</v>
      </c>
      <c r="CX462" s="51">
        <f t="shared" si="17"/>
        <v>0</v>
      </c>
      <c r="CY462" s="51">
        <f t="shared" si="18"/>
        <v>0</v>
      </c>
      <c r="CZ462" s="52" t="str">
        <f t="shared" si="19"/>
        <v/>
      </c>
      <c r="DA462" s="58"/>
      <c r="DB462" s="52"/>
      <c r="DC462" s="52"/>
      <c r="DD462" s="52"/>
      <c r="DE462" s="52"/>
      <c r="DF462" s="52"/>
      <c r="DG462" s="52"/>
      <c r="DH462" s="52"/>
      <c r="DI462" s="52"/>
      <c r="DJ462" s="52"/>
      <c r="DK462" s="52"/>
      <c r="DL462" s="52"/>
      <c r="DM462" s="52"/>
      <c r="DN462" s="52"/>
      <c r="DO462" s="52"/>
      <c r="DP462" s="52"/>
      <c r="DQ462" s="52"/>
      <c r="DR462" s="52"/>
      <c r="DS462" s="52"/>
      <c r="DT462" s="52"/>
      <c r="DU462" s="52"/>
      <c r="DV462" s="52"/>
      <c r="DW462" s="52"/>
    </row>
    <row r="463">
      <c r="A463" s="40" t="s">
        <v>55</v>
      </c>
      <c r="B463" s="41" t="s">
        <v>56</v>
      </c>
      <c r="C463" s="31" t="s">
        <v>1282</v>
      </c>
      <c r="D463" s="25" t="str">
        <f>IFERROR(__xludf.DUMMYFUNCTION("SPLIT(C463,"" "")"),"Bonfield,")</f>
        <v>Bonfield,</v>
      </c>
      <c r="E463" s="40" t="str">
        <f>IFERROR(__xludf.DUMMYFUNCTION("""COMPUTED_VALUE"""),"Heather
3320")</f>
        <v>Heather
3320</v>
      </c>
      <c r="F463" s="40" t="str">
        <f>IFERROR(__xludf.DUMMYFUNCTION("""COMPUTED_VALUE"""),"Walchard")</f>
        <v>Walchard</v>
      </c>
      <c r="G463" s="40" t="str">
        <f>IFERROR(__xludf.DUMMYFUNCTION("""COMPUTED_VALUE"""),"Court
Dallas,")</f>
        <v>Court
Dallas,</v>
      </c>
      <c r="H463" s="40" t="str">
        <f>IFERROR(__xludf.DUMMYFUNCTION("""COMPUTED_VALUE"""),"TX")</f>
        <v>TX</v>
      </c>
      <c r="I463" s="40">
        <f>IFERROR(__xludf.DUMMYFUNCTION("""COMPUTED_VALUE"""),75229.0)</f>
        <v>75229</v>
      </c>
      <c r="J463" s="40"/>
      <c r="K463" s="40"/>
      <c r="L463" s="40"/>
      <c r="M463" s="40"/>
      <c r="N463" s="40"/>
      <c r="O463" s="40"/>
      <c r="P463" s="40"/>
      <c r="Q463" s="40"/>
      <c r="R463" s="40"/>
      <c r="S463" s="40"/>
      <c r="T463" s="40"/>
      <c r="U463" s="24" t="str">
        <f>IFERROR(__xludf.DUMMYFUNCTION("SPLIT(E463,""01234567890"")"),"Heather
")</f>
        <v>Heather
</v>
      </c>
      <c r="V463" s="24" t="str">
        <f>IFERROR(__xludf.DUMMYFUNCTION("SPLIT(D463,"","")"),"Bonfield")</f>
        <v>Bonfield</v>
      </c>
      <c r="W463" s="25" t="str">
        <f t="shared" si="1"/>
        <v>HEATHER
 BONFIELD</v>
      </c>
      <c r="X463" s="25" t="s">
        <v>1283</v>
      </c>
      <c r="Y463" s="25">
        <v>75229.0</v>
      </c>
      <c r="Z463" s="25" t="str">
        <f>IFERROR(__xludf.DUMMYFUNCTION("SPLIT(C463,""
"")"),"Bonfield, Heather")</f>
        <v>Bonfield, Heather</v>
      </c>
      <c r="AA463" s="25" t="str">
        <f>IFERROR(__xludf.DUMMYFUNCTION("""COMPUTED_VALUE"""),"3320 Walchard Court")</f>
        <v>3320 Walchard Court</v>
      </c>
      <c r="AB463" s="25" t="str">
        <f>IFERROR(__xludf.DUMMYFUNCTION("""COMPUTED_VALUE"""),"Dallas, TX 75229")</f>
        <v>Dallas, TX 75229</v>
      </c>
      <c r="AC463" s="24" t="s">
        <v>1284</v>
      </c>
      <c r="AD463" s="25"/>
      <c r="AE463" s="25"/>
      <c r="AF463" s="25"/>
      <c r="AG463" s="40" t="s">
        <v>60</v>
      </c>
      <c r="AH463" s="42">
        <v>2445.0</v>
      </c>
      <c r="AI463" s="40" t="s">
        <v>61</v>
      </c>
      <c r="AJ463" s="27">
        <v>100.0</v>
      </c>
      <c r="AK463" s="31" t="s">
        <v>30</v>
      </c>
      <c r="AL463" s="43">
        <v>44726.0</v>
      </c>
      <c r="AM463" s="44">
        <v>44755.778402777774</v>
      </c>
      <c r="AN463" s="30">
        <v>2.0</v>
      </c>
      <c r="AO463" s="40"/>
      <c r="AP463" s="40"/>
      <c r="AQ463" s="40"/>
      <c r="AR463" s="40"/>
      <c r="AS463" s="40"/>
      <c r="AT463" s="47"/>
      <c r="AU463" s="40"/>
      <c r="AV463" s="46" t="str">
        <f>IFERROR(__xludf.DUMMYFUNCTION("""COMPUTED_VALUE"""),"Lewis")</f>
        <v>Lewis</v>
      </c>
      <c r="AW463" s="46">
        <f t="shared" si="7"/>
        <v>200</v>
      </c>
      <c r="AX463" s="47">
        <f t="shared" ref="AX463:BQ463" si="1499">SUMIFS($AJ:$AJ,$V:$V,$AV463,$AK:$AK,AX$2)</f>
        <v>0</v>
      </c>
      <c r="AY463" s="48">
        <f t="shared" si="1499"/>
        <v>0</v>
      </c>
      <c r="AZ463" s="48">
        <f t="shared" si="1499"/>
        <v>0</v>
      </c>
      <c r="BA463" s="48">
        <f t="shared" si="1499"/>
        <v>0</v>
      </c>
      <c r="BB463" s="48">
        <f t="shared" si="1499"/>
        <v>0</v>
      </c>
      <c r="BC463" s="48">
        <f t="shared" si="1499"/>
        <v>200</v>
      </c>
      <c r="BD463" s="48">
        <f t="shared" si="1499"/>
        <v>0</v>
      </c>
      <c r="BE463" s="48">
        <f t="shared" si="1499"/>
        <v>0</v>
      </c>
      <c r="BF463" s="48">
        <f t="shared" si="1499"/>
        <v>0</v>
      </c>
      <c r="BG463" s="48">
        <f t="shared" si="1499"/>
        <v>0</v>
      </c>
      <c r="BH463" s="48">
        <f t="shared" si="1499"/>
        <v>0</v>
      </c>
      <c r="BI463" s="48">
        <f t="shared" si="1499"/>
        <v>0</v>
      </c>
      <c r="BJ463" s="48">
        <f t="shared" si="1499"/>
        <v>0</v>
      </c>
      <c r="BK463" s="48">
        <f t="shared" si="1499"/>
        <v>0</v>
      </c>
      <c r="BL463" s="48">
        <f t="shared" si="1499"/>
        <v>0</v>
      </c>
      <c r="BM463" s="48">
        <f t="shared" si="1499"/>
        <v>0</v>
      </c>
      <c r="BN463" s="48">
        <f t="shared" si="1499"/>
        <v>0</v>
      </c>
      <c r="BO463" s="48">
        <f t="shared" si="1499"/>
        <v>0</v>
      </c>
      <c r="BP463" s="48">
        <f t="shared" si="1499"/>
        <v>0</v>
      </c>
      <c r="BQ463" s="48">
        <f t="shared" si="1499"/>
        <v>0</v>
      </c>
      <c r="BR463" s="36">
        <f t="shared" si="9"/>
        <v>0</v>
      </c>
      <c r="BS463" s="38">
        <f t="shared" si="10"/>
        <v>1</v>
      </c>
      <c r="BT463" s="49">
        <f t="shared" si="11"/>
        <v>0</v>
      </c>
      <c r="BU463" s="38">
        <f t="shared" si="12"/>
        <v>1000</v>
      </c>
      <c r="BV463" s="46" t="str">
        <f>IFERROR(__xludf.DUMMYFUNCTION("""COMPUTED_VALUE"""),"Lewis")</f>
        <v>Lewis</v>
      </c>
      <c r="BW463" s="46">
        <f t="shared" si="13"/>
        <v>200</v>
      </c>
      <c r="BX463" s="47">
        <f t="shared" ref="BX463:CA463" si="1500">AX463-$BU463</f>
        <v>-1000</v>
      </c>
      <c r="BY463" s="47">
        <f t="shared" si="1500"/>
        <v>-1000</v>
      </c>
      <c r="BZ463" s="47">
        <f t="shared" si="1500"/>
        <v>-1000</v>
      </c>
      <c r="CA463" s="47">
        <f t="shared" si="1500"/>
        <v>-1000</v>
      </c>
      <c r="CB463" s="47">
        <f t="shared" si="15"/>
        <v>-10000</v>
      </c>
      <c r="CC463" s="47">
        <f t="shared" ref="CC463:CQ463" si="1501">BC463-$BU463</f>
        <v>-800</v>
      </c>
      <c r="CD463" s="47">
        <f t="shared" si="1501"/>
        <v>-1000</v>
      </c>
      <c r="CE463" s="47">
        <f t="shared" si="1501"/>
        <v>-1000</v>
      </c>
      <c r="CF463" s="47">
        <f t="shared" si="1501"/>
        <v>-1000</v>
      </c>
      <c r="CG463" s="47">
        <f t="shared" si="1501"/>
        <v>-1000</v>
      </c>
      <c r="CH463" s="47">
        <f t="shared" si="1501"/>
        <v>-1000</v>
      </c>
      <c r="CI463" s="47">
        <f t="shared" si="1501"/>
        <v>-1000</v>
      </c>
      <c r="CJ463" s="47">
        <f t="shared" si="1501"/>
        <v>-1000</v>
      </c>
      <c r="CK463" s="47">
        <f t="shared" si="1501"/>
        <v>-1000</v>
      </c>
      <c r="CL463" s="47">
        <f t="shared" si="1501"/>
        <v>-1000</v>
      </c>
      <c r="CM463" s="47">
        <f t="shared" si="1501"/>
        <v>-1000</v>
      </c>
      <c r="CN463" s="47">
        <f t="shared" si="1501"/>
        <v>-1000</v>
      </c>
      <c r="CO463" s="47">
        <f t="shared" si="1501"/>
        <v>-1000</v>
      </c>
      <c r="CP463" s="47">
        <f t="shared" si="1501"/>
        <v>-1000</v>
      </c>
      <c r="CQ463" s="47">
        <f t="shared" si="1501"/>
        <v>-1000</v>
      </c>
      <c r="CR463" s="47"/>
      <c r="CS463" s="47"/>
      <c r="CT463" s="47"/>
      <c r="CU463" s="50" t="str">
        <f>IFERROR(__xludf.DUMMYFUNCTION("""COMPUTED_VALUE"""),"4914 Keyhole Lane
Dallas, TX 75229          ")</f>
        <v>4914 Keyhole Lane
Dallas, TX 75229          </v>
      </c>
      <c r="CV463" s="51">
        <f>IFERROR(__xludf.DUMMYFUNCTION("IF(REGEXMATCH(UPPER(CU463), ""TX""),0,1)"),0.0)</f>
        <v>0</v>
      </c>
      <c r="CW463" s="51">
        <f>IFERROR(__xludf.DUMMYFUNCTION("IF(REGEXMATCH(UPPER(CU463), ""DALLAS""),0,1)"),0.0)</f>
        <v>0</v>
      </c>
      <c r="CX463" s="51">
        <f t="shared" si="17"/>
        <v>0</v>
      </c>
      <c r="CY463" s="51">
        <f t="shared" si="18"/>
        <v>0</v>
      </c>
      <c r="CZ463" s="52" t="str">
        <f t="shared" si="19"/>
        <v/>
      </c>
      <c r="DA463" s="58"/>
      <c r="DB463" s="52"/>
      <c r="DC463" s="52"/>
      <c r="DD463" s="52"/>
      <c r="DE463" s="52"/>
      <c r="DF463" s="52"/>
      <c r="DG463" s="52"/>
      <c r="DH463" s="52"/>
      <c r="DI463" s="52"/>
      <c r="DJ463" s="52"/>
      <c r="DK463" s="52"/>
      <c r="DL463" s="52"/>
      <c r="DM463" s="52"/>
      <c r="DN463" s="52"/>
      <c r="DO463" s="52"/>
      <c r="DP463" s="52"/>
      <c r="DQ463" s="52"/>
      <c r="DR463" s="52"/>
      <c r="DS463" s="52"/>
      <c r="DT463" s="52"/>
      <c r="DU463" s="52"/>
      <c r="DV463" s="52"/>
      <c r="DW463" s="52"/>
    </row>
    <row r="464">
      <c r="A464" s="22" t="s">
        <v>55</v>
      </c>
      <c r="B464" s="23" t="s">
        <v>56</v>
      </c>
      <c r="C464" s="31" t="s">
        <v>1285</v>
      </c>
      <c r="D464" s="25" t="str">
        <f>IFERROR(__xludf.DUMMYFUNCTION("SPLIT(C464,"" "")"),"Gagne,")</f>
        <v>Gagne,</v>
      </c>
      <c r="E464" s="22" t="str">
        <f>IFERROR(__xludf.DUMMYFUNCTION("""COMPUTED_VALUE"""),"Michael
1455")</f>
        <v>Michael
1455</v>
      </c>
      <c r="F464" s="22" t="str">
        <f>IFERROR(__xludf.DUMMYFUNCTION("""COMPUTED_VALUE"""),"Oates")</f>
        <v>Oates</v>
      </c>
      <c r="G464" s="22" t="str">
        <f>IFERROR(__xludf.DUMMYFUNCTION("""COMPUTED_VALUE"""),"Drive
Dallas,")</f>
        <v>Drive
Dallas,</v>
      </c>
      <c r="H464" s="22" t="str">
        <f>IFERROR(__xludf.DUMMYFUNCTION("""COMPUTED_VALUE"""),"TX")</f>
        <v>TX</v>
      </c>
      <c r="I464" s="22">
        <f>IFERROR(__xludf.DUMMYFUNCTION("""COMPUTED_VALUE"""),75228.0)</f>
        <v>75228</v>
      </c>
      <c r="J464" s="22"/>
      <c r="K464" s="22"/>
      <c r="L464" s="22"/>
      <c r="M464" s="22"/>
      <c r="N464" s="22"/>
      <c r="O464" s="22"/>
      <c r="P464" s="22"/>
      <c r="Q464" s="22"/>
      <c r="R464" s="22"/>
      <c r="S464" s="22"/>
      <c r="T464" s="22"/>
      <c r="U464" s="24" t="str">
        <f>IFERROR(__xludf.DUMMYFUNCTION("SPLIT(E464,""01234567890"")"),"Michael
")</f>
        <v>Michael
</v>
      </c>
      <c r="V464" s="24" t="str">
        <f>IFERROR(__xludf.DUMMYFUNCTION("SPLIT(D464,"","")"),"Gagne")</f>
        <v>Gagne</v>
      </c>
      <c r="W464" s="25" t="str">
        <f t="shared" si="1"/>
        <v>MICHAEL
 GAGNE</v>
      </c>
      <c r="X464" s="25" t="s">
        <v>1286</v>
      </c>
      <c r="Y464" s="25">
        <v>75228.0</v>
      </c>
      <c r="Z464" s="25" t="str">
        <f>IFERROR(__xludf.DUMMYFUNCTION("SPLIT(C464,""
"")"),"Gagne, Michael")</f>
        <v>Gagne, Michael</v>
      </c>
      <c r="AA464" s="25" t="str">
        <f>IFERROR(__xludf.DUMMYFUNCTION("""COMPUTED_VALUE"""),"1455 Oates Drive")</f>
        <v>1455 Oates Drive</v>
      </c>
      <c r="AB464" s="25" t="str">
        <f>IFERROR(__xludf.DUMMYFUNCTION("""COMPUTED_VALUE"""),"Dallas, TX 75228")</f>
        <v>Dallas, TX 75228</v>
      </c>
      <c r="AC464" s="24" t="s">
        <v>1287</v>
      </c>
      <c r="AD464" s="25"/>
      <c r="AE464" s="25"/>
      <c r="AF464" s="25"/>
      <c r="AG464" s="22" t="s">
        <v>60</v>
      </c>
      <c r="AH464" s="54">
        <v>2445.0</v>
      </c>
      <c r="AI464" s="22" t="s">
        <v>61</v>
      </c>
      <c r="AJ464" s="27">
        <v>250.0</v>
      </c>
      <c r="AK464" s="31" t="s">
        <v>30</v>
      </c>
      <c r="AL464" s="28">
        <v>44726.0</v>
      </c>
      <c r="AM464" s="29">
        <v>44755.778402777774</v>
      </c>
      <c r="AN464" s="30">
        <v>2.0</v>
      </c>
      <c r="AO464" s="22"/>
      <c r="AP464" s="22"/>
      <c r="AQ464" s="22"/>
      <c r="AR464" s="22"/>
      <c r="AS464" s="22"/>
      <c r="AT464" s="70"/>
      <c r="AU464" s="22"/>
      <c r="AV464" s="57" t="str">
        <f>IFERROR(__xludf.DUMMYFUNCTION("""COMPUTED_VALUE"""),"Bubel")</f>
        <v>Bubel</v>
      </c>
      <c r="AW464" s="46">
        <f t="shared" si="7"/>
        <v>100</v>
      </c>
      <c r="AX464" s="47">
        <f t="shared" ref="AX464:BQ464" si="1502">SUMIFS($AJ:$AJ,$V:$V,$AV464,$AK:$AK,AX$2)</f>
        <v>0</v>
      </c>
      <c r="AY464" s="48">
        <f t="shared" si="1502"/>
        <v>0</v>
      </c>
      <c r="AZ464" s="48">
        <f t="shared" si="1502"/>
        <v>0</v>
      </c>
      <c r="BA464" s="48">
        <f t="shared" si="1502"/>
        <v>0</v>
      </c>
      <c r="BB464" s="48">
        <f t="shared" si="1502"/>
        <v>0</v>
      </c>
      <c r="BC464" s="48">
        <f t="shared" si="1502"/>
        <v>100</v>
      </c>
      <c r="BD464" s="48">
        <f t="shared" si="1502"/>
        <v>0</v>
      </c>
      <c r="BE464" s="48">
        <f t="shared" si="1502"/>
        <v>0</v>
      </c>
      <c r="BF464" s="48">
        <f t="shared" si="1502"/>
        <v>0</v>
      </c>
      <c r="BG464" s="48">
        <f t="shared" si="1502"/>
        <v>0</v>
      </c>
      <c r="BH464" s="48">
        <f t="shared" si="1502"/>
        <v>0</v>
      </c>
      <c r="BI464" s="48">
        <f t="shared" si="1502"/>
        <v>0</v>
      </c>
      <c r="BJ464" s="48">
        <f t="shared" si="1502"/>
        <v>0</v>
      </c>
      <c r="BK464" s="48">
        <f t="shared" si="1502"/>
        <v>0</v>
      </c>
      <c r="BL464" s="48">
        <f t="shared" si="1502"/>
        <v>0</v>
      </c>
      <c r="BM464" s="48">
        <f t="shared" si="1502"/>
        <v>0</v>
      </c>
      <c r="BN464" s="48">
        <f t="shared" si="1502"/>
        <v>0</v>
      </c>
      <c r="BO464" s="48">
        <f t="shared" si="1502"/>
        <v>0</v>
      </c>
      <c r="BP464" s="48">
        <f t="shared" si="1502"/>
        <v>0</v>
      </c>
      <c r="BQ464" s="48">
        <f t="shared" si="1502"/>
        <v>0</v>
      </c>
      <c r="BR464" s="36">
        <f t="shared" si="9"/>
        <v>0</v>
      </c>
      <c r="BS464" s="38">
        <f t="shared" si="10"/>
        <v>1</v>
      </c>
      <c r="BT464" s="49">
        <f t="shared" si="11"/>
        <v>0</v>
      </c>
      <c r="BU464" s="38">
        <f t="shared" si="12"/>
        <v>1000</v>
      </c>
      <c r="BV464" s="57" t="str">
        <f>IFERROR(__xludf.DUMMYFUNCTION("""COMPUTED_VALUE"""),"Bubel")</f>
        <v>Bubel</v>
      </c>
      <c r="BW464" s="46">
        <f t="shared" si="13"/>
        <v>100</v>
      </c>
      <c r="BX464" s="47">
        <f t="shared" ref="BX464:CA464" si="1503">AX464-$BU464</f>
        <v>-1000</v>
      </c>
      <c r="BY464" s="47">
        <f t="shared" si="1503"/>
        <v>-1000</v>
      </c>
      <c r="BZ464" s="47">
        <f t="shared" si="1503"/>
        <v>-1000</v>
      </c>
      <c r="CA464" s="47">
        <f t="shared" si="1503"/>
        <v>-1000</v>
      </c>
      <c r="CB464" s="47">
        <f t="shared" si="15"/>
        <v>-10000</v>
      </c>
      <c r="CC464" s="47">
        <f t="shared" ref="CC464:CQ464" si="1504">BC464-$BU464</f>
        <v>-900</v>
      </c>
      <c r="CD464" s="47">
        <f t="shared" si="1504"/>
        <v>-1000</v>
      </c>
      <c r="CE464" s="47">
        <f t="shared" si="1504"/>
        <v>-1000</v>
      </c>
      <c r="CF464" s="47">
        <f t="shared" si="1504"/>
        <v>-1000</v>
      </c>
      <c r="CG464" s="47">
        <f t="shared" si="1504"/>
        <v>-1000</v>
      </c>
      <c r="CH464" s="47">
        <f t="shared" si="1504"/>
        <v>-1000</v>
      </c>
      <c r="CI464" s="47">
        <f t="shared" si="1504"/>
        <v>-1000</v>
      </c>
      <c r="CJ464" s="47">
        <f t="shared" si="1504"/>
        <v>-1000</v>
      </c>
      <c r="CK464" s="47">
        <f t="shared" si="1504"/>
        <v>-1000</v>
      </c>
      <c r="CL464" s="47">
        <f t="shared" si="1504"/>
        <v>-1000</v>
      </c>
      <c r="CM464" s="47">
        <f t="shared" si="1504"/>
        <v>-1000</v>
      </c>
      <c r="CN464" s="47">
        <f t="shared" si="1504"/>
        <v>-1000</v>
      </c>
      <c r="CO464" s="47">
        <f t="shared" si="1504"/>
        <v>-1000</v>
      </c>
      <c r="CP464" s="47">
        <f t="shared" si="1504"/>
        <v>-1000</v>
      </c>
      <c r="CQ464" s="47">
        <f t="shared" si="1504"/>
        <v>-1000</v>
      </c>
      <c r="CR464" s="47"/>
      <c r="CS464" s="47"/>
      <c r="CT464" s="47"/>
      <c r="CU464" s="50" t="str">
        <f>IFERROR(__xludf.DUMMYFUNCTION("""COMPUTED_VALUE"""),"415 Janie Lane
Shreveport, LA 71106          ")</f>
        <v>415 Janie Lane
Shreveport, LA 71106          </v>
      </c>
      <c r="CV464" s="51">
        <f>IFERROR(__xludf.DUMMYFUNCTION("IF(REGEXMATCH(UPPER(CU464), ""TX""),0,1)"),1.0)</f>
        <v>1</v>
      </c>
      <c r="CW464" s="51">
        <f>IFERROR(__xludf.DUMMYFUNCTION("IF(REGEXMATCH(UPPER(CU464), ""DALLAS""),0,1)"),1.0)</f>
        <v>1</v>
      </c>
      <c r="CX464" s="51">
        <f t="shared" si="17"/>
        <v>500</v>
      </c>
      <c r="CY464" s="51">
        <f t="shared" si="18"/>
        <v>500</v>
      </c>
      <c r="CZ464" s="52" t="str">
        <f t="shared" si="19"/>
        <v>415 Janie Lane
Shreveport, LA 71106          </v>
      </c>
      <c r="DA464" s="58"/>
      <c r="DB464" s="52"/>
      <c r="DC464" s="52"/>
      <c r="DD464" s="52"/>
      <c r="DE464" s="52"/>
      <c r="DF464" s="52"/>
      <c r="DG464" s="52"/>
      <c r="DH464" s="52"/>
      <c r="DI464" s="52"/>
      <c r="DJ464" s="52"/>
      <c r="DK464" s="52"/>
      <c r="DL464" s="52"/>
      <c r="DM464" s="52"/>
      <c r="DN464" s="52"/>
      <c r="DO464" s="52"/>
      <c r="DP464" s="52"/>
      <c r="DQ464" s="52"/>
      <c r="DR464" s="52"/>
      <c r="DS464" s="52"/>
      <c r="DT464" s="52"/>
      <c r="DU464" s="52"/>
      <c r="DV464" s="52"/>
      <c r="DW464" s="52"/>
    </row>
    <row r="465">
      <c r="A465" s="40" t="s">
        <v>55</v>
      </c>
      <c r="B465" s="41" t="s">
        <v>56</v>
      </c>
      <c r="C465" s="31" t="s">
        <v>1210</v>
      </c>
      <c r="D465" s="25" t="str">
        <f>IFERROR(__xludf.DUMMYFUNCTION("SPLIT(C465,"" "")"),"Gonzales,")</f>
        <v>Gonzales,</v>
      </c>
      <c r="E465" s="40" t="str">
        <f>IFERROR(__xludf.DUMMYFUNCTION("""COMPUTED_VALUE"""),"Pete
10755")</f>
        <v>Pete
10755</v>
      </c>
      <c r="F465" s="40" t="str">
        <f>IFERROR(__xludf.DUMMYFUNCTION("""COMPUTED_VALUE"""),"Morning")</f>
        <v>Morning</v>
      </c>
      <c r="G465" s="40" t="str">
        <f>IFERROR(__xludf.DUMMYFUNCTION("""COMPUTED_VALUE"""),"Glory")</f>
        <v>Glory</v>
      </c>
      <c r="H465" s="40" t="str">
        <f>IFERROR(__xludf.DUMMYFUNCTION("""COMPUTED_VALUE"""),"Drive
Dallas,")</f>
        <v>Drive
Dallas,</v>
      </c>
      <c r="I465" s="40" t="str">
        <f>IFERROR(__xludf.DUMMYFUNCTION("""COMPUTED_VALUE"""),"TX")</f>
        <v>TX</v>
      </c>
      <c r="J465" s="40">
        <f>IFERROR(__xludf.DUMMYFUNCTION("""COMPUTED_VALUE"""),75229.0)</f>
        <v>75229</v>
      </c>
      <c r="K465" s="40"/>
      <c r="L465" s="40"/>
      <c r="M465" s="40"/>
      <c r="N465" s="40"/>
      <c r="O465" s="40"/>
      <c r="P465" s="40"/>
      <c r="Q465" s="40"/>
      <c r="R465" s="40"/>
      <c r="S465" s="40"/>
      <c r="T465" s="40"/>
      <c r="U465" s="24" t="str">
        <f>IFERROR(__xludf.DUMMYFUNCTION("SPLIT(E465,""01234567890"")"),"Pete
")</f>
        <v>Pete
</v>
      </c>
      <c r="V465" s="24" t="str">
        <f>IFERROR(__xludf.DUMMYFUNCTION("SPLIT(D465,"","")"),"Gonzales")</f>
        <v>Gonzales</v>
      </c>
      <c r="W465" s="25" t="str">
        <f t="shared" si="1"/>
        <v>PETE
 GONZALES</v>
      </c>
      <c r="X465" s="25" t="s">
        <v>1211</v>
      </c>
      <c r="Y465" s="25">
        <v>75229.0</v>
      </c>
      <c r="Z465" s="25" t="str">
        <f>IFERROR(__xludf.DUMMYFUNCTION("SPLIT(C465,""
"")"),"Gonzales, Pete")</f>
        <v>Gonzales, Pete</v>
      </c>
      <c r="AA465" s="25" t="str">
        <f>IFERROR(__xludf.DUMMYFUNCTION("""COMPUTED_VALUE"""),"10755 Morning Glory Drive")</f>
        <v>10755 Morning Glory Drive</v>
      </c>
      <c r="AB465" s="25" t="str">
        <f>IFERROR(__xludf.DUMMYFUNCTION("""COMPUTED_VALUE"""),"Dallas, TX 75229")</f>
        <v>Dallas, TX 75229</v>
      </c>
      <c r="AC465" s="24" t="s">
        <v>1212</v>
      </c>
      <c r="AD465" s="25"/>
      <c r="AE465" s="25"/>
      <c r="AF465" s="25"/>
      <c r="AG465" s="40" t="s">
        <v>60</v>
      </c>
      <c r="AH465" s="42">
        <v>2445.0</v>
      </c>
      <c r="AI465" s="40" t="s">
        <v>61</v>
      </c>
      <c r="AJ465" s="27">
        <v>100.0</v>
      </c>
      <c r="AK465" s="31" t="s">
        <v>30</v>
      </c>
      <c r="AL465" s="43">
        <v>44726.0</v>
      </c>
      <c r="AM465" s="44">
        <v>44755.778402777774</v>
      </c>
      <c r="AN465" s="30">
        <v>2.0</v>
      </c>
      <c r="AO465" s="40"/>
      <c r="AP465" s="40"/>
      <c r="AQ465" s="40"/>
      <c r="AR465" s="40"/>
      <c r="AS465" s="40"/>
      <c r="AT465" s="47"/>
      <c r="AU465" s="40"/>
      <c r="AV465" s="46" t="str">
        <f>IFERROR(__xludf.DUMMYFUNCTION("""COMPUTED_VALUE"""),"Carrick")</f>
        <v>Carrick</v>
      </c>
      <c r="AW465" s="46">
        <f t="shared" si="7"/>
        <v>100</v>
      </c>
      <c r="AX465" s="47">
        <f t="shared" ref="AX465:BQ465" si="1505">SUMIFS($AJ:$AJ,$V:$V,$AV465,$AK:$AK,AX$2)</f>
        <v>0</v>
      </c>
      <c r="AY465" s="48">
        <f t="shared" si="1505"/>
        <v>0</v>
      </c>
      <c r="AZ465" s="48">
        <f t="shared" si="1505"/>
        <v>0</v>
      </c>
      <c r="BA465" s="48">
        <f t="shared" si="1505"/>
        <v>0</v>
      </c>
      <c r="BB465" s="48">
        <f t="shared" si="1505"/>
        <v>0</v>
      </c>
      <c r="BC465" s="48">
        <f t="shared" si="1505"/>
        <v>100</v>
      </c>
      <c r="BD465" s="48">
        <f t="shared" si="1505"/>
        <v>0</v>
      </c>
      <c r="BE465" s="48">
        <f t="shared" si="1505"/>
        <v>0</v>
      </c>
      <c r="BF465" s="48">
        <f t="shared" si="1505"/>
        <v>0</v>
      </c>
      <c r="BG465" s="48">
        <f t="shared" si="1505"/>
        <v>0</v>
      </c>
      <c r="BH465" s="48">
        <f t="shared" si="1505"/>
        <v>0</v>
      </c>
      <c r="BI465" s="48">
        <f t="shared" si="1505"/>
        <v>0</v>
      </c>
      <c r="BJ465" s="48">
        <f t="shared" si="1505"/>
        <v>0</v>
      </c>
      <c r="BK465" s="48">
        <f t="shared" si="1505"/>
        <v>0</v>
      </c>
      <c r="BL465" s="48">
        <f t="shared" si="1505"/>
        <v>0</v>
      </c>
      <c r="BM465" s="48">
        <f t="shared" si="1505"/>
        <v>0</v>
      </c>
      <c r="BN465" s="48">
        <f t="shared" si="1505"/>
        <v>0</v>
      </c>
      <c r="BO465" s="48">
        <f t="shared" si="1505"/>
        <v>0</v>
      </c>
      <c r="BP465" s="48">
        <f t="shared" si="1505"/>
        <v>0</v>
      </c>
      <c r="BQ465" s="48">
        <f t="shared" si="1505"/>
        <v>0</v>
      </c>
      <c r="BR465" s="36">
        <f t="shared" si="9"/>
        <v>0</v>
      </c>
      <c r="BS465" s="38">
        <f t="shared" si="10"/>
        <v>1</v>
      </c>
      <c r="BT465" s="49">
        <f t="shared" si="11"/>
        <v>0</v>
      </c>
      <c r="BU465" s="38">
        <f t="shared" si="12"/>
        <v>1000</v>
      </c>
      <c r="BV465" s="46" t="str">
        <f>IFERROR(__xludf.DUMMYFUNCTION("""COMPUTED_VALUE"""),"Carrick")</f>
        <v>Carrick</v>
      </c>
      <c r="BW465" s="46">
        <f t="shared" si="13"/>
        <v>100</v>
      </c>
      <c r="BX465" s="47">
        <f t="shared" ref="BX465:CA465" si="1506">AX465-$BU465</f>
        <v>-1000</v>
      </c>
      <c r="BY465" s="47">
        <f t="shared" si="1506"/>
        <v>-1000</v>
      </c>
      <c r="BZ465" s="47">
        <f t="shared" si="1506"/>
        <v>-1000</v>
      </c>
      <c r="CA465" s="47">
        <f t="shared" si="1506"/>
        <v>-1000</v>
      </c>
      <c r="CB465" s="47">
        <f t="shared" si="15"/>
        <v>-10000</v>
      </c>
      <c r="CC465" s="47">
        <f t="shared" ref="CC465:CQ465" si="1507">BC465-$BU465</f>
        <v>-900</v>
      </c>
      <c r="CD465" s="47">
        <f t="shared" si="1507"/>
        <v>-1000</v>
      </c>
      <c r="CE465" s="47">
        <f t="shared" si="1507"/>
        <v>-1000</v>
      </c>
      <c r="CF465" s="47">
        <f t="shared" si="1507"/>
        <v>-1000</v>
      </c>
      <c r="CG465" s="47">
        <f t="shared" si="1507"/>
        <v>-1000</v>
      </c>
      <c r="CH465" s="47">
        <f t="shared" si="1507"/>
        <v>-1000</v>
      </c>
      <c r="CI465" s="47">
        <f t="shared" si="1507"/>
        <v>-1000</v>
      </c>
      <c r="CJ465" s="47">
        <f t="shared" si="1507"/>
        <v>-1000</v>
      </c>
      <c r="CK465" s="47">
        <f t="shared" si="1507"/>
        <v>-1000</v>
      </c>
      <c r="CL465" s="47">
        <f t="shared" si="1507"/>
        <v>-1000</v>
      </c>
      <c r="CM465" s="47">
        <f t="shared" si="1507"/>
        <v>-1000</v>
      </c>
      <c r="CN465" s="47">
        <f t="shared" si="1507"/>
        <v>-1000</v>
      </c>
      <c r="CO465" s="47">
        <f t="shared" si="1507"/>
        <v>-1000</v>
      </c>
      <c r="CP465" s="47">
        <f t="shared" si="1507"/>
        <v>-1000</v>
      </c>
      <c r="CQ465" s="47">
        <f t="shared" si="1507"/>
        <v>-1000</v>
      </c>
      <c r="CR465" s="47"/>
      <c r="CS465" s="47"/>
      <c r="CT465" s="47"/>
      <c r="CU465" s="50" t="str">
        <f>IFERROR(__xludf.DUMMYFUNCTION("""COMPUTED_VALUE"""),"1409 Bella Vista
Dallas, TX 75218          ")</f>
        <v>1409 Bella Vista
Dallas, TX 75218          </v>
      </c>
      <c r="CV465" s="51">
        <f>IFERROR(__xludf.DUMMYFUNCTION("IF(REGEXMATCH(UPPER(CU465), ""TX""),0,1)"),0.0)</f>
        <v>0</v>
      </c>
      <c r="CW465" s="51">
        <f>IFERROR(__xludf.DUMMYFUNCTION("IF(REGEXMATCH(UPPER(CU465), ""DALLAS""),0,1)"),0.0)</f>
        <v>0</v>
      </c>
      <c r="CX465" s="51">
        <f t="shared" si="17"/>
        <v>0</v>
      </c>
      <c r="CY465" s="51">
        <f t="shared" si="18"/>
        <v>0</v>
      </c>
      <c r="CZ465" s="52" t="str">
        <f t="shared" si="19"/>
        <v/>
      </c>
      <c r="DA465" s="58"/>
      <c r="DB465" s="52"/>
      <c r="DC465" s="52"/>
      <c r="DD465" s="52"/>
      <c r="DE465" s="52"/>
      <c r="DF465" s="52"/>
      <c r="DG465" s="52"/>
      <c r="DH465" s="52"/>
      <c r="DI465" s="52"/>
      <c r="DJ465" s="52"/>
      <c r="DK465" s="52"/>
      <c r="DL465" s="52"/>
      <c r="DM465" s="52"/>
      <c r="DN465" s="52"/>
      <c r="DO465" s="52"/>
      <c r="DP465" s="52"/>
      <c r="DQ465" s="52"/>
      <c r="DR465" s="52"/>
      <c r="DS465" s="52"/>
      <c r="DT465" s="52"/>
      <c r="DU465" s="52"/>
      <c r="DV465" s="52"/>
      <c r="DW465" s="52"/>
    </row>
    <row r="466">
      <c r="A466" s="22" t="s">
        <v>55</v>
      </c>
      <c r="B466" s="23" t="s">
        <v>56</v>
      </c>
      <c r="C466" s="31" t="s">
        <v>1288</v>
      </c>
      <c r="D466" s="25" t="str">
        <f>IFERROR(__xludf.DUMMYFUNCTION("SPLIT(C466,"" "")"),"Chambers,")</f>
        <v>Chambers,</v>
      </c>
      <c r="E466" s="22" t="str">
        <f>IFERROR(__xludf.DUMMYFUNCTION("""COMPUTED_VALUE"""),"Thomas
2030")</f>
        <v>Thomas
2030</v>
      </c>
      <c r="F466" s="22" t="str">
        <f>IFERROR(__xludf.DUMMYFUNCTION("""COMPUTED_VALUE"""),"Irving")</f>
        <v>Irving</v>
      </c>
      <c r="G466" s="22" t="str">
        <f>IFERROR(__xludf.DUMMYFUNCTION("""COMPUTED_VALUE"""),"Blvd
Dallas,")</f>
        <v>Blvd
Dallas,</v>
      </c>
      <c r="H466" s="22" t="str">
        <f>IFERROR(__xludf.DUMMYFUNCTION("""COMPUTED_VALUE"""),"TX")</f>
        <v>TX</v>
      </c>
      <c r="I466" s="22">
        <f>IFERROR(__xludf.DUMMYFUNCTION("""COMPUTED_VALUE"""),75207.0)</f>
        <v>75207</v>
      </c>
      <c r="J466" s="22"/>
      <c r="K466" s="22"/>
      <c r="L466" s="22"/>
      <c r="M466" s="22"/>
      <c r="N466" s="22"/>
      <c r="O466" s="22"/>
      <c r="P466" s="22"/>
      <c r="Q466" s="22"/>
      <c r="R466" s="22"/>
      <c r="S466" s="22"/>
      <c r="T466" s="22"/>
      <c r="U466" s="24" t="str">
        <f>IFERROR(__xludf.DUMMYFUNCTION("SPLIT(E466,""01234567890"")"),"Thomas
")</f>
        <v>Thomas
</v>
      </c>
      <c r="V466" s="24" t="str">
        <f>IFERROR(__xludf.DUMMYFUNCTION("SPLIT(D466,"","")"),"Chambers")</f>
        <v>Chambers</v>
      </c>
      <c r="W466" s="25" t="str">
        <f t="shared" si="1"/>
        <v>THOMAS
 CHAMBERS</v>
      </c>
      <c r="X466" s="25" t="s">
        <v>1289</v>
      </c>
      <c r="Y466" s="25">
        <v>75207.0</v>
      </c>
      <c r="Z466" s="25" t="str">
        <f>IFERROR(__xludf.DUMMYFUNCTION("SPLIT(C466,""
"")"),"Chambers, Thomas")</f>
        <v>Chambers, Thomas</v>
      </c>
      <c r="AA466" s="25" t="str">
        <f>IFERROR(__xludf.DUMMYFUNCTION("""COMPUTED_VALUE"""),"2030 Irving Blvd")</f>
        <v>2030 Irving Blvd</v>
      </c>
      <c r="AB466" s="25" t="str">
        <f>IFERROR(__xludf.DUMMYFUNCTION("""COMPUTED_VALUE"""),"Dallas, TX 75207")</f>
        <v>Dallas, TX 75207</v>
      </c>
      <c r="AC466" s="24" t="s">
        <v>1290</v>
      </c>
      <c r="AD466" s="25"/>
      <c r="AE466" s="25"/>
      <c r="AF466" s="25"/>
      <c r="AG466" s="22" t="s">
        <v>60</v>
      </c>
      <c r="AH466" s="54">
        <v>2445.0</v>
      </c>
      <c r="AI466" s="22" t="s">
        <v>61</v>
      </c>
      <c r="AJ466" s="27">
        <v>1000.0</v>
      </c>
      <c r="AK466" s="31" t="s">
        <v>30</v>
      </c>
      <c r="AL466" s="28">
        <v>44726.0</v>
      </c>
      <c r="AM466" s="29">
        <v>44755.778402777774</v>
      </c>
      <c r="AN466" s="30">
        <v>2.0</v>
      </c>
      <c r="AO466" s="22"/>
      <c r="AP466" s="22"/>
      <c r="AQ466" s="22"/>
      <c r="AR466" s="22"/>
      <c r="AS466" s="22"/>
      <c r="AT466" s="70"/>
      <c r="AU466" s="22"/>
      <c r="AV466" s="57" t="str">
        <f>IFERROR(__xludf.DUMMYFUNCTION("""COMPUTED_VALUE"""),"Fenimore")</f>
        <v>Fenimore</v>
      </c>
      <c r="AW466" s="46">
        <f t="shared" si="7"/>
        <v>50</v>
      </c>
      <c r="AX466" s="47">
        <f t="shared" ref="AX466:BQ466" si="1508">SUMIFS($AJ:$AJ,$V:$V,$AV466,$AK:$AK,AX$2)</f>
        <v>0</v>
      </c>
      <c r="AY466" s="48">
        <f t="shared" si="1508"/>
        <v>0</v>
      </c>
      <c r="AZ466" s="48">
        <f t="shared" si="1508"/>
        <v>0</v>
      </c>
      <c r="BA466" s="48">
        <f t="shared" si="1508"/>
        <v>0</v>
      </c>
      <c r="BB466" s="48">
        <f t="shared" si="1508"/>
        <v>0</v>
      </c>
      <c r="BC466" s="48">
        <f t="shared" si="1508"/>
        <v>50</v>
      </c>
      <c r="BD466" s="48">
        <f t="shared" si="1508"/>
        <v>0</v>
      </c>
      <c r="BE466" s="48">
        <f t="shared" si="1508"/>
        <v>0</v>
      </c>
      <c r="BF466" s="48">
        <f t="shared" si="1508"/>
        <v>0</v>
      </c>
      <c r="BG466" s="48">
        <f t="shared" si="1508"/>
        <v>0</v>
      </c>
      <c r="BH466" s="48">
        <f t="shared" si="1508"/>
        <v>0</v>
      </c>
      <c r="BI466" s="48">
        <f t="shared" si="1508"/>
        <v>0</v>
      </c>
      <c r="BJ466" s="48">
        <f t="shared" si="1508"/>
        <v>0</v>
      </c>
      <c r="BK466" s="48">
        <f t="shared" si="1508"/>
        <v>0</v>
      </c>
      <c r="BL466" s="48">
        <f t="shared" si="1508"/>
        <v>0</v>
      </c>
      <c r="BM466" s="48">
        <f t="shared" si="1508"/>
        <v>0</v>
      </c>
      <c r="BN466" s="48">
        <f t="shared" si="1508"/>
        <v>0</v>
      </c>
      <c r="BO466" s="48">
        <f t="shared" si="1508"/>
        <v>0</v>
      </c>
      <c r="BP466" s="48">
        <f t="shared" si="1508"/>
        <v>0</v>
      </c>
      <c r="BQ466" s="48">
        <f t="shared" si="1508"/>
        <v>0</v>
      </c>
      <c r="BR466" s="36">
        <f t="shared" si="9"/>
        <v>0</v>
      </c>
      <c r="BS466" s="38">
        <f t="shared" si="10"/>
        <v>1</v>
      </c>
      <c r="BT466" s="49">
        <f t="shared" si="11"/>
        <v>0</v>
      </c>
      <c r="BU466" s="38">
        <f t="shared" si="12"/>
        <v>1000</v>
      </c>
      <c r="BV466" s="57" t="str">
        <f>IFERROR(__xludf.DUMMYFUNCTION("""COMPUTED_VALUE"""),"Fenimore")</f>
        <v>Fenimore</v>
      </c>
      <c r="BW466" s="46">
        <f t="shared" si="13"/>
        <v>50</v>
      </c>
      <c r="BX466" s="47">
        <f t="shared" ref="BX466:CA466" si="1509">AX466-$BU466</f>
        <v>-1000</v>
      </c>
      <c r="BY466" s="47">
        <f t="shared" si="1509"/>
        <v>-1000</v>
      </c>
      <c r="BZ466" s="47">
        <f t="shared" si="1509"/>
        <v>-1000</v>
      </c>
      <c r="CA466" s="47">
        <f t="shared" si="1509"/>
        <v>-1000</v>
      </c>
      <c r="CB466" s="47">
        <f t="shared" si="15"/>
        <v>-10000</v>
      </c>
      <c r="CC466" s="47">
        <f t="shared" ref="CC466:CQ466" si="1510">BC466-$BU466</f>
        <v>-950</v>
      </c>
      <c r="CD466" s="47">
        <f t="shared" si="1510"/>
        <v>-1000</v>
      </c>
      <c r="CE466" s="47">
        <f t="shared" si="1510"/>
        <v>-1000</v>
      </c>
      <c r="CF466" s="47">
        <f t="shared" si="1510"/>
        <v>-1000</v>
      </c>
      <c r="CG466" s="47">
        <f t="shared" si="1510"/>
        <v>-1000</v>
      </c>
      <c r="CH466" s="47">
        <f t="shared" si="1510"/>
        <v>-1000</v>
      </c>
      <c r="CI466" s="47">
        <f t="shared" si="1510"/>
        <v>-1000</v>
      </c>
      <c r="CJ466" s="47">
        <f t="shared" si="1510"/>
        <v>-1000</v>
      </c>
      <c r="CK466" s="47">
        <f t="shared" si="1510"/>
        <v>-1000</v>
      </c>
      <c r="CL466" s="47">
        <f t="shared" si="1510"/>
        <v>-1000</v>
      </c>
      <c r="CM466" s="47">
        <f t="shared" si="1510"/>
        <v>-1000</v>
      </c>
      <c r="CN466" s="47">
        <f t="shared" si="1510"/>
        <v>-1000</v>
      </c>
      <c r="CO466" s="47">
        <f t="shared" si="1510"/>
        <v>-1000</v>
      </c>
      <c r="CP466" s="47">
        <f t="shared" si="1510"/>
        <v>-1000</v>
      </c>
      <c r="CQ466" s="47">
        <f t="shared" si="1510"/>
        <v>-1000</v>
      </c>
      <c r="CR466" s="47"/>
      <c r="CS466" s="47"/>
      <c r="CT466" s="47"/>
      <c r="CU466" s="50" t="str">
        <f>IFERROR(__xludf.DUMMYFUNCTION("""COMPUTED_VALUE"""),"4315 Melissa Ln
Dallas, TX 75229          ")</f>
        <v>4315 Melissa Ln
Dallas, TX 75229          </v>
      </c>
      <c r="CV466" s="51">
        <f>IFERROR(__xludf.DUMMYFUNCTION("IF(REGEXMATCH(UPPER(CU466), ""TX""),0,1)"),0.0)</f>
        <v>0</v>
      </c>
      <c r="CW466" s="51">
        <f>IFERROR(__xludf.DUMMYFUNCTION("IF(REGEXMATCH(UPPER(CU466), ""DALLAS""),0,1)"),0.0)</f>
        <v>0</v>
      </c>
      <c r="CX466" s="51">
        <f t="shared" si="17"/>
        <v>0</v>
      </c>
      <c r="CY466" s="51">
        <f t="shared" si="18"/>
        <v>0</v>
      </c>
      <c r="CZ466" s="52" t="str">
        <f t="shared" si="19"/>
        <v/>
      </c>
      <c r="DA466" s="58"/>
      <c r="DB466" s="52"/>
      <c r="DC466" s="52"/>
      <c r="DD466" s="52"/>
      <c r="DE466" s="52"/>
      <c r="DF466" s="52"/>
      <c r="DG466" s="52"/>
      <c r="DH466" s="52"/>
      <c r="DI466" s="52"/>
      <c r="DJ466" s="52"/>
      <c r="DK466" s="52"/>
      <c r="DL466" s="52"/>
      <c r="DM466" s="52"/>
      <c r="DN466" s="52"/>
      <c r="DO466" s="52"/>
      <c r="DP466" s="52"/>
      <c r="DQ466" s="52"/>
      <c r="DR466" s="52"/>
      <c r="DS466" s="52"/>
      <c r="DT466" s="52"/>
      <c r="DU466" s="52"/>
      <c r="DV466" s="52"/>
      <c r="DW466" s="52"/>
    </row>
    <row r="467">
      <c r="A467" s="40" t="s">
        <v>55</v>
      </c>
      <c r="B467" s="41" t="s">
        <v>56</v>
      </c>
      <c r="C467" s="31" t="s">
        <v>1151</v>
      </c>
      <c r="D467" s="25" t="str">
        <f>IFERROR(__xludf.DUMMYFUNCTION("SPLIT(C467,"" "")"),"Petree,")</f>
        <v>Petree,</v>
      </c>
      <c r="E467" s="40" t="str">
        <f>IFERROR(__xludf.DUMMYFUNCTION("""COMPUTED_VALUE"""),"Davana
5999")</f>
        <v>Davana
5999</v>
      </c>
      <c r="F467" s="40" t="str">
        <f>IFERROR(__xludf.DUMMYFUNCTION("""COMPUTED_VALUE"""),"Lindenshire")</f>
        <v>Lindenshire</v>
      </c>
      <c r="G467" s="40" t="str">
        <f>IFERROR(__xludf.DUMMYFUNCTION("""COMPUTED_VALUE"""),"Lane
Dallas,")</f>
        <v>Lane
Dallas,</v>
      </c>
      <c r="H467" s="40" t="str">
        <f>IFERROR(__xludf.DUMMYFUNCTION("""COMPUTED_VALUE"""),"TX")</f>
        <v>TX</v>
      </c>
      <c r="I467" s="40">
        <f>IFERROR(__xludf.DUMMYFUNCTION("""COMPUTED_VALUE"""),75230.0)</f>
        <v>75230</v>
      </c>
      <c r="J467" s="40"/>
      <c r="K467" s="40"/>
      <c r="L467" s="40"/>
      <c r="M467" s="40"/>
      <c r="N467" s="40"/>
      <c r="O467" s="40"/>
      <c r="P467" s="40"/>
      <c r="Q467" s="40"/>
      <c r="R467" s="40"/>
      <c r="S467" s="40"/>
      <c r="T467" s="40"/>
      <c r="U467" s="24" t="str">
        <f>IFERROR(__xludf.DUMMYFUNCTION("SPLIT(E467,""01234567890"")"),"Davana
")</f>
        <v>Davana
</v>
      </c>
      <c r="V467" s="24" t="str">
        <f>IFERROR(__xludf.DUMMYFUNCTION("SPLIT(D467,"","")"),"Petree")</f>
        <v>Petree</v>
      </c>
      <c r="W467" s="25" t="str">
        <f t="shared" si="1"/>
        <v>DAVANA
 PETREE</v>
      </c>
      <c r="X467" s="25" t="s">
        <v>1152</v>
      </c>
      <c r="Y467" s="25">
        <v>75230.0</v>
      </c>
      <c r="Z467" s="25" t="str">
        <f>IFERROR(__xludf.DUMMYFUNCTION("SPLIT(C467,""
"")"),"Petree, Davana")</f>
        <v>Petree, Davana</v>
      </c>
      <c r="AA467" s="25" t="str">
        <f>IFERROR(__xludf.DUMMYFUNCTION("""COMPUTED_VALUE"""),"5999 Lindenshire Lane")</f>
        <v>5999 Lindenshire Lane</v>
      </c>
      <c r="AB467" s="25" t="str">
        <f>IFERROR(__xludf.DUMMYFUNCTION("""COMPUTED_VALUE"""),"Dallas, TX 75230")</f>
        <v>Dallas, TX 75230</v>
      </c>
      <c r="AC467" s="24" t="s">
        <v>1153</v>
      </c>
      <c r="AD467" s="25"/>
      <c r="AE467" s="25"/>
      <c r="AF467" s="25"/>
      <c r="AG467" s="40" t="s">
        <v>60</v>
      </c>
      <c r="AH467" s="42">
        <v>2445.0</v>
      </c>
      <c r="AI467" s="40" t="s">
        <v>61</v>
      </c>
      <c r="AJ467" s="27">
        <v>30.0</v>
      </c>
      <c r="AK467" s="31" t="s">
        <v>30</v>
      </c>
      <c r="AL467" s="43">
        <v>44611.0</v>
      </c>
      <c r="AM467" s="44">
        <v>44755.778402777774</v>
      </c>
      <c r="AN467" s="30">
        <v>2.0</v>
      </c>
      <c r="AO467" s="40"/>
      <c r="AP467" s="40"/>
      <c r="AQ467" s="40"/>
      <c r="AR467" s="40"/>
      <c r="AS467" s="40"/>
      <c r="AT467" s="47"/>
      <c r="AU467" s="40"/>
      <c r="AV467" s="46" t="str">
        <f>IFERROR(__xludf.DUMMYFUNCTION("""COMPUTED_VALUE"""),"Brunkenhoefer")</f>
        <v>Brunkenhoefer</v>
      </c>
      <c r="AW467" s="46">
        <f t="shared" si="7"/>
        <v>100</v>
      </c>
      <c r="AX467" s="47">
        <f t="shared" ref="AX467:BQ467" si="1511">SUMIFS($AJ:$AJ,$V:$V,$AV467,$AK:$AK,AX$2)</f>
        <v>0</v>
      </c>
      <c r="AY467" s="48">
        <f t="shared" si="1511"/>
        <v>0</v>
      </c>
      <c r="AZ467" s="48">
        <f t="shared" si="1511"/>
        <v>0</v>
      </c>
      <c r="BA467" s="48">
        <f t="shared" si="1511"/>
        <v>0</v>
      </c>
      <c r="BB467" s="48">
        <f t="shared" si="1511"/>
        <v>0</v>
      </c>
      <c r="BC467" s="48">
        <f t="shared" si="1511"/>
        <v>100</v>
      </c>
      <c r="BD467" s="48">
        <f t="shared" si="1511"/>
        <v>0</v>
      </c>
      <c r="BE467" s="48">
        <f t="shared" si="1511"/>
        <v>0</v>
      </c>
      <c r="BF467" s="48">
        <f t="shared" si="1511"/>
        <v>0</v>
      </c>
      <c r="BG467" s="48">
        <f t="shared" si="1511"/>
        <v>0</v>
      </c>
      <c r="BH467" s="48">
        <f t="shared" si="1511"/>
        <v>0</v>
      </c>
      <c r="BI467" s="48">
        <f t="shared" si="1511"/>
        <v>0</v>
      </c>
      <c r="BJ467" s="48">
        <f t="shared" si="1511"/>
        <v>0</v>
      </c>
      <c r="BK467" s="48">
        <f t="shared" si="1511"/>
        <v>0</v>
      </c>
      <c r="BL467" s="48">
        <f t="shared" si="1511"/>
        <v>0</v>
      </c>
      <c r="BM467" s="48">
        <f t="shared" si="1511"/>
        <v>0</v>
      </c>
      <c r="BN467" s="48">
        <f t="shared" si="1511"/>
        <v>0</v>
      </c>
      <c r="BO467" s="48">
        <f t="shared" si="1511"/>
        <v>0</v>
      </c>
      <c r="BP467" s="48">
        <f t="shared" si="1511"/>
        <v>0</v>
      </c>
      <c r="BQ467" s="48">
        <f t="shared" si="1511"/>
        <v>0</v>
      </c>
      <c r="BR467" s="36">
        <f t="shared" si="9"/>
        <v>0</v>
      </c>
      <c r="BS467" s="38">
        <f t="shared" si="10"/>
        <v>1</v>
      </c>
      <c r="BT467" s="49">
        <f t="shared" si="11"/>
        <v>0</v>
      </c>
      <c r="BU467" s="38">
        <f t="shared" si="12"/>
        <v>1000</v>
      </c>
      <c r="BV467" s="46" t="str">
        <f>IFERROR(__xludf.DUMMYFUNCTION("""COMPUTED_VALUE"""),"Brunkenhoefer")</f>
        <v>Brunkenhoefer</v>
      </c>
      <c r="BW467" s="46">
        <f t="shared" si="13"/>
        <v>100</v>
      </c>
      <c r="BX467" s="47">
        <f t="shared" ref="BX467:CA467" si="1512">AX467-$BU467</f>
        <v>-1000</v>
      </c>
      <c r="BY467" s="47">
        <f t="shared" si="1512"/>
        <v>-1000</v>
      </c>
      <c r="BZ467" s="47">
        <f t="shared" si="1512"/>
        <v>-1000</v>
      </c>
      <c r="CA467" s="47">
        <f t="shared" si="1512"/>
        <v>-1000</v>
      </c>
      <c r="CB467" s="47">
        <f t="shared" si="15"/>
        <v>-10000</v>
      </c>
      <c r="CC467" s="47">
        <f t="shared" ref="CC467:CQ467" si="1513">BC467-$BU467</f>
        <v>-900</v>
      </c>
      <c r="CD467" s="47">
        <f t="shared" si="1513"/>
        <v>-1000</v>
      </c>
      <c r="CE467" s="47">
        <f t="shared" si="1513"/>
        <v>-1000</v>
      </c>
      <c r="CF467" s="47">
        <f t="shared" si="1513"/>
        <v>-1000</v>
      </c>
      <c r="CG467" s="47">
        <f t="shared" si="1513"/>
        <v>-1000</v>
      </c>
      <c r="CH467" s="47">
        <f t="shared" si="1513"/>
        <v>-1000</v>
      </c>
      <c r="CI467" s="47">
        <f t="shared" si="1513"/>
        <v>-1000</v>
      </c>
      <c r="CJ467" s="47">
        <f t="shared" si="1513"/>
        <v>-1000</v>
      </c>
      <c r="CK467" s="47">
        <f t="shared" si="1513"/>
        <v>-1000</v>
      </c>
      <c r="CL467" s="47">
        <f t="shared" si="1513"/>
        <v>-1000</v>
      </c>
      <c r="CM467" s="47">
        <f t="shared" si="1513"/>
        <v>-1000</v>
      </c>
      <c r="CN467" s="47">
        <f t="shared" si="1513"/>
        <v>-1000</v>
      </c>
      <c r="CO467" s="47">
        <f t="shared" si="1513"/>
        <v>-1000</v>
      </c>
      <c r="CP467" s="47">
        <f t="shared" si="1513"/>
        <v>-1000</v>
      </c>
      <c r="CQ467" s="47">
        <f t="shared" si="1513"/>
        <v>-1000</v>
      </c>
      <c r="CR467" s="47"/>
      <c r="CS467" s="47"/>
      <c r="CT467" s="47"/>
      <c r="CU467" s="50" t="str">
        <f>IFERROR(__xludf.DUMMYFUNCTION("""COMPUTED_VALUE"""),"6620 Ridgemont Dr
Dallas, TX 75214          ")</f>
        <v>6620 Ridgemont Dr
Dallas, TX 75214          </v>
      </c>
      <c r="CV467" s="51">
        <f>IFERROR(__xludf.DUMMYFUNCTION("IF(REGEXMATCH(UPPER(CU467), ""TX""),0,1)"),0.0)</f>
        <v>0</v>
      </c>
      <c r="CW467" s="51">
        <f>IFERROR(__xludf.DUMMYFUNCTION("IF(REGEXMATCH(UPPER(CU467), ""DALLAS""),0,1)"),0.0)</f>
        <v>0</v>
      </c>
      <c r="CX467" s="51">
        <f t="shared" si="17"/>
        <v>0</v>
      </c>
      <c r="CY467" s="51">
        <f t="shared" si="18"/>
        <v>0</v>
      </c>
      <c r="CZ467" s="52" t="str">
        <f t="shared" si="19"/>
        <v/>
      </c>
      <c r="DA467" s="58"/>
      <c r="DB467" s="52"/>
      <c r="DC467" s="52"/>
      <c r="DD467" s="52"/>
      <c r="DE467" s="52"/>
      <c r="DF467" s="52"/>
      <c r="DG467" s="52"/>
      <c r="DH467" s="52"/>
      <c r="DI467" s="52"/>
      <c r="DJ467" s="52"/>
      <c r="DK467" s="52"/>
      <c r="DL467" s="52"/>
      <c r="DM467" s="52"/>
      <c r="DN467" s="52"/>
      <c r="DO467" s="52"/>
      <c r="DP467" s="52"/>
      <c r="DQ467" s="52"/>
      <c r="DR467" s="52"/>
      <c r="DS467" s="52"/>
      <c r="DT467" s="52"/>
      <c r="DU467" s="52"/>
      <c r="DV467" s="52"/>
      <c r="DW467" s="52"/>
    </row>
    <row r="468">
      <c r="A468" s="22" t="s">
        <v>55</v>
      </c>
      <c r="B468" s="23" t="s">
        <v>56</v>
      </c>
      <c r="C468" s="31" t="s">
        <v>128</v>
      </c>
      <c r="D468" s="25" t="str">
        <f>IFERROR(__xludf.DUMMYFUNCTION("SPLIT(C468,"" "")"),"Agnich,")</f>
        <v>Agnich,</v>
      </c>
      <c r="E468" s="22" t="str">
        <f>IFERROR(__xludf.DUMMYFUNCTION("""COMPUTED_VALUE"""),"Robert
11")</f>
        <v>Robert
11</v>
      </c>
      <c r="F468" s="22" t="str">
        <f>IFERROR(__xludf.DUMMYFUNCTION("""COMPUTED_VALUE"""),"Cheltenham")</f>
        <v>Cheltenham</v>
      </c>
      <c r="G468" s="22" t="str">
        <f>IFERROR(__xludf.DUMMYFUNCTION("""COMPUTED_VALUE"""),"Way
Dallas,")</f>
        <v>Way
Dallas,</v>
      </c>
      <c r="H468" s="22" t="str">
        <f>IFERROR(__xludf.DUMMYFUNCTION("""COMPUTED_VALUE"""),"TX")</f>
        <v>TX</v>
      </c>
      <c r="I468" s="22">
        <f>IFERROR(__xludf.DUMMYFUNCTION("""COMPUTED_VALUE"""),75230.0)</f>
        <v>75230</v>
      </c>
      <c r="J468" s="22"/>
      <c r="K468" s="22"/>
      <c r="L468" s="22"/>
      <c r="M468" s="22"/>
      <c r="N468" s="22"/>
      <c r="O468" s="22"/>
      <c r="P468" s="22"/>
      <c r="Q468" s="22"/>
      <c r="R468" s="22"/>
      <c r="S468" s="22"/>
      <c r="T468" s="22"/>
      <c r="U468" s="24" t="str">
        <f>IFERROR(__xludf.DUMMYFUNCTION("SPLIT(E468,""01234567890"")"),"Robert
")</f>
        <v>Robert
</v>
      </c>
      <c r="V468" s="24" t="str">
        <f>IFERROR(__xludf.DUMMYFUNCTION("SPLIT(D468,"","")"),"Agnich")</f>
        <v>Agnich</v>
      </c>
      <c r="W468" s="25" t="str">
        <f t="shared" si="1"/>
        <v>ROBERT
 AGNICH</v>
      </c>
      <c r="X468" s="25" t="s">
        <v>129</v>
      </c>
      <c r="Y468" s="25">
        <v>75230.0</v>
      </c>
      <c r="Z468" s="25" t="str">
        <f>IFERROR(__xludf.DUMMYFUNCTION("SPLIT(C468,""
"")"),"Agnich, Robert")</f>
        <v>Agnich, Robert</v>
      </c>
      <c r="AA468" s="25" t="str">
        <f>IFERROR(__xludf.DUMMYFUNCTION("""COMPUTED_VALUE"""),"11 Cheltenham Way")</f>
        <v>11 Cheltenham Way</v>
      </c>
      <c r="AB468" s="25" t="str">
        <f>IFERROR(__xludf.DUMMYFUNCTION("""COMPUTED_VALUE"""),"Dallas, TX 75230")</f>
        <v>Dallas, TX 75230</v>
      </c>
      <c r="AC468" s="24" t="s">
        <v>130</v>
      </c>
      <c r="AD468" s="25"/>
      <c r="AE468" s="25"/>
      <c r="AF468" s="25"/>
      <c r="AG468" s="22" t="s">
        <v>60</v>
      </c>
      <c r="AH468" s="54">
        <v>2445.0</v>
      </c>
      <c r="AI468" s="22" t="s">
        <v>61</v>
      </c>
      <c r="AJ468" s="27">
        <v>1000.0</v>
      </c>
      <c r="AK468" s="31" t="s">
        <v>30</v>
      </c>
      <c r="AL468" s="28">
        <v>44736.0</v>
      </c>
      <c r="AM468" s="29">
        <v>44755.778402777774</v>
      </c>
      <c r="AN468" s="30">
        <v>2.0</v>
      </c>
      <c r="AO468" s="22"/>
      <c r="AP468" s="22"/>
      <c r="AQ468" s="22"/>
      <c r="AR468" s="22"/>
      <c r="AS468" s="22"/>
      <c r="AT468" s="70"/>
      <c r="AU468" s="22"/>
      <c r="AV468" s="57" t="str">
        <f>IFERROR(__xludf.DUMMYFUNCTION("""COMPUTED_VALUE"""),"Jodie")</f>
        <v>Jodie</v>
      </c>
      <c r="AW468" s="46">
        <f t="shared" si="7"/>
        <v>100</v>
      </c>
      <c r="AX468" s="47">
        <f t="shared" ref="AX468:BQ468" si="1514">SUMIFS($AJ:$AJ,$V:$V,$AV468,$AK:$AK,AX$2)</f>
        <v>0</v>
      </c>
      <c r="AY468" s="48">
        <f t="shared" si="1514"/>
        <v>0</v>
      </c>
      <c r="AZ468" s="48">
        <f t="shared" si="1514"/>
        <v>0</v>
      </c>
      <c r="BA468" s="48">
        <f t="shared" si="1514"/>
        <v>0</v>
      </c>
      <c r="BB468" s="48">
        <f t="shared" si="1514"/>
        <v>0</v>
      </c>
      <c r="BC468" s="48">
        <f t="shared" si="1514"/>
        <v>100</v>
      </c>
      <c r="BD468" s="48">
        <f t="shared" si="1514"/>
        <v>0</v>
      </c>
      <c r="BE468" s="48">
        <f t="shared" si="1514"/>
        <v>0</v>
      </c>
      <c r="BF468" s="48">
        <f t="shared" si="1514"/>
        <v>0</v>
      </c>
      <c r="BG468" s="48">
        <f t="shared" si="1514"/>
        <v>0</v>
      </c>
      <c r="BH468" s="48">
        <f t="shared" si="1514"/>
        <v>0</v>
      </c>
      <c r="BI468" s="48">
        <f t="shared" si="1514"/>
        <v>0</v>
      </c>
      <c r="BJ468" s="48">
        <f t="shared" si="1514"/>
        <v>0</v>
      </c>
      <c r="BK468" s="48">
        <f t="shared" si="1514"/>
        <v>0</v>
      </c>
      <c r="BL468" s="48">
        <f t="shared" si="1514"/>
        <v>0</v>
      </c>
      <c r="BM468" s="48">
        <f t="shared" si="1514"/>
        <v>0</v>
      </c>
      <c r="BN468" s="48">
        <f t="shared" si="1514"/>
        <v>0</v>
      </c>
      <c r="BO468" s="48">
        <f t="shared" si="1514"/>
        <v>0</v>
      </c>
      <c r="BP468" s="48">
        <f t="shared" si="1514"/>
        <v>0</v>
      </c>
      <c r="BQ468" s="48">
        <f t="shared" si="1514"/>
        <v>0</v>
      </c>
      <c r="BR468" s="36">
        <f t="shared" si="9"/>
        <v>0</v>
      </c>
      <c r="BS468" s="38">
        <f t="shared" si="10"/>
        <v>1</v>
      </c>
      <c r="BT468" s="49">
        <f t="shared" si="11"/>
        <v>0</v>
      </c>
      <c r="BU468" s="38">
        <f t="shared" si="12"/>
        <v>1000</v>
      </c>
      <c r="BV468" s="57" t="str">
        <f>IFERROR(__xludf.DUMMYFUNCTION("""COMPUTED_VALUE"""),"Jodie")</f>
        <v>Jodie</v>
      </c>
      <c r="BW468" s="46">
        <f t="shared" si="13"/>
        <v>100</v>
      </c>
      <c r="BX468" s="47">
        <f t="shared" ref="BX468:CA468" si="1515">AX468-$BU468</f>
        <v>-1000</v>
      </c>
      <c r="BY468" s="47">
        <f t="shared" si="1515"/>
        <v>-1000</v>
      </c>
      <c r="BZ468" s="47">
        <f t="shared" si="1515"/>
        <v>-1000</v>
      </c>
      <c r="CA468" s="47">
        <f t="shared" si="1515"/>
        <v>-1000</v>
      </c>
      <c r="CB468" s="47">
        <f t="shared" si="15"/>
        <v>-10000</v>
      </c>
      <c r="CC468" s="47">
        <f t="shared" ref="CC468:CQ468" si="1516">BC468-$BU468</f>
        <v>-900</v>
      </c>
      <c r="CD468" s="47">
        <f t="shared" si="1516"/>
        <v>-1000</v>
      </c>
      <c r="CE468" s="47">
        <f t="shared" si="1516"/>
        <v>-1000</v>
      </c>
      <c r="CF468" s="47">
        <f t="shared" si="1516"/>
        <v>-1000</v>
      </c>
      <c r="CG468" s="47">
        <f t="shared" si="1516"/>
        <v>-1000</v>
      </c>
      <c r="CH468" s="47">
        <f t="shared" si="1516"/>
        <v>-1000</v>
      </c>
      <c r="CI468" s="47">
        <f t="shared" si="1516"/>
        <v>-1000</v>
      </c>
      <c r="CJ468" s="47">
        <f t="shared" si="1516"/>
        <v>-1000</v>
      </c>
      <c r="CK468" s="47">
        <f t="shared" si="1516"/>
        <v>-1000</v>
      </c>
      <c r="CL468" s="47">
        <f t="shared" si="1516"/>
        <v>-1000</v>
      </c>
      <c r="CM468" s="47">
        <f t="shared" si="1516"/>
        <v>-1000</v>
      </c>
      <c r="CN468" s="47">
        <f t="shared" si="1516"/>
        <v>-1000</v>
      </c>
      <c r="CO468" s="47">
        <f t="shared" si="1516"/>
        <v>-1000</v>
      </c>
      <c r="CP468" s="47">
        <f t="shared" si="1516"/>
        <v>-1000</v>
      </c>
      <c r="CQ468" s="47">
        <f t="shared" si="1516"/>
        <v>-1000</v>
      </c>
      <c r="CR468" s="47"/>
      <c r="CS468" s="47"/>
      <c r="CT468" s="47"/>
      <c r="CU468" s="50" t="str">
        <f>IFERROR(__xludf.DUMMYFUNCTION("""COMPUTED_VALUE"""),"7027 Merilee Ln
Dallas, TX 75214          ")</f>
        <v>7027 Merilee Ln
Dallas, TX 75214          </v>
      </c>
      <c r="CV468" s="51">
        <f>IFERROR(__xludf.DUMMYFUNCTION("IF(REGEXMATCH(UPPER(CU468), ""TX""),0,1)"),0.0)</f>
        <v>0</v>
      </c>
      <c r="CW468" s="51">
        <f>IFERROR(__xludf.DUMMYFUNCTION("IF(REGEXMATCH(UPPER(CU468), ""DALLAS""),0,1)"),0.0)</f>
        <v>0</v>
      </c>
      <c r="CX468" s="51">
        <f t="shared" si="17"/>
        <v>0</v>
      </c>
      <c r="CY468" s="51">
        <f t="shared" si="18"/>
        <v>0</v>
      </c>
      <c r="CZ468" s="52" t="str">
        <f t="shared" si="19"/>
        <v/>
      </c>
      <c r="DA468" s="58"/>
      <c r="DB468" s="52"/>
      <c r="DC468" s="52"/>
      <c r="DD468" s="52"/>
      <c r="DE468" s="52"/>
      <c r="DF468" s="52"/>
      <c r="DG468" s="52"/>
      <c r="DH468" s="52"/>
      <c r="DI468" s="52"/>
      <c r="DJ468" s="52"/>
      <c r="DK468" s="52"/>
      <c r="DL468" s="52"/>
      <c r="DM468" s="52"/>
      <c r="DN468" s="52"/>
      <c r="DO468" s="52"/>
      <c r="DP468" s="52"/>
      <c r="DQ468" s="52"/>
      <c r="DR468" s="52"/>
      <c r="DS468" s="52"/>
      <c r="DT468" s="52"/>
      <c r="DU468" s="52"/>
      <c r="DV468" s="52"/>
      <c r="DW468" s="52"/>
    </row>
    <row r="469">
      <c r="A469" s="40" t="s">
        <v>55</v>
      </c>
      <c r="B469" s="41" t="s">
        <v>56</v>
      </c>
      <c r="C469" s="31" t="s">
        <v>1291</v>
      </c>
      <c r="D469" s="25" t="str">
        <f>IFERROR(__xludf.DUMMYFUNCTION("SPLIT(C469,"" "")"),"Hunt,")</f>
        <v>Hunt,</v>
      </c>
      <c r="E469" s="40" t="str">
        <f>IFERROR(__xludf.DUMMYFUNCTION("""COMPUTED_VALUE"""),"Ray
1900")</f>
        <v>Ray
1900</v>
      </c>
      <c r="F469" s="40" t="str">
        <f>IFERROR(__xludf.DUMMYFUNCTION("""COMPUTED_VALUE"""),"N.")</f>
        <v>N.</v>
      </c>
      <c r="G469" s="40" t="str">
        <f>IFERROR(__xludf.DUMMYFUNCTION("""COMPUTED_VALUE"""),"Akard")</f>
        <v>Akard</v>
      </c>
      <c r="H469" s="40" t="str">
        <f>IFERROR(__xludf.DUMMYFUNCTION("""COMPUTED_VALUE"""),"St
Dallas,")</f>
        <v>St
Dallas,</v>
      </c>
      <c r="I469" s="40" t="str">
        <f>IFERROR(__xludf.DUMMYFUNCTION("""COMPUTED_VALUE"""),"TX")</f>
        <v>TX</v>
      </c>
      <c r="J469" s="40">
        <f>IFERROR(__xludf.DUMMYFUNCTION("""COMPUTED_VALUE"""),75201.0)</f>
        <v>75201</v>
      </c>
      <c r="K469" s="40"/>
      <c r="L469" s="40"/>
      <c r="M469" s="40"/>
      <c r="N469" s="40"/>
      <c r="O469" s="40"/>
      <c r="P469" s="40"/>
      <c r="Q469" s="40"/>
      <c r="R469" s="40"/>
      <c r="S469" s="40"/>
      <c r="T469" s="40"/>
      <c r="U469" s="24" t="str">
        <f>IFERROR(__xludf.DUMMYFUNCTION("SPLIT(E469,""01234567890"")"),"Ray
")</f>
        <v>Ray
</v>
      </c>
      <c r="V469" s="24" t="str">
        <f>IFERROR(__xludf.DUMMYFUNCTION("SPLIT(D469,"","")"),"Hunt")</f>
        <v>Hunt</v>
      </c>
      <c r="W469" s="25" t="str">
        <f t="shared" si="1"/>
        <v>RAY
 HUNT</v>
      </c>
      <c r="X469" s="25" t="s">
        <v>777</v>
      </c>
      <c r="Y469" s="25">
        <v>75201.0</v>
      </c>
      <c r="Z469" s="25" t="str">
        <f>IFERROR(__xludf.DUMMYFUNCTION("SPLIT(C469,""
"")"),"Hunt, Ray")</f>
        <v>Hunt, Ray</v>
      </c>
      <c r="AA469" s="25" t="str">
        <f>IFERROR(__xludf.DUMMYFUNCTION("""COMPUTED_VALUE"""),"1900 N. Akard St")</f>
        <v>1900 N. Akard St</v>
      </c>
      <c r="AB469" s="25" t="str">
        <f>IFERROR(__xludf.DUMMYFUNCTION("""COMPUTED_VALUE"""),"Dallas, TX 75201")</f>
        <v>Dallas, TX 75201</v>
      </c>
      <c r="AC469" s="24" t="s">
        <v>721</v>
      </c>
      <c r="AD469" s="25"/>
      <c r="AE469" s="25"/>
      <c r="AF469" s="25"/>
      <c r="AG469" s="40" t="s">
        <v>60</v>
      </c>
      <c r="AH469" s="42">
        <v>2445.0</v>
      </c>
      <c r="AI469" s="40" t="s">
        <v>61</v>
      </c>
      <c r="AJ469" s="27">
        <v>1000.0</v>
      </c>
      <c r="AK469" s="31" t="s">
        <v>30</v>
      </c>
      <c r="AL469" s="43">
        <v>44735.0</v>
      </c>
      <c r="AM469" s="44">
        <v>44755.778402777774</v>
      </c>
      <c r="AN469" s="30">
        <v>2.0</v>
      </c>
      <c r="AO469" s="40"/>
      <c r="AP469" s="40"/>
      <c r="AQ469" s="40"/>
      <c r="AR469" s="40"/>
      <c r="AS469" s="40"/>
      <c r="AT469" s="47"/>
      <c r="AU469" s="40"/>
      <c r="AV469" s="46" t="str">
        <f>IFERROR(__xludf.DUMMYFUNCTION("""COMPUTED_VALUE"""),"Goocher")</f>
        <v>Goocher</v>
      </c>
      <c r="AW469" s="46">
        <f t="shared" si="7"/>
        <v>100</v>
      </c>
      <c r="AX469" s="47">
        <f t="shared" ref="AX469:BQ469" si="1517">SUMIFS($AJ:$AJ,$V:$V,$AV469,$AK:$AK,AX$2)</f>
        <v>0</v>
      </c>
      <c r="AY469" s="48">
        <f t="shared" si="1517"/>
        <v>0</v>
      </c>
      <c r="AZ469" s="48">
        <f t="shared" si="1517"/>
        <v>0</v>
      </c>
      <c r="BA469" s="48">
        <f t="shared" si="1517"/>
        <v>0</v>
      </c>
      <c r="BB469" s="48">
        <f t="shared" si="1517"/>
        <v>0</v>
      </c>
      <c r="BC469" s="48">
        <f t="shared" si="1517"/>
        <v>100</v>
      </c>
      <c r="BD469" s="48">
        <f t="shared" si="1517"/>
        <v>0</v>
      </c>
      <c r="BE469" s="48">
        <f t="shared" si="1517"/>
        <v>0</v>
      </c>
      <c r="BF469" s="48">
        <f t="shared" si="1517"/>
        <v>0</v>
      </c>
      <c r="BG469" s="48">
        <f t="shared" si="1517"/>
        <v>0</v>
      </c>
      <c r="BH469" s="48">
        <f t="shared" si="1517"/>
        <v>0</v>
      </c>
      <c r="BI469" s="48">
        <f t="shared" si="1517"/>
        <v>0</v>
      </c>
      <c r="BJ469" s="48">
        <f t="shared" si="1517"/>
        <v>0</v>
      </c>
      <c r="BK469" s="48">
        <f t="shared" si="1517"/>
        <v>0</v>
      </c>
      <c r="BL469" s="48">
        <f t="shared" si="1517"/>
        <v>0</v>
      </c>
      <c r="BM469" s="48">
        <f t="shared" si="1517"/>
        <v>0</v>
      </c>
      <c r="BN469" s="48">
        <f t="shared" si="1517"/>
        <v>0</v>
      </c>
      <c r="BO469" s="48">
        <f t="shared" si="1517"/>
        <v>0</v>
      </c>
      <c r="BP469" s="48">
        <f t="shared" si="1517"/>
        <v>0</v>
      </c>
      <c r="BQ469" s="48">
        <f t="shared" si="1517"/>
        <v>0</v>
      </c>
      <c r="BR469" s="36">
        <f t="shared" si="9"/>
        <v>0</v>
      </c>
      <c r="BS469" s="38">
        <f t="shared" si="10"/>
        <v>1</v>
      </c>
      <c r="BT469" s="49">
        <f t="shared" si="11"/>
        <v>0</v>
      </c>
      <c r="BU469" s="38">
        <f t="shared" si="12"/>
        <v>1000</v>
      </c>
      <c r="BV469" s="46" t="str">
        <f>IFERROR(__xludf.DUMMYFUNCTION("""COMPUTED_VALUE"""),"Goocher")</f>
        <v>Goocher</v>
      </c>
      <c r="BW469" s="46">
        <f t="shared" si="13"/>
        <v>100</v>
      </c>
      <c r="BX469" s="47">
        <f t="shared" ref="BX469:CA469" si="1518">AX469-$BU469</f>
        <v>-1000</v>
      </c>
      <c r="BY469" s="47">
        <f t="shared" si="1518"/>
        <v>-1000</v>
      </c>
      <c r="BZ469" s="47">
        <f t="shared" si="1518"/>
        <v>-1000</v>
      </c>
      <c r="CA469" s="47">
        <f t="shared" si="1518"/>
        <v>-1000</v>
      </c>
      <c r="CB469" s="47">
        <f t="shared" si="15"/>
        <v>-10000</v>
      </c>
      <c r="CC469" s="47">
        <f t="shared" ref="CC469:CQ469" si="1519">BC469-$BU469</f>
        <v>-900</v>
      </c>
      <c r="CD469" s="47">
        <f t="shared" si="1519"/>
        <v>-1000</v>
      </c>
      <c r="CE469" s="47">
        <f t="shared" si="1519"/>
        <v>-1000</v>
      </c>
      <c r="CF469" s="47">
        <f t="shared" si="1519"/>
        <v>-1000</v>
      </c>
      <c r="CG469" s="47">
        <f t="shared" si="1519"/>
        <v>-1000</v>
      </c>
      <c r="CH469" s="47">
        <f t="shared" si="1519"/>
        <v>-1000</v>
      </c>
      <c r="CI469" s="47">
        <f t="shared" si="1519"/>
        <v>-1000</v>
      </c>
      <c r="CJ469" s="47">
        <f t="shared" si="1519"/>
        <v>-1000</v>
      </c>
      <c r="CK469" s="47">
        <f t="shared" si="1519"/>
        <v>-1000</v>
      </c>
      <c r="CL469" s="47">
        <f t="shared" si="1519"/>
        <v>-1000</v>
      </c>
      <c r="CM469" s="47">
        <f t="shared" si="1519"/>
        <v>-1000</v>
      </c>
      <c r="CN469" s="47">
        <f t="shared" si="1519"/>
        <v>-1000</v>
      </c>
      <c r="CO469" s="47">
        <f t="shared" si="1519"/>
        <v>-1000</v>
      </c>
      <c r="CP469" s="47">
        <f t="shared" si="1519"/>
        <v>-1000</v>
      </c>
      <c r="CQ469" s="47">
        <f t="shared" si="1519"/>
        <v>-1000</v>
      </c>
      <c r="CR469" s="47"/>
      <c r="CS469" s="47"/>
      <c r="CT469" s="47"/>
      <c r="CU469" s="50" t="str">
        <f>IFERROR(__xludf.DUMMYFUNCTION("""COMPUTED_VALUE"""),"3824 Cedar Springs
Dallas, TX 75219          ")</f>
        <v>3824 Cedar Springs
Dallas, TX 75219          </v>
      </c>
      <c r="CV469" s="51">
        <f>IFERROR(__xludf.DUMMYFUNCTION("IF(REGEXMATCH(UPPER(CU469), ""TX""),0,1)"),0.0)</f>
        <v>0</v>
      </c>
      <c r="CW469" s="51">
        <f>IFERROR(__xludf.DUMMYFUNCTION("IF(REGEXMATCH(UPPER(CU469), ""DALLAS""),0,1)"),0.0)</f>
        <v>0</v>
      </c>
      <c r="CX469" s="51">
        <f t="shared" si="17"/>
        <v>0</v>
      </c>
      <c r="CY469" s="51">
        <f t="shared" si="18"/>
        <v>0</v>
      </c>
      <c r="CZ469" s="52" t="str">
        <f t="shared" si="19"/>
        <v/>
      </c>
      <c r="DA469" s="58"/>
      <c r="DB469" s="52"/>
      <c r="DC469" s="52"/>
      <c r="DD469" s="52"/>
      <c r="DE469" s="52"/>
      <c r="DF469" s="52"/>
      <c r="DG469" s="52"/>
      <c r="DH469" s="52"/>
      <c r="DI469" s="52"/>
      <c r="DJ469" s="52"/>
      <c r="DK469" s="52"/>
      <c r="DL469" s="52"/>
      <c r="DM469" s="52"/>
      <c r="DN469" s="52"/>
      <c r="DO469" s="52"/>
      <c r="DP469" s="52"/>
      <c r="DQ469" s="52"/>
      <c r="DR469" s="52"/>
      <c r="DS469" s="52"/>
      <c r="DT469" s="52"/>
      <c r="DU469" s="52"/>
      <c r="DV469" s="52"/>
      <c r="DW469" s="52"/>
    </row>
    <row r="470">
      <c r="A470" s="22" t="s">
        <v>55</v>
      </c>
      <c r="B470" s="23" t="s">
        <v>56</v>
      </c>
      <c r="C470" s="31" t="s">
        <v>1292</v>
      </c>
      <c r="D470" s="25" t="str">
        <f>IFERROR(__xludf.DUMMYFUNCTION("SPLIT(C470,"" "")"),"Glenn,")</f>
        <v>Glenn,</v>
      </c>
      <c r="E470" s="22" t="str">
        <f>IFERROR(__xludf.DUMMYFUNCTION("""COMPUTED_VALUE"""),"Paxon
4708")</f>
        <v>Paxon
4708</v>
      </c>
      <c r="F470" s="22" t="str">
        <f>IFERROR(__xludf.DUMMYFUNCTION("""COMPUTED_VALUE"""),"W.")</f>
        <v>W.</v>
      </c>
      <c r="G470" s="22" t="str">
        <f>IFERROR(__xludf.DUMMYFUNCTION("""COMPUTED_VALUE"""),"Hanover
Dallas,")</f>
        <v>Hanover
Dallas,</v>
      </c>
      <c r="H470" s="22" t="str">
        <f>IFERROR(__xludf.DUMMYFUNCTION("""COMPUTED_VALUE"""),"TX")</f>
        <v>TX</v>
      </c>
      <c r="I470" s="22">
        <f>IFERROR(__xludf.DUMMYFUNCTION("""COMPUTED_VALUE"""),75209.0)</f>
        <v>75209</v>
      </c>
      <c r="J470" s="22"/>
      <c r="K470" s="22"/>
      <c r="L470" s="22"/>
      <c r="M470" s="22"/>
      <c r="N470" s="22"/>
      <c r="O470" s="22"/>
      <c r="P470" s="22"/>
      <c r="Q470" s="22"/>
      <c r="R470" s="22"/>
      <c r="S470" s="22"/>
      <c r="T470" s="22"/>
      <c r="U470" s="24" t="str">
        <f>IFERROR(__xludf.DUMMYFUNCTION("SPLIT(E470,""01234567890"")"),"Paxon
")</f>
        <v>Paxon
</v>
      </c>
      <c r="V470" s="24" t="str">
        <f>IFERROR(__xludf.DUMMYFUNCTION("SPLIT(D470,"","")"),"Glenn")</f>
        <v>Glenn</v>
      </c>
      <c r="W470" s="25" t="str">
        <f t="shared" si="1"/>
        <v>PAXON
 GLENN</v>
      </c>
      <c r="X470" s="25" t="s">
        <v>1293</v>
      </c>
      <c r="Y470" s="25">
        <v>75209.0</v>
      </c>
      <c r="Z470" s="25" t="str">
        <f>IFERROR(__xludf.DUMMYFUNCTION("SPLIT(C470,""
"")"),"Glenn, Paxon")</f>
        <v>Glenn, Paxon</v>
      </c>
      <c r="AA470" s="25" t="str">
        <f>IFERROR(__xludf.DUMMYFUNCTION("""COMPUTED_VALUE"""),"4708 W. Hanover")</f>
        <v>4708 W. Hanover</v>
      </c>
      <c r="AB470" s="25" t="str">
        <f>IFERROR(__xludf.DUMMYFUNCTION("""COMPUTED_VALUE"""),"Dallas, TX 75209")</f>
        <v>Dallas, TX 75209</v>
      </c>
      <c r="AC470" s="24" t="s">
        <v>1294</v>
      </c>
      <c r="AD470" s="25"/>
      <c r="AE470" s="25"/>
      <c r="AF470" s="25"/>
      <c r="AG470" s="22" t="s">
        <v>60</v>
      </c>
      <c r="AH470" s="54">
        <v>2445.0</v>
      </c>
      <c r="AI470" s="22" t="s">
        <v>61</v>
      </c>
      <c r="AJ470" s="27">
        <v>50.0</v>
      </c>
      <c r="AK470" s="31" t="s">
        <v>30</v>
      </c>
      <c r="AL470" s="28">
        <v>44742.0</v>
      </c>
      <c r="AM470" s="29">
        <v>44755.778402777774</v>
      </c>
      <c r="AN470" s="30">
        <v>2.0</v>
      </c>
      <c r="AO470" s="22"/>
      <c r="AP470" s="22"/>
      <c r="AQ470" s="22"/>
      <c r="AR470" s="22"/>
      <c r="AS470" s="22"/>
      <c r="AT470" s="70"/>
      <c r="AU470" s="22"/>
      <c r="AV470" s="57" t="str">
        <f>IFERROR(__xludf.DUMMYFUNCTION("""COMPUTED_VALUE"""),"Lee")</f>
        <v>Lee</v>
      </c>
      <c r="AW470" s="46">
        <f t="shared" si="7"/>
        <v>1750</v>
      </c>
      <c r="AX470" s="47">
        <f t="shared" ref="AX470:BQ470" si="1520">SUMIFS($AJ:$AJ,$V:$V,$AV470,$AK:$AK,AX$2)</f>
        <v>0</v>
      </c>
      <c r="AY470" s="48">
        <f t="shared" si="1520"/>
        <v>0</v>
      </c>
      <c r="AZ470" s="48">
        <f t="shared" si="1520"/>
        <v>0</v>
      </c>
      <c r="BA470" s="48">
        <f t="shared" si="1520"/>
        <v>0</v>
      </c>
      <c r="BB470" s="48">
        <f t="shared" si="1520"/>
        <v>650</v>
      </c>
      <c r="BC470" s="48">
        <f t="shared" si="1520"/>
        <v>1000</v>
      </c>
      <c r="BD470" s="48">
        <f t="shared" si="1520"/>
        <v>0</v>
      </c>
      <c r="BE470" s="48">
        <f t="shared" si="1520"/>
        <v>0</v>
      </c>
      <c r="BF470" s="48">
        <f t="shared" si="1520"/>
        <v>0</v>
      </c>
      <c r="BG470" s="48">
        <f t="shared" si="1520"/>
        <v>0</v>
      </c>
      <c r="BH470" s="48">
        <f t="shared" si="1520"/>
        <v>100</v>
      </c>
      <c r="BI470" s="48">
        <f t="shared" si="1520"/>
        <v>0</v>
      </c>
      <c r="BJ470" s="48">
        <f t="shared" si="1520"/>
        <v>0</v>
      </c>
      <c r="BK470" s="48">
        <f t="shared" si="1520"/>
        <v>0</v>
      </c>
      <c r="BL470" s="48">
        <f t="shared" si="1520"/>
        <v>0</v>
      </c>
      <c r="BM470" s="48">
        <f t="shared" si="1520"/>
        <v>0</v>
      </c>
      <c r="BN470" s="48">
        <f t="shared" si="1520"/>
        <v>0</v>
      </c>
      <c r="BO470" s="48">
        <f t="shared" si="1520"/>
        <v>0</v>
      </c>
      <c r="BP470" s="48">
        <f t="shared" si="1520"/>
        <v>0</v>
      </c>
      <c r="BQ470" s="48">
        <f t="shared" si="1520"/>
        <v>0</v>
      </c>
      <c r="BR470" s="36">
        <f t="shared" si="9"/>
        <v>1</v>
      </c>
      <c r="BS470" s="38">
        <f t="shared" si="10"/>
        <v>5</v>
      </c>
      <c r="BT470" s="49">
        <f t="shared" si="11"/>
        <v>0</v>
      </c>
      <c r="BU470" s="38">
        <f t="shared" si="12"/>
        <v>5000</v>
      </c>
      <c r="BV470" s="57" t="str">
        <f>IFERROR(__xludf.DUMMYFUNCTION("""COMPUTED_VALUE"""),"Lee")</f>
        <v>Lee</v>
      </c>
      <c r="BW470" s="46">
        <f t="shared" si="13"/>
        <v>1750</v>
      </c>
      <c r="BX470" s="47">
        <f t="shared" ref="BX470:CA470" si="1521">AX470-$BU470</f>
        <v>-5000</v>
      </c>
      <c r="BY470" s="47">
        <f t="shared" si="1521"/>
        <v>-5000</v>
      </c>
      <c r="BZ470" s="47">
        <f t="shared" si="1521"/>
        <v>-5000</v>
      </c>
      <c r="CA470" s="47">
        <f t="shared" si="1521"/>
        <v>-5000</v>
      </c>
      <c r="CB470" s="47">
        <f t="shared" si="15"/>
        <v>-49350</v>
      </c>
      <c r="CC470" s="47">
        <f t="shared" ref="CC470:CQ470" si="1522">BC470-$BU470</f>
        <v>-4000</v>
      </c>
      <c r="CD470" s="47">
        <f t="shared" si="1522"/>
        <v>-5000</v>
      </c>
      <c r="CE470" s="47">
        <f t="shared" si="1522"/>
        <v>-5000</v>
      </c>
      <c r="CF470" s="47">
        <f t="shared" si="1522"/>
        <v>-5000</v>
      </c>
      <c r="CG470" s="47">
        <f t="shared" si="1522"/>
        <v>-5000</v>
      </c>
      <c r="CH470" s="47">
        <f t="shared" si="1522"/>
        <v>-4900</v>
      </c>
      <c r="CI470" s="47">
        <f t="shared" si="1522"/>
        <v>-5000</v>
      </c>
      <c r="CJ470" s="47">
        <f t="shared" si="1522"/>
        <v>-5000</v>
      </c>
      <c r="CK470" s="47">
        <f t="shared" si="1522"/>
        <v>-5000</v>
      </c>
      <c r="CL470" s="47">
        <f t="shared" si="1522"/>
        <v>-5000</v>
      </c>
      <c r="CM470" s="47">
        <f t="shared" si="1522"/>
        <v>-5000</v>
      </c>
      <c r="CN470" s="47">
        <f t="shared" si="1522"/>
        <v>-5000</v>
      </c>
      <c r="CO470" s="47">
        <f t="shared" si="1522"/>
        <v>-5000</v>
      </c>
      <c r="CP470" s="47">
        <f t="shared" si="1522"/>
        <v>-5000</v>
      </c>
      <c r="CQ470" s="47">
        <f t="shared" si="1522"/>
        <v>-5000</v>
      </c>
      <c r="CR470" s="47"/>
      <c r="CS470" s="47"/>
      <c r="CT470" s="47"/>
      <c r="CU470" s="50" t="str">
        <f>IFERROR(__xludf.DUMMYFUNCTION("""COMPUTED_VALUE"""),"8378 Forest Hills
Dallas, TX 75218          ")</f>
        <v>8378 Forest Hills
Dallas, TX 75218          </v>
      </c>
      <c r="CV470" s="51">
        <f>IFERROR(__xludf.DUMMYFUNCTION("IF(REGEXMATCH(UPPER(CU470), ""TX""),0,1)"),0.0)</f>
        <v>0</v>
      </c>
      <c r="CW470" s="51">
        <f>IFERROR(__xludf.DUMMYFUNCTION("IF(REGEXMATCH(UPPER(CU470), ""DALLAS""),0,1)"),0.0)</f>
        <v>0</v>
      </c>
      <c r="CX470" s="51">
        <f t="shared" si="17"/>
        <v>0</v>
      </c>
      <c r="CY470" s="51">
        <f t="shared" si="18"/>
        <v>0</v>
      </c>
      <c r="CZ470" s="52" t="str">
        <f t="shared" si="19"/>
        <v/>
      </c>
      <c r="DA470" s="58"/>
      <c r="DB470" s="52"/>
      <c r="DC470" s="52"/>
      <c r="DD470" s="52"/>
      <c r="DE470" s="52"/>
      <c r="DF470" s="52"/>
      <c r="DG470" s="52"/>
      <c r="DH470" s="52"/>
      <c r="DI470" s="52"/>
      <c r="DJ470" s="52"/>
      <c r="DK470" s="52"/>
      <c r="DL470" s="52"/>
      <c r="DM470" s="52"/>
      <c r="DN470" s="52"/>
      <c r="DO470" s="52"/>
      <c r="DP470" s="52"/>
      <c r="DQ470" s="52"/>
      <c r="DR470" s="52"/>
      <c r="DS470" s="52"/>
      <c r="DT470" s="52"/>
      <c r="DU470" s="52"/>
      <c r="DV470" s="52"/>
      <c r="DW470" s="52"/>
    </row>
    <row r="471">
      <c r="A471" s="40" t="s">
        <v>55</v>
      </c>
      <c r="B471" s="41" t="s">
        <v>56</v>
      </c>
      <c r="C471" s="31" t="s">
        <v>1295</v>
      </c>
      <c r="D471" s="25" t="str">
        <f>IFERROR(__xludf.DUMMYFUNCTION("SPLIT(C471,"" "")"),"Levonyak,")</f>
        <v>Levonyak,</v>
      </c>
      <c r="E471" s="40" t="str">
        <f>IFERROR(__xludf.DUMMYFUNCTION("""COMPUTED_VALUE"""),"Mark
3904")</f>
        <v>Mark
3904</v>
      </c>
      <c r="F471" s="40" t="str">
        <f>IFERROR(__xludf.DUMMYFUNCTION("""COMPUTED_VALUE"""),"Fairlakes")</f>
        <v>Fairlakes</v>
      </c>
      <c r="G471" s="40" t="str">
        <f>IFERROR(__xludf.DUMMYFUNCTION("""COMPUTED_VALUE"""),"Drive
Dallas,")</f>
        <v>Drive
Dallas,</v>
      </c>
      <c r="H471" s="40" t="str">
        <f>IFERROR(__xludf.DUMMYFUNCTION("""COMPUTED_VALUE"""),"TX")</f>
        <v>TX</v>
      </c>
      <c r="I471" s="40">
        <f>IFERROR(__xludf.DUMMYFUNCTION("""COMPUTED_VALUE"""),75226.0)</f>
        <v>75226</v>
      </c>
      <c r="J471" s="40"/>
      <c r="K471" s="40"/>
      <c r="L471" s="40"/>
      <c r="M471" s="40"/>
      <c r="N471" s="40"/>
      <c r="O471" s="40"/>
      <c r="P471" s="40"/>
      <c r="Q471" s="40"/>
      <c r="R471" s="40"/>
      <c r="S471" s="40"/>
      <c r="T471" s="40"/>
      <c r="U471" s="24" t="str">
        <f>IFERROR(__xludf.DUMMYFUNCTION("SPLIT(E471,""01234567890"")"),"Mark
")</f>
        <v>Mark
</v>
      </c>
      <c r="V471" s="24" t="str">
        <f>IFERROR(__xludf.DUMMYFUNCTION("SPLIT(D471,"","")"),"Levonyak")</f>
        <v>Levonyak</v>
      </c>
      <c r="W471" s="25" t="str">
        <f t="shared" si="1"/>
        <v>MARK
 LEVONYAK</v>
      </c>
      <c r="X471" s="25" t="s">
        <v>1296</v>
      </c>
      <c r="Y471" s="25">
        <v>75226.0</v>
      </c>
      <c r="Z471" s="25" t="str">
        <f>IFERROR(__xludf.DUMMYFUNCTION("SPLIT(C471,""
"")"),"Levonyak, Mark")</f>
        <v>Levonyak, Mark</v>
      </c>
      <c r="AA471" s="25" t="str">
        <f>IFERROR(__xludf.DUMMYFUNCTION("""COMPUTED_VALUE"""),"3904 Fairlakes Drive")</f>
        <v>3904 Fairlakes Drive</v>
      </c>
      <c r="AB471" s="25" t="str">
        <f>IFERROR(__xludf.DUMMYFUNCTION("""COMPUTED_VALUE"""),"Dallas, TX 75226")</f>
        <v>Dallas, TX 75226</v>
      </c>
      <c r="AC471" s="24" t="s">
        <v>1297</v>
      </c>
      <c r="AD471" s="25"/>
      <c r="AE471" s="25"/>
      <c r="AF471" s="25"/>
      <c r="AG471" s="40" t="s">
        <v>60</v>
      </c>
      <c r="AH471" s="42">
        <v>2448.0</v>
      </c>
      <c r="AI471" s="40" t="s">
        <v>61</v>
      </c>
      <c r="AJ471" s="27">
        <v>250.0</v>
      </c>
      <c r="AK471" s="31" t="s">
        <v>24</v>
      </c>
      <c r="AL471" s="43">
        <v>44577.0</v>
      </c>
      <c r="AM471" s="44">
        <v>44757.44018518519</v>
      </c>
      <c r="AN471" s="30">
        <v>2.0</v>
      </c>
      <c r="AO471" s="40"/>
      <c r="AP471" s="40"/>
      <c r="AQ471" s="40"/>
      <c r="AR471" s="40"/>
      <c r="AS471" s="40"/>
      <c r="AT471" s="47"/>
      <c r="AU471" s="40"/>
      <c r="AV471" s="46" t="str">
        <f>IFERROR(__xludf.DUMMYFUNCTION("""COMPUTED_VALUE"""),"Reeder")</f>
        <v>Reeder</v>
      </c>
      <c r="AW471" s="46">
        <f t="shared" si="7"/>
        <v>100</v>
      </c>
      <c r="AX471" s="47">
        <f t="shared" ref="AX471:BQ471" si="1523">SUMIFS($AJ:$AJ,$V:$V,$AV471,$AK:$AK,AX$2)</f>
        <v>0</v>
      </c>
      <c r="AY471" s="48">
        <f t="shared" si="1523"/>
        <v>0</v>
      </c>
      <c r="AZ471" s="48">
        <f t="shared" si="1523"/>
        <v>0</v>
      </c>
      <c r="BA471" s="48">
        <f t="shared" si="1523"/>
        <v>0</v>
      </c>
      <c r="BB471" s="48">
        <f t="shared" si="1523"/>
        <v>0</v>
      </c>
      <c r="BC471" s="48">
        <f t="shared" si="1523"/>
        <v>100</v>
      </c>
      <c r="BD471" s="48">
        <f t="shared" si="1523"/>
        <v>0</v>
      </c>
      <c r="BE471" s="48">
        <f t="shared" si="1523"/>
        <v>0</v>
      </c>
      <c r="BF471" s="48">
        <f t="shared" si="1523"/>
        <v>0</v>
      </c>
      <c r="BG471" s="48">
        <f t="shared" si="1523"/>
        <v>0</v>
      </c>
      <c r="BH471" s="48">
        <f t="shared" si="1523"/>
        <v>0</v>
      </c>
      <c r="BI471" s="48">
        <f t="shared" si="1523"/>
        <v>0</v>
      </c>
      <c r="BJ471" s="48">
        <f t="shared" si="1523"/>
        <v>0</v>
      </c>
      <c r="BK471" s="48">
        <f t="shared" si="1523"/>
        <v>0</v>
      </c>
      <c r="BL471" s="48">
        <f t="shared" si="1523"/>
        <v>0</v>
      </c>
      <c r="BM471" s="48">
        <f t="shared" si="1523"/>
        <v>0</v>
      </c>
      <c r="BN471" s="48">
        <f t="shared" si="1523"/>
        <v>0</v>
      </c>
      <c r="BO471" s="48">
        <f t="shared" si="1523"/>
        <v>0</v>
      </c>
      <c r="BP471" s="48">
        <f t="shared" si="1523"/>
        <v>0</v>
      </c>
      <c r="BQ471" s="48">
        <f t="shared" si="1523"/>
        <v>0</v>
      </c>
      <c r="BR471" s="36">
        <f t="shared" si="9"/>
        <v>0</v>
      </c>
      <c r="BS471" s="38">
        <f t="shared" si="10"/>
        <v>1</v>
      </c>
      <c r="BT471" s="49">
        <f t="shared" si="11"/>
        <v>0</v>
      </c>
      <c r="BU471" s="38">
        <f t="shared" si="12"/>
        <v>1000</v>
      </c>
      <c r="BV471" s="46" t="str">
        <f>IFERROR(__xludf.DUMMYFUNCTION("""COMPUTED_VALUE"""),"Reeder")</f>
        <v>Reeder</v>
      </c>
      <c r="BW471" s="46">
        <f t="shared" si="13"/>
        <v>100</v>
      </c>
      <c r="BX471" s="47">
        <f t="shared" ref="BX471:CA471" si="1524">AX471-$BU471</f>
        <v>-1000</v>
      </c>
      <c r="BY471" s="47">
        <f t="shared" si="1524"/>
        <v>-1000</v>
      </c>
      <c r="BZ471" s="47">
        <f t="shared" si="1524"/>
        <v>-1000</v>
      </c>
      <c r="CA471" s="47">
        <f t="shared" si="1524"/>
        <v>-1000</v>
      </c>
      <c r="CB471" s="47">
        <f t="shared" si="15"/>
        <v>-10000</v>
      </c>
      <c r="CC471" s="47">
        <f t="shared" ref="CC471:CQ471" si="1525">BC471-$BU471</f>
        <v>-900</v>
      </c>
      <c r="CD471" s="47">
        <f t="shared" si="1525"/>
        <v>-1000</v>
      </c>
      <c r="CE471" s="47">
        <f t="shared" si="1525"/>
        <v>-1000</v>
      </c>
      <c r="CF471" s="47">
        <f t="shared" si="1525"/>
        <v>-1000</v>
      </c>
      <c r="CG471" s="47">
        <f t="shared" si="1525"/>
        <v>-1000</v>
      </c>
      <c r="CH471" s="47">
        <f t="shared" si="1525"/>
        <v>-1000</v>
      </c>
      <c r="CI471" s="47">
        <f t="shared" si="1525"/>
        <v>-1000</v>
      </c>
      <c r="CJ471" s="47">
        <f t="shared" si="1525"/>
        <v>-1000</v>
      </c>
      <c r="CK471" s="47">
        <f t="shared" si="1525"/>
        <v>-1000</v>
      </c>
      <c r="CL471" s="47">
        <f t="shared" si="1525"/>
        <v>-1000</v>
      </c>
      <c r="CM471" s="47">
        <f t="shared" si="1525"/>
        <v>-1000</v>
      </c>
      <c r="CN471" s="47">
        <f t="shared" si="1525"/>
        <v>-1000</v>
      </c>
      <c r="CO471" s="47">
        <f t="shared" si="1525"/>
        <v>-1000</v>
      </c>
      <c r="CP471" s="47">
        <f t="shared" si="1525"/>
        <v>-1000</v>
      </c>
      <c r="CQ471" s="47">
        <f t="shared" si="1525"/>
        <v>-1000</v>
      </c>
      <c r="CR471" s="47"/>
      <c r="CS471" s="47"/>
      <c r="CT471" s="47"/>
      <c r="CU471" s="50" t="str">
        <f>IFERROR(__xludf.DUMMYFUNCTION("""COMPUTED_VALUE"""),"3525 Turtle Creek
Dallas, TX 75219          ")</f>
        <v>3525 Turtle Creek
Dallas, TX 75219          </v>
      </c>
      <c r="CV471" s="51">
        <f>IFERROR(__xludf.DUMMYFUNCTION("IF(REGEXMATCH(UPPER(CU471), ""TX""),0,1)"),0.0)</f>
        <v>0</v>
      </c>
      <c r="CW471" s="51">
        <f>IFERROR(__xludf.DUMMYFUNCTION("IF(REGEXMATCH(UPPER(CU471), ""DALLAS""),0,1)"),0.0)</f>
        <v>0</v>
      </c>
      <c r="CX471" s="51">
        <f t="shared" si="17"/>
        <v>0</v>
      </c>
      <c r="CY471" s="51">
        <f t="shared" si="18"/>
        <v>0</v>
      </c>
      <c r="CZ471" s="52" t="str">
        <f t="shared" si="19"/>
        <v/>
      </c>
      <c r="DA471" s="58"/>
      <c r="DB471" s="52"/>
      <c r="DC471" s="52"/>
      <c r="DD471" s="52"/>
      <c r="DE471" s="52"/>
      <c r="DF471" s="52"/>
      <c r="DG471" s="52"/>
      <c r="DH471" s="52"/>
      <c r="DI471" s="52"/>
      <c r="DJ471" s="52"/>
      <c r="DK471" s="52"/>
      <c r="DL471" s="52"/>
      <c r="DM471" s="52"/>
      <c r="DN471" s="52"/>
      <c r="DO471" s="52"/>
      <c r="DP471" s="52"/>
      <c r="DQ471" s="52"/>
      <c r="DR471" s="52"/>
      <c r="DS471" s="52"/>
      <c r="DT471" s="52"/>
      <c r="DU471" s="52"/>
      <c r="DV471" s="52"/>
      <c r="DW471" s="52"/>
    </row>
    <row r="472">
      <c r="A472" s="22" t="s">
        <v>55</v>
      </c>
      <c r="B472" s="23" t="s">
        <v>56</v>
      </c>
      <c r="C472" s="31" t="s">
        <v>1298</v>
      </c>
      <c r="D472" s="25" t="str">
        <f>IFERROR(__xludf.DUMMYFUNCTION("SPLIT(C472,"" "")"),"Wetsel,")</f>
        <v>Wetsel,</v>
      </c>
      <c r="E472" s="22" t="str">
        <f>IFERROR(__xludf.DUMMYFUNCTION("""COMPUTED_VALUE"""),"Kenneth
4016")</f>
        <v>Kenneth
4016</v>
      </c>
      <c r="F472" s="22" t="str">
        <f>IFERROR(__xludf.DUMMYFUNCTION("""COMPUTED_VALUE"""),"Fairlakes")</f>
        <v>Fairlakes</v>
      </c>
      <c r="G472" s="22" t="str">
        <f>IFERROR(__xludf.DUMMYFUNCTION("""COMPUTED_VALUE"""),"Dr
Dallas,")</f>
        <v>Dr
Dallas,</v>
      </c>
      <c r="H472" s="22" t="str">
        <f>IFERROR(__xludf.DUMMYFUNCTION("""COMPUTED_VALUE"""),"TX")</f>
        <v>TX</v>
      </c>
      <c r="I472" s="22">
        <f>IFERROR(__xludf.DUMMYFUNCTION("""COMPUTED_VALUE"""),75228.0)</f>
        <v>75228</v>
      </c>
      <c r="J472" s="22"/>
      <c r="K472" s="22"/>
      <c r="L472" s="22"/>
      <c r="M472" s="22"/>
      <c r="N472" s="22"/>
      <c r="O472" s="22"/>
      <c r="P472" s="22"/>
      <c r="Q472" s="22"/>
      <c r="R472" s="22"/>
      <c r="S472" s="22"/>
      <c r="T472" s="22"/>
      <c r="U472" s="24" t="str">
        <f>IFERROR(__xludf.DUMMYFUNCTION("SPLIT(E472,""01234567890"")"),"Kenneth
")</f>
        <v>Kenneth
</v>
      </c>
      <c r="V472" s="24" t="str">
        <f>IFERROR(__xludf.DUMMYFUNCTION("SPLIT(D472,"","")"),"Wetsel")</f>
        <v>Wetsel</v>
      </c>
      <c r="W472" s="25" t="str">
        <f t="shared" si="1"/>
        <v>KENNETH
 WETSEL</v>
      </c>
      <c r="X472" s="25" t="s">
        <v>1299</v>
      </c>
      <c r="Y472" s="25">
        <v>75228.0</v>
      </c>
      <c r="Z472" s="25" t="str">
        <f>IFERROR(__xludf.DUMMYFUNCTION("SPLIT(C472,""
"")"),"Wetsel, Kenneth")</f>
        <v>Wetsel, Kenneth</v>
      </c>
      <c r="AA472" s="25" t="str">
        <f>IFERROR(__xludf.DUMMYFUNCTION("""COMPUTED_VALUE"""),"4016 Fairlakes Dr")</f>
        <v>4016 Fairlakes Dr</v>
      </c>
      <c r="AB472" s="25" t="str">
        <f>IFERROR(__xludf.DUMMYFUNCTION("""COMPUTED_VALUE"""),"Dallas, TX 75228")</f>
        <v>Dallas, TX 75228</v>
      </c>
      <c r="AC472" s="24" t="s">
        <v>1300</v>
      </c>
      <c r="AD472" s="25"/>
      <c r="AE472" s="25"/>
      <c r="AF472" s="25"/>
      <c r="AG472" s="22" t="s">
        <v>60</v>
      </c>
      <c r="AH472" s="54">
        <v>2448.0</v>
      </c>
      <c r="AI472" s="22" t="s">
        <v>61</v>
      </c>
      <c r="AJ472" s="27">
        <v>250.0</v>
      </c>
      <c r="AK472" s="31" t="s">
        <v>24</v>
      </c>
      <c r="AL472" s="28">
        <v>44577.0</v>
      </c>
      <c r="AM472" s="29">
        <v>44757.44018518519</v>
      </c>
      <c r="AN472" s="30">
        <v>2.0</v>
      </c>
      <c r="AO472" s="22"/>
      <c r="AP472" s="22"/>
      <c r="AQ472" s="22"/>
      <c r="AR472" s="22"/>
      <c r="AS472" s="22"/>
      <c r="AT472" s="70"/>
      <c r="AU472" s="22"/>
      <c r="AV472" s="57" t="str">
        <f>IFERROR(__xludf.DUMMYFUNCTION("""COMPUTED_VALUE"""),"Lonergan")</f>
        <v>Lonergan</v>
      </c>
      <c r="AW472" s="46">
        <f t="shared" si="7"/>
        <v>100</v>
      </c>
      <c r="AX472" s="47">
        <f t="shared" ref="AX472:BQ472" si="1526">SUMIFS($AJ:$AJ,$V:$V,$AV472,$AK:$AK,AX$2)</f>
        <v>0</v>
      </c>
      <c r="AY472" s="48">
        <f t="shared" si="1526"/>
        <v>0</v>
      </c>
      <c r="AZ472" s="48">
        <f t="shared" si="1526"/>
        <v>0</v>
      </c>
      <c r="BA472" s="48">
        <f t="shared" si="1526"/>
        <v>0</v>
      </c>
      <c r="BB472" s="48">
        <f t="shared" si="1526"/>
        <v>0</v>
      </c>
      <c r="BC472" s="48">
        <f t="shared" si="1526"/>
        <v>100</v>
      </c>
      <c r="BD472" s="48">
        <f t="shared" si="1526"/>
        <v>0</v>
      </c>
      <c r="BE472" s="48">
        <f t="shared" si="1526"/>
        <v>0</v>
      </c>
      <c r="BF472" s="48">
        <f t="shared" si="1526"/>
        <v>0</v>
      </c>
      <c r="BG472" s="48">
        <f t="shared" si="1526"/>
        <v>0</v>
      </c>
      <c r="BH472" s="48">
        <f t="shared" si="1526"/>
        <v>0</v>
      </c>
      <c r="BI472" s="48">
        <f t="shared" si="1526"/>
        <v>0</v>
      </c>
      <c r="BJ472" s="48">
        <f t="shared" si="1526"/>
        <v>0</v>
      </c>
      <c r="BK472" s="48">
        <f t="shared" si="1526"/>
        <v>0</v>
      </c>
      <c r="BL472" s="48">
        <f t="shared" si="1526"/>
        <v>0</v>
      </c>
      <c r="BM472" s="48">
        <f t="shared" si="1526"/>
        <v>0</v>
      </c>
      <c r="BN472" s="48">
        <f t="shared" si="1526"/>
        <v>0</v>
      </c>
      <c r="BO472" s="48">
        <f t="shared" si="1526"/>
        <v>0</v>
      </c>
      <c r="BP472" s="48">
        <f t="shared" si="1526"/>
        <v>0</v>
      </c>
      <c r="BQ472" s="48">
        <f t="shared" si="1526"/>
        <v>0</v>
      </c>
      <c r="BR472" s="36">
        <f t="shared" si="9"/>
        <v>0</v>
      </c>
      <c r="BS472" s="38">
        <f t="shared" si="10"/>
        <v>1</v>
      </c>
      <c r="BT472" s="49">
        <f t="shared" si="11"/>
        <v>0</v>
      </c>
      <c r="BU472" s="38">
        <f t="shared" si="12"/>
        <v>1000</v>
      </c>
      <c r="BV472" s="57" t="str">
        <f>IFERROR(__xludf.DUMMYFUNCTION("""COMPUTED_VALUE"""),"Lonergan")</f>
        <v>Lonergan</v>
      </c>
      <c r="BW472" s="46">
        <f t="shared" si="13"/>
        <v>100</v>
      </c>
      <c r="BX472" s="47">
        <f t="shared" ref="BX472:CA472" si="1527">AX472-$BU472</f>
        <v>-1000</v>
      </c>
      <c r="BY472" s="47">
        <f t="shared" si="1527"/>
        <v>-1000</v>
      </c>
      <c r="BZ472" s="47">
        <f t="shared" si="1527"/>
        <v>-1000</v>
      </c>
      <c r="CA472" s="47">
        <f t="shared" si="1527"/>
        <v>-1000</v>
      </c>
      <c r="CB472" s="47">
        <f t="shared" si="15"/>
        <v>-10000</v>
      </c>
      <c r="CC472" s="47">
        <f t="shared" ref="CC472:CQ472" si="1528">BC472-$BU472</f>
        <v>-900</v>
      </c>
      <c r="CD472" s="47">
        <f t="shared" si="1528"/>
        <v>-1000</v>
      </c>
      <c r="CE472" s="47">
        <f t="shared" si="1528"/>
        <v>-1000</v>
      </c>
      <c r="CF472" s="47">
        <f t="shared" si="1528"/>
        <v>-1000</v>
      </c>
      <c r="CG472" s="47">
        <f t="shared" si="1528"/>
        <v>-1000</v>
      </c>
      <c r="CH472" s="47">
        <f t="shared" si="1528"/>
        <v>-1000</v>
      </c>
      <c r="CI472" s="47">
        <f t="shared" si="1528"/>
        <v>-1000</v>
      </c>
      <c r="CJ472" s="47">
        <f t="shared" si="1528"/>
        <v>-1000</v>
      </c>
      <c r="CK472" s="47">
        <f t="shared" si="1528"/>
        <v>-1000</v>
      </c>
      <c r="CL472" s="47">
        <f t="shared" si="1528"/>
        <v>-1000</v>
      </c>
      <c r="CM472" s="47">
        <f t="shared" si="1528"/>
        <v>-1000</v>
      </c>
      <c r="CN472" s="47">
        <f t="shared" si="1528"/>
        <v>-1000</v>
      </c>
      <c r="CO472" s="47">
        <f t="shared" si="1528"/>
        <v>-1000</v>
      </c>
      <c r="CP472" s="47">
        <f t="shared" si="1528"/>
        <v>-1000</v>
      </c>
      <c r="CQ472" s="47">
        <f t="shared" si="1528"/>
        <v>-1000</v>
      </c>
      <c r="CR472" s="47"/>
      <c r="CS472" s="47"/>
      <c r="CT472" s="47"/>
      <c r="CU472" s="50" t="str">
        <f>IFERROR(__xludf.DUMMYFUNCTION("""COMPUTED_VALUE"""),"5701 Trail Meadow Dr.
Dallas, TX 75230         ")</f>
        <v>5701 Trail Meadow Dr.
Dallas, TX 75230         </v>
      </c>
      <c r="CV472" s="51">
        <f>IFERROR(__xludf.DUMMYFUNCTION("IF(REGEXMATCH(UPPER(CU472), ""TX""),0,1)"),0.0)</f>
        <v>0</v>
      </c>
      <c r="CW472" s="51">
        <f>IFERROR(__xludf.DUMMYFUNCTION("IF(REGEXMATCH(UPPER(CU472), ""DALLAS""),0,1)"),0.0)</f>
        <v>0</v>
      </c>
      <c r="CX472" s="51">
        <f t="shared" si="17"/>
        <v>0</v>
      </c>
      <c r="CY472" s="51">
        <f t="shared" si="18"/>
        <v>0</v>
      </c>
      <c r="CZ472" s="52" t="str">
        <f t="shared" si="19"/>
        <v/>
      </c>
      <c r="DA472" s="58"/>
      <c r="DB472" s="52"/>
      <c r="DC472" s="52"/>
      <c r="DD472" s="52"/>
      <c r="DE472" s="52"/>
      <c r="DF472" s="52"/>
      <c r="DG472" s="52"/>
      <c r="DH472" s="52"/>
      <c r="DI472" s="52"/>
      <c r="DJ472" s="52"/>
      <c r="DK472" s="52"/>
      <c r="DL472" s="52"/>
      <c r="DM472" s="52"/>
      <c r="DN472" s="52"/>
      <c r="DO472" s="52"/>
      <c r="DP472" s="52"/>
      <c r="DQ472" s="52"/>
      <c r="DR472" s="52"/>
      <c r="DS472" s="52"/>
      <c r="DT472" s="52"/>
      <c r="DU472" s="52"/>
      <c r="DV472" s="52"/>
      <c r="DW472" s="52"/>
    </row>
    <row r="473">
      <c r="A473" s="40" t="s">
        <v>55</v>
      </c>
      <c r="B473" s="41" t="s">
        <v>56</v>
      </c>
      <c r="C473" s="31" t="s">
        <v>1301</v>
      </c>
      <c r="D473" s="25" t="str">
        <f>IFERROR(__xludf.DUMMYFUNCTION("SPLIT(C473,"" "")"),"Jouvenat,")</f>
        <v>Jouvenat,</v>
      </c>
      <c r="E473" s="40" t="str">
        <f>IFERROR(__xludf.DUMMYFUNCTION("""COMPUTED_VALUE"""),"James
3902")</f>
        <v>James
3902</v>
      </c>
      <c r="F473" s="40" t="str">
        <f>IFERROR(__xludf.DUMMYFUNCTION("""COMPUTED_VALUE"""),"Fairlakes")</f>
        <v>Fairlakes</v>
      </c>
      <c r="G473" s="40" t="str">
        <f>IFERROR(__xludf.DUMMYFUNCTION("""COMPUTED_VALUE"""),"Dr
Dallas,")</f>
        <v>Dr
Dallas,</v>
      </c>
      <c r="H473" s="40" t="str">
        <f>IFERROR(__xludf.DUMMYFUNCTION("""COMPUTED_VALUE"""),"TX")</f>
        <v>TX</v>
      </c>
      <c r="I473" s="40">
        <f>IFERROR(__xludf.DUMMYFUNCTION("""COMPUTED_VALUE"""),75228.0)</f>
        <v>75228</v>
      </c>
      <c r="J473" s="40"/>
      <c r="K473" s="40"/>
      <c r="L473" s="40"/>
      <c r="M473" s="40"/>
      <c r="N473" s="40"/>
      <c r="O473" s="40"/>
      <c r="P473" s="40"/>
      <c r="Q473" s="40"/>
      <c r="R473" s="40"/>
      <c r="S473" s="40"/>
      <c r="T473" s="40"/>
      <c r="U473" s="24" t="str">
        <f>IFERROR(__xludf.DUMMYFUNCTION("SPLIT(E473,""01234567890"")"),"James
")</f>
        <v>James
</v>
      </c>
      <c r="V473" s="24" t="str">
        <f>IFERROR(__xludf.DUMMYFUNCTION("SPLIT(D473,"","")"),"Jouvenat")</f>
        <v>Jouvenat</v>
      </c>
      <c r="W473" s="25" t="str">
        <f t="shared" si="1"/>
        <v>JAMES
 JOUVENAT</v>
      </c>
      <c r="X473" s="25" t="s">
        <v>1302</v>
      </c>
      <c r="Y473" s="25">
        <v>75228.0</v>
      </c>
      <c r="Z473" s="25" t="str">
        <f>IFERROR(__xludf.DUMMYFUNCTION("SPLIT(C473,""
"")"),"Jouvenat, James")</f>
        <v>Jouvenat, James</v>
      </c>
      <c r="AA473" s="25" t="str">
        <f>IFERROR(__xludf.DUMMYFUNCTION("""COMPUTED_VALUE"""),"3902 Fairlakes Dr")</f>
        <v>3902 Fairlakes Dr</v>
      </c>
      <c r="AB473" s="25" t="str">
        <f>IFERROR(__xludf.DUMMYFUNCTION("""COMPUTED_VALUE"""),"Dallas, TX 75228")</f>
        <v>Dallas, TX 75228</v>
      </c>
      <c r="AC473" s="24" t="s">
        <v>1303</v>
      </c>
      <c r="AD473" s="25"/>
      <c r="AE473" s="25"/>
      <c r="AF473" s="25"/>
      <c r="AG473" s="40" t="s">
        <v>60</v>
      </c>
      <c r="AH473" s="42">
        <v>2448.0</v>
      </c>
      <c r="AI473" s="40" t="s">
        <v>61</v>
      </c>
      <c r="AJ473" s="27">
        <v>250.0</v>
      </c>
      <c r="AK473" s="31" t="s">
        <v>24</v>
      </c>
      <c r="AL473" s="43">
        <v>44579.0</v>
      </c>
      <c r="AM473" s="44">
        <v>44757.44018518519</v>
      </c>
      <c r="AN473" s="30">
        <v>2.0</v>
      </c>
      <c r="AO473" s="40"/>
      <c r="AP473" s="40"/>
      <c r="AQ473" s="40"/>
      <c r="AR473" s="40"/>
      <c r="AS473" s="40"/>
      <c r="AT473" s="47"/>
      <c r="AU473" s="40"/>
      <c r="AV473" s="46" t="str">
        <f>IFERROR(__xludf.DUMMYFUNCTION("""COMPUTED_VALUE"""),"Griffith")</f>
        <v>Griffith</v>
      </c>
      <c r="AW473" s="46">
        <f t="shared" si="7"/>
        <v>200</v>
      </c>
      <c r="AX473" s="47">
        <f t="shared" ref="AX473:BQ473" si="1529">SUMIFS($AJ:$AJ,$V:$V,$AV473,$AK:$AK,AX$2)</f>
        <v>0</v>
      </c>
      <c r="AY473" s="48">
        <f t="shared" si="1529"/>
        <v>0</v>
      </c>
      <c r="AZ473" s="48">
        <f t="shared" si="1529"/>
        <v>0</v>
      </c>
      <c r="BA473" s="48">
        <f t="shared" si="1529"/>
        <v>0</v>
      </c>
      <c r="BB473" s="48">
        <f t="shared" si="1529"/>
        <v>100</v>
      </c>
      <c r="BC473" s="48">
        <f t="shared" si="1529"/>
        <v>100</v>
      </c>
      <c r="BD473" s="48">
        <f t="shared" si="1529"/>
        <v>0</v>
      </c>
      <c r="BE473" s="48">
        <f t="shared" si="1529"/>
        <v>0</v>
      </c>
      <c r="BF473" s="48">
        <f t="shared" si="1529"/>
        <v>0</v>
      </c>
      <c r="BG473" s="48">
        <f t="shared" si="1529"/>
        <v>0</v>
      </c>
      <c r="BH473" s="48">
        <f t="shared" si="1529"/>
        <v>0</v>
      </c>
      <c r="BI473" s="48">
        <f t="shared" si="1529"/>
        <v>0</v>
      </c>
      <c r="BJ473" s="48">
        <f t="shared" si="1529"/>
        <v>0</v>
      </c>
      <c r="BK473" s="48">
        <f t="shared" si="1529"/>
        <v>0</v>
      </c>
      <c r="BL473" s="48">
        <f t="shared" si="1529"/>
        <v>0</v>
      </c>
      <c r="BM473" s="48">
        <f t="shared" si="1529"/>
        <v>0</v>
      </c>
      <c r="BN473" s="48">
        <f t="shared" si="1529"/>
        <v>0</v>
      </c>
      <c r="BO473" s="48">
        <f t="shared" si="1529"/>
        <v>0</v>
      </c>
      <c r="BP473" s="48">
        <f t="shared" si="1529"/>
        <v>0</v>
      </c>
      <c r="BQ473" s="48">
        <f t="shared" si="1529"/>
        <v>0</v>
      </c>
      <c r="BR473" s="36">
        <f t="shared" si="9"/>
        <v>0</v>
      </c>
      <c r="BS473" s="38">
        <f t="shared" si="10"/>
        <v>1</v>
      </c>
      <c r="BT473" s="49">
        <f t="shared" si="11"/>
        <v>0</v>
      </c>
      <c r="BU473" s="38">
        <f t="shared" si="12"/>
        <v>1000</v>
      </c>
      <c r="BV473" s="46" t="str">
        <f>IFERROR(__xludf.DUMMYFUNCTION("""COMPUTED_VALUE"""),"Griffith")</f>
        <v>Griffith</v>
      </c>
      <c r="BW473" s="46">
        <f t="shared" si="13"/>
        <v>200</v>
      </c>
      <c r="BX473" s="47">
        <f t="shared" ref="BX473:CA473" si="1530">AX473-$BU473</f>
        <v>-1000</v>
      </c>
      <c r="BY473" s="47">
        <f t="shared" si="1530"/>
        <v>-1000</v>
      </c>
      <c r="BZ473" s="47">
        <f t="shared" si="1530"/>
        <v>-1000</v>
      </c>
      <c r="CA473" s="47">
        <f t="shared" si="1530"/>
        <v>-1000</v>
      </c>
      <c r="CB473" s="47">
        <f t="shared" si="15"/>
        <v>-9900</v>
      </c>
      <c r="CC473" s="47">
        <f t="shared" ref="CC473:CQ473" si="1531">BC473-$BU473</f>
        <v>-900</v>
      </c>
      <c r="CD473" s="47">
        <f t="shared" si="1531"/>
        <v>-1000</v>
      </c>
      <c r="CE473" s="47">
        <f t="shared" si="1531"/>
        <v>-1000</v>
      </c>
      <c r="CF473" s="47">
        <f t="shared" si="1531"/>
        <v>-1000</v>
      </c>
      <c r="CG473" s="47">
        <f t="shared" si="1531"/>
        <v>-1000</v>
      </c>
      <c r="CH473" s="47">
        <f t="shared" si="1531"/>
        <v>-1000</v>
      </c>
      <c r="CI473" s="47">
        <f t="shared" si="1531"/>
        <v>-1000</v>
      </c>
      <c r="CJ473" s="47">
        <f t="shared" si="1531"/>
        <v>-1000</v>
      </c>
      <c r="CK473" s="47">
        <f t="shared" si="1531"/>
        <v>-1000</v>
      </c>
      <c r="CL473" s="47">
        <f t="shared" si="1531"/>
        <v>-1000</v>
      </c>
      <c r="CM473" s="47">
        <f t="shared" si="1531"/>
        <v>-1000</v>
      </c>
      <c r="CN473" s="47">
        <f t="shared" si="1531"/>
        <v>-1000</v>
      </c>
      <c r="CO473" s="47">
        <f t="shared" si="1531"/>
        <v>-1000</v>
      </c>
      <c r="CP473" s="47">
        <f t="shared" si="1531"/>
        <v>-1000</v>
      </c>
      <c r="CQ473" s="47">
        <f t="shared" si="1531"/>
        <v>-1000</v>
      </c>
      <c r="CR473" s="47"/>
      <c r="CS473" s="47"/>
      <c r="CT473" s="47"/>
      <c r="CU473" s="50" t="str">
        <f>IFERROR(__xludf.DUMMYFUNCTION("""COMPUTED_VALUE"""),"6711 Dalhart
Dallas, TX 75214           ")</f>
        <v>6711 Dalhart
Dallas, TX 75214           </v>
      </c>
      <c r="CV473" s="51">
        <f>IFERROR(__xludf.DUMMYFUNCTION("IF(REGEXMATCH(UPPER(CU473), ""TX""),0,1)"),0.0)</f>
        <v>0</v>
      </c>
      <c r="CW473" s="51">
        <f>IFERROR(__xludf.DUMMYFUNCTION("IF(REGEXMATCH(UPPER(CU473), ""DALLAS""),0,1)"),0.0)</f>
        <v>0</v>
      </c>
      <c r="CX473" s="51">
        <f t="shared" si="17"/>
        <v>0</v>
      </c>
      <c r="CY473" s="51">
        <f t="shared" si="18"/>
        <v>0</v>
      </c>
      <c r="CZ473" s="52" t="str">
        <f t="shared" si="19"/>
        <v/>
      </c>
      <c r="DA473" s="58"/>
      <c r="DB473" s="52"/>
      <c r="DC473" s="52"/>
      <c r="DD473" s="52"/>
      <c r="DE473" s="52"/>
      <c r="DF473" s="52"/>
      <c r="DG473" s="52"/>
      <c r="DH473" s="52"/>
      <c r="DI473" s="52"/>
      <c r="DJ473" s="52"/>
      <c r="DK473" s="52"/>
      <c r="DL473" s="52"/>
      <c r="DM473" s="52"/>
      <c r="DN473" s="52"/>
      <c r="DO473" s="52"/>
      <c r="DP473" s="52"/>
      <c r="DQ473" s="52"/>
      <c r="DR473" s="52"/>
      <c r="DS473" s="52"/>
      <c r="DT473" s="52"/>
      <c r="DU473" s="52"/>
      <c r="DV473" s="52"/>
      <c r="DW473" s="52"/>
    </row>
    <row r="474">
      <c r="A474" s="22" t="s">
        <v>55</v>
      </c>
      <c r="B474" s="23" t="s">
        <v>56</v>
      </c>
      <c r="C474" s="31" t="s">
        <v>1304</v>
      </c>
      <c r="D474" s="25" t="str">
        <f>IFERROR(__xludf.DUMMYFUNCTION("SPLIT(C474,"" "")"),"Gatlin,")</f>
        <v>Gatlin,</v>
      </c>
      <c r="E474" s="22" t="str">
        <f>IFERROR(__xludf.DUMMYFUNCTION("""COMPUTED_VALUE"""),"Paige
PO")</f>
        <v>Paige
PO</v>
      </c>
      <c r="F474" s="22" t="str">
        <f>IFERROR(__xludf.DUMMYFUNCTION("""COMPUTED_VALUE"""),"Box")</f>
        <v>Box</v>
      </c>
      <c r="G474" s="22" t="str">
        <f>IFERROR(__xludf.DUMMYFUNCTION("""COMPUTED_VALUE"""),"670865
Dallas,")</f>
        <v>670865
Dallas,</v>
      </c>
      <c r="H474" s="22" t="str">
        <f>IFERROR(__xludf.DUMMYFUNCTION("""COMPUTED_VALUE"""),"TX")</f>
        <v>TX</v>
      </c>
      <c r="I474" s="22">
        <f>IFERROR(__xludf.DUMMYFUNCTION("""COMPUTED_VALUE"""),75367.0)</f>
        <v>75367</v>
      </c>
      <c r="J474" s="22"/>
      <c r="K474" s="22"/>
      <c r="L474" s="22"/>
      <c r="M474" s="22"/>
      <c r="N474" s="22"/>
      <c r="O474" s="22"/>
      <c r="P474" s="22"/>
      <c r="Q474" s="22"/>
      <c r="R474" s="22"/>
      <c r="S474" s="22"/>
      <c r="T474" s="22"/>
      <c r="U474" s="24" t="str">
        <f>IFERROR(__xludf.DUMMYFUNCTION("SPLIT(E474,""01234567890"")"),"Paige
PO")</f>
        <v>Paige
PO</v>
      </c>
      <c r="V474" s="24" t="str">
        <f>IFERROR(__xludf.DUMMYFUNCTION("SPLIT(D474,"","")"),"Gatlin")</f>
        <v>Gatlin</v>
      </c>
      <c r="W474" s="25" t="str">
        <f t="shared" si="1"/>
        <v>PAIGE
PO GATLIN</v>
      </c>
      <c r="X474" s="25" t="s">
        <v>1305</v>
      </c>
      <c r="Y474" s="25">
        <v>75367.0</v>
      </c>
      <c r="Z474" s="25" t="str">
        <f>IFERROR(__xludf.DUMMYFUNCTION("SPLIT(C474,""
"")"),"Gatlin, Paige")</f>
        <v>Gatlin, Paige</v>
      </c>
      <c r="AA474" s="25" t="str">
        <f>IFERROR(__xludf.DUMMYFUNCTION("""COMPUTED_VALUE"""),"PO Box 670865")</f>
        <v>PO Box 670865</v>
      </c>
      <c r="AB474" s="25" t="str">
        <f>IFERROR(__xludf.DUMMYFUNCTION("""COMPUTED_VALUE"""),"Dallas, TX 75367")</f>
        <v>Dallas, TX 75367</v>
      </c>
      <c r="AC474" s="24" t="s">
        <v>1306</v>
      </c>
      <c r="AD474" s="25"/>
      <c r="AE474" s="25"/>
      <c r="AF474" s="25"/>
      <c r="AG474" s="22" t="s">
        <v>60</v>
      </c>
      <c r="AH474" s="54">
        <v>2448.0</v>
      </c>
      <c r="AI474" s="22" t="s">
        <v>61</v>
      </c>
      <c r="AJ474" s="27">
        <v>1000.0</v>
      </c>
      <c r="AK474" s="31" t="s">
        <v>24</v>
      </c>
      <c r="AL474" s="28">
        <v>44620.0</v>
      </c>
      <c r="AM474" s="29">
        <v>44757.44018518519</v>
      </c>
      <c r="AN474" s="30">
        <v>2.0</v>
      </c>
      <c r="AO474" s="22"/>
      <c r="AP474" s="22"/>
      <c r="AQ474" s="22"/>
      <c r="AR474" s="22"/>
      <c r="AS474" s="22"/>
      <c r="AT474" s="70"/>
      <c r="AU474" s="22"/>
      <c r="AV474" s="57" t="str">
        <f>IFERROR(__xludf.DUMMYFUNCTION("""COMPUTED_VALUE"""),"Morgan")</f>
        <v>Morgan</v>
      </c>
      <c r="AW474" s="46">
        <f t="shared" si="7"/>
        <v>700</v>
      </c>
      <c r="AX474" s="47">
        <f t="shared" ref="AX474:BQ474" si="1532">SUMIFS($AJ:$AJ,$V:$V,$AV474,$AK:$AK,AX$2)</f>
        <v>0</v>
      </c>
      <c r="AY474" s="48">
        <f t="shared" si="1532"/>
        <v>0</v>
      </c>
      <c r="AZ474" s="48">
        <f t="shared" si="1532"/>
        <v>0</v>
      </c>
      <c r="BA474" s="48">
        <f t="shared" si="1532"/>
        <v>0</v>
      </c>
      <c r="BB474" s="48">
        <f t="shared" si="1532"/>
        <v>0</v>
      </c>
      <c r="BC474" s="48">
        <f t="shared" si="1532"/>
        <v>700</v>
      </c>
      <c r="BD474" s="48">
        <f t="shared" si="1532"/>
        <v>0</v>
      </c>
      <c r="BE474" s="48">
        <f t="shared" si="1532"/>
        <v>0</v>
      </c>
      <c r="BF474" s="48">
        <f t="shared" si="1532"/>
        <v>0</v>
      </c>
      <c r="BG474" s="48">
        <f t="shared" si="1532"/>
        <v>0</v>
      </c>
      <c r="BH474" s="48">
        <f t="shared" si="1532"/>
        <v>0</v>
      </c>
      <c r="BI474" s="48">
        <f t="shared" si="1532"/>
        <v>0</v>
      </c>
      <c r="BJ474" s="48">
        <f t="shared" si="1532"/>
        <v>0</v>
      </c>
      <c r="BK474" s="48">
        <f t="shared" si="1532"/>
        <v>0</v>
      </c>
      <c r="BL474" s="48">
        <f t="shared" si="1532"/>
        <v>0</v>
      </c>
      <c r="BM474" s="48">
        <f t="shared" si="1532"/>
        <v>0</v>
      </c>
      <c r="BN474" s="48">
        <f t="shared" si="1532"/>
        <v>0</v>
      </c>
      <c r="BO474" s="48">
        <f t="shared" si="1532"/>
        <v>0</v>
      </c>
      <c r="BP474" s="48">
        <f t="shared" si="1532"/>
        <v>0</v>
      </c>
      <c r="BQ474" s="48">
        <f t="shared" si="1532"/>
        <v>0</v>
      </c>
      <c r="BR474" s="36">
        <f t="shared" si="9"/>
        <v>1</v>
      </c>
      <c r="BS474" s="38">
        <f t="shared" si="10"/>
        <v>2</v>
      </c>
      <c r="BT474" s="49">
        <f t="shared" si="11"/>
        <v>0</v>
      </c>
      <c r="BU474" s="38">
        <f t="shared" si="12"/>
        <v>2000</v>
      </c>
      <c r="BV474" s="57" t="str">
        <f>IFERROR(__xludf.DUMMYFUNCTION("""COMPUTED_VALUE"""),"Morgan")</f>
        <v>Morgan</v>
      </c>
      <c r="BW474" s="46">
        <f t="shared" si="13"/>
        <v>700</v>
      </c>
      <c r="BX474" s="47">
        <f t="shared" ref="BX474:CA474" si="1533">AX474-$BU474</f>
        <v>-2000</v>
      </c>
      <c r="BY474" s="47">
        <f t="shared" si="1533"/>
        <v>-2000</v>
      </c>
      <c r="BZ474" s="47">
        <f t="shared" si="1533"/>
        <v>-2000</v>
      </c>
      <c r="CA474" s="47">
        <f t="shared" si="1533"/>
        <v>-2000</v>
      </c>
      <c r="CB474" s="47">
        <f t="shared" si="15"/>
        <v>-20000</v>
      </c>
      <c r="CC474" s="47">
        <f t="shared" ref="CC474:CQ474" si="1534">BC474-$BU474</f>
        <v>-1300</v>
      </c>
      <c r="CD474" s="47">
        <f t="shared" si="1534"/>
        <v>-2000</v>
      </c>
      <c r="CE474" s="47">
        <f t="shared" si="1534"/>
        <v>-2000</v>
      </c>
      <c r="CF474" s="47">
        <f t="shared" si="1534"/>
        <v>-2000</v>
      </c>
      <c r="CG474" s="47">
        <f t="shared" si="1534"/>
        <v>-2000</v>
      </c>
      <c r="CH474" s="47">
        <f t="shared" si="1534"/>
        <v>-2000</v>
      </c>
      <c r="CI474" s="47">
        <f t="shared" si="1534"/>
        <v>-2000</v>
      </c>
      <c r="CJ474" s="47">
        <f t="shared" si="1534"/>
        <v>-2000</v>
      </c>
      <c r="CK474" s="47">
        <f t="shared" si="1534"/>
        <v>-2000</v>
      </c>
      <c r="CL474" s="47">
        <f t="shared" si="1534"/>
        <v>-2000</v>
      </c>
      <c r="CM474" s="47">
        <f t="shared" si="1534"/>
        <v>-2000</v>
      </c>
      <c r="CN474" s="47">
        <f t="shared" si="1534"/>
        <v>-2000</v>
      </c>
      <c r="CO474" s="47">
        <f t="shared" si="1534"/>
        <v>-2000</v>
      </c>
      <c r="CP474" s="47">
        <f t="shared" si="1534"/>
        <v>-2000</v>
      </c>
      <c r="CQ474" s="47">
        <f t="shared" si="1534"/>
        <v>-2000</v>
      </c>
      <c r="CR474" s="47"/>
      <c r="CS474" s="47"/>
      <c r="CT474" s="47"/>
      <c r="CU474" s="50" t="str">
        <f>IFERROR(__xludf.DUMMYFUNCTION("""COMPUTED_VALUE"""),"6729 Santa Maria Ln
Dallas, TX 75214         ")</f>
        <v>6729 Santa Maria Ln
Dallas, TX 75214         </v>
      </c>
      <c r="CV474" s="51">
        <f>IFERROR(__xludf.DUMMYFUNCTION("IF(REGEXMATCH(UPPER(CU474), ""TX""),0,1)"),0.0)</f>
        <v>0</v>
      </c>
      <c r="CW474" s="51">
        <f>IFERROR(__xludf.DUMMYFUNCTION("IF(REGEXMATCH(UPPER(CU474), ""DALLAS""),0,1)"),0.0)</f>
        <v>0</v>
      </c>
      <c r="CX474" s="51">
        <f t="shared" si="17"/>
        <v>0</v>
      </c>
      <c r="CY474" s="51">
        <f t="shared" si="18"/>
        <v>0</v>
      </c>
      <c r="CZ474" s="52" t="str">
        <f t="shared" si="19"/>
        <v/>
      </c>
      <c r="DA474" s="58"/>
      <c r="DB474" s="52"/>
      <c r="DC474" s="52"/>
      <c r="DD474" s="52"/>
      <c r="DE474" s="52"/>
      <c r="DF474" s="52"/>
      <c r="DG474" s="52"/>
      <c r="DH474" s="52"/>
      <c r="DI474" s="52"/>
      <c r="DJ474" s="52"/>
      <c r="DK474" s="52"/>
      <c r="DL474" s="52"/>
      <c r="DM474" s="52"/>
      <c r="DN474" s="52"/>
      <c r="DO474" s="52"/>
      <c r="DP474" s="52"/>
      <c r="DQ474" s="52"/>
      <c r="DR474" s="52"/>
      <c r="DS474" s="52"/>
      <c r="DT474" s="52"/>
      <c r="DU474" s="52"/>
      <c r="DV474" s="52"/>
      <c r="DW474" s="52"/>
    </row>
    <row r="475">
      <c r="A475" s="40" t="s">
        <v>55</v>
      </c>
      <c r="B475" s="41" t="s">
        <v>56</v>
      </c>
      <c r="C475" s="31" t="s">
        <v>1307</v>
      </c>
      <c r="D475" s="25" t="str">
        <f>IFERROR(__xludf.DUMMYFUNCTION("SPLIT(C475,"" "")"),"Schenkel,")</f>
        <v>Schenkel,</v>
      </c>
      <c r="E475" s="40" t="str">
        <f>IFERROR(__xludf.DUMMYFUNCTION("""COMPUTED_VALUE"""),"Pete
614")</f>
        <v>Pete
614</v>
      </c>
      <c r="F475" s="40" t="str">
        <f>IFERROR(__xludf.DUMMYFUNCTION("""COMPUTED_VALUE"""),"Bishop
Dallas,")</f>
        <v>Bishop
Dallas,</v>
      </c>
      <c r="G475" s="40" t="str">
        <f>IFERROR(__xludf.DUMMYFUNCTION("""COMPUTED_VALUE"""),"TX")</f>
        <v>TX</v>
      </c>
      <c r="H475" s="40">
        <f>IFERROR(__xludf.DUMMYFUNCTION("""COMPUTED_VALUE"""),75208.0)</f>
        <v>75208</v>
      </c>
      <c r="I475" s="40"/>
      <c r="J475" s="40"/>
      <c r="K475" s="40"/>
      <c r="L475" s="40"/>
      <c r="M475" s="40"/>
      <c r="N475" s="40"/>
      <c r="O475" s="40"/>
      <c r="P475" s="40"/>
      <c r="Q475" s="40"/>
      <c r="R475" s="40"/>
      <c r="S475" s="40"/>
      <c r="T475" s="40"/>
      <c r="U475" s="24" t="str">
        <f>IFERROR(__xludf.DUMMYFUNCTION("SPLIT(E475,""01234567890"")"),"Pete
")</f>
        <v>Pete
</v>
      </c>
      <c r="V475" s="24" t="str">
        <f>IFERROR(__xludf.DUMMYFUNCTION("SPLIT(D475,"","")"),"Schenkel")</f>
        <v>Schenkel</v>
      </c>
      <c r="W475" s="25" t="str">
        <f t="shared" si="1"/>
        <v>PETE
 SCHENKEL</v>
      </c>
      <c r="X475" s="25" t="s">
        <v>1308</v>
      </c>
      <c r="Y475" s="25">
        <v>75208.0</v>
      </c>
      <c r="Z475" s="25" t="str">
        <f>IFERROR(__xludf.DUMMYFUNCTION("SPLIT(C475,""
"")"),"Schenkel, Pete")</f>
        <v>Schenkel, Pete</v>
      </c>
      <c r="AA475" s="25" t="str">
        <f>IFERROR(__xludf.DUMMYFUNCTION("""COMPUTED_VALUE"""),"614 Bishop")</f>
        <v>614 Bishop</v>
      </c>
      <c r="AB475" s="25" t="str">
        <f>IFERROR(__xludf.DUMMYFUNCTION("""COMPUTED_VALUE"""),"Dallas, TX 75208")</f>
        <v>Dallas, TX 75208</v>
      </c>
      <c r="AC475" s="24" t="s">
        <v>1309</v>
      </c>
      <c r="AD475" s="25"/>
      <c r="AE475" s="25"/>
      <c r="AF475" s="25"/>
      <c r="AG475" s="40" t="s">
        <v>60</v>
      </c>
      <c r="AH475" s="42">
        <v>2448.0</v>
      </c>
      <c r="AI475" s="40" t="s">
        <v>61</v>
      </c>
      <c r="AJ475" s="27">
        <v>1000.0</v>
      </c>
      <c r="AK475" s="31" t="s">
        <v>24</v>
      </c>
      <c r="AL475" s="43">
        <v>44666.0</v>
      </c>
      <c r="AM475" s="44">
        <v>44757.44018518519</v>
      </c>
      <c r="AN475" s="30">
        <v>2.0</v>
      </c>
      <c r="AO475" s="40"/>
      <c r="AP475" s="40"/>
      <c r="AQ475" s="40"/>
      <c r="AR475" s="40"/>
      <c r="AS475" s="40"/>
      <c r="AT475" s="47"/>
      <c r="AU475" s="40"/>
      <c r="AV475" s="46" t="str">
        <f>IFERROR(__xludf.DUMMYFUNCTION("""COMPUTED_VALUE"""),"McIlwain")</f>
        <v>McIlwain</v>
      </c>
      <c r="AW475" s="46">
        <f t="shared" si="7"/>
        <v>100</v>
      </c>
      <c r="AX475" s="47">
        <f t="shared" ref="AX475:BQ475" si="1535">SUMIFS($AJ:$AJ,$V:$V,$AV475,$AK:$AK,AX$2)</f>
        <v>0</v>
      </c>
      <c r="AY475" s="48">
        <f t="shared" si="1535"/>
        <v>0</v>
      </c>
      <c r="AZ475" s="48">
        <f t="shared" si="1535"/>
        <v>0</v>
      </c>
      <c r="BA475" s="48">
        <f t="shared" si="1535"/>
        <v>0</v>
      </c>
      <c r="BB475" s="48">
        <f t="shared" si="1535"/>
        <v>0</v>
      </c>
      <c r="BC475" s="48">
        <f t="shared" si="1535"/>
        <v>100</v>
      </c>
      <c r="BD475" s="48">
        <f t="shared" si="1535"/>
        <v>0</v>
      </c>
      <c r="BE475" s="48">
        <f t="shared" si="1535"/>
        <v>0</v>
      </c>
      <c r="BF475" s="48">
        <f t="shared" si="1535"/>
        <v>0</v>
      </c>
      <c r="BG475" s="48">
        <f t="shared" si="1535"/>
        <v>0</v>
      </c>
      <c r="BH475" s="48">
        <f t="shared" si="1535"/>
        <v>0</v>
      </c>
      <c r="BI475" s="48">
        <f t="shared" si="1535"/>
        <v>0</v>
      </c>
      <c r="BJ475" s="48">
        <f t="shared" si="1535"/>
        <v>0</v>
      </c>
      <c r="BK475" s="48">
        <f t="shared" si="1535"/>
        <v>0</v>
      </c>
      <c r="BL475" s="48">
        <f t="shared" si="1535"/>
        <v>0</v>
      </c>
      <c r="BM475" s="48">
        <f t="shared" si="1535"/>
        <v>0</v>
      </c>
      <c r="BN475" s="48">
        <f t="shared" si="1535"/>
        <v>0</v>
      </c>
      <c r="BO475" s="48">
        <f t="shared" si="1535"/>
        <v>0</v>
      </c>
      <c r="BP475" s="48">
        <f t="shared" si="1535"/>
        <v>0</v>
      </c>
      <c r="BQ475" s="48">
        <f t="shared" si="1535"/>
        <v>0</v>
      </c>
      <c r="BR475" s="36">
        <f t="shared" si="9"/>
        <v>1</v>
      </c>
      <c r="BS475" s="38">
        <f t="shared" si="10"/>
        <v>2</v>
      </c>
      <c r="BT475" s="49">
        <f t="shared" si="11"/>
        <v>0</v>
      </c>
      <c r="BU475" s="38">
        <f t="shared" si="12"/>
        <v>2000</v>
      </c>
      <c r="BV475" s="46" t="str">
        <f>IFERROR(__xludf.DUMMYFUNCTION("""COMPUTED_VALUE"""),"McIlwain")</f>
        <v>McIlwain</v>
      </c>
      <c r="BW475" s="46">
        <f t="shared" si="13"/>
        <v>100</v>
      </c>
      <c r="BX475" s="47">
        <f t="shared" ref="BX475:CA475" si="1536">AX475-$BU475</f>
        <v>-2000</v>
      </c>
      <c r="BY475" s="47">
        <f t="shared" si="1536"/>
        <v>-2000</v>
      </c>
      <c r="BZ475" s="47">
        <f t="shared" si="1536"/>
        <v>-2000</v>
      </c>
      <c r="CA475" s="47">
        <f t="shared" si="1536"/>
        <v>-2000</v>
      </c>
      <c r="CB475" s="47">
        <f t="shared" si="15"/>
        <v>-20000</v>
      </c>
      <c r="CC475" s="47">
        <f t="shared" ref="CC475:CQ475" si="1537">BC475-$BU475</f>
        <v>-1900</v>
      </c>
      <c r="CD475" s="47">
        <f t="shared" si="1537"/>
        <v>-2000</v>
      </c>
      <c r="CE475" s="47">
        <f t="shared" si="1537"/>
        <v>-2000</v>
      </c>
      <c r="CF475" s="47">
        <f t="shared" si="1537"/>
        <v>-2000</v>
      </c>
      <c r="CG475" s="47">
        <f t="shared" si="1537"/>
        <v>-2000</v>
      </c>
      <c r="CH475" s="47">
        <f t="shared" si="1537"/>
        <v>-2000</v>
      </c>
      <c r="CI475" s="47">
        <f t="shared" si="1537"/>
        <v>-2000</v>
      </c>
      <c r="CJ475" s="47">
        <f t="shared" si="1537"/>
        <v>-2000</v>
      </c>
      <c r="CK475" s="47">
        <f t="shared" si="1537"/>
        <v>-2000</v>
      </c>
      <c r="CL475" s="47">
        <f t="shared" si="1537"/>
        <v>-2000</v>
      </c>
      <c r="CM475" s="47">
        <f t="shared" si="1537"/>
        <v>-2000</v>
      </c>
      <c r="CN475" s="47">
        <f t="shared" si="1537"/>
        <v>-2000</v>
      </c>
      <c r="CO475" s="47">
        <f t="shared" si="1537"/>
        <v>-2000</v>
      </c>
      <c r="CP475" s="47">
        <f t="shared" si="1537"/>
        <v>-2000</v>
      </c>
      <c r="CQ475" s="47">
        <f t="shared" si="1537"/>
        <v>-2000</v>
      </c>
      <c r="CR475" s="47"/>
      <c r="CS475" s="47"/>
      <c r="CT475" s="47"/>
      <c r="CU475" s="50" t="str">
        <f>IFERROR(__xludf.DUMMYFUNCTION("""COMPUTED_VALUE"""),"1001 Belleview
Dallas, TX 75210           ")</f>
        <v>1001 Belleview
Dallas, TX 75210           </v>
      </c>
      <c r="CV475" s="51">
        <f>IFERROR(__xludf.DUMMYFUNCTION("IF(REGEXMATCH(UPPER(CU475), ""TX""),0,1)"),0.0)</f>
        <v>0</v>
      </c>
      <c r="CW475" s="51">
        <f>IFERROR(__xludf.DUMMYFUNCTION("IF(REGEXMATCH(UPPER(CU475), ""DALLAS""),0,1)"),0.0)</f>
        <v>0</v>
      </c>
      <c r="CX475" s="51">
        <f t="shared" si="17"/>
        <v>0</v>
      </c>
      <c r="CY475" s="51">
        <f t="shared" si="18"/>
        <v>0</v>
      </c>
      <c r="CZ475" s="52" t="str">
        <f t="shared" si="19"/>
        <v/>
      </c>
      <c r="DA475" s="58"/>
      <c r="DB475" s="52"/>
      <c r="DC475" s="52"/>
      <c r="DD475" s="52"/>
      <c r="DE475" s="52"/>
      <c r="DF475" s="52"/>
      <c r="DG475" s="52"/>
      <c r="DH475" s="52"/>
      <c r="DI475" s="52"/>
      <c r="DJ475" s="52"/>
      <c r="DK475" s="52"/>
      <c r="DL475" s="52"/>
      <c r="DM475" s="52"/>
      <c r="DN475" s="52"/>
      <c r="DO475" s="52"/>
      <c r="DP475" s="52"/>
      <c r="DQ475" s="52"/>
      <c r="DR475" s="52"/>
      <c r="DS475" s="52"/>
      <c r="DT475" s="52"/>
      <c r="DU475" s="52"/>
      <c r="DV475" s="52"/>
      <c r="DW475" s="52"/>
    </row>
    <row r="476">
      <c r="A476" s="22" t="s">
        <v>55</v>
      </c>
      <c r="B476" s="23" t="s">
        <v>56</v>
      </c>
      <c r="C476" s="31" t="s">
        <v>1310</v>
      </c>
      <c r="D476" s="25" t="str">
        <f>IFERROR(__xludf.DUMMYFUNCTION("SPLIT(C476,"" "")"),"Martin,")</f>
        <v>Martin,</v>
      </c>
      <c r="E476" s="22" t="str">
        <f>IFERROR(__xludf.DUMMYFUNCTION("""COMPUTED_VALUE"""),"VJ
8230")</f>
        <v>VJ
8230</v>
      </c>
      <c r="F476" s="22" t="str">
        <f>IFERROR(__xludf.DUMMYFUNCTION("""COMPUTED_VALUE"""),"Claremont")</f>
        <v>Claremont</v>
      </c>
      <c r="G476" s="22" t="str">
        <f>IFERROR(__xludf.DUMMYFUNCTION("""COMPUTED_VALUE"""),"Drive
Dallas,")</f>
        <v>Drive
Dallas,</v>
      </c>
      <c r="H476" s="22" t="str">
        <f>IFERROR(__xludf.DUMMYFUNCTION("""COMPUTED_VALUE"""),"TX")</f>
        <v>TX</v>
      </c>
      <c r="I476" s="22">
        <f>IFERROR(__xludf.DUMMYFUNCTION("""COMPUTED_VALUE"""),75228.0)</f>
        <v>75228</v>
      </c>
      <c r="J476" s="22"/>
      <c r="K476" s="22"/>
      <c r="L476" s="22"/>
      <c r="M476" s="22"/>
      <c r="N476" s="22"/>
      <c r="O476" s="22"/>
      <c r="P476" s="22"/>
      <c r="Q476" s="22"/>
      <c r="R476" s="22"/>
      <c r="S476" s="22"/>
      <c r="T476" s="22"/>
      <c r="U476" s="24" t="str">
        <f>IFERROR(__xludf.DUMMYFUNCTION("SPLIT(E476,""01234567890"")"),"VJ
")</f>
        <v>VJ
</v>
      </c>
      <c r="V476" s="24" t="str">
        <f>IFERROR(__xludf.DUMMYFUNCTION("SPLIT(D476,"","")"),"Martin")</f>
        <v>Martin</v>
      </c>
      <c r="W476" s="25" t="str">
        <f t="shared" si="1"/>
        <v>VJ
 MARTIN</v>
      </c>
      <c r="X476" s="25" t="s">
        <v>1311</v>
      </c>
      <c r="Y476" s="25">
        <v>75228.0</v>
      </c>
      <c r="Z476" s="25" t="str">
        <f>IFERROR(__xludf.DUMMYFUNCTION("SPLIT(C476,""
"")"),"Martin, VJ")</f>
        <v>Martin, VJ</v>
      </c>
      <c r="AA476" s="25" t="str">
        <f>IFERROR(__xludf.DUMMYFUNCTION("""COMPUTED_VALUE"""),"8230 Claremont Drive")</f>
        <v>8230 Claremont Drive</v>
      </c>
      <c r="AB476" s="25" t="str">
        <f>IFERROR(__xludf.DUMMYFUNCTION("""COMPUTED_VALUE"""),"Dallas, TX 75228")</f>
        <v>Dallas, TX 75228</v>
      </c>
      <c r="AC476" s="24" t="s">
        <v>1312</v>
      </c>
      <c r="AD476" s="25"/>
      <c r="AE476" s="25"/>
      <c r="AF476" s="25"/>
      <c r="AG476" s="22" t="s">
        <v>60</v>
      </c>
      <c r="AH476" s="54">
        <v>2448.0</v>
      </c>
      <c r="AI476" s="22" t="s">
        <v>61</v>
      </c>
      <c r="AJ476" s="27">
        <v>75.0</v>
      </c>
      <c r="AK476" s="31" t="s">
        <v>24</v>
      </c>
      <c r="AL476" s="28">
        <v>44673.0</v>
      </c>
      <c r="AM476" s="29">
        <v>44757.44018518519</v>
      </c>
      <c r="AN476" s="30">
        <v>2.0</v>
      </c>
      <c r="AO476" s="22"/>
      <c r="AP476" s="22"/>
      <c r="AQ476" s="22"/>
      <c r="AR476" s="22"/>
      <c r="AS476" s="22"/>
      <c r="AT476" s="70"/>
      <c r="AU476" s="22"/>
      <c r="AV476" s="57" t="str">
        <f>IFERROR(__xludf.DUMMYFUNCTION("""COMPUTED_VALUE"""),"Harris")</f>
        <v>Harris</v>
      </c>
      <c r="AW476" s="46">
        <f t="shared" si="7"/>
        <v>275</v>
      </c>
      <c r="AX476" s="47">
        <f t="shared" ref="AX476:BQ476" si="1538">SUMIFS($AJ:$AJ,$V:$V,$AV476,$AK:$AK,AX$2)</f>
        <v>0</v>
      </c>
      <c r="AY476" s="48">
        <f t="shared" si="1538"/>
        <v>0</v>
      </c>
      <c r="AZ476" s="48">
        <f t="shared" si="1538"/>
        <v>0</v>
      </c>
      <c r="BA476" s="48">
        <f t="shared" si="1538"/>
        <v>0</v>
      </c>
      <c r="BB476" s="48">
        <f t="shared" si="1538"/>
        <v>25</v>
      </c>
      <c r="BC476" s="48">
        <f t="shared" si="1538"/>
        <v>250</v>
      </c>
      <c r="BD476" s="48">
        <f t="shared" si="1538"/>
        <v>0</v>
      </c>
      <c r="BE476" s="48">
        <f t="shared" si="1538"/>
        <v>0</v>
      </c>
      <c r="BF476" s="48">
        <f t="shared" si="1538"/>
        <v>0</v>
      </c>
      <c r="BG476" s="48">
        <f t="shared" si="1538"/>
        <v>0</v>
      </c>
      <c r="BH476" s="48">
        <f t="shared" si="1538"/>
        <v>0</v>
      </c>
      <c r="BI476" s="48">
        <f t="shared" si="1538"/>
        <v>0</v>
      </c>
      <c r="BJ476" s="48">
        <f t="shared" si="1538"/>
        <v>0</v>
      </c>
      <c r="BK476" s="48">
        <f t="shared" si="1538"/>
        <v>0</v>
      </c>
      <c r="BL476" s="48">
        <f t="shared" si="1538"/>
        <v>0</v>
      </c>
      <c r="BM476" s="48">
        <f t="shared" si="1538"/>
        <v>0</v>
      </c>
      <c r="BN476" s="48">
        <f t="shared" si="1538"/>
        <v>0</v>
      </c>
      <c r="BO476" s="48">
        <f t="shared" si="1538"/>
        <v>0</v>
      </c>
      <c r="BP476" s="48">
        <f t="shared" si="1538"/>
        <v>0</v>
      </c>
      <c r="BQ476" s="48">
        <f t="shared" si="1538"/>
        <v>0</v>
      </c>
      <c r="BR476" s="36">
        <f t="shared" si="9"/>
        <v>1</v>
      </c>
      <c r="BS476" s="38">
        <f t="shared" si="10"/>
        <v>3</v>
      </c>
      <c r="BT476" s="49">
        <f t="shared" si="11"/>
        <v>0</v>
      </c>
      <c r="BU476" s="38">
        <f t="shared" si="12"/>
        <v>3000</v>
      </c>
      <c r="BV476" s="57" t="str">
        <f>IFERROR(__xludf.DUMMYFUNCTION("""COMPUTED_VALUE"""),"Harris")</f>
        <v>Harris</v>
      </c>
      <c r="BW476" s="46">
        <f t="shared" si="13"/>
        <v>275</v>
      </c>
      <c r="BX476" s="47">
        <f t="shared" ref="BX476:CA476" si="1539">AX476-$BU476</f>
        <v>-3000</v>
      </c>
      <c r="BY476" s="47">
        <f t="shared" si="1539"/>
        <v>-3000</v>
      </c>
      <c r="BZ476" s="47">
        <f t="shared" si="1539"/>
        <v>-3000</v>
      </c>
      <c r="CA476" s="47">
        <f t="shared" si="1539"/>
        <v>-3000</v>
      </c>
      <c r="CB476" s="47">
        <f t="shared" si="15"/>
        <v>-29975</v>
      </c>
      <c r="CC476" s="47">
        <f t="shared" ref="CC476:CQ476" si="1540">BC476-$BU476</f>
        <v>-2750</v>
      </c>
      <c r="CD476" s="47">
        <f t="shared" si="1540"/>
        <v>-3000</v>
      </c>
      <c r="CE476" s="47">
        <f t="shared" si="1540"/>
        <v>-3000</v>
      </c>
      <c r="CF476" s="47">
        <f t="shared" si="1540"/>
        <v>-3000</v>
      </c>
      <c r="CG476" s="47">
        <f t="shared" si="1540"/>
        <v>-3000</v>
      </c>
      <c r="CH476" s="47">
        <f t="shared" si="1540"/>
        <v>-3000</v>
      </c>
      <c r="CI476" s="47">
        <f t="shared" si="1540"/>
        <v>-3000</v>
      </c>
      <c r="CJ476" s="47">
        <f t="shared" si="1540"/>
        <v>-3000</v>
      </c>
      <c r="CK476" s="47">
        <f t="shared" si="1540"/>
        <v>-3000</v>
      </c>
      <c r="CL476" s="47">
        <f t="shared" si="1540"/>
        <v>-3000</v>
      </c>
      <c r="CM476" s="47">
        <f t="shared" si="1540"/>
        <v>-3000</v>
      </c>
      <c r="CN476" s="47">
        <f t="shared" si="1540"/>
        <v>-3000</v>
      </c>
      <c r="CO476" s="47">
        <f t="shared" si="1540"/>
        <v>-3000</v>
      </c>
      <c r="CP476" s="47">
        <f t="shared" si="1540"/>
        <v>-3000</v>
      </c>
      <c r="CQ476" s="47">
        <f t="shared" si="1540"/>
        <v>-3000</v>
      </c>
      <c r="CR476" s="47"/>
      <c r="CS476" s="47"/>
      <c r="CT476" s="47"/>
      <c r="CU476" s="50" t="str">
        <f>IFERROR(__xludf.DUMMYFUNCTION("""COMPUTED_VALUE"""),"1722 Routh St
Dallas, TX 75204          ")</f>
        <v>1722 Routh St
Dallas, TX 75204          </v>
      </c>
      <c r="CV476" s="51">
        <f>IFERROR(__xludf.DUMMYFUNCTION("IF(REGEXMATCH(UPPER(CU476), ""TX""),0,1)"),0.0)</f>
        <v>0</v>
      </c>
      <c r="CW476" s="51">
        <f>IFERROR(__xludf.DUMMYFUNCTION("IF(REGEXMATCH(UPPER(CU476), ""DALLAS""),0,1)"),0.0)</f>
        <v>0</v>
      </c>
      <c r="CX476" s="51">
        <f t="shared" si="17"/>
        <v>0</v>
      </c>
      <c r="CY476" s="51">
        <f t="shared" si="18"/>
        <v>0</v>
      </c>
      <c r="CZ476" s="52" t="str">
        <f t="shared" si="19"/>
        <v/>
      </c>
      <c r="DA476" s="58"/>
      <c r="DB476" s="52"/>
      <c r="DC476" s="52"/>
      <c r="DD476" s="52"/>
      <c r="DE476" s="52"/>
      <c r="DF476" s="52"/>
      <c r="DG476" s="52"/>
      <c r="DH476" s="52"/>
      <c r="DI476" s="52"/>
      <c r="DJ476" s="52"/>
      <c r="DK476" s="52"/>
      <c r="DL476" s="52"/>
      <c r="DM476" s="52"/>
      <c r="DN476" s="52"/>
      <c r="DO476" s="52"/>
      <c r="DP476" s="52"/>
      <c r="DQ476" s="52"/>
      <c r="DR476" s="52"/>
      <c r="DS476" s="52"/>
      <c r="DT476" s="52"/>
      <c r="DU476" s="52"/>
      <c r="DV476" s="52"/>
      <c r="DW476" s="52"/>
    </row>
    <row r="477">
      <c r="A477" s="40" t="s">
        <v>55</v>
      </c>
      <c r="B477" s="41" t="s">
        <v>56</v>
      </c>
      <c r="C477" s="31" t="s">
        <v>1313</v>
      </c>
      <c r="D477" s="25" t="str">
        <f>IFERROR(__xludf.DUMMYFUNCTION("SPLIT(C477,"" "")"),"Schenkel,")</f>
        <v>Schenkel,</v>
      </c>
      <c r="E477" s="40" t="str">
        <f>IFERROR(__xludf.DUMMYFUNCTION("""COMPUTED_VALUE"""),"Austin
3317")</f>
        <v>Austin
3317</v>
      </c>
      <c r="F477" s="40" t="str">
        <f>IFERROR(__xludf.DUMMYFUNCTION("""COMPUTED_VALUE"""),"Purdue
Dallas,")</f>
        <v>Purdue
Dallas,</v>
      </c>
      <c r="G477" s="40" t="str">
        <f>IFERROR(__xludf.DUMMYFUNCTION("""COMPUTED_VALUE"""),"TX")</f>
        <v>TX</v>
      </c>
      <c r="H477" s="40">
        <f>IFERROR(__xludf.DUMMYFUNCTION("""COMPUTED_VALUE"""),75226.0)</f>
        <v>75226</v>
      </c>
      <c r="I477" s="40"/>
      <c r="J477" s="40"/>
      <c r="K477" s="40"/>
      <c r="L477" s="40"/>
      <c r="M477" s="40"/>
      <c r="N477" s="40"/>
      <c r="O477" s="40"/>
      <c r="P477" s="40"/>
      <c r="Q477" s="40"/>
      <c r="R477" s="40"/>
      <c r="S477" s="40"/>
      <c r="T477" s="40"/>
      <c r="U477" s="24" t="str">
        <f>IFERROR(__xludf.DUMMYFUNCTION("SPLIT(E477,""01234567890"")"),"Austin
")</f>
        <v>Austin
</v>
      </c>
      <c r="V477" s="24" t="str">
        <f>IFERROR(__xludf.DUMMYFUNCTION("SPLIT(D477,"","")"),"Schenkel")</f>
        <v>Schenkel</v>
      </c>
      <c r="W477" s="25" t="str">
        <f t="shared" si="1"/>
        <v>AUSTIN
 SCHENKEL</v>
      </c>
      <c r="X477" s="25" t="s">
        <v>1314</v>
      </c>
      <c r="Y477" s="25">
        <v>75226.0</v>
      </c>
      <c r="Z477" s="25" t="str">
        <f>IFERROR(__xludf.DUMMYFUNCTION("SPLIT(C477,""
"")"),"Schenkel, Austin")</f>
        <v>Schenkel, Austin</v>
      </c>
      <c r="AA477" s="25" t="str">
        <f>IFERROR(__xludf.DUMMYFUNCTION("""COMPUTED_VALUE"""),"3317 Purdue")</f>
        <v>3317 Purdue</v>
      </c>
      <c r="AB477" s="25" t="str">
        <f>IFERROR(__xludf.DUMMYFUNCTION("""COMPUTED_VALUE"""),"Dallas, TX 75226")</f>
        <v>Dallas, TX 75226</v>
      </c>
      <c r="AC477" s="24" t="s">
        <v>1315</v>
      </c>
      <c r="AD477" s="25"/>
      <c r="AE477" s="25"/>
      <c r="AF477" s="25"/>
      <c r="AG477" s="40" t="s">
        <v>60</v>
      </c>
      <c r="AH477" s="42">
        <v>2448.0</v>
      </c>
      <c r="AI477" s="40" t="s">
        <v>61</v>
      </c>
      <c r="AJ477" s="27">
        <v>500.0</v>
      </c>
      <c r="AK477" s="31" t="s">
        <v>24</v>
      </c>
      <c r="AL477" s="43">
        <v>44677.0</v>
      </c>
      <c r="AM477" s="44">
        <v>44757.44018518519</v>
      </c>
      <c r="AN477" s="30">
        <v>2.0</v>
      </c>
      <c r="AO477" s="40"/>
      <c r="AP477" s="40"/>
      <c r="AQ477" s="40"/>
      <c r="AR477" s="40"/>
      <c r="AS477" s="40"/>
      <c r="AT477" s="47"/>
      <c r="AU477" s="40"/>
      <c r="AV477" s="46" t="str">
        <f>IFERROR(__xludf.DUMMYFUNCTION("""COMPUTED_VALUE"""),"Woolley")</f>
        <v>Woolley</v>
      </c>
      <c r="AW477" s="46">
        <f t="shared" si="7"/>
        <v>500</v>
      </c>
      <c r="AX477" s="47">
        <f t="shared" ref="AX477:BQ477" si="1541">SUMIFS($AJ:$AJ,$V:$V,$AV477,$AK:$AK,AX$2)</f>
        <v>0</v>
      </c>
      <c r="AY477" s="48">
        <f t="shared" si="1541"/>
        <v>0</v>
      </c>
      <c r="AZ477" s="48">
        <f t="shared" si="1541"/>
        <v>0</v>
      </c>
      <c r="BA477" s="48">
        <f t="shared" si="1541"/>
        <v>0</v>
      </c>
      <c r="BB477" s="48">
        <f t="shared" si="1541"/>
        <v>0</v>
      </c>
      <c r="BC477" s="48">
        <f t="shared" si="1541"/>
        <v>500</v>
      </c>
      <c r="BD477" s="48">
        <f t="shared" si="1541"/>
        <v>0</v>
      </c>
      <c r="BE477" s="48">
        <f t="shared" si="1541"/>
        <v>0</v>
      </c>
      <c r="BF477" s="48">
        <f t="shared" si="1541"/>
        <v>0</v>
      </c>
      <c r="BG477" s="48">
        <f t="shared" si="1541"/>
        <v>0</v>
      </c>
      <c r="BH477" s="48">
        <f t="shared" si="1541"/>
        <v>0</v>
      </c>
      <c r="BI477" s="48">
        <f t="shared" si="1541"/>
        <v>0</v>
      </c>
      <c r="BJ477" s="48">
        <f t="shared" si="1541"/>
        <v>0</v>
      </c>
      <c r="BK477" s="48">
        <f t="shared" si="1541"/>
        <v>0</v>
      </c>
      <c r="BL477" s="48">
        <f t="shared" si="1541"/>
        <v>0</v>
      </c>
      <c r="BM477" s="48">
        <f t="shared" si="1541"/>
        <v>0</v>
      </c>
      <c r="BN477" s="48">
        <f t="shared" si="1541"/>
        <v>0</v>
      </c>
      <c r="BO477" s="48">
        <f t="shared" si="1541"/>
        <v>0</v>
      </c>
      <c r="BP477" s="48">
        <f t="shared" si="1541"/>
        <v>0</v>
      </c>
      <c r="BQ477" s="48">
        <f t="shared" si="1541"/>
        <v>0</v>
      </c>
      <c r="BR477" s="36">
        <f t="shared" si="9"/>
        <v>1</v>
      </c>
      <c r="BS477" s="38">
        <f t="shared" si="10"/>
        <v>2</v>
      </c>
      <c r="BT477" s="49">
        <f t="shared" si="11"/>
        <v>0</v>
      </c>
      <c r="BU477" s="38">
        <f t="shared" si="12"/>
        <v>2000</v>
      </c>
      <c r="BV477" s="46" t="str">
        <f>IFERROR(__xludf.DUMMYFUNCTION("""COMPUTED_VALUE"""),"Woolley")</f>
        <v>Woolley</v>
      </c>
      <c r="BW477" s="46">
        <f t="shared" si="13"/>
        <v>500</v>
      </c>
      <c r="BX477" s="47">
        <f t="shared" ref="BX477:CA477" si="1542">AX477-$BU477</f>
        <v>-2000</v>
      </c>
      <c r="BY477" s="47">
        <f t="shared" si="1542"/>
        <v>-2000</v>
      </c>
      <c r="BZ477" s="47">
        <f t="shared" si="1542"/>
        <v>-2000</v>
      </c>
      <c r="CA477" s="47">
        <f t="shared" si="1542"/>
        <v>-2000</v>
      </c>
      <c r="CB477" s="47">
        <f t="shared" si="15"/>
        <v>-20000</v>
      </c>
      <c r="CC477" s="47">
        <f t="shared" ref="CC477:CQ477" si="1543">BC477-$BU477</f>
        <v>-1500</v>
      </c>
      <c r="CD477" s="47">
        <f t="shared" si="1543"/>
        <v>-2000</v>
      </c>
      <c r="CE477" s="47">
        <f t="shared" si="1543"/>
        <v>-2000</v>
      </c>
      <c r="CF477" s="47">
        <f t="shared" si="1543"/>
        <v>-2000</v>
      </c>
      <c r="CG477" s="47">
        <f t="shared" si="1543"/>
        <v>-2000</v>
      </c>
      <c r="CH477" s="47">
        <f t="shared" si="1543"/>
        <v>-2000</v>
      </c>
      <c r="CI477" s="47">
        <f t="shared" si="1543"/>
        <v>-2000</v>
      </c>
      <c r="CJ477" s="47">
        <f t="shared" si="1543"/>
        <v>-2000</v>
      </c>
      <c r="CK477" s="47">
        <f t="shared" si="1543"/>
        <v>-2000</v>
      </c>
      <c r="CL477" s="47">
        <f t="shared" si="1543"/>
        <v>-2000</v>
      </c>
      <c r="CM477" s="47">
        <f t="shared" si="1543"/>
        <v>-2000</v>
      </c>
      <c r="CN477" s="47">
        <f t="shared" si="1543"/>
        <v>-2000</v>
      </c>
      <c r="CO477" s="47">
        <f t="shared" si="1543"/>
        <v>-2000</v>
      </c>
      <c r="CP477" s="47">
        <f t="shared" si="1543"/>
        <v>-2000</v>
      </c>
      <c r="CQ477" s="47">
        <f t="shared" si="1543"/>
        <v>-2000</v>
      </c>
      <c r="CR477" s="47"/>
      <c r="CS477" s="47"/>
      <c r="CT477" s="47"/>
      <c r="CU477" s="50" t="str">
        <f>IFERROR(__xludf.DUMMYFUNCTION("""COMPUTED_VALUE"""),"6705 Bob O Link
Dallas, TX 75214         ")</f>
        <v>6705 Bob O Link
Dallas, TX 75214         </v>
      </c>
      <c r="CV477" s="51">
        <f>IFERROR(__xludf.DUMMYFUNCTION("IF(REGEXMATCH(UPPER(CU477), ""TX""),0,1)"),0.0)</f>
        <v>0</v>
      </c>
      <c r="CW477" s="51">
        <f>IFERROR(__xludf.DUMMYFUNCTION("IF(REGEXMATCH(UPPER(CU477), ""DALLAS""),0,1)"),0.0)</f>
        <v>0</v>
      </c>
      <c r="CX477" s="51">
        <f t="shared" si="17"/>
        <v>0</v>
      </c>
      <c r="CY477" s="51">
        <f t="shared" si="18"/>
        <v>0</v>
      </c>
      <c r="CZ477" s="52" t="str">
        <f t="shared" si="19"/>
        <v/>
      </c>
      <c r="DA477" s="58"/>
      <c r="DB477" s="52"/>
      <c r="DC477" s="52"/>
      <c r="DD477" s="52"/>
      <c r="DE477" s="52"/>
      <c r="DF477" s="52"/>
      <c r="DG477" s="52"/>
      <c r="DH477" s="52"/>
      <c r="DI477" s="52"/>
      <c r="DJ477" s="52"/>
      <c r="DK477" s="52"/>
      <c r="DL477" s="52"/>
      <c r="DM477" s="52"/>
      <c r="DN477" s="52"/>
      <c r="DO477" s="52"/>
      <c r="DP477" s="52"/>
      <c r="DQ477" s="52"/>
      <c r="DR477" s="52"/>
      <c r="DS477" s="52"/>
      <c r="DT477" s="52"/>
      <c r="DU477" s="52"/>
      <c r="DV477" s="52"/>
      <c r="DW477" s="52"/>
    </row>
    <row r="478">
      <c r="A478" s="22" t="s">
        <v>55</v>
      </c>
      <c r="B478" s="23" t="s">
        <v>56</v>
      </c>
      <c r="C478" s="31" t="s">
        <v>1316</v>
      </c>
      <c r="D478" s="25" t="str">
        <f>IFERROR(__xludf.DUMMYFUNCTION("SPLIT(C478,"" "")"),"Owen,")</f>
        <v>Owen,</v>
      </c>
      <c r="E478" s="22" t="str">
        <f>IFERROR(__xludf.DUMMYFUNCTION("""COMPUTED_VALUE"""),"Linda
5645")</f>
        <v>Linda
5645</v>
      </c>
      <c r="F478" s="22" t="str">
        <f>IFERROR(__xludf.DUMMYFUNCTION("""COMPUTED_VALUE"""),"Caruth
Dallas,")</f>
        <v>Caruth
Dallas,</v>
      </c>
      <c r="G478" s="22" t="str">
        <f>IFERROR(__xludf.DUMMYFUNCTION("""COMPUTED_VALUE"""),"TX")</f>
        <v>TX</v>
      </c>
      <c r="H478" s="22">
        <f>IFERROR(__xludf.DUMMYFUNCTION("""COMPUTED_VALUE"""),75209.0)</f>
        <v>75209</v>
      </c>
      <c r="I478" s="22"/>
      <c r="J478" s="22"/>
      <c r="K478" s="22"/>
      <c r="L478" s="22"/>
      <c r="M478" s="22"/>
      <c r="N478" s="22"/>
      <c r="O478" s="22"/>
      <c r="P478" s="22"/>
      <c r="Q478" s="22"/>
      <c r="R478" s="22"/>
      <c r="S478" s="22"/>
      <c r="T478" s="22"/>
      <c r="U478" s="24" t="str">
        <f>IFERROR(__xludf.DUMMYFUNCTION("SPLIT(E478,""01234567890"")"),"Linda
")</f>
        <v>Linda
</v>
      </c>
      <c r="V478" s="24" t="str">
        <f>IFERROR(__xludf.DUMMYFUNCTION("SPLIT(D478,"","")"),"Owen")</f>
        <v>Owen</v>
      </c>
      <c r="W478" s="25" t="str">
        <f t="shared" si="1"/>
        <v>LINDA
 OWEN</v>
      </c>
      <c r="X478" s="25" t="s">
        <v>1317</v>
      </c>
      <c r="Y478" s="25">
        <v>75209.0</v>
      </c>
      <c r="Z478" s="25" t="str">
        <f>IFERROR(__xludf.DUMMYFUNCTION("SPLIT(C478,""
"")"),"Owen, Linda")</f>
        <v>Owen, Linda</v>
      </c>
      <c r="AA478" s="25" t="str">
        <f>IFERROR(__xludf.DUMMYFUNCTION("""COMPUTED_VALUE"""),"5645 Caruth")</f>
        <v>5645 Caruth</v>
      </c>
      <c r="AB478" s="25" t="str">
        <f>IFERROR(__xludf.DUMMYFUNCTION("""COMPUTED_VALUE"""),"Dallas, TX 75209")</f>
        <v>Dallas, TX 75209</v>
      </c>
      <c r="AC478" s="24" t="s">
        <v>1318</v>
      </c>
      <c r="AD478" s="25"/>
      <c r="AE478" s="25"/>
      <c r="AF478" s="25"/>
      <c r="AG478" s="22" t="s">
        <v>60</v>
      </c>
      <c r="AH478" s="54">
        <v>2448.0</v>
      </c>
      <c r="AI478" s="22" t="s">
        <v>61</v>
      </c>
      <c r="AJ478" s="27">
        <v>500.0</v>
      </c>
      <c r="AK478" s="31" t="s">
        <v>24</v>
      </c>
      <c r="AL478" s="28">
        <v>44725.0</v>
      </c>
      <c r="AM478" s="29">
        <v>44757.44018518519</v>
      </c>
      <c r="AN478" s="30">
        <v>2.0</v>
      </c>
      <c r="AO478" s="22"/>
      <c r="AP478" s="22"/>
      <c r="AQ478" s="22"/>
      <c r="AR478" s="22"/>
      <c r="AS478" s="22"/>
      <c r="AT478" s="70"/>
      <c r="AU478" s="22"/>
      <c r="AV478" s="57" t="str">
        <f>IFERROR(__xludf.DUMMYFUNCTION("""COMPUTED_VALUE"""),"Rabe")</f>
        <v>Rabe</v>
      </c>
      <c r="AW478" s="46">
        <f t="shared" si="7"/>
        <v>2000</v>
      </c>
      <c r="AX478" s="47">
        <f t="shared" ref="AX478:BQ478" si="1544">SUMIFS($AJ:$AJ,$V:$V,$AV478,$AK:$AK,AX$2)</f>
        <v>0</v>
      </c>
      <c r="AY478" s="48">
        <f t="shared" si="1544"/>
        <v>0</v>
      </c>
      <c r="AZ478" s="48">
        <f t="shared" si="1544"/>
        <v>0</v>
      </c>
      <c r="BA478" s="48">
        <f t="shared" si="1544"/>
        <v>0</v>
      </c>
      <c r="BB478" s="48">
        <f t="shared" si="1544"/>
        <v>0</v>
      </c>
      <c r="BC478" s="48">
        <f t="shared" si="1544"/>
        <v>2000</v>
      </c>
      <c r="BD478" s="48">
        <f t="shared" si="1544"/>
        <v>0</v>
      </c>
      <c r="BE478" s="48">
        <f t="shared" si="1544"/>
        <v>0</v>
      </c>
      <c r="BF478" s="48">
        <f t="shared" si="1544"/>
        <v>0</v>
      </c>
      <c r="BG478" s="48">
        <f t="shared" si="1544"/>
        <v>0</v>
      </c>
      <c r="BH478" s="48">
        <f t="shared" si="1544"/>
        <v>0</v>
      </c>
      <c r="BI478" s="48">
        <f t="shared" si="1544"/>
        <v>0</v>
      </c>
      <c r="BJ478" s="48">
        <f t="shared" si="1544"/>
        <v>0</v>
      </c>
      <c r="BK478" s="48">
        <f t="shared" si="1544"/>
        <v>0</v>
      </c>
      <c r="BL478" s="48">
        <f t="shared" si="1544"/>
        <v>0</v>
      </c>
      <c r="BM478" s="48">
        <f t="shared" si="1544"/>
        <v>0</v>
      </c>
      <c r="BN478" s="48">
        <f t="shared" si="1544"/>
        <v>0</v>
      </c>
      <c r="BO478" s="48">
        <f t="shared" si="1544"/>
        <v>0</v>
      </c>
      <c r="BP478" s="48">
        <f t="shared" si="1544"/>
        <v>0</v>
      </c>
      <c r="BQ478" s="48">
        <f t="shared" si="1544"/>
        <v>0</v>
      </c>
      <c r="BR478" s="36">
        <f t="shared" si="9"/>
        <v>1</v>
      </c>
      <c r="BS478" s="38">
        <f t="shared" si="10"/>
        <v>2</v>
      </c>
      <c r="BT478" s="49">
        <f t="shared" si="11"/>
        <v>0</v>
      </c>
      <c r="BU478" s="38">
        <f t="shared" si="12"/>
        <v>2000</v>
      </c>
      <c r="BV478" s="57" t="str">
        <f>IFERROR(__xludf.DUMMYFUNCTION("""COMPUTED_VALUE"""),"Rabe")</f>
        <v>Rabe</v>
      </c>
      <c r="BW478" s="46">
        <f t="shared" si="13"/>
        <v>2000</v>
      </c>
      <c r="BX478" s="47">
        <f t="shared" ref="BX478:CA478" si="1545">AX478-$BU478</f>
        <v>-2000</v>
      </c>
      <c r="BY478" s="47">
        <f t="shared" si="1545"/>
        <v>-2000</v>
      </c>
      <c r="BZ478" s="47">
        <f t="shared" si="1545"/>
        <v>-2000</v>
      </c>
      <c r="CA478" s="47">
        <f t="shared" si="1545"/>
        <v>-2000</v>
      </c>
      <c r="CB478" s="47">
        <f t="shared" si="15"/>
        <v>-20000</v>
      </c>
      <c r="CC478" s="47">
        <f t="shared" ref="CC478:CQ478" si="1546">BC478-$BU478</f>
        <v>0</v>
      </c>
      <c r="CD478" s="47">
        <f t="shared" si="1546"/>
        <v>-2000</v>
      </c>
      <c r="CE478" s="47">
        <f t="shared" si="1546"/>
        <v>-2000</v>
      </c>
      <c r="CF478" s="47">
        <f t="shared" si="1546"/>
        <v>-2000</v>
      </c>
      <c r="CG478" s="47">
        <f t="shared" si="1546"/>
        <v>-2000</v>
      </c>
      <c r="CH478" s="47">
        <f t="shared" si="1546"/>
        <v>-2000</v>
      </c>
      <c r="CI478" s="47">
        <f t="shared" si="1546"/>
        <v>-2000</v>
      </c>
      <c r="CJ478" s="47">
        <f t="shared" si="1546"/>
        <v>-2000</v>
      </c>
      <c r="CK478" s="47">
        <f t="shared" si="1546"/>
        <v>-2000</v>
      </c>
      <c r="CL478" s="47">
        <f t="shared" si="1546"/>
        <v>-2000</v>
      </c>
      <c r="CM478" s="47">
        <f t="shared" si="1546"/>
        <v>-2000</v>
      </c>
      <c r="CN478" s="47">
        <f t="shared" si="1546"/>
        <v>-2000</v>
      </c>
      <c r="CO478" s="47">
        <f t="shared" si="1546"/>
        <v>-2000</v>
      </c>
      <c r="CP478" s="47">
        <f t="shared" si="1546"/>
        <v>-2000</v>
      </c>
      <c r="CQ478" s="47">
        <f t="shared" si="1546"/>
        <v>-2000</v>
      </c>
      <c r="CR478" s="47"/>
      <c r="CS478" s="47"/>
      <c r="CT478" s="47"/>
      <c r="CU478" s="50" t="str">
        <f>IFERROR(__xludf.DUMMYFUNCTION("""COMPUTED_VALUE"""),"6872 Burwood
Dallas, TX 75214           ")</f>
        <v>6872 Burwood
Dallas, TX 75214           </v>
      </c>
      <c r="CV478" s="51">
        <f>IFERROR(__xludf.DUMMYFUNCTION("IF(REGEXMATCH(UPPER(CU478), ""TX""),0,1)"),0.0)</f>
        <v>0</v>
      </c>
      <c r="CW478" s="51">
        <f>IFERROR(__xludf.DUMMYFUNCTION("IF(REGEXMATCH(UPPER(CU478), ""DALLAS""),0,1)"),0.0)</f>
        <v>0</v>
      </c>
      <c r="CX478" s="51">
        <f t="shared" si="17"/>
        <v>0</v>
      </c>
      <c r="CY478" s="51">
        <f t="shared" si="18"/>
        <v>0</v>
      </c>
      <c r="CZ478" s="52" t="str">
        <f t="shared" si="19"/>
        <v/>
      </c>
      <c r="DA478" s="58"/>
      <c r="DB478" s="52"/>
      <c r="DC478" s="52"/>
      <c r="DD478" s="52"/>
      <c r="DE478" s="52"/>
      <c r="DF478" s="52"/>
      <c r="DG478" s="52"/>
      <c r="DH478" s="52"/>
      <c r="DI478" s="52"/>
      <c r="DJ478" s="52"/>
      <c r="DK478" s="52"/>
      <c r="DL478" s="52"/>
      <c r="DM478" s="52"/>
      <c r="DN478" s="52"/>
      <c r="DO478" s="52"/>
      <c r="DP478" s="52"/>
      <c r="DQ478" s="52"/>
      <c r="DR478" s="52"/>
      <c r="DS478" s="52"/>
      <c r="DT478" s="52"/>
      <c r="DU478" s="52"/>
      <c r="DV478" s="52"/>
      <c r="DW478" s="52"/>
    </row>
    <row r="479">
      <c r="A479" s="40" t="s">
        <v>55</v>
      </c>
      <c r="B479" s="41" t="s">
        <v>56</v>
      </c>
      <c r="C479" s="31" t="s">
        <v>1319</v>
      </c>
      <c r="D479" s="25" t="str">
        <f>IFERROR(__xludf.DUMMYFUNCTION("SPLIT(C479,"" "")"),"Northwest")</f>
        <v>Northwest</v>
      </c>
      <c r="E479" s="40" t="str">
        <f>IFERROR(__xludf.DUMMYFUNCTION("""COMPUTED_VALUE"""),"Drive")</f>
        <v>Drive</v>
      </c>
      <c r="F479" s="40" t="str">
        <f>IFERROR(__xludf.DUMMYFUNCTION("""COMPUTED_VALUE"""),"Inns")</f>
        <v>Inns</v>
      </c>
      <c r="G479" s="40" t="str">
        <f>IFERROR(__xludf.DUMMYFUNCTION("""COMPUTED_VALUE"""),"Inc
8522")</f>
        <v>Inc
8522</v>
      </c>
      <c r="H479" s="40" t="str">
        <f>IFERROR(__xludf.DUMMYFUNCTION("""COMPUTED_VALUE"""),"Garland")</f>
        <v>Garland</v>
      </c>
      <c r="I479" s="40" t="str">
        <f>IFERROR(__xludf.DUMMYFUNCTION("""COMPUTED_VALUE"""),"Rd
Dallas,")</f>
        <v>Rd
Dallas,</v>
      </c>
      <c r="J479" s="40" t="str">
        <f>IFERROR(__xludf.DUMMYFUNCTION("""COMPUTED_VALUE"""),"TX")</f>
        <v>TX</v>
      </c>
      <c r="K479" s="40">
        <f>IFERROR(__xludf.DUMMYFUNCTION("""COMPUTED_VALUE"""),75218.0)</f>
        <v>75218</v>
      </c>
      <c r="L479" s="40"/>
      <c r="M479" s="40"/>
      <c r="N479" s="40"/>
      <c r="O479" s="40"/>
      <c r="P479" s="40"/>
      <c r="Q479" s="40"/>
      <c r="R479" s="40"/>
      <c r="S479" s="40"/>
      <c r="T479" s="40"/>
      <c r="U479" s="24" t="str">
        <f>IFERROR(__xludf.DUMMYFUNCTION("SPLIT(E479,""01234567890"")"),"Drive")</f>
        <v>Drive</v>
      </c>
      <c r="V479" s="24" t="str">
        <f>IFERROR(__xludf.DUMMYFUNCTION("SPLIT(D479,"","")"),"Northwest")</f>
        <v>Northwest</v>
      </c>
      <c r="W479" s="25" t="str">
        <f t="shared" si="1"/>
        <v>DRIVE NORTHWEST</v>
      </c>
      <c r="X479" s="25" t="s">
        <v>1320</v>
      </c>
      <c r="Y479" s="25">
        <v>75218.0</v>
      </c>
      <c r="Z479" s="25" t="str">
        <f>IFERROR(__xludf.DUMMYFUNCTION("SPLIT(C479,""
"")"),"Northwest Drive Inns Inc")</f>
        <v>Northwest Drive Inns Inc</v>
      </c>
      <c r="AA479" s="25" t="str">
        <f>IFERROR(__xludf.DUMMYFUNCTION("""COMPUTED_VALUE"""),"8522 Garland Rd")</f>
        <v>8522 Garland Rd</v>
      </c>
      <c r="AB479" s="25" t="str">
        <f>IFERROR(__xludf.DUMMYFUNCTION("""COMPUTED_VALUE"""),"Dallas, TX 75218")</f>
        <v>Dallas, TX 75218</v>
      </c>
      <c r="AC479" s="24" t="s">
        <v>1321</v>
      </c>
      <c r="AD479" s="25"/>
      <c r="AE479" s="25"/>
      <c r="AF479" s="25"/>
      <c r="AG479" s="40" t="s">
        <v>60</v>
      </c>
      <c r="AH479" s="42">
        <v>2448.0</v>
      </c>
      <c r="AI479" s="40" t="s">
        <v>61</v>
      </c>
      <c r="AJ479" s="27">
        <v>500.0</v>
      </c>
      <c r="AK479" s="31" t="s">
        <v>24</v>
      </c>
      <c r="AL479" s="43">
        <v>44726.0</v>
      </c>
      <c r="AM479" s="44">
        <v>44757.44018518519</v>
      </c>
      <c r="AN479" s="30">
        <v>2.0</v>
      </c>
      <c r="AO479" s="40"/>
      <c r="AP479" s="40"/>
      <c r="AQ479" s="40"/>
      <c r="AR479" s="40"/>
      <c r="AS479" s="40"/>
      <c r="AT479" s="47"/>
      <c r="AU479" s="40"/>
      <c r="AV479" s="46" t="str">
        <f>IFERROR(__xludf.DUMMYFUNCTION("""COMPUTED_VALUE"""),"Cowlishaw")</f>
        <v>Cowlishaw</v>
      </c>
      <c r="AW479" s="46">
        <f t="shared" si="7"/>
        <v>250</v>
      </c>
      <c r="AX479" s="47">
        <f t="shared" ref="AX479:BQ479" si="1547">SUMIFS($AJ:$AJ,$V:$V,$AV479,$AK:$AK,AX$2)</f>
        <v>0</v>
      </c>
      <c r="AY479" s="48">
        <f t="shared" si="1547"/>
        <v>0</v>
      </c>
      <c r="AZ479" s="48">
        <f t="shared" si="1547"/>
        <v>0</v>
      </c>
      <c r="BA479" s="48">
        <f t="shared" si="1547"/>
        <v>0</v>
      </c>
      <c r="BB479" s="48">
        <f t="shared" si="1547"/>
        <v>0</v>
      </c>
      <c r="BC479" s="48">
        <f t="shared" si="1547"/>
        <v>250</v>
      </c>
      <c r="BD479" s="48">
        <f t="shared" si="1547"/>
        <v>0</v>
      </c>
      <c r="BE479" s="48">
        <f t="shared" si="1547"/>
        <v>0</v>
      </c>
      <c r="BF479" s="48">
        <f t="shared" si="1547"/>
        <v>0</v>
      </c>
      <c r="BG479" s="48">
        <f t="shared" si="1547"/>
        <v>0</v>
      </c>
      <c r="BH479" s="48">
        <f t="shared" si="1547"/>
        <v>0</v>
      </c>
      <c r="BI479" s="48">
        <f t="shared" si="1547"/>
        <v>0</v>
      </c>
      <c r="BJ479" s="48">
        <f t="shared" si="1547"/>
        <v>0</v>
      </c>
      <c r="BK479" s="48">
        <f t="shared" si="1547"/>
        <v>0</v>
      </c>
      <c r="BL479" s="48">
        <f t="shared" si="1547"/>
        <v>0</v>
      </c>
      <c r="BM479" s="48">
        <f t="shared" si="1547"/>
        <v>0</v>
      </c>
      <c r="BN479" s="48">
        <f t="shared" si="1547"/>
        <v>0</v>
      </c>
      <c r="BO479" s="48">
        <f t="shared" si="1547"/>
        <v>0</v>
      </c>
      <c r="BP479" s="48">
        <f t="shared" si="1547"/>
        <v>0</v>
      </c>
      <c r="BQ479" s="48">
        <f t="shared" si="1547"/>
        <v>0</v>
      </c>
      <c r="BR479" s="36">
        <f t="shared" si="9"/>
        <v>0</v>
      </c>
      <c r="BS479" s="38">
        <f t="shared" si="10"/>
        <v>1</v>
      </c>
      <c r="BT479" s="49">
        <f t="shared" si="11"/>
        <v>0</v>
      </c>
      <c r="BU479" s="38">
        <f t="shared" si="12"/>
        <v>1000</v>
      </c>
      <c r="BV479" s="46" t="str">
        <f>IFERROR(__xludf.DUMMYFUNCTION("""COMPUTED_VALUE"""),"Cowlishaw")</f>
        <v>Cowlishaw</v>
      </c>
      <c r="BW479" s="46">
        <f t="shared" si="13"/>
        <v>250</v>
      </c>
      <c r="BX479" s="47">
        <f t="shared" ref="BX479:CA479" si="1548">AX479-$BU479</f>
        <v>-1000</v>
      </c>
      <c r="BY479" s="47">
        <f t="shared" si="1548"/>
        <v>-1000</v>
      </c>
      <c r="BZ479" s="47">
        <f t="shared" si="1548"/>
        <v>-1000</v>
      </c>
      <c r="CA479" s="47">
        <f t="shared" si="1548"/>
        <v>-1000</v>
      </c>
      <c r="CB479" s="47">
        <f t="shared" si="15"/>
        <v>-10000</v>
      </c>
      <c r="CC479" s="47">
        <f t="shared" ref="CC479:CQ479" si="1549">BC479-$BU479</f>
        <v>-750</v>
      </c>
      <c r="CD479" s="47">
        <f t="shared" si="1549"/>
        <v>-1000</v>
      </c>
      <c r="CE479" s="47">
        <f t="shared" si="1549"/>
        <v>-1000</v>
      </c>
      <c r="CF479" s="47">
        <f t="shared" si="1549"/>
        <v>-1000</v>
      </c>
      <c r="CG479" s="47">
        <f t="shared" si="1549"/>
        <v>-1000</v>
      </c>
      <c r="CH479" s="47">
        <f t="shared" si="1549"/>
        <v>-1000</v>
      </c>
      <c r="CI479" s="47">
        <f t="shared" si="1549"/>
        <v>-1000</v>
      </c>
      <c r="CJ479" s="47">
        <f t="shared" si="1549"/>
        <v>-1000</v>
      </c>
      <c r="CK479" s="47">
        <f t="shared" si="1549"/>
        <v>-1000</v>
      </c>
      <c r="CL479" s="47">
        <f t="shared" si="1549"/>
        <v>-1000</v>
      </c>
      <c r="CM479" s="47">
        <f t="shared" si="1549"/>
        <v>-1000</v>
      </c>
      <c r="CN479" s="47">
        <f t="shared" si="1549"/>
        <v>-1000</v>
      </c>
      <c r="CO479" s="47">
        <f t="shared" si="1549"/>
        <v>-1000</v>
      </c>
      <c r="CP479" s="47">
        <f t="shared" si="1549"/>
        <v>-1000</v>
      </c>
      <c r="CQ479" s="47">
        <f t="shared" si="1549"/>
        <v>-1000</v>
      </c>
      <c r="CR479" s="47"/>
      <c r="CS479" s="47"/>
      <c r="CT479" s="47"/>
      <c r="CU479" s="50" t="str">
        <f>IFERROR(__xludf.DUMMYFUNCTION("""COMPUTED_VALUE"""),"6465 Ravendale
Dallas, TX 75214           ")</f>
        <v>6465 Ravendale
Dallas, TX 75214           </v>
      </c>
      <c r="CV479" s="51">
        <f>IFERROR(__xludf.DUMMYFUNCTION("IF(REGEXMATCH(UPPER(CU479), ""TX""),0,1)"),0.0)</f>
        <v>0</v>
      </c>
      <c r="CW479" s="51">
        <f>IFERROR(__xludf.DUMMYFUNCTION("IF(REGEXMATCH(UPPER(CU479), ""DALLAS""),0,1)"),0.0)</f>
        <v>0</v>
      </c>
      <c r="CX479" s="51">
        <f t="shared" si="17"/>
        <v>0</v>
      </c>
      <c r="CY479" s="51">
        <f t="shared" si="18"/>
        <v>0</v>
      </c>
      <c r="CZ479" s="52" t="str">
        <f t="shared" si="19"/>
        <v/>
      </c>
      <c r="DA479" s="58"/>
      <c r="DB479" s="52"/>
      <c r="DC479" s="52"/>
      <c r="DD479" s="52"/>
      <c r="DE479" s="52"/>
      <c r="DF479" s="52"/>
      <c r="DG479" s="52"/>
      <c r="DH479" s="52"/>
      <c r="DI479" s="52"/>
      <c r="DJ479" s="52"/>
      <c r="DK479" s="52"/>
      <c r="DL479" s="52"/>
      <c r="DM479" s="52"/>
      <c r="DN479" s="52"/>
      <c r="DO479" s="52"/>
      <c r="DP479" s="52"/>
      <c r="DQ479" s="52"/>
      <c r="DR479" s="52"/>
      <c r="DS479" s="52"/>
      <c r="DT479" s="52"/>
      <c r="DU479" s="52"/>
      <c r="DV479" s="52"/>
      <c r="DW479" s="52"/>
    </row>
    <row r="480">
      <c r="A480" s="22" t="s">
        <v>55</v>
      </c>
      <c r="B480" s="23" t="s">
        <v>56</v>
      </c>
      <c r="C480" s="31" t="s">
        <v>1322</v>
      </c>
      <c r="D480" s="25" t="str">
        <f>IFERROR(__xludf.DUMMYFUNCTION("SPLIT(C480,"" "")"),"Ellerman,")</f>
        <v>Ellerman,</v>
      </c>
      <c r="E480" s="22" t="str">
        <f>IFERROR(__xludf.DUMMYFUNCTION("""COMPUTED_VALUE"""),"Jeff
4012")</f>
        <v>Jeff
4012</v>
      </c>
      <c r="F480" s="22" t="str">
        <f>IFERROR(__xludf.DUMMYFUNCTION("""COMPUTED_VALUE"""),"Miramar")</f>
        <v>Miramar</v>
      </c>
      <c r="G480" s="22" t="str">
        <f>IFERROR(__xludf.DUMMYFUNCTION("""COMPUTED_VALUE"""),"Ave
Dallas,")</f>
        <v>Ave
Dallas,</v>
      </c>
      <c r="H480" s="22" t="str">
        <f>IFERROR(__xludf.DUMMYFUNCTION("""COMPUTED_VALUE"""),"TX")</f>
        <v>TX</v>
      </c>
      <c r="I480" s="22">
        <f>IFERROR(__xludf.DUMMYFUNCTION("""COMPUTED_VALUE"""),75205.0)</f>
        <v>75205</v>
      </c>
      <c r="J480" s="22"/>
      <c r="K480" s="22"/>
      <c r="L480" s="22"/>
      <c r="M480" s="22"/>
      <c r="N480" s="22"/>
      <c r="O480" s="22"/>
      <c r="P480" s="22"/>
      <c r="Q480" s="22"/>
      <c r="R480" s="22"/>
      <c r="S480" s="22"/>
      <c r="T480" s="22"/>
      <c r="U480" s="24" t="str">
        <f>IFERROR(__xludf.DUMMYFUNCTION("SPLIT(E480,""01234567890"")"),"Jeff
")</f>
        <v>Jeff
</v>
      </c>
      <c r="V480" s="24" t="str">
        <f>IFERROR(__xludf.DUMMYFUNCTION("SPLIT(D480,"","")"),"Ellerman")</f>
        <v>Ellerman</v>
      </c>
      <c r="W480" s="25" t="str">
        <f t="shared" si="1"/>
        <v>JEFF
 ELLERMAN</v>
      </c>
      <c r="X480" s="25" t="s">
        <v>1323</v>
      </c>
      <c r="Y480" s="25">
        <v>75205.0</v>
      </c>
      <c r="Z480" s="25" t="str">
        <f>IFERROR(__xludf.DUMMYFUNCTION("SPLIT(C480,""
"")"),"Ellerman, Jeff")</f>
        <v>Ellerman, Jeff</v>
      </c>
      <c r="AA480" s="25" t="str">
        <f>IFERROR(__xludf.DUMMYFUNCTION("""COMPUTED_VALUE"""),"4012 Miramar Ave")</f>
        <v>4012 Miramar Ave</v>
      </c>
      <c r="AB480" s="25" t="str">
        <f>IFERROR(__xludf.DUMMYFUNCTION("""COMPUTED_VALUE"""),"Dallas, TX 75205")</f>
        <v>Dallas, TX 75205</v>
      </c>
      <c r="AC480" s="24" t="s">
        <v>1324</v>
      </c>
      <c r="AD480" s="25"/>
      <c r="AE480" s="25"/>
      <c r="AF480" s="25"/>
      <c r="AG480" s="22" t="s">
        <v>60</v>
      </c>
      <c r="AH480" s="54">
        <v>2448.0</v>
      </c>
      <c r="AI480" s="22" t="s">
        <v>61</v>
      </c>
      <c r="AJ480" s="27">
        <v>1000.0</v>
      </c>
      <c r="AK480" s="31" t="s">
        <v>24</v>
      </c>
      <c r="AL480" s="28">
        <v>44727.0</v>
      </c>
      <c r="AM480" s="29">
        <v>44757.44018518519</v>
      </c>
      <c r="AN480" s="30">
        <v>2.0</v>
      </c>
      <c r="AO480" s="22"/>
      <c r="AP480" s="22"/>
      <c r="AQ480" s="22"/>
      <c r="AR480" s="22"/>
      <c r="AS480" s="22"/>
      <c r="AT480" s="70"/>
      <c r="AU480" s="22"/>
      <c r="AV480" s="57" t="str">
        <f>IFERROR(__xludf.DUMMYFUNCTION("""COMPUTED_VALUE"""),"Henneberger")</f>
        <v>Henneberger</v>
      </c>
      <c r="AW480" s="46">
        <f t="shared" si="7"/>
        <v>100</v>
      </c>
      <c r="AX480" s="47">
        <f t="shared" ref="AX480:BQ480" si="1550">SUMIFS($AJ:$AJ,$V:$V,$AV480,$AK:$AK,AX$2)</f>
        <v>0</v>
      </c>
      <c r="AY480" s="48">
        <f t="shared" si="1550"/>
        <v>0</v>
      </c>
      <c r="AZ480" s="48">
        <f t="shared" si="1550"/>
        <v>0</v>
      </c>
      <c r="BA480" s="48">
        <f t="shared" si="1550"/>
        <v>0</v>
      </c>
      <c r="BB480" s="48">
        <f t="shared" si="1550"/>
        <v>0</v>
      </c>
      <c r="BC480" s="48">
        <f t="shared" si="1550"/>
        <v>100</v>
      </c>
      <c r="BD480" s="48">
        <f t="shared" si="1550"/>
        <v>0</v>
      </c>
      <c r="BE480" s="48">
        <f t="shared" si="1550"/>
        <v>0</v>
      </c>
      <c r="BF480" s="48">
        <f t="shared" si="1550"/>
        <v>0</v>
      </c>
      <c r="BG480" s="48">
        <f t="shared" si="1550"/>
        <v>0</v>
      </c>
      <c r="BH480" s="48">
        <f t="shared" si="1550"/>
        <v>0</v>
      </c>
      <c r="BI480" s="48">
        <f t="shared" si="1550"/>
        <v>0</v>
      </c>
      <c r="BJ480" s="48">
        <f t="shared" si="1550"/>
        <v>0</v>
      </c>
      <c r="BK480" s="48">
        <f t="shared" si="1550"/>
        <v>0</v>
      </c>
      <c r="BL480" s="48">
        <f t="shared" si="1550"/>
        <v>0</v>
      </c>
      <c r="BM480" s="48">
        <f t="shared" si="1550"/>
        <v>0</v>
      </c>
      <c r="BN480" s="48">
        <f t="shared" si="1550"/>
        <v>0</v>
      </c>
      <c r="BO480" s="48">
        <f t="shared" si="1550"/>
        <v>0</v>
      </c>
      <c r="BP480" s="48">
        <f t="shared" si="1550"/>
        <v>0</v>
      </c>
      <c r="BQ480" s="48">
        <f t="shared" si="1550"/>
        <v>0</v>
      </c>
      <c r="BR480" s="36">
        <f t="shared" si="9"/>
        <v>0</v>
      </c>
      <c r="BS480" s="38">
        <f t="shared" si="10"/>
        <v>1</v>
      </c>
      <c r="BT480" s="49">
        <f t="shared" si="11"/>
        <v>0</v>
      </c>
      <c r="BU480" s="38">
        <f t="shared" si="12"/>
        <v>1000</v>
      </c>
      <c r="BV480" s="57" t="str">
        <f>IFERROR(__xludf.DUMMYFUNCTION("""COMPUTED_VALUE"""),"Henneberger")</f>
        <v>Henneberger</v>
      </c>
      <c r="BW480" s="46">
        <f t="shared" si="13"/>
        <v>100</v>
      </c>
      <c r="BX480" s="47">
        <f t="shared" ref="BX480:CA480" si="1551">AX480-$BU480</f>
        <v>-1000</v>
      </c>
      <c r="BY480" s="47">
        <f t="shared" si="1551"/>
        <v>-1000</v>
      </c>
      <c r="BZ480" s="47">
        <f t="shared" si="1551"/>
        <v>-1000</v>
      </c>
      <c r="CA480" s="47">
        <f t="shared" si="1551"/>
        <v>-1000</v>
      </c>
      <c r="CB480" s="47">
        <f t="shared" si="15"/>
        <v>-10000</v>
      </c>
      <c r="CC480" s="47">
        <f t="shared" ref="CC480:CQ480" si="1552">BC480-$BU480</f>
        <v>-900</v>
      </c>
      <c r="CD480" s="47">
        <f t="shared" si="1552"/>
        <v>-1000</v>
      </c>
      <c r="CE480" s="47">
        <f t="shared" si="1552"/>
        <v>-1000</v>
      </c>
      <c r="CF480" s="47">
        <f t="shared" si="1552"/>
        <v>-1000</v>
      </c>
      <c r="CG480" s="47">
        <f t="shared" si="1552"/>
        <v>-1000</v>
      </c>
      <c r="CH480" s="47">
        <f t="shared" si="1552"/>
        <v>-1000</v>
      </c>
      <c r="CI480" s="47">
        <f t="shared" si="1552"/>
        <v>-1000</v>
      </c>
      <c r="CJ480" s="47">
        <f t="shared" si="1552"/>
        <v>-1000</v>
      </c>
      <c r="CK480" s="47">
        <f t="shared" si="1552"/>
        <v>-1000</v>
      </c>
      <c r="CL480" s="47">
        <f t="shared" si="1552"/>
        <v>-1000</v>
      </c>
      <c r="CM480" s="47">
        <f t="shared" si="1552"/>
        <v>-1000</v>
      </c>
      <c r="CN480" s="47">
        <f t="shared" si="1552"/>
        <v>-1000</v>
      </c>
      <c r="CO480" s="47">
        <f t="shared" si="1552"/>
        <v>-1000</v>
      </c>
      <c r="CP480" s="47">
        <f t="shared" si="1552"/>
        <v>-1000</v>
      </c>
      <c r="CQ480" s="47">
        <f t="shared" si="1552"/>
        <v>-1000</v>
      </c>
      <c r="CR480" s="47"/>
      <c r="CS480" s="47"/>
      <c r="CT480" s="47"/>
      <c r="CU480" s="50" t="str">
        <f>IFERROR(__xludf.DUMMYFUNCTION("""COMPUTED_VALUE"""),"10415 Fern St
Dallas, TX 75228          ")</f>
        <v>10415 Fern St
Dallas, TX 75228          </v>
      </c>
      <c r="CV480" s="51">
        <f>IFERROR(__xludf.DUMMYFUNCTION("IF(REGEXMATCH(UPPER(CU480), ""TX""),0,1)"),0.0)</f>
        <v>0</v>
      </c>
      <c r="CW480" s="51">
        <f>IFERROR(__xludf.DUMMYFUNCTION("IF(REGEXMATCH(UPPER(CU480), ""DALLAS""),0,1)"),0.0)</f>
        <v>0</v>
      </c>
      <c r="CX480" s="51">
        <f t="shared" si="17"/>
        <v>0</v>
      </c>
      <c r="CY480" s="51">
        <f t="shared" si="18"/>
        <v>0</v>
      </c>
      <c r="CZ480" s="52" t="str">
        <f t="shared" si="19"/>
        <v/>
      </c>
      <c r="DA480" s="58"/>
      <c r="DB480" s="52"/>
      <c r="DC480" s="52"/>
      <c r="DD480" s="52"/>
      <c r="DE480" s="52"/>
      <c r="DF480" s="52"/>
      <c r="DG480" s="52"/>
      <c r="DH480" s="52"/>
      <c r="DI480" s="52"/>
      <c r="DJ480" s="52"/>
      <c r="DK480" s="52"/>
      <c r="DL480" s="52"/>
      <c r="DM480" s="52"/>
      <c r="DN480" s="52"/>
      <c r="DO480" s="52"/>
      <c r="DP480" s="52"/>
      <c r="DQ480" s="52"/>
      <c r="DR480" s="52"/>
      <c r="DS480" s="52"/>
      <c r="DT480" s="52"/>
      <c r="DU480" s="52"/>
      <c r="DV480" s="52"/>
      <c r="DW480" s="52"/>
    </row>
    <row r="481">
      <c r="A481" s="40" t="s">
        <v>55</v>
      </c>
      <c r="B481" s="41" t="s">
        <v>56</v>
      </c>
      <c r="C481" s="31" t="s">
        <v>1325</v>
      </c>
      <c r="D481" s="25" t="str">
        <f>IFERROR(__xludf.DUMMYFUNCTION("SPLIT(C481,"" "")"),"Dale,")</f>
        <v>Dale,</v>
      </c>
      <c r="E481" s="40" t="str">
        <f>IFERROR(__xludf.DUMMYFUNCTION("""COMPUTED_VALUE"""),"Larry
6019")</f>
        <v>Larry
6019</v>
      </c>
      <c r="F481" s="40" t="str">
        <f>IFERROR(__xludf.DUMMYFUNCTION("""COMPUTED_VALUE"""),"St.")</f>
        <v>St.</v>
      </c>
      <c r="G481" s="40" t="str">
        <f>IFERROR(__xludf.DUMMYFUNCTION("""COMPUTED_VALUE"""),"Andrews
Dallas,")</f>
        <v>Andrews
Dallas,</v>
      </c>
      <c r="H481" s="40" t="str">
        <f>IFERROR(__xludf.DUMMYFUNCTION("""COMPUTED_VALUE"""),"TX")</f>
        <v>TX</v>
      </c>
      <c r="I481" s="40">
        <f>IFERROR(__xludf.DUMMYFUNCTION("""COMPUTED_VALUE"""),75205.0)</f>
        <v>75205</v>
      </c>
      <c r="J481" s="40"/>
      <c r="K481" s="40"/>
      <c r="L481" s="40"/>
      <c r="M481" s="40"/>
      <c r="N481" s="40"/>
      <c r="O481" s="40"/>
      <c r="P481" s="40"/>
      <c r="Q481" s="40"/>
      <c r="R481" s="40"/>
      <c r="S481" s="40"/>
      <c r="T481" s="40"/>
      <c r="U481" s="24" t="str">
        <f>IFERROR(__xludf.DUMMYFUNCTION("SPLIT(E481,""01234567890"")"),"Larry
")</f>
        <v>Larry
</v>
      </c>
      <c r="V481" s="24" t="str">
        <f>IFERROR(__xludf.DUMMYFUNCTION("SPLIT(D481,"","")"),"Dale")</f>
        <v>Dale</v>
      </c>
      <c r="W481" s="25" t="str">
        <f t="shared" si="1"/>
        <v>LARRY
 DALE</v>
      </c>
      <c r="X481" s="25" t="s">
        <v>1326</v>
      </c>
      <c r="Y481" s="25">
        <v>75205.0</v>
      </c>
      <c r="Z481" s="25" t="str">
        <f>IFERROR(__xludf.DUMMYFUNCTION("SPLIT(C481,""
"")"),"Dale, Larry")</f>
        <v>Dale, Larry</v>
      </c>
      <c r="AA481" s="25" t="str">
        <f>IFERROR(__xludf.DUMMYFUNCTION("""COMPUTED_VALUE"""),"6019 St. Andrews")</f>
        <v>6019 St. Andrews</v>
      </c>
      <c r="AB481" s="25" t="str">
        <f>IFERROR(__xludf.DUMMYFUNCTION("""COMPUTED_VALUE"""),"Dallas, TX 75205")</f>
        <v>Dallas, TX 75205</v>
      </c>
      <c r="AC481" s="24" t="s">
        <v>1327</v>
      </c>
      <c r="AD481" s="25"/>
      <c r="AE481" s="25"/>
      <c r="AF481" s="25"/>
      <c r="AG481" s="40" t="s">
        <v>60</v>
      </c>
      <c r="AH481" s="42">
        <v>2448.0</v>
      </c>
      <c r="AI481" s="40" t="s">
        <v>61</v>
      </c>
      <c r="AJ481" s="27">
        <v>1000.0</v>
      </c>
      <c r="AK481" s="31" t="s">
        <v>24</v>
      </c>
      <c r="AL481" s="43">
        <v>44739.0</v>
      </c>
      <c r="AM481" s="44">
        <v>44757.44018518519</v>
      </c>
      <c r="AN481" s="30">
        <v>2.0</v>
      </c>
      <c r="AO481" s="40"/>
      <c r="AP481" s="40"/>
      <c r="AQ481" s="40"/>
      <c r="AR481" s="40"/>
      <c r="AS481" s="40"/>
      <c r="AT481" s="47"/>
      <c r="AU481" s="40"/>
      <c r="AV481" s="46" t="str">
        <f>IFERROR(__xludf.DUMMYFUNCTION("""COMPUTED_VALUE"""),"Sides")</f>
        <v>Sides</v>
      </c>
      <c r="AW481" s="46">
        <f t="shared" si="7"/>
        <v>100</v>
      </c>
      <c r="AX481" s="47">
        <f t="shared" ref="AX481:BQ481" si="1553">SUMIFS($AJ:$AJ,$V:$V,$AV481,$AK:$AK,AX$2)</f>
        <v>0</v>
      </c>
      <c r="AY481" s="48">
        <f t="shared" si="1553"/>
        <v>0</v>
      </c>
      <c r="AZ481" s="48">
        <f t="shared" si="1553"/>
        <v>0</v>
      </c>
      <c r="BA481" s="48">
        <f t="shared" si="1553"/>
        <v>0</v>
      </c>
      <c r="BB481" s="48">
        <f t="shared" si="1553"/>
        <v>0</v>
      </c>
      <c r="BC481" s="48">
        <f t="shared" si="1553"/>
        <v>100</v>
      </c>
      <c r="BD481" s="48">
        <f t="shared" si="1553"/>
        <v>0</v>
      </c>
      <c r="BE481" s="48">
        <f t="shared" si="1553"/>
        <v>0</v>
      </c>
      <c r="BF481" s="48">
        <f t="shared" si="1553"/>
        <v>0</v>
      </c>
      <c r="BG481" s="48">
        <f t="shared" si="1553"/>
        <v>0</v>
      </c>
      <c r="BH481" s="48">
        <f t="shared" si="1553"/>
        <v>0</v>
      </c>
      <c r="BI481" s="48">
        <f t="shared" si="1553"/>
        <v>0</v>
      </c>
      <c r="BJ481" s="48">
        <f t="shared" si="1553"/>
        <v>0</v>
      </c>
      <c r="BK481" s="48">
        <f t="shared" si="1553"/>
        <v>0</v>
      </c>
      <c r="BL481" s="48">
        <f t="shared" si="1553"/>
        <v>0</v>
      </c>
      <c r="BM481" s="48">
        <f t="shared" si="1553"/>
        <v>0</v>
      </c>
      <c r="BN481" s="48">
        <f t="shared" si="1553"/>
        <v>0</v>
      </c>
      <c r="BO481" s="48">
        <f t="shared" si="1553"/>
        <v>0</v>
      </c>
      <c r="BP481" s="48">
        <f t="shared" si="1553"/>
        <v>0</v>
      </c>
      <c r="BQ481" s="48">
        <f t="shared" si="1553"/>
        <v>0</v>
      </c>
      <c r="BR481" s="36">
        <f t="shared" si="9"/>
        <v>0</v>
      </c>
      <c r="BS481" s="38">
        <f t="shared" si="10"/>
        <v>1</v>
      </c>
      <c r="BT481" s="49">
        <f t="shared" si="11"/>
        <v>0</v>
      </c>
      <c r="BU481" s="38">
        <f t="shared" si="12"/>
        <v>1000</v>
      </c>
      <c r="BV481" s="46" t="str">
        <f>IFERROR(__xludf.DUMMYFUNCTION("""COMPUTED_VALUE"""),"Sides")</f>
        <v>Sides</v>
      </c>
      <c r="BW481" s="46">
        <f t="shared" si="13"/>
        <v>100</v>
      </c>
      <c r="BX481" s="47">
        <f t="shared" ref="BX481:CA481" si="1554">AX481-$BU481</f>
        <v>-1000</v>
      </c>
      <c r="BY481" s="47">
        <f t="shared" si="1554"/>
        <v>-1000</v>
      </c>
      <c r="BZ481" s="47">
        <f t="shared" si="1554"/>
        <v>-1000</v>
      </c>
      <c r="CA481" s="47">
        <f t="shared" si="1554"/>
        <v>-1000</v>
      </c>
      <c r="CB481" s="47">
        <f t="shared" si="15"/>
        <v>-10000</v>
      </c>
      <c r="CC481" s="47">
        <f t="shared" ref="CC481:CQ481" si="1555">BC481-$BU481</f>
        <v>-900</v>
      </c>
      <c r="CD481" s="47">
        <f t="shared" si="1555"/>
        <v>-1000</v>
      </c>
      <c r="CE481" s="47">
        <f t="shared" si="1555"/>
        <v>-1000</v>
      </c>
      <c r="CF481" s="47">
        <f t="shared" si="1555"/>
        <v>-1000</v>
      </c>
      <c r="CG481" s="47">
        <f t="shared" si="1555"/>
        <v>-1000</v>
      </c>
      <c r="CH481" s="47">
        <f t="shared" si="1555"/>
        <v>-1000</v>
      </c>
      <c r="CI481" s="47">
        <f t="shared" si="1555"/>
        <v>-1000</v>
      </c>
      <c r="CJ481" s="47">
        <f t="shared" si="1555"/>
        <v>-1000</v>
      </c>
      <c r="CK481" s="47">
        <f t="shared" si="1555"/>
        <v>-1000</v>
      </c>
      <c r="CL481" s="47">
        <f t="shared" si="1555"/>
        <v>-1000</v>
      </c>
      <c r="CM481" s="47">
        <f t="shared" si="1555"/>
        <v>-1000</v>
      </c>
      <c r="CN481" s="47">
        <f t="shared" si="1555"/>
        <v>-1000</v>
      </c>
      <c r="CO481" s="47">
        <f t="shared" si="1555"/>
        <v>-1000</v>
      </c>
      <c r="CP481" s="47">
        <f t="shared" si="1555"/>
        <v>-1000</v>
      </c>
      <c r="CQ481" s="47">
        <f t="shared" si="1555"/>
        <v>-1000</v>
      </c>
      <c r="CR481" s="47"/>
      <c r="CS481" s="47"/>
      <c r="CT481" s="47"/>
      <c r="CU481" s="50" t="str">
        <f>IFERROR(__xludf.DUMMYFUNCTION("""COMPUTED_VALUE"""),"5826 Mercedes
Dallas, TX 75206           ")</f>
        <v>5826 Mercedes
Dallas, TX 75206           </v>
      </c>
      <c r="CV481" s="51">
        <f>IFERROR(__xludf.DUMMYFUNCTION("IF(REGEXMATCH(UPPER(CU481), ""TX""),0,1)"),0.0)</f>
        <v>0</v>
      </c>
      <c r="CW481" s="51">
        <f>IFERROR(__xludf.DUMMYFUNCTION("IF(REGEXMATCH(UPPER(CU481), ""DALLAS""),0,1)"),0.0)</f>
        <v>0</v>
      </c>
      <c r="CX481" s="51">
        <f t="shared" si="17"/>
        <v>0</v>
      </c>
      <c r="CY481" s="51">
        <f t="shared" si="18"/>
        <v>0</v>
      </c>
      <c r="CZ481" s="52" t="str">
        <f t="shared" si="19"/>
        <v/>
      </c>
      <c r="DA481" s="58"/>
      <c r="DB481" s="52"/>
      <c r="DC481" s="52"/>
      <c r="DD481" s="52"/>
      <c r="DE481" s="52"/>
      <c r="DF481" s="52"/>
      <c r="DG481" s="52"/>
      <c r="DH481" s="52"/>
      <c r="DI481" s="52"/>
      <c r="DJ481" s="52"/>
      <c r="DK481" s="52"/>
      <c r="DL481" s="52"/>
      <c r="DM481" s="52"/>
      <c r="DN481" s="52"/>
      <c r="DO481" s="52"/>
      <c r="DP481" s="52"/>
      <c r="DQ481" s="52"/>
      <c r="DR481" s="52"/>
      <c r="DS481" s="52"/>
      <c r="DT481" s="52"/>
      <c r="DU481" s="52"/>
      <c r="DV481" s="52"/>
      <c r="DW481" s="52"/>
    </row>
    <row r="482">
      <c r="A482" s="22" t="s">
        <v>55</v>
      </c>
      <c r="B482" s="23" t="s">
        <v>56</v>
      </c>
      <c r="C482" s="31" t="s">
        <v>1328</v>
      </c>
      <c r="D482" s="25" t="str">
        <f>IFERROR(__xludf.DUMMYFUNCTION("SPLIT(C482,"" "")"),"Mihalopolous,")</f>
        <v>Mihalopolous,</v>
      </c>
      <c r="E482" s="22" t="str">
        <f>IFERROR(__xludf.DUMMYFUNCTION("""COMPUTED_VALUE"""),"Frank
4633")</f>
        <v>Frank
4633</v>
      </c>
      <c r="F482" s="22" t="str">
        <f>IFERROR(__xludf.DUMMYFUNCTION("""COMPUTED_VALUE"""),"N.")</f>
        <v>N.</v>
      </c>
      <c r="G482" s="22" t="str">
        <f>IFERROR(__xludf.DUMMYFUNCTION("""COMPUTED_VALUE"""),"Central")</f>
        <v>Central</v>
      </c>
      <c r="H482" s="22" t="str">
        <f>IFERROR(__xludf.DUMMYFUNCTION("""COMPUTED_VALUE"""),"Exprwy
Dallas,")</f>
        <v>Exprwy
Dallas,</v>
      </c>
      <c r="I482" s="22" t="str">
        <f>IFERROR(__xludf.DUMMYFUNCTION("""COMPUTED_VALUE"""),"TX")</f>
        <v>TX</v>
      </c>
      <c r="J482" s="22">
        <f>IFERROR(__xludf.DUMMYFUNCTION("""COMPUTED_VALUE"""),75205.0)</f>
        <v>75205</v>
      </c>
      <c r="K482" s="22"/>
      <c r="L482" s="22"/>
      <c r="M482" s="22"/>
      <c r="N482" s="22"/>
      <c r="O482" s="22"/>
      <c r="P482" s="22"/>
      <c r="Q482" s="22"/>
      <c r="R482" s="22"/>
      <c r="S482" s="22"/>
      <c r="T482" s="22"/>
      <c r="U482" s="24" t="str">
        <f>IFERROR(__xludf.DUMMYFUNCTION("SPLIT(E482,""01234567890"")"),"Frank
")</f>
        <v>Frank
</v>
      </c>
      <c r="V482" s="24" t="str">
        <f>IFERROR(__xludf.DUMMYFUNCTION("SPLIT(D482,"","")"),"Mihalopolous")</f>
        <v>Mihalopolous</v>
      </c>
      <c r="W482" s="25" t="str">
        <f t="shared" si="1"/>
        <v>FRANK
 MIHALOPOLOUS</v>
      </c>
      <c r="X482" s="25" t="s">
        <v>1329</v>
      </c>
      <c r="Y482" s="25">
        <v>75205.0</v>
      </c>
      <c r="Z482" s="25" t="str">
        <f>IFERROR(__xludf.DUMMYFUNCTION("SPLIT(C482,""
"")"),"Mihalopolous, Frank")</f>
        <v>Mihalopolous, Frank</v>
      </c>
      <c r="AA482" s="25" t="str">
        <f>IFERROR(__xludf.DUMMYFUNCTION("""COMPUTED_VALUE"""),"4633 N. Central Exprwy")</f>
        <v>4633 N. Central Exprwy</v>
      </c>
      <c r="AB482" s="25" t="str">
        <f>IFERROR(__xludf.DUMMYFUNCTION("""COMPUTED_VALUE"""),"Dallas, TX 75205")</f>
        <v>Dallas, TX 75205</v>
      </c>
      <c r="AC482" s="24" t="s">
        <v>1330</v>
      </c>
      <c r="AD482" s="25"/>
      <c r="AE482" s="25"/>
      <c r="AF482" s="25"/>
      <c r="AG482" s="22" t="s">
        <v>60</v>
      </c>
      <c r="AH482" s="54">
        <v>2448.0</v>
      </c>
      <c r="AI482" s="22" t="s">
        <v>61</v>
      </c>
      <c r="AJ482" s="27">
        <v>1000.0</v>
      </c>
      <c r="AK482" s="31" t="s">
        <v>24</v>
      </c>
      <c r="AL482" s="28">
        <v>44740.0</v>
      </c>
      <c r="AM482" s="29">
        <v>44757.44018518519</v>
      </c>
      <c r="AN482" s="30">
        <v>2.0</v>
      </c>
      <c r="AO482" s="22"/>
      <c r="AP482" s="22"/>
      <c r="AQ482" s="22"/>
      <c r="AR482" s="22"/>
      <c r="AS482" s="22"/>
      <c r="AT482" s="70"/>
      <c r="AU482" s="22"/>
      <c r="AV482" s="57" t="str">
        <f>IFERROR(__xludf.DUMMYFUNCTION("""COMPUTED_VALUE"""),"Rafkin")</f>
        <v>Rafkin</v>
      </c>
      <c r="AW482" s="46">
        <f t="shared" si="7"/>
        <v>500</v>
      </c>
      <c r="AX482" s="47">
        <f t="shared" ref="AX482:BQ482" si="1556">SUMIFS($AJ:$AJ,$V:$V,$AV482,$AK:$AK,AX$2)</f>
        <v>0</v>
      </c>
      <c r="AY482" s="48">
        <f t="shared" si="1556"/>
        <v>0</v>
      </c>
      <c r="AZ482" s="48">
        <f t="shared" si="1556"/>
        <v>0</v>
      </c>
      <c r="BA482" s="48">
        <f t="shared" si="1556"/>
        <v>0</v>
      </c>
      <c r="BB482" s="48">
        <f t="shared" si="1556"/>
        <v>0</v>
      </c>
      <c r="BC482" s="48">
        <f t="shared" si="1556"/>
        <v>500</v>
      </c>
      <c r="BD482" s="48">
        <f t="shared" si="1556"/>
        <v>0</v>
      </c>
      <c r="BE482" s="48">
        <f t="shared" si="1556"/>
        <v>0</v>
      </c>
      <c r="BF482" s="48">
        <f t="shared" si="1556"/>
        <v>0</v>
      </c>
      <c r="BG482" s="48">
        <f t="shared" si="1556"/>
        <v>0</v>
      </c>
      <c r="BH482" s="48">
        <f t="shared" si="1556"/>
        <v>0</v>
      </c>
      <c r="BI482" s="48">
        <f t="shared" si="1556"/>
        <v>0</v>
      </c>
      <c r="BJ482" s="48">
        <f t="shared" si="1556"/>
        <v>0</v>
      </c>
      <c r="BK482" s="48">
        <f t="shared" si="1556"/>
        <v>0</v>
      </c>
      <c r="BL482" s="48">
        <f t="shared" si="1556"/>
        <v>0</v>
      </c>
      <c r="BM482" s="48">
        <f t="shared" si="1556"/>
        <v>0</v>
      </c>
      <c r="BN482" s="48">
        <f t="shared" si="1556"/>
        <v>0</v>
      </c>
      <c r="BO482" s="48">
        <f t="shared" si="1556"/>
        <v>0</v>
      </c>
      <c r="BP482" s="48">
        <f t="shared" si="1556"/>
        <v>0</v>
      </c>
      <c r="BQ482" s="48">
        <f t="shared" si="1556"/>
        <v>0</v>
      </c>
      <c r="BR482" s="36">
        <f t="shared" si="9"/>
        <v>0</v>
      </c>
      <c r="BS482" s="38">
        <f t="shared" si="10"/>
        <v>1</v>
      </c>
      <c r="BT482" s="49">
        <f t="shared" si="11"/>
        <v>0</v>
      </c>
      <c r="BU482" s="38">
        <f t="shared" si="12"/>
        <v>1000</v>
      </c>
      <c r="BV482" s="57" t="str">
        <f>IFERROR(__xludf.DUMMYFUNCTION("""COMPUTED_VALUE"""),"Rafkin")</f>
        <v>Rafkin</v>
      </c>
      <c r="BW482" s="46">
        <f t="shared" si="13"/>
        <v>500</v>
      </c>
      <c r="BX482" s="47">
        <f t="shared" ref="BX482:CA482" si="1557">AX482-$BU482</f>
        <v>-1000</v>
      </c>
      <c r="BY482" s="47">
        <f t="shared" si="1557"/>
        <v>-1000</v>
      </c>
      <c r="BZ482" s="47">
        <f t="shared" si="1557"/>
        <v>-1000</v>
      </c>
      <c r="CA482" s="47">
        <f t="shared" si="1557"/>
        <v>-1000</v>
      </c>
      <c r="CB482" s="47">
        <f t="shared" si="15"/>
        <v>-10000</v>
      </c>
      <c r="CC482" s="47">
        <f t="shared" ref="CC482:CQ482" si="1558">BC482-$BU482</f>
        <v>-500</v>
      </c>
      <c r="CD482" s="47">
        <f t="shared" si="1558"/>
        <v>-1000</v>
      </c>
      <c r="CE482" s="47">
        <f t="shared" si="1558"/>
        <v>-1000</v>
      </c>
      <c r="CF482" s="47">
        <f t="shared" si="1558"/>
        <v>-1000</v>
      </c>
      <c r="CG482" s="47">
        <f t="shared" si="1558"/>
        <v>-1000</v>
      </c>
      <c r="CH482" s="47">
        <f t="shared" si="1558"/>
        <v>-1000</v>
      </c>
      <c r="CI482" s="47">
        <f t="shared" si="1558"/>
        <v>-1000</v>
      </c>
      <c r="CJ482" s="47">
        <f t="shared" si="1558"/>
        <v>-1000</v>
      </c>
      <c r="CK482" s="47">
        <f t="shared" si="1558"/>
        <v>-1000</v>
      </c>
      <c r="CL482" s="47">
        <f t="shared" si="1558"/>
        <v>-1000</v>
      </c>
      <c r="CM482" s="47">
        <f t="shared" si="1558"/>
        <v>-1000</v>
      </c>
      <c r="CN482" s="47">
        <f t="shared" si="1558"/>
        <v>-1000</v>
      </c>
      <c r="CO482" s="47">
        <f t="shared" si="1558"/>
        <v>-1000</v>
      </c>
      <c r="CP482" s="47">
        <f t="shared" si="1558"/>
        <v>-1000</v>
      </c>
      <c r="CQ482" s="47">
        <f t="shared" si="1558"/>
        <v>-1000</v>
      </c>
      <c r="CR482" s="47"/>
      <c r="CS482" s="47"/>
      <c r="CT482" s="47"/>
      <c r="CU482" s="50" t="str">
        <f>IFERROR(__xludf.DUMMYFUNCTION("""COMPUTED_VALUE"""),"12703 Nutty Brown Rd
Austin, TX 78737         ")</f>
        <v>12703 Nutty Brown Rd
Austin, TX 78737         </v>
      </c>
      <c r="CV482" s="51">
        <f>IFERROR(__xludf.DUMMYFUNCTION("IF(REGEXMATCH(UPPER(CU482), ""TX""),0,1)"),0.0)</f>
        <v>0</v>
      </c>
      <c r="CW482" s="51">
        <f>IFERROR(__xludf.DUMMYFUNCTION("IF(REGEXMATCH(UPPER(CU482), ""DALLAS""),0,1)"),1.0)</f>
        <v>1</v>
      </c>
      <c r="CX482" s="51">
        <f t="shared" si="17"/>
        <v>0</v>
      </c>
      <c r="CY482" s="51">
        <f t="shared" si="18"/>
        <v>70</v>
      </c>
      <c r="CZ482" s="52" t="str">
        <f t="shared" si="19"/>
        <v>12703 Nutty Brown Rd
Austin, TX 78737         </v>
      </c>
      <c r="DA482" s="58"/>
      <c r="DB482" s="52"/>
      <c r="DC482" s="52"/>
      <c r="DD482" s="52"/>
      <c r="DE482" s="52"/>
      <c r="DF482" s="52"/>
      <c r="DG482" s="52"/>
      <c r="DH482" s="52"/>
      <c r="DI482" s="52"/>
      <c r="DJ482" s="52"/>
      <c r="DK482" s="52"/>
      <c r="DL482" s="52"/>
      <c r="DM482" s="52"/>
      <c r="DN482" s="52"/>
      <c r="DO482" s="52"/>
      <c r="DP482" s="52"/>
      <c r="DQ482" s="52"/>
      <c r="DR482" s="52"/>
      <c r="DS482" s="52"/>
      <c r="DT482" s="52"/>
      <c r="DU482" s="52"/>
      <c r="DV482" s="52"/>
      <c r="DW482" s="52"/>
    </row>
    <row r="483">
      <c r="A483" s="40" t="s">
        <v>55</v>
      </c>
      <c r="B483" s="41" t="s">
        <v>56</v>
      </c>
      <c r="C483" s="31" t="s">
        <v>1331</v>
      </c>
      <c r="D483" s="25" t="str">
        <f>IFERROR(__xludf.DUMMYFUNCTION("SPLIT(C483,"" "")"),"Crow,")</f>
        <v>Crow,</v>
      </c>
      <c r="E483" s="40" t="str">
        <f>IFERROR(__xludf.DUMMYFUNCTION("""COMPUTED_VALUE"""),"Patrick
4818")</f>
        <v>Patrick
4818</v>
      </c>
      <c r="F483" s="40" t="str">
        <f>IFERROR(__xludf.DUMMYFUNCTION("""COMPUTED_VALUE"""),"N.")</f>
        <v>N.</v>
      </c>
      <c r="G483" s="40" t="str">
        <f>IFERROR(__xludf.DUMMYFUNCTION("""COMPUTED_VALUE"""),"Lindhurst")</f>
        <v>Lindhurst</v>
      </c>
      <c r="H483" s="40" t="str">
        <f>IFERROR(__xludf.DUMMYFUNCTION("""COMPUTED_VALUE"""),"Ave
Dallas,")</f>
        <v>Ave
Dallas,</v>
      </c>
      <c r="I483" s="40" t="str">
        <f>IFERROR(__xludf.DUMMYFUNCTION("""COMPUTED_VALUE"""),"TX")</f>
        <v>TX</v>
      </c>
      <c r="J483" s="40">
        <f>IFERROR(__xludf.DUMMYFUNCTION("""COMPUTED_VALUE"""),75229.0)</f>
        <v>75229</v>
      </c>
      <c r="K483" s="40"/>
      <c r="L483" s="40"/>
      <c r="M483" s="40"/>
      <c r="N483" s="40"/>
      <c r="O483" s="40"/>
      <c r="P483" s="40"/>
      <c r="Q483" s="40"/>
      <c r="R483" s="40"/>
      <c r="S483" s="40"/>
      <c r="T483" s="40"/>
      <c r="U483" s="24" t="str">
        <f>IFERROR(__xludf.DUMMYFUNCTION("SPLIT(E483,""01234567890"")"),"Patrick
")</f>
        <v>Patrick
</v>
      </c>
      <c r="V483" s="24" t="str">
        <f>IFERROR(__xludf.DUMMYFUNCTION("SPLIT(D483,"","")"),"Crow")</f>
        <v>Crow</v>
      </c>
      <c r="W483" s="25" t="str">
        <f t="shared" si="1"/>
        <v>PATRICK
 CROW</v>
      </c>
      <c r="X483" s="25" t="s">
        <v>1332</v>
      </c>
      <c r="Y483" s="25">
        <v>75229.0</v>
      </c>
      <c r="Z483" s="25" t="str">
        <f>IFERROR(__xludf.DUMMYFUNCTION("SPLIT(C483,""
"")"),"Crow, Patrick")</f>
        <v>Crow, Patrick</v>
      </c>
      <c r="AA483" s="25" t="str">
        <f>IFERROR(__xludf.DUMMYFUNCTION("""COMPUTED_VALUE"""),"4818 N. Lindhurst Ave")</f>
        <v>4818 N. Lindhurst Ave</v>
      </c>
      <c r="AB483" s="25" t="str">
        <f>IFERROR(__xludf.DUMMYFUNCTION("""COMPUTED_VALUE"""),"Dallas, TX 75229")</f>
        <v>Dallas, TX 75229</v>
      </c>
      <c r="AC483" s="24" t="s">
        <v>742</v>
      </c>
      <c r="AD483" s="25"/>
      <c r="AE483" s="25"/>
      <c r="AF483" s="25"/>
      <c r="AG483" s="40" t="s">
        <v>60</v>
      </c>
      <c r="AH483" s="42">
        <v>2448.0</v>
      </c>
      <c r="AI483" s="40" t="s">
        <v>61</v>
      </c>
      <c r="AJ483" s="27">
        <v>500.0</v>
      </c>
      <c r="AK483" s="31" t="s">
        <v>24</v>
      </c>
      <c r="AL483" s="43">
        <v>44672.0</v>
      </c>
      <c r="AM483" s="44">
        <v>44757.44018518519</v>
      </c>
      <c r="AN483" s="30">
        <v>2.0</v>
      </c>
      <c r="AO483" s="40"/>
      <c r="AP483" s="40"/>
      <c r="AQ483" s="40"/>
      <c r="AR483" s="40"/>
      <c r="AS483" s="40"/>
      <c r="AT483" s="47"/>
      <c r="AU483" s="40"/>
      <c r="AV483" s="46" t="str">
        <f>IFERROR(__xludf.DUMMYFUNCTION("""COMPUTED_VALUE"""),"Duval")</f>
        <v>Duval</v>
      </c>
      <c r="AW483" s="46">
        <f t="shared" si="7"/>
        <v>100</v>
      </c>
      <c r="AX483" s="47">
        <f t="shared" ref="AX483:BQ483" si="1559">SUMIFS($AJ:$AJ,$V:$V,$AV483,$AK:$AK,AX$2)</f>
        <v>0</v>
      </c>
      <c r="AY483" s="48">
        <f t="shared" si="1559"/>
        <v>0</v>
      </c>
      <c r="AZ483" s="48">
        <f t="shared" si="1559"/>
        <v>0</v>
      </c>
      <c r="BA483" s="48">
        <f t="shared" si="1559"/>
        <v>0</v>
      </c>
      <c r="BB483" s="48">
        <f t="shared" si="1559"/>
        <v>0</v>
      </c>
      <c r="BC483" s="48">
        <f t="shared" si="1559"/>
        <v>100</v>
      </c>
      <c r="BD483" s="48">
        <f t="shared" si="1559"/>
        <v>0</v>
      </c>
      <c r="BE483" s="48">
        <f t="shared" si="1559"/>
        <v>0</v>
      </c>
      <c r="BF483" s="48">
        <f t="shared" si="1559"/>
        <v>0</v>
      </c>
      <c r="BG483" s="48">
        <f t="shared" si="1559"/>
        <v>0</v>
      </c>
      <c r="BH483" s="48">
        <f t="shared" si="1559"/>
        <v>0</v>
      </c>
      <c r="BI483" s="48">
        <f t="shared" si="1559"/>
        <v>0</v>
      </c>
      <c r="BJ483" s="48">
        <f t="shared" si="1559"/>
        <v>0</v>
      </c>
      <c r="BK483" s="48">
        <f t="shared" si="1559"/>
        <v>0</v>
      </c>
      <c r="BL483" s="48">
        <f t="shared" si="1559"/>
        <v>0</v>
      </c>
      <c r="BM483" s="48">
        <f t="shared" si="1559"/>
        <v>0</v>
      </c>
      <c r="BN483" s="48">
        <f t="shared" si="1559"/>
        <v>0</v>
      </c>
      <c r="BO483" s="48">
        <f t="shared" si="1559"/>
        <v>0</v>
      </c>
      <c r="BP483" s="48">
        <f t="shared" si="1559"/>
        <v>0</v>
      </c>
      <c r="BQ483" s="48">
        <f t="shared" si="1559"/>
        <v>0</v>
      </c>
      <c r="BR483" s="36">
        <f t="shared" si="9"/>
        <v>0</v>
      </c>
      <c r="BS483" s="38">
        <f t="shared" si="10"/>
        <v>1</v>
      </c>
      <c r="BT483" s="49">
        <f t="shared" si="11"/>
        <v>0</v>
      </c>
      <c r="BU483" s="38">
        <f t="shared" si="12"/>
        <v>1000</v>
      </c>
      <c r="BV483" s="46" t="str">
        <f>IFERROR(__xludf.DUMMYFUNCTION("""COMPUTED_VALUE"""),"Duval")</f>
        <v>Duval</v>
      </c>
      <c r="BW483" s="46">
        <f t="shared" si="13"/>
        <v>100</v>
      </c>
      <c r="BX483" s="47">
        <f t="shared" ref="BX483:CA483" si="1560">AX483-$BU483</f>
        <v>-1000</v>
      </c>
      <c r="BY483" s="47">
        <f t="shared" si="1560"/>
        <v>-1000</v>
      </c>
      <c r="BZ483" s="47">
        <f t="shared" si="1560"/>
        <v>-1000</v>
      </c>
      <c r="CA483" s="47">
        <f t="shared" si="1560"/>
        <v>-1000</v>
      </c>
      <c r="CB483" s="47">
        <f t="shared" si="15"/>
        <v>-10000</v>
      </c>
      <c r="CC483" s="47">
        <f t="shared" ref="CC483:CQ483" si="1561">BC483-$BU483</f>
        <v>-900</v>
      </c>
      <c r="CD483" s="47">
        <f t="shared" si="1561"/>
        <v>-1000</v>
      </c>
      <c r="CE483" s="47">
        <f t="shared" si="1561"/>
        <v>-1000</v>
      </c>
      <c r="CF483" s="47">
        <f t="shared" si="1561"/>
        <v>-1000</v>
      </c>
      <c r="CG483" s="47">
        <f t="shared" si="1561"/>
        <v>-1000</v>
      </c>
      <c r="CH483" s="47">
        <f t="shared" si="1561"/>
        <v>-1000</v>
      </c>
      <c r="CI483" s="47">
        <f t="shared" si="1561"/>
        <v>-1000</v>
      </c>
      <c r="CJ483" s="47">
        <f t="shared" si="1561"/>
        <v>-1000</v>
      </c>
      <c r="CK483" s="47">
        <f t="shared" si="1561"/>
        <v>-1000</v>
      </c>
      <c r="CL483" s="47">
        <f t="shared" si="1561"/>
        <v>-1000</v>
      </c>
      <c r="CM483" s="47">
        <f t="shared" si="1561"/>
        <v>-1000</v>
      </c>
      <c r="CN483" s="47">
        <f t="shared" si="1561"/>
        <v>-1000</v>
      </c>
      <c r="CO483" s="47">
        <f t="shared" si="1561"/>
        <v>-1000</v>
      </c>
      <c r="CP483" s="47">
        <f t="shared" si="1561"/>
        <v>-1000</v>
      </c>
      <c r="CQ483" s="47">
        <f t="shared" si="1561"/>
        <v>-1000</v>
      </c>
      <c r="CR483" s="47"/>
      <c r="CS483" s="47"/>
      <c r="CT483" s="47"/>
      <c r="CU483" s="50" t="str">
        <f>IFERROR(__xludf.DUMMYFUNCTION("""COMPUTED_VALUE"""),"7140 Westlake
Dallas, TX 75214           ")</f>
        <v>7140 Westlake
Dallas, TX 75214           </v>
      </c>
      <c r="CV483" s="51">
        <f>IFERROR(__xludf.DUMMYFUNCTION("IF(REGEXMATCH(UPPER(CU483), ""TX""),0,1)"),0.0)</f>
        <v>0</v>
      </c>
      <c r="CW483" s="51">
        <f>IFERROR(__xludf.DUMMYFUNCTION("IF(REGEXMATCH(UPPER(CU483), ""DALLAS""),0,1)"),0.0)</f>
        <v>0</v>
      </c>
      <c r="CX483" s="51">
        <f t="shared" si="17"/>
        <v>0</v>
      </c>
      <c r="CY483" s="51">
        <f t="shared" si="18"/>
        <v>0</v>
      </c>
      <c r="CZ483" s="52" t="str">
        <f t="shared" si="19"/>
        <v/>
      </c>
      <c r="DA483" s="58"/>
      <c r="DB483" s="52"/>
      <c r="DC483" s="52"/>
      <c r="DD483" s="52"/>
      <c r="DE483" s="52"/>
      <c r="DF483" s="52"/>
      <c r="DG483" s="52"/>
      <c r="DH483" s="52"/>
      <c r="DI483" s="52"/>
      <c r="DJ483" s="52"/>
      <c r="DK483" s="52"/>
      <c r="DL483" s="52"/>
      <c r="DM483" s="52"/>
      <c r="DN483" s="52"/>
      <c r="DO483" s="52"/>
      <c r="DP483" s="52"/>
      <c r="DQ483" s="52"/>
      <c r="DR483" s="52"/>
      <c r="DS483" s="52"/>
      <c r="DT483" s="52"/>
      <c r="DU483" s="52"/>
      <c r="DV483" s="52"/>
      <c r="DW483" s="52"/>
    </row>
    <row r="484">
      <c r="A484" s="22" t="s">
        <v>55</v>
      </c>
      <c r="B484" s="23" t="s">
        <v>56</v>
      </c>
      <c r="C484" s="31" t="s">
        <v>1333</v>
      </c>
      <c r="D484" s="25" t="str">
        <f>IFERROR(__xludf.DUMMYFUNCTION("SPLIT(C484,"" "")"),"Forsyth")</f>
        <v>Forsyth</v>
      </c>
      <c r="E484" s="22" t="str">
        <f>IFERROR(__xludf.DUMMYFUNCTION("""COMPUTED_VALUE"""),"Lill,")</f>
        <v>Lill,</v>
      </c>
      <c r="F484" s="22" t="str">
        <f>IFERROR(__xludf.DUMMYFUNCTION("""COMPUTED_VALUE"""),"Velletta
622")</f>
        <v>Velletta
622</v>
      </c>
      <c r="G484" s="22" t="str">
        <f>IFERROR(__xludf.DUMMYFUNCTION("""COMPUTED_VALUE"""),"Blair")</f>
        <v>Blair</v>
      </c>
      <c r="H484" s="22" t="str">
        <f>IFERROR(__xludf.DUMMYFUNCTION("""COMPUTED_VALUE"""),"Blvd.
Dallas,")</f>
        <v>Blvd.
Dallas,</v>
      </c>
      <c r="I484" s="22" t="str">
        <f>IFERROR(__xludf.DUMMYFUNCTION("""COMPUTED_VALUE"""),"TX")</f>
        <v>TX</v>
      </c>
      <c r="J484" s="22">
        <f>IFERROR(__xludf.DUMMYFUNCTION("""COMPUTED_VALUE"""),75223.0)</f>
        <v>75223</v>
      </c>
      <c r="K484" s="22"/>
      <c r="L484" s="22"/>
      <c r="M484" s="22"/>
      <c r="N484" s="22"/>
      <c r="O484" s="22"/>
      <c r="P484" s="22"/>
      <c r="Q484" s="22"/>
      <c r="R484" s="22"/>
      <c r="S484" s="22"/>
      <c r="T484" s="22"/>
      <c r="U484" s="24" t="str">
        <f>IFERROR(__xludf.DUMMYFUNCTION("SPLIT(E484,""01234567890"")"),"Lill,")</f>
        <v>Lill,</v>
      </c>
      <c r="V484" s="24" t="str">
        <f>IFERROR(__xludf.DUMMYFUNCTION("SPLIT(D484,"","")"),"Forsyth")</f>
        <v>Forsyth</v>
      </c>
      <c r="W484" s="25" t="str">
        <f t="shared" si="1"/>
        <v>LILL, FORSYTH</v>
      </c>
      <c r="X484" s="25" t="s">
        <v>1334</v>
      </c>
      <c r="Y484" s="25">
        <v>75223.0</v>
      </c>
      <c r="Z484" s="25" t="str">
        <f>IFERROR(__xludf.DUMMYFUNCTION("SPLIT(C484,""
"")"),"Forsyth Lill, Velletta")</f>
        <v>Forsyth Lill, Velletta</v>
      </c>
      <c r="AA484" s="25" t="str">
        <f>IFERROR(__xludf.DUMMYFUNCTION("""COMPUTED_VALUE"""),"622 Blair Blvd.")</f>
        <v>622 Blair Blvd.</v>
      </c>
      <c r="AB484" s="25" t="str">
        <f>IFERROR(__xludf.DUMMYFUNCTION("""COMPUTED_VALUE"""),"Dallas, TX 75223")</f>
        <v>Dallas, TX 75223</v>
      </c>
      <c r="AC484" s="24" t="s">
        <v>1335</v>
      </c>
      <c r="AD484" s="25"/>
      <c r="AE484" s="25"/>
      <c r="AF484" s="25"/>
      <c r="AG484" s="22" t="s">
        <v>60</v>
      </c>
      <c r="AH484" s="54">
        <v>2448.0</v>
      </c>
      <c r="AI484" s="22" t="s">
        <v>61</v>
      </c>
      <c r="AJ484" s="27">
        <v>250.0</v>
      </c>
      <c r="AK484" s="31" t="s">
        <v>24</v>
      </c>
      <c r="AL484" s="28">
        <v>44672.0</v>
      </c>
      <c r="AM484" s="29">
        <v>44757.44018518519</v>
      </c>
      <c r="AN484" s="30">
        <v>2.0</v>
      </c>
      <c r="AO484" s="22"/>
      <c r="AP484" s="22"/>
      <c r="AQ484" s="22"/>
      <c r="AR484" s="22"/>
      <c r="AS484" s="22"/>
      <c r="AT484" s="70"/>
      <c r="AU484" s="22"/>
      <c r="AV484" s="57" t="str">
        <f>IFERROR(__xludf.DUMMYFUNCTION("""COMPUTED_VALUE"""),"Burns")</f>
        <v>Burns</v>
      </c>
      <c r="AW484" s="46">
        <f t="shared" si="7"/>
        <v>574.7</v>
      </c>
      <c r="AX484" s="47">
        <f t="shared" ref="AX484:BQ484" si="1562">SUMIFS($AJ:$AJ,$V:$V,$AV484,$AK:$AK,AX$2)</f>
        <v>474.7</v>
      </c>
      <c r="AY484" s="48">
        <f t="shared" si="1562"/>
        <v>0</v>
      </c>
      <c r="AZ484" s="48">
        <f t="shared" si="1562"/>
        <v>0</v>
      </c>
      <c r="BA484" s="48">
        <f t="shared" si="1562"/>
        <v>0</v>
      </c>
      <c r="BB484" s="48">
        <f t="shared" si="1562"/>
        <v>0</v>
      </c>
      <c r="BC484" s="48">
        <f t="shared" si="1562"/>
        <v>100</v>
      </c>
      <c r="BD484" s="48">
        <f t="shared" si="1562"/>
        <v>0</v>
      </c>
      <c r="BE484" s="48">
        <f t="shared" si="1562"/>
        <v>0</v>
      </c>
      <c r="BF484" s="48">
        <f t="shared" si="1562"/>
        <v>0</v>
      </c>
      <c r="BG484" s="48">
        <f t="shared" si="1562"/>
        <v>0</v>
      </c>
      <c r="BH484" s="48">
        <f t="shared" si="1562"/>
        <v>0</v>
      </c>
      <c r="BI484" s="48">
        <f t="shared" si="1562"/>
        <v>0</v>
      </c>
      <c r="BJ484" s="48">
        <f t="shared" si="1562"/>
        <v>0</v>
      </c>
      <c r="BK484" s="48">
        <f t="shared" si="1562"/>
        <v>0</v>
      </c>
      <c r="BL484" s="48">
        <f t="shared" si="1562"/>
        <v>0</v>
      </c>
      <c r="BM484" s="48">
        <f t="shared" si="1562"/>
        <v>0</v>
      </c>
      <c r="BN484" s="48">
        <f t="shared" si="1562"/>
        <v>0</v>
      </c>
      <c r="BO484" s="48">
        <f t="shared" si="1562"/>
        <v>0</v>
      </c>
      <c r="BP484" s="48">
        <f t="shared" si="1562"/>
        <v>0</v>
      </c>
      <c r="BQ484" s="48">
        <f t="shared" si="1562"/>
        <v>0</v>
      </c>
      <c r="BR484" s="36">
        <f t="shared" si="9"/>
        <v>1</v>
      </c>
      <c r="BS484" s="38">
        <f t="shared" si="10"/>
        <v>2</v>
      </c>
      <c r="BT484" s="49">
        <f t="shared" si="11"/>
        <v>0</v>
      </c>
      <c r="BU484" s="38">
        <f t="shared" si="12"/>
        <v>2000</v>
      </c>
      <c r="BV484" s="57" t="str">
        <f>IFERROR(__xludf.DUMMYFUNCTION("""COMPUTED_VALUE"""),"Burns")</f>
        <v>Burns</v>
      </c>
      <c r="BW484" s="46">
        <f t="shared" si="13"/>
        <v>574.7</v>
      </c>
      <c r="BX484" s="47">
        <f t="shared" ref="BX484:CA484" si="1563">AX484-$BU484</f>
        <v>-1525.3</v>
      </c>
      <c r="BY484" s="47">
        <f t="shared" si="1563"/>
        <v>-2000</v>
      </c>
      <c r="BZ484" s="47">
        <f t="shared" si="1563"/>
        <v>-2000</v>
      </c>
      <c r="CA484" s="47">
        <f t="shared" si="1563"/>
        <v>-2000</v>
      </c>
      <c r="CB484" s="47">
        <f t="shared" si="15"/>
        <v>-20000</v>
      </c>
      <c r="CC484" s="47">
        <f t="shared" ref="CC484:CQ484" si="1564">BC484-$BU484</f>
        <v>-1900</v>
      </c>
      <c r="CD484" s="47">
        <f t="shared" si="1564"/>
        <v>-2000</v>
      </c>
      <c r="CE484" s="47">
        <f t="shared" si="1564"/>
        <v>-2000</v>
      </c>
      <c r="CF484" s="47">
        <f t="shared" si="1564"/>
        <v>-2000</v>
      </c>
      <c r="CG484" s="47">
        <f t="shared" si="1564"/>
        <v>-2000</v>
      </c>
      <c r="CH484" s="47">
        <f t="shared" si="1564"/>
        <v>-2000</v>
      </c>
      <c r="CI484" s="47">
        <f t="shared" si="1564"/>
        <v>-2000</v>
      </c>
      <c r="CJ484" s="47">
        <f t="shared" si="1564"/>
        <v>-2000</v>
      </c>
      <c r="CK484" s="47">
        <f t="shared" si="1564"/>
        <v>-2000</v>
      </c>
      <c r="CL484" s="47">
        <f t="shared" si="1564"/>
        <v>-2000</v>
      </c>
      <c r="CM484" s="47">
        <f t="shared" si="1564"/>
        <v>-2000</v>
      </c>
      <c r="CN484" s="47">
        <f t="shared" si="1564"/>
        <v>-2000</v>
      </c>
      <c r="CO484" s="47">
        <f t="shared" si="1564"/>
        <v>-2000</v>
      </c>
      <c r="CP484" s="47">
        <f t="shared" si="1564"/>
        <v>-2000</v>
      </c>
      <c r="CQ484" s="47">
        <f t="shared" si="1564"/>
        <v>-2000</v>
      </c>
      <c r="CR484" s="47"/>
      <c r="CS484" s="47"/>
      <c r="CT484" s="47"/>
      <c r="CU484" s="50" t="str">
        <f>IFERROR(__xludf.DUMMYFUNCTION("""COMPUTED_VALUE"""),"7324 Gaston
Dallas, TX 75214           ")</f>
        <v>7324 Gaston
Dallas, TX 75214           </v>
      </c>
      <c r="CV484" s="51">
        <f>IFERROR(__xludf.DUMMYFUNCTION("IF(REGEXMATCH(UPPER(CU484), ""TX""),0,1)"),0.0)</f>
        <v>0</v>
      </c>
      <c r="CW484" s="51">
        <f>IFERROR(__xludf.DUMMYFUNCTION("IF(REGEXMATCH(UPPER(CU484), ""DALLAS""),0,1)"),0.0)</f>
        <v>0</v>
      </c>
      <c r="CX484" s="51">
        <f t="shared" si="17"/>
        <v>0</v>
      </c>
      <c r="CY484" s="51">
        <f t="shared" si="18"/>
        <v>0</v>
      </c>
      <c r="CZ484" s="52" t="str">
        <f t="shared" si="19"/>
        <v/>
      </c>
      <c r="DA484" s="58"/>
      <c r="DB484" s="52"/>
      <c r="DC484" s="52"/>
      <c r="DD484" s="52"/>
      <c r="DE484" s="52"/>
      <c r="DF484" s="52"/>
      <c r="DG484" s="52"/>
      <c r="DH484" s="52"/>
      <c r="DI484" s="52"/>
      <c r="DJ484" s="52"/>
      <c r="DK484" s="52"/>
      <c r="DL484" s="52"/>
      <c r="DM484" s="52"/>
      <c r="DN484" s="52"/>
      <c r="DO484" s="52"/>
      <c r="DP484" s="52"/>
      <c r="DQ484" s="52"/>
      <c r="DR484" s="52"/>
      <c r="DS484" s="52"/>
      <c r="DT484" s="52"/>
      <c r="DU484" s="52"/>
      <c r="DV484" s="52"/>
      <c r="DW484" s="52"/>
    </row>
    <row r="485">
      <c r="A485" s="40" t="s">
        <v>55</v>
      </c>
      <c r="B485" s="41" t="s">
        <v>56</v>
      </c>
      <c r="C485" s="31" t="s">
        <v>1336</v>
      </c>
      <c r="D485" s="25" t="str">
        <f>IFERROR(__xludf.DUMMYFUNCTION("SPLIT(C485,"" "")"),"Fulton,")</f>
        <v>Fulton,</v>
      </c>
      <c r="E485" s="40" t="str">
        <f>IFERROR(__xludf.DUMMYFUNCTION("""COMPUTED_VALUE"""),"Duncan
6629")</f>
        <v>Duncan
6629</v>
      </c>
      <c r="F485" s="40" t="str">
        <f>IFERROR(__xludf.DUMMYFUNCTION("""COMPUTED_VALUE"""),"Golf")</f>
        <v>Golf</v>
      </c>
      <c r="G485" s="40" t="str">
        <f>IFERROR(__xludf.DUMMYFUNCTION("""COMPUTED_VALUE"""),"Dr
Dallas,")</f>
        <v>Dr
Dallas,</v>
      </c>
      <c r="H485" s="40" t="str">
        <f>IFERROR(__xludf.DUMMYFUNCTION("""COMPUTED_VALUE"""),"TX")</f>
        <v>TX</v>
      </c>
      <c r="I485" s="40">
        <f>IFERROR(__xludf.DUMMYFUNCTION("""COMPUTED_VALUE"""),75205.0)</f>
        <v>75205</v>
      </c>
      <c r="J485" s="40"/>
      <c r="K485" s="40"/>
      <c r="L485" s="40"/>
      <c r="M485" s="40"/>
      <c r="N485" s="40"/>
      <c r="O485" s="40"/>
      <c r="P485" s="40"/>
      <c r="Q485" s="40"/>
      <c r="R485" s="40"/>
      <c r="S485" s="40"/>
      <c r="T485" s="40"/>
      <c r="U485" s="24" t="str">
        <f>IFERROR(__xludf.DUMMYFUNCTION("SPLIT(E485,""01234567890"")"),"Duncan
")</f>
        <v>Duncan
</v>
      </c>
      <c r="V485" s="24" t="str">
        <f>IFERROR(__xludf.DUMMYFUNCTION("SPLIT(D485,"","")"),"Fulton")</f>
        <v>Fulton</v>
      </c>
      <c r="W485" s="25" t="str">
        <f t="shared" si="1"/>
        <v>DUNCAN
 FULTON</v>
      </c>
      <c r="X485" s="25" t="s">
        <v>1337</v>
      </c>
      <c r="Y485" s="25">
        <v>75205.0</v>
      </c>
      <c r="Z485" s="25" t="str">
        <f>IFERROR(__xludf.DUMMYFUNCTION("SPLIT(C485,""
"")"),"Fulton, Duncan")</f>
        <v>Fulton, Duncan</v>
      </c>
      <c r="AA485" s="25" t="str">
        <f>IFERROR(__xludf.DUMMYFUNCTION("""COMPUTED_VALUE"""),"6629 Golf Dr")</f>
        <v>6629 Golf Dr</v>
      </c>
      <c r="AB485" s="25" t="str">
        <f>IFERROR(__xludf.DUMMYFUNCTION("""COMPUTED_VALUE"""),"Dallas, TX 75205")</f>
        <v>Dallas, TX 75205</v>
      </c>
      <c r="AC485" s="24" t="s">
        <v>1338</v>
      </c>
      <c r="AD485" s="25"/>
      <c r="AE485" s="25"/>
      <c r="AF485" s="25"/>
      <c r="AG485" s="40" t="s">
        <v>60</v>
      </c>
      <c r="AH485" s="42">
        <v>2448.0</v>
      </c>
      <c r="AI485" s="40" t="s">
        <v>61</v>
      </c>
      <c r="AJ485" s="27">
        <v>500.0</v>
      </c>
      <c r="AK485" s="31" t="s">
        <v>24</v>
      </c>
      <c r="AL485" s="43">
        <v>44672.0</v>
      </c>
      <c r="AM485" s="44">
        <v>44757.44018518519</v>
      </c>
      <c r="AN485" s="30">
        <v>2.0</v>
      </c>
      <c r="AO485" s="40"/>
      <c r="AP485" s="40"/>
      <c r="AQ485" s="40"/>
      <c r="AR485" s="40"/>
      <c r="AS485" s="40"/>
      <c r="AT485" s="47"/>
      <c r="AU485" s="40"/>
      <c r="AV485" s="46" t="str">
        <f>IFERROR(__xludf.DUMMYFUNCTION("""COMPUTED_VALUE"""),"Hughes")</f>
        <v>Hughes</v>
      </c>
      <c r="AW485" s="46">
        <f t="shared" si="7"/>
        <v>500</v>
      </c>
      <c r="AX485" s="47">
        <f t="shared" ref="AX485:BQ485" si="1565">SUMIFS($AJ:$AJ,$V:$V,$AV485,$AK:$AK,AX$2)</f>
        <v>0</v>
      </c>
      <c r="AY485" s="48">
        <f t="shared" si="1565"/>
        <v>0</v>
      </c>
      <c r="AZ485" s="48">
        <f t="shared" si="1565"/>
        <v>0</v>
      </c>
      <c r="BA485" s="48">
        <f t="shared" si="1565"/>
        <v>0</v>
      </c>
      <c r="BB485" s="48">
        <f t="shared" si="1565"/>
        <v>0</v>
      </c>
      <c r="BC485" s="48">
        <f t="shared" si="1565"/>
        <v>500</v>
      </c>
      <c r="BD485" s="48">
        <f t="shared" si="1565"/>
        <v>0</v>
      </c>
      <c r="BE485" s="48">
        <f t="shared" si="1565"/>
        <v>0</v>
      </c>
      <c r="BF485" s="48">
        <f t="shared" si="1565"/>
        <v>0</v>
      </c>
      <c r="BG485" s="48">
        <f t="shared" si="1565"/>
        <v>0</v>
      </c>
      <c r="BH485" s="48">
        <f t="shared" si="1565"/>
        <v>0</v>
      </c>
      <c r="BI485" s="48">
        <f t="shared" si="1565"/>
        <v>0</v>
      </c>
      <c r="BJ485" s="48">
        <f t="shared" si="1565"/>
        <v>0</v>
      </c>
      <c r="BK485" s="48">
        <f t="shared" si="1565"/>
        <v>0</v>
      </c>
      <c r="BL485" s="48">
        <f t="shared" si="1565"/>
        <v>0</v>
      </c>
      <c r="BM485" s="48">
        <f t="shared" si="1565"/>
        <v>0</v>
      </c>
      <c r="BN485" s="48">
        <f t="shared" si="1565"/>
        <v>0</v>
      </c>
      <c r="BO485" s="48">
        <f t="shared" si="1565"/>
        <v>0</v>
      </c>
      <c r="BP485" s="48">
        <f t="shared" si="1565"/>
        <v>0</v>
      </c>
      <c r="BQ485" s="48">
        <f t="shared" si="1565"/>
        <v>0</v>
      </c>
      <c r="BR485" s="36">
        <f t="shared" si="9"/>
        <v>0</v>
      </c>
      <c r="BS485" s="38">
        <f t="shared" si="10"/>
        <v>1</v>
      </c>
      <c r="BT485" s="49">
        <f t="shared" si="11"/>
        <v>0</v>
      </c>
      <c r="BU485" s="38">
        <f t="shared" si="12"/>
        <v>1000</v>
      </c>
      <c r="BV485" s="46" t="str">
        <f>IFERROR(__xludf.DUMMYFUNCTION("""COMPUTED_VALUE"""),"Hughes")</f>
        <v>Hughes</v>
      </c>
      <c r="BW485" s="46">
        <f t="shared" si="13"/>
        <v>500</v>
      </c>
      <c r="BX485" s="47">
        <f t="shared" ref="BX485:CA485" si="1566">AX485-$BU485</f>
        <v>-1000</v>
      </c>
      <c r="BY485" s="47">
        <f t="shared" si="1566"/>
        <v>-1000</v>
      </c>
      <c r="BZ485" s="47">
        <f t="shared" si="1566"/>
        <v>-1000</v>
      </c>
      <c r="CA485" s="47">
        <f t="shared" si="1566"/>
        <v>-1000</v>
      </c>
      <c r="CB485" s="47">
        <f t="shared" si="15"/>
        <v>-10000</v>
      </c>
      <c r="CC485" s="47">
        <f t="shared" ref="CC485:CQ485" si="1567">BC485-$BU485</f>
        <v>-500</v>
      </c>
      <c r="CD485" s="47">
        <f t="shared" si="1567"/>
        <v>-1000</v>
      </c>
      <c r="CE485" s="47">
        <f t="shared" si="1567"/>
        <v>-1000</v>
      </c>
      <c r="CF485" s="47">
        <f t="shared" si="1567"/>
        <v>-1000</v>
      </c>
      <c r="CG485" s="47">
        <f t="shared" si="1567"/>
        <v>-1000</v>
      </c>
      <c r="CH485" s="47">
        <f t="shared" si="1567"/>
        <v>-1000</v>
      </c>
      <c r="CI485" s="47">
        <f t="shared" si="1567"/>
        <v>-1000</v>
      </c>
      <c r="CJ485" s="47">
        <f t="shared" si="1567"/>
        <v>-1000</v>
      </c>
      <c r="CK485" s="47">
        <f t="shared" si="1567"/>
        <v>-1000</v>
      </c>
      <c r="CL485" s="47">
        <f t="shared" si="1567"/>
        <v>-1000</v>
      </c>
      <c r="CM485" s="47">
        <f t="shared" si="1567"/>
        <v>-1000</v>
      </c>
      <c r="CN485" s="47">
        <f t="shared" si="1567"/>
        <v>-1000</v>
      </c>
      <c r="CO485" s="47">
        <f t="shared" si="1567"/>
        <v>-1000</v>
      </c>
      <c r="CP485" s="47">
        <f t="shared" si="1567"/>
        <v>-1000</v>
      </c>
      <c r="CQ485" s="47">
        <f t="shared" si="1567"/>
        <v>-1000</v>
      </c>
      <c r="CR485" s="47"/>
      <c r="CS485" s="47"/>
      <c r="CT485" s="47"/>
      <c r="CU485" s="50" t="str">
        <f>IFERROR(__xludf.DUMMYFUNCTION("""COMPUTED_VALUE"""),"9010 Groveland Dr
Dallas, TX 75218          ")</f>
        <v>9010 Groveland Dr
Dallas, TX 75218          </v>
      </c>
      <c r="CV485" s="51">
        <f>IFERROR(__xludf.DUMMYFUNCTION("IF(REGEXMATCH(UPPER(CU485), ""TX""),0,1)"),0.0)</f>
        <v>0</v>
      </c>
      <c r="CW485" s="51">
        <f>IFERROR(__xludf.DUMMYFUNCTION("IF(REGEXMATCH(UPPER(CU485), ""DALLAS""),0,1)"),0.0)</f>
        <v>0</v>
      </c>
      <c r="CX485" s="51">
        <f t="shared" si="17"/>
        <v>0</v>
      </c>
      <c r="CY485" s="51">
        <f t="shared" si="18"/>
        <v>0</v>
      </c>
      <c r="CZ485" s="52" t="str">
        <f t="shared" si="19"/>
        <v/>
      </c>
      <c r="DA485" s="58"/>
      <c r="DB485" s="52"/>
      <c r="DC485" s="52"/>
      <c r="DD485" s="52"/>
      <c r="DE485" s="52"/>
      <c r="DF485" s="52"/>
      <c r="DG485" s="52"/>
      <c r="DH485" s="52"/>
      <c r="DI485" s="52"/>
      <c r="DJ485" s="52"/>
      <c r="DK485" s="52"/>
      <c r="DL485" s="52"/>
      <c r="DM485" s="52"/>
      <c r="DN485" s="52"/>
      <c r="DO485" s="52"/>
      <c r="DP485" s="52"/>
      <c r="DQ485" s="52"/>
      <c r="DR485" s="52"/>
      <c r="DS485" s="52"/>
      <c r="DT485" s="52"/>
      <c r="DU485" s="52"/>
      <c r="DV485" s="52"/>
      <c r="DW485" s="52"/>
    </row>
    <row r="486">
      <c r="A486" s="22" t="s">
        <v>55</v>
      </c>
      <c r="B486" s="23" t="s">
        <v>56</v>
      </c>
      <c r="C486" s="31" t="s">
        <v>1339</v>
      </c>
      <c r="D486" s="25" t="str">
        <f>IFERROR(__xludf.DUMMYFUNCTION("SPLIT(C486,"" "")"),"Tarpley,")</f>
        <v>Tarpley,</v>
      </c>
      <c r="E486" s="22" t="str">
        <f>IFERROR(__xludf.DUMMYFUNCTION("""COMPUTED_VALUE"""),"Gloria
8378")</f>
        <v>Gloria
8378</v>
      </c>
      <c r="F486" s="22" t="str">
        <f>IFERROR(__xludf.DUMMYFUNCTION("""COMPUTED_VALUE"""),"Forest")</f>
        <v>Forest</v>
      </c>
      <c r="G486" s="22" t="str">
        <f>IFERROR(__xludf.DUMMYFUNCTION("""COMPUTED_VALUE"""),"Hills")</f>
        <v>Hills</v>
      </c>
      <c r="H486" s="22" t="str">
        <f>IFERROR(__xludf.DUMMYFUNCTION("""COMPUTED_VALUE"""),"Blvd.
Dallas,")</f>
        <v>Blvd.
Dallas,</v>
      </c>
      <c r="I486" s="22" t="str">
        <f>IFERROR(__xludf.DUMMYFUNCTION("""COMPUTED_VALUE"""),"TX")</f>
        <v>TX</v>
      </c>
      <c r="J486" s="22">
        <f>IFERROR(__xludf.DUMMYFUNCTION("""COMPUTED_VALUE"""),75218.0)</f>
        <v>75218</v>
      </c>
      <c r="K486" s="22"/>
      <c r="L486" s="22"/>
      <c r="M486" s="22"/>
      <c r="N486" s="22"/>
      <c r="O486" s="22"/>
      <c r="P486" s="22"/>
      <c r="Q486" s="22"/>
      <c r="R486" s="22"/>
      <c r="S486" s="22"/>
      <c r="T486" s="22"/>
      <c r="U486" s="24" t="str">
        <f>IFERROR(__xludf.DUMMYFUNCTION("SPLIT(E486,""01234567890"")"),"Gloria
")</f>
        <v>Gloria
</v>
      </c>
      <c r="V486" s="24" t="str">
        <f>IFERROR(__xludf.DUMMYFUNCTION("SPLIT(D486,"","")"),"Tarpley")</f>
        <v>Tarpley</v>
      </c>
      <c r="W486" s="25" t="str">
        <f t="shared" si="1"/>
        <v>GLORIA
 TARPLEY</v>
      </c>
      <c r="X486" s="25" t="s">
        <v>1340</v>
      </c>
      <c r="Y486" s="25">
        <v>75218.0</v>
      </c>
      <c r="Z486" s="25" t="str">
        <f>IFERROR(__xludf.DUMMYFUNCTION("SPLIT(C486,""
"")"),"Tarpley, Gloria")</f>
        <v>Tarpley, Gloria</v>
      </c>
      <c r="AA486" s="25" t="str">
        <f>IFERROR(__xludf.DUMMYFUNCTION("""COMPUTED_VALUE"""),"8378 Forest Hills Blvd.")</f>
        <v>8378 Forest Hills Blvd.</v>
      </c>
      <c r="AB486" s="25" t="str">
        <f>IFERROR(__xludf.DUMMYFUNCTION("""COMPUTED_VALUE"""),"Dallas, TX 75218")</f>
        <v>Dallas, TX 75218</v>
      </c>
      <c r="AC486" s="24" t="s">
        <v>1341</v>
      </c>
      <c r="AD486" s="25"/>
      <c r="AE486" s="25"/>
      <c r="AF486" s="25"/>
      <c r="AG486" s="22" t="s">
        <v>60</v>
      </c>
      <c r="AH486" s="54">
        <v>2448.0</v>
      </c>
      <c r="AI486" s="22" t="s">
        <v>61</v>
      </c>
      <c r="AJ486" s="27">
        <v>250.0</v>
      </c>
      <c r="AK486" s="31" t="s">
        <v>24</v>
      </c>
      <c r="AL486" s="28">
        <v>44672.0</v>
      </c>
      <c r="AM486" s="29">
        <v>44757.44018518519</v>
      </c>
      <c r="AN486" s="30">
        <v>2.0</v>
      </c>
      <c r="AO486" s="22"/>
      <c r="AP486" s="22"/>
      <c r="AQ486" s="22"/>
      <c r="AR486" s="22"/>
      <c r="AS486" s="22"/>
      <c r="AT486" s="70"/>
      <c r="AU486" s="22"/>
      <c r="AV486" s="57" t="str">
        <f>IFERROR(__xludf.DUMMYFUNCTION("""COMPUTED_VALUE"""),"Zreet")</f>
        <v>Zreet</v>
      </c>
      <c r="AW486" s="46">
        <f t="shared" si="7"/>
        <v>250</v>
      </c>
      <c r="AX486" s="47">
        <f t="shared" ref="AX486:BQ486" si="1568">SUMIFS($AJ:$AJ,$V:$V,$AV486,$AK:$AK,AX$2)</f>
        <v>0</v>
      </c>
      <c r="AY486" s="48">
        <f t="shared" si="1568"/>
        <v>0</v>
      </c>
      <c r="AZ486" s="48">
        <f t="shared" si="1568"/>
        <v>0</v>
      </c>
      <c r="BA486" s="48">
        <f t="shared" si="1568"/>
        <v>0</v>
      </c>
      <c r="BB486" s="48">
        <f t="shared" si="1568"/>
        <v>0</v>
      </c>
      <c r="BC486" s="48">
        <f t="shared" si="1568"/>
        <v>250</v>
      </c>
      <c r="BD486" s="48">
        <f t="shared" si="1568"/>
        <v>0</v>
      </c>
      <c r="BE486" s="48">
        <f t="shared" si="1568"/>
        <v>0</v>
      </c>
      <c r="BF486" s="48">
        <f t="shared" si="1568"/>
        <v>0</v>
      </c>
      <c r="BG486" s="48">
        <f t="shared" si="1568"/>
        <v>0</v>
      </c>
      <c r="BH486" s="48">
        <f t="shared" si="1568"/>
        <v>0</v>
      </c>
      <c r="BI486" s="48">
        <f t="shared" si="1568"/>
        <v>0</v>
      </c>
      <c r="BJ486" s="48">
        <f t="shared" si="1568"/>
        <v>0</v>
      </c>
      <c r="BK486" s="48">
        <f t="shared" si="1568"/>
        <v>0</v>
      </c>
      <c r="BL486" s="48">
        <f t="shared" si="1568"/>
        <v>0</v>
      </c>
      <c r="BM486" s="48">
        <f t="shared" si="1568"/>
        <v>0</v>
      </c>
      <c r="BN486" s="48">
        <f t="shared" si="1568"/>
        <v>0</v>
      </c>
      <c r="BO486" s="48">
        <f t="shared" si="1568"/>
        <v>0</v>
      </c>
      <c r="BP486" s="48">
        <f t="shared" si="1568"/>
        <v>0</v>
      </c>
      <c r="BQ486" s="48">
        <f t="shared" si="1568"/>
        <v>0</v>
      </c>
      <c r="BR486" s="36">
        <f t="shared" si="9"/>
        <v>0</v>
      </c>
      <c r="BS486" s="38">
        <f t="shared" si="10"/>
        <v>1</v>
      </c>
      <c r="BT486" s="49">
        <f t="shared" si="11"/>
        <v>0</v>
      </c>
      <c r="BU486" s="38">
        <f t="shared" si="12"/>
        <v>1000</v>
      </c>
      <c r="BV486" s="57" t="str">
        <f>IFERROR(__xludf.DUMMYFUNCTION("""COMPUTED_VALUE"""),"Zreet")</f>
        <v>Zreet</v>
      </c>
      <c r="BW486" s="46">
        <f t="shared" si="13"/>
        <v>250</v>
      </c>
      <c r="BX486" s="47">
        <f t="shared" ref="BX486:CA486" si="1569">AX486-$BU486</f>
        <v>-1000</v>
      </c>
      <c r="BY486" s="47">
        <f t="shared" si="1569"/>
        <v>-1000</v>
      </c>
      <c r="BZ486" s="47">
        <f t="shared" si="1569"/>
        <v>-1000</v>
      </c>
      <c r="CA486" s="47">
        <f t="shared" si="1569"/>
        <v>-1000</v>
      </c>
      <c r="CB486" s="47">
        <f t="shared" si="15"/>
        <v>-10000</v>
      </c>
      <c r="CC486" s="47">
        <f t="shared" ref="CC486:CQ486" si="1570">BC486-$BU486</f>
        <v>-750</v>
      </c>
      <c r="CD486" s="47">
        <f t="shared" si="1570"/>
        <v>-1000</v>
      </c>
      <c r="CE486" s="47">
        <f t="shared" si="1570"/>
        <v>-1000</v>
      </c>
      <c r="CF486" s="47">
        <f t="shared" si="1570"/>
        <v>-1000</v>
      </c>
      <c r="CG486" s="47">
        <f t="shared" si="1570"/>
        <v>-1000</v>
      </c>
      <c r="CH486" s="47">
        <f t="shared" si="1570"/>
        <v>-1000</v>
      </c>
      <c r="CI486" s="47">
        <f t="shared" si="1570"/>
        <v>-1000</v>
      </c>
      <c r="CJ486" s="47">
        <f t="shared" si="1570"/>
        <v>-1000</v>
      </c>
      <c r="CK486" s="47">
        <f t="shared" si="1570"/>
        <v>-1000</v>
      </c>
      <c r="CL486" s="47">
        <f t="shared" si="1570"/>
        <v>-1000</v>
      </c>
      <c r="CM486" s="47">
        <f t="shared" si="1570"/>
        <v>-1000</v>
      </c>
      <c r="CN486" s="47">
        <f t="shared" si="1570"/>
        <v>-1000</v>
      </c>
      <c r="CO486" s="47">
        <f t="shared" si="1570"/>
        <v>-1000</v>
      </c>
      <c r="CP486" s="47">
        <f t="shared" si="1570"/>
        <v>-1000</v>
      </c>
      <c r="CQ486" s="47">
        <f t="shared" si="1570"/>
        <v>-1000</v>
      </c>
      <c r="CR486" s="47"/>
      <c r="CS486" s="47"/>
      <c r="CT486" s="47"/>
      <c r="CU486" s="50" t="str">
        <f>IFERROR(__xludf.DUMMYFUNCTION("""COMPUTED_VALUE"""),"7123 LaVista Dr.
Dallas, TX 75214          ")</f>
        <v>7123 LaVista Dr.
Dallas, TX 75214          </v>
      </c>
      <c r="CV486" s="51">
        <f>IFERROR(__xludf.DUMMYFUNCTION("IF(REGEXMATCH(UPPER(CU486), ""TX""),0,1)"),0.0)</f>
        <v>0</v>
      </c>
      <c r="CW486" s="51">
        <f>IFERROR(__xludf.DUMMYFUNCTION("IF(REGEXMATCH(UPPER(CU486), ""DALLAS""),0,1)"),0.0)</f>
        <v>0</v>
      </c>
      <c r="CX486" s="51">
        <f t="shared" si="17"/>
        <v>0</v>
      </c>
      <c r="CY486" s="51">
        <f t="shared" si="18"/>
        <v>0</v>
      </c>
      <c r="CZ486" s="52" t="str">
        <f t="shared" si="19"/>
        <v/>
      </c>
      <c r="DA486" s="58"/>
      <c r="DB486" s="52"/>
      <c r="DC486" s="52"/>
      <c r="DD486" s="52"/>
      <c r="DE486" s="52"/>
      <c r="DF486" s="52"/>
      <c r="DG486" s="52"/>
      <c r="DH486" s="52"/>
      <c r="DI486" s="52"/>
      <c r="DJ486" s="52"/>
      <c r="DK486" s="52"/>
      <c r="DL486" s="52"/>
      <c r="DM486" s="52"/>
      <c r="DN486" s="52"/>
      <c r="DO486" s="52"/>
      <c r="DP486" s="52"/>
      <c r="DQ486" s="52"/>
      <c r="DR486" s="52"/>
      <c r="DS486" s="52"/>
      <c r="DT486" s="52"/>
      <c r="DU486" s="52"/>
      <c r="DV486" s="52"/>
      <c r="DW486" s="52"/>
    </row>
    <row r="487">
      <c r="A487" s="40" t="s">
        <v>55</v>
      </c>
      <c r="B487" s="41" t="s">
        <v>56</v>
      </c>
      <c r="C487" s="31" t="s">
        <v>141</v>
      </c>
      <c r="D487" s="25" t="str">
        <f>IFERROR(__xludf.DUMMYFUNCTION("SPLIT(C487,"" "")"),"Alcantar,")</f>
        <v>Alcantar,</v>
      </c>
      <c r="E487" s="40" t="str">
        <f>IFERROR(__xludf.DUMMYFUNCTION("""COMPUTED_VALUE"""),"Joe
7304")</f>
        <v>Joe
7304</v>
      </c>
      <c r="F487" s="40" t="str">
        <f>IFERROR(__xludf.DUMMYFUNCTION("""COMPUTED_VALUE"""),"Lane")</f>
        <v>Lane</v>
      </c>
      <c r="G487" s="40" t="str">
        <f>IFERROR(__xludf.DUMMYFUNCTION("""COMPUTED_VALUE"""),"Park")</f>
        <v>Park</v>
      </c>
      <c r="H487" s="40" t="str">
        <f>IFERROR(__xludf.DUMMYFUNCTION("""COMPUTED_VALUE"""),"Ct
Dallas,")</f>
        <v>Ct
Dallas,</v>
      </c>
      <c r="I487" s="40" t="str">
        <f>IFERROR(__xludf.DUMMYFUNCTION("""COMPUTED_VALUE"""),"TX")</f>
        <v>TX</v>
      </c>
      <c r="J487" s="40">
        <f>IFERROR(__xludf.DUMMYFUNCTION("""COMPUTED_VALUE"""),75225.0)</f>
        <v>75225</v>
      </c>
      <c r="K487" s="40"/>
      <c r="L487" s="40"/>
      <c r="M487" s="40"/>
      <c r="N487" s="40"/>
      <c r="O487" s="40"/>
      <c r="P487" s="40"/>
      <c r="Q487" s="40"/>
      <c r="R487" s="40"/>
      <c r="S487" s="40"/>
      <c r="T487" s="40"/>
      <c r="U487" s="24" t="str">
        <f>IFERROR(__xludf.DUMMYFUNCTION("SPLIT(E487,""01234567890"")"),"Joe
")</f>
        <v>Joe
</v>
      </c>
      <c r="V487" s="24" t="str">
        <f>IFERROR(__xludf.DUMMYFUNCTION("SPLIT(D487,"","")"),"Alcantar")</f>
        <v>Alcantar</v>
      </c>
      <c r="W487" s="25" t="str">
        <f t="shared" si="1"/>
        <v>JOE
 ALCANTAR</v>
      </c>
      <c r="X487" s="25" t="s">
        <v>142</v>
      </c>
      <c r="Y487" s="25">
        <v>75225.0</v>
      </c>
      <c r="Z487" s="25" t="str">
        <f>IFERROR(__xludf.DUMMYFUNCTION("SPLIT(C487,""
"")"),"Alcantar, Joe")</f>
        <v>Alcantar, Joe</v>
      </c>
      <c r="AA487" s="25" t="str">
        <f>IFERROR(__xludf.DUMMYFUNCTION("""COMPUTED_VALUE"""),"7304 Lane Park Ct")</f>
        <v>7304 Lane Park Ct</v>
      </c>
      <c r="AB487" s="25" t="str">
        <f>IFERROR(__xludf.DUMMYFUNCTION("""COMPUTED_VALUE"""),"Dallas, TX 75225")</f>
        <v>Dallas, TX 75225</v>
      </c>
      <c r="AC487" s="24" t="s">
        <v>138</v>
      </c>
      <c r="AD487" s="25"/>
      <c r="AE487" s="25"/>
      <c r="AF487" s="25"/>
      <c r="AG487" s="40" t="s">
        <v>60</v>
      </c>
      <c r="AH487" s="42">
        <v>2448.0</v>
      </c>
      <c r="AI487" s="40" t="s">
        <v>61</v>
      </c>
      <c r="AJ487" s="27">
        <v>500.0</v>
      </c>
      <c r="AK487" s="31" t="s">
        <v>24</v>
      </c>
      <c r="AL487" s="43">
        <v>44673.0</v>
      </c>
      <c r="AM487" s="44">
        <v>44757.44018518519</v>
      </c>
      <c r="AN487" s="30">
        <v>2.0</v>
      </c>
      <c r="AO487" s="40"/>
      <c r="AP487" s="40"/>
      <c r="AQ487" s="40"/>
      <c r="AR487" s="40"/>
      <c r="AS487" s="40"/>
      <c r="AT487" s="47"/>
      <c r="AU487" s="40"/>
      <c r="AV487" s="46" t="str">
        <f>IFERROR(__xludf.DUMMYFUNCTION("""COMPUTED_VALUE"""),"Woods")</f>
        <v>Woods</v>
      </c>
      <c r="AW487" s="46">
        <f t="shared" si="7"/>
        <v>50</v>
      </c>
      <c r="AX487" s="47">
        <f t="shared" ref="AX487:BQ487" si="1571">SUMIFS($AJ:$AJ,$V:$V,$AV487,$AK:$AK,AX$2)</f>
        <v>0</v>
      </c>
      <c r="AY487" s="48">
        <f t="shared" si="1571"/>
        <v>0</v>
      </c>
      <c r="AZ487" s="48">
        <f t="shared" si="1571"/>
        <v>0</v>
      </c>
      <c r="BA487" s="48">
        <f t="shared" si="1571"/>
        <v>0</v>
      </c>
      <c r="BB487" s="48">
        <f t="shared" si="1571"/>
        <v>0</v>
      </c>
      <c r="BC487" s="48">
        <f t="shared" si="1571"/>
        <v>50</v>
      </c>
      <c r="BD487" s="48">
        <f t="shared" si="1571"/>
        <v>0</v>
      </c>
      <c r="BE487" s="48">
        <f t="shared" si="1571"/>
        <v>0</v>
      </c>
      <c r="BF487" s="48">
        <f t="shared" si="1571"/>
        <v>0</v>
      </c>
      <c r="BG487" s="48">
        <f t="shared" si="1571"/>
        <v>0</v>
      </c>
      <c r="BH487" s="48">
        <f t="shared" si="1571"/>
        <v>0</v>
      </c>
      <c r="BI487" s="48">
        <f t="shared" si="1571"/>
        <v>0</v>
      </c>
      <c r="BJ487" s="48">
        <f t="shared" si="1571"/>
        <v>0</v>
      </c>
      <c r="BK487" s="48">
        <f t="shared" si="1571"/>
        <v>0</v>
      </c>
      <c r="BL487" s="48">
        <f t="shared" si="1571"/>
        <v>0</v>
      </c>
      <c r="BM487" s="48">
        <f t="shared" si="1571"/>
        <v>0</v>
      </c>
      <c r="BN487" s="48">
        <f t="shared" si="1571"/>
        <v>0</v>
      </c>
      <c r="BO487" s="48">
        <f t="shared" si="1571"/>
        <v>0</v>
      </c>
      <c r="BP487" s="48">
        <f t="shared" si="1571"/>
        <v>0</v>
      </c>
      <c r="BQ487" s="48">
        <f t="shared" si="1571"/>
        <v>0</v>
      </c>
      <c r="BR487" s="36">
        <f t="shared" si="9"/>
        <v>0</v>
      </c>
      <c r="BS487" s="38">
        <f t="shared" si="10"/>
        <v>1</v>
      </c>
      <c r="BT487" s="49">
        <f t="shared" si="11"/>
        <v>0</v>
      </c>
      <c r="BU487" s="38">
        <f t="shared" si="12"/>
        <v>1000</v>
      </c>
      <c r="BV487" s="46" t="str">
        <f>IFERROR(__xludf.DUMMYFUNCTION("""COMPUTED_VALUE"""),"Woods")</f>
        <v>Woods</v>
      </c>
      <c r="BW487" s="46">
        <f t="shared" si="13"/>
        <v>50</v>
      </c>
      <c r="BX487" s="47">
        <f t="shared" ref="BX487:CA487" si="1572">AX487-$BU487</f>
        <v>-1000</v>
      </c>
      <c r="BY487" s="47">
        <f t="shared" si="1572"/>
        <v>-1000</v>
      </c>
      <c r="BZ487" s="47">
        <f t="shared" si="1572"/>
        <v>-1000</v>
      </c>
      <c r="CA487" s="47">
        <f t="shared" si="1572"/>
        <v>-1000</v>
      </c>
      <c r="CB487" s="47">
        <f t="shared" si="15"/>
        <v>-10000</v>
      </c>
      <c r="CC487" s="47">
        <f t="shared" ref="CC487:CQ487" si="1573">BC487-$BU487</f>
        <v>-950</v>
      </c>
      <c r="CD487" s="47">
        <f t="shared" si="1573"/>
        <v>-1000</v>
      </c>
      <c r="CE487" s="47">
        <f t="shared" si="1573"/>
        <v>-1000</v>
      </c>
      <c r="CF487" s="47">
        <f t="shared" si="1573"/>
        <v>-1000</v>
      </c>
      <c r="CG487" s="47">
        <f t="shared" si="1573"/>
        <v>-1000</v>
      </c>
      <c r="CH487" s="47">
        <f t="shared" si="1573"/>
        <v>-1000</v>
      </c>
      <c r="CI487" s="47">
        <f t="shared" si="1573"/>
        <v>-1000</v>
      </c>
      <c r="CJ487" s="47">
        <f t="shared" si="1573"/>
        <v>-1000</v>
      </c>
      <c r="CK487" s="47">
        <f t="shared" si="1573"/>
        <v>-1000</v>
      </c>
      <c r="CL487" s="47">
        <f t="shared" si="1573"/>
        <v>-1000</v>
      </c>
      <c r="CM487" s="47">
        <f t="shared" si="1573"/>
        <v>-1000</v>
      </c>
      <c r="CN487" s="47">
        <f t="shared" si="1573"/>
        <v>-1000</v>
      </c>
      <c r="CO487" s="47">
        <f t="shared" si="1573"/>
        <v>-1000</v>
      </c>
      <c r="CP487" s="47">
        <f t="shared" si="1573"/>
        <v>-1000</v>
      </c>
      <c r="CQ487" s="47">
        <f t="shared" si="1573"/>
        <v>-1000</v>
      </c>
      <c r="CR487" s="47"/>
      <c r="CS487" s="47"/>
      <c r="CT487" s="47"/>
      <c r="CU487" s="50" t="str">
        <f>IFERROR(__xludf.DUMMYFUNCTION("""COMPUTED_VALUE"""),"6601 Lake Circle Dr.
Dallas, TX 75214         ")</f>
        <v>6601 Lake Circle Dr.
Dallas, TX 75214         </v>
      </c>
      <c r="CV487" s="51">
        <f>IFERROR(__xludf.DUMMYFUNCTION("IF(REGEXMATCH(UPPER(CU487), ""TX""),0,1)"),0.0)</f>
        <v>0</v>
      </c>
      <c r="CW487" s="51">
        <f>IFERROR(__xludf.DUMMYFUNCTION("IF(REGEXMATCH(UPPER(CU487), ""DALLAS""),0,1)"),0.0)</f>
        <v>0</v>
      </c>
      <c r="CX487" s="51">
        <f t="shared" si="17"/>
        <v>0</v>
      </c>
      <c r="CY487" s="51">
        <f t="shared" si="18"/>
        <v>0</v>
      </c>
      <c r="CZ487" s="52" t="str">
        <f t="shared" si="19"/>
        <v/>
      </c>
      <c r="DA487" s="58"/>
      <c r="DB487" s="52"/>
      <c r="DC487" s="52"/>
      <c r="DD487" s="52"/>
      <c r="DE487" s="52"/>
      <c r="DF487" s="52"/>
      <c r="DG487" s="52"/>
      <c r="DH487" s="52"/>
      <c r="DI487" s="52"/>
      <c r="DJ487" s="52"/>
      <c r="DK487" s="52"/>
      <c r="DL487" s="52"/>
      <c r="DM487" s="52"/>
      <c r="DN487" s="52"/>
      <c r="DO487" s="52"/>
      <c r="DP487" s="52"/>
      <c r="DQ487" s="52"/>
      <c r="DR487" s="52"/>
      <c r="DS487" s="52"/>
      <c r="DT487" s="52"/>
      <c r="DU487" s="52"/>
      <c r="DV487" s="52"/>
      <c r="DW487" s="52"/>
    </row>
    <row r="488">
      <c r="A488" s="22" t="s">
        <v>55</v>
      </c>
      <c r="B488" s="23" t="s">
        <v>56</v>
      </c>
      <c r="C488" s="31" t="s">
        <v>1342</v>
      </c>
      <c r="D488" s="25" t="str">
        <f>IFERROR(__xludf.DUMMYFUNCTION("SPLIT(C488,"" "")"),"Chase,")</f>
        <v>Chase,</v>
      </c>
      <c r="E488" s="22" t="str">
        <f>IFERROR(__xludf.DUMMYFUNCTION("""COMPUTED_VALUE"""),"Scott
1700")</f>
        <v>Scott
1700</v>
      </c>
      <c r="F488" s="22" t="str">
        <f>IFERROR(__xludf.DUMMYFUNCTION("""COMPUTED_VALUE"""),"Pacific
Dallas,")</f>
        <v>Pacific
Dallas,</v>
      </c>
      <c r="G488" s="22" t="str">
        <f>IFERROR(__xludf.DUMMYFUNCTION("""COMPUTED_VALUE"""),"TX")</f>
        <v>TX</v>
      </c>
      <c r="H488" s="22">
        <f>IFERROR(__xludf.DUMMYFUNCTION("""COMPUTED_VALUE"""),75201.0)</f>
        <v>75201</v>
      </c>
      <c r="I488" s="22"/>
      <c r="J488" s="22"/>
      <c r="K488" s="22"/>
      <c r="L488" s="22"/>
      <c r="M488" s="22"/>
      <c r="N488" s="22"/>
      <c r="O488" s="22"/>
      <c r="P488" s="22"/>
      <c r="Q488" s="22"/>
      <c r="R488" s="22"/>
      <c r="S488" s="22"/>
      <c r="T488" s="22"/>
      <c r="U488" s="24" t="str">
        <f>IFERROR(__xludf.DUMMYFUNCTION("SPLIT(E488,""01234567890"")"),"Scott
")</f>
        <v>Scott
</v>
      </c>
      <c r="V488" s="24" t="str">
        <f>IFERROR(__xludf.DUMMYFUNCTION("SPLIT(D488,"","")"),"Chase")</f>
        <v>Chase</v>
      </c>
      <c r="W488" s="25" t="str">
        <f t="shared" si="1"/>
        <v>SCOTT
 CHASE</v>
      </c>
      <c r="X488" s="25" t="s">
        <v>1343</v>
      </c>
      <c r="Y488" s="25">
        <v>75201.0</v>
      </c>
      <c r="Z488" s="25" t="str">
        <f>IFERROR(__xludf.DUMMYFUNCTION("SPLIT(C488,""
"")"),"Chase, Scott")</f>
        <v>Chase, Scott</v>
      </c>
      <c r="AA488" s="25" t="str">
        <f>IFERROR(__xludf.DUMMYFUNCTION("""COMPUTED_VALUE"""),"1700 Pacific")</f>
        <v>1700 Pacific</v>
      </c>
      <c r="AB488" s="25" t="str">
        <f>IFERROR(__xludf.DUMMYFUNCTION("""COMPUTED_VALUE"""),"Dallas, TX 75201")</f>
        <v>Dallas, TX 75201</v>
      </c>
      <c r="AC488" s="24" t="s">
        <v>1344</v>
      </c>
      <c r="AD488" s="25"/>
      <c r="AE488" s="25"/>
      <c r="AF488" s="25"/>
      <c r="AG488" s="22" t="s">
        <v>60</v>
      </c>
      <c r="AH488" s="54">
        <v>2448.0</v>
      </c>
      <c r="AI488" s="22" t="s">
        <v>61</v>
      </c>
      <c r="AJ488" s="27">
        <v>100.0</v>
      </c>
      <c r="AK488" s="31" t="s">
        <v>24</v>
      </c>
      <c r="AL488" s="28">
        <v>44673.0</v>
      </c>
      <c r="AM488" s="29">
        <v>44757.44018518519</v>
      </c>
      <c r="AN488" s="30">
        <v>2.0</v>
      </c>
      <c r="AO488" s="22"/>
      <c r="AP488" s="22"/>
      <c r="AQ488" s="22"/>
      <c r="AR488" s="22"/>
      <c r="AS488" s="22"/>
      <c r="AT488" s="70"/>
      <c r="AU488" s="22"/>
      <c r="AV488" s="57" t="str">
        <f>IFERROR(__xludf.DUMMYFUNCTION("""COMPUTED_VALUE"""),"Holmes")</f>
        <v>Holmes</v>
      </c>
      <c r="AW488" s="46">
        <f t="shared" si="7"/>
        <v>750</v>
      </c>
      <c r="AX488" s="47">
        <f t="shared" ref="AX488:BQ488" si="1574">SUMIFS($AJ:$AJ,$V:$V,$AV488,$AK:$AK,AX$2)</f>
        <v>0</v>
      </c>
      <c r="AY488" s="48">
        <f t="shared" si="1574"/>
        <v>0</v>
      </c>
      <c r="AZ488" s="48">
        <f t="shared" si="1574"/>
        <v>0</v>
      </c>
      <c r="BA488" s="48">
        <f t="shared" si="1574"/>
        <v>0</v>
      </c>
      <c r="BB488" s="48">
        <f t="shared" si="1574"/>
        <v>0</v>
      </c>
      <c r="BC488" s="48">
        <f t="shared" si="1574"/>
        <v>250</v>
      </c>
      <c r="BD488" s="48">
        <f t="shared" si="1574"/>
        <v>500</v>
      </c>
      <c r="BE488" s="48">
        <f t="shared" si="1574"/>
        <v>0</v>
      </c>
      <c r="BF488" s="48">
        <f t="shared" si="1574"/>
        <v>0</v>
      </c>
      <c r="BG488" s="48">
        <f t="shared" si="1574"/>
        <v>0</v>
      </c>
      <c r="BH488" s="48">
        <f t="shared" si="1574"/>
        <v>0</v>
      </c>
      <c r="BI488" s="48">
        <f t="shared" si="1574"/>
        <v>0</v>
      </c>
      <c r="BJ488" s="48">
        <f t="shared" si="1574"/>
        <v>0</v>
      </c>
      <c r="BK488" s="48">
        <f t="shared" si="1574"/>
        <v>0</v>
      </c>
      <c r="BL488" s="48">
        <f t="shared" si="1574"/>
        <v>0</v>
      </c>
      <c r="BM488" s="48">
        <f t="shared" si="1574"/>
        <v>0</v>
      </c>
      <c r="BN488" s="48">
        <f t="shared" si="1574"/>
        <v>0</v>
      </c>
      <c r="BO488" s="48">
        <f t="shared" si="1574"/>
        <v>0</v>
      </c>
      <c r="BP488" s="48">
        <f t="shared" si="1574"/>
        <v>0</v>
      </c>
      <c r="BQ488" s="48">
        <f t="shared" si="1574"/>
        <v>0</v>
      </c>
      <c r="BR488" s="36">
        <f t="shared" si="9"/>
        <v>1</v>
      </c>
      <c r="BS488" s="38">
        <f t="shared" si="10"/>
        <v>2</v>
      </c>
      <c r="BT488" s="49">
        <f t="shared" si="11"/>
        <v>0</v>
      </c>
      <c r="BU488" s="38">
        <f t="shared" si="12"/>
        <v>2000</v>
      </c>
      <c r="BV488" s="57" t="str">
        <f>IFERROR(__xludf.DUMMYFUNCTION("""COMPUTED_VALUE"""),"Holmes")</f>
        <v>Holmes</v>
      </c>
      <c r="BW488" s="46">
        <f t="shared" si="13"/>
        <v>750</v>
      </c>
      <c r="BX488" s="47">
        <f t="shared" ref="BX488:CA488" si="1575">AX488-$BU488</f>
        <v>-2000</v>
      </c>
      <c r="BY488" s="47">
        <f t="shared" si="1575"/>
        <v>-2000</v>
      </c>
      <c r="BZ488" s="47">
        <f t="shared" si="1575"/>
        <v>-2000</v>
      </c>
      <c r="CA488" s="47">
        <f t="shared" si="1575"/>
        <v>-2000</v>
      </c>
      <c r="CB488" s="47">
        <f t="shared" si="15"/>
        <v>-20000</v>
      </c>
      <c r="CC488" s="47">
        <f t="shared" ref="CC488:CQ488" si="1576">BC488-$BU488</f>
        <v>-1750</v>
      </c>
      <c r="CD488" s="47">
        <f t="shared" si="1576"/>
        <v>-1500</v>
      </c>
      <c r="CE488" s="47">
        <f t="shared" si="1576"/>
        <v>-2000</v>
      </c>
      <c r="CF488" s="47">
        <f t="shared" si="1576"/>
        <v>-2000</v>
      </c>
      <c r="CG488" s="47">
        <f t="shared" si="1576"/>
        <v>-2000</v>
      </c>
      <c r="CH488" s="47">
        <f t="shared" si="1576"/>
        <v>-2000</v>
      </c>
      <c r="CI488" s="47">
        <f t="shared" si="1576"/>
        <v>-2000</v>
      </c>
      <c r="CJ488" s="47">
        <f t="shared" si="1576"/>
        <v>-2000</v>
      </c>
      <c r="CK488" s="47">
        <f t="shared" si="1576"/>
        <v>-2000</v>
      </c>
      <c r="CL488" s="47">
        <f t="shared" si="1576"/>
        <v>-2000</v>
      </c>
      <c r="CM488" s="47">
        <f t="shared" si="1576"/>
        <v>-2000</v>
      </c>
      <c r="CN488" s="47">
        <f t="shared" si="1576"/>
        <v>-2000</v>
      </c>
      <c r="CO488" s="47">
        <f t="shared" si="1576"/>
        <v>-2000</v>
      </c>
      <c r="CP488" s="47">
        <f t="shared" si="1576"/>
        <v>-2000</v>
      </c>
      <c r="CQ488" s="47">
        <f t="shared" si="1576"/>
        <v>-2000</v>
      </c>
      <c r="CR488" s="47"/>
      <c r="CS488" s="47"/>
      <c r="CT488" s="47"/>
      <c r="CU488" s="50" t="str">
        <f>IFERROR(__xludf.DUMMYFUNCTION("""COMPUTED_VALUE"""),"16226 Amberwood Rd
Dallas, TX 75248          ")</f>
        <v>16226 Amberwood Rd
Dallas, TX 75248          </v>
      </c>
      <c r="CV488" s="51">
        <f>IFERROR(__xludf.DUMMYFUNCTION("IF(REGEXMATCH(UPPER(CU488), ""TX""),0,1)"),0.0)</f>
        <v>0</v>
      </c>
      <c r="CW488" s="51">
        <f>IFERROR(__xludf.DUMMYFUNCTION("IF(REGEXMATCH(UPPER(CU488), ""DALLAS""),0,1)"),0.0)</f>
        <v>0</v>
      </c>
      <c r="CX488" s="51">
        <f t="shared" si="17"/>
        <v>0</v>
      </c>
      <c r="CY488" s="51">
        <f t="shared" si="18"/>
        <v>0</v>
      </c>
      <c r="CZ488" s="52" t="str">
        <f t="shared" si="19"/>
        <v/>
      </c>
      <c r="DA488" s="58"/>
      <c r="DB488" s="52"/>
      <c r="DC488" s="52"/>
      <c r="DD488" s="52"/>
      <c r="DE488" s="52"/>
      <c r="DF488" s="52"/>
      <c r="DG488" s="52"/>
      <c r="DH488" s="52"/>
      <c r="DI488" s="52"/>
      <c r="DJ488" s="52"/>
      <c r="DK488" s="52"/>
      <c r="DL488" s="52"/>
      <c r="DM488" s="52"/>
      <c r="DN488" s="52"/>
      <c r="DO488" s="52"/>
      <c r="DP488" s="52"/>
      <c r="DQ488" s="52"/>
      <c r="DR488" s="52"/>
      <c r="DS488" s="52"/>
      <c r="DT488" s="52"/>
      <c r="DU488" s="52"/>
      <c r="DV488" s="52"/>
      <c r="DW488" s="52"/>
    </row>
    <row r="489">
      <c r="A489" s="40" t="s">
        <v>55</v>
      </c>
      <c r="B489" s="41" t="s">
        <v>56</v>
      </c>
      <c r="C489" s="31" t="s">
        <v>1345</v>
      </c>
      <c r="D489" s="25" t="str">
        <f>IFERROR(__xludf.DUMMYFUNCTION("SPLIT(C489,"" "")"),"Ellis,")</f>
        <v>Ellis,</v>
      </c>
      <c r="E489" s="40" t="str">
        <f>IFERROR(__xludf.DUMMYFUNCTION("""COMPUTED_VALUE"""),"Tom
6872")</f>
        <v>Tom
6872</v>
      </c>
      <c r="F489" s="40" t="str">
        <f>IFERROR(__xludf.DUMMYFUNCTION("""COMPUTED_VALUE"""),"burwood")</f>
        <v>burwood</v>
      </c>
      <c r="G489" s="40" t="str">
        <f>IFERROR(__xludf.DUMMYFUNCTION("""COMPUTED_VALUE"""),"Lane
Dallas,")</f>
        <v>Lane
Dallas,</v>
      </c>
      <c r="H489" s="40" t="str">
        <f>IFERROR(__xludf.DUMMYFUNCTION("""COMPUTED_VALUE"""),"TX")</f>
        <v>TX</v>
      </c>
      <c r="I489" s="40">
        <f>IFERROR(__xludf.DUMMYFUNCTION("""COMPUTED_VALUE"""),75214.0)</f>
        <v>75214</v>
      </c>
      <c r="J489" s="40"/>
      <c r="K489" s="40"/>
      <c r="L489" s="40"/>
      <c r="M489" s="40"/>
      <c r="N489" s="40"/>
      <c r="O489" s="40"/>
      <c r="P489" s="40"/>
      <c r="Q489" s="40"/>
      <c r="R489" s="40"/>
      <c r="S489" s="40"/>
      <c r="T489" s="40"/>
      <c r="U489" s="24" t="str">
        <f>IFERROR(__xludf.DUMMYFUNCTION("SPLIT(E489,""01234567890"")"),"Tom
")</f>
        <v>Tom
</v>
      </c>
      <c r="V489" s="24" t="str">
        <f>IFERROR(__xludf.DUMMYFUNCTION("SPLIT(D489,"","")"),"Ellis")</f>
        <v>Ellis</v>
      </c>
      <c r="W489" s="25" t="str">
        <f t="shared" si="1"/>
        <v>TOM
 ELLIS</v>
      </c>
      <c r="X489" s="25" t="s">
        <v>1346</v>
      </c>
      <c r="Y489" s="25">
        <v>75214.0</v>
      </c>
      <c r="Z489" s="25" t="str">
        <f>IFERROR(__xludf.DUMMYFUNCTION("SPLIT(C489,""
"")"),"Ellis, Tom")</f>
        <v>Ellis, Tom</v>
      </c>
      <c r="AA489" s="25" t="str">
        <f>IFERROR(__xludf.DUMMYFUNCTION("""COMPUTED_VALUE"""),"6872 burwood Lane")</f>
        <v>6872 burwood Lane</v>
      </c>
      <c r="AB489" s="25" t="str">
        <f>IFERROR(__xludf.DUMMYFUNCTION("""COMPUTED_VALUE"""),"Dallas, TX 75214")</f>
        <v>Dallas, TX 75214</v>
      </c>
      <c r="AC489" s="24" t="s">
        <v>1347</v>
      </c>
      <c r="AD489" s="25"/>
      <c r="AE489" s="25"/>
      <c r="AF489" s="25"/>
      <c r="AG489" s="40" t="s">
        <v>60</v>
      </c>
      <c r="AH489" s="42">
        <v>2448.0</v>
      </c>
      <c r="AI489" s="40" t="s">
        <v>61</v>
      </c>
      <c r="AJ489" s="27">
        <v>25.0</v>
      </c>
      <c r="AK489" s="31" t="s">
        <v>24</v>
      </c>
      <c r="AL489" s="43">
        <v>44673.0</v>
      </c>
      <c r="AM489" s="44">
        <v>44757.44018518519</v>
      </c>
      <c r="AN489" s="30">
        <v>2.0</v>
      </c>
      <c r="AO489" s="40"/>
      <c r="AP489" s="40"/>
      <c r="AQ489" s="40"/>
      <c r="AR489" s="40"/>
      <c r="AS489" s="40"/>
      <c r="AT489" s="47"/>
      <c r="AU489" s="40"/>
      <c r="AV489" s="46" t="str">
        <f>IFERROR(__xludf.DUMMYFUNCTION("""COMPUTED_VALUE"""),"Stell")</f>
        <v>Stell</v>
      </c>
      <c r="AW489" s="46">
        <f t="shared" si="7"/>
        <v>1000</v>
      </c>
      <c r="AX489" s="47">
        <f t="shared" ref="AX489:BQ489" si="1577">SUMIFS($AJ:$AJ,$V:$V,$AV489,$AK:$AK,AX$2)</f>
        <v>0</v>
      </c>
      <c r="AY489" s="48">
        <f t="shared" si="1577"/>
        <v>0</v>
      </c>
      <c r="AZ489" s="48">
        <f t="shared" si="1577"/>
        <v>0</v>
      </c>
      <c r="BA489" s="48">
        <f t="shared" si="1577"/>
        <v>0</v>
      </c>
      <c r="BB489" s="48">
        <f t="shared" si="1577"/>
        <v>0</v>
      </c>
      <c r="BC489" s="48">
        <f t="shared" si="1577"/>
        <v>1000</v>
      </c>
      <c r="BD489" s="48">
        <f t="shared" si="1577"/>
        <v>0</v>
      </c>
      <c r="BE489" s="48">
        <f t="shared" si="1577"/>
        <v>0</v>
      </c>
      <c r="BF489" s="48">
        <f t="shared" si="1577"/>
        <v>0</v>
      </c>
      <c r="BG489" s="48">
        <f t="shared" si="1577"/>
        <v>0</v>
      </c>
      <c r="BH489" s="48">
        <f t="shared" si="1577"/>
        <v>0</v>
      </c>
      <c r="BI489" s="48">
        <f t="shared" si="1577"/>
        <v>0</v>
      </c>
      <c r="BJ489" s="48">
        <f t="shared" si="1577"/>
        <v>0</v>
      </c>
      <c r="BK489" s="48">
        <f t="shared" si="1577"/>
        <v>0</v>
      </c>
      <c r="BL489" s="48">
        <f t="shared" si="1577"/>
        <v>0</v>
      </c>
      <c r="BM489" s="48">
        <f t="shared" si="1577"/>
        <v>0</v>
      </c>
      <c r="BN489" s="48">
        <f t="shared" si="1577"/>
        <v>0</v>
      </c>
      <c r="BO489" s="48">
        <f t="shared" si="1577"/>
        <v>0</v>
      </c>
      <c r="BP489" s="48">
        <f t="shared" si="1577"/>
        <v>0</v>
      </c>
      <c r="BQ489" s="48">
        <f t="shared" si="1577"/>
        <v>0</v>
      </c>
      <c r="BR489" s="36">
        <f t="shared" si="9"/>
        <v>0</v>
      </c>
      <c r="BS489" s="38">
        <f t="shared" si="10"/>
        <v>1</v>
      </c>
      <c r="BT489" s="49">
        <f t="shared" si="11"/>
        <v>0</v>
      </c>
      <c r="BU489" s="38">
        <f t="shared" si="12"/>
        <v>1000</v>
      </c>
      <c r="BV489" s="46" t="str">
        <f>IFERROR(__xludf.DUMMYFUNCTION("""COMPUTED_VALUE"""),"Stell")</f>
        <v>Stell</v>
      </c>
      <c r="BW489" s="46">
        <f t="shared" si="13"/>
        <v>1000</v>
      </c>
      <c r="BX489" s="47">
        <f t="shared" ref="BX489:CA489" si="1578">AX489-$BU489</f>
        <v>-1000</v>
      </c>
      <c r="BY489" s="47">
        <f t="shared" si="1578"/>
        <v>-1000</v>
      </c>
      <c r="BZ489" s="47">
        <f t="shared" si="1578"/>
        <v>-1000</v>
      </c>
      <c r="CA489" s="47">
        <f t="shared" si="1578"/>
        <v>-1000</v>
      </c>
      <c r="CB489" s="47">
        <f t="shared" si="15"/>
        <v>-10000</v>
      </c>
      <c r="CC489" s="47">
        <f t="shared" ref="CC489:CQ489" si="1579">BC489-$BU489</f>
        <v>0</v>
      </c>
      <c r="CD489" s="47">
        <f t="shared" si="1579"/>
        <v>-1000</v>
      </c>
      <c r="CE489" s="47">
        <f t="shared" si="1579"/>
        <v>-1000</v>
      </c>
      <c r="CF489" s="47">
        <f t="shared" si="1579"/>
        <v>-1000</v>
      </c>
      <c r="CG489" s="47">
        <f t="shared" si="1579"/>
        <v>-1000</v>
      </c>
      <c r="CH489" s="47">
        <f t="shared" si="1579"/>
        <v>-1000</v>
      </c>
      <c r="CI489" s="47">
        <f t="shared" si="1579"/>
        <v>-1000</v>
      </c>
      <c r="CJ489" s="47">
        <f t="shared" si="1579"/>
        <v>-1000</v>
      </c>
      <c r="CK489" s="47">
        <f t="shared" si="1579"/>
        <v>-1000</v>
      </c>
      <c r="CL489" s="47">
        <f t="shared" si="1579"/>
        <v>-1000</v>
      </c>
      <c r="CM489" s="47">
        <f t="shared" si="1579"/>
        <v>-1000</v>
      </c>
      <c r="CN489" s="47">
        <f t="shared" si="1579"/>
        <v>-1000</v>
      </c>
      <c r="CO489" s="47">
        <f t="shared" si="1579"/>
        <v>-1000</v>
      </c>
      <c r="CP489" s="47">
        <f t="shared" si="1579"/>
        <v>-1000</v>
      </c>
      <c r="CQ489" s="47">
        <f t="shared" si="1579"/>
        <v>-1000</v>
      </c>
      <c r="CR489" s="47"/>
      <c r="CS489" s="47"/>
      <c r="CT489" s="47"/>
      <c r="CU489" s="50" t="str">
        <f>IFERROR(__xludf.DUMMYFUNCTION("""COMPUTED_VALUE"""),"6920 Clemson Dr
Dallas, TX 75214          ")</f>
        <v>6920 Clemson Dr
Dallas, TX 75214          </v>
      </c>
      <c r="CV489" s="51">
        <f>IFERROR(__xludf.DUMMYFUNCTION("IF(REGEXMATCH(UPPER(CU489), ""TX""),0,1)"),0.0)</f>
        <v>0</v>
      </c>
      <c r="CW489" s="51">
        <f>IFERROR(__xludf.DUMMYFUNCTION("IF(REGEXMATCH(UPPER(CU489), ""DALLAS""),0,1)"),0.0)</f>
        <v>0</v>
      </c>
      <c r="CX489" s="51">
        <f t="shared" si="17"/>
        <v>0</v>
      </c>
      <c r="CY489" s="51">
        <f t="shared" si="18"/>
        <v>0</v>
      </c>
      <c r="CZ489" s="52" t="str">
        <f t="shared" si="19"/>
        <v/>
      </c>
      <c r="DA489" s="58"/>
      <c r="DB489" s="52"/>
      <c r="DC489" s="52"/>
      <c r="DD489" s="52"/>
      <c r="DE489" s="52"/>
      <c r="DF489" s="52"/>
      <c r="DG489" s="52"/>
      <c r="DH489" s="52"/>
      <c r="DI489" s="52"/>
      <c r="DJ489" s="52"/>
      <c r="DK489" s="52"/>
      <c r="DL489" s="52"/>
      <c r="DM489" s="52"/>
      <c r="DN489" s="52"/>
      <c r="DO489" s="52"/>
      <c r="DP489" s="52"/>
      <c r="DQ489" s="52"/>
      <c r="DR489" s="52"/>
      <c r="DS489" s="52"/>
      <c r="DT489" s="52"/>
      <c r="DU489" s="52"/>
      <c r="DV489" s="52"/>
      <c r="DW489" s="52"/>
    </row>
    <row r="490">
      <c r="A490" s="22" t="s">
        <v>55</v>
      </c>
      <c r="B490" s="23" t="s">
        <v>56</v>
      </c>
      <c r="C490" s="31" t="s">
        <v>1348</v>
      </c>
      <c r="D490" s="25" t="str">
        <f>IFERROR(__xludf.DUMMYFUNCTION("SPLIT(C490,"" "")"),"GERBER,")</f>
        <v>GERBER,</v>
      </c>
      <c r="E490" s="22" t="str">
        <f>IFERROR(__xludf.DUMMYFUNCTION("""COMPUTED_VALUE"""),"PAM
4435")</f>
        <v>PAM
4435</v>
      </c>
      <c r="F490" s="22" t="str">
        <f>IFERROR(__xludf.DUMMYFUNCTION("""COMPUTED_VALUE"""),"HOLLAND")</f>
        <v>HOLLAND</v>
      </c>
      <c r="G490" s="22" t="str">
        <f>IFERROR(__xludf.DUMMYFUNCTION("""COMPUTED_VALUE"""),"AVE
DALLAS,")</f>
        <v>AVE
DALLAS,</v>
      </c>
      <c r="H490" s="22" t="str">
        <f>IFERROR(__xludf.DUMMYFUNCTION("""COMPUTED_VALUE"""),"TX")</f>
        <v>TX</v>
      </c>
      <c r="I490" s="22">
        <f>IFERROR(__xludf.DUMMYFUNCTION("""COMPUTED_VALUE"""),75219.0)</f>
        <v>75219</v>
      </c>
      <c r="J490" s="22"/>
      <c r="K490" s="22"/>
      <c r="L490" s="22"/>
      <c r="M490" s="22"/>
      <c r="N490" s="22"/>
      <c r="O490" s="22"/>
      <c r="P490" s="22"/>
      <c r="Q490" s="22"/>
      <c r="R490" s="22"/>
      <c r="S490" s="22"/>
      <c r="T490" s="22"/>
      <c r="U490" s="24" t="str">
        <f>IFERROR(__xludf.DUMMYFUNCTION("SPLIT(E490,""01234567890"")"),"PAM
")</f>
        <v>PAM
</v>
      </c>
      <c r="V490" s="24" t="str">
        <f>IFERROR(__xludf.DUMMYFUNCTION("SPLIT(D490,"","")"),"GERBER")</f>
        <v>GERBER</v>
      </c>
      <c r="W490" s="25" t="str">
        <f t="shared" si="1"/>
        <v>PAM
 GERBER</v>
      </c>
      <c r="X490" s="25" t="s">
        <v>1349</v>
      </c>
      <c r="Y490" s="25">
        <v>75219.0</v>
      </c>
      <c r="Z490" s="25" t="str">
        <f>IFERROR(__xludf.DUMMYFUNCTION("SPLIT(C490,""
"")"),"GERBER, PAM")</f>
        <v>GERBER, PAM</v>
      </c>
      <c r="AA490" s="25" t="str">
        <f>IFERROR(__xludf.DUMMYFUNCTION("""COMPUTED_VALUE"""),"4435 HOLLAND AVE")</f>
        <v>4435 HOLLAND AVE</v>
      </c>
      <c r="AB490" s="25" t="str">
        <f>IFERROR(__xludf.DUMMYFUNCTION("""COMPUTED_VALUE"""),"DALLAS, TX 75219")</f>
        <v>DALLAS, TX 75219</v>
      </c>
      <c r="AC490" s="24" t="s">
        <v>1350</v>
      </c>
      <c r="AD490" s="25"/>
      <c r="AE490" s="25"/>
      <c r="AF490" s="25"/>
      <c r="AG490" s="22" t="s">
        <v>60</v>
      </c>
      <c r="AH490" s="54">
        <v>2448.0</v>
      </c>
      <c r="AI490" s="22" t="s">
        <v>61</v>
      </c>
      <c r="AJ490" s="27">
        <v>500.0</v>
      </c>
      <c r="AK490" s="31" t="s">
        <v>24</v>
      </c>
      <c r="AL490" s="28">
        <v>44673.0</v>
      </c>
      <c r="AM490" s="29">
        <v>44757.44018518519</v>
      </c>
      <c r="AN490" s="30">
        <v>2.0</v>
      </c>
      <c r="AO490" s="22"/>
      <c r="AP490" s="22"/>
      <c r="AQ490" s="22"/>
      <c r="AR490" s="22"/>
      <c r="AS490" s="22"/>
      <c r="AT490" s="70"/>
      <c r="AU490" s="22"/>
      <c r="AV490" s="57" t="str">
        <f>IFERROR(__xludf.DUMMYFUNCTION("""COMPUTED_VALUE"""),"Iyriad")</f>
        <v>Iyriad</v>
      </c>
      <c r="AW490" s="46">
        <f t="shared" si="7"/>
        <v>1000</v>
      </c>
      <c r="AX490" s="47">
        <f t="shared" ref="AX490:BQ490" si="1580">SUMIFS($AJ:$AJ,$V:$V,$AV490,$AK:$AK,AX$2)</f>
        <v>0</v>
      </c>
      <c r="AY490" s="48">
        <f t="shared" si="1580"/>
        <v>1000</v>
      </c>
      <c r="AZ490" s="48">
        <f t="shared" si="1580"/>
        <v>0</v>
      </c>
      <c r="BA490" s="48">
        <f t="shared" si="1580"/>
        <v>0</v>
      </c>
      <c r="BB490" s="48">
        <f t="shared" si="1580"/>
        <v>0</v>
      </c>
      <c r="BC490" s="48">
        <f t="shared" si="1580"/>
        <v>0</v>
      </c>
      <c r="BD490" s="48">
        <f t="shared" si="1580"/>
        <v>0</v>
      </c>
      <c r="BE490" s="48">
        <f t="shared" si="1580"/>
        <v>0</v>
      </c>
      <c r="BF490" s="48">
        <f t="shared" si="1580"/>
        <v>0</v>
      </c>
      <c r="BG490" s="48">
        <f t="shared" si="1580"/>
        <v>0</v>
      </c>
      <c r="BH490" s="48">
        <f t="shared" si="1580"/>
        <v>0</v>
      </c>
      <c r="BI490" s="48">
        <f t="shared" si="1580"/>
        <v>0</v>
      </c>
      <c r="BJ490" s="48">
        <f t="shared" si="1580"/>
        <v>0</v>
      </c>
      <c r="BK490" s="48">
        <f t="shared" si="1580"/>
        <v>0</v>
      </c>
      <c r="BL490" s="48">
        <f t="shared" si="1580"/>
        <v>0</v>
      </c>
      <c r="BM490" s="48">
        <f t="shared" si="1580"/>
        <v>0</v>
      </c>
      <c r="BN490" s="48">
        <f t="shared" si="1580"/>
        <v>0</v>
      </c>
      <c r="BO490" s="48">
        <f t="shared" si="1580"/>
        <v>0</v>
      </c>
      <c r="BP490" s="48">
        <f t="shared" si="1580"/>
        <v>0</v>
      </c>
      <c r="BQ490" s="48">
        <f t="shared" si="1580"/>
        <v>0</v>
      </c>
      <c r="BR490" s="36">
        <f t="shared" si="9"/>
        <v>0</v>
      </c>
      <c r="BS490" s="38">
        <f t="shared" si="10"/>
        <v>1</v>
      </c>
      <c r="BT490" s="49">
        <f t="shared" si="11"/>
        <v>0</v>
      </c>
      <c r="BU490" s="38">
        <f t="shared" si="12"/>
        <v>1000</v>
      </c>
      <c r="BV490" s="57" t="str">
        <f>IFERROR(__xludf.DUMMYFUNCTION("""COMPUTED_VALUE"""),"Iyriad")</f>
        <v>Iyriad</v>
      </c>
      <c r="BW490" s="46">
        <f t="shared" si="13"/>
        <v>1000</v>
      </c>
      <c r="BX490" s="47">
        <f t="shared" ref="BX490:CA490" si="1581">AX490-$BU490</f>
        <v>-1000</v>
      </c>
      <c r="BY490" s="47">
        <f t="shared" si="1581"/>
        <v>0</v>
      </c>
      <c r="BZ490" s="47">
        <f t="shared" si="1581"/>
        <v>-1000</v>
      </c>
      <c r="CA490" s="47">
        <f t="shared" si="1581"/>
        <v>-1000</v>
      </c>
      <c r="CB490" s="47">
        <f t="shared" si="15"/>
        <v>-10000</v>
      </c>
      <c r="CC490" s="47">
        <f t="shared" ref="CC490:CQ490" si="1582">BC490-$BU490</f>
        <v>-1000</v>
      </c>
      <c r="CD490" s="47">
        <f t="shared" si="1582"/>
        <v>-1000</v>
      </c>
      <c r="CE490" s="47">
        <f t="shared" si="1582"/>
        <v>-1000</v>
      </c>
      <c r="CF490" s="47">
        <f t="shared" si="1582"/>
        <v>-1000</v>
      </c>
      <c r="CG490" s="47">
        <f t="shared" si="1582"/>
        <v>-1000</v>
      </c>
      <c r="CH490" s="47">
        <f t="shared" si="1582"/>
        <v>-1000</v>
      </c>
      <c r="CI490" s="47">
        <f t="shared" si="1582"/>
        <v>-1000</v>
      </c>
      <c r="CJ490" s="47">
        <f t="shared" si="1582"/>
        <v>-1000</v>
      </c>
      <c r="CK490" s="47">
        <f t="shared" si="1582"/>
        <v>-1000</v>
      </c>
      <c r="CL490" s="47">
        <f t="shared" si="1582"/>
        <v>-1000</v>
      </c>
      <c r="CM490" s="47">
        <f t="shared" si="1582"/>
        <v>-1000</v>
      </c>
      <c r="CN490" s="47">
        <f t="shared" si="1582"/>
        <v>-1000</v>
      </c>
      <c r="CO490" s="47">
        <f t="shared" si="1582"/>
        <v>-1000</v>
      </c>
      <c r="CP490" s="47">
        <f t="shared" si="1582"/>
        <v>-1000</v>
      </c>
      <c r="CQ490" s="47">
        <f t="shared" si="1582"/>
        <v>-1000</v>
      </c>
      <c r="CR490" s="47"/>
      <c r="CS490" s="47"/>
      <c r="CT490" s="47"/>
      <c r="CU490" s="50" t="str">
        <f>IFERROR(__xludf.DUMMYFUNCTION("""COMPUTED_VALUE"""),"4235 Castle Rock Ct.
IRVING, TX 75038         ")</f>
        <v>4235 Castle Rock Ct.
IRVING, TX 75038         </v>
      </c>
      <c r="CV490" s="51">
        <f>IFERROR(__xludf.DUMMYFUNCTION("IF(REGEXMATCH(UPPER(CU490), ""TX""),0,1)"),0.0)</f>
        <v>0</v>
      </c>
      <c r="CW490" s="51">
        <f>IFERROR(__xludf.DUMMYFUNCTION("IF(REGEXMATCH(UPPER(CU490), ""DALLAS""),0,1)"),1.0)</f>
        <v>1</v>
      </c>
      <c r="CX490" s="51">
        <f t="shared" si="17"/>
        <v>0</v>
      </c>
      <c r="CY490" s="51">
        <f t="shared" si="18"/>
        <v>250</v>
      </c>
      <c r="CZ490" s="52" t="str">
        <f t="shared" si="19"/>
        <v>4235 Castle Rock Ct.
IRVING, TX 75038         </v>
      </c>
      <c r="DA490" s="58"/>
      <c r="DB490" s="52"/>
      <c r="DC490" s="52"/>
      <c r="DD490" s="52"/>
      <c r="DE490" s="52"/>
      <c r="DF490" s="52"/>
      <c r="DG490" s="52"/>
      <c r="DH490" s="52"/>
      <c r="DI490" s="52"/>
      <c r="DJ490" s="52"/>
      <c r="DK490" s="52"/>
      <c r="DL490" s="52"/>
      <c r="DM490" s="52"/>
      <c r="DN490" s="52"/>
      <c r="DO490" s="52"/>
      <c r="DP490" s="52"/>
      <c r="DQ490" s="52"/>
      <c r="DR490" s="52"/>
      <c r="DS490" s="52"/>
      <c r="DT490" s="52"/>
      <c r="DU490" s="52"/>
      <c r="DV490" s="52"/>
      <c r="DW490" s="52"/>
    </row>
    <row r="491">
      <c r="A491" s="40" t="s">
        <v>55</v>
      </c>
      <c r="B491" s="41" t="s">
        <v>56</v>
      </c>
      <c r="C491" s="31" t="s">
        <v>1351</v>
      </c>
      <c r="D491" s="25" t="str">
        <f>IFERROR(__xludf.DUMMYFUNCTION("SPLIT(C491,"" "")"),"Jackson,")</f>
        <v>Jackson,</v>
      </c>
      <c r="E491" s="40" t="str">
        <f>IFERROR(__xludf.DUMMYFUNCTION("""COMPUTED_VALUE"""),"Lee
6011")</f>
        <v>Lee
6011</v>
      </c>
      <c r="F491" s="40" t="str">
        <f>IFERROR(__xludf.DUMMYFUNCTION("""COMPUTED_VALUE"""),"Desco")</f>
        <v>Desco</v>
      </c>
      <c r="G491" s="40" t="str">
        <f>IFERROR(__xludf.DUMMYFUNCTION("""COMPUTED_VALUE"""),"Dr
Dallas,")</f>
        <v>Dr
Dallas,</v>
      </c>
      <c r="H491" s="40" t="str">
        <f>IFERROR(__xludf.DUMMYFUNCTION("""COMPUTED_VALUE"""),"TX")</f>
        <v>TX</v>
      </c>
      <c r="I491" s="40">
        <f>IFERROR(__xludf.DUMMYFUNCTION("""COMPUTED_VALUE"""),75225.0)</f>
        <v>75225</v>
      </c>
      <c r="J491" s="40"/>
      <c r="K491" s="40"/>
      <c r="L491" s="40"/>
      <c r="M491" s="40"/>
      <c r="N491" s="40"/>
      <c r="O491" s="40"/>
      <c r="P491" s="40"/>
      <c r="Q491" s="40"/>
      <c r="R491" s="40"/>
      <c r="S491" s="40"/>
      <c r="T491" s="40"/>
      <c r="U491" s="24" t="str">
        <f>IFERROR(__xludf.DUMMYFUNCTION("SPLIT(E491,""01234567890"")"),"Lee
")</f>
        <v>Lee
</v>
      </c>
      <c r="V491" s="24" t="str">
        <f>IFERROR(__xludf.DUMMYFUNCTION("SPLIT(D491,"","")"),"Jackson")</f>
        <v>Jackson</v>
      </c>
      <c r="W491" s="25" t="str">
        <f t="shared" si="1"/>
        <v>LEE
 JACKSON</v>
      </c>
      <c r="X491" s="25" t="s">
        <v>1352</v>
      </c>
      <c r="Y491" s="25">
        <v>75225.0</v>
      </c>
      <c r="Z491" s="25" t="str">
        <f>IFERROR(__xludf.DUMMYFUNCTION("SPLIT(C491,""
"")"),"Jackson, Lee")</f>
        <v>Jackson, Lee</v>
      </c>
      <c r="AA491" s="25" t="str">
        <f>IFERROR(__xludf.DUMMYFUNCTION("""COMPUTED_VALUE"""),"6011 Desco Dr")</f>
        <v>6011 Desco Dr</v>
      </c>
      <c r="AB491" s="25" t="str">
        <f>IFERROR(__xludf.DUMMYFUNCTION("""COMPUTED_VALUE"""),"Dallas, TX 75225")</f>
        <v>Dallas, TX 75225</v>
      </c>
      <c r="AC491" s="24" t="s">
        <v>1353</v>
      </c>
      <c r="AD491" s="25"/>
      <c r="AE491" s="25"/>
      <c r="AF491" s="25"/>
      <c r="AG491" s="40" t="s">
        <v>60</v>
      </c>
      <c r="AH491" s="42">
        <v>2448.0</v>
      </c>
      <c r="AI491" s="40" t="s">
        <v>61</v>
      </c>
      <c r="AJ491" s="27">
        <v>350.0</v>
      </c>
      <c r="AK491" s="31" t="s">
        <v>24</v>
      </c>
      <c r="AL491" s="43">
        <v>44673.0</v>
      </c>
      <c r="AM491" s="44">
        <v>44757.44018518519</v>
      </c>
      <c r="AN491" s="30">
        <v>2.0</v>
      </c>
      <c r="AO491" s="40"/>
      <c r="AP491" s="40"/>
      <c r="AQ491" s="40"/>
      <c r="AR491" s="40"/>
      <c r="AS491" s="40"/>
      <c r="AT491" s="47"/>
      <c r="AU491" s="40"/>
      <c r="AV491" s="46" t="str">
        <f>IFERROR(__xludf.DUMMYFUNCTION("""COMPUTED_VALUE"""),"Chopp")</f>
        <v>Chopp</v>
      </c>
      <c r="AW491" s="46">
        <f t="shared" si="7"/>
        <v>1000</v>
      </c>
      <c r="AX491" s="47">
        <f t="shared" ref="AX491:BQ491" si="1583">SUMIFS($AJ:$AJ,$V:$V,$AV491,$AK:$AK,AX$2)</f>
        <v>0</v>
      </c>
      <c r="AY491" s="48">
        <f t="shared" si="1583"/>
        <v>1000</v>
      </c>
      <c r="AZ491" s="48">
        <f t="shared" si="1583"/>
        <v>0</v>
      </c>
      <c r="BA491" s="48">
        <f t="shared" si="1583"/>
        <v>0</v>
      </c>
      <c r="BB491" s="48">
        <f t="shared" si="1583"/>
        <v>0</v>
      </c>
      <c r="BC491" s="48">
        <f t="shared" si="1583"/>
        <v>0</v>
      </c>
      <c r="BD491" s="48">
        <f t="shared" si="1583"/>
        <v>0</v>
      </c>
      <c r="BE491" s="48">
        <f t="shared" si="1583"/>
        <v>0</v>
      </c>
      <c r="BF491" s="48">
        <f t="shared" si="1583"/>
        <v>0</v>
      </c>
      <c r="BG491" s="48">
        <f t="shared" si="1583"/>
        <v>0</v>
      </c>
      <c r="BH491" s="48">
        <f t="shared" si="1583"/>
        <v>0</v>
      </c>
      <c r="BI491" s="48">
        <f t="shared" si="1583"/>
        <v>0</v>
      </c>
      <c r="BJ491" s="48">
        <f t="shared" si="1583"/>
        <v>0</v>
      </c>
      <c r="BK491" s="48">
        <f t="shared" si="1583"/>
        <v>0</v>
      </c>
      <c r="BL491" s="48">
        <f t="shared" si="1583"/>
        <v>0</v>
      </c>
      <c r="BM491" s="48">
        <f t="shared" si="1583"/>
        <v>0</v>
      </c>
      <c r="BN491" s="48">
        <f t="shared" si="1583"/>
        <v>0</v>
      </c>
      <c r="BO491" s="48">
        <f t="shared" si="1583"/>
        <v>0</v>
      </c>
      <c r="BP491" s="48">
        <f t="shared" si="1583"/>
        <v>0</v>
      </c>
      <c r="BQ491" s="48">
        <f t="shared" si="1583"/>
        <v>0</v>
      </c>
      <c r="BR491" s="36">
        <f t="shared" si="9"/>
        <v>0</v>
      </c>
      <c r="BS491" s="38">
        <f t="shared" si="10"/>
        <v>1</v>
      </c>
      <c r="BT491" s="49">
        <f t="shared" si="11"/>
        <v>0</v>
      </c>
      <c r="BU491" s="38">
        <f t="shared" si="12"/>
        <v>1000</v>
      </c>
      <c r="BV491" s="46" t="str">
        <f>IFERROR(__xludf.DUMMYFUNCTION("""COMPUTED_VALUE"""),"Chopp")</f>
        <v>Chopp</v>
      </c>
      <c r="BW491" s="46">
        <f t="shared" si="13"/>
        <v>1000</v>
      </c>
      <c r="BX491" s="47">
        <f t="shared" ref="BX491:CA491" si="1584">AX491-$BU491</f>
        <v>-1000</v>
      </c>
      <c r="BY491" s="47">
        <f t="shared" si="1584"/>
        <v>0</v>
      </c>
      <c r="BZ491" s="47">
        <f t="shared" si="1584"/>
        <v>-1000</v>
      </c>
      <c r="CA491" s="47">
        <f t="shared" si="1584"/>
        <v>-1000</v>
      </c>
      <c r="CB491" s="47">
        <f t="shared" si="15"/>
        <v>-10000</v>
      </c>
      <c r="CC491" s="47">
        <f t="shared" ref="CC491:CQ491" si="1585">BC491-$BU491</f>
        <v>-1000</v>
      </c>
      <c r="CD491" s="47">
        <f t="shared" si="1585"/>
        <v>-1000</v>
      </c>
      <c r="CE491" s="47">
        <f t="shared" si="1585"/>
        <v>-1000</v>
      </c>
      <c r="CF491" s="47">
        <f t="shared" si="1585"/>
        <v>-1000</v>
      </c>
      <c r="CG491" s="47">
        <f t="shared" si="1585"/>
        <v>-1000</v>
      </c>
      <c r="CH491" s="47">
        <f t="shared" si="1585"/>
        <v>-1000</v>
      </c>
      <c r="CI491" s="47">
        <f t="shared" si="1585"/>
        <v>-1000</v>
      </c>
      <c r="CJ491" s="47">
        <f t="shared" si="1585"/>
        <v>-1000</v>
      </c>
      <c r="CK491" s="47">
        <f t="shared" si="1585"/>
        <v>-1000</v>
      </c>
      <c r="CL491" s="47">
        <f t="shared" si="1585"/>
        <v>-1000</v>
      </c>
      <c r="CM491" s="47">
        <f t="shared" si="1585"/>
        <v>-1000</v>
      </c>
      <c r="CN491" s="47">
        <f t="shared" si="1585"/>
        <v>-1000</v>
      </c>
      <c r="CO491" s="47">
        <f t="shared" si="1585"/>
        <v>-1000</v>
      </c>
      <c r="CP491" s="47">
        <f t="shared" si="1585"/>
        <v>-1000</v>
      </c>
      <c r="CQ491" s="47">
        <f t="shared" si="1585"/>
        <v>-1000</v>
      </c>
      <c r="CR491" s="47"/>
      <c r="CS491" s="47"/>
      <c r="CT491" s="47"/>
      <c r="CU491" s="50" t="str">
        <f>IFERROR(__xludf.DUMMYFUNCTION("""COMPUTED_VALUE"""),", Blair &amp; Simpson
PO Box 17426
Austin, TX 78760       ")</f>
        <v>, Blair &amp; Simpson
PO Box 17426
Austin, TX 78760       </v>
      </c>
      <c r="CV491" s="51">
        <f>IFERROR(__xludf.DUMMYFUNCTION("IF(REGEXMATCH(UPPER(CU491), ""TX""),0,1)"),0.0)</f>
        <v>0</v>
      </c>
      <c r="CW491" s="51">
        <f>IFERROR(__xludf.DUMMYFUNCTION("IF(REGEXMATCH(UPPER(CU491), ""DALLAS""),0,1)"),1.0)</f>
        <v>1</v>
      </c>
      <c r="CX491" s="51">
        <f t="shared" si="17"/>
        <v>0</v>
      </c>
      <c r="CY491" s="51">
        <f t="shared" si="18"/>
        <v>1000</v>
      </c>
      <c r="CZ491" s="52" t="str">
        <f t="shared" si="19"/>
        <v>, Blair &amp; Simpson
PO Box 17426
Austin, TX 78760       </v>
      </c>
      <c r="DA491" s="58"/>
      <c r="DB491" s="52"/>
      <c r="DC491" s="52"/>
      <c r="DD491" s="52"/>
      <c r="DE491" s="52"/>
      <c r="DF491" s="52"/>
      <c r="DG491" s="52"/>
      <c r="DH491" s="52"/>
      <c r="DI491" s="52"/>
      <c r="DJ491" s="52"/>
      <c r="DK491" s="52"/>
      <c r="DL491" s="52"/>
      <c r="DM491" s="52"/>
      <c r="DN491" s="52"/>
      <c r="DO491" s="52"/>
      <c r="DP491" s="52"/>
      <c r="DQ491" s="52"/>
      <c r="DR491" s="52"/>
      <c r="DS491" s="52"/>
      <c r="DT491" s="52"/>
      <c r="DU491" s="52"/>
      <c r="DV491" s="52"/>
      <c r="DW491" s="52"/>
    </row>
    <row r="492">
      <c r="A492" s="22" t="s">
        <v>55</v>
      </c>
      <c r="B492" s="23" t="s">
        <v>56</v>
      </c>
      <c r="C492" s="31" t="s">
        <v>1354</v>
      </c>
      <c r="D492" s="25" t="str">
        <f>IFERROR(__xludf.DUMMYFUNCTION("SPLIT(C492,"" "")"),"Offutt,")</f>
        <v>Offutt,</v>
      </c>
      <c r="E492" s="22" t="str">
        <f>IFERROR(__xludf.DUMMYFUNCTION("""COMPUTED_VALUE"""),"Larry
6038")</f>
        <v>Larry
6038</v>
      </c>
      <c r="F492" s="22" t="str">
        <f>IFERROR(__xludf.DUMMYFUNCTION("""COMPUTED_VALUE"""),"Bryan")</f>
        <v>Bryan</v>
      </c>
      <c r="G492" s="22" t="str">
        <f>IFERROR(__xludf.DUMMYFUNCTION("""COMPUTED_VALUE"""),"Pkwy
Dallas,")</f>
        <v>Pkwy
Dallas,</v>
      </c>
      <c r="H492" s="22" t="str">
        <f>IFERROR(__xludf.DUMMYFUNCTION("""COMPUTED_VALUE"""),"TX")</f>
        <v>TX</v>
      </c>
      <c r="I492" s="22">
        <f>IFERROR(__xludf.DUMMYFUNCTION("""COMPUTED_VALUE"""),75206.0)</f>
        <v>75206</v>
      </c>
      <c r="J492" s="22"/>
      <c r="K492" s="22"/>
      <c r="L492" s="22"/>
      <c r="M492" s="22"/>
      <c r="N492" s="22"/>
      <c r="O492" s="22"/>
      <c r="P492" s="22"/>
      <c r="Q492" s="22"/>
      <c r="R492" s="22"/>
      <c r="S492" s="22"/>
      <c r="T492" s="22"/>
      <c r="U492" s="24" t="str">
        <f>IFERROR(__xludf.DUMMYFUNCTION("SPLIT(E492,""01234567890"")"),"Larry
")</f>
        <v>Larry
</v>
      </c>
      <c r="V492" s="24" t="str">
        <f>IFERROR(__xludf.DUMMYFUNCTION("SPLIT(D492,"","")"),"Offutt")</f>
        <v>Offutt</v>
      </c>
      <c r="W492" s="25" t="str">
        <f t="shared" si="1"/>
        <v>LARRY
 OFFUTT</v>
      </c>
      <c r="X492" s="25" t="s">
        <v>1355</v>
      </c>
      <c r="Y492" s="25">
        <v>75206.0</v>
      </c>
      <c r="Z492" s="25" t="str">
        <f>IFERROR(__xludf.DUMMYFUNCTION("SPLIT(C492,""
"")"),"Offutt, Larry")</f>
        <v>Offutt, Larry</v>
      </c>
      <c r="AA492" s="25" t="str">
        <f>IFERROR(__xludf.DUMMYFUNCTION("""COMPUTED_VALUE"""),"6038 Bryan Pkwy")</f>
        <v>6038 Bryan Pkwy</v>
      </c>
      <c r="AB492" s="25" t="str">
        <f>IFERROR(__xludf.DUMMYFUNCTION("""COMPUTED_VALUE"""),"Dallas, TX 75206")</f>
        <v>Dallas, TX 75206</v>
      </c>
      <c r="AC492" s="24" t="s">
        <v>1356</v>
      </c>
      <c r="AD492" s="25"/>
      <c r="AE492" s="25"/>
      <c r="AF492" s="25"/>
      <c r="AG492" s="22" t="s">
        <v>60</v>
      </c>
      <c r="AH492" s="54">
        <v>2448.0</v>
      </c>
      <c r="AI492" s="22" t="s">
        <v>61</v>
      </c>
      <c r="AJ492" s="27">
        <v>250.0</v>
      </c>
      <c r="AK492" s="31" t="s">
        <v>24</v>
      </c>
      <c r="AL492" s="28">
        <v>44673.0</v>
      </c>
      <c r="AM492" s="29">
        <v>44757.44018518519</v>
      </c>
      <c r="AN492" s="30">
        <v>2.0</v>
      </c>
      <c r="AO492" s="22"/>
      <c r="AP492" s="22"/>
      <c r="AQ492" s="22"/>
      <c r="AR492" s="22"/>
      <c r="AS492" s="22"/>
      <c r="AT492" s="70"/>
      <c r="AU492" s="22"/>
      <c r="AV492" s="57" t="str">
        <f>IFERROR(__xludf.DUMMYFUNCTION("""COMPUTED_VALUE"""),"SOUTHWEST")</f>
        <v>SOUTHWEST</v>
      </c>
      <c r="AW492" s="46">
        <f t="shared" si="7"/>
        <v>7500</v>
      </c>
      <c r="AX492" s="47">
        <f t="shared" ref="AX492:BQ492" si="1586">SUMIFS($AJ:$AJ,$V:$V,$AV492,$AK:$AK,AX$2)</f>
        <v>0</v>
      </c>
      <c r="AY492" s="48">
        <f t="shared" si="1586"/>
        <v>1000</v>
      </c>
      <c r="AZ492" s="48">
        <f t="shared" si="1586"/>
        <v>0</v>
      </c>
      <c r="BA492" s="48">
        <f t="shared" si="1586"/>
        <v>1500</v>
      </c>
      <c r="BB492" s="48">
        <f t="shared" si="1586"/>
        <v>1000</v>
      </c>
      <c r="BC492" s="48">
        <f t="shared" si="1586"/>
        <v>0</v>
      </c>
      <c r="BD492" s="48">
        <f t="shared" si="1586"/>
        <v>1000</v>
      </c>
      <c r="BE492" s="48">
        <f t="shared" si="1586"/>
        <v>0</v>
      </c>
      <c r="BF492" s="48">
        <f t="shared" si="1586"/>
        <v>2000</v>
      </c>
      <c r="BG492" s="48">
        <f t="shared" si="1586"/>
        <v>1000</v>
      </c>
      <c r="BH492" s="48">
        <f t="shared" si="1586"/>
        <v>0</v>
      </c>
      <c r="BI492" s="48">
        <f t="shared" si="1586"/>
        <v>0</v>
      </c>
      <c r="BJ492" s="48">
        <f t="shared" si="1586"/>
        <v>0</v>
      </c>
      <c r="BK492" s="48">
        <f t="shared" si="1586"/>
        <v>0</v>
      </c>
      <c r="BL492" s="48">
        <f t="shared" si="1586"/>
        <v>0</v>
      </c>
      <c r="BM492" s="48">
        <f t="shared" si="1586"/>
        <v>0</v>
      </c>
      <c r="BN492" s="48">
        <f t="shared" si="1586"/>
        <v>0</v>
      </c>
      <c r="BO492" s="48">
        <f t="shared" si="1586"/>
        <v>0</v>
      </c>
      <c r="BP492" s="48">
        <f t="shared" si="1586"/>
        <v>0</v>
      </c>
      <c r="BQ492" s="48">
        <f t="shared" si="1586"/>
        <v>0</v>
      </c>
      <c r="BR492" s="36">
        <f t="shared" si="9"/>
        <v>1</v>
      </c>
      <c r="BS492" s="38">
        <f t="shared" si="10"/>
        <v>3</v>
      </c>
      <c r="BT492" s="49">
        <f t="shared" si="11"/>
        <v>0</v>
      </c>
      <c r="BU492" s="38">
        <f t="shared" si="12"/>
        <v>3000</v>
      </c>
      <c r="BV492" s="57" t="str">
        <f>IFERROR(__xludf.DUMMYFUNCTION("""COMPUTED_VALUE"""),"SOUTHWEST")</f>
        <v>SOUTHWEST</v>
      </c>
      <c r="BW492" s="46">
        <f t="shared" si="13"/>
        <v>7500</v>
      </c>
      <c r="BX492" s="47">
        <f t="shared" ref="BX492:CA492" si="1587">AX492-$BU492</f>
        <v>-3000</v>
      </c>
      <c r="BY492" s="47">
        <f t="shared" si="1587"/>
        <v>-2000</v>
      </c>
      <c r="BZ492" s="47">
        <f t="shared" si="1587"/>
        <v>-3000</v>
      </c>
      <c r="CA492" s="47">
        <f t="shared" si="1587"/>
        <v>-1500</v>
      </c>
      <c r="CB492" s="47">
        <f t="shared" si="15"/>
        <v>-29000</v>
      </c>
      <c r="CC492" s="47">
        <f t="shared" ref="CC492:CQ492" si="1588">BC492-$BU492</f>
        <v>-3000</v>
      </c>
      <c r="CD492" s="47">
        <f t="shared" si="1588"/>
        <v>-2000</v>
      </c>
      <c r="CE492" s="47">
        <f t="shared" si="1588"/>
        <v>-3000</v>
      </c>
      <c r="CF492" s="47">
        <f t="shared" si="1588"/>
        <v>-1000</v>
      </c>
      <c r="CG492" s="47">
        <f t="shared" si="1588"/>
        <v>-2000</v>
      </c>
      <c r="CH492" s="47">
        <f t="shared" si="1588"/>
        <v>-3000</v>
      </c>
      <c r="CI492" s="47">
        <f t="shared" si="1588"/>
        <v>-3000</v>
      </c>
      <c r="CJ492" s="47">
        <f t="shared" si="1588"/>
        <v>-3000</v>
      </c>
      <c r="CK492" s="47">
        <f t="shared" si="1588"/>
        <v>-3000</v>
      </c>
      <c r="CL492" s="47">
        <f t="shared" si="1588"/>
        <v>-3000</v>
      </c>
      <c r="CM492" s="47">
        <f t="shared" si="1588"/>
        <v>-3000</v>
      </c>
      <c r="CN492" s="47">
        <f t="shared" si="1588"/>
        <v>-3000</v>
      </c>
      <c r="CO492" s="47">
        <f t="shared" si="1588"/>
        <v>-3000</v>
      </c>
      <c r="CP492" s="47">
        <f t="shared" si="1588"/>
        <v>-3000</v>
      </c>
      <c r="CQ492" s="47">
        <f t="shared" si="1588"/>
        <v>-3000</v>
      </c>
      <c r="CR492" s="47"/>
      <c r="CS492" s="47"/>
      <c r="CT492" s="47"/>
      <c r="CU492" s="50" t="str">
        <f>IFERROR(__xludf.DUMMYFUNCTION("""COMPUTED_VALUE"""),"4130 Santa Barbara Dr.
Dallas, TX 75214         ")</f>
        <v>4130 Santa Barbara Dr.
Dallas, TX 75214         </v>
      </c>
      <c r="CV492" s="51">
        <f>IFERROR(__xludf.DUMMYFUNCTION("IF(REGEXMATCH(UPPER(CU492), ""TX""),0,1)"),0.0)</f>
        <v>0</v>
      </c>
      <c r="CW492" s="51">
        <f>IFERROR(__xludf.DUMMYFUNCTION("IF(REGEXMATCH(UPPER(CU492), ""DALLAS""),0,1)"),0.0)</f>
        <v>0</v>
      </c>
      <c r="CX492" s="51">
        <f t="shared" si="17"/>
        <v>0</v>
      </c>
      <c r="CY492" s="51">
        <f t="shared" si="18"/>
        <v>0</v>
      </c>
      <c r="CZ492" s="52" t="str">
        <f t="shared" si="19"/>
        <v/>
      </c>
      <c r="DA492" s="58"/>
      <c r="DB492" s="52"/>
      <c r="DC492" s="52"/>
      <c r="DD492" s="52"/>
      <c r="DE492" s="52"/>
      <c r="DF492" s="52"/>
      <c r="DG492" s="52"/>
      <c r="DH492" s="52"/>
      <c r="DI492" s="52"/>
      <c r="DJ492" s="52"/>
      <c r="DK492" s="52"/>
      <c r="DL492" s="52"/>
      <c r="DM492" s="52"/>
      <c r="DN492" s="52"/>
      <c r="DO492" s="52"/>
      <c r="DP492" s="52"/>
      <c r="DQ492" s="52"/>
      <c r="DR492" s="52"/>
      <c r="DS492" s="52"/>
      <c r="DT492" s="52"/>
      <c r="DU492" s="52"/>
      <c r="DV492" s="52"/>
      <c r="DW492" s="52"/>
    </row>
    <row r="493">
      <c r="A493" s="40" t="s">
        <v>55</v>
      </c>
      <c r="B493" s="41" t="s">
        <v>56</v>
      </c>
      <c r="C493" s="31" t="s">
        <v>1357</v>
      </c>
      <c r="D493" s="25" t="str">
        <f>IFERROR(__xludf.DUMMYFUNCTION("SPLIT(C493,"" "")"),"Stern,")</f>
        <v>Stern,</v>
      </c>
      <c r="E493" s="40" t="str">
        <f>IFERROR(__xludf.DUMMYFUNCTION("""COMPUTED_VALUE"""),"Andy
5916")</f>
        <v>Andy
5916</v>
      </c>
      <c r="F493" s="40" t="str">
        <f>IFERROR(__xludf.DUMMYFUNCTION("""COMPUTED_VALUE"""),"Club")</f>
        <v>Club</v>
      </c>
      <c r="G493" s="40" t="str">
        <f>IFERROR(__xludf.DUMMYFUNCTION("""COMPUTED_VALUE"""),"Oaks")</f>
        <v>Oaks</v>
      </c>
      <c r="H493" s="40" t="str">
        <f>IFERROR(__xludf.DUMMYFUNCTION("""COMPUTED_VALUE"""),"Dr
Dallas,")</f>
        <v>Dr
Dallas,</v>
      </c>
      <c r="I493" s="40" t="str">
        <f>IFERROR(__xludf.DUMMYFUNCTION("""COMPUTED_VALUE"""),"TX")</f>
        <v>TX</v>
      </c>
      <c r="J493" s="40">
        <f>IFERROR(__xludf.DUMMYFUNCTION("""COMPUTED_VALUE"""),75248.0)</f>
        <v>75248</v>
      </c>
      <c r="K493" s="40"/>
      <c r="L493" s="40"/>
      <c r="M493" s="40"/>
      <c r="N493" s="40"/>
      <c r="O493" s="40"/>
      <c r="P493" s="40"/>
      <c r="Q493" s="40"/>
      <c r="R493" s="40"/>
      <c r="S493" s="40"/>
      <c r="T493" s="40"/>
      <c r="U493" s="24" t="str">
        <f>IFERROR(__xludf.DUMMYFUNCTION("SPLIT(E493,""01234567890"")"),"Andy
")</f>
        <v>Andy
</v>
      </c>
      <c r="V493" s="24" t="str">
        <f>IFERROR(__xludf.DUMMYFUNCTION("SPLIT(D493,"","")"),"Stern")</f>
        <v>Stern</v>
      </c>
      <c r="W493" s="25" t="str">
        <f t="shared" si="1"/>
        <v>ANDY
 STERN</v>
      </c>
      <c r="X493" s="25" t="s">
        <v>1358</v>
      </c>
      <c r="Y493" s="25">
        <v>75248.0</v>
      </c>
      <c r="Z493" s="25" t="str">
        <f>IFERROR(__xludf.DUMMYFUNCTION("SPLIT(C493,""
"")"),"Stern, Andy")</f>
        <v>Stern, Andy</v>
      </c>
      <c r="AA493" s="25" t="str">
        <f>IFERROR(__xludf.DUMMYFUNCTION("""COMPUTED_VALUE"""),"5916 Club Oaks Dr")</f>
        <v>5916 Club Oaks Dr</v>
      </c>
      <c r="AB493" s="25" t="str">
        <f>IFERROR(__xludf.DUMMYFUNCTION("""COMPUTED_VALUE"""),"Dallas, TX 75248")</f>
        <v>Dallas, TX 75248</v>
      </c>
      <c r="AC493" s="24" t="s">
        <v>1359</v>
      </c>
      <c r="AD493" s="25"/>
      <c r="AE493" s="25"/>
      <c r="AF493" s="25"/>
      <c r="AG493" s="40" t="s">
        <v>60</v>
      </c>
      <c r="AH493" s="42">
        <v>2448.0</v>
      </c>
      <c r="AI493" s="40" t="s">
        <v>61</v>
      </c>
      <c r="AJ493" s="27">
        <v>100.0</v>
      </c>
      <c r="AK493" s="31" t="s">
        <v>24</v>
      </c>
      <c r="AL493" s="43">
        <v>44673.0</v>
      </c>
      <c r="AM493" s="44">
        <v>44757.44018518519</v>
      </c>
      <c r="AN493" s="30">
        <v>2.0</v>
      </c>
      <c r="AO493" s="40"/>
      <c r="AP493" s="40"/>
      <c r="AQ493" s="40"/>
      <c r="AR493" s="40"/>
      <c r="AS493" s="40"/>
      <c r="AT493" s="47"/>
      <c r="AU493" s="40"/>
      <c r="AV493" s="46" t="str">
        <f>IFERROR(__xludf.DUMMYFUNCTION("""COMPUTED_VALUE"""),"OLABIMTAN")</f>
        <v>OLABIMTAN</v>
      </c>
      <c r="AW493" s="46">
        <f t="shared" si="7"/>
        <v>1000</v>
      </c>
      <c r="AX493" s="47">
        <f t="shared" ref="AX493:BQ493" si="1589">SUMIFS($AJ:$AJ,$V:$V,$AV493,$AK:$AK,AX$2)</f>
        <v>0</v>
      </c>
      <c r="AY493" s="48">
        <f t="shared" si="1589"/>
        <v>1000</v>
      </c>
      <c r="AZ493" s="48">
        <f t="shared" si="1589"/>
        <v>0</v>
      </c>
      <c r="BA493" s="48">
        <f t="shared" si="1589"/>
        <v>0</v>
      </c>
      <c r="BB493" s="48">
        <f t="shared" si="1589"/>
        <v>0</v>
      </c>
      <c r="BC493" s="48">
        <f t="shared" si="1589"/>
        <v>0</v>
      </c>
      <c r="BD493" s="48">
        <f t="shared" si="1589"/>
        <v>0</v>
      </c>
      <c r="BE493" s="48">
        <f t="shared" si="1589"/>
        <v>0</v>
      </c>
      <c r="BF493" s="48">
        <f t="shared" si="1589"/>
        <v>0</v>
      </c>
      <c r="BG493" s="48">
        <f t="shared" si="1589"/>
        <v>0</v>
      </c>
      <c r="BH493" s="48">
        <f t="shared" si="1589"/>
        <v>0</v>
      </c>
      <c r="BI493" s="48">
        <f t="shared" si="1589"/>
        <v>0</v>
      </c>
      <c r="BJ493" s="48">
        <f t="shared" si="1589"/>
        <v>0</v>
      </c>
      <c r="BK493" s="48">
        <f t="shared" si="1589"/>
        <v>0</v>
      </c>
      <c r="BL493" s="48">
        <f t="shared" si="1589"/>
        <v>0</v>
      </c>
      <c r="BM493" s="48">
        <f t="shared" si="1589"/>
        <v>0</v>
      </c>
      <c r="BN493" s="48">
        <f t="shared" si="1589"/>
        <v>0</v>
      </c>
      <c r="BO493" s="48">
        <f t="shared" si="1589"/>
        <v>0</v>
      </c>
      <c r="BP493" s="48">
        <f t="shared" si="1589"/>
        <v>0</v>
      </c>
      <c r="BQ493" s="48">
        <f t="shared" si="1589"/>
        <v>0</v>
      </c>
      <c r="BR493" s="36">
        <f t="shared" si="9"/>
        <v>0</v>
      </c>
      <c r="BS493" s="38">
        <f t="shared" si="10"/>
        <v>1</v>
      </c>
      <c r="BT493" s="49">
        <f t="shared" si="11"/>
        <v>0</v>
      </c>
      <c r="BU493" s="38">
        <f t="shared" si="12"/>
        <v>1000</v>
      </c>
      <c r="BV493" s="46" t="str">
        <f>IFERROR(__xludf.DUMMYFUNCTION("""COMPUTED_VALUE"""),"OLABIMTAN")</f>
        <v>OLABIMTAN</v>
      </c>
      <c r="BW493" s="46">
        <f t="shared" si="13"/>
        <v>1000</v>
      </c>
      <c r="BX493" s="47">
        <f t="shared" ref="BX493:CA493" si="1590">AX493-$BU493</f>
        <v>-1000</v>
      </c>
      <c r="BY493" s="47">
        <f t="shared" si="1590"/>
        <v>0</v>
      </c>
      <c r="BZ493" s="47">
        <f t="shared" si="1590"/>
        <v>-1000</v>
      </c>
      <c r="CA493" s="47">
        <f t="shared" si="1590"/>
        <v>-1000</v>
      </c>
      <c r="CB493" s="47">
        <f t="shared" si="15"/>
        <v>-10000</v>
      </c>
      <c r="CC493" s="47">
        <f t="shared" ref="CC493:CQ493" si="1591">BC493-$BU493</f>
        <v>-1000</v>
      </c>
      <c r="CD493" s="47">
        <f t="shared" si="1591"/>
        <v>-1000</v>
      </c>
      <c r="CE493" s="47">
        <f t="shared" si="1591"/>
        <v>-1000</v>
      </c>
      <c r="CF493" s="47">
        <f t="shared" si="1591"/>
        <v>-1000</v>
      </c>
      <c r="CG493" s="47">
        <f t="shared" si="1591"/>
        <v>-1000</v>
      </c>
      <c r="CH493" s="47">
        <f t="shared" si="1591"/>
        <v>-1000</v>
      </c>
      <c r="CI493" s="47">
        <f t="shared" si="1591"/>
        <v>-1000</v>
      </c>
      <c r="CJ493" s="47">
        <f t="shared" si="1591"/>
        <v>-1000</v>
      </c>
      <c r="CK493" s="47">
        <f t="shared" si="1591"/>
        <v>-1000</v>
      </c>
      <c r="CL493" s="47">
        <f t="shared" si="1591"/>
        <v>-1000</v>
      </c>
      <c r="CM493" s="47">
        <f t="shared" si="1591"/>
        <v>-1000</v>
      </c>
      <c r="CN493" s="47">
        <f t="shared" si="1591"/>
        <v>-1000</v>
      </c>
      <c r="CO493" s="47">
        <f t="shared" si="1591"/>
        <v>-1000</v>
      </c>
      <c r="CP493" s="47">
        <f t="shared" si="1591"/>
        <v>-1000</v>
      </c>
      <c r="CQ493" s="47">
        <f t="shared" si="1591"/>
        <v>-1000</v>
      </c>
      <c r="CR493" s="47"/>
      <c r="CS493" s="47"/>
      <c r="CT493" s="47"/>
      <c r="CU493" s="50" t="str">
        <f>IFERROR(__xludf.DUMMYFUNCTION("""COMPUTED_VALUE"""),"4101 Commerce St.
Dallas, TX 75226          ")</f>
        <v>4101 Commerce St.
Dallas, TX 75226          </v>
      </c>
      <c r="CV493" s="51">
        <f>IFERROR(__xludf.DUMMYFUNCTION("IF(REGEXMATCH(UPPER(CU493), ""TX""),0,1)"),0.0)</f>
        <v>0</v>
      </c>
      <c r="CW493" s="51">
        <f>IFERROR(__xludf.DUMMYFUNCTION("IF(REGEXMATCH(UPPER(CU493), ""DALLAS""),0,1)"),0.0)</f>
        <v>0</v>
      </c>
      <c r="CX493" s="51">
        <f t="shared" si="17"/>
        <v>0</v>
      </c>
      <c r="CY493" s="51">
        <f t="shared" si="18"/>
        <v>0</v>
      </c>
      <c r="CZ493" s="52" t="str">
        <f t="shared" si="19"/>
        <v/>
      </c>
      <c r="DA493" s="58"/>
      <c r="DB493" s="52"/>
      <c r="DC493" s="52"/>
      <c r="DD493" s="52"/>
      <c r="DE493" s="52"/>
      <c r="DF493" s="52"/>
      <c r="DG493" s="52"/>
      <c r="DH493" s="52"/>
      <c r="DI493" s="52"/>
      <c r="DJ493" s="52"/>
      <c r="DK493" s="52"/>
      <c r="DL493" s="52"/>
      <c r="DM493" s="52"/>
      <c r="DN493" s="52"/>
      <c r="DO493" s="52"/>
      <c r="DP493" s="52"/>
      <c r="DQ493" s="52"/>
      <c r="DR493" s="52"/>
      <c r="DS493" s="52"/>
      <c r="DT493" s="52"/>
      <c r="DU493" s="52"/>
      <c r="DV493" s="52"/>
      <c r="DW493" s="52"/>
    </row>
    <row r="494">
      <c r="A494" s="22" t="s">
        <v>55</v>
      </c>
      <c r="B494" s="23" t="s">
        <v>56</v>
      </c>
      <c r="C494" s="31" t="s">
        <v>1360</v>
      </c>
      <c r="D494" s="25" t="str">
        <f>IFERROR(__xludf.DUMMYFUNCTION("SPLIT(C494,"" "")"),"Mason,")</f>
        <v>Mason,</v>
      </c>
      <c r="E494" s="22" t="str">
        <f>IFERROR(__xludf.DUMMYFUNCTION("""COMPUTED_VALUE"""),"George
6821")</f>
        <v>George
6821</v>
      </c>
      <c r="F494" s="22" t="str">
        <f>IFERROR(__xludf.DUMMYFUNCTION("""COMPUTED_VALUE"""),"Carolyncrest
Dallas,")</f>
        <v>Carolyncrest
Dallas,</v>
      </c>
      <c r="G494" s="22" t="str">
        <f>IFERROR(__xludf.DUMMYFUNCTION("""COMPUTED_VALUE"""),"TX")</f>
        <v>TX</v>
      </c>
      <c r="H494" s="22">
        <f>IFERROR(__xludf.DUMMYFUNCTION("""COMPUTED_VALUE"""),75214.0)</f>
        <v>75214</v>
      </c>
      <c r="I494" s="22"/>
      <c r="J494" s="22"/>
      <c r="K494" s="22"/>
      <c r="L494" s="22"/>
      <c r="M494" s="22"/>
      <c r="N494" s="22"/>
      <c r="O494" s="22"/>
      <c r="P494" s="22"/>
      <c r="Q494" s="22"/>
      <c r="R494" s="22"/>
      <c r="S494" s="22"/>
      <c r="T494" s="22"/>
      <c r="U494" s="24" t="str">
        <f>IFERROR(__xludf.DUMMYFUNCTION("SPLIT(E494,""01234567890"")"),"George
")</f>
        <v>George
</v>
      </c>
      <c r="V494" s="24" t="str">
        <f>IFERROR(__xludf.DUMMYFUNCTION("SPLIT(D494,"","")"),"Mason")</f>
        <v>Mason</v>
      </c>
      <c r="W494" s="25" t="str">
        <f t="shared" si="1"/>
        <v>GEORGE
 MASON</v>
      </c>
      <c r="X494" s="25" t="s">
        <v>1361</v>
      </c>
      <c r="Y494" s="25">
        <v>75214.0</v>
      </c>
      <c r="Z494" s="25" t="str">
        <f>IFERROR(__xludf.DUMMYFUNCTION("SPLIT(C494,""
"")"),"Mason, George")</f>
        <v>Mason, George</v>
      </c>
      <c r="AA494" s="25" t="str">
        <f>IFERROR(__xludf.DUMMYFUNCTION("""COMPUTED_VALUE"""),"6821 Carolyncrest")</f>
        <v>6821 Carolyncrest</v>
      </c>
      <c r="AB494" s="25" t="str">
        <f>IFERROR(__xludf.DUMMYFUNCTION("""COMPUTED_VALUE"""),"Dallas, TX 75214")</f>
        <v>Dallas, TX 75214</v>
      </c>
      <c r="AC494" s="24" t="s">
        <v>1362</v>
      </c>
      <c r="AD494" s="25"/>
      <c r="AE494" s="25"/>
      <c r="AF494" s="25"/>
      <c r="AG494" s="22" t="s">
        <v>60</v>
      </c>
      <c r="AH494" s="54">
        <v>2448.0</v>
      </c>
      <c r="AI494" s="22" t="s">
        <v>61</v>
      </c>
      <c r="AJ494" s="27">
        <v>100.0</v>
      </c>
      <c r="AK494" s="31" t="s">
        <v>24</v>
      </c>
      <c r="AL494" s="28">
        <v>44673.0</v>
      </c>
      <c r="AM494" s="29">
        <v>44757.44018518519</v>
      </c>
      <c r="AN494" s="30">
        <v>2.0</v>
      </c>
      <c r="AO494" s="22"/>
      <c r="AP494" s="22"/>
      <c r="AQ494" s="22"/>
      <c r="AR494" s="22"/>
      <c r="AS494" s="22"/>
      <c r="AT494" s="70"/>
      <c r="AU494" s="22"/>
      <c r="AV494" s="57" t="str">
        <f>IFERROR(__xludf.DUMMYFUNCTION("""COMPUTED_VALUE"""),"Mapp")</f>
        <v>Mapp</v>
      </c>
      <c r="AW494" s="46">
        <f t="shared" si="7"/>
        <v>750</v>
      </c>
      <c r="AX494" s="47">
        <f t="shared" ref="AX494:BQ494" si="1592">SUMIFS($AJ:$AJ,$V:$V,$AV494,$AK:$AK,AX$2)</f>
        <v>0</v>
      </c>
      <c r="AY494" s="48">
        <f t="shared" si="1592"/>
        <v>750</v>
      </c>
      <c r="AZ494" s="48">
        <f t="shared" si="1592"/>
        <v>0</v>
      </c>
      <c r="BA494" s="48">
        <f t="shared" si="1592"/>
        <v>0</v>
      </c>
      <c r="BB494" s="48">
        <f t="shared" si="1592"/>
        <v>0</v>
      </c>
      <c r="BC494" s="48">
        <f t="shared" si="1592"/>
        <v>0</v>
      </c>
      <c r="BD494" s="48">
        <f t="shared" si="1592"/>
        <v>0</v>
      </c>
      <c r="BE494" s="48">
        <f t="shared" si="1592"/>
        <v>0</v>
      </c>
      <c r="BF494" s="48">
        <f t="shared" si="1592"/>
        <v>0</v>
      </c>
      <c r="BG494" s="48">
        <f t="shared" si="1592"/>
        <v>0</v>
      </c>
      <c r="BH494" s="48">
        <f t="shared" si="1592"/>
        <v>0</v>
      </c>
      <c r="BI494" s="48">
        <f t="shared" si="1592"/>
        <v>0</v>
      </c>
      <c r="BJ494" s="48">
        <f t="shared" si="1592"/>
        <v>0</v>
      </c>
      <c r="BK494" s="48">
        <f t="shared" si="1592"/>
        <v>0</v>
      </c>
      <c r="BL494" s="48">
        <f t="shared" si="1592"/>
        <v>0</v>
      </c>
      <c r="BM494" s="48">
        <f t="shared" si="1592"/>
        <v>0</v>
      </c>
      <c r="BN494" s="48">
        <f t="shared" si="1592"/>
        <v>0</v>
      </c>
      <c r="BO494" s="48">
        <f t="shared" si="1592"/>
        <v>0</v>
      </c>
      <c r="BP494" s="48">
        <f t="shared" si="1592"/>
        <v>0</v>
      </c>
      <c r="BQ494" s="48">
        <f t="shared" si="1592"/>
        <v>0</v>
      </c>
      <c r="BR494" s="36">
        <f t="shared" si="9"/>
        <v>0</v>
      </c>
      <c r="BS494" s="38">
        <f t="shared" si="10"/>
        <v>1</v>
      </c>
      <c r="BT494" s="49">
        <f t="shared" si="11"/>
        <v>0</v>
      </c>
      <c r="BU494" s="38">
        <f t="shared" si="12"/>
        <v>1000</v>
      </c>
      <c r="BV494" s="57" t="str">
        <f>IFERROR(__xludf.DUMMYFUNCTION("""COMPUTED_VALUE"""),"Mapp")</f>
        <v>Mapp</v>
      </c>
      <c r="BW494" s="46">
        <f t="shared" si="13"/>
        <v>750</v>
      </c>
      <c r="BX494" s="47">
        <f t="shared" ref="BX494:CA494" si="1593">AX494-$BU494</f>
        <v>-1000</v>
      </c>
      <c r="BY494" s="47">
        <f t="shared" si="1593"/>
        <v>-250</v>
      </c>
      <c r="BZ494" s="47">
        <f t="shared" si="1593"/>
        <v>-1000</v>
      </c>
      <c r="CA494" s="47">
        <f t="shared" si="1593"/>
        <v>-1000</v>
      </c>
      <c r="CB494" s="47">
        <f t="shared" si="15"/>
        <v>-10000</v>
      </c>
      <c r="CC494" s="47">
        <f t="shared" ref="CC494:CQ494" si="1594">BC494-$BU494</f>
        <v>-1000</v>
      </c>
      <c r="CD494" s="47">
        <f t="shared" si="1594"/>
        <v>-1000</v>
      </c>
      <c r="CE494" s="47">
        <f t="shared" si="1594"/>
        <v>-1000</v>
      </c>
      <c r="CF494" s="47">
        <f t="shared" si="1594"/>
        <v>-1000</v>
      </c>
      <c r="CG494" s="47">
        <f t="shared" si="1594"/>
        <v>-1000</v>
      </c>
      <c r="CH494" s="47">
        <f t="shared" si="1594"/>
        <v>-1000</v>
      </c>
      <c r="CI494" s="47">
        <f t="shared" si="1594"/>
        <v>-1000</v>
      </c>
      <c r="CJ494" s="47">
        <f t="shared" si="1594"/>
        <v>-1000</v>
      </c>
      <c r="CK494" s="47">
        <f t="shared" si="1594"/>
        <v>-1000</v>
      </c>
      <c r="CL494" s="47">
        <f t="shared" si="1594"/>
        <v>-1000</v>
      </c>
      <c r="CM494" s="47">
        <f t="shared" si="1594"/>
        <v>-1000</v>
      </c>
      <c r="CN494" s="47">
        <f t="shared" si="1594"/>
        <v>-1000</v>
      </c>
      <c r="CO494" s="47">
        <f t="shared" si="1594"/>
        <v>-1000</v>
      </c>
      <c r="CP494" s="47">
        <f t="shared" si="1594"/>
        <v>-1000</v>
      </c>
      <c r="CQ494" s="47">
        <f t="shared" si="1594"/>
        <v>-1000</v>
      </c>
      <c r="CR494" s="47"/>
      <c r="CS494" s="47"/>
      <c r="CT494" s="47"/>
      <c r="CU494" s="50" t="str">
        <f>IFERROR(__xludf.DUMMYFUNCTION("""COMPUTED_VALUE"""),"7278 Williamson Cir
Dallas, TX 75214          ")</f>
        <v>7278 Williamson Cir
Dallas, TX 75214          </v>
      </c>
      <c r="CV494" s="51">
        <f>IFERROR(__xludf.DUMMYFUNCTION("IF(REGEXMATCH(UPPER(CU494), ""TX""),0,1)"),0.0)</f>
        <v>0</v>
      </c>
      <c r="CW494" s="51">
        <f>IFERROR(__xludf.DUMMYFUNCTION("IF(REGEXMATCH(UPPER(CU494), ""DALLAS""),0,1)"),0.0)</f>
        <v>0</v>
      </c>
      <c r="CX494" s="51">
        <f t="shared" si="17"/>
        <v>0</v>
      </c>
      <c r="CY494" s="51">
        <f t="shared" si="18"/>
        <v>0</v>
      </c>
      <c r="CZ494" s="52" t="str">
        <f t="shared" si="19"/>
        <v/>
      </c>
      <c r="DA494" s="58"/>
      <c r="DB494" s="52"/>
      <c r="DC494" s="52"/>
      <c r="DD494" s="52"/>
      <c r="DE494" s="52"/>
      <c r="DF494" s="52"/>
      <c r="DG494" s="52"/>
      <c r="DH494" s="52"/>
      <c r="DI494" s="52"/>
      <c r="DJ494" s="52"/>
      <c r="DK494" s="52"/>
      <c r="DL494" s="52"/>
      <c r="DM494" s="52"/>
      <c r="DN494" s="52"/>
      <c r="DO494" s="52"/>
      <c r="DP494" s="52"/>
      <c r="DQ494" s="52"/>
      <c r="DR494" s="52"/>
      <c r="DS494" s="52"/>
      <c r="DT494" s="52"/>
      <c r="DU494" s="52"/>
      <c r="DV494" s="52"/>
      <c r="DW494" s="52"/>
    </row>
    <row r="495">
      <c r="A495" s="40" t="s">
        <v>55</v>
      </c>
      <c r="B495" s="41" t="s">
        <v>56</v>
      </c>
      <c r="C495" s="31" t="s">
        <v>1363</v>
      </c>
      <c r="D495" s="25" t="str">
        <f>IFERROR(__xludf.DUMMYFUNCTION("SPLIT(C495,"" "")"),"Steinhart,")</f>
        <v>Steinhart,</v>
      </c>
      <c r="E495" s="40" t="str">
        <f>IFERROR(__xludf.DUMMYFUNCTION("""COMPUTED_VALUE"""),"Ronald
25")</f>
        <v>Ronald
25</v>
      </c>
      <c r="F495" s="40" t="str">
        <f>IFERROR(__xludf.DUMMYFUNCTION("""COMPUTED_VALUE"""),"Robledo")</f>
        <v>Robledo</v>
      </c>
      <c r="G495" s="40" t="str">
        <f>IFERROR(__xludf.DUMMYFUNCTION("""COMPUTED_VALUE"""),"Dr.
Dallas,")</f>
        <v>Dr.
Dallas,</v>
      </c>
      <c r="H495" s="40" t="str">
        <f>IFERROR(__xludf.DUMMYFUNCTION("""COMPUTED_VALUE"""),"TX")</f>
        <v>TX</v>
      </c>
      <c r="I495" s="40">
        <f>IFERROR(__xludf.DUMMYFUNCTION("""COMPUTED_VALUE"""),75230.0)</f>
        <v>75230</v>
      </c>
      <c r="J495" s="40"/>
      <c r="K495" s="40"/>
      <c r="L495" s="40"/>
      <c r="M495" s="40"/>
      <c r="N495" s="40"/>
      <c r="O495" s="40"/>
      <c r="P495" s="40"/>
      <c r="Q495" s="40"/>
      <c r="R495" s="40"/>
      <c r="S495" s="40"/>
      <c r="T495" s="40"/>
      <c r="U495" s="24" t="str">
        <f>IFERROR(__xludf.DUMMYFUNCTION("SPLIT(E495,""01234567890"")"),"Ronald
")</f>
        <v>Ronald
</v>
      </c>
      <c r="V495" s="24" t="str">
        <f>IFERROR(__xludf.DUMMYFUNCTION("SPLIT(D495,"","")"),"Steinhart")</f>
        <v>Steinhart</v>
      </c>
      <c r="W495" s="25" t="str">
        <f t="shared" si="1"/>
        <v>RONALD
 STEINHART</v>
      </c>
      <c r="X495" s="25" t="s">
        <v>1364</v>
      </c>
      <c r="Y495" s="25">
        <v>75230.0</v>
      </c>
      <c r="Z495" s="25" t="str">
        <f>IFERROR(__xludf.DUMMYFUNCTION("SPLIT(C495,""
"")"),"Steinhart, Ronald")</f>
        <v>Steinhart, Ronald</v>
      </c>
      <c r="AA495" s="25" t="str">
        <f>IFERROR(__xludf.DUMMYFUNCTION("""COMPUTED_VALUE"""),"25 Robledo Dr.")</f>
        <v>25 Robledo Dr.</v>
      </c>
      <c r="AB495" s="25" t="str">
        <f>IFERROR(__xludf.DUMMYFUNCTION("""COMPUTED_VALUE"""),"Dallas, TX 75230")</f>
        <v>Dallas, TX 75230</v>
      </c>
      <c r="AC495" s="24" t="s">
        <v>1085</v>
      </c>
      <c r="AD495" s="25"/>
      <c r="AE495" s="25"/>
      <c r="AF495" s="25"/>
      <c r="AG495" s="40" t="s">
        <v>60</v>
      </c>
      <c r="AH495" s="42">
        <v>2448.0</v>
      </c>
      <c r="AI495" s="40" t="s">
        <v>61</v>
      </c>
      <c r="AJ495" s="27">
        <v>1000.0</v>
      </c>
      <c r="AK495" s="31" t="s">
        <v>24</v>
      </c>
      <c r="AL495" s="43">
        <v>44674.0</v>
      </c>
      <c r="AM495" s="44">
        <v>44757.44018518519</v>
      </c>
      <c r="AN495" s="30">
        <v>2.0</v>
      </c>
      <c r="AO495" s="40"/>
      <c r="AP495" s="40"/>
      <c r="AQ495" s="40"/>
      <c r="AR495" s="40"/>
      <c r="AS495" s="40"/>
      <c r="AT495" s="47"/>
      <c r="AU495" s="40"/>
      <c r="AV495" s="46" t="str">
        <f>IFERROR(__xludf.DUMMYFUNCTION("""COMPUTED_VALUE"""),"Warren")</f>
        <v>Warren</v>
      </c>
      <c r="AW495" s="46">
        <f t="shared" si="7"/>
        <v>1000</v>
      </c>
      <c r="AX495" s="47">
        <f t="shared" ref="AX495:BQ495" si="1595">SUMIFS($AJ:$AJ,$V:$V,$AV495,$AK:$AK,AX$2)</f>
        <v>0</v>
      </c>
      <c r="AY495" s="48">
        <f t="shared" si="1595"/>
        <v>1000</v>
      </c>
      <c r="AZ495" s="48">
        <f t="shared" si="1595"/>
        <v>0</v>
      </c>
      <c r="BA495" s="48">
        <f t="shared" si="1595"/>
        <v>0</v>
      </c>
      <c r="BB495" s="48">
        <f t="shared" si="1595"/>
        <v>0</v>
      </c>
      <c r="BC495" s="48">
        <f t="shared" si="1595"/>
        <v>0</v>
      </c>
      <c r="BD495" s="48">
        <f t="shared" si="1595"/>
        <v>0</v>
      </c>
      <c r="BE495" s="48">
        <f t="shared" si="1595"/>
        <v>0</v>
      </c>
      <c r="BF495" s="48">
        <f t="shared" si="1595"/>
        <v>0</v>
      </c>
      <c r="BG495" s="48">
        <f t="shared" si="1595"/>
        <v>0</v>
      </c>
      <c r="BH495" s="48">
        <f t="shared" si="1595"/>
        <v>0</v>
      </c>
      <c r="BI495" s="48">
        <f t="shared" si="1595"/>
        <v>0</v>
      </c>
      <c r="BJ495" s="48">
        <f t="shared" si="1595"/>
        <v>0</v>
      </c>
      <c r="BK495" s="48">
        <f t="shared" si="1595"/>
        <v>0</v>
      </c>
      <c r="BL495" s="48">
        <f t="shared" si="1595"/>
        <v>0</v>
      </c>
      <c r="BM495" s="48">
        <f t="shared" si="1595"/>
        <v>0</v>
      </c>
      <c r="BN495" s="48">
        <f t="shared" si="1595"/>
        <v>0</v>
      </c>
      <c r="BO495" s="48">
        <f t="shared" si="1595"/>
        <v>0</v>
      </c>
      <c r="BP495" s="48">
        <f t="shared" si="1595"/>
        <v>0</v>
      </c>
      <c r="BQ495" s="48">
        <f t="shared" si="1595"/>
        <v>0</v>
      </c>
      <c r="BR495" s="36">
        <f t="shared" si="9"/>
        <v>0</v>
      </c>
      <c r="BS495" s="38">
        <f t="shared" si="10"/>
        <v>1</v>
      </c>
      <c r="BT495" s="49">
        <f t="shared" si="11"/>
        <v>0</v>
      </c>
      <c r="BU495" s="38">
        <f t="shared" si="12"/>
        <v>1000</v>
      </c>
      <c r="BV495" s="46" t="str">
        <f>IFERROR(__xludf.DUMMYFUNCTION("""COMPUTED_VALUE"""),"Warren")</f>
        <v>Warren</v>
      </c>
      <c r="BW495" s="46">
        <f t="shared" si="13"/>
        <v>1000</v>
      </c>
      <c r="BX495" s="47">
        <f t="shared" ref="BX495:CA495" si="1596">AX495-$BU495</f>
        <v>-1000</v>
      </c>
      <c r="BY495" s="47">
        <f t="shared" si="1596"/>
        <v>0</v>
      </c>
      <c r="BZ495" s="47">
        <f t="shared" si="1596"/>
        <v>-1000</v>
      </c>
      <c r="CA495" s="47">
        <f t="shared" si="1596"/>
        <v>-1000</v>
      </c>
      <c r="CB495" s="47">
        <f t="shared" si="15"/>
        <v>-10000</v>
      </c>
      <c r="CC495" s="47">
        <f t="shared" ref="CC495:CQ495" si="1597">BC495-$BU495</f>
        <v>-1000</v>
      </c>
      <c r="CD495" s="47">
        <f t="shared" si="1597"/>
        <v>-1000</v>
      </c>
      <c r="CE495" s="47">
        <f t="shared" si="1597"/>
        <v>-1000</v>
      </c>
      <c r="CF495" s="47">
        <f t="shared" si="1597"/>
        <v>-1000</v>
      </c>
      <c r="CG495" s="47">
        <f t="shared" si="1597"/>
        <v>-1000</v>
      </c>
      <c r="CH495" s="47">
        <f t="shared" si="1597"/>
        <v>-1000</v>
      </c>
      <c r="CI495" s="47">
        <f t="shared" si="1597"/>
        <v>-1000</v>
      </c>
      <c r="CJ495" s="47">
        <f t="shared" si="1597"/>
        <v>-1000</v>
      </c>
      <c r="CK495" s="47">
        <f t="shared" si="1597"/>
        <v>-1000</v>
      </c>
      <c r="CL495" s="47">
        <f t="shared" si="1597"/>
        <v>-1000</v>
      </c>
      <c r="CM495" s="47">
        <f t="shared" si="1597"/>
        <v>-1000</v>
      </c>
      <c r="CN495" s="47">
        <f t="shared" si="1597"/>
        <v>-1000</v>
      </c>
      <c r="CO495" s="47">
        <f t="shared" si="1597"/>
        <v>-1000</v>
      </c>
      <c r="CP495" s="47">
        <f t="shared" si="1597"/>
        <v>-1000</v>
      </c>
      <c r="CQ495" s="47">
        <f t="shared" si="1597"/>
        <v>-1000</v>
      </c>
      <c r="CR495" s="47"/>
      <c r="CS495" s="47"/>
      <c r="CT495" s="47"/>
      <c r="CU495" s="50" t="str">
        <f>IFERROR(__xludf.DUMMYFUNCTION("""COMPUTED_VALUE"""),"500 N. Akard
Dallas, TX 75201          ")</f>
        <v>500 N. Akard
Dallas, TX 75201          </v>
      </c>
      <c r="CV495" s="51">
        <f>IFERROR(__xludf.DUMMYFUNCTION("IF(REGEXMATCH(UPPER(CU495), ""TX""),0,1)"),0.0)</f>
        <v>0</v>
      </c>
      <c r="CW495" s="51">
        <f>IFERROR(__xludf.DUMMYFUNCTION("IF(REGEXMATCH(UPPER(CU495), ""DALLAS""),0,1)"),0.0)</f>
        <v>0</v>
      </c>
      <c r="CX495" s="51">
        <f t="shared" si="17"/>
        <v>0</v>
      </c>
      <c r="CY495" s="51">
        <f t="shared" si="18"/>
        <v>0</v>
      </c>
      <c r="CZ495" s="52" t="str">
        <f t="shared" si="19"/>
        <v/>
      </c>
      <c r="DA495" s="58"/>
      <c r="DB495" s="52"/>
      <c r="DC495" s="52"/>
      <c r="DD495" s="52"/>
      <c r="DE495" s="52"/>
      <c r="DF495" s="52"/>
      <c r="DG495" s="52"/>
      <c r="DH495" s="52"/>
      <c r="DI495" s="52"/>
      <c r="DJ495" s="52"/>
      <c r="DK495" s="52"/>
      <c r="DL495" s="52"/>
      <c r="DM495" s="52"/>
      <c r="DN495" s="52"/>
      <c r="DO495" s="52"/>
      <c r="DP495" s="52"/>
      <c r="DQ495" s="52"/>
      <c r="DR495" s="52"/>
      <c r="DS495" s="52"/>
      <c r="DT495" s="52"/>
      <c r="DU495" s="52"/>
      <c r="DV495" s="52"/>
      <c r="DW495" s="52"/>
    </row>
    <row r="496">
      <c r="A496" s="22" t="s">
        <v>55</v>
      </c>
      <c r="B496" s="23" t="s">
        <v>56</v>
      </c>
      <c r="C496" s="31" t="s">
        <v>1365</v>
      </c>
      <c r="D496" s="25" t="str">
        <f>IFERROR(__xludf.DUMMYFUNCTION("SPLIT(C496,"" "")"),"Borruf,")</f>
        <v>Borruf,</v>
      </c>
      <c r="E496" s="22" t="str">
        <f>IFERROR(__xludf.DUMMYFUNCTION("""COMPUTED_VALUE"""),"Darren
6445")</f>
        <v>Darren
6445</v>
      </c>
      <c r="F496" s="22" t="str">
        <f>IFERROR(__xludf.DUMMYFUNCTION("""COMPUTED_VALUE"""),"Lake")</f>
        <v>Lake</v>
      </c>
      <c r="G496" s="22" t="str">
        <f>IFERROR(__xludf.DUMMYFUNCTION("""COMPUTED_VALUE"""),"Circle")</f>
        <v>Circle</v>
      </c>
      <c r="H496" s="22" t="str">
        <f>IFERROR(__xludf.DUMMYFUNCTION("""COMPUTED_VALUE"""),"Dr.
Dallas,")</f>
        <v>Dr.
Dallas,</v>
      </c>
      <c r="I496" s="22" t="str">
        <f>IFERROR(__xludf.DUMMYFUNCTION("""COMPUTED_VALUE"""),"TX")</f>
        <v>TX</v>
      </c>
      <c r="J496" s="22">
        <f>IFERROR(__xludf.DUMMYFUNCTION("""COMPUTED_VALUE"""),75214.0)</f>
        <v>75214</v>
      </c>
      <c r="K496" s="22"/>
      <c r="L496" s="22"/>
      <c r="M496" s="22"/>
      <c r="N496" s="22"/>
      <c r="O496" s="22"/>
      <c r="P496" s="22"/>
      <c r="Q496" s="22"/>
      <c r="R496" s="22"/>
      <c r="S496" s="22"/>
      <c r="T496" s="22"/>
      <c r="U496" s="24" t="str">
        <f>IFERROR(__xludf.DUMMYFUNCTION("SPLIT(E496,""01234567890"")"),"Darren
")</f>
        <v>Darren
</v>
      </c>
      <c r="V496" s="24" t="str">
        <f>IFERROR(__xludf.DUMMYFUNCTION("SPLIT(D496,"","")"),"Borruf")</f>
        <v>Borruf</v>
      </c>
      <c r="W496" s="25" t="str">
        <f t="shared" si="1"/>
        <v>DARREN
 BORRUF</v>
      </c>
      <c r="X496" s="25" t="s">
        <v>1366</v>
      </c>
      <c r="Y496" s="25">
        <v>75214.0</v>
      </c>
      <c r="Z496" s="25" t="str">
        <f>IFERROR(__xludf.DUMMYFUNCTION("SPLIT(C496,""
"")"),"Borruf, Darren")</f>
        <v>Borruf, Darren</v>
      </c>
      <c r="AA496" s="25" t="str">
        <f>IFERROR(__xludf.DUMMYFUNCTION("""COMPUTED_VALUE"""),"6445 Lake Circle Dr.")</f>
        <v>6445 Lake Circle Dr.</v>
      </c>
      <c r="AB496" s="25" t="str">
        <f>IFERROR(__xludf.DUMMYFUNCTION("""COMPUTED_VALUE"""),"Dallas, TX 75214")</f>
        <v>Dallas, TX 75214</v>
      </c>
      <c r="AC496" s="24" t="s">
        <v>1367</v>
      </c>
      <c r="AD496" s="25"/>
      <c r="AE496" s="25"/>
      <c r="AF496" s="25"/>
      <c r="AG496" s="22" t="s">
        <v>60</v>
      </c>
      <c r="AH496" s="54">
        <v>2448.0</v>
      </c>
      <c r="AI496" s="22" t="s">
        <v>61</v>
      </c>
      <c r="AJ496" s="27">
        <v>100.0</v>
      </c>
      <c r="AK496" s="31" t="s">
        <v>24</v>
      </c>
      <c r="AL496" s="28">
        <v>44675.0</v>
      </c>
      <c r="AM496" s="29">
        <v>44757.44018518519</v>
      </c>
      <c r="AN496" s="30">
        <v>2.0</v>
      </c>
      <c r="AO496" s="22"/>
      <c r="AP496" s="22"/>
      <c r="AQ496" s="22"/>
      <c r="AR496" s="22"/>
      <c r="AS496" s="22"/>
      <c r="AT496" s="70"/>
      <c r="AU496" s="22"/>
      <c r="AV496" s="57" t="str">
        <f>IFERROR(__xludf.DUMMYFUNCTION("""COMPUTED_VALUE"""),"Levis")</f>
        <v>Levis</v>
      </c>
      <c r="AW496" s="46">
        <f t="shared" si="7"/>
        <v>1000</v>
      </c>
      <c r="AX496" s="47">
        <f t="shared" ref="AX496:BQ496" si="1598">SUMIFS($AJ:$AJ,$V:$V,$AV496,$AK:$AK,AX$2)</f>
        <v>0</v>
      </c>
      <c r="AY496" s="48">
        <f t="shared" si="1598"/>
        <v>1000</v>
      </c>
      <c r="AZ496" s="48">
        <f t="shared" si="1598"/>
        <v>0</v>
      </c>
      <c r="BA496" s="48">
        <f t="shared" si="1598"/>
        <v>0</v>
      </c>
      <c r="BB496" s="48">
        <f t="shared" si="1598"/>
        <v>0</v>
      </c>
      <c r="BC496" s="48">
        <f t="shared" si="1598"/>
        <v>0</v>
      </c>
      <c r="BD496" s="48">
        <f t="shared" si="1598"/>
        <v>0</v>
      </c>
      <c r="BE496" s="48">
        <f t="shared" si="1598"/>
        <v>0</v>
      </c>
      <c r="BF496" s="48">
        <f t="shared" si="1598"/>
        <v>0</v>
      </c>
      <c r="BG496" s="48">
        <f t="shared" si="1598"/>
        <v>0</v>
      </c>
      <c r="BH496" s="48">
        <f t="shared" si="1598"/>
        <v>0</v>
      </c>
      <c r="BI496" s="48">
        <f t="shared" si="1598"/>
        <v>0</v>
      </c>
      <c r="BJ496" s="48">
        <f t="shared" si="1598"/>
        <v>0</v>
      </c>
      <c r="BK496" s="48">
        <f t="shared" si="1598"/>
        <v>0</v>
      </c>
      <c r="BL496" s="48">
        <f t="shared" si="1598"/>
        <v>0</v>
      </c>
      <c r="BM496" s="48">
        <f t="shared" si="1598"/>
        <v>0</v>
      </c>
      <c r="BN496" s="48">
        <f t="shared" si="1598"/>
        <v>0</v>
      </c>
      <c r="BO496" s="48">
        <f t="shared" si="1598"/>
        <v>0</v>
      </c>
      <c r="BP496" s="48">
        <f t="shared" si="1598"/>
        <v>0</v>
      </c>
      <c r="BQ496" s="48">
        <f t="shared" si="1598"/>
        <v>0</v>
      </c>
      <c r="BR496" s="36">
        <f t="shared" si="9"/>
        <v>0</v>
      </c>
      <c r="BS496" s="38">
        <f t="shared" si="10"/>
        <v>1</v>
      </c>
      <c r="BT496" s="49">
        <f t="shared" si="11"/>
        <v>0</v>
      </c>
      <c r="BU496" s="38">
        <f t="shared" si="12"/>
        <v>1000</v>
      </c>
      <c r="BV496" s="57" t="str">
        <f>IFERROR(__xludf.DUMMYFUNCTION("""COMPUTED_VALUE"""),"Levis")</f>
        <v>Levis</v>
      </c>
      <c r="BW496" s="46">
        <f t="shared" si="13"/>
        <v>1000</v>
      </c>
      <c r="BX496" s="47">
        <f t="shared" ref="BX496:CA496" si="1599">AX496-$BU496</f>
        <v>-1000</v>
      </c>
      <c r="BY496" s="47">
        <f t="shared" si="1599"/>
        <v>0</v>
      </c>
      <c r="BZ496" s="47">
        <f t="shared" si="1599"/>
        <v>-1000</v>
      </c>
      <c r="CA496" s="47">
        <f t="shared" si="1599"/>
        <v>-1000</v>
      </c>
      <c r="CB496" s="47">
        <f t="shared" si="15"/>
        <v>-10000</v>
      </c>
      <c r="CC496" s="47">
        <f t="shared" ref="CC496:CQ496" si="1600">BC496-$BU496</f>
        <v>-1000</v>
      </c>
      <c r="CD496" s="47">
        <f t="shared" si="1600"/>
        <v>-1000</v>
      </c>
      <c r="CE496" s="47">
        <f t="shared" si="1600"/>
        <v>-1000</v>
      </c>
      <c r="CF496" s="47">
        <f t="shared" si="1600"/>
        <v>-1000</v>
      </c>
      <c r="CG496" s="47">
        <f t="shared" si="1600"/>
        <v>-1000</v>
      </c>
      <c r="CH496" s="47">
        <f t="shared" si="1600"/>
        <v>-1000</v>
      </c>
      <c r="CI496" s="47">
        <f t="shared" si="1600"/>
        <v>-1000</v>
      </c>
      <c r="CJ496" s="47">
        <f t="shared" si="1600"/>
        <v>-1000</v>
      </c>
      <c r="CK496" s="47">
        <f t="shared" si="1600"/>
        <v>-1000</v>
      </c>
      <c r="CL496" s="47">
        <f t="shared" si="1600"/>
        <v>-1000</v>
      </c>
      <c r="CM496" s="47">
        <f t="shared" si="1600"/>
        <v>-1000</v>
      </c>
      <c r="CN496" s="47">
        <f t="shared" si="1600"/>
        <v>-1000</v>
      </c>
      <c r="CO496" s="47">
        <f t="shared" si="1600"/>
        <v>-1000</v>
      </c>
      <c r="CP496" s="47">
        <f t="shared" si="1600"/>
        <v>-1000</v>
      </c>
      <c r="CQ496" s="47">
        <f t="shared" si="1600"/>
        <v>-1000</v>
      </c>
      <c r="CR496" s="47"/>
      <c r="CS496" s="47"/>
      <c r="CT496" s="47"/>
      <c r="CU496" s="50" t="str">
        <f>IFERROR(__xludf.DUMMYFUNCTION("""COMPUTED_VALUE"""),"4101 Commerce
Dallas, TX 75226           ")</f>
        <v>4101 Commerce
Dallas, TX 75226           </v>
      </c>
      <c r="CV496" s="51">
        <f>IFERROR(__xludf.DUMMYFUNCTION("IF(REGEXMATCH(UPPER(CU496), ""TX""),0,1)"),0.0)</f>
        <v>0</v>
      </c>
      <c r="CW496" s="51">
        <f>IFERROR(__xludf.DUMMYFUNCTION("IF(REGEXMATCH(UPPER(CU496), ""DALLAS""),0,1)"),0.0)</f>
        <v>0</v>
      </c>
      <c r="CX496" s="51">
        <f t="shared" si="17"/>
        <v>0</v>
      </c>
      <c r="CY496" s="51">
        <f t="shared" si="18"/>
        <v>0</v>
      </c>
      <c r="CZ496" s="52" t="str">
        <f t="shared" si="19"/>
        <v/>
      </c>
      <c r="DA496" s="58"/>
      <c r="DB496" s="52"/>
      <c r="DC496" s="52"/>
      <c r="DD496" s="52"/>
      <c r="DE496" s="52"/>
      <c r="DF496" s="52"/>
      <c r="DG496" s="52"/>
      <c r="DH496" s="52"/>
      <c r="DI496" s="52"/>
      <c r="DJ496" s="52"/>
      <c r="DK496" s="52"/>
      <c r="DL496" s="52"/>
      <c r="DM496" s="52"/>
      <c r="DN496" s="52"/>
      <c r="DO496" s="52"/>
      <c r="DP496" s="52"/>
      <c r="DQ496" s="52"/>
      <c r="DR496" s="52"/>
      <c r="DS496" s="52"/>
      <c r="DT496" s="52"/>
      <c r="DU496" s="52"/>
      <c r="DV496" s="52"/>
      <c r="DW496" s="52"/>
    </row>
    <row r="497">
      <c r="A497" s="40" t="s">
        <v>55</v>
      </c>
      <c r="B497" s="41" t="s">
        <v>56</v>
      </c>
      <c r="C497" s="31" t="s">
        <v>1368</v>
      </c>
      <c r="D497" s="25" t="str">
        <f>IFERROR(__xludf.DUMMYFUNCTION("SPLIT(C497,"" "")"),"Stansbury,")</f>
        <v>Stansbury,</v>
      </c>
      <c r="E497" s="40" t="str">
        <f>IFERROR(__xludf.DUMMYFUNCTION("""COMPUTED_VALUE"""),"Sandy
6278")</f>
        <v>Sandy
6278</v>
      </c>
      <c r="F497" s="40" t="str">
        <f>IFERROR(__xludf.DUMMYFUNCTION("""COMPUTED_VALUE"""),"Martel")</f>
        <v>Martel</v>
      </c>
      <c r="G497" s="40" t="str">
        <f>IFERROR(__xludf.DUMMYFUNCTION("""COMPUTED_VALUE"""),"Dr
Dallas,")</f>
        <v>Dr
Dallas,</v>
      </c>
      <c r="H497" s="40" t="str">
        <f>IFERROR(__xludf.DUMMYFUNCTION("""COMPUTED_VALUE"""),"TX")</f>
        <v>TX</v>
      </c>
      <c r="I497" s="40">
        <f>IFERROR(__xludf.DUMMYFUNCTION("""COMPUTED_VALUE"""),75214.0)</f>
        <v>75214</v>
      </c>
      <c r="J497" s="40"/>
      <c r="K497" s="40"/>
      <c r="L497" s="40"/>
      <c r="M497" s="40"/>
      <c r="N497" s="40"/>
      <c r="O497" s="40"/>
      <c r="P497" s="40"/>
      <c r="Q497" s="40"/>
      <c r="R497" s="40"/>
      <c r="S497" s="40"/>
      <c r="T497" s="40"/>
      <c r="U497" s="24" t="str">
        <f>IFERROR(__xludf.DUMMYFUNCTION("SPLIT(E497,""01234567890"")"),"Sandy
")</f>
        <v>Sandy
</v>
      </c>
      <c r="V497" s="24" t="str">
        <f>IFERROR(__xludf.DUMMYFUNCTION("SPLIT(D497,"","")"),"Stansbury")</f>
        <v>Stansbury</v>
      </c>
      <c r="W497" s="25" t="str">
        <f t="shared" si="1"/>
        <v>SANDY
 STANSBURY</v>
      </c>
      <c r="X497" s="25" t="s">
        <v>1369</v>
      </c>
      <c r="Y497" s="25">
        <v>75214.0</v>
      </c>
      <c r="Z497" s="25" t="str">
        <f>IFERROR(__xludf.DUMMYFUNCTION("SPLIT(C497,""
"")"),"Stansbury, Sandy")</f>
        <v>Stansbury, Sandy</v>
      </c>
      <c r="AA497" s="25" t="str">
        <f>IFERROR(__xludf.DUMMYFUNCTION("""COMPUTED_VALUE"""),"6278 Martel Dr")</f>
        <v>6278 Martel Dr</v>
      </c>
      <c r="AB497" s="25" t="str">
        <f>IFERROR(__xludf.DUMMYFUNCTION("""COMPUTED_VALUE"""),"Dallas, TX 75214")</f>
        <v>Dallas, TX 75214</v>
      </c>
      <c r="AC497" s="24" t="s">
        <v>1370</v>
      </c>
      <c r="AD497" s="25"/>
      <c r="AE497" s="25"/>
      <c r="AF497" s="25"/>
      <c r="AG497" s="40" t="s">
        <v>60</v>
      </c>
      <c r="AH497" s="42">
        <v>2448.0</v>
      </c>
      <c r="AI497" s="40" t="s">
        <v>61</v>
      </c>
      <c r="AJ497" s="27">
        <v>250.0</v>
      </c>
      <c r="AK497" s="31" t="s">
        <v>24</v>
      </c>
      <c r="AL497" s="43">
        <v>44675.0</v>
      </c>
      <c r="AM497" s="44">
        <v>44757.44018518519</v>
      </c>
      <c r="AN497" s="30">
        <v>2.0</v>
      </c>
      <c r="AO497" s="40"/>
      <c r="AP497" s="40"/>
      <c r="AQ497" s="40"/>
      <c r="AR497" s="40"/>
      <c r="AS497" s="40"/>
      <c r="AT497" s="47"/>
      <c r="AU497" s="40"/>
      <c r="AV497" s="46" t="str">
        <f>IFERROR(__xludf.DUMMYFUNCTION("""COMPUTED_VALUE"""),"Hixson")</f>
        <v>Hixson</v>
      </c>
      <c r="AW497" s="46">
        <f t="shared" si="7"/>
        <v>100</v>
      </c>
      <c r="AX497" s="47">
        <f t="shared" ref="AX497:BQ497" si="1601">SUMIFS($AJ:$AJ,$V:$V,$AV497,$AK:$AK,AX$2)</f>
        <v>0</v>
      </c>
      <c r="AY497" s="48">
        <f t="shared" si="1601"/>
        <v>100</v>
      </c>
      <c r="AZ497" s="48">
        <f t="shared" si="1601"/>
        <v>0</v>
      </c>
      <c r="BA497" s="48">
        <f t="shared" si="1601"/>
        <v>0</v>
      </c>
      <c r="BB497" s="48">
        <f t="shared" si="1601"/>
        <v>0</v>
      </c>
      <c r="BC497" s="48">
        <f t="shared" si="1601"/>
        <v>0</v>
      </c>
      <c r="BD497" s="48">
        <f t="shared" si="1601"/>
        <v>0</v>
      </c>
      <c r="BE497" s="48">
        <f t="shared" si="1601"/>
        <v>0</v>
      </c>
      <c r="BF497" s="48">
        <f t="shared" si="1601"/>
        <v>0</v>
      </c>
      <c r="BG497" s="48">
        <f t="shared" si="1601"/>
        <v>0</v>
      </c>
      <c r="BH497" s="48">
        <f t="shared" si="1601"/>
        <v>0</v>
      </c>
      <c r="BI497" s="48">
        <f t="shared" si="1601"/>
        <v>0</v>
      </c>
      <c r="BJ497" s="48">
        <f t="shared" si="1601"/>
        <v>0</v>
      </c>
      <c r="BK497" s="48">
        <f t="shared" si="1601"/>
        <v>0</v>
      </c>
      <c r="BL497" s="48">
        <f t="shared" si="1601"/>
        <v>0</v>
      </c>
      <c r="BM497" s="48">
        <f t="shared" si="1601"/>
        <v>0</v>
      </c>
      <c r="BN497" s="48">
        <f t="shared" si="1601"/>
        <v>0</v>
      </c>
      <c r="BO497" s="48">
        <f t="shared" si="1601"/>
        <v>0</v>
      </c>
      <c r="BP497" s="48">
        <f t="shared" si="1601"/>
        <v>0</v>
      </c>
      <c r="BQ497" s="48">
        <f t="shared" si="1601"/>
        <v>0</v>
      </c>
      <c r="BR497" s="36">
        <f t="shared" si="9"/>
        <v>0</v>
      </c>
      <c r="BS497" s="38">
        <f t="shared" si="10"/>
        <v>1</v>
      </c>
      <c r="BT497" s="49">
        <f t="shared" si="11"/>
        <v>0</v>
      </c>
      <c r="BU497" s="38">
        <f t="shared" si="12"/>
        <v>1000</v>
      </c>
      <c r="BV497" s="46" t="str">
        <f>IFERROR(__xludf.DUMMYFUNCTION("""COMPUTED_VALUE"""),"Hixson")</f>
        <v>Hixson</v>
      </c>
      <c r="BW497" s="46">
        <f t="shared" si="13"/>
        <v>100</v>
      </c>
      <c r="BX497" s="47">
        <f t="shared" ref="BX497:CA497" si="1602">AX497-$BU497</f>
        <v>-1000</v>
      </c>
      <c r="BY497" s="47">
        <f t="shared" si="1602"/>
        <v>-900</v>
      </c>
      <c r="BZ497" s="47">
        <f t="shared" si="1602"/>
        <v>-1000</v>
      </c>
      <c r="CA497" s="47">
        <f t="shared" si="1602"/>
        <v>-1000</v>
      </c>
      <c r="CB497" s="47">
        <f t="shared" si="15"/>
        <v>-10000</v>
      </c>
      <c r="CC497" s="47">
        <f t="shared" ref="CC497:CQ497" si="1603">BC497-$BU497</f>
        <v>-1000</v>
      </c>
      <c r="CD497" s="47">
        <f t="shared" si="1603"/>
        <v>-1000</v>
      </c>
      <c r="CE497" s="47">
        <f t="shared" si="1603"/>
        <v>-1000</v>
      </c>
      <c r="CF497" s="47">
        <f t="shared" si="1603"/>
        <v>-1000</v>
      </c>
      <c r="CG497" s="47">
        <f t="shared" si="1603"/>
        <v>-1000</v>
      </c>
      <c r="CH497" s="47">
        <f t="shared" si="1603"/>
        <v>-1000</v>
      </c>
      <c r="CI497" s="47">
        <f t="shared" si="1603"/>
        <v>-1000</v>
      </c>
      <c r="CJ497" s="47">
        <f t="shared" si="1603"/>
        <v>-1000</v>
      </c>
      <c r="CK497" s="47">
        <f t="shared" si="1603"/>
        <v>-1000</v>
      </c>
      <c r="CL497" s="47">
        <f t="shared" si="1603"/>
        <v>-1000</v>
      </c>
      <c r="CM497" s="47">
        <f t="shared" si="1603"/>
        <v>-1000</v>
      </c>
      <c r="CN497" s="47">
        <f t="shared" si="1603"/>
        <v>-1000</v>
      </c>
      <c r="CO497" s="47">
        <f t="shared" si="1603"/>
        <v>-1000</v>
      </c>
      <c r="CP497" s="47">
        <f t="shared" si="1603"/>
        <v>-1000</v>
      </c>
      <c r="CQ497" s="47">
        <f t="shared" si="1603"/>
        <v>-1000</v>
      </c>
      <c r="CR497" s="47"/>
      <c r="CS497" s="47"/>
      <c r="CT497" s="47"/>
      <c r="CU497" s="50" t="str">
        <f>IFERROR(__xludf.DUMMYFUNCTION("""COMPUTED_VALUE"""),"1717 Arts Place
Dallas, TX 75201          ")</f>
        <v>1717 Arts Place
Dallas, TX 75201          </v>
      </c>
      <c r="CV497" s="51">
        <f>IFERROR(__xludf.DUMMYFUNCTION("IF(REGEXMATCH(UPPER(CU497), ""TX""),0,1)"),0.0)</f>
        <v>0</v>
      </c>
      <c r="CW497" s="51">
        <f>IFERROR(__xludf.DUMMYFUNCTION("IF(REGEXMATCH(UPPER(CU497), ""DALLAS""),0,1)"),0.0)</f>
        <v>0</v>
      </c>
      <c r="CX497" s="51">
        <f t="shared" si="17"/>
        <v>0</v>
      </c>
      <c r="CY497" s="51">
        <f t="shared" si="18"/>
        <v>0</v>
      </c>
      <c r="CZ497" s="52" t="str">
        <f t="shared" si="19"/>
        <v/>
      </c>
      <c r="DA497" s="58"/>
      <c r="DB497" s="52"/>
      <c r="DC497" s="52"/>
      <c r="DD497" s="52"/>
      <c r="DE497" s="52"/>
      <c r="DF497" s="52"/>
      <c r="DG497" s="52"/>
      <c r="DH497" s="52"/>
      <c r="DI497" s="52"/>
      <c r="DJ497" s="52"/>
      <c r="DK497" s="52"/>
      <c r="DL497" s="52"/>
      <c r="DM497" s="52"/>
      <c r="DN497" s="52"/>
      <c r="DO497" s="52"/>
      <c r="DP497" s="52"/>
      <c r="DQ497" s="52"/>
      <c r="DR497" s="52"/>
      <c r="DS497" s="52"/>
      <c r="DT497" s="52"/>
      <c r="DU497" s="52"/>
      <c r="DV497" s="52"/>
      <c r="DW497" s="52"/>
    </row>
    <row r="498">
      <c r="A498" s="22" t="s">
        <v>55</v>
      </c>
      <c r="B498" s="23" t="s">
        <v>56</v>
      </c>
      <c r="C498" s="31" t="s">
        <v>1371</v>
      </c>
      <c r="D498" s="25" t="str">
        <f>IFERROR(__xludf.DUMMYFUNCTION("SPLIT(C498,"" "")"),"Gole,")</f>
        <v>Gole,</v>
      </c>
      <c r="E498" s="22" t="str">
        <f>IFERROR(__xludf.DUMMYFUNCTION("""COMPUTED_VALUE"""),"Kristi
6726")</f>
        <v>Kristi
6726</v>
      </c>
      <c r="F498" s="22" t="str">
        <f>IFERROR(__xludf.DUMMYFUNCTION("""COMPUTED_VALUE"""),"Williamson")</f>
        <v>Williamson</v>
      </c>
      <c r="G498" s="22" t="str">
        <f>IFERROR(__xludf.DUMMYFUNCTION("""COMPUTED_VALUE"""),"Rd.
Dallas,")</f>
        <v>Rd.
Dallas,</v>
      </c>
      <c r="H498" s="22" t="str">
        <f>IFERROR(__xludf.DUMMYFUNCTION("""COMPUTED_VALUE"""),"TX")</f>
        <v>TX</v>
      </c>
      <c r="I498" s="22">
        <f>IFERROR(__xludf.DUMMYFUNCTION("""COMPUTED_VALUE"""),75214.0)</f>
        <v>75214</v>
      </c>
      <c r="J498" s="22"/>
      <c r="K498" s="22"/>
      <c r="L498" s="22"/>
      <c r="M498" s="22"/>
      <c r="N498" s="22"/>
      <c r="O498" s="22"/>
      <c r="P498" s="22"/>
      <c r="Q498" s="22"/>
      <c r="R498" s="22"/>
      <c r="S498" s="22"/>
      <c r="T498" s="22"/>
      <c r="U498" s="24" t="str">
        <f>IFERROR(__xludf.DUMMYFUNCTION("SPLIT(E498,""01234567890"")"),"Kristi
")</f>
        <v>Kristi
</v>
      </c>
      <c r="V498" s="24" t="str">
        <f>IFERROR(__xludf.DUMMYFUNCTION("SPLIT(D498,"","")"),"Gole")</f>
        <v>Gole</v>
      </c>
      <c r="W498" s="25" t="str">
        <f t="shared" si="1"/>
        <v>KRISTI
 GOLE</v>
      </c>
      <c r="X498" s="25" t="s">
        <v>1372</v>
      </c>
      <c r="Y498" s="25">
        <v>75214.0</v>
      </c>
      <c r="Z498" s="25" t="str">
        <f>IFERROR(__xludf.DUMMYFUNCTION("SPLIT(C498,""
"")"),"Gole, Kristi")</f>
        <v>Gole, Kristi</v>
      </c>
      <c r="AA498" s="25" t="str">
        <f>IFERROR(__xludf.DUMMYFUNCTION("""COMPUTED_VALUE"""),"6726 Williamson Rd.")</f>
        <v>6726 Williamson Rd.</v>
      </c>
      <c r="AB498" s="25" t="str">
        <f>IFERROR(__xludf.DUMMYFUNCTION("""COMPUTED_VALUE"""),"Dallas, TX 75214")</f>
        <v>Dallas, TX 75214</v>
      </c>
      <c r="AC498" s="24" t="s">
        <v>1373</v>
      </c>
      <c r="AD498" s="25"/>
      <c r="AE498" s="25"/>
      <c r="AF498" s="25"/>
      <c r="AG498" s="22" t="s">
        <v>60</v>
      </c>
      <c r="AH498" s="54">
        <v>2448.0</v>
      </c>
      <c r="AI498" s="22" t="s">
        <v>61</v>
      </c>
      <c r="AJ498" s="27">
        <v>50.0</v>
      </c>
      <c r="AK498" s="31" t="s">
        <v>24</v>
      </c>
      <c r="AL498" s="28">
        <v>44676.0</v>
      </c>
      <c r="AM498" s="29">
        <v>44757.44018518519</v>
      </c>
      <c r="AN498" s="30">
        <v>2.0</v>
      </c>
      <c r="AO498" s="22"/>
      <c r="AP498" s="22"/>
      <c r="AQ498" s="22"/>
      <c r="AR498" s="22"/>
      <c r="AS498" s="22"/>
      <c r="AT498" s="70"/>
      <c r="AU498" s="22"/>
      <c r="AV498" s="57" t="str">
        <f>IFERROR(__xludf.DUMMYFUNCTION("""COMPUTED_VALUE"""),"Clardy")</f>
        <v>Clardy</v>
      </c>
      <c r="AW498" s="46">
        <f t="shared" si="7"/>
        <v>300</v>
      </c>
      <c r="AX498" s="47">
        <f t="shared" ref="AX498:BQ498" si="1604">SUMIFS($AJ:$AJ,$V:$V,$AV498,$AK:$AK,AX$2)</f>
        <v>0</v>
      </c>
      <c r="AY498" s="48">
        <f t="shared" si="1604"/>
        <v>0</v>
      </c>
      <c r="AZ498" s="48">
        <f t="shared" si="1604"/>
        <v>0</v>
      </c>
      <c r="BA498" s="48">
        <f t="shared" si="1604"/>
        <v>0</v>
      </c>
      <c r="BB498" s="48">
        <f t="shared" si="1604"/>
        <v>0</v>
      </c>
      <c r="BC498" s="48">
        <f t="shared" si="1604"/>
        <v>300</v>
      </c>
      <c r="BD498" s="48">
        <f t="shared" si="1604"/>
        <v>0</v>
      </c>
      <c r="BE498" s="48">
        <f t="shared" si="1604"/>
        <v>0</v>
      </c>
      <c r="BF498" s="48">
        <f t="shared" si="1604"/>
        <v>0</v>
      </c>
      <c r="BG498" s="48">
        <f t="shared" si="1604"/>
        <v>0</v>
      </c>
      <c r="BH498" s="48">
        <f t="shared" si="1604"/>
        <v>0</v>
      </c>
      <c r="BI498" s="48">
        <f t="shared" si="1604"/>
        <v>0</v>
      </c>
      <c r="BJ498" s="48">
        <f t="shared" si="1604"/>
        <v>0</v>
      </c>
      <c r="BK498" s="48">
        <f t="shared" si="1604"/>
        <v>0</v>
      </c>
      <c r="BL498" s="48">
        <f t="shared" si="1604"/>
        <v>0</v>
      </c>
      <c r="BM498" s="48">
        <f t="shared" si="1604"/>
        <v>0</v>
      </c>
      <c r="BN498" s="48">
        <f t="shared" si="1604"/>
        <v>0</v>
      </c>
      <c r="BO498" s="48">
        <f t="shared" si="1604"/>
        <v>0</v>
      </c>
      <c r="BP498" s="48">
        <f t="shared" si="1604"/>
        <v>0</v>
      </c>
      <c r="BQ498" s="48">
        <f t="shared" si="1604"/>
        <v>0</v>
      </c>
      <c r="BR498" s="36">
        <f t="shared" si="9"/>
        <v>0</v>
      </c>
      <c r="BS498" s="38">
        <f t="shared" si="10"/>
        <v>1</v>
      </c>
      <c r="BT498" s="49">
        <f t="shared" si="11"/>
        <v>0</v>
      </c>
      <c r="BU498" s="38">
        <f t="shared" si="12"/>
        <v>1000</v>
      </c>
      <c r="BV498" s="57" t="str">
        <f>IFERROR(__xludf.DUMMYFUNCTION("""COMPUTED_VALUE"""),"Clardy")</f>
        <v>Clardy</v>
      </c>
      <c r="BW498" s="46">
        <f t="shared" si="13"/>
        <v>300</v>
      </c>
      <c r="BX498" s="47">
        <f t="shared" ref="BX498:CA498" si="1605">AX498-$BU498</f>
        <v>-1000</v>
      </c>
      <c r="BY498" s="47">
        <f t="shared" si="1605"/>
        <v>-1000</v>
      </c>
      <c r="BZ498" s="47">
        <f t="shared" si="1605"/>
        <v>-1000</v>
      </c>
      <c r="CA498" s="47">
        <f t="shared" si="1605"/>
        <v>-1000</v>
      </c>
      <c r="CB498" s="47">
        <f t="shared" si="15"/>
        <v>-10000</v>
      </c>
      <c r="CC498" s="47">
        <f t="shared" ref="CC498:CQ498" si="1606">BC498-$BU498</f>
        <v>-700</v>
      </c>
      <c r="CD498" s="47">
        <f t="shared" si="1606"/>
        <v>-1000</v>
      </c>
      <c r="CE498" s="47">
        <f t="shared" si="1606"/>
        <v>-1000</v>
      </c>
      <c r="CF498" s="47">
        <f t="shared" si="1606"/>
        <v>-1000</v>
      </c>
      <c r="CG498" s="47">
        <f t="shared" si="1606"/>
        <v>-1000</v>
      </c>
      <c r="CH498" s="47">
        <f t="shared" si="1606"/>
        <v>-1000</v>
      </c>
      <c r="CI498" s="47">
        <f t="shared" si="1606"/>
        <v>-1000</v>
      </c>
      <c r="CJ498" s="47">
        <f t="shared" si="1606"/>
        <v>-1000</v>
      </c>
      <c r="CK498" s="47">
        <f t="shared" si="1606"/>
        <v>-1000</v>
      </c>
      <c r="CL498" s="47">
        <f t="shared" si="1606"/>
        <v>-1000</v>
      </c>
      <c r="CM498" s="47">
        <f t="shared" si="1606"/>
        <v>-1000</v>
      </c>
      <c r="CN498" s="47">
        <f t="shared" si="1606"/>
        <v>-1000</v>
      </c>
      <c r="CO498" s="47">
        <f t="shared" si="1606"/>
        <v>-1000</v>
      </c>
      <c r="CP498" s="47">
        <f t="shared" si="1606"/>
        <v>-1000</v>
      </c>
      <c r="CQ498" s="47">
        <f t="shared" si="1606"/>
        <v>-1000</v>
      </c>
      <c r="CR498" s="47"/>
      <c r="CS498" s="47"/>
      <c r="CT498" s="47"/>
      <c r="CU498" s="50" t="str">
        <f>IFERROR(__xludf.DUMMYFUNCTION("""COMPUTED_VALUE"""),"26 Rydington Pl
Dallas, TX 75230          ")</f>
        <v>26 Rydington Pl
Dallas, TX 75230          </v>
      </c>
      <c r="CV498" s="51">
        <f>IFERROR(__xludf.DUMMYFUNCTION("IF(REGEXMATCH(UPPER(CU498), ""TX""),0,1)"),0.0)</f>
        <v>0</v>
      </c>
      <c r="CW498" s="51">
        <f>IFERROR(__xludf.DUMMYFUNCTION("IF(REGEXMATCH(UPPER(CU498), ""DALLAS""),0,1)"),0.0)</f>
        <v>0</v>
      </c>
      <c r="CX498" s="51">
        <f t="shared" si="17"/>
        <v>0</v>
      </c>
      <c r="CY498" s="51">
        <f t="shared" si="18"/>
        <v>0</v>
      </c>
      <c r="CZ498" s="52" t="str">
        <f t="shared" si="19"/>
        <v/>
      </c>
      <c r="DA498" s="58"/>
      <c r="DB498" s="52"/>
      <c r="DC498" s="52"/>
      <c r="DD498" s="52"/>
      <c r="DE498" s="52"/>
      <c r="DF498" s="52"/>
      <c r="DG498" s="52"/>
      <c r="DH498" s="52"/>
      <c r="DI498" s="52"/>
      <c r="DJ498" s="52"/>
      <c r="DK498" s="52"/>
      <c r="DL498" s="52"/>
      <c r="DM498" s="52"/>
      <c r="DN498" s="52"/>
      <c r="DO498" s="52"/>
      <c r="DP498" s="52"/>
      <c r="DQ498" s="52"/>
      <c r="DR498" s="52"/>
      <c r="DS498" s="52"/>
      <c r="DT498" s="52"/>
      <c r="DU498" s="52"/>
      <c r="DV498" s="52"/>
      <c r="DW498" s="52"/>
    </row>
    <row r="499">
      <c r="A499" s="40" t="s">
        <v>55</v>
      </c>
      <c r="B499" s="41" t="s">
        <v>56</v>
      </c>
      <c r="C499" s="31" t="s">
        <v>1374</v>
      </c>
      <c r="D499" s="25" t="str">
        <f>IFERROR(__xludf.DUMMYFUNCTION("SPLIT(C499,"" "")"),"Henry,")</f>
        <v>Henry,</v>
      </c>
      <c r="E499" s="40" t="str">
        <f>IFERROR(__xludf.DUMMYFUNCTION("""COMPUTED_VALUE"""),"Barry
1717")</f>
        <v>Barry
1717</v>
      </c>
      <c r="F499" s="40" t="str">
        <f>IFERROR(__xludf.DUMMYFUNCTION("""COMPUTED_VALUE"""),"Arts")</f>
        <v>Arts</v>
      </c>
      <c r="G499" s="40" t="str">
        <f>IFERROR(__xludf.DUMMYFUNCTION("""COMPUTED_VALUE"""),"Plaza
Dallas,")</f>
        <v>Plaza
Dallas,</v>
      </c>
      <c r="H499" s="40" t="str">
        <f>IFERROR(__xludf.DUMMYFUNCTION("""COMPUTED_VALUE"""),"TX")</f>
        <v>TX</v>
      </c>
      <c r="I499" s="40">
        <f>IFERROR(__xludf.DUMMYFUNCTION("""COMPUTED_VALUE"""),75201.0)</f>
        <v>75201</v>
      </c>
      <c r="J499" s="40"/>
      <c r="K499" s="40"/>
      <c r="L499" s="40"/>
      <c r="M499" s="40"/>
      <c r="N499" s="40"/>
      <c r="O499" s="40"/>
      <c r="P499" s="40"/>
      <c r="Q499" s="40"/>
      <c r="R499" s="40"/>
      <c r="S499" s="40"/>
      <c r="T499" s="40"/>
      <c r="U499" s="24" t="str">
        <f>IFERROR(__xludf.DUMMYFUNCTION("SPLIT(E499,""01234567890"")"),"Barry
")</f>
        <v>Barry
</v>
      </c>
      <c r="V499" s="24" t="str">
        <f>IFERROR(__xludf.DUMMYFUNCTION("SPLIT(D499,"","")"),"Henry")</f>
        <v>Henry</v>
      </c>
      <c r="W499" s="25" t="str">
        <f t="shared" si="1"/>
        <v>BARRY
 HENRY</v>
      </c>
      <c r="X499" s="25" t="s">
        <v>1375</v>
      </c>
      <c r="Y499" s="25">
        <v>75201.0</v>
      </c>
      <c r="Z499" s="25" t="str">
        <f>IFERROR(__xludf.DUMMYFUNCTION("SPLIT(C499,""
"")"),"Henry, Barry")</f>
        <v>Henry, Barry</v>
      </c>
      <c r="AA499" s="25" t="str">
        <f>IFERROR(__xludf.DUMMYFUNCTION("""COMPUTED_VALUE"""),"1717 Arts Plaza")</f>
        <v>1717 Arts Plaza</v>
      </c>
      <c r="AB499" s="25" t="str">
        <f>IFERROR(__xludf.DUMMYFUNCTION("""COMPUTED_VALUE"""),"Dallas, TX 75201")</f>
        <v>Dallas, TX 75201</v>
      </c>
      <c r="AC499" s="24" t="s">
        <v>1376</v>
      </c>
      <c r="AD499" s="25"/>
      <c r="AE499" s="25"/>
      <c r="AF499" s="25"/>
      <c r="AG499" s="40" t="s">
        <v>60</v>
      </c>
      <c r="AH499" s="42">
        <v>2448.0</v>
      </c>
      <c r="AI499" s="40" t="s">
        <v>61</v>
      </c>
      <c r="AJ499" s="27">
        <v>150.0</v>
      </c>
      <c r="AK499" s="31" t="s">
        <v>24</v>
      </c>
      <c r="AL499" s="43">
        <v>44673.0</v>
      </c>
      <c r="AM499" s="44">
        <v>44757.44018518519</v>
      </c>
      <c r="AN499" s="30">
        <v>2.0</v>
      </c>
      <c r="AO499" s="40"/>
      <c r="AP499" s="40"/>
      <c r="AQ499" s="40"/>
      <c r="AR499" s="40"/>
      <c r="AS499" s="40"/>
      <c r="AT499" s="47"/>
      <c r="AU499" s="40"/>
      <c r="AV499" s="46" t="str">
        <f>IFERROR(__xludf.DUMMYFUNCTION("""COMPUTED_VALUE"""),"Housewright")</f>
        <v>Housewright</v>
      </c>
      <c r="AW499" s="46">
        <f t="shared" si="7"/>
        <v>1000</v>
      </c>
      <c r="AX499" s="47">
        <f t="shared" ref="AX499:BQ499" si="1607">SUMIFS($AJ:$AJ,$V:$V,$AV499,$AK:$AK,AX$2)</f>
        <v>0</v>
      </c>
      <c r="AY499" s="48">
        <f t="shared" si="1607"/>
        <v>0</v>
      </c>
      <c r="AZ499" s="48">
        <f t="shared" si="1607"/>
        <v>0</v>
      </c>
      <c r="BA499" s="48">
        <f t="shared" si="1607"/>
        <v>0</v>
      </c>
      <c r="BB499" s="48">
        <f t="shared" si="1607"/>
        <v>0</v>
      </c>
      <c r="BC499" s="48">
        <f t="shared" si="1607"/>
        <v>1000</v>
      </c>
      <c r="BD499" s="48">
        <f t="shared" si="1607"/>
        <v>0</v>
      </c>
      <c r="BE499" s="48">
        <f t="shared" si="1607"/>
        <v>0</v>
      </c>
      <c r="BF499" s="48">
        <f t="shared" si="1607"/>
        <v>0</v>
      </c>
      <c r="BG499" s="48">
        <f t="shared" si="1607"/>
        <v>0</v>
      </c>
      <c r="BH499" s="48">
        <f t="shared" si="1607"/>
        <v>0</v>
      </c>
      <c r="BI499" s="48">
        <f t="shared" si="1607"/>
        <v>0</v>
      </c>
      <c r="BJ499" s="48">
        <f t="shared" si="1607"/>
        <v>0</v>
      </c>
      <c r="BK499" s="48">
        <f t="shared" si="1607"/>
        <v>0</v>
      </c>
      <c r="BL499" s="48">
        <f t="shared" si="1607"/>
        <v>0</v>
      </c>
      <c r="BM499" s="48">
        <f t="shared" si="1607"/>
        <v>0</v>
      </c>
      <c r="BN499" s="48">
        <f t="shared" si="1607"/>
        <v>0</v>
      </c>
      <c r="BO499" s="48">
        <f t="shared" si="1607"/>
        <v>0</v>
      </c>
      <c r="BP499" s="48">
        <f t="shared" si="1607"/>
        <v>0</v>
      </c>
      <c r="BQ499" s="48">
        <f t="shared" si="1607"/>
        <v>0</v>
      </c>
      <c r="BR499" s="36">
        <f t="shared" si="9"/>
        <v>0</v>
      </c>
      <c r="BS499" s="38">
        <f t="shared" si="10"/>
        <v>1</v>
      </c>
      <c r="BT499" s="49">
        <f t="shared" si="11"/>
        <v>0</v>
      </c>
      <c r="BU499" s="38">
        <f t="shared" si="12"/>
        <v>1000</v>
      </c>
      <c r="BV499" s="46" t="str">
        <f>IFERROR(__xludf.DUMMYFUNCTION("""COMPUTED_VALUE"""),"Housewright")</f>
        <v>Housewright</v>
      </c>
      <c r="BW499" s="46">
        <f t="shared" si="13"/>
        <v>1000</v>
      </c>
      <c r="BX499" s="47">
        <f t="shared" ref="BX499:CA499" si="1608">AX499-$BU499</f>
        <v>-1000</v>
      </c>
      <c r="BY499" s="47">
        <f t="shared" si="1608"/>
        <v>-1000</v>
      </c>
      <c r="BZ499" s="47">
        <f t="shared" si="1608"/>
        <v>-1000</v>
      </c>
      <c r="CA499" s="47">
        <f t="shared" si="1608"/>
        <v>-1000</v>
      </c>
      <c r="CB499" s="47">
        <f t="shared" si="15"/>
        <v>-10000</v>
      </c>
      <c r="CC499" s="47">
        <f t="shared" ref="CC499:CQ499" si="1609">BC499-$BU499</f>
        <v>0</v>
      </c>
      <c r="CD499" s="47">
        <f t="shared" si="1609"/>
        <v>-1000</v>
      </c>
      <c r="CE499" s="47">
        <f t="shared" si="1609"/>
        <v>-1000</v>
      </c>
      <c r="CF499" s="47">
        <f t="shared" si="1609"/>
        <v>-1000</v>
      </c>
      <c r="CG499" s="47">
        <f t="shared" si="1609"/>
        <v>-1000</v>
      </c>
      <c r="CH499" s="47">
        <f t="shared" si="1609"/>
        <v>-1000</v>
      </c>
      <c r="CI499" s="47">
        <f t="shared" si="1609"/>
        <v>-1000</v>
      </c>
      <c r="CJ499" s="47">
        <f t="shared" si="1609"/>
        <v>-1000</v>
      </c>
      <c r="CK499" s="47">
        <f t="shared" si="1609"/>
        <v>-1000</v>
      </c>
      <c r="CL499" s="47">
        <f t="shared" si="1609"/>
        <v>-1000</v>
      </c>
      <c r="CM499" s="47">
        <f t="shared" si="1609"/>
        <v>-1000</v>
      </c>
      <c r="CN499" s="47">
        <f t="shared" si="1609"/>
        <v>-1000</v>
      </c>
      <c r="CO499" s="47">
        <f t="shared" si="1609"/>
        <v>-1000</v>
      </c>
      <c r="CP499" s="47">
        <f t="shared" si="1609"/>
        <v>-1000</v>
      </c>
      <c r="CQ499" s="47">
        <f t="shared" si="1609"/>
        <v>-1000</v>
      </c>
      <c r="CR499" s="47"/>
      <c r="CS499" s="47"/>
      <c r="CT499" s="47"/>
      <c r="CU499" s="50" t="str">
        <f>IFERROR(__xludf.DUMMYFUNCTION("""COMPUTED_VALUE"""),"5847 Montecello Ave
Dallas, TX 75206          ")</f>
        <v>5847 Montecello Ave
Dallas, TX 75206          </v>
      </c>
      <c r="CV499" s="51">
        <f>IFERROR(__xludf.DUMMYFUNCTION("IF(REGEXMATCH(UPPER(CU499), ""TX""),0,1)"),0.0)</f>
        <v>0</v>
      </c>
      <c r="CW499" s="51">
        <f>IFERROR(__xludf.DUMMYFUNCTION("IF(REGEXMATCH(UPPER(CU499), ""DALLAS""),0,1)"),0.0)</f>
        <v>0</v>
      </c>
      <c r="CX499" s="51">
        <f t="shared" si="17"/>
        <v>0</v>
      </c>
      <c r="CY499" s="51">
        <f t="shared" si="18"/>
        <v>0</v>
      </c>
      <c r="CZ499" s="52" t="str">
        <f t="shared" si="19"/>
        <v/>
      </c>
      <c r="DA499" s="58"/>
      <c r="DB499" s="52"/>
      <c r="DC499" s="52"/>
      <c r="DD499" s="52"/>
      <c r="DE499" s="52"/>
      <c r="DF499" s="52"/>
      <c r="DG499" s="52"/>
      <c r="DH499" s="52"/>
      <c r="DI499" s="52"/>
      <c r="DJ499" s="52"/>
      <c r="DK499" s="52"/>
      <c r="DL499" s="52"/>
      <c r="DM499" s="52"/>
      <c r="DN499" s="52"/>
      <c r="DO499" s="52"/>
      <c r="DP499" s="52"/>
      <c r="DQ499" s="52"/>
      <c r="DR499" s="52"/>
      <c r="DS499" s="52"/>
      <c r="DT499" s="52"/>
      <c r="DU499" s="52"/>
      <c r="DV499" s="52"/>
      <c r="DW499" s="52"/>
    </row>
    <row r="500">
      <c r="A500" s="22" t="s">
        <v>55</v>
      </c>
      <c r="B500" s="23" t="s">
        <v>56</v>
      </c>
      <c r="C500" s="31" t="s">
        <v>1377</v>
      </c>
      <c r="D500" s="25" t="str">
        <f>IFERROR(__xludf.DUMMYFUNCTION("SPLIT(C500,"" "")"),"Warner,")</f>
        <v>Warner,</v>
      </c>
      <c r="E500" s="22" t="str">
        <f>IFERROR(__xludf.DUMMYFUNCTION("""COMPUTED_VALUE"""),"Michael
4727")</f>
        <v>Michael
4727</v>
      </c>
      <c r="F500" s="22" t="str">
        <f>IFERROR(__xludf.DUMMYFUNCTION("""COMPUTED_VALUE"""),"Arvilla
Houston,")</f>
        <v>Arvilla
Houston,</v>
      </c>
      <c r="G500" s="22" t="str">
        <f>IFERROR(__xludf.DUMMYFUNCTION("""COMPUTED_VALUE"""),"TX")</f>
        <v>TX</v>
      </c>
      <c r="H500" s="22">
        <f>IFERROR(__xludf.DUMMYFUNCTION("""COMPUTED_VALUE"""),77021.0)</f>
        <v>77021</v>
      </c>
      <c r="I500" s="22"/>
      <c r="J500" s="22"/>
      <c r="K500" s="22"/>
      <c r="L500" s="22"/>
      <c r="M500" s="22"/>
      <c r="N500" s="22"/>
      <c r="O500" s="22"/>
      <c r="P500" s="22"/>
      <c r="Q500" s="22"/>
      <c r="R500" s="22"/>
      <c r="S500" s="22"/>
      <c r="T500" s="22"/>
      <c r="U500" s="24" t="str">
        <f>IFERROR(__xludf.DUMMYFUNCTION("SPLIT(E500,""01234567890"")"),"Michael
")</f>
        <v>Michael
</v>
      </c>
      <c r="V500" s="24" t="str">
        <f>IFERROR(__xludf.DUMMYFUNCTION("SPLIT(D500,"","")"),"Warner")</f>
        <v>Warner</v>
      </c>
      <c r="W500" s="25" t="str">
        <f t="shared" si="1"/>
        <v>MICHAEL
 WARNER</v>
      </c>
      <c r="X500" s="25" t="s">
        <v>1378</v>
      </c>
      <c r="Y500" s="25">
        <v>77021.0</v>
      </c>
      <c r="Z500" s="25" t="str">
        <f>IFERROR(__xludf.DUMMYFUNCTION("SPLIT(C500,""
"")"),"Warner, Michael")</f>
        <v>Warner, Michael</v>
      </c>
      <c r="AA500" s="25" t="str">
        <f>IFERROR(__xludf.DUMMYFUNCTION("""COMPUTED_VALUE"""),"4727 Arvilla")</f>
        <v>4727 Arvilla</v>
      </c>
      <c r="AB500" s="25" t="str">
        <f>IFERROR(__xludf.DUMMYFUNCTION("""COMPUTED_VALUE"""),"Houston, TX 77021")</f>
        <v>Houston, TX 77021</v>
      </c>
      <c r="AC500" s="24" t="s">
        <v>1379</v>
      </c>
      <c r="AD500" s="25"/>
      <c r="AE500" s="25"/>
      <c r="AF500" s="25"/>
      <c r="AG500" s="22" t="s">
        <v>60</v>
      </c>
      <c r="AH500" s="54">
        <v>2448.0</v>
      </c>
      <c r="AI500" s="22" t="s">
        <v>61</v>
      </c>
      <c r="AJ500" s="27">
        <v>1000.0</v>
      </c>
      <c r="AK500" s="31" t="s">
        <v>24</v>
      </c>
      <c r="AL500" s="28">
        <v>44676.0</v>
      </c>
      <c r="AM500" s="29">
        <v>44757.44018518519</v>
      </c>
      <c r="AN500" s="30">
        <v>2.0</v>
      </c>
      <c r="AO500" s="22"/>
      <c r="AP500" s="22"/>
      <c r="AQ500" s="22"/>
      <c r="AR500" s="22"/>
      <c r="AS500" s="22"/>
      <c r="AT500" s="70"/>
      <c r="AU500" s="22"/>
      <c r="AV500" s="57" t="str">
        <f>IFERROR(__xludf.DUMMYFUNCTION("""COMPUTED_VALUE"""),"Mellinger")</f>
        <v>Mellinger</v>
      </c>
      <c r="AW500" s="46">
        <f t="shared" si="7"/>
        <v>500</v>
      </c>
      <c r="AX500" s="47">
        <f t="shared" ref="AX500:BQ500" si="1610">SUMIFS($AJ:$AJ,$V:$V,$AV500,$AK:$AK,AX$2)</f>
        <v>0</v>
      </c>
      <c r="AY500" s="48">
        <f t="shared" si="1610"/>
        <v>0</v>
      </c>
      <c r="AZ500" s="48">
        <f t="shared" si="1610"/>
        <v>0</v>
      </c>
      <c r="BA500" s="48">
        <f t="shared" si="1610"/>
        <v>0</v>
      </c>
      <c r="BB500" s="48">
        <f t="shared" si="1610"/>
        <v>0</v>
      </c>
      <c r="BC500" s="48">
        <f t="shared" si="1610"/>
        <v>500</v>
      </c>
      <c r="BD500" s="48">
        <f t="shared" si="1610"/>
        <v>0</v>
      </c>
      <c r="BE500" s="48">
        <f t="shared" si="1610"/>
        <v>0</v>
      </c>
      <c r="BF500" s="48">
        <f t="shared" si="1610"/>
        <v>0</v>
      </c>
      <c r="BG500" s="48">
        <f t="shared" si="1610"/>
        <v>0</v>
      </c>
      <c r="BH500" s="48">
        <f t="shared" si="1610"/>
        <v>0</v>
      </c>
      <c r="BI500" s="48">
        <f t="shared" si="1610"/>
        <v>0</v>
      </c>
      <c r="BJ500" s="48">
        <f t="shared" si="1610"/>
        <v>0</v>
      </c>
      <c r="BK500" s="48">
        <f t="shared" si="1610"/>
        <v>0</v>
      </c>
      <c r="BL500" s="48">
        <f t="shared" si="1610"/>
        <v>0</v>
      </c>
      <c r="BM500" s="48">
        <f t="shared" si="1610"/>
        <v>0</v>
      </c>
      <c r="BN500" s="48">
        <f t="shared" si="1610"/>
        <v>0</v>
      </c>
      <c r="BO500" s="48">
        <f t="shared" si="1610"/>
        <v>0</v>
      </c>
      <c r="BP500" s="48">
        <f t="shared" si="1610"/>
        <v>0</v>
      </c>
      <c r="BQ500" s="48">
        <f t="shared" si="1610"/>
        <v>0</v>
      </c>
      <c r="BR500" s="36">
        <f t="shared" si="9"/>
        <v>0</v>
      </c>
      <c r="BS500" s="38">
        <f t="shared" si="10"/>
        <v>1</v>
      </c>
      <c r="BT500" s="49">
        <f t="shared" si="11"/>
        <v>0</v>
      </c>
      <c r="BU500" s="38">
        <f t="shared" si="12"/>
        <v>1000</v>
      </c>
      <c r="BV500" s="57" t="str">
        <f>IFERROR(__xludf.DUMMYFUNCTION("""COMPUTED_VALUE"""),"Mellinger")</f>
        <v>Mellinger</v>
      </c>
      <c r="BW500" s="46">
        <f t="shared" si="13"/>
        <v>500</v>
      </c>
      <c r="BX500" s="47">
        <f t="shared" ref="BX500:CA500" si="1611">AX500-$BU500</f>
        <v>-1000</v>
      </c>
      <c r="BY500" s="47">
        <f t="shared" si="1611"/>
        <v>-1000</v>
      </c>
      <c r="BZ500" s="47">
        <f t="shared" si="1611"/>
        <v>-1000</v>
      </c>
      <c r="CA500" s="47">
        <f t="shared" si="1611"/>
        <v>-1000</v>
      </c>
      <c r="CB500" s="47">
        <f t="shared" si="15"/>
        <v>-10000</v>
      </c>
      <c r="CC500" s="47">
        <f t="shared" ref="CC500:CQ500" si="1612">BC500-$BU500</f>
        <v>-500</v>
      </c>
      <c r="CD500" s="47">
        <f t="shared" si="1612"/>
        <v>-1000</v>
      </c>
      <c r="CE500" s="47">
        <f t="shared" si="1612"/>
        <v>-1000</v>
      </c>
      <c r="CF500" s="47">
        <f t="shared" si="1612"/>
        <v>-1000</v>
      </c>
      <c r="CG500" s="47">
        <f t="shared" si="1612"/>
        <v>-1000</v>
      </c>
      <c r="CH500" s="47">
        <f t="shared" si="1612"/>
        <v>-1000</v>
      </c>
      <c r="CI500" s="47">
        <f t="shared" si="1612"/>
        <v>-1000</v>
      </c>
      <c r="CJ500" s="47">
        <f t="shared" si="1612"/>
        <v>-1000</v>
      </c>
      <c r="CK500" s="47">
        <f t="shared" si="1612"/>
        <v>-1000</v>
      </c>
      <c r="CL500" s="47">
        <f t="shared" si="1612"/>
        <v>-1000</v>
      </c>
      <c r="CM500" s="47">
        <f t="shared" si="1612"/>
        <v>-1000</v>
      </c>
      <c r="CN500" s="47">
        <f t="shared" si="1612"/>
        <v>-1000</v>
      </c>
      <c r="CO500" s="47">
        <f t="shared" si="1612"/>
        <v>-1000</v>
      </c>
      <c r="CP500" s="47">
        <f t="shared" si="1612"/>
        <v>-1000</v>
      </c>
      <c r="CQ500" s="47">
        <f t="shared" si="1612"/>
        <v>-1000</v>
      </c>
      <c r="CR500" s="47"/>
      <c r="CS500" s="47"/>
      <c r="CT500" s="47"/>
      <c r="CU500" s="50" t="str">
        <f>IFERROR(__xludf.DUMMYFUNCTION("""COMPUTED_VALUE"""),"321 Overdale Ct.
Sunnyvale, TX 75182          ")</f>
        <v>321 Overdale Ct.
Sunnyvale, TX 75182          </v>
      </c>
      <c r="CV500" s="51">
        <f>IFERROR(__xludf.DUMMYFUNCTION("IF(REGEXMATCH(UPPER(CU500), ""TX""),0,1)"),0.0)</f>
        <v>0</v>
      </c>
      <c r="CW500" s="51">
        <f>IFERROR(__xludf.DUMMYFUNCTION("IF(REGEXMATCH(UPPER(CU500), ""DALLAS""),0,1)"),1.0)</f>
        <v>1</v>
      </c>
      <c r="CX500" s="51">
        <f t="shared" si="17"/>
        <v>0</v>
      </c>
      <c r="CY500" s="51">
        <f t="shared" si="18"/>
        <v>100</v>
      </c>
      <c r="CZ500" s="52" t="str">
        <f t="shared" si="19"/>
        <v>321 Overdale Ct.
Sunnyvale, TX 75182          </v>
      </c>
      <c r="DA500" s="58"/>
      <c r="DB500" s="52"/>
      <c r="DC500" s="52"/>
      <c r="DD500" s="52"/>
      <c r="DE500" s="52"/>
      <c r="DF500" s="52"/>
      <c r="DG500" s="52"/>
      <c r="DH500" s="52"/>
      <c r="DI500" s="52"/>
      <c r="DJ500" s="52"/>
      <c r="DK500" s="52"/>
      <c r="DL500" s="52"/>
      <c r="DM500" s="52"/>
      <c r="DN500" s="52"/>
      <c r="DO500" s="52"/>
      <c r="DP500" s="52"/>
      <c r="DQ500" s="52"/>
      <c r="DR500" s="52"/>
      <c r="DS500" s="52"/>
      <c r="DT500" s="52"/>
      <c r="DU500" s="52"/>
      <c r="DV500" s="52"/>
      <c r="DW500" s="52"/>
    </row>
    <row r="501">
      <c r="A501" s="40" t="s">
        <v>55</v>
      </c>
      <c r="B501" s="41" t="s">
        <v>56</v>
      </c>
      <c r="C501" s="31" t="s">
        <v>157</v>
      </c>
      <c r="D501" s="25" t="str">
        <f>IFERROR(__xludf.DUMMYFUNCTION("SPLIT(C501,"" "")"),"Almond,")</f>
        <v>Almond,</v>
      </c>
      <c r="E501" s="40" t="str">
        <f>IFERROR(__xludf.DUMMYFUNCTION("""COMPUTED_VALUE"""),"Bradley
8115")</f>
        <v>Bradley
8115</v>
      </c>
      <c r="F501" s="40" t="str">
        <f>IFERROR(__xludf.DUMMYFUNCTION("""COMPUTED_VALUE"""),"San")</f>
        <v>San</v>
      </c>
      <c r="G501" s="40" t="str">
        <f>IFERROR(__xludf.DUMMYFUNCTION("""COMPUTED_VALUE"""),"Benito")</f>
        <v>Benito</v>
      </c>
      <c r="H501" s="40" t="str">
        <f>IFERROR(__xludf.DUMMYFUNCTION("""COMPUTED_VALUE"""),"Way
Dallas,")</f>
        <v>Way
Dallas,</v>
      </c>
      <c r="I501" s="40" t="str">
        <f>IFERROR(__xludf.DUMMYFUNCTION("""COMPUTED_VALUE"""),"TX")</f>
        <v>TX</v>
      </c>
      <c r="J501" s="40">
        <f>IFERROR(__xludf.DUMMYFUNCTION("""COMPUTED_VALUE"""),75218.0)</f>
        <v>75218</v>
      </c>
      <c r="K501" s="40"/>
      <c r="L501" s="40"/>
      <c r="M501" s="40"/>
      <c r="N501" s="40"/>
      <c r="O501" s="40"/>
      <c r="P501" s="40"/>
      <c r="Q501" s="40"/>
      <c r="R501" s="40"/>
      <c r="S501" s="40"/>
      <c r="T501" s="40"/>
      <c r="U501" s="24" t="str">
        <f>IFERROR(__xludf.DUMMYFUNCTION("SPLIT(E501,""01234567890"")"),"Bradley
")</f>
        <v>Bradley
</v>
      </c>
      <c r="V501" s="24" t="str">
        <f>IFERROR(__xludf.DUMMYFUNCTION("SPLIT(D501,"","")"),"Almond")</f>
        <v>Almond</v>
      </c>
      <c r="W501" s="25" t="str">
        <f t="shared" si="1"/>
        <v>BRADLEY
 ALMOND</v>
      </c>
      <c r="X501" s="25" t="s">
        <v>158</v>
      </c>
      <c r="Y501" s="25">
        <v>75218.0</v>
      </c>
      <c r="Z501" s="25" t="str">
        <f>IFERROR(__xludf.DUMMYFUNCTION("SPLIT(C501,""
"")"),"Almond, Bradley")</f>
        <v>Almond, Bradley</v>
      </c>
      <c r="AA501" s="25" t="str">
        <f>IFERROR(__xludf.DUMMYFUNCTION("""COMPUTED_VALUE"""),"8115 San Benito Way")</f>
        <v>8115 San Benito Way</v>
      </c>
      <c r="AB501" s="25" t="str">
        <f>IFERROR(__xludf.DUMMYFUNCTION("""COMPUTED_VALUE"""),"Dallas, TX 75218")</f>
        <v>Dallas, TX 75218</v>
      </c>
      <c r="AC501" s="24" t="s">
        <v>159</v>
      </c>
      <c r="AD501" s="25"/>
      <c r="AE501" s="25"/>
      <c r="AF501" s="25"/>
      <c r="AG501" s="40" t="s">
        <v>60</v>
      </c>
      <c r="AH501" s="42">
        <v>2448.0</v>
      </c>
      <c r="AI501" s="40" t="s">
        <v>61</v>
      </c>
      <c r="AJ501" s="27">
        <v>100.0</v>
      </c>
      <c r="AK501" s="31" t="s">
        <v>24</v>
      </c>
      <c r="AL501" s="43">
        <v>44678.0</v>
      </c>
      <c r="AM501" s="44">
        <v>44757.44018518519</v>
      </c>
      <c r="AN501" s="30">
        <v>2.0</v>
      </c>
      <c r="AO501" s="40"/>
      <c r="AP501" s="40"/>
      <c r="AQ501" s="40"/>
      <c r="AR501" s="40"/>
      <c r="AS501" s="40"/>
      <c r="AT501" s="47"/>
      <c r="AU501" s="40"/>
      <c r="AV501" s="46" t="str">
        <f>IFERROR(__xludf.DUMMYFUNCTION("""COMPUTED_VALUE"""),"Connell")</f>
        <v>Connell</v>
      </c>
      <c r="AW501" s="46">
        <f t="shared" si="7"/>
        <v>400</v>
      </c>
      <c r="AX501" s="47">
        <f t="shared" ref="AX501:BQ501" si="1613">SUMIFS($AJ:$AJ,$V:$V,$AV501,$AK:$AK,AX$2)</f>
        <v>0</v>
      </c>
      <c r="AY501" s="48">
        <f t="shared" si="1613"/>
        <v>0</v>
      </c>
      <c r="AZ501" s="48">
        <f t="shared" si="1613"/>
        <v>0</v>
      </c>
      <c r="BA501" s="48">
        <f t="shared" si="1613"/>
        <v>0</v>
      </c>
      <c r="BB501" s="48">
        <f t="shared" si="1613"/>
        <v>0</v>
      </c>
      <c r="BC501" s="48">
        <f t="shared" si="1613"/>
        <v>400</v>
      </c>
      <c r="BD501" s="48">
        <f t="shared" si="1613"/>
        <v>0</v>
      </c>
      <c r="BE501" s="48">
        <f t="shared" si="1613"/>
        <v>0</v>
      </c>
      <c r="BF501" s="48">
        <f t="shared" si="1613"/>
        <v>0</v>
      </c>
      <c r="BG501" s="48">
        <f t="shared" si="1613"/>
        <v>0</v>
      </c>
      <c r="BH501" s="48">
        <f t="shared" si="1613"/>
        <v>0</v>
      </c>
      <c r="BI501" s="48">
        <f t="shared" si="1613"/>
        <v>0</v>
      </c>
      <c r="BJ501" s="48">
        <f t="shared" si="1613"/>
        <v>0</v>
      </c>
      <c r="BK501" s="48">
        <f t="shared" si="1613"/>
        <v>0</v>
      </c>
      <c r="BL501" s="48">
        <f t="shared" si="1613"/>
        <v>0</v>
      </c>
      <c r="BM501" s="48">
        <f t="shared" si="1613"/>
        <v>0</v>
      </c>
      <c r="BN501" s="48">
        <f t="shared" si="1613"/>
        <v>0</v>
      </c>
      <c r="BO501" s="48">
        <f t="shared" si="1613"/>
        <v>0</v>
      </c>
      <c r="BP501" s="48">
        <f t="shared" si="1613"/>
        <v>0</v>
      </c>
      <c r="BQ501" s="48">
        <f t="shared" si="1613"/>
        <v>0</v>
      </c>
      <c r="BR501" s="36">
        <f t="shared" si="9"/>
        <v>0</v>
      </c>
      <c r="BS501" s="38">
        <f t="shared" si="10"/>
        <v>1</v>
      </c>
      <c r="BT501" s="49">
        <f t="shared" si="11"/>
        <v>0</v>
      </c>
      <c r="BU501" s="38">
        <f t="shared" si="12"/>
        <v>1000</v>
      </c>
      <c r="BV501" s="46" t="str">
        <f>IFERROR(__xludf.DUMMYFUNCTION("""COMPUTED_VALUE"""),"Connell")</f>
        <v>Connell</v>
      </c>
      <c r="BW501" s="46">
        <f t="shared" si="13"/>
        <v>400</v>
      </c>
      <c r="BX501" s="47">
        <f t="shared" ref="BX501:CA501" si="1614">AX501-$BU501</f>
        <v>-1000</v>
      </c>
      <c r="BY501" s="47">
        <f t="shared" si="1614"/>
        <v>-1000</v>
      </c>
      <c r="BZ501" s="47">
        <f t="shared" si="1614"/>
        <v>-1000</v>
      </c>
      <c r="CA501" s="47">
        <f t="shared" si="1614"/>
        <v>-1000</v>
      </c>
      <c r="CB501" s="47">
        <f t="shared" si="15"/>
        <v>-10000</v>
      </c>
      <c r="CC501" s="47">
        <f t="shared" ref="CC501:CQ501" si="1615">BC501-$BU501</f>
        <v>-600</v>
      </c>
      <c r="CD501" s="47">
        <f t="shared" si="1615"/>
        <v>-1000</v>
      </c>
      <c r="CE501" s="47">
        <f t="shared" si="1615"/>
        <v>-1000</v>
      </c>
      <c r="CF501" s="47">
        <f t="shared" si="1615"/>
        <v>-1000</v>
      </c>
      <c r="CG501" s="47">
        <f t="shared" si="1615"/>
        <v>-1000</v>
      </c>
      <c r="CH501" s="47">
        <f t="shared" si="1615"/>
        <v>-1000</v>
      </c>
      <c r="CI501" s="47">
        <f t="shared" si="1615"/>
        <v>-1000</v>
      </c>
      <c r="CJ501" s="47">
        <f t="shared" si="1615"/>
        <v>-1000</v>
      </c>
      <c r="CK501" s="47">
        <f t="shared" si="1615"/>
        <v>-1000</v>
      </c>
      <c r="CL501" s="47">
        <f t="shared" si="1615"/>
        <v>-1000</v>
      </c>
      <c r="CM501" s="47">
        <f t="shared" si="1615"/>
        <v>-1000</v>
      </c>
      <c r="CN501" s="47">
        <f t="shared" si="1615"/>
        <v>-1000</v>
      </c>
      <c r="CO501" s="47">
        <f t="shared" si="1615"/>
        <v>-1000</v>
      </c>
      <c r="CP501" s="47">
        <f t="shared" si="1615"/>
        <v>-1000</v>
      </c>
      <c r="CQ501" s="47">
        <f t="shared" si="1615"/>
        <v>-1000</v>
      </c>
      <c r="CR501" s="47"/>
      <c r="CS501" s="47"/>
      <c r="CT501" s="47"/>
      <c r="CU501" s="50" t="str">
        <f>IFERROR(__xludf.DUMMYFUNCTION("""COMPUTED_VALUE"""),"box 2246
Austin, TX 78768-2246           ")</f>
        <v>box 2246
Austin, TX 78768-2246           </v>
      </c>
      <c r="CV501" s="51">
        <f>IFERROR(__xludf.DUMMYFUNCTION("IF(REGEXMATCH(UPPER(CU501), ""TX""),0,1)"),0.0)</f>
        <v>0</v>
      </c>
      <c r="CW501" s="51">
        <f>IFERROR(__xludf.DUMMYFUNCTION("IF(REGEXMATCH(UPPER(CU501), ""DALLAS""),0,1)"),1.0)</f>
        <v>1</v>
      </c>
      <c r="CX501" s="51">
        <f t="shared" si="17"/>
        <v>0</v>
      </c>
      <c r="CY501" s="51">
        <f t="shared" si="18"/>
        <v>2500</v>
      </c>
      <c r="CZ501" s="52" t="str">
        <f t="shared" si="19"/>
        <v>box 2246
Austin, TX 78768-2246           </v>
      </c>
      <c r="DA501" s="58"/>
      <c r="DB501" s="52"/>
      <c r="DC501" s="52"/>
      <c r="DD501" s="52"/>
      <c r="DE501" s="52"/>
      <c r="DF501" s="52"/>
      <c r="DG501" s="52"/>
      <c r="DH501" s="52"/>
      <c r="DI501" s="52"/>
      <c r="DJ501" s="52"/>
      <c r="DK501" s="52"/>
      <c r="DL501" s="52"/>
      <c r="DM501" s="52"/>
      <c r="DN501" s="52"/>
      <c r="DO501" s="52"/>
      <c r="DP501" s="52"/>
      <c r="DQ501" s="52"/>
      <c r="DR501" s="52"/>
      <c r="DS501" s="52"/>
      <c r="DT501" s="52"/>
      <c r="DU501" s="52"/>
      <c r="DV501" s="52"/>
      <c r="DW501" s="52"/>
    </row>
    <row r="502">
      <c r="A502" s="22" t="s">
        <v>55</v>
      </c>
      <c r="B502" s="23" t="s">
        <v>56</v>
      </c>
      <c r="C502" s="31" t="s">
        <v>298</v>
      </c>
      <c r="D502" s="25" t="str">
        <f>IFERROR(__xludf.DUMMYFUNCTION("SPLIT(C502,"" "")"),"Baker,")</f>
        <v>Baker,</v>
      </c>
      <c r="E502" s="22" t="str">
        <f>IFERROR(__xludf.DUMMYFUNCTION("""COMPUTED_VALUE"""),"Thad
4011")</f>
        <v>Thad
4011</v>
      </c>
      <c r="F502" s="22" t="str">
        <f>IFERROR(__xludf.DUMMYFUNCTION("""COMPUTED_VALUE"""),"Commerce
Dallas,")</f>
        <v>Commerce
Dallas,</v>
      </c>
      <c r="G502" s="22" t="str">
        <f>IFERROR(__xludf.DUMMYFUNCTION("""COMPUTED_VALUE"""),"TX")</f>
        <v>TX</v>
      </c>
      <c r="H502" s="22">
        <f>IFERROR(__xludf.DUMMYFUNCTION("""COMPUTED_VALUE"""),75226.0)</f>
        <v>75226</v>
      </c>
      <c r="I502" s="22"/>
      <c r="J502" s="22"/>
      <c r="K502" s="22"/>
      <c r="L502" s="22"/>
      <c r="M502" s="22"/>
      <c r="N502" s="22"/>
      <c r="O502" s="22"/>
      <c r="P502" s="22"/>
      <c r="Q502" s="22"/>
      <c r="R502" s="22"/>
      <c r="S502" s="22"/>
      <c r="T502" s="22"/>
      <c r="U502" s="24" t="str">
        <f>IFERROR(__xludf.DUMMYFUNCTION("SPLIT(E502,""01234567890"")"),"Thad
")</f>
        <v>Thad
</v>
      </c>
      <c r="V502" s="24" t="str">
        <f>IFERROR(__xludf.DUMMYFUNCTION("SPLIT(D502,"","")"),"Baker")</f>
        <v>Baker</v>
      </c>
      <c r="W502" s="25" t="str">
        <f t="shared" si="1"/>
        <v>THAD
 BAKER</v>
      </c>
      <c r="X502" s="25" t="s">
        <v>299</v>
      </c>
      <c r="Y502" s="25">
        <v>75226.0</v>
      </c>
      <c r="Z502" s="25" t="str">
        <f>IFERROR(__xludf.DUMMYFUNCTION("SPLIT(C502,""
"")"),"Baker, Thad")</f>
        <v>Baker, Thad</v>
      </c>
      <c r="AA502" s="25" t="str">
        <f>IFERROR(__xludf.DUMMYFUNCTION("""COMPUTED_VALUE"""),"4011 Commerce")</f>
        <v>4011 Commerce</v>
      </c>
      <c r="AB502" s="25" t="str">
        <f>IFERROR(__xludf.DUMMYFUNCTION("""COMPUTED_VALUE"""),"Dallas, TX 75226")</f>
        <v>Dallas, TX 75226</v>
      </c>
      <c r="AC502" s="24" t="s">
        <v>300</v>
      </c>
      <c r="AD502" s="25"/>
      <c r="AE502" s="25"/>
      <c r="AF502" s="25"/>
      <c r="AG502" s="22" t="s">
        <v>60</v>
      </c>
      <c r="AH502" s="54">
        <v>2448.0</v>
      </c>
      <c r="AI502" s="22" t="s">
        <v>61</v>
      </c>
      <c r="AJ502" s="27">
        <v>500.0</v>
      </c>
      <c r="AK502" s="31" t="s">
        <v>24</v>
      </c>
      <c r="AL502" s="28">
        <v>44679.0</v>
      </c>
      <c r="AM502" s="29">
        <v>44757.44018518519</v>
      </c>
      <c r="AN502" s="30">
        <v>2.0</v>
      </c>
      <c r="AO502" s="22"/>
      <c r="AP502" s="22"/>
      <c r="AQ502" s="22"/>
      <c r="AR502" s="22"/>
      <c r="AS502" s="22"/>
      <c r="AT502" s="70"/>
      <c r="AU502" s="22"/>
      <c r="AV502" s="57" t="str">
        <f>IFERROR(__xludf.DUMMYFUNCTION("""COMPUTED_VALUE"""),"Thompson")</f>
        <v>Thompson</v>
      </c>
      <c r="AW502" s="46">
        <f t="shared" si="7"/>
        <v>100</v>
      </c>
      <c r="AX502" s="47">
        <f t="shared" ref="AX502:BQ502" si="1616">SUMIFS($AJ:$AJ,$V:$V,$AV502,$AK:$AK,AX$2)</f>
        <v>0</v>
      </c>
      <c r="AY502" s="48">
        <f t="shared" si="1616"/>
        <v>0</v>
      </c>
      <c r="AZ502" s="48">
        <f t="shared" si="1616"/>
        <v>0</v>
      </c>
      <c r="BA502" s="48">
        <f t="shared" si="1616"/>
        <v>0</v>
      </c>
      <c r="BB502" s="48">
        <f t="shared" si="1616"/>
        <v>0</v>
      </c>
      <c r="BC502" s="48">
        <f t="shared" si="1616"/>
        <v>100</v>
      </c>
      <c r="BD502" s="48">
        <f t="shared" si="1616"/>
        <v>0</v>
      </c>
      <c r="BE502" s="48">
        <f t="shared" si="1616"/>
        <v>0</v>
      </c>
      <c r="BF502" s="48">
        <f t="shared" si="1616"/>
        <v>0</v>
      </c>
      <c r="BG502" s="48">
        <f t="shared" si="1616"/>
        <v>0</v>
      </c>
      <c r="BH502" s="48">
        <f t="shared" si="1616"/>
        <v>0</v>
      </c>
      <c r="BI502" s="48">
        <f t="shared" si="1616"/>
        <v>0</v>
      </c>
      <c r="BJ502" s="48">
        <f t="shared" si="1616"/>
        <v>0</v>
      </c>
      <c r="BK502" s="48">
        <f t="shared" si="1616"/>
        <v>0</v>
      </c>
      <c r="BL502" s="48">
        <f t="shared" si="1616"/>
        <v>0</v>
      </c>
      <c r="BM502" s="48">
        <f t="shared" si="1616"/>
        <v>0</v>
      </c>
      <c r="BN502" s="48">
        <f t="shared" si="1616"/>
        <v>0</v>
      </c>
      <c r="BO502" s="48">
        <f t="shared" si="1616"/>
        <v>0</v>
      </c>
      <c r="BP502" s="48">
        <f t="shared" si="1616"/>
        <v>0</v>
      </c>
      <c r="BQ502" s="48">
        <f t="shared" si="1616"/>
        <v>0</v>
      </c>
      <c r="BR502" s="36">
        <f t="shared" si="9"/>
        <v>0</v>
      </c>
      <c r="BS502" s="38">
        <f t="shared" si="10"/>
        <v>1</v>
      </c>
      <c r="BT502" s="49">
        <f t="shared" si="11"/>
        <v>0</v>
      </c>
      <c r="BU502" s="38">
        <f t="shared" si="12"/>
        <v>1000</v>
      </c>
      <c r="BV502" s="57" t="str">
        <f>IFERROR(__xludf.DUMMYFUNCTION("""COMPUTED_VALUE"""),"Thompson")</f>
        <v>Thompson</v>
      </c>
      <c r="BW502" s="46">
        <f t="shared" si="13"/>
        <v>100</v>
      </c>
      <c r="BX502" s="47">
        <f t="shared" ref="BX502:CA502" si="1617">AX502-$BU502</f>
        <v>-1000</v>
      </c>
      <c r="BY502" s="47">
        <f t="shared" si="1617"/>
        <v>-1000</v>
      </c>
      <c r="BZ502" s="47">
        <f t="shared" si="1617"/>
        <v>-1000</v>
      </c>
      <c r="CA502" s="47">
        <f t="shared" si="1617"/>
        <v>-1000</v>
      </c>
      <c r="CB502" s="47">
        <f t="shared" si="15"/>
        <v>-10000</v>
      </c>
      <c r="CC502" s="47">
        <f t="shared" ref="CC502:CQ502" si="1618">BC502-$BU502</f>
        <v>-900</v>
      </c>
      <c r="CD502" s="47">
        <f t="shared" si="1618"/>
        <v>-1000</v>
      </c>
      <c r="CE502" s="47">
        <f t="shared" si="1618"/>
        <v>-1000</v>
      </c>
      <c r="CF502" s="47">
        <f t="shared" si="1618"/>
        <v>-1000</v>
      </c>
      <c r="CG502" s="47">
        <f t="shared" si="1618"/>
        <v>-1000</v>
      </c>
      <c r="CH502" s="47">
        <f t="shared" si="1618"/>
        <v>-1000</v>
      </c>
      <c r="CI502" s="47">
        <f t="shared" si="1618"/>
        <v>-1000</v>
      </c>
      <c r="CJ502" s="47">
        <f t="shared" si="1618"/>
        <v>-1000</v>
      </c>
      <c r="CK502" s="47">
        <f t="shared" si="1618"/>
        <v>-1000</v>
      </c>
      <c r="CL502" s="47">
        <f t="shared" si="1618"/>
        <v>-1000</v>
      </c>
      <c r="CM502" s="47">
        <f t="shared" si="1618"/>
        <v>-1000</v>
      </c>
      <c r="CN502" s="47">
        <f t="shared" si="1618"/>
        <v>-1000</v>
      </c>
      <c r="CO502" s="47">
        <f t="shared" si="1618"/>
        <v>-1000</v>
      </c>
      <c r="CP502" s="47">
        <f t="shared" si="1618"/>
        <v>-1000</v>
      </c>
      <c r="CQ502" s="47">
        <f t="shared" si="1618"/>
        <v>-1000</v>
      </c>
      <c r="CR502" s="47"/>
      <c r="CS502" s="47"/>
      <c r="CT502" s="47"/>
      <c r="CU502" s="50" t="str">
        <f>IFERROR(__xludf.DUMMYFUNCTION("""COMPUTED_VALUE"""),"1507 Tranquilla Dr.
Dallas, TX 75218          ")</f>
        <v>1507 Tranquilla Dr.
Dallas, TX 75218          </v>
      </c>
      <c r="CV502" s="51">
        <f>IFERROR(__xludf.DUMMYFUNCTION("IF(REGEXMATCH(UPPER(CU502), ""TX""),0,1)"),0.0)</f>
        <v>0</v>
      </c>
      <c r="CW502" s="51">
        <f>IFERROR(__xludf.DUMMYFUNCTION("IF(REGEXMATCH(UPPER(CU502), ""DALLAS""),0,1)"),0.0)</f>
        <v>0</v>
      </c>
      <c r="CX502" s="51">
        <f t="shared" si="17"/>
        <v>0</v>
      </c>
      <c r="CY502" s="51">
        <f t="shared" si="18"/>
        <v>0</v>
      </c>
      <c r="CZ502" s="52" t="str">
        <f t="shared" si="19"/>
        <v/>
      </c>
      <c r="DA502" s="58"/>
      <c r="DB502" s="52"/>
      <c r="DC502" s="52"/>
      <c r="DD502" s="52"/>
      <c r="DE502" s="52"/>
      <c r="DF502" s="52"/>
      <c r="DG502" s="52"/>
      <c r="DH502" s="52"/>
      <c r="DI502" s="52"/>
      <c r="DJ502" s="52"/>
      <c r="DK502" s="52"/>
      <c r="DL502" s="52"/>
      <c r="DM502" s="52"/>
      <c r="DN502" s="52"/>
      <c r="DO502" s="52"/>
      <c r="DP502" s="52"/>
      <c r="DQ502" s="52"/>
      <c r="DR502" s="52"/>
      <c r="DS502" s="52"/>
      <c r="DT502" s="52"/>
      <c r="DU502" s="52"/>
      <c r="DV502" s="52"/>
      <c r="DW502" s="52"/>
    </row>
    <row r="503">
      <c r="A503" s="40" t="s">
        <v>55</v>
      </c>
      <c r="B503" s="41" t="s">
        <v>56</v>
      </c>
      <c r="C503" s="31" t="s">
        <v>1380</v>
      </c>
      <c r="D503" s="25" t="str">
        <f>IFERROR(__xludf.DUMMYFUNCTION("SPLIT(C503,"" "")"),"Russo,")</f>
        <v>Russo,</v>
      </c>
      <c r="E503" s="40" t="str">
        <f>IFERROR(__xludf.DUMMYFUNCTION("""COMPUTED_VALUE"""),"Garth
8543")</f>
        <v>Garth
8543</v>
      </c>
      <c r="F503" s="40" t="str">
        <f>IFERROR(__xludf.DUMMYFUNCTION("""COMPUTED_VALUE"""),"ALta")</f>
        <v>ALta</v>
      </c>
      <c r="G503" s="40" t="str">
        <f>IFERROR(__xludf.DUMMYFUNCTION("""COMPUTED_VALUE"""),"Mira")</f>
        <v>Mira</v>
      </c>
      <c r="H503" s="40" t="str">
        <f>IFERROR(__xludf.DUMMYFUNCTION("""COMPUTED_VALUE"""),"Dr
Dallas,")</f>
        <v>Dr
Dallas,</v>
      </c>
      <c r="I503" s="40" t="str">
        <f>IFERROR(__xludf.DUMMYFUNCTION("""COMPUTED_VALUE"""),"TX")</f>
        <v>TX</v>
      </c>
      <c r="J503" s="40">
        <f>IFERROR(__xludf.DUMMYFUNCTION("""COMPUTED_VALUE"""),75218.0)</f>
        <v>75218</v>
      </c>
      <c r="K503" s="40"/>
      <c r="L503" s="40"/>
      <c r="M503" s="40"/>
      <c r="N503" s="40"/>
      <c r="O503" s="40"/>
      <c r="P503" s="40"/>
      <c r="Q503" s="40"/>
      <c r="R503" s="40"/>
      <c r="S503" s="40"/>
      <c r="T503" s="40"/>
      <c r="U503" s="24" t="str">
        <f>IFERROR(__xludf.DUMMYFUNCTION("SPLIT(E503,""01234567890"")"),"Garth
")</f>
        <v>Garth
</v>
      </c>
      <c r="V503" s="24" t="str">
        <f>IFERROR(__xludf.DUMMYFUNCTION("SPLIT(D503,"","")"),"Russo")</f>
        <v>Russo</v>
      </c>
      <c r="W503" s="25" t="str">
        <f t="shared" si="1"/>
        <v>GARTH
 RUSSO</v>
      </c>
      <c r="X503" s="25" t="s">
        <v>1381</v>
      </c>
      <c r="Y503" s="25">
        <v>75218.0</v>
      </c>
      <c r="Z503" s="25" t="str">
        <f>IFERROR(__xludf.DUMMYFUNCTION("SPLIT(C503,""
"")"),"Russo, Garth")</f>
        <v>Russo, Garth</v>
      </c>
      <c r="AA503" s="25" t="str">
        <f>IFERROR(__xludf.DUMMYFUNCTION("""COMPUTED_VALUE"""),"8543 ALta Mira Dr")</f>
        <v>8543 ALta Mira Dr</v>
      </c>
      <c r="AB503" s="25" t="str">
        <f>IFERROR(__xludf.DUMMYFUNCTION("""COMPUTED_VALUE"""),"Dallas, TX 75218")</f>
        <v>Dallas, TX 75218</v>
      </c>
      <c r="AC503" s="24" t="s">
        <v>1382</v>
      </c>
      <c r="AD503" s="25"/>
      <c r="AE503" s="25"/>
      <c r="AF503" s="25"/>
      <c r="AG503" s="40" t="s">
        <v>60</v>
      </c>
      <c r="AH503" s="42">
        <v>2448.0</v>
      </c>
      <c r="AI503" s="40" t="s">
        <v>61</v>
      </c>
      <c r="AJ503" s="27">
        <v>100.0</v>
      </c>
      <c r="AK503" s="31" t="s">
        <v>24</v>
      </c>
      <c r="AL503" s="43">
        <v>44679.0</v>
      </c>
      <c r="AM503" s="44">
        <v>44757.44018518519</v>
      </c>
      <c r="AN503" s="30">
        <v>2.0</v>
      </c>
      <c r="AO503" s="40"/>
      <c r="AP503" s="40"/>
      <c r="AQ503" s="40"/>
      <c r="AR503" s="40"/>
      <c r="AS503" s="40"/>
      <c r="AT503" s="47"/>
      <c r="AU503" s="40"/>
      <c r="AV503" s="46" t="str">
        <f>IFERROR(__xludf.DUMMYFUNCTION("""COMPUTED_VALUE"""),"McIntyre")</f>
        <v>McIntyre</v>
      </c>
      <c r="AW503" s="46">
        <f t="shared" si="7"/>
        <v>5000</v>
      </c>
      <c r="AX503" s="47">
        <f t="shared" ref="AX503:BQ503" si="1619">SUMIFS($AJ:$AJ,$V:$V,$AV503,$AK:$AK,AX$2)</f>
        <v>0</v>
      </c>
      <c r="AY503" s="48">
        <f t="shared" si="1619"/>
        <v>0</v>
      </c>
      <c r="AZ503" s="48">
        <f t="shared" si="1619"/>
        <v>0</v>
      </c>
      <c r="BA503" s="48">
        <f t="shared" si="1619"/>
        <v>0</v>
      </c>
      <c r="BB503" s="48">
        <f t="shared" si="1619"/>
        <v>5000</v>
      </c>
      <c r="BC503" s="48">
        <f t="shared" si="1619"/>
        <v>0</v>
      </c>
      <c r="BD503" s="48">
        <f t="shared" si="1619"/>
        <v>0</v>
      </c>
      <c r="BE503" s="48">
        <f t="shared" si="1619"/>
        <v>0</v>
      </c>
      <c r="BF503" s="48">
        <f t="shared" si="1619"/>
        <v>0</v>
      </c>
      <c r="BG503" s="48">
        <f t="shared" si="1619"/>
        <v>0</v>
      </c>
      <c r="BH503" s="48">
        <f t="shared" si="1619"/>
        <v>0</v>
      </c>
      <c r="BI503" s="48">
        <f t="shared" si="1619"/>
        <v>0</v>
      </c>
      <c r="BJ503" s="48">
        <f t="shared" si="1619"/>
        <v>0</v>
      </c>
      <c r="BK503" s="48">
        <f t="shared" si="1619"/>
        <v>0</v>
      </c>
      <c r="BL503" s="48">
        <f t="shared" si="1619"/>
        <v>0</v>
      </c>
      <c r="BM503" s="48">
        <f t="shared" si="1619"/>
        <v>0</v>
      </c>
      <c r="BN503" s="48">
        <f t="shared" si="1619"/>
        <v>0</v>
      </c>
      <c r="BO503" s="48">
        <f t="shared" si="1619"/>
        <v>0</v>
      </c>
      <c r="BP503" s="48">
        <f t="shared" si="1619"/>
        <v>0</v>
      </c>
      <c r="BQ503" s="48">
        <f t="shared" si="1619"/>
        <v>0</v>
      </c>
      <c r="BR503" s="36">
        <f t="shared" si="9"/>
        <v>0</v>
      </c>
      <c r="BS503" s="38">
        <f t="shared" si="10"/>
        <v>1</v>
      </c>
      <c r="BT503" s="49">
        <f t="shared" si="11"/>
        <v>0</v>
      </c>
      <c r="BU503" s="38">
        <f t="shared" si="12"/>
        <v>1000</v>
      </c>
      <c r="BV503" s="46" t="str">
        <f>IFERROR(__xludf.DUMMYFUNCTION("""COMPUTED_VALUE"""),"McIntyre")</f>
        <v>McIntyre</v>
      </c>
      <c r="BW503" s="46">
        <f t="shared" si="13"/>
        <v>5000</v>
      </c>
      <c r="BX503" s="47">
        <f t="shared" ref="BX503:CA503" si="1620">AX503-$BU503</f>
        <v>-1000</v>
      </c>
      <c r="BY503" s="47">
        <f t="shared" si="1620"/>
        <v>-1000</v>
      </c>
      <c r="BZ503" s="47">
        <f t="shared" si="1620"/>
        <v>-1000</v>
      </c>
      <c r="CA503" s="47">
        <f t="shared" si="1620"/>
        <v>-1000</v>
      </c>
      <c r="CB503" s="47">
        <f t="shared" si="15"/>
        <v>-5000</v>
      </c>
      <c r="CC503" s="47">
        <f t="shared" ref="CC503:CQ503" si="1621">BC503-$BU503</f>
        <v>-1000</v>
      </c>
      <c r="CD503" s="47">
        <f t="shared" si="1621"/>
        <v>-1000</v>
      </c>
      <c r="CE503" s="47">
        <f t="shared" si="1621"/>
        <v>-1000</v>
      </c>
      <c r="CF503" s="47">
        <f t="shared" si="1621"/>
        <v>-1000</v>
      </c>
      <c r="CG503" s="47">
        <f t="shared" si="1621"/>
        <v>-1000</v>
      </c>
      <c r="CH503" s="47">
        <f t="shared" si="1621"/>
        <v>-1000</v>
      </c>
      <c r="CI503" s="47">
        <f t="shared" si="1621"/>
        <v>-1000</v>
      </c>
      <c r="CJ503" s="47">
        <f t="shared" si="1621"/>
        <v>-1000</v>
      </c>
      <c r="CK503" s="47">
        <f t="shared" si="1621"/>
        <v>-1000</v>
      </c>
      <c r="CL503" s="47">
        <f t="shared" si="1621"/>
        <v>-1000</v>
      </c>
      <c r="CM503" s="47">
        <f t="shared" si="1621"/>
        <v>-1000</v>
      </c>
      <c r="CN503" s="47">
        <f t="shared" si="1621"/>
        <v>-1000</v>
      </c>
      <c r="CO503" s="47">
        <f t="shared" si="1621"/>
        <v>-1000</v>
      </c>
      <c r="CP503" s="47">
        <f t="shared" si="1621"/>
        <v>-1000</v>
      </c>
      <c r="CQ503" s="47">
        <f t="shared" si="1621"/>
        <v>-1000</v>
      </c>
      <c r="CR503" s="47"/>
      <c r="CS503" s="47"/>
      <c r="CT503" s="47"/>
      <c r="CU503" s="50" t="str">
        <f>IFERROR(__xludf.DUMMYFUNCTION("""COMPUTED_VALUE"""),"1507 Tranquilla
Dallas, TX 75218           ")</f>
        <v>1507 Tranquilla
Dallas, TX 75218           </v>
      </c>
      <c r="CV503" s="51">
        <f>IFERROR(__xludf.DUMMYFUNCTION("IF(REGEXMATCH(UPPER(CU503), ""TX""),0,1)"),0.0)</f>
        <v>0</v>
      </c>
      <c r="CW503" s="51">
        <f>IFERROR(__xludf.DUMMYFUNCTION("IF(REGEXMATCH(UPPER(CU503), ""DALLAS""),0,1)"),0.0)</f>
        <v>0</v>
      </c>
      <c r="CX503" s="51">
        <f t="shared" si="17"/>
        <v>0</v>
      </c>
      <c r="CY503" s="51">
        <f t="shared" si="18"/>
        <v>0</v>
      </c>
      <c r="CZ503" s="52" t="str">
        <f t="shared" si="19"/>
        <v/>
      </c>
      <c r="DA503" s="58"/>
      <c r="DB503" s="52"/>
      <c r="DC503" s="52"/>
      <c r="DD503" s="52"/>
      <c r="DE503" s="52"/>
      <c r="DF503" s="52"/>
      <c r="DG503" s="52"/>
      <c r="DH503" s="52"/>
      <c r="DI503" s="52"/>
      <c r="DJ503" s="52"/>
      <c r="DK503" s="52"/>
      <c r="DL503" s="52"/>
      <c r="DM503" s="52"/>
      <c r="DN503" s="52"/>
      <c r="DO503" s="52"/>
      <c r="DP503" s="52"/>
      <c r="DQ503" s="52"/>
      <c r="DR503" s="52"/>
      <c r="DS503" s="52"/>
      <c r="DT503" s="52"/>
      <c r="DU503" s="52"/>
      <c r="DV503" s="52"/>
      <c r="DW503" s="52"/>
    </row>
    <row r="504">
      <c r="A504" s="22" t="s">
        <v>55</v>
      </c>
      <c r="B504" s="23" t="s">
        <v>56</v>
      </c>
      <c r="C504" s="31" t="s">
        <v>1383</v>
      </c>
      <c r="D504" s="25" t="str">
        <f>IFERROR(__xludf.DUMMYFUNCTION("SPLIT(C504,"" "")"),"Shapiro,")</f>
        <v>Shapiro,</v>
      </c>
      <c r="E504" s="22" t="str">
        <f>IFERROR(__xludf.DUMMYFUNCTION("""COMPUTED_VALUE"""),"Mary")</f>
        <v>Mary</v>
      </c>
      <c r="F504" s="22" t="str">
        <f>IFERROR(__xludf.DUMMYFUNCTION("""COMPUTED_VALUE"""),"Beth
6656")</f>
        <v>Beth
6656</v>
      </c>
      <c r="G504" s="22" t="str">
        <f>IFERROR(__xludf.DUMMYFUNCTION("""COMPUTED_VALUE"""),"Lakewood")</f>
        <v>Lakewood</v>
      </c>
      <c r="H504" s="22" t="str">
        <f>IFERROR(__xludf.DUMMYFUNCTION("""COMPUTED_VALUE"""),"Blvd
Dallas,")</f>
        <v>Blvd
Dallas,</v>
      </c>
      <c r="I504" s="22" t="str">
        <f>IFERROR(__xludf.DUMMYFUNCTION("""COMPUTED_VALUE"""),"TX")</f>
        <v>TX</v>
      </c>
      <c r="J504" s="22">
        <f>IFERROR(__xludf.DUMMYFUNCTION("""COMPUTED_VALUE"""),75214.0)</f>
        <v>75214</v>
      </c>
      <c r="K504" s="22"/>
      <c r="L504" s="22"/>
      <c r="M504" s="22"/>
      <c r="N504" s="22"/>
      <c r="O504" s="22"/>
      <c r="P504" s="22"/>
      <c r="Q504" s="22"/>
      <c r="R504" s="22"/>
      <c r="S504" s="22"/>
      <c r="T504" s="22"/>
      <c r="U504" s="24" t="str">
        <f>IFERROR(__xludf.DUMMYFUNCTION("SPLIT(E504,""01234567890"")"),"Mary")</f>
        <v>Mary</v>
      </c>
      <c r="V504" s="24" t="str">
        <f>IFERROR(__xludf.DUMMYFUNCTION("SPLIT(D504,"","")"),"Shapiro")</f>
        <v>Shapiro</v>
      </c>
      <c r="W504" s="25" t="str">
        <f t="shared" si="1"/>
        <v>MARY SHAPIRO</v>
      </c>
      <c r="X504" s="25" t="s">
        <v>1384</v>
      </c>
      <c r="Y504" s="25">
        <v>75214.0</v>
      </c>
      <c r="Z504" s="25" t="str">
        <f>IFERROR(__xludf.DUMMYFUNCTION("SPLIT(C504,""
"")"),"Shapiro, Mary Beth")</f>
        <v>Shapiro, Mary Beth</v>
      </c>
      <c r="AA504" s="25" t="str">
        <f>IFERROR(__xludf.DUMMYFUNCTION("""COMPUTED_VALUE"""),"6656 Lakewood Blvd")</f>
        <v>6656 Lakewood Blvd</v>
      </c>
      <c r="AB504" s="25" t="str">
        <f>IFERROR(__xludf.DUMMYFUNCTION("""COMPUTED_VALUE"""),"Dallas, TX 75214")</f>
        <v>Dallas, TX 75214</v>
      </c>
      <c r="AC504" s="24" t="s">
        <v>1385</v>
      </c>
      <c r="AD504" s="25"/>
      <c r="AE504" s="25"/>
      <c r="AF504" s="25"/>
      <c r="AG504" s="22" t="s">
        <v>60</v>
      </c>
      <c r="AH504" s="54">
        <v>2448.0</v>
      </c>
      <c r="AI504" s="22" t="s">
        <v>61</v>
      </c>
      <c r="AJ504" s="27">
        <v>500.0</v>
      </c>
      <c r="AK504" s="31" t="s">
        <v>24</v>
      </c>
      <c r="AL504" s="28">
        <v>44679.0</v>
      </c>
      <c r="AM504" s="29">
        <v>44757.44018518519</v>
      </c>
      <c r="AN504" s="30">
        <v>2.0</v>
      </c>
      <c r="AO504" s="22"/>
      <c r="AP504" s="22"/>
      <c r="AQ504" s="22"/>
      <c r="AR504" s="22"/>
      <c r="AS504" s="22"/>
      <c r="AT504" s="70"/>
      <c r="AU504" s="22"/>
      <c r="AV504" s="57" t="str">
        <f>IFERROR(__xludf.DUMMYFUNCTION("""COMPUTED_VALUE"""),"Cook")</f>
        <v>Cook</v>
      </c>
      <c r="AW504" s="46">
        <f t="shared" si="7"/>
        <v>1500</v>
      </c>
      <c r="AX504" s="47">
        <f t="shared" ref="AX504:BQ504" si="1622">SUMIFS($AJ:$AJ,$V:$V,$AV504,$AK:$AK,AX$2)</f>
        <v>0</v>
      </c>
      <c r="AY504" s="48">
        <f t="shared" si="1622"/>
        <v>0</v>
      </c>
      <c r="AZ504" s="48">
        <f t="shared" si="1622"/>
        <v>0</v>
      </c>
      <c r="BA504" s="48">
        <f t="shared" si="1622"/>
        <v>1000</v>
      </c>
      <c r="BB504" s="48">
        <f t="shared" si="1622"/>
        <v>500</v>
      </c>
      <c r="BC504" s="48">
        <f t="shared" si="1622"/>
        <v>0</v>
      </c>
      <c r="BD504" s="48">
        <f t="shared" si="1622"/>
        <v>0</v>
      </c>
      <c r="BE504" s="48">
        <f t="shared" si="1622"/>
        <v>0</v>
      </c>
      <c r="BF504" s="48">
        <f t="shared" si="1622"/>
        <v>0</v>
      </c>
      <c r="BG504" s="48">
        <f t="shared" si="1622"/>
        <v>0</v>
      </c>
      <c r="BH504" s="48">
        <f t="shared" si="1622"/>
        <v>0</v>
      </c>
      <c r="BI504" s="48">
        <f t="shared" si="1622"/>
        <v>0</v>
      </c>
      <c r="BJ504" s="48">
        <f t="shared" si="1622"/>
        <v>0</v>
      </c>
      <c r="BK504" s="48">
        <f t="shared" si="1622"/>
        <v>0</v>
      </c>
      <c r="BL504" s="48">
        <f t="shared" si="1622"/>
        <v>0</v>
      </c>
      <c r="BM504" s="48">
        <f t="shared" si="1622"/>
        <v>0</v>
      </c>
      <c r="BN504" s="48">
        <f t="shared" si="1622"/>
        <v>0</v>
      </c>
      <c r="BO504" s="48">
        <f t="shared" si="1622"/>
        <v>0</v>
      </c>
      <c r="BP504" s="48">
        <f t="shared" si="1622"/>
        <v>0</v>
      </c>
      <c r="BQ504" s="48">
        <f t="shared" si="1622"/>
        <v>0</v>
      </c>
      <c r="BR504" s="36">
        <f t="shared" si="9"/>
        <v>1</v>
      </c>
      <c r="BS504" s="38">
        <f t="shared" si="10"/>
        <v>2</v>
      </c>
      <c r="BT504" s="49">
        <f t="shared" si="11"/>
        <v>0</v>
      </c>
      <c r="BU504" s="38">
        <f t="shared" si="12"/>
        <v>2000</v>
      </c>
      <c r="BV504" s="57" t="str">
        <f>IFERROR(__xludf.DUMMYFUNCTION("""COMPUTED_VALUE"""),"Cook")</f>
        <v>Cook</v>
      </c>
      <c r="BW504" s="46">
        <f t="shared" si="13"/>
        <v>1500</v>
      </c>
      <c r="BX504" s="47">
        <f t="shared" ref="BX504:CA504" si="1623">AX504-$BU504</f>
        <v>-2000</v>
      </c>
      <c r="BY504" s="47">
        <f t="shared" si="1623"/>
        <v>-2000</v>
      </c>
      <c r="BZ504" s="47">
        <f t="shared" si="1623"/>
        <v>-2000</v>
      </c>
      <c r="CA504" s="47">
        <f t="shared" si="1623"/>
        <v>-1000</v>
      </c>
      <c r="CB504" s="47">
        <f t="shared" si="15"/>
        <v>-19500</v>
      </c>
      <c r="CC504" s="47">
        <f t="shared" ref="CC504:CQ504" si="1624">BC504-$BU504</f>
        <v>-2000</v>
      </c>
      <c r="CD504" s="47">
        <f t="shared" si="1624"/>
        <v>-2000</v>
      </c>
      <c r="CE504" s="47">
        <f t="shared" si="1624"/>
        <v>-2000</v>
      </c>
      <c r="CF504" s="47">
        <f t="shared" si="1624"/>
        <v>-2000</v>
      </c>
      <c r="CG504" s="47">
        <f t="shared" si="1624"/>
        <v>-2000</v>
      </c>
      <c r="CH504" s="47">
        <f t="shared" si="1624"/>
        <v>-2000</v>
      </c>
      <c r="CI504" s="47">
        <f t="shared" si="1624"/>
        <v>-2000</v>
      </c>
      <c r="CJ504" s="47">
        <f t="shared" si="1624"/>
        <v>-2000</v>
      </c>
      <c r="CK504" s="47">
        <f t="shared" si="1624"/>
        <v>-2000</v>
      </c>
      <c r="CL504" s="47">
        <f t="shared" si="1624"/>
        <v>-2000</v>
      </c>
      <c r="CM504" s="47">
        <f t="shared" si="1624"/>
        <v>-2000</v>
      </c>
      <c r="CN504" s="47">
        <f t="shared" si="1624"/>
        <v>-2000</v>
      </c>
      <c r="CO504" s="47">
        <f t="shared" si="1624"/>
        <v>-2000</v>
      </c>
      <c r="CP504" s="47">
        <f t="shared" si="1624"/>
        <v>-2000</v>
      </c>
      <c r="CQ504" s="47">
        <f t="shared" si="1624"/>
        <v>-2000</v>
      </c>
      <c r="CR504" s="47"/>
      <c r="CS504" s="47"/>
      <c r="CT504" s="47"/>
      <c r="CU504" s="50" t="str">
        <f>IFERROR(__xludf.DUMMYFUNCTION("""COMPUTED_VALUE"""),"9360 Creel Creek
Dallas, TX 75228          ")</f>
        <v>9360 Creel Creek
Dallas, TX 75228          </v>
      </c>
      <c r="CV504" s="51">
        <f>IFERROR(__xludf.DUMMYFUNCTION("IF(REGEXMATCH(UPPER(CU504), ""TX""),0,1)"),0.0)</f>
        <v>0</v>
      </c>
      <c r="CW504" s="51">
        <f>IFERROR(__xludf.DUMMYFUNCTION("IF(REGEXMATCH(UPPER(CU504), ""DALLAS""),0,1)"),0.0)</f>
        <v>0</v>
      </c>
      <c r="CX504" s="51">
        <f t="shared" si="17"/>
        <v>0</v>
      </c>
      <c r="CY504" s="51">
        <f t="shared" si="18"/>
        <v>0</v>
      </c>
      <c r="CZ504" s="52" t="str">
        <f t="shared" si="19"/>
        <v/>
      </c>
      <c r="DA504" s="58"/>
      <c r="DB504" s="52"/>
      <c r="DC504" s="52"/>
      <c r="DD504" s="52"/>
      <c r="DE504" s="52"/>
      <c r="DF504" s="52"/>
      <c r="DG504" s="52"/>
      <c r="DH504" s="52"/>
      <c r="DI504" s="52"/>
      <c r="DJ504" s="52"/>
      <c r="DK504" s="52"/>
      <c r="DL504" s="52"/>
      <c r="DM504" s="52"/>
      <c r="DN504" s="52"/>
      <c r="DO504" s="52"/>
      <c r="DP504" s="52"/>
      <c r="DQ504" s="52"/>
      <c r="DR504" s="52"/>
      <c r="DS504" s="52"/>
      <c r="DT504" s="52"/>
      <c r="DU504" s="52"/>
      <c r="DV504" s="52"/>
      <c r="DW504" s="52"/>
    </row>
    <row r="505">
      <c r="A505" s="40" t="s">
        <v>55</v>
      </c>
      <c r="B505" s="41" t="s">
        <v>56</v>
      </c>
      <c r="C505" s="31" t="s">
        <v>1386</v>
      </c>
      <c r="D505" s="25" t="str">
        <f>IFERROR(__xludf.DUMMYFUNCTION("SPLIT(C505,"" "")"),"Williams,")</f>
        <v>Williams,</v>
      </c>
      <c r="E505" s="40" t="str">
        <f>IFERROR(__xludf.DUMMYFUNCTION("""COMPUTED_VALUE"""),"Keith
6615")</f>
        <v>Keith
6615</v>
      </c>
      <c r="F505" s="40" t="str">
        <f>IFERROR(__xludf.DUMMYFUNCTION("""COMPUTED_VALUE"""),"Lange")</f>
        <v>Lange</v>
      </c>
      <c r="G505" s="40" t="str">
        <f>IFERROR(__xludf.DUMMYFUNCTION("""COMPUTED_VALUE"""),"Circle
Dallas,")</f>
        <v>Circle
Dallas,</v>
      </c>
      <c r="H505" s="40" t="str">
        <f>IFERROR(__xludf.DUMMYFUNCTION("""COMPUTED_VALUE"""),"TX")</f>
        <v>TX</v>
      </c>
      <c r="I505" s="40">
        <f>IFERROR(__xludf.DUMMYFUNCTION("""COMPUTED_VALUE"""),75214.0)</f>
        <v>75214</v>
      </c>
      <c r="J505" s="40"/>
      <c r="K505" s="40"/>
      <c r="L505" s="40"/>
      <c r="M505" s="40"/>
      <c r="N505" s="40"/>
      <c r="O505" s="40"/>
      <c r="P505" s="40"/>
      <c r="Q505" s="40"/>
      <c r="R505" s="40"/>
      <c r="S505" s="40"/>
      <c r="T505" s="40"/>
      <c r="U505" s="24" t="str">
        <f>IFERROR(__xludf.DUMMYFUNCTION("SPLIT(E505,""01234567890"")"),"Keith
")</f>
        <v>Keith
</v>
      </c>
      <c r="V505" s="24" t="str">
        <f>IFERROR(__xludf.DUMMYFUNCTION("SPLIT(D505,"","")"),"Williams")</f>
        <v>Williams</v>
      </c>
      <c r="W505" s="25" t="str">
        <f t="shared" si="1"/>
        <v>KEITH
 WILLIAMS</v>
      </c>
      <c r="X505" s="25" t="s">
        <v>1387</v>
      </c>
      <c r="Y505" s="25">
        <v>75214.0</v>
      </c>
      <c r="Z505" s="25" t="str">
        <f>IFERROR(__xludf.DUMMYFUNCTION("SPLIT(C505,""
"")"),"Williams, Keith")</f>
        <v>Williams, Keith</v>
      </c>
      <c r="AA505" s="25" t="str">
        <f>IFERROR(__xludf.DUMMYFUNCTION("""COMPUTED_VALUE"""),"6615 Lange Circle")</f>
        <v>6615 Lange Circle</v>
      </c>
      <c r="AB505" s="25" t="str">
        <f>IFERROR(__xludf.DUMMYFUNCTION("""COMPUTED_VALUE"""),"Dallas, TX 75214")</f>
        <v>Dallas, TX 75214</v>
      </c>
      <c r="AC505" s="24" t="s">
        <v>1388</v>
      </c>
      <c r="AD505" s="25"/>
      <c r="AE505" s="25"/>
      <c r="AF505" s="25"/>
      <c r="AG505" s="40" t="s">
        <v>60</v>
      </c>
      <c r="AH505" s="42">
        <v>2448.0</v>
      </c>
      <c r="AI505" s="40" t="s">
        <v>61</v>
      </c>
      <c r="AJ505" s="27">
        <v>500.0</v>
      </c>
      <c r="AK505" s="31" t="s">
        <v>24</v>
      </c>
      <c r="AL505" s="43">
        <v>44679.0</v>
      </c>
      <c r="AM505" s="44">
        <v>44757.44018518519</v>
      </c>
      <c r="AN505" s="30">
        <v>2.0</v>
      </c>
      <c r="AO505" s="40"/>
      <c r="AP505" s="40"/>
      <c r="AQ505" s="40"/>
      <c r="AR505" s="40"/>
      <c r="AS505" s="40"/>
      <c r="AT505" s="47"/>
      <c r="AU505" s="40"/>
      <c r="AV505" s="46" t="str">
        <f>IFERROR(__xludf.DUMMYFUNCTION("""COMPUTED_VALUE"""),"McAtee")</f>
        <v>McAtee</v>
      </c>
      <c r="AW505" s="46">
        <f t="shared" si="7"/>
        <v>5000</v>
      </c>
      <c r="AX505" s="47">
        <f t="shared" ref="AX505:BQ505" si="1625">SUMIFS($AJ:$AJ,$V:$V,$AV505,$AK:$AK,AX$2)</f>
        <v>0</v>
      </c>
      <c r="AY505" s="48">
        <f t="shared" si="1625"/>
        <v>0</v>
      </c>
      <c r="AZ505" s="48">
        <f t="shared" si="1625"/>
        <v>0</v>
      </c>
      <c r="BA505" s="48">
        <f t="shared" si="1625"/>
        <v>0</v>
      </c>
      <c r="BB505" s="48">
        <f t="shared" si="1625"/>
        <v>5000</v>
      </c>
      <c r="BC505" s="48">
        <f t="shared" si="1625"/>
        <v>0</v>
      </c>
      <c r="BD505" s="48">
        <f t="shared" si="1625"/>
        <v>0</v>
      </c>
      <c r="BE505" s="48">
        <f t="shared" si="1625"/>
        <v>0</v>
      </c>
      <c r="BF505" s="48">
        <f t="shared" si="1625"/>
        <v>0</v>
      </c>
      <c r="BG505" s="48">
        <f t="shared" si="1625"/>
        <v>0</v>
      </c>
      <c r="BH505" s="48">
        <f t="shared" si="1625"/>
        <v>0</v>
      </c>
      <c r="BI505" s="48">
        <f t="shared" si="1625"/>
        <v>0</v>
      </c>
      <c r="BJ505" s="48">
        <f t="shared" si="1625"/>
        <v>0</v>
      </c>
      <c r="BK505" s="48">
        <f t="shared" si="1625"/>
        <v>0</v>
      </c>
      <c r="BL505" s="48">
        <f t="shared" si="1625"/>
        <v>0</v>
      </c>
      <c r="BM505" s="48">
        <f t="shared" si="1625"/>
        <v>0</v>
      </c>
      <c r="BN505" s="48">
        <f t="shared" si="1625"/>
        <v>0</v>
      </c>
      <c r="BO505" s="48">
        <f t="shared" si="1625"/>
        <v>0</v>
      </c>
      <c r="BP505" s="48">
        <f t="shared" si="1625"/>
        <v>0</v>
      </c>
      <c r="BQ505" s="48">
        <f t="shared" si="1625"/>
        <v>0</v>
      </c>
      <c r="BR505" s="36">
        <f t="shared" si="9"/>
        <v>0</v>
      </c>
      <c r="BS505" s="38">
        <f t="shared" si="10"/>
        <v>1</v>
      </c>
      <c r="BT505" s="49">
        <f t="shared" si="11"/>
        <v>0</v>
      </c>
      <c r="BU505" s="38">
        <f t="shared" si="12"/>
        <v>1000</v>
      </c>
      <c r="BV505" s="46" t="str">
        <f>IFERROR(__xludf.DUMMYFUNCTION("""COMPUTED_VALUE"""),"McAtee")</f>
        <v>McAtee</v>
      </c>
      <c r="BW505" s="46">
        <f t="shared" si="13"/>
        <v>5000</v>
      </c>
      <c r="BX505" s="47">
        <f t="shared" ref="BX505:CA505" si="1626">AX505-$BU505</f>
        <v>-1000</v>
      </c>
      <c r="BY505" s="47">
        <f t="shared" si="1626"/>
        <v>-1000</v>
      </c>
      <c r="BZ505" s="47">
        <f t="shared" si="1626"/>
        <v>-1000</v>
      </c>
      <c r="CA505" s="47">
        <f t="shared" si="1626"/>
        <v>-1000</v>
      </c>
      <c r="CB505" s="47">
        <f t="shared" si="15"/>
        <v>-5000</v>
      </c>
      <c r="CC505" s="47">
        <f t="shared" ref="CC505:CQ505" si="1627">BC505-$BU505</f>
        <v>-1000</v>
      </c>
      <c r="CD505" s="47">
        <f t="shared" si="1627"/>
        <v>-1000</v>
      </c>
      <c r="CE505" s="47">
        <f t="shared" si="1627"/>
        <v>-1000</v>
      </c>
      <c r="CF505" s="47">
        <f t="shared" si="1627"/>
        <v>-1000</v>
      </c>
      <c r="CG505" s="47">
        <f t="shared" si="1627"/>
        <v>-1000</v>
      </c>
      <c r="CH505" s="47">
        <f t="shared" si="1627"/>
        <v>-1000</v>
      </c>
      <c r="CI505" s="47">
        <f t="shared" si="1627"/>
        <v>-1000</v>
      </c>
      <c r="CJ505" s="47">
        <f t="shared" si="1627"/>
        <v>-1000</v>
      </c>
      <c r="CK505" s="47">
        <f t="shared" si="1627"/>
        <v>-1000</v>
      </c>
      <c r="CL505" s="47">
        <f t="shared" si="1627"/>
        <v>-1000</v>
      </c>
      <c r="CM505" s="47">
        <f t="shared" si="1627"/>
        <v>-1000</v>
      </c>
      <c r="CN505" s="47">
        <f t="shared" si="1627"/>
        <v>-1000</v>
      </c>
      <c r="CO505" s="47">
        <f t="shared" si="1627"/>
        <v>-1000</v>
      </c>
      <c r="CP505" s="47">
        <f t="shared" si="1627"/>
        <v>-1000</v>
      </c>
      <c r="CQ505" s="47">
        <f t="shared" si="1627"/>
        <v>-1000</v>
      </c>
      <c r="CR505" s="47"/>
      <c r="CS505" s="47"/>
      <c r="CT505" s="47"/>
      <c r="CU505" s="50" t="str">
        <f>IFERROR(__xludf.DUMMYFUNCTION("""COMPUTED_VALUE"""),"2307 Wilma Rodolph Rd.
Austin, TX 78748         ")</f>
        <v>2307 Wilma Rodolph Rd.
Austin, TX 78748         </v>
      </c>
      <c r="CV505" s="51">
        <f>IFERROR(__xludf.DUMMYFUNCTION("IF(REGEXMATCH(UPPER(CU505), ""TX""),0,1)"),0.0)</f>
        <v>0</v>
      </c>
      <c r="CW505" s="51">
        <f>IFERROR(__xludf.DUMMYFUNCTION("IF(REGEXMATCH(UPPER(CU505), ""DALLAS""),0,1)"),1.0)</f>
        <v>1</v>
      </c>
      <c r="CX505" s="51">
        <f t="shared" si="17"/>
        <v>0</v>
      </c>
      <c r="CY505" s="51">
        <f t="shared" si="18"/>
        <v>100</v>
      </c>
      <c r="CZ505" s="52" t="str">
        <f t="shared" si="19"/>
        <v>2307 Wilma Rodolph Rd.
Austin, TX 78748         </v>
      </c>
      <c r="DA505" s="58"/>
      <c r="DB505" s="52"/>
      <c r="DC505" s="52"/>
      <c r="DD505" s="52"/>
      <c r="DE505" s="52"/>
      <c r="DF505" s="52"/>
      <c r="DG505" s="52"/>
      <c r="DH505" s="52"/>
      <c r="DI505" s="52"/>
      <c r="DJ505" s="52"/>
      <c r="DK505" s="52"/>
      <c r="DL505" s="52"/>
      <c r="DM505" s="52"/>
      <c r="DN505" s="52"/>
      <c r="DO505" s="52"/>
      <c r="DP505" s="52"/>
      <c r="DQ505" s="52"/>
      <c r="DR505" s="52"/>
      <c r="DS505" s="52"/>
      <c r="DT505" s="52"/>
      <c r="DU505" s="52"/>
      <c r="DV505" s="52"/>
      <c r="DW505" s="52"/>
    </row>
    <row r="506">
      <c r="A506" s="22" t="s">
        <v>55</v>
      </c>
      <c r="B506" s="23" t="s">
        <v>56</v>
      </c>
      <c r="C506" s="31" t="s">
        <v>1389</v>
      </c>
      <c r="D506" s="25" t="str">
        <f>IFERROR(__xludf.DUMMYFUNCTION("SPLIT(C506,"" "")"),"Conner,")</f>
        <v>Conner,</v>
      </c>
      <c r="E506" s="22" t="str">
        <f>IFERROR(__xludf.DUMMYFUNCTION("""COMPUTED_VALUE"""),"Terry
7110")</f>
        <v>Terry
7110</v>
      </c>
      <c r="F506" s="22" t="str">
        <f>IFERROR(__xludf.DUMMYFUNCTION("""COMPUTED_VALUE"""),"Lakewood")</f>
        <v>Lakewood</v>
      </c>
      <c r="G506" s="22" t="str">
        <f>IFERROR(__xludf.DUMMYFUNCTION("""COMPUTED_VALUE"""),"Blvd
Dallas,")</f>
        <v>Blvd
Dallas,</v>
      </c>
      <c r="H506" s="22" t="str">
        <f>IFERROR(__xludf.DUMMYFUNCTION("""COMPUTED_VALUE"""),"TX")</f>
        <v>TX</v>
      </c>
      <c r="I506" s="22">
        <f>IFERROR(__xludf.DUMMYFUNCTION("""COMPUTED_VALUE"""),75214.0)</f>
        <v>75214</v>
      </c>
      <c r="J506" s="22"/>
      <c r="K506" s="22"/>
      <c r="L506" s="22"/>
      <c r="M506" s="22"/>
      <c r="N506" s="22"/>
      <c r="O506" s="22"/>
      <c r="P506" s="22"/>
      <c r="Q506" s="22"/>
      <c r="R506" s="22"/>
      <c r="S506" s="22"/>
      <c r="T506" s="22"/>
      <c r="U506" s="24" t="str">
        <f>IFERROR(__xludf.DUMMYFUNCTION("SPLIT(E506,""01234567890"")"),"Terry
")</f>
        <v>Terry
</v>
      </c>
      <c r="V506" s="24" t="str">
        <f>IFERROR(__xludf.DUMMYFUNCTION("SPLIT(D506,"","")"),"Conner")</f>
        <v>Conner</v>
      </c>
      <c r="W506" s="25" t="str">
        <f t="shared" si="1"/>
        <v>TERRY
 CONNER</v>
      </c>
      <c r="X506" s="25" t="s">
        <v>1390</v>
      </c>
      <c r="Y506" s="25">
        <v>75214.0</v>
      </c>
      <c r="Z506" s="25" t="str">
        <f>IFERROR(__xludf.DUMMYFUNCTION("SPLIT(C506,""
"")"),"Conner, Terry")</f>
        <v>Conner, Terry</v>
      </c>
      <c r="AA506" s="25" t="str">
        <f>IFERROR(__xludf.DUMMYFUNCTION("""COMPUTED_VALUE"""),"7110 Lakewood Blvd")</f>
        <v>7110 Lakewood Blvd</v>
      </c>
      <c r="AB506" s="25" t="str">
        <f>IFERROR(__xludf.DUMMYFUNCTION("""COMPUTED_VALUE"""),"Dallas, TX 75214")</f>
        <v>Dallas, TX 75214</v>
      </c>
      <c r="AC506" s="24" t="s">
        <v>1391</v>
      </c>
      <c r="AD506" s="25"/>
      <c r="AE506" s="25"/>
      <c r="AF506" s="25"/>
      <c r="AG506" s="22" t="s">
        <v>60</v>
      </c>
      <c r="AH506" s="54">
        <v>2448.0</v>
      </c>
      <c r="AI506" s="22" t="s">
        <v>61</v>
      </c>
      <c r="AJ506" s="27">
        <v>1000.0</v>
      </c>
      <c r="AK506" s="31" t="s">
        <v>24</v>
      </c>
      <c r="AL506" s="28">
        <v>44685.0</v>
      </c>
      <c r="AM506" s="29">
        <v>44757.44018518519</v>
      </c>
      <c r="AN506" s="30">
        <v>2.0</v>
      </c>
      <c r="AO506" s="22"/>
      <c r="AP506" s="22"/>
      <c r="AQ506" s="22"/>
      <c r="AR506" s="22"/>
      <c r="AS506" s="22"/>
      <c r="AT506" s="70"/>
      <c r="AU506" s="22"/>
      <c r="AV506" s="57" t="str">
        <f>IFERROR(__xludf.DUMMYFUNCTION("""COMPUTED_VALUE"""),"McDade")</f>
        <v>McDade</v>
      </c>
      <c r="AW506" s="46">
        <f t="shared" si="7"/>
        <v>5000</v>
      </c>
      <c r="AX506" s="47">
        <f t="shared" ref="AX506:BQ506" si="1628">SUMIFS($AJ:$AJ,$V:$V,$AV506,$AK:$AK,AX$2)</f>
        <v>0</v>
      </c>
      <c r="AY506" s="48">
        <f t="shared" si="1628"/>
        <v>0</v>
      </c>
      <c r="AZ506" s="48">
        <f t="shared" si="1628"/>
        <v>0</v>
      </c>
      <c r="BA506" s="48">
        <f t="shared" si="1628"/>
        <v>0</v>
      </c>
      <c r="BB506" s="48">
        <f t="shared" si="1628"/>
        <v>5000</v>
      </c>
      <c r="BC506" s="48">
        <f t="shared" si="1628"/>
        <v>0</v>
      </c>
      <c r="BD506" s="48">
        <f t="shared" si="1628"/>
        <v>0</v>
      </c>
      <c r="BE506" s="48">
        <f t="shared" si="1628"/>
        <v>0</v>
      </c>
      <c r="BF506" s="48">
        <f t="shared" si="1628"/>
        <v>0</v>
      </c>
      <c r="BG506" s="48">
        <f t="shared" si="1628"/>
        <v>0</v>
      </c>
      <c r="BH506" s="48">
        <f t="shared" si="1628"/>
        <v>0</v>
      </c>
      <c r="BI506" s="48">
        <f t="shared" si="1628"/>
        <v>0</v>
      </c>
      <c r="BJ506" s="48">
        <f t="shared" si="1628"/>
        <v>0</v>
      </c>
      <c r="BK506" s="48">
        <f t="shared" si="1628"/>
        <v>0</v>
      </c>
      <c r="BL506" s="48">
        <f t="shared" si="1628"/>
        <v>0</v>
      </c>
      <c r="BM506" s="48">
        <f t="shared" si="1628"/>
        <v>0</v>
      </c>
      <c r="BN506" s="48">
        <f t="shared" si="1628"/>
        <v>0</v>
      </c>
      <c r="BO506" s="48">
        <f t="shared" si="1628"/>
        <v>0</v>
      </c>
      <c r="BP506" s="48">
        <f t="shared" si="1628"/>
        <v>0</v>
      </c>
      <c r="BQ506" s="48">
        <f t="shared" si="1628"/>
        <v>0</v>
      </c>
      <c r="BR506" s="36">
        <f t="shared" si="9"/>
        <v>0</v>
      </c>
      <c r="BS506" s="38">
        <f t="shared" si="10"/>
        <v>1</v>
      </c>
      <c r="BT506" s="49">
        <f t="shared" si="11"/>
        <v>0</v>
      </c>
      <c r="BU506" s="38">
        <f t="shared" si="12"/>
        <v>1000</v>
      </c>
      <c r="BV506" s="57" t="str">
        <f>IFERROR(__xludf.DUMMYFUNCTION("""COMPUTED_VALUE"""),"McDade")</f>
        <v>McDade</v>
      </c>
      <c r="BW506" s="46">
        <f t="shared" si="13"/>
        <v>5000</v>
      </c>
      <c r="BX506" s="47">
        <f t="shared" ref="BX506:CA506" si="1629">AX506-$BU506</f>
        <v>-1000</v>
      </c>
      <c r="BY506" s="47">
        <f t="shared" si="1629"/>
        <v>-1000</v>
      </c>
      <c r="BZ506" s="47">
        <f t="shared" si="1629"/>
        <v>-1000</v>
      </c>
      <c r="CA506" s="47">
        <f t="shared" si="1629"/>
        <v>-1000</v>
      </c>
      <c r="CB506" s="47">
        <f t="shared" si="15"/>
        <v>-5000</v>
      </c>
      <c r="CC506" s="47">
        <f t="shared" ref="CC506:CQ506" si="1630">BC506-$BU506</f>
        <v>-1000</v>
      </c>
      <c r="CD506" s="47">
        <f t="shared" si="1630"/>
        <v>-1000</v>
      </c>
      <c r="CE506" s="47">
        <f t="shared" si="1630"/>
        <v>-1000</v>
      </c>
      <c r="CF506" s="47">
        <f t="shared" si="1630"/>
        <v>-1000</v>
      </c>
      <c r="CG506" s="47">
        <f t="shared" si="1630"/>
        <v>-1000</v>
      </c>
      <c r="CH506" s="47">
        <f t="shared" si="1630"/>
        <v>-1000</v>
      </c>
      <c r="CI506" s="47">
        <f t="shared" si="1630"/>
        <v>-1000</v>
      </c>
      <c r="CJ506" s="47">
        <f t="shared" si="1630"/>
        <v>-1000</v>
      </c>
      <c r="CK506" s="47">
        <f t="shared" si="1630"/>
        <v>-1000</v>
      </c>
      <c r="CL506" s="47">
        <f t="shared" si="1630"/>
        <v>-1000</v>
      </c>
      <c r="CM506" s="47">
        <f t="shared" si="1630"/>
        <v>-1000</v>
      </c>
      <c r="CN506" s="47">
        <f t="shared" si="1630"/>
        <v>-1000</v>
      </c>
      <c r="CO506" s="47">
        <f t="shared" si="1630"/>
        <v>-1000</v>
      </c>
      <c r="CP506" s="47">
        <f t="shared" si="1630"/>
        <v>-1000</v>
      </c>
      <c r="CQ506" s="47">
        <f t="shared" si="1630"/>
        <v>-1000</v>
      </c>
      <c r="CR506" s="47"/>
      <c r="CS506" s="47"/>
      <c r="CT506" s="47"/>
      <c r="CU506" s="50" t="str">
        <f>IFERROR(__xludf.DUMMYFUNCTION("""COMPUTED_VALUE"""),"123 E. Woodin Blvd
Dallas, TX 75216         ")</f>
        <v>123 E. Woodin Blvd
Dallas, TX 75216         </v>
      </c>
      <c r="CV506" s="51">
        <f>IFERROR(__xludf.DUMMYFUNCTION("IF(REGEXMATCH(UPPER(CU506), ""TX""),0,1)"),0.0)</f>
        <v>0</v>
      </c>
      <c r="CW506" s="51">
        <f>IFERROR(__xludf.DUMMYFUNCTION("IF(REGEXMATCH(UPPER(CU506), ""DALLAS""),0,1)"),0.0)</f>
        <v>0</v>
      </c>
      <c r="CX506" s="51">
        <f t="shared" si="17"/>
        <v>0</v>
      </c>
      <c r="CY506" s="51">
        <f t="shared" si="18"/>
        <v>0</v>
      </c>
      <c r="CZ506" s="52" t="str">
        <f t="shared" si="19"/>
        <v/>
      </c>
      <c r="DA506" s="58"/>
      <c r="DB506" s="52"/>
      <c r="DC506" s="52"/>
      <c r="DD506" s="52"/>
      <c r="DE506" s="52"/>
      <c r="DF506" s="52"/>
      <c r="DG506" s="52"/>
      <c r="DH506" s="52"/>
      <c r="DI506" s="52"/>
      <c r="DJ506" s="52"/>
      <c r="DK506" s="52"/>
      <c r="DL506" s="52"/>
      <c r="DM506" s="52"/>
      <c r="DN506" s="52"/>
      <c r="DO506" s="52"/>
      <c r="DP506" s="52"/>
      <c r="DQ506" s="52"/>
      <c r="DR506" s="52"/>
      <c r="DS506" s="52"/>
      <c r="DT506" s="52"/>
      <c r="DU506" s="52"/>
      <c r="DV506" s="52"/>
      <c r="DW506" s="52"/>
    </row>
    <row r="507">
      <c r="A507" s="40" t="s">
        <v>55</v>
      </c>
      <c r="B507" s="41" t="s">
        <v>56</v>
      </c>
      <c r="C507" s="31" t="s">
        <v>1392</v>
      </c>
      <c r="D507" s="25" t="str">
        <f>IFERROR(__xludf.DUMMYFUNCTION("SPLIT(C507,"" "")"),"Howard,")</f>
        <v>Howard,</v>
      </c>
      <c r="E507" s="40" t="str">
        <f>IFERROR(__xludf.DUMMYFUNCTION("""COMPUTED_VALUE"""),"Todd
9623")</f>
        <v>Todd
9623</v>
      </c>
      <c r="F507" s="40" t="str">
        <f>IFERROR(__xludf.DUMMYFUNCTION("""COMPUTED_VALUE"""),"Athelone
Dallas,")</f>
        <v>Athelone
Dallas,</v>
      </c>
      <c r="G507" s="40" t="str">
        <f>IFERROR(__xludf.DUMMYFUNCTION("""COMPUTED_VALUE"""),"TX")</f>
        <v>TX</v>
      </c>
      <c r="H507" s="40">
        <f>IFERROR(__xludf.DUMMYFUNCTION("""COMPUTED_VALUE"""),75218.0)</f>
        <v>75218</v>
      </c>
      <c r="I507" s="40"/>
      <c r="J507" s="40"/>
      <c r="K507" s="40"/>
      <c r="L507" s="40"/>
      <c r="M507" s="40"/>
      <c r="N507" s="40"/>
      <c r="O507" s="40"/>
      <c r="P507" s="40"/>
      <c r="Q507" s="40"/>
      <c r="R507" s="40"/>
      <c r="S507" s="40"/>
      <c r="T507" s="40"/>
      <c r="U507" s="24" t="str">
        <f>IFERROR(__xludf.DUMMYFUNCTION("SPLIT(E507,""01234567890"")"),"Todd
")</f>
        <v>Todd
</v>
      </c>
      <c r="V507" s="24" t="str">
        <f>IFERROR(__xludf.DUMMYFUNCTION("SPLIT(D507,"","")"),"Howard")</f>
        <v>Howard</v>
      </c>
      <c r="W507" s="25" t="str">
        <f t="shared" si="1"/>
        <v>TODD
 HOWARD</v>
      </c>
      <c r="X507" s="25" t="s">
        <v>1393</v>
      </c>
      <c r="Y507" s="25">
        <v>75218.0</v>
      </c>
      <c r="Z507" s="25" t="str">
        <f>IFERROR(__xludf.DUMMYFUNCTION("SPLIT(C507,""
"")"),"Howard, Todd")</f>
        <v>Howard, Todd</v>
      </c>
      <c r="AA507" s="25" t="str">
        <f>IFERROR(__xludf.DUMMYFUNCTION("""COMPUTED_VALUE"""),"9623 Athelone")</f>
        <v>9623 Athelone</v>
      </c>
      <c r="AB507" s="25" t="str">
        <f>IFERROR(__xludf.DUMMYFUNCTION("""COMPUTED_VALUE"""),"Dallas, TX 75218")</f>
        <v>Dallas, TX 75218</v>
      </c>
      <c r="AC507" s="24" t="s">
        <v>1394</v>
      </c>
      <c r="AD507" s="25"/>
      <c r="AE507" s="25"/>
      <c r="AF507" s="25"/>
      <c r="AG507" s="40" t="s">
        <v>60</v>
      </c>
      <c r="AH507" s="42">
        <v>2448.0</v>
      </c>
      <c r="AI507" s="40" t="s">
        <v>61</v>
      </c>
      <c r="AJ507" s="27">
        <v>250.0</v>
      </c>
      <c r="AK507" s="31" t="s">
        <v>24</v>
      </c>
      <c r="AL507" s="43">
        <v>44685.0</v>
      </c>
      <c r="AM507" s="44">
        <v>44757.44018518519</v>
      </c>
      <c r="AN507" s="30">
        <v>2.0</v>
      </c>
      <c r="AO507" s="40"/>
      <c r="AP507" s="40"/>
      <c r="AQ507" s="40"/>
      <c r="AR507" s="40"/>
      <c r="AS507" s="40"/>
      <c r="AT507" s="47"/>
      <c r="AU507" s="40"/>
      <c r="AV507" s="46" t="str">
        <f>IFERROR(__xludf.DUMMYFUNCTION("""COMPUTED_VALUE"""),"Nash")</f>
        <v>Nash</v>
      </c>
      <c r="AW507" s="46">
        <f t="shared" si="7"/>
        <v>10000</v>
      </c>
      <c r="AX507" s="47">
        <f t="shared" ref="AX507:BQ507" si="1631">SUMIFS($AJ:$AJ,$V:$V,$AV507,$AK:$AK,AX$2)</f>
        <v>0</v>
      </c>
      <c r="AY507" s="48">
        <f t="shared" si="1631"/>
        <v>0</v>
      </c>
      <c r="AZ507" s="48">
        <f t="shared" si="1631"/>
        <v>0</v>
      </c>
      <c r="BA507" s="48">
        <f t="shared" si="1631"/>
        <v>0</v>
      </c>
      <c r="BB507" s="48">
        <f t="shared" si="1631"/>
        <v>10000</v>
      </c>
      <c r="BC507" s="48">
        <f t="shared" si="1631"/>
        <v>0</v>
      </c>
      <c r="BD507" s="48">
        <f t="shared" si="1631"/>
        <v>0</v>
      </c>
      <c r="BE507" s="48">
        <f t="shared" si="1631"/>
        <v>0</v>
      </c>
      <c r="BF507" s="48">
        <f t="shared" si="1631"/>
        <v>0</v>
      </c>
      <c r="BG507" s="48">
        <f t="shared" si="1631"/>
        <v>0</v>
      </c>
      <c r="BH507" s="48">
        <f t="shared" si="1631"/>
        <v>0</v>
      </c>
      <c r="BI507" s="48">
        <f t="shared" si="1631"/>
        <v>0</v>
      </c>
      <c r="BJ507" s="48">
        <f t="shared" si="1631"/>
        <v>0</v>
      </c>
      <c r="BK507" s="48">
        <f t="shared" si="1631"/>
        <v>0</v>
      </c>
      <c r="BL507" s="48">
        <f t="shared" si="1631"/>
        <v>0</v>
      </c>
      <c r="BM507" s="48">
        <f t="shared" si="1631"/>
        <v>0</v>
      </c>
      <c r="BN507" s="48">
        <f t="shared" si="1631"/>
        <v>0</v>
      </c>
      <c r="BO507" s="48">
        <f t="shared" si="1631"/>
        <v>0</v>
      </c>
      <c r="BP507" s="48">
        <f t="shared" si="1631"/>
        <v>0</v>
      </c>
      <c r="BQ507" s="48">
        <f t="shared" si="1631"/>
        <v>0</v>
      </c>
      <c r="BR507" s="36">
        <f t="shared" si="9"/>
        <v>0</v>
      </c>
      <c r="BS507" s="38">
        <f t="shared" si="10"/>
        <v>1</v>
      </c>
      <c r="BT507" s="49">
        <f t="shared" si="11"/>
        <v>0</v>
      </c>
      <c r="BU507" s="38">
        <f t="shared" si="12"/>
        <v>1000</v>
      </c>
      <c r="BV507" s="46" t="str">
        <f>IFERROR(__xludf.DUMMYFUNCTION("""COMPUTED_VALUE"""),"Nash")</f>
        <v>Nash</v>
      </c>
      <c r="BW507" s="46">
        <f t="shared" si="13"/>
        <v>10000</v>
      </c>
      <c r="BX507" s="47">
        <f t="shared" ref="BX507:CA507" si="1632">AX507-$BU507</f>
        <v>-1000</v>
      </c>
      <c r="BY507" s="47">
        <f t="shared" si="1632"/>
        <v>-1000</v>
      </c>
      <c r="BZ507" s="47">
        <f t="shared" si="1632"/>
        <v>-1000</v>
      </c>
      <c r="CA507" s="47">
        <f t="shared" si="1632"/>
        <v>-1000</v>
      </c>
      <c r="CB507" s="47">
        <f t="shared" si="15"/>
        <v>0</v>
      </c>
      <c r="CC507" s="47">
        <f t="shared" ref="CC507:CQ507" si="1633">BC507-$BU507</f>
        <v>-1000</v>
      </c>
      <c r="CD507" s="47">
        <f t="shared" si="1633"/>
        <v>-1000</v>
      </c>
      <c r="CE507" s="47">
        <f t="shared" si="1633"/>
        <v>-1000</v>
      </c>
      <c r="CF507" s="47">
        <f t="shared" si="1633"/>
        <v>-1000</v>
      </c>
      <c r="CG507" s="47">
        <f t="shared" si="1633"/>
        <v>-1000</v>
      </c>
      <c r="CH507" s="47">
        <f t="shared" si="1633"/>
        <v>-1000</v>
      </c>
      <c r="CI507" s="47">
        <f t="shared" si="1633"/>
        <v>-1000</v>
      </c>
      <c r="CJ507" s="47">
        <f t="shared" si="1633"/>
        <v>-1000</v>
      </c>
      <c r="CK507" s="47">
        <f t="shared" si="1633"/>
        <v>-1000</v>
      </c>
      <c r="CL507" s="47">
        <f t="shared" si="1633"/>
        <v>-1000</v>
      </c>
      <c r="CM507" s="47">
        <f t="shared" si="1633"/>
        <v>-1000</v>
      </c>
      <c r="CN507" s="47">
        <f t="shared" si="1633"/>
        <v>-1000</v>
      </c>
      <c r="CO507" s="47">
        <f t="shared" si="1633"/>
        <v>-1000</v>
      </c>
      <c r="CP507" s="47">
        <f t="shared" si="1633"/>
        <v>-1000</v>
      </c>
      <c r="CQ507" s="47">
        <f t="shared" si="1633"/>
        <v>-1000</v>
      </c>
      <c r="CR507" s="47"/>
      <c r="CS507" s="47"/>
      <c r="CT507" s="47"/>
      <c r="CU507" s="50" t="str">
        <f>IFERROR(__xludf.DUMMYFUNCTION("""COMPUTED_VALUE"""),"6342 Mercedes Ave
Dallas, TX 75214          ")</f>
        <v>6342 Mercedes Ave
Dallas, TX 75214          </v>
      </c>
      <c r="CV507" s="51">
        <f>IFERROR(__xludf.DUMMYFUNCTION("IF(REGEXMATCH(UPPER(CU507), ""TX""),0,1)"),0.0)</f>
        <v>0</v>
      </c>
      <c r="CW507" s="51">
        <f>IFERROR(__xludf.DUMMYFUNCTION("IF(REGEXMATCH(UPPER(CU507), ""DALLAS""),0,1)"),0.0)</f>
        <v>0</v>
      </c>
      <c r="CX507" s="51">
        <f t="shared" si="17"/>
        <v>0</v>
      </c>
      <c r="CY507" s="51">
        <f t="shared" si="18"/>
        <v>0</v>
      </c>
      <c r="CZ507" s="52" t="str">
        <f t="shared" si="19"/>
        <v/>
      </c>
      <c r="DA507" s="58"/>
      <c r="DB507" s="52"/>
      <c r="DC507" s="52"/>
      <c r="DD507" s="52"/>
      <c r="DE507" s="52"/>
      <c r="DF507" s="52"/>
      <c r="DG507" s="52"/>
      <c r="DH507" s="52"/>
      <c r="DI507" s="52"/>
      <c r="DJ507" s="52"/>
      <c r="DK507" s="52"/>
      <c r="DL507" s="52"/>
      <c r="DM507" s="52"/>
      <c r="DN507" s="52"/>
      <c r="DO507" s="52"/>
      <c r="DP507" s="52"/>
      <c r="DQ507" s="52"/>
      <c r="DR507" s="52"/>
      <c r="DS507" s="52"/>
      <c r="DT507" s="52"/>
      <c r="DU507" s="52"/>
      <c r="DV507" s="52"/>
      <c r="DW507" s="52"/>
    </row>
    <row r="508">
      <c r="A508" s="22" t="s">
        <v>55</v>
      </c>
      <c r="B508" s="23" t="s">
        <v>56</v>
      </c>
      <c r="C508" s="31" t="s">
        <v>1395</v>
      </c>
      <c r="D508" s="25" t="str">
        <f>IFERROR(__xludf.DUMMYFUNCTION("SPLIT(C508,"" "")"),"Karol,")</f>
        <v>Karol,</v>
      </c>
      <c r="E508" s="22" t="str">
        <f>IFERROR(__xludf.DUMMYFUNCTION("""COMPUTED_VALUE"""),"Jennifer
5370")</f>
        <v>Jennifer
5370</v>
      </c>
      <c r="F508" s="22" t="str">
        <f>IFERROR(__xludf.DUMMYFUNCTION("""COMPUTED_VALUE"""),"Medors")</f>
        <v>Medors</v>
      </c>
      <c r="G508" s="22" t="str">
        <f>IFERROR(__xludf.DUMMYFUNCTION("""COMPUTED_VALUE"""),"Lane
Dallas,")</f>
        <v>Lane
Dallas,</v>
      </c>
      <c r="H508" s="22" t="str">
        <f>IFERROR(__xludf.DUMMYFUNCTION("""COMPUTED_VALUE"""),"TX")</f>
        <v>TX</v>
      </c>
      <c r="I508" s="22">
        <f>IFERROR(__xludf.DUMMYFUNCTION("""COMPUTED_VALUE"""),75229.0)</f>
        <v>75229</v>
      </c>
      <c r="J508" s="22"/>
      <c r="K508" s="22"/>
      <c r="L508" s="22"/>
      <c r="M508" s="22"/>
      <c r="N508" s="22"/>
      <c r="O508" s="22"/>
      <c r="P508" s="22"/>
      <c r="Q508" s="22"/>
      <c r="R508" s="22"/>
      <c r="S508" s="22"/>
      <c r="T508" s="22"/>
      <c r="U508" s="24" t="str">
        <f>IFERROR(__xludf.DUMMYFUNCTION("SPLIT(E508,""01234567890"")"),"Jennifer
")</f>
        <v>Jennifer
</v>
      </c>
      <c r="V508" s="24" t="str">
        <f>IFERROR(__xludf.DUMMYFUNCTION("SPLIT(D508,"","")"),"Karol")</f>
        <v>Karol</v>
      </c>
      <c r="W508" s="25" t="str">
        <f t="shared" si="1"/>
        <v>JENNIFER
 KAROL</v>
      </c>
      <c r="X508" s="25" t="s">
        <v>1396</v>
      </c>
      <c r="Y508" s="25">
        <v>75229.0</v>
      </c>
      <c r="Z508" s="25" t="str">
        <f>IFERROR(__xludf.DUMMYFUNCTION("SPLIT(C508,""
"")"),"Karol, Jennifer")</f>
        <v>Karol, Jennifer</v>
      </c>
      <c r="AA508" s="25" t="str">
        <f>IFERROR(__xludf.DUMMYFUNCTION("""COMPUTED_VALUE"""),"5370 Medors Lane")</f>
        <v>5370 Medors Lane</v>
      </c>
      <c r="AB508" s="25" t="str">
        <f>IFERROR(__xludf.DUMMYFUNCTION("""COMPUTED_VALUE"""),"Dallas, TX 75229")</f>
        <v>Dallas, TX 75229</v>
      </c>
      <c r="AC508" s="24" t="s">
        <v>1397</v>
      </c>
      <c r="AD508" s="25"/>
      <c r="AE508" s="25"/>
      <c r="AF508" s="25"/>
      <c r="AG508" s="22" t="s">
        <v>60</v>
      </c>
      <c r="AH508" s="54">
        <v>2448.0</v>
      </c>
      <c r="AI508" s="22" t="s">
        <v>61</v>
      </c>
      <c r="AJ508" s="27">
        <v>1000.0</v>
      </c>
      <c r="AK508" s="31" t="s">
        <v>24</v>
      </c>
      <c r="AL508" s="28">
        <v>44685.0</v>
      </c>
      <c r="AM508" s="29">
        <v>44757.44018518519</v>
      </c>
      <c r="AN508" s="30">
        <v>2.0</v>
      </c>
      <c r="AO508" s="22"/>
      <c r="AP508" s="22"/>
      <c r="AQ508" s="22"/>
      <c r="AR508" s="22"/>
      <c r="AS508" s="22"/>
      <c r="AT508" s="70"/>
      <c r="AU508" s="22"/>
      <c r="AV508" s="57" t="str">
        <f>IFERROR(__xludf.DUMMYFUNCTION("""COMPUTED_VALUE"""),"Pitts")</f>
        <v>Pitts</v>
      </c>
      <c r="AW508" s="46">
        <f t="shared" si="7"/>
        <v>1750</v>
      </c>
      <c r="AX508" s="47">
        <f t="shared" ref="AX508:BQ508" si="1634">SUMIFS($AJ:$AJ,$V:$V,$AV508,$AK:$AK,AX$2)</f>
        <v>1000</v>
      </c>
      <c r="AY508" s="48">
        <f t="shared" si="1634"/>
        <v>0</v>
      </c>
      <c r="AZ508" s="48">
        <f t="shared" si="1634"/>
        <v>0</v>
      </c>
      <c r="BA508" s="48">
        <f t="shared" si="1634"/>
        <v>0</v>
      </c>
      <c r="BB508" s="48">
        <f t="shared" si="1634"/>
        <v>750</v>
      </c>
      <c r="BC508" s="48">
        <f t="shared" si="1634"/>
        <v>0</v>
      </c>
      <c r="BD508" s="48">
        <f t="shared" si="1634"/>
        <v>0</v>
      </c>
      <c r="BE508" s="48">
        <f t="shared" si="1634"/>
        <v>0</v>
      </c>
      <c r="BF508" s="48">
        <f t="shared" si="1634"/>
        <v>0</v>
      </c>
      <c r="BG508" s="48">
        <f t="shared" si="1634"/>
        <v>0</v>
      </c>
      <c r="BH508" s="48">
        <f t="shared" si="1634"/>
        <v>0</v>
      </c>
      <c r="BI508" s="48">
        <f t="shared" si="1634"/>
        <v>0</v>
      </c>
      <c r="BJ508" s="48">
        <f t="shared" si="1634"/>
        <v>0</v>
      </c>
      <c r="BK508" s="48">
        <f t="shared" si="1634"/>
        <v>0</v>
      </c>
      <c r="BL508" s="48">
        <f t="shared" si="1634"/>
        <v>0</v>
      </c>
      <c r="BM508" s="48">
        <f t="shared" si="1634"/>
        <v>0</v>
      </c>
      <c r="BN508" s="48">
        <f t="shared" si="1634"/>
        <v>0</v>
      </c>
      <c r="BO508" s="48">
        <f t="shared" si="1634"/>
        <v>0</v>
      </c>
      <c r="BP508" s="48">
        <f t="shared" si="1634"/>
        <v>0</v>
      </c>
      <c r="BQ508" s="48">
        <f t="shared" si="1634"/>
        <v>0</v>
      </c>
      <c r="BR508" s="36">
        <f t="shared" si="9"/>
        <v>1</v>
      </c>
      <c r="BS508" s="38">
        <f t="shared" si="10"/>
        <v>2</v>
      </c>
      <c r="BT508" s="49">
        <f t="shared" si="11"/>
        <v>0</v>
      </c>
      <c r="BU508" s="38">
        <f t="shared" si="12"/>
        <v>2000</v>
      </c>
      <c r="BV508" s="57" t="str">
        <f>IFERROR(__xludf.DUMMYFUNCTION("""COMPUTED_VALUE"""),"Pitts")</f>
        <v>Pitts</v>
      </c>
      <c r="BW508" s="46">
        <f t="shared" si="13"/>
        <v>1750</v>
      </c>
      <c r="BX508" s="47">
        <f t="shared" ref="BX508:CA508" si="1635">AX508-$BU508</f>
        <v>-1000</v>
      </c>
      <c r="BY508" s="47">
        <f t="shared" si="1635"/>
        <v>-2000</v>
      </c>
      <c r="BZ508" s="47">
        <f t="shared" si="1635"/>
        <v>-2000</v>
      </c>
      <c r="CA508" s="47">
        <f t="shared" si="1635"/>
        <v>-2000</v>
      </c>
      <c r="CB508" s="47">
        <f t="shared" si="15"/>
        <v>-19250</v>
      </c>
      <c r="CC508" s="47">
        <f t="shared" ref="CC508:CQ508" si="1636">BC508-$BU508</f>
        <v>-2000</v>
      </c>
      <c r="CD508" s="47">
        <f t="shared" si="1636"/>
        <v>-2000</v>
      </c>
      <c r="CE508" s="47">
        <f t="shared" si="1636"/>
        <v>-2000</v>
      </c>
      <c r="CF508" s="47">
        <f t="shared" si="1636"/>
        <v>-2000</v>
      </c>
      <c r="CG508" s="47">
        <f t="shared" si="1636"/>
        <v>-2000</v>
      </c>
      <c r="CH508" s="47">
        <f t="shared" si="1636"/>
        <v>-2000</v>
      </c>
      <c r="CI508" s="47">
        <f t="shared" si="1636"/>
        <v>-2000</v>
      </c>
      <c r="CJ508" s="47">
        <f t="shared" si="1636"/>
        <v>-2000</v>
      </c>
      <c r="CK508" s="47">
        <f t="shared" si="1636"/>
        <v>-2000</v>
      </c>
      <c r="CL508" s="47">
        <f t="shared" si="1636"/>
        <v>-2000</v>
      </c>
      <c r="CM508" s="47">
        <f t="shared" si="1636"/>
        <v>-2000</v>
      </c>
      <c r="CN508" s="47">
        <f t="shared" si="1636"/>
        <v>-2000</v>
      </c>
      <c r="CO508" s="47">
        <f t="shared" si="1636"/>
        <v>-2000</v>
      </c>
      <c r="CP508" s="47">
        <f t="shared" si="1636"/>
        <v>-2000</v>
      </c>
      <c r="CQ508" s="47">
        <f t="shared" si="1636"/>
        <v>-2000</v>
      </c>
      <c r="CR508" s="47"/>
      <c r="CS508" s="47"/>
      <c r="CT508" s="47"/>
      <c r="CU508" s="50" t="str">
        <f>IFERROR(__xludf.DUMMYFUNCTION("""COMPUTED_VALUE"""),"6951 Wakefield St.
Dallas, TX 75231          ")</f>
        <v>6951 Wakefield St.
Dallas, TX 75231          </v>
      </c>
      <c r="CV508" s="51">
        <f>IFERROR(__xludf.DUMMYFUNCTION("IF(REGEXMATCH(UPPER(CU508), ""TX""),0,1)"),0.0)</f>
        <v>0</v>
      </c>
      <c r="CW508" s="51">
        <f>IFERROR(__xludf.DUMMYFUNCTION("IF(REGEXMATCH(UPPER(CU508), ""DALLAS""),0,1)"),0.0)</f>
        <v>0</v>
      </c>
      <c r="CX508" s="51">
        <f t="shared" si="17"/>
        <v>0</v>
      </c>
      <c r="CY508" s="51">
        <f t="shared" si="18"/>
        <v>0</v>
      </c>
      <c r="CZ508" s="52" t="str">
        <f t="shared" si="19"/>
        <v/>
      </c>
      <c r="DA508" s="58"/>
      <c r="DB508" s="52"/>
      <c r="DC508" s="52"/>
      <c r="DD508" s="52"/>
      <c r="DE508" s="52"/>
      <c r="DF508" s="52"/>
      <c r="DG508" s="52"/>
      <c r="DH508" s="52"/>
      <c r="DI508" s="52"/>
      <c r="DJ508" s="52"/>
      <c r="DK508" s="52"/>
      <c r="DL508" s="52"/>
      <c r="DM508" s="52"/>
      <c r="DN508" s="52"/>
      <c r="DO508" s="52"/>
      <c r="DP508" s="52"/>
      <c r="DQ508" s="52"/>
      <c r="DR508" s="52"/>
      <c r="DS508" s="52"/>
      <c r="DT508" s="52"/>
      <c r="DU508" s="52"/>
      <c r="DV508" s="52"/>
      <c r="DW508" s="52"/>
    </row>
    <row r="509">
      <c r="A509" s="40" t="s">
        <v>55</v>
      </c>
      <c r="B509" s="41" t="s">
        <v>56</v>
      </c>
      <c r="C509" s="31" t="s">
        <v>1398</v>
      </c>
      <c r="D509" s="25" t="str">
        <f>IFERROR(__xludf.DUMMYFUNCTION("SPLIT(C509,"" "")"),"Key,")</f>
        <v>Key,</v>
      </c>
      <c r="E509" s="40" t="str">
        <f>IFERROR(__xludf.DUMMYFUNCTION("""COMPUTED_VALUE"""),"Ben
7100")</f>
        <v>Ben
7100</v>
      </c>
      <c r="F509" s="40" t="str">
        <f>IFERROR(__xludf.DUMMYFUNCTION("""COMPUTED_VALUE"""),"Bennington")</f>
        <v>Bennington</v>
      </c>
      <c r="G509" s="40" t="str">
        <f>IFERROR(__xludf.DUMMYFUNCTION("""COMPUTED_VALUE"""),"Dr
Dallas,")</f>
        <v>Dr
Dallas,</v>
      </c>
      <c r="H509" s="40" t="str">
        <f>IFERROR(__xludf.DUMMYFUNCTION("""COMPUTED_VALUE"""),"TX")</f>
        <v>TX</v>
      </c>
      <c r="I509" s="40">
        <f>IFERROR(__xludf.DUMMYFUNCTION("""COMPUTED_VALUE"""),75214.0)</f>
        <v>75214</v>
      </c>
      <c r="J509" s="40"/>
      <c r="K509" s="40"/>
      <c r="L509" s="40"/>
      <c r="M509" s="40"/>
      <c r="N509" s="40"/>
      <c r="O509" s="40"/>
      <c r="P509" s="40"/>
      <c r="Q509" s="40"/>
      <c r="R509" s="40"/>
      <c r="S509" s="40"/>
      <c r="T509" s="40"/>
      <c r="U509" s="24" t="str">
        <f>IFERROR(__xludf.DUMMYFUNCTION("SPLIT(E509,""01234567890"")"),"Ben
")</f>
        <v>Ben
</v>
      </c>
      <c r="V509" s="24" t="str">
        <f>IFERROR(__xludf.DUMMYFUNCTION("SPLIT(D509,"","")"),"Key")</f>
        <v>Key</v>
      </c>
      <c r="W509" s="25" t="str">
        <f t="shared" si="1"/>
        <v>BEN
 KEY</v>
      </c>
      <c r="X509" s="25" t="s">
        <v>1399</v>
      </c>
      <c r="Y509" s="25">
        <v>75214.0</v>
      </c>
      <c r="Z509" s="25" t="str">
        <f>IFERROR(__xludf.DUMMYFUNCTION("SPLIT(C509,""
"")"),"Key, Ben")</f>
        <v>Key, Ben</v>
      </c>
      <c r="AA509" s="25" t="str">
        <f>IFERROR(__xludf.DUMMYFUNCTION("""COMPUTED_VALUE"""),"7100 Bennington Dr")</f>
        <v>7100 Bennington Dr</v>
      </c>
      <c r="AB509" s="25" t="str">
        <f>IFERROR(__xludf.DUMMYFUNCTION("""COMPUTED_VALUE"""),"Dallas, TX 75214")</f>
        <v>Dallas, TX 75214</v>
      </c>
      <c r="AC509" s="24" t="s">
        <v>1400</v>
      </c>
      <c r="AD509" s="25"/>
      <c r="AE509" s="25"/>
      <c r="AF509" s="25"/>
      <c r="AG509" s="40" t="s">
        <v>60</v>
      </c>
      <c r="AH509" s="42">
        <v>2448.0</v>
      </c>
      <c r="AI509" s="40" t="s">
        <v>61</v>
      </c>
      <c r="AJ509" s="27">
        <v>100.0</v>
      </c>
      <c r="AK509" s="31" t="s">
        <v>24</v>
      </c>
      <c r="AL509" s="43">
        <v>44685.0</v>
      </c>
      <c r="AM509" s="44">
        <v>44757.44018518519</v>
      </c>
      <c r="AN509" s="30">
        <v>2.0</v>
      </c>
      <c r="AO509" s="40"/>
      <c r="AP509" s="40"/>
      <c r="AQ509" s="40"/>
      <c r="AR509" s="40"/>
      <c r="AS509" s="40"/>
      <c r="AT509" s="47"/>
      <c r="AU509" s="40"/>
      <c r="AV509" s="46" t="str">
        <f>IFERROR(__xludf.DUMMYFUNCTION("""COMPUTED_VALUE"""),"Polumbo")</f>
        <v>Polumbo</v>
      </c>
      <c r="AW509" s="46">
        <f t="shared" si="7"/>
        <v>2500</v>
      </c>
      <c r="AX509" s="47">
        <f t="shared" ref="AX509:BQ509" si="1637">SUMIFS($AJ:$AJ,$V:$V,$AV509,$AK:$AK,AX$2)</f>
        <v>0</v>
      </c>
      <c r="AY509" s="48">
        <f t="shared" si="1637"/>
        <v>0</v>
      </c>
      <c r="AZ509" s="48">
        <f t="shared" si="1637"/>
        <v>0</v>
      </c>
      <c r="BA509" s="48">
        <f t="shared" si="1637"/>
        <v>0</v>
      </c>
      <c r="BB509" s="48">
        <f t="shared" si="1637"/>
        <v>2500</v>
      </c>
      <c r="BC509" s="48">
        <f t="shared" si="1637"/>
        <v>0</v>
      </c>
      <c r="BD509" s="48">
        <f t="shared" si="1637"/>
        <v>0</v>
      </c>
      <c r="BE509" s="48">
        <f t="shared" si="1637"/>
        <v>0</v>
      </c>
      <c r="BF509" s="48">
        <f t="shared" si="1637"/>
        <v>0</v>
      </c>
      <c r="BG509" s="48">
        <f t="shared" si="1637"/>
        <v>0</v>
      </c>
      <c r="BH509" s="48">
        <f t="shared" si="1637"/>
        <v>0</v>
      </c>
      <c r="BI509" s="48">
        <f t="shared" si="1637"/>
        <v>0</v>
      </c>
      <c r="BJ509" s="48">
        <f t="shared" si="1637"/>
        <v>0</v>
      </c>
      <c r="BK509" s="48">
        <f t="shared" si="1637"/>
        <v>0</v>
      </c>
      <c r="BL509" s="48">
        <f t="shared" si="1637"/>
        <v>0</v>
      </c>
      <c r="BM509" s="48">
        <f t="shared" si="1637"/>
        <v>0</v>
      </c>
      <c r="BN509" s="48">
        <f t="shared" si="1637"/>
        <v>0</v>
      </c>
      <c r="BO509" s="48">
        <f t="shared" si="1637"/>
        <v>0</v>
      </c>
      <c r="BP509" s="48">
        <f t="shared" si="1637"/>
        <v>0</v>
      </c>
      <c r="BQ509" s="48">
        <f t="shared" si="1637"/>
        <v>0</v>
      </c>
      <c r="BR509" s="36">
        <f t="shared" si="9"/>
        <v>0</v>
      </c>
      <c r="BS509" s="38">
        <f t="shared" si="10"/>
        <v>1</v>
      </c>
      <c r="BT509" s="49">
        <f t="shared" si="11"/>
        <v>0</v>
      </c>
      <c r="BU509" s="38">
        <f t="shared" si="12"/>
        <v>1000</v>
      </c>
      <c r="BV509" s="46" t="str">
        <f>IFERROR(__xludf.DUMMYFUNCTION("""COMPUTED_VALUE"""),"Polumbo")</f>
        <v>Polumbo</v>
      </c>
      <c r="BW509" s="46">
        <f t="shared" si="13"/>
        <v>2500</v>
      </c>
      <c r="BX509" s="47">
        <f t="shared" ref="BX509:CA509" si="1638">AX509-$BU509</f>
        <v>-1000</v>
      </c>
      <c r="BY509" s="47">
        <f t="shared" si="1638"/>
        <v>-1000</v>
      </c>
      <c r="BZ509" s="47">
        <f t="shared" si="1638"/>
        <v>-1000</v>
      </c>
      <c r="CA509" s="47">
        <f t="shared" si="1638"/>
        <v>-1000</v>
      </c>
      <c r="CB509" s="47">
        <f t="shared" si="15"/>
        <v>-7500</v>
      </c>
      <c r="CC509" s="47">
        <f t="shared" ref="CC509:CQ509" si="1639">BC509-$BU509</f>
        <v>-1000</v>
      </c>
      <c r="CD509" s="47">
        <f t="shared" si="1639"/>
        <v>-1000</v>
      </c>
      <c r="CE509" s="47">
        <f t="shared" si="1639"/>
        <v>-1000</v>
      </c>
      <c r="CF509" s="47">
        <f t="shared" si="1639"/>
        <v>-1000</v>
      </c>
      <c r="CG509" s="47">
        <f t="shared" si="1639"/>
        <v>-1000</v>
      </c>
      <c r="CH509" s="47">
        <f t="shared" si="1639"/>
        <v>-1000</v>
      </c>
      <c r="CI509" s="47">
        <f t="shared" si="1639"/>
        <v>-1000</v>
      </c>
      <c r="CJ509" s="47">
        <f t="shared" si="1639"/>
        <v>-1000</v>
      </c>
      <c r="CK509" s="47">
        <f t="shared" si="1639"/>
        <v>-1000</v>
      </c>
      <c r="CL509" s="47">
        <f t="shared" si="1639"/>
        <v>-1000</v>
      </c>
      <c r="CM509" s="47">
        <f t="shared" si="1639"/>
        <v>-1000</v>
      </c>
      <c r="CN509" s="47">
        <f t="shared" si="1639"/>
        <v>-1000</v>
      </c>
      <c r="CO509" s="47">
        <f t="shared" si="1639"/>
        <v>-1000</v>
      </c>
      <c r="CP509" s="47">
        <f t="shared" si="1639"/>
        <v>-1000</v>
      </c>
      <c r="CQ509" s="47">
        <f t="shared" si="1639"/>
        <v>-1000</v>
      </c>
      <c r="CR509" s="47"/>
      <c r="CS509" s="47"/>
      <c r="CT509" s="47"/>
      <c r="CU509" s="50" t="str">
        <f>IFERROR(__xludf.DUMMYFUNCTION("""COMPUTED_VALUE"""),"3639 Overbrook Dr.
Dallas, TX 75205          ")</f>
        <v>3639 Overbrook Dr.
Dallas, TX 75205          </v>
      </c>
      <c r="CV509" s="51">
        <f>IFERROR(__xludf.DUMMYFUNCTION("IF(REGEXMATCH(UPPER(CU509), ""TX""),0,1)"),0.0)</f>
        <v>0</v>
      </c>
      <c r="CW509" s="51">
        <f>IFERROR(__xludf.DUMMYFUNCTION("IF(REGEXMATCH(UPPER(CU509), ""DALLAS""),0,1)"),0.0)</f>
        <v>0</v>
      </c>
      <c r="CX509" s="51">
        <f t="shared" si="17"/>
        <v>0</v>
      </c>
      <c r="CY509" s="51">
        <f t="shared" si="18"/>
        <v>0</v>
      </c>
      <c r="CZ509" s="52" t="str">
        <f t="shared" si="19"/>
        <v/>
      </c>
      <c r="DA509" s="58"/>
      <c r="DB509" s="52"/>
      <c r="DC509" s="52"/>
      <c r="DD509" s="52"/>
      <c r="DE509" s="52"/>
      <c r="DF509" s="52"/>
      <c r="DG509" s="52"/>
      <c r="DH509" s="52"/>
      <c r="DI509" s="52"/>
      <c r="DJ509" s="52"/>
      <c r="DK509" s="52"/>
      <c r="DL509" s="52"/>
      <c r="DM509" s="52"/>
      <c r="DN509" s="52"/>
      <c r="DO509" s="52"/>
      <c r="DP509" s="52"/>
      <c r="DQ509" s="52"/>
      <c r="DR509" s="52"/>
      <c r="DS509" s="52"/>
      <c r="DT509" s="52"/>
      <c r="DU509" s="52"/>
      <c r="DV509" s="52"/>
      <c r="DW509" s="52"/>
    </row>
    <row r="510">
      <c r="A510" s="22" t="s">
        <v>55</v>
      </c>
      <c r="B510" s="23" t="s">
        <v>56</v>
      </c>
      <c r="C510" s="31" t="s">
        <v>1401</v>
      </c>
      <c r="D510" s="25" t="str">
        <f>IFERROR(__xludf.DUMMYFUNCTION("SPLIT(C510,"" "")"),"Offut,")</f>
        <v>Offut,</v>
      </c>
      <c r="E510" s="22" t="str">
        <f>IFERROR(__xludf.DUMMYFUNCTION("""COMPUTED_VALUE"""),"Larry
6038")</f>
        <v>Larry
6038</v>
      </c>
      <c r="F510" s="22" t="str">
        <f>IFERROR(__xludf.DUMMYFUNCTION("""COMPUTED_VALUE"""),"Bryan")</f>
        <v>Bryan</v>
      </c>
      <c r="G510" s="22" t="str">
        <f>IFERROR(__xludf.DUMMYFUNCTION("""COMPUTED_VALUE"""),"Pkwy
Dallas,")</f>
        <v>Pkwy
Dallas,</v>
      </c>
      <c r="H510" s="22" t="str">
        <f>IFERROR(__xludf.DUMMYFUNCTION("""COMPUTED_VALUE"""),"TX")</f>
        <v>TX</v>
      </c>
      <c r="I510" s="22">
        <f>IFERROR(__xludf.DUMMYFUNCTION("""COMPUTED_VALUE"""),75206.0)</f>
        <v>75206</v>
      </c>
      <c r="J510" s="22"/>
      <c r="K510" s="22"/>
      <c r="L510" s="22"/>
      <c r="M510" s="22"/>
      <c r="N510" s="22"/>
      <c r="O510" s="22"/>
      <c r="P510" s="22"/>
      <c r="Q510" s="22"/>
      <c r="R510" s="22"/>
      <c r="S510" s="22"/>
      <c r="T510" s="22"/>
      <c r="U510" s="24" t="str">
        <f>IFERROR(__xludf.DUMMYFUNCTION("SPLIT(E510,""01234567890"")"),"Larry
")</f>
        <v>Larry
</v>
      </c>
      <c r="V510" s="24" t="str">
        <f>IFERROR(__xludf.DUMMYFUNCTION("SPLIT(D510,"","")"),"Offut")</f>
        <v>Offut</v>
      </c>
      <c r="W510" s="25" t="str">
        <f t="shared" si="1"/>
        <v>LARRY
 OFFUT</v>
      </c>
      <c r="X510" s="25" t="s">
        <v>1355</v>
      </c>
      <c r="Y510" s="25">
        <v>75206.0</v>
      </c>
      <c r="Z510" s="25" t="str">
        <f>IFERROR(__xludf.DUMMYFUNCTION("SPLIT(C510,""
"")"),"Offut, Larry")</f>
        <v>Offut, Larry</v>
      </c>
      <c r="AA510" s="25" t="str">
        <f>IFERROR(__xludf.DUMMYFUNCTION("""COMPUTED_VALUE"""),"6038 Bryan Pkwy")</f>
        <v>6038 Bryan Pkwy</v>
      </c>
      <c r="AB510" s="25" t="str">
        <f>IFERROR(__xludf.DUMMYFUNCTION("""COMPUTED_VALUE"""),"Dallas, TX 75206")</f>
        <v>Dallas, TX 75206</v>
      </c>
      <c r="AC510" s="24" t="s">
        <v>1402</v>
      </c>
      <c r="AD510" s="25"/>
      <c r="AE510" s="25"/>
      <c r="AF510" s="25"/>
      <c r="AG510" s="22" t="s">
        <v>60</v>
      </c>
      <c r="AH510" s="54">
        <v>2448.0</v>
      </c>
      <c r="AI510" s="22" t="s">
        <v>61</v>
      </c>
      <c r="AJ510" s="27">
        <v>250.0</v>
      </c>
      <c r="AK510" s="31" t="s">
        <v>24</v>
      </c>
      <c r="AL510" s="28">
        <v>44685.0</v>
      </c>
      <c r="AM510" s="29">
        <v>44757.44018518519</v>
      </c>
      <c r="AN510" s="30">
        <v>2.0</v>
      </c>
      <c r="AO510" s="22"/>
      <c r="AP510" s="22"/>
      <c r="AQ510" s="22"/>
      <c r="AR510" s="22"/>
      <c r="AS510" s="22"/>
      <c r="AT510" s="70"/>
      <c r="AU510" s="22"/>
      <c r="AV510" s="57" t="str">
        <f>IFERROR(__xludf.DUMMYFUNCTION("""COMPUTED_VALUE"""),"Schulz")</f>
        <v>Schulz</v>
      </c>
      <c r="AW510" s="46">
        <f t="shared" si="7"/>
        <v>650</v>
      </c>
      <c r="AX510" s="47">
        <f t="shared" ref="AX510:BQ510" si="1640">SUMIFS($AJ:$AJ,$V:$V,$AV510,$AK:$AK,AX$2)</f>
        <v>0</v>
      </c>
      <c r="AY510" s="48">
        <f t="shared" si="1640"/>
        <v>0</v>
      </c>
      <c r="AZ510" s="48">
        <f t="shared" si="1640"/>
        <v>0</v>
      </c>
      <c r="BA510" s="48">
        <f t="shared" si="1640"/>
        <v>150</v>
      </c>
      <c r="BB510" s="48">
        <f t="shared" si="1640"/>
        <v>500</v>
      </c>
      <c r="BC510" s="48">
        <f t="shared" si="1640"/>
        <v>0</v>
      </c>
      <c r="BD510" s="48">
        <f t="shared" si="1640"/>
        <v>0</v>
      </c>
      <c r="BE510" s="48">
        <f t="shared" si="1640"/>
        <v>0</v>
      </c>
      <c r="BF510" s="48">
        <f t="shared" si="1640"/>
        <v>0</v>
      </c>
      <c r="BG510" s="48">
        <f t="shared" si="1640"/>
        <v>0</v>
      </c>
      <c r="BH510" s="48">
        <f t="shared" si="1640"/>
        <v>0</v>
      </c>
      <c r="BI510" s="48">
        <f t="shared" si="1640"/>
        <v>0</v>
      </c>
      <c r="BJ510" s="48">
        <f t="shared" si="1640"/>
        <v>0</v>
      </c>
      <c r="BK510" s="48">
        <f t="shared" si="1640"/>
        <v>0</v>
      </c>
      <c r="BL510" s="48">
        <f t="shared" si="1640"/>
        <v>0</v>
      </c>
      <c r="BM510" s="48">
        <f t="shared" si="1640"/>
        <v>0</v>
      </c>
      <c r="BN510" s="48">
        <f t="shared" si="1640"/>
        <v>0</v>
      </c>
      <c r="BO510" s="48">
        <f t="shared" si="1640"/>
        <v>0</v>
      </c>
      <c r="BP510" s="48">
        <f t="shared" si="1640"/>
        <v>0</v>
      </c>
      <c r="BQ510" s="48">
        <f t="shared" si="1640"/>
        <v>0</v>
      </c>
      <c r="BR510" s="36">
        <f t="shared" si="9"/>
        <v>0</v>
      </c>
      <c r="BS510" s="38">
        <f t="shared" si="10"/>
        <v>1</v>
      </c>
      <c r="BT510" s="49">
        <f t="shared" si="11"/>
        <v>0</v>
      </c>
      <c r="BU510" s="38">
        <f t="shared" si="12"/>
        <v>1000</v>
      </c>
      <c r="BV510" s="57" t="str">
        <f>IFERROR(__xludf.DUMMYFUNCTION("""COMPUTED_VALUE"""),"Schulz")</f>
        <v>Schulz</v>
      </c>
      <c r="BW510" s="46">
        <f t="shared" si="13"/>
        <v>650</v>
      </c>
      <c r="BX510" s="47">
        <f t="shared" ref="BX510:CA510" si="1641">AX510-$BU510</f>
        <v>-1000</v>
      </c>
      <c r="BY510" s="47">
        <f t="shared" si="1641"/>
        <v>-1000</v>
      </c>
      <c r="BZ510" s="47">
        <f t="shared" si="1641"/>
        <v>-1000</v>
      </c>
      <c r="CA510" s="47">
        <f t="shared" si="1641"/>
        <v>-850</v>
      </c>
      <c r="CB510" s="47">
        <f t="shared" si="15"/>
        <v>-9500</v>
      </c>
      <c r="CC510" s="47">
        <f t="shared" ref="CC510:CQ510" si="1642">BC510-$BU510</f>
        <v>-1000</v>
      </c>
      <c r="CD510" s="47">
        <f t="shared" si="1642"/>
        <v>-1000</v>
      </c>
      <c r="CE510" s="47">
        <f t="shared" si="1642"/>
        <v>-1000</v>
      </c>
      <c r="CF510" s="47">
        <f t="shared" si="1642"/>
        <v>-1000</v>
      </c>
      <c r="CG510" s="47">
        <f t="shared" si="1642"/>
        <v>-1000</v>
      </c>
      <c r="CH510" s="47">
        <f t="shared" si="1642"/>
        <v>-1000</v>
      </c>
      <c r="CI510" s="47">
        <f t="shared" si="1642"/>
        <v>-1000</v>
      </c>
      <c r="CJ510" s="47">
        <f t="shared" si="1642"/>
        <v>-1000</v>
      </c>
      <c r="CK510" s="47">
        <f t="shared" si="1642"/>
        <v>-1000</v>
      </c>
      <c r="CL510" s="47">
        <f t="shared" si="1642"/>
        <v>-1000</v>
      </c>
      <c r="CM510" s="47">
        <f t="shared" si="1642"/>
        <v>-1000</v>
      </c>
      <c r="CN510" s="47">
        <f t="shared" si="1642"/>
        <v>-1000</v>
      </c>
      <c r="CO510" s="47">
        <f t="shared" si="1642"/>
        <v>-1000</v>
      </c>
      <c r="CP510" s="47">
        <f t="shared" si="1642"/>
        <v>-1000</v>
      </c>
      <c r="CQ510" s="47">
        <f t="shared" si="1642"/>
        <v>-1000</v>
      </c>
      <c r="CR510" s="47"/>
      <c r="CS510" s="47"/>
      <c r="CT510" s="47"/>
      <c r="CU510" s="50" t="str">
        <f>IFERROR(__xludf.DUMMYFUNCTION("""COMPUTED_VALUE"""),"
 Box 76383
Dallas, TX 75376-3834          ")</f>
        <v>
 Box 76383
Dallas, TX 75376-3834          </v>
      </c>
      <c r="CV510" s="51">
        <f>IFERROR(__xludf.DUMMYFUNCTION("IF(REGEXMATCH(UPPER(CU510), ""TX""),0,1)"),0.0)</f>
        <v>0</v>
      </c>
      <c r="CW510" s="51">
        <f>IFERROR(__xludf.DUMMYFUNCTION("IF(REGEXMATCH(UPPER(CU510), ""DALLAS""),0,1)"),0.0)</f>
        <v>0</v>
      </c>
      <c r="CX510" s="51">
        <f t="shared" si="17"/>
        <v>0</v>
      </c>
      <c r="CY510" s="51">
        <f t="shared" si="18"/>
        <v>0</v>
      </c>
      <c r="CZ510" s="52" t="str">
        <f t="shared" si="19"/>
        <v/>
      </c>
      <c r="DA510" s="58"/>
      <c r="DB510" s="52"/>
      <c r="DC510" s="52"/>
      <c r="DD510" s="52"/>
      <c r="DE510" s="52"/>
      <c r="DF510" s="52"/>
      <c r="DG510" s="52"/>
      <c r="DH510" s="52"/>
      <c r="DI510" s="52"/>
      <c r="DJ510" s="52"/>
      <c r="DK510" s="52"/>
      <c r="DL510" s="52"/>
      <c r="DM510" s="52"/>
      <c r="DN510" s="52"/>
      <c r="DO510" s="52"/>
      <c r="DP510" s="52"/>
      <c r="DQ510" s="52"/>
      <c r="DR510" s="52"/>
      <c r="DS510" s="52"/>
      <c r="DT510" s="52"/>
      <c r="DU510" s="52"/>
      <c r="DV510" s="52"/>
      <c r="DW510" s="52"/>
    </row>
    <row r="511">
      <c r="A511" s="40" t="s">
        <v>55</v>
      </c>
      <c r="B511" s="41" t="s">
        <v>56</v>
      </c>
      <c r="C511" s="31" t="s">
        <v>1403</v>
      </c>
      <c r="D511" s="25" t="str">
        <f>IFERROR(__xludf.DUMMYFUNCTION("SPLIT(C511,"" "")"),"Smith,")</f>
        <v>Smith,</v>
      </c>
      <c r="E511" s="40" t="str">
        <f>IFERROR(__xludf.DUMMYFUNCTION("""COMPUTED_VALUE"""),"Suzanne
3210")</f>
        <v>Suzanne
3210</v>
      </c>
      <c r="F511" s="40" t="str">
        <f>IFERROR(__xludf.DUMMYFUNCTION("""COMPUTED_VALUE"""),"Carlisle
Dallas,")</f>
        <v>Carlisle
Dallas,</v>
      </c>
      <c r="G511" s="40" t="str">
        <f>IFERROR(__xludf.DUMMYFUNCTION("""COMPUTED_VALUE"""),"TX")</f>
        <v>TX</v>
      </c>
      <c r="H511" s="40">
        <f>IFERROR(__xludf.DUMMYFUNCTION("""COMPUTED_VALUE"""),75204.0)</f>
        <v>75204</v>
      </c>
      <c r="I511" s="40"/>
      <c r="J511" s="40"/>
      <c r="K511" s="40"/>
      <c r="L511" s="40"/>
      <c r="M511" s="40"/>
      <c r="N511" s="40"/>
      <c r="O511" s="40"/>
      <c r="P511" s="40"/>
      <c r="Q511" s="40"/>
      <c r="R511" s="40"/>
      <c r="S511" s="40"/>
      <c r="T511" s="40"/>
      <c r="U511" s="24" t="str">
        <f>IFERROR(__xludf.DUMMYFUNCTION("SPLIT(E511,""01234567890"")"),"Suzanne
")</f>
        <v>Suzanne
</v>
      </c>
      <c r="V511" s="24" t="str">
        <f>IFERROR(__xludf.DUMMYFUNCTION("SPLIT(D511,"","")"),"Smith")</f>
        <v>Smith</v>
      </c>
      <c r="W511" s="25" t="str">
        <f t="shared" si="1"/>
        <v>SUZANNE
 SMITH</v>
      </c>
      <c r="X511" s="25" t="s">
        <v>1404</v>
      </c>
      <c r="Y511" s="25">
        <v>75204.0</v>
      </c>
      <c r="Z511" s="25" t="str">
        <f>IFERROR(__xludf.DUMMYFUNCTION("SPLIT(C511,""
"")"),"Smith, Suzanne")</f>
        <v>Smith, Suzanne</v>
      </c>
      <c r="AA511" s="25" t="str">
        <f>IFERROR(__xludf.DUMMYFUNCTION("""COMPUTED_VALUE"""),"3210 Carlisle")</f>
        <v>3210 Carlisle</v>
      </c>
      <c r="AB511" s="25" t="str">
        <f>IFERROR(__xludf.DUMMYFUNCTION("""COMPUTED_VALUE"""),"Dallas, TX 75204")</f>
        <v>Dallas, TX 75204</v>
      </c>
      <c r="AC511" s="24" t="s">
        <v>1405</v>
      </c>
      <c r="AD511" s="25"/>
      <c r="AE511" s="25"/>
      <c r="AF511" s="25"/>
      <c r="AG511" s="40" t="s">
        <v>60</v>
      </c>
      <c r="AH511" s="42">
        <v>2448.0</v>
      </c>
      <c r="AI511" s="40" t="s">
        <v>61</v>
      </c>
      <c r="AJ511" s="27">
        <v>100.0</v>
      </c>
      <c r="AK511" s="31" t="s">
        <v>24</v>
      </c>
      <c r="AL511" s="43">
        <v>44685.0</v>
      </c>
      <c r="AM511" s="44">
        <v>44757.44018518519</v>
      </c>
      <c r="AN511" s="30">
        <v>2.0</v>
      </c>
      <c r="AO511" s="40"/>
      <c r="AP511" s="40"/>
      <c r="AQ511" s="40"/>
      <c r="AR511" s="40"/>
      <c r="AS511" s="40"/>
      <c r="AT511" s="47"/>
      <c r="AU511" s="40"/>
      <c r="AV511" s="46" t="str">
        <f>IFERROR(__xludf.DUMMYFUNCTION("""COMPUTED_VALUE"""),"Charter")</f>
        <v>Charter</v>
      </c>
      <c r="AW511" s="46">
        <f t="shared" si="7"/>
        <v>5000</v>
      </c>
      <c r="AX511" s="47">
        <f t="shared" ref="AX511:BQ511" si="1643">SUMIFS($AJ:$AJ,$V:$V,$AV511,$AK:$AK,AX$2)</f>
        <v>0</v>
      </c>
      <c r="AY511" s="48">
        <f t="shared" si="1643"/>
        <v>0</v>
      </c>
      <c r="AZ511" s="48">
        <f t="shared" si="1643"/>
        <v>0</v>
      </c>
      <c r="BA511" s="48">
        <f t="shared" si="1643"/>
        <v>0</v>
      </c>
      <c r="BB511" s="48">
        <f t="shared" si="1643"/>
        <v>5000</v>
      </c>
      <c r="BC511" s="48">
        <f t="shared" si="1643"/>
        <v>0</v>
      </c>
      <c r="BD511" s="48">
        <f t="shared" si="1643"/>
        <v>0</v>
      </c>
      <c r="BE511" s="48">
        <f t="shared" si="1643"/>
        <v>0</v>
      </c>
      <c r="BF511" s="48">
        <f t="shared" si="1643"/>
        <v>0</v>
      </c>
      <c r="BG511" s="48">
        <f t="shared" si="1643"/>
        <v>0</v>
      </c>
      <c r="BH511" s="48">
        <f t="shared" si="1643"/>
        <v>0</v>
      </c>
      <c r="BI511" s="48">
        <f t="shared" si="1643"/>
        <v>0</v>
      </c>
      <c r="BJ511" s="48">
        <f t="shared" si="1643"/>
        <v>0</v>
      </c>
      <c r="BK511" s="48">
        <f t="shared" si="1643"/>
        <v>0</v>
      </c>
      <c r="BL511" s="48">
        <f t="shared" si="1643"/>
        <v>0</v>
      </c>
      <c r="BM511" s="48">
        <f t="shared" si="1643"/>
        <v>0</v>
      </c>
      <c r="BN511" s="48">
        <f t="shared" si="1643"/>
        <v>0</v>
      </c>
      <c r="BO511" s="48">
        <f t="shared" si="1643"/>
        <v>0</v>
      </c>
      <c r="BP511" s="48">
        <f t="shared" si="1643"/>
        <v>0</v>
      </c>
      <c r="BQ511" s="48">
        <f t="shared" si="1643"/>
        <v>0</v>
      </c>
      <c r="BR511" s="36">
        <f t="shared" si="9"/>
        <v>0</v>
      </c>
      <c r="BS511" s="38">
        <f t="shared" si="10"/>
        <v>1</v>
      </c>
      <c r="BT511" s="49">
        <f t="shared" si="11"/>
        <v>0</v>
      </c>
      <c r="BU511" s="38">
        <f t="shared" si="12"/>
        <v>1000</v>
      </c>
      <c r="BV511" s="46" t="str">
        <f>IFERROR(__xludf.DUMMYFUNCTION("""COMPUTED_VALUE"""),"Charter")</f>
        <v>Charter</v>
      </c>
      <c r="BW511" s="46">
        <f t="shared" si="13"/>
        <v>5000</v>
      </c>
      <c r="BX511" s="47">
        <f t="shared" ref="BX511:CA511" si="1644">AX511-$BU511</f>
        <v>-1000</v>
      </c>
      <c r="BY511" s="47">
        <f t="shared" si="1644"/>
        <v>-1000</v>
      </c>
      <c r="BZ511" s="47">
        <f t="shared" si="1644"/>
        <v>-1000</v>
      </c>
      <c r="CA511" s="47">
        <f t="shared" si="1644"/>
        <v>-1000</v>
      </c>
      <c r="CB511" s="47">
        <f t="shared" si="15"/>
        <v>-5000</v>
      </c>
      <c r="CC511" s="47">
        <f t="shared" ref="CC511:CQ511" si="1645">BC511-$BU511</f>
        <v>-1000</v>
      </c>
      <c r="CD511" s="47">
        <f t="shared" si="1645"/>
        <v>-1000</v>
      </c>
      <c r="CE511" s="47">
        <f t="shared" si="1645"/>
        <v>-1000</v>
      </c>
      <c r="CF511" s="47">
        <f t="shared" si="1645"/>
        <v>-1000</v>
      </c>
      <c r="CG511" s="47">
        <f t="shared" si="1645"/>
        <v>-1000</v>
      </c>
      <c r="CH511" s="47">
        <f t="shared" si="1645"/>
        <v>-1000</v>
      </c>
      <c r="CI511" s="47">
        <f t="shared" si="1645"/>
        <v>-1000</v>
      </c>
      <c r="CJ511" s="47">
        <f t="shared" si="1645"/>
        <v>-1000</v>
      </c>
      <c r="CK511" s="47">
        <f t="shared" si="1645"/>
        <v>-1000</v>
      </c>
      <c r="CL511" s="47">
        <f t="shared" si="1645"/>
        <v>-1000</v>
      </c>
      <c r="CM511" s="47">
        <f t="shared" si="1645"/>
        <v>-1000</v>
      </c>
      <c r="CN511" s="47">
        <f t="shared" si="1645"/>
        <v>-1000</v>
      </c>
      <c r="CO511" s="47">
        <f t="shared" si="1645"/>
        <v>-1000</v>
      </c>
      <c r="CP511" s="47">
        <f t="shared" si="1645"/>
        <v>-1000</v>
      </c>
      <c r="CQ511" s="47">
        <f t="shared" si="1645"/>
        <v>-1000</v>
      </c>
      <c r="CR511" s="47"/>
      <c r="CS511" s="47"/>
      <c r="CT511" s="47"/>
      <c r="CU511" s="50" t="str">
        <f>IFERROR(__xludf.DUMMYFUNCTION("""COMPUTED_VALUE"""),"6100 Tremont St.
Dallas, TX 75214          ")</f>
        <v>6100 Tremont St.
Dallas, TX 75214          </v>
      </c>
      <c r="CV511" s="51">
        <f>IFERROR(__xludf.DUMMYFUNCTION("IF(REGEXMATCH(UPPER(CU511), ""TX""),0,1)"),0.0)</f>
        <v>0</v>
      </c>
      <c r="CW511" s="51">
        <f>IFERROR(__xludf.DUMMYFUNCTION("IF(REGEXMATCH(UPPER(CU511), ""DALLAS""),0,1)"),0.0)</f>
        <v>0</v>
      </c>
      <c r="CX511" s="51">
        <f t="shared" si="17"/>
        <v>0</v>
      </c>
      <c r="CY511" s="51">
        <f t="shared" si="18"/>
        <v>0</v>
      </c>
      <c r="CZ511" s="52" t="str">
        <f t="shared" si="19"/>
        <v/>
      </c>
      <c r="DA511" s="58"/>
      <c r="DB511" s="52"/>
      <c r="DC511" s="52"/>
      <c r="DD511" s="52"/>
      <c r="DE511" s="52"/>
      <c r="DF511" s="52"/>
      <c r="DG511" s="52"/>
      <c r="DH511" s="52"/>
      <c r="DI511" s="52"/>
      <c r="DJ511" s="52"/>
      <c r="DK511" s="52"/>
      <c r="DL511" s="52"/>
      <c r="DM511" s="52"/>
      <c r="DN511" s="52"/>
      <c r="DO511" s="52"/>
      <c r="DP511" s="52"/>
      <c r="DQ511" s="52"/>
      <c r="DR511" s="52"/>
      <c r="DS511" s="52"/>
      <c r="DT511" s="52"/>
      <c r="DU511" s="52"/>
      <c r="DV511" s="52"/>
      <c r="DW511" s="52"/>
    </row>
    <row r="512">
      <c r="A512" s="22" t="s">
        <v>55</v>
      </c>
      <c r="B512" s="23" t="s">
        <v>56</v>
      </c>
      <c r="C512" s="31" t="s">
        <v>1406</v>
      </c>
      <c r="D512" s="25" t="str">
        <f>IFERROR(__xludf.DUMMYFUNCTION("SPLIT(C512,"" "")"),"Syler,")</f>
        <v>Syler,</v>
      </c>
      <c r="E512" s="22" t="str">
        <f>IFERROR(__xludf.DUMMYFUNCTION("""COMPUTED_VALUE"""),"Terry
6661")</f>
        <v>Terry
6661</v>
      </c>
      <c r="F512" s="22" t="str">
        <f>IFERROR(__xludf.DUMMYFUNCTION("""COMPUTED_VALUE"""),"Lakewood")</f>
        <v>Lakewood</v>
      </c>
      <c r="G512" s="22" t="str">
        <f>IFERROR(__xludf.DUMMYFUNCTION("""COMPUTED_VALUE"""),"Blvd
Dallas,")</f>
        <v>Blvd
Dallas,</v>
      </c>
      <c r="H512" s="22" t="str">
        <f>IFERROR(__xludf.DUMMYFUNCTION("""COMPUTED_VALUE"""),"TX")</f>
        <v>TX</v>
      </c>
      <c r="I512" s="22">
        <f>IFERROR(__xludf.DUMMYFUNCTION("""COMPUTED_VALUE"""),75214.0)</f>
        <v>75214</v>
      </c>
      <c r="J512" s="22"/>
      <c r="K512" s="22"/>
      <c r="L512" s="22"/>
      <c r="M512" s="22"/>
      <c r="N512" s="22"/>
      <c r="O512" s="22"/>
      <c r="P512" s="22"/>
      <c r="Q512" s="22"/>
      <c r="R512" s="22"/>
      <c r="S512" s="22"/>
      <c r="T512" s="22"/>
      <c r="U512" s="24" t="str">
        <f>IFERROR(__xludf.DUMMYFUNCTION("SPLIT(E512,""01234567890"")"),"Terry
")</f>
        <v>Terry
</v>
      </c>
      <c r="V512" s="24" t="str">
        <f>IFERROR(__xludf.DUMMYFUNCTION("SPLIT(D512,"","")"),"Syler")</f>
        <v>Syler</v>
      </c>
      <c r="W512" s="25" t="str">
        <f t="shared" si="1"/>
        <v>TERRY
 SYLER</v>
      </c>
      <c r="X512" s="25" t="s">
        <v>1407</v>
      </c>
      <c r="Y512" s="25">
        <v>75214.0</v>
      </c>
      <c r="Z512" s="25" t="str">
        <f>IFERROR(__xludf.DUMMYFUNCTION("SPLIT(C512,""
"")"),"Syler, Terry")</f>
        <v>Syler, Terry</v>
      </c>
      <c r="AA512" s="25" t="str">
        <f>IFERROR(__xludf.DUMMYFUNCTION("""COMPUTED_VALUE"""),"6661 Lakewood Blvd")</f>
        <v>6661 Lakewood Blvd</v>
      </c>
      <c r="AB512" s="25" t="str">
        <f>IFERROR(__xludf.DUMMYFUNCTION("""COMPUTED_VALUE"""),"Dallas, TX 75214")</f>
        <v>Dallas, TX 75214</v>
      </c>
      <c r="AC512" s="24" t="s">
        <v>1408</v>
      </c>
      <c r="AD512" s="25"/>
      <c r="AE512" s="25"/>
      <c r="AF512" s="25"/>
      <c r="AG512" s="22" t="s">
        <v>60</v>
      </c>
      <c r="AH512" s="54">
        <v>2448.0</v>
      </c>
      <c r="AI512" s="22" t="s">
        <v>61</v>
      </c>
      <c r="AJ512" s="27">
        <v>250.0</v>
      </c>
      <c r="AK512" s="31" t="s">
        <v>24</v>
      </c>
      <c r="AL512" s="28">
        <v>44685.0</v>
      </c>
      <c r="AM512" s="29">
        <v>44757.44018518519</v>
      </c>
      <c r="AN512" s="30">
        <v>2.0</v>
      </c>
      <c r="AO512" s="22"/>
      <c r="AP512" s="22"/>
      <c r="AQ512" s="22"/>
      <c r="AR512" s="22"/>
      <c r="AS512" s="22"/>
      <c r="AT512" s="70"/>
      <c r="AU512" s="22"/>
      <c r="AV512" s="57" t="str">
        <f>IFERROR(__xludf.DUMMYFUNCTION("""COMPUTED_VALUE"""),"Norton")</f>
        <v>Norton</v>
      </c>
      <c r="AW512" s="46">
        <f t="shared" si="7"/>
        <v>2500</v>
      </c>
      <c r="AX512" s="47">
        <f t="shared" ref="AX512:BQ512" si="1646">SUMIFS($AJ:$AJ,$V:$V,$AV512,$AK:$AK,AX$2)</f>
        <v>0</v>
      </c>
      <c r="AY512" s="48">
        <f t="shared" si="1646"/>
        <v>0</v>
      </c>
      <c r="AZ512" s="48">
        <f t="shared" si="1646"/>
        <v>0</v>
      </c>
      <c r="BA512" s="48">
        <f t="shared" si="1646"/>
        <v>0</v>
      </c>
      <c r="BB512" s="48">
        <f t="shared" si="1646"/>
        <v>2500</v>
      </c>
      <c r="BC512" s="48">
        <f t="shared" si="1646"/>
        <v>0</v>
      </c>
      <c r="BD512" s="48">
        <f t="shared" si="1646"/>
        <v>0</v>
      </c>
      <c r="BE512" s="48">
        <f t="shared" si="1646"/>
        <v>0</v>
      </c>
      <c r="BF512" s="48">
        <f t="shared" si="1646"/>
        <v>0</v>
      </c>
      <c r="BG512" s="48">
        <f t="shared" si="1646"/>
        <v>0</v>
      </c>
      <c r="BH512" s="48">
        <f t="shared" si="1646"/>
        <v>0</v>
      </c>
      <c r="BI512" s="48">
        <f t="shared" si="1646"/>
        <v>0</v>
      </c>
      <c r="BJ512" s="48">
        <f t="shared" si="1646"/>
        <v>0</v>
      </c>
      <c r="BK512" s="48">
        <f t="shared" si="1646"/>
        <v>0</v>
      </c>
      <c r="BL512" s="48">
        <f t="shared" si="1646"/>
        <v>0</v>
      </c>
      <c r="BM512" s="48">
        <f t="shared" si="1646"/>
        <v>0</v>
      </c>
      <c r="BN512" s="48">
        <f t="shared" si="1646"/>
        <v>0</v>
      </c>
      <c r="BO512" s="48">
        <f t="shared" si="1646"/>
        <v>0</v>
      </c>
      <c r="BP512" s="48">
        <f t="shared" si="1646"/>
        <v>0</v>
      </c>
      <c r="BQ512" s="48">
        <f t="shared" si="1646"/>
        <v>0</v>
      </c>
      <c r="BR512" s="36">
        <f t="shared" si="9"/>
        <v>0</v>
      </c>
      <c r="BS512" s="38">
        <f t="shared" si="10"/>
        <v>1</v>
      </c>
      <c r="BT512" s="49">
        <f t="shared" si="11"/>
        <v>0</v>
      </c>
      <c r="BU512" s="38">
        <f t="shared" si="12"/>
        <v>1000</v>
      </c>
      <c r="BV512" s="57" t="str">
        <f>IFERROR(__xludf.DUMMYFUNCTION("""COMPUTED_VALUE"""),"Norton")</f>
        <v>Norton</v>
      </c>
      <c r="BW512" s="46">
        <f t="shared" si="13"/>
        <v>2500</v>
      </c>
      <c r="BX512" s="47">
        <f t="shared" ref="BX512:CA512" si="1647">AX512-$BU512</f>
        <v>-1000</v>
      </c>
      <c r="BY512" s="47">
        <f t="shared" si="1647"/>
        <v>-1000</v>
      </c>
      <c r="BZ512" s="47">
        <f t="shared" si="1647"/>
        <v>-1000</v>
      </c>
      <c r="CA512" s="47">
        <f t="shared" si="1647"/>
        <v>-1000</v>
      </c>
      <c r="CB512" s="47">
        <f t="shared" si="15"/>
        <v>-7500</v>
      </c>
      <c r="CC512" s="47">
        <f t="shared" ref="CC512:CQ512" si="1648">BC512-$BU512</f>
        <v>-1000</v>
      </c>
      <c r="CD512" s="47">
        <f t="shared" si="1648"/>
        <v>-1000</v>
      </c>
      <c r="CE512" s="47">
        <f t="shared" si="1648"/>
        <v>-1000</v>
      </c>
      <c r="CF512" s="47">
        <f t="shared" si="1648"/>
        <v>-1000</v>
      </c>
      <c r="CG512" s="47">
        <f t="shared" si="1648"/>
        <v>-1000</v>
      </c>
      <c r="CH512" s="47">
        <f t="shared" si="1648"/>
        <v>-1000</v>
      </c>
      <c r="CI512" s="47">
        <f t="shared" si="1648"/>
        <v>-1000</v>
      </c>
      <c r="CJ512" s="47">
        <f t="shared" si="1648"/>
        <v>-1000</v>
      </c>
      <c r="CK512" s="47">
        <f t="shared" si="1648"/>
        <v>-1000</v>
      </c>
      <c r="CL512" s="47">
        <f t="shared" si="1648"/>
        <v>-1000</v>
      </c>
      <c r="CM512" s="47">
        <f t="shared" si="1648"/>
        <v>-1000</v>
      </c>
      <c r="CN512" s="47">
        <f t="shared" si="1648"/>
        <v>-1000</v>
      </c>
      <c r="CO512" s="47">
        <f t="shared" si="1648"/>
        <v>-1000</v>
      </c>
      <c r="CP512" s="47">
        <f t="shared" si="1648"/>
        <v>-1000</v>
      </c>
      <c r="CQ512" s="47">
        <f t="shared" si="1648"/>
        <v>-1000</v>
      </c>
      <c r="CR512" s="47"/>
      <c r="CS512" s="47"/>
      <c r="CT512" s="47"/>
      <c r="CU512" s="50" t="str">
        <f>IFERROR(__xludf.DUMMYFUNCTION("""COMPUTED_VALUE"""),"6518 Trammel Dr.
Dallas, TX 75214          ")</f>
        <v>6518 Trammel Dr.
Dallas, TX 75214          </v>
      </c>
      <c r="CV512" s="51">
        <f>IFERROR(__xludf.DUMMYFUNCTION("IF(REGEXMATCH(UPPER(CU512), ""TX""),0,1)"),0.0)</f>
        <v>0</v>
      </c>
      <c r="CW512" s="51">
        <f>IFERROR(__xludf.DUMMYFUNCTION("IF(REGEXMATCH(UPPER(CU512), ""DALLAS""),0,1)"),0.0)</f>
        <v>0</v>
      </c>
      <c r="CX512" s="51">
        <f t="shared" si="17"/>
        <v>0</v>
      </c>
      <c r="CY512" s="51">
        <f t="shared" si="18"/>
        <v>0</v>
      </c>
      <c r="CZ512" s="52" t="str">
        <f t="shared" si="19"/>
        <v/>
      </c>
      <c r="DA512" s="58"/>
      <c r="DB512" s="52"/>
      <c r="DC512" s="52"/>
      <c r="DD512" s="52"/>
      <c r="DE512" s="52"/>
      <c r="DF512" s="52"/>
      <c r="DG512" s="52"/>
      <c r="DH512" s="52"/>
      <c r="DI512" s="52"/>
      <c r="DJ512" s="52"/>
      <c r="DK512" s="52"/>
      <c r="DL512" s="52"/>
      <c r="DM512" s="52"/>
      <c r="DN512" s="52"/>
      <c r="DO512" s="52"/>
      <c r="DP512" s="52"/>
      <c r="DQ512" s="52"/>
      <c r="DR512" s="52"/>
      <c r="DS512" s="52"/>
      <c r="DT512" s="52"/>
      <c r="DU512" s="52"/>
      <c r="DV512" s="52"/>
      <c r="DW512" s="52"/>
    </row>
    <row r="513">
      <c r="A513" s="40" t="s">
        <v>55</v>
      </c>
      <c r="B513" s="41" t="s">
        <v>56</v>
      </c>
      <c r="C513" s="31" t="s">
        <v>1409</v>
      </c>
      <c r="D513" s="25" t="str">
        <f>IFERROR(__xludf.DUMMYFUNCTION("SPLIT(C513,"" "")"),"Vallot,")</f>
        <v>Vallot,</v>
      </c>
      <c r="E513" s="40" t="str">
        <f>IFERROR(__xludf.DUMMYFUNCTION("""COMPUTED_VALUE"""),"Collette
4333")</f>
        <v>Collette
4333</v>
      </c>
      <c r="F513" s="40" t="str">
        <f>IFERROR(__xludf.DUMMYFUNCTION("""COMPUTED_VALUE"""),"Gilbert")</f>
        <v>Gilbert</v>
      </c>
      <c r="G513" s="40" t="str">
        <f>IFERROR(__xludf.DUMMYFUNCTION("""COMPUTED_VALUE"""),"Ave
Dallas,")</f>
        <v>Ave
Dallas,</v>
      </c>
      <c r="H513" s="40" t="str">
        <f>IFERROR(__xludf.DUMMYFUNCTION("""COMPUTED_VALUE"""),"TX")</f>
        <v>TX</v>
      </c>
      <c r="I513" s="40">
        <f>IFERROR(__xludf.DUMMYFUNCTION("""COMPUTED_VALUE"""),75219.0)</f>
        <v>75219</v>
      </c>
      <c r="J513" s="40"/>
      <c r="K513" s="40"/>
      <c r="L513" s="40"/>
      <c r="M513" s="40"/>
      <c r="N513" s="40"/>
      <c r="O513" s="40"/>
      <c r="P513" s="40"/>
      <c r="Q513" s="40"/>
      <c r="R513" s="40"/>
      <c r="S513" s="40"/>
      <c r="T513" s="40"/>
      <c r="U513" s="24" t="str">
        <f>IFERROR(__xludf.DUMMYFUNCTION("SPLIT(E513,""01234567890"")"),"Collette
")</f>
        <v>Collette
</v>
      </c>
      <c r="V513" s="24" t="str">
        <f>IFERROR(__xludf.DUMMYFUNCTION("SPLIT(D513,"","")"),"Vallot")</f>
        <v>Vallot</v>
      </c>
      <c r="W513" s="25" t="str">
        <f t="shared" si="1"/>
        <v>COLLETTE
 VALLOT</v>
      </c>
      <c r="X513" s="25" t="s">
        <v>1410</v>
      </c>
      <c r="Y513" s="25">
        <v>75219.0</v>
      </c>
      <c r="Z513" s="25" t="str">
        <f>IFERROR(__xludf.DUMMYFUNCTION("SPLIT(C513,""
"")"),"Vallot, Collette")</f>
        <v>Vallot, Collette</v>
      </c>
      <c r="AA513" s="25" t="str">
        <f>IFERROR(__xludf.DUMMYFUNCTION("""COMPUTED_VALUE"""),"4333 Gilbert Ave")</f>
        <v>4333 Gilbert Ave</v>
      </c>
      <c r="AB513" s="25" t="str">
        <f>IFERROR(__xludf.DUMMYFUNCTION("""COMPUTED_VALUE"""),"Dallas, TX 75219")</f>
        <v>Dallas, TX 75219</v>
      </c>
      <c r="AC513" s="24" t="s">
        <v>1411</v>
      </c>
      <c r="AD513" s="25"/>
      <c r="AE513" s="25"/>
      <c r="AF513" s="25"/>
      <c r="AG513" s="40" t="s">
        <v>60</v>
      </c>
      <c r="AH513" s="42">
        <v>2448.0</v>
      </c>
      <c r="AI513" s="40" t="s">
        <v>61</v>
      </c>
      <c r="AJ513" s="27">
        <v>150.0</v>
      </c>
      <c r="AK513" s="31" t="s">
        <v>24</v>
      </c>
      <c r="AL513" s="43">
        <v>44685.0</v>
      </c>
      <c r="AM513" s="44">
        <v>44757.44018518519</v>
      </c>
      <c r="AN513" s="30">
        <v>2.0</v>
      </c>
      <c r="AO513" s="40"/>
      <c r="AP513" s="40"/>
      <c r="AQ513" s="40"/>
      <c r="AR513" s="40"/>
      <c r="AS513" s="40"/>
      <c r="AT513" s="47"/>
      <c r="AU513" s="40"/>
      <c r="AV513" s="46" t="str">
        <f>IFERROR(__xludf.DUMMYFUNCTION("""COMPUTED_VALUE"""),"Dallas")</f>
        <v>Dallas</v>
      </c>
      <c r="AW513" s="46">
        <f t="shared" si="7"/>
        <v>1000</v>
      </c>
      <c r="AX513" s="47">
        <f t="shared" ref="AX513:BQ513" si="1649">SUMIFS($AJ:$AJ,$V:$V,$AV513,$AK:$AK,AX$2)</f>
        <v>0</v>
      </c>
      <c r="AY513" s="48">
        <f t="shared" si="1649"/>
        <v>0</v>
      </c>
      <c r="AZ513" s="48">
        <f t="shared" si="1649"/>
        <v>0</v>
      </c>
      <c r="BA513" s="48">
        <f t="shared" si="1649"/>
        <v>0</v>
      </c>
      <c r="BB513" s="48">
        <f t="shared" si="1649"/>
        <v>1000</v>
      </c>
      <c r="BC513" s="48">
        <f t="shared" si="1649"/>
        <v>0</v>
      </c>
      <c r="BD513" s="48">
        <f t="shared" si="1649"/>
        <v>0</v>
      </c>
      <c r="BE513" s="48">
        <f t="shared" si="1649"/>
        <v>0</v>
      </c>
      <c r="BF513" s="48">
        <f t="shared" si="1649"/>
        <v>0</v>
      </c>
      <c r="BG513" s="48">
        <f t="shared" si="1649"/>
        <v>0</v>
      </c>
      <c r="BH513" s="48">
        <f t="shared" si="1649"/>
        <v>0</v>
      </c>
      <c r="BI513" s="48">
        <f t="shared" si="1649"/>
        <v>0</v>
      </c>
      <c r="BJ513" s="48">
        <f t="shared" si="1649"/>
        <v>0</v>
      </c>
      <c r="BK513" s="48">
        <f t="shared" si="1649"/>
        <v>0</v>
      </c>
      <c r="BL513" s="48">
        <f t="shared" si="1649"/>
        <v>0</v>
      </c>
      <c r="BM513" s="48">
        <f t="shared" si="1649"/>
        <v>0</v>
      </c>
      <c r="BN513" s="48">
        <f t="shared" si="1649"/>
        <v>0</v>
      </c>
      <c r="BO513" s="48">
        <f t="shared" si="1649"/>
        <v>0</v>
      </c>
      <c r="BP513" s="48">
        <f t="shared" si="1649"/>
        <v>0</v>
      </c>
      <c r="BQ513" s="48">
        <f t="shared" si="1649"/>
        <v>0</v>
      </c>
      <c r="BR513" s="36">
        <f t="shared" si="9"/>
        <v>0</v>
      </c>
      <c r="BS513" s="38">
        <f t="shared" si="10"/>
        <v>1</v>
      </c>
      <c r="BT513" s="49">
        <f t="shared" si="11"/>
        <v>0</v>
      </c>
      <c r="BU513" s="38">
        <f t="shared" si="12"/>
        <v>1000</v>
      </c>
      <c r="BV513" s="46" t="str">
        <f>IFERROR(__xludf.DUMMYFUNCTION("""COMPUTED_VALUE"""),"Dallas")</f>
        <v>Dallas</v>
      </c>
      <c r="BW513" s="46">
        <f t="shared" si="13"/>
        <v>1000</v>
      </c>
      <c r="BX513" s="47">
        <f t="shared" ref="BX513:CA513" si="1650">AX513-$BU513</f>
        <v>-1000</v>
      </c>
      <c r="BY513" s="47">
        <f t="shared" si="1650"/>
        <v>-1000</v>
      </c>
      <c r="BZ513" s="47">
        <f t="shared" si="1650"/>
        <v>-1000</v>
      </c>
      <c r="CA513" s="47">
        <f t="shared" si="1650"/>
        <v>-1000</v>
      </c>
      <c r="CB513" s="47">
        <f t="shared" si="15"/>
        <v>-9000</v>
      </c>
      <c r="CC513" s="47">
        <f t="shared" ref="CC513:CQ513" si="1651">BC513-$BU513</f>
        <v>-1000</v>
      </c>
      <c r="CD513" s="47">
        <f t="shared" si="1651"/>
        <v>-1000</v>
      </c>
      <c r="CE513" s="47">
        <f t="shared" si="1651"/>
        <v>-1000</v>
      </c>
      <c r="CF513" s="47">
        <f t="shared" si="1651"/>
        <v>-1000</v>
      </c>
      <c r="CG513" s="47">
        <f t="shared" si="1651"/>
        <v>-1000</v>
      </c>
      <c r="CH513" s="47">
        <f t="shared" si="1651"/>
        <v>-1000</v>
      </c>
      <c r="CI513" s="47">
        <f t="shared" si="1651"/>
        <v>-1000</v>
      </c>
      <c r="CJ513" s="47">
        <f t="shared" si="1651"/>
        <v>-1000</v>
      </c>
      <c r="CK513" s="47">
        <f t="shared" si="1651"/>
        <v>-1000</v>
      </c>
      <c r="CL513" s="47">
        <f t="shared" si="1651"/>
        <v>-1000</v>
      </c>
      <c r="CM513" s="47">
        <f t="shared" si="1651"/>
        <v>-1000</v>
      </c>
      <c r="CN513" s="47">
        <f t="shared" si="1651"/>
        <v>-1000</v>
      </c>
      <c r="CO513" s="47">
        <f t="shared" si="1651"/>
        <v>-1000</v>
      </c>
      <c r="CP513" s="47">
        <f t="shared" si="1651"/>
        <v>-1000</v>
      </c>
      <c r="CQ513" s="47">
        <f t="shared" si="1651"/>
        <v>-1000</v>
      </c>
      <c r="CR513" s="47"/>
      <c r="CS513" s="47"/>
      <c r="CT513" s="47"/>
      <c r="CU513" s="50" t="str">
        <f>IFERROR(__xludf.DUMMYFUNCTION("""COMPUTED_VALUE"""),"3901 Travis St.
Dallas, TX 75204          ")</f>
        <v>3901 Travis St.
Dallas, TX 75204          </v>
      </c>
      <c r="CV513" s="51">
        <f>IFERROR(__xludf.DUMMYFUNCTION("IF(REGEXMATCH(UPPER(CU513), ""TX""),0,1)"),0.0)</f>
        <v>0</v>
      </c>
      <c r="CW513" s="51">
        <f>IFERROR(__xludf.DUMMYFUNCTION("IF(REGEXMATCH(UPPER(CU513), ""DALLAS""),0,1)"),0.0)</f>
        <v>0</v>
      </c>
      <c r="CX513" s="51">
        <f t="shared" si="17"/>
        <v>0</v>
      </c>
      <c r="CY513" s="51">
        <f t="shared" si="18"/>
        <v>0</v>
      </c>
      <c r="CZ513" s="52" t="str">
        <f t="shared" si="19"/>
        <v/>
      </c>
      <c r="DA513" s="58"/>
      <c r="DB513" s="52"/>
      <c r="DC513" s="52"/>
      <c r="DD513" s="52"/>
      <c r="DE513" s="52"/>
      <c r="DF513" s="52"/>
      <c r="DG513" s="52"/>
      <c r="DH513" s="52"/>
      <c r="DI513" s="52"/>
      <c r="DJ513" s="52"/>
      <c r="DK513" s="52"/>
      <c r="DL513" s="52"/>
      <c r="DM513" s="52"/>
      <c r="DN513" s="52"/>
      <c r="DO513" s="52"/>
      <c r="DP513" s="52"/>
      <c r="DQ513" s="52"/>
      <c r="DR513" s="52"/>
      <c r="DS513" s="52"/>
      <c r="DT513" s="52"/>
      <c r="DU513" s="52"/>
      <c r="DV513" s="52"/>
      <c r="DW513" s="52"/>
    </row>
    <row r="514">
      <c r="A514" s="22" t="s">
        <v>55</v>
      </c>
      <c r="B514" s="23" t="s">
        <v>56</v>
      </c>
      <c r="C514" s="31" t="s">
        <v>1412</v>
      </c>
      <c r="D514" s="25" t="str">
        <f>IFERROR(__xludf.DUMMYFUNCTION("SPLIT(C514,"" "")"),"Greef,")</f>
        <v>Greef,</v>
      </c>
      <c r="E514" s="22" t="str">
        <f>IFERROR(__xludf.DUMMYFUNCTION("""COMPUTED_VALUE"""),"Holly
6665")</f>
        <v>Holly
6665</v>
      </c>
      <c r="F514" s="22" t="str">
        <f>IFERROR(__xludf.DUMMYFUNCTION("""COMPUTED_VALUE"""),"Lakewood")</f>
        <v>Lakewood</v>
      </c>
      <c r="G514" s="22" t="str">
        <f>IFERROR(__xludf.DUMMYFUNCTION("""COMPUTED_VALUE"""),"Blvd.
Dallas,")</f>
        <v>Blvd.
Dallas,</v>
      </c>
      <c r="H514" s="22" t="str">
        <f>IFERROR(__xludf.DUMMYFUNCTION("""COMPUTED_VALUE"""),"TX")</f>
        <v>TX</v>
      </c>
      <c r="I514" s="22">
        <f>IFERROR(__xludf.DUMMYFUNCTION("""COMPUTED_VALUE"""),75214.0)</f>
        <v>75214</v>
      </c>
      <c r="J514" s="22"/>
      <c r="K514" s="22"/>
      <c r="L514" s="22"/>
      <c r="M514" s="22"/>
      <c r="N514" s="22"/>
      <c r="O514" s="22"/>
      <c r="P514" s="22"/>
      <c r="Q514" s="22"/>
      <c r="R514" s="22"/>
      <c r="S514" s="22"/>
      <c r="T514" s="22"/>
      <c r="U514" s="24" t="str">
        <f>IFERROR(__xludf.DUMMYFUNCTION("SPLIT(E514,""01234567890"")"),"Holly
")</f>
        <v>Holly
</v>
      </c>
      <c r="V514" s="24" t="str">
        <f>IFERROR(__xludf.DUMMYFUNCTION("SPLIT(D514,"","")"),"Greef")</f>
        <v>Greef</v>
      </c>
      <c r="W514" s="25" t="str">
        <f t="shared" si="1"/>
        <v>HOLLY
 GREEF</v>
      </c>
      <c r="X514" s="25" t="s">
        <v>1413</v>
      </c>
      <c r="Y514" s="25">
        <v>75214.0</v>
      </c>
      <c r="Z514" s="25" t="str">
        <f>IFERROR(__xludf.DUMMYFUNCTION("SPLIT(C514,""
"")"),"Greef, Holly")</f>
        <v>Greef, Holly</v>
      </c>
      <c r="AA514" s="25" t="str">
        <f>IFERROR(__xludf.DUMMYFUNCTION("""COMPUTED_VALUE"""),"6665 Lakewood Blvd.")</f>
        <v>6665 Lakewood Blvd.</v>
      </c>
      <c r="AB514" s="25" t="str">
        <f>IFERROR(__xludf.DUMMYFUNCTION("""COMPUTED_VALUE"""),"Dallas, TX 75214")</f>
        <v>Dallas, TX 75214</v>
      </c>
      <c r="AC514" s="24" t="s">
        <v>1414</v>
      </c>
      <c r="AD514" s="25"/>
      <c r="AE514" s="25"/>
      <c r="AF514" s="25"/>
      <c r="AG514" s="22" t="s">
        <v>60</v>
      </c>
      <c r="AH514" s="54">
        <v>2448.0</v>
      </c>
      <c r="AI514" s="22" t="s">
        <v>61</v>
      </c>
      <c r="AJ514" s="27">
        <v>250.0</v>
      </c>
      <c r="AK514" s="31" t="s">
        <v>24</v>
      </c>
      <c r="AL514" s="28">
        <v>44686.0</v>
      </c>
      <c r="AM514" s="29">
        <v>44757.44018518519</v>
      </c>
      <c r="AN514" s="30">
        <v>2.0</v>
      </c>
      <c r="AO514" s="22"/>
      <c r="AP514" s="22"/>
      <c r="AQ514" s="22"/>
      <c r="AR514" s="22"/>
      <c r="AS514" s="22"/>
      <c r="AT514" s="70"/>
      <c r="AU514" s="22"/>
      <c r="AV514" s="57" t="str">
        <f>IFERROR(__xludf.DUMMYFUNCTION("""COMPUTED_VALUE"""),"Southwest")</f>
        <v>Southwest</v>
      </c>
      <c r="AW514" s="46">
        <f t="shared" si="7"/>
        <v>7500</v>
      </c>
      <c r="AX514" s="47">
        <f t="shared" ref="AX514:BQ514" si="1652">SUMIFS($AJ:$AJ,$V:$V,$AV514,$AK:$AK,AX$2)</f>
        <v>0</v>
      </c>
      <c r="AY514" s="48">
        <f t="shared" si="1652"/>
        <v>1000</v>
      </c>
      <c r="AZ514" s="48">
        <f t="shared" si="1652"/>
        <v>0</v>
      </c>
      <c r="BA514" s="48">
        <f t="shared" si="1652"/>
        <v>1500</v>
      </c>
      <c r="BB514" s="48">
        <f t="shared" si="1652"/>
        <v>1000</v>
      </c>
      <c r="BC514" s="48">
        <f t="shared" si="1652"/>
        <v>0</v>
      </c>
      <c r="BD514" s="48">
        <f t="shared" si="1652"/>
        <v>1000</v>
      </c>
      <c r="BE514" s="48">
        <f t="shared" si="1652"/>
        <v>0</v>
      </c>
      <c r="BF514" s="48">
        <f t="shared" si="1652"/>
        <v>2000</v>
      </c>
      <c r="BG514" s="48">
        <f t="shared" si="1652"/>
        <v>1000</v>
      </c>
      <c r="BH514" s="48">
        <f t="shared" si="1652"/>
        <v>0</v>
      </c>
      <c r="BI514" s="48">
        <f t="shared" si="1652"/>
        <v>0</v>
      </c>
      <c r="BJ514" s="48">
        <f t="shared" si="1652"/>
        <v>0</v>
      </c>
      <c r="BK514" s="48">
        <f t="shared" si="1652"/>
        <v>0</v>
      </c>
      <c r="BL514" s="48">
        <f t="shared" si="1652"/>
        <v>0</v>
      </c>
      <c r="BM514" s="48">
        <f t="shared" si="1652"/>
        <v>0</v>
      </c>
      <c r="BN514" s="48">
        <f t="shared" si="1652"/>
        <v>0</v>
      </c>
      <c r="BO514" s="48">
        <f t="shared" si="1652"/>
        <v>0</v>
      </c>
      <c r="BP514" s="48">
        <f t="shared" si="1652"/>
        <v>0</v>
      </c>
      <c r="BQ514" s="48">
        <f t="shared" si="1652"/>
        <v>0</v>
      </c>
      <c r="BR514" s="36">
        <f t="shared" si="9"/>
        <v>1</v>
      </c>
      <c r="BS514" s="38">
        <f t="shared" si="10"/>
        <v>3</v>
      </c>
      <c r="BT514" s="49">
        <f t="shared" si="11"/>
        <v>0</v>
      </c>
      <c r="BU514" s="38">
        <f t="shared" si="12"/>
        <v>3000</v>
      </c>
      <c r="BV514" s="57" t="str">
        <f>IFERROR(__xludf.DUMMYFUNCTION("""COMPUTED_VALUE"""),"Southwest")</f>
        <v>Southwest</v>
      </c>
      <c r="BW514" s="46">
        <f t="shared" si="13"/>
        <v>7500</v>
      </c>
      <c r="BX514" s="47">
        <f t="shared" ref="BX514:CA514" si="1653">AX514-$BU514</f>
        <v>-3000</v>
      </c>
      <c r="BY514" s="47">
        <f t="shared" si="1653"/>
        <v>-2000</v>
      </c>
      <c r="BZ514" s="47">
        <f t="shared" si="1653"/>
        <v>-3000</v>
      </c>
      <c r="CA514" s="47">
        <f t="shared" si="1653"/>
        <v>-1500</v>
      </c>
      <c r="CB514" s="47">
        <f t="shared" si="15"/>
        <v>-29000</v>
      </c>
      <c r="CC514" s="47">
        <f t="shared" ref="CC514:CQ514" si="1654">BC514-$BU514</f>
        <v>-3000</v>
      </c>
      <c r="CD514" s="47">
        <f t="shared" si="1654"/>
        <v>-2000</v>
      </c>
      <c r="CE514" s="47">
        <f t="shared" si="1654"/>
        <v>-3000</v>
      </c>
      <c r="CF514" s="47">
        <f t="shared" si="1654"/>
        <v>-1000</v>
      </c>
      <c r="CG514" s="47">
        <f t="shared" si="1654"/>
        <v>-2000</v>
      </c>
      <c r="CH514" s="47">
        <f t="shared" si="1654"/>
        <v>-3000</v>
      </c>
      <c r="CI514" s="47">
        <f t="shared" si="1654"/>
        <v>-3000</v>
      </c>
      <c r="CJ514" s="47">
        <f t="shared" si="1654"/>
        <v>-3000</v>
      </c>
      <c r="CK514" s="47">
        <f t="shared" si="1654"/>
        <v>-3000</v>
      </c>
      <c r="CL514" s="47">
        <f t="shared" si="1654"/>
        <v>-3000</v>
      </c>
      <c r="CM514" s="47">
        <f t="shared" si="1654"/>
        <v>-3000</v>
      </c>
      <c r="CN514" s="47">
        <f t="shared" si="1654"/>
        <v>-3000</v>
      </c>
      <c r="CO514" s="47">
        <f t="shared" si="1654"/>
        <v>-3000</v>
      </c>
      <c r="CP514" s="47">
        <f t="shared" si="1654"/>
        <v>-3000</v>
      </c>
      <c r="CQ514" s="47">
        <f t="shared" si="1654"/>
        <v>-3000</v>
      </c>
      <c r="CR514" s="47"/>
      <c r="CS514" s="47"/>
      <c r="CT514" s="47"/>
      <c r="CU514" s="50" t="str">
        <f>IFERROR(__xludf.DUMMYFUNCTION("""COMPUTED_VALUE"""),"13214 Glad Acres
Dallas, TX 75234          ")</f>
        <v>13214 Glad Acres
Dallas, TX 75234          </v>
      </c>
      <c r="CV514" s="51">
        <f>IFERROR(__xludf.DUMMYFUNCTION("IF(REGEXMATCH(UPPER(CU514), ""TX""),0,1)"),0.0)</f>
        <v>0</v>
      </c>
      <c r="CW514" s="51">
        <f>IFERROR(__xludf.DUMMYFUNCTION("IF(REGEXMATCH(UPPER(CU514), ""DALLAS""),0,1)"),0.0)</f>
        <v>0</v>
      </c>
      <c r="CX514" s="51">
        <f t="shared" si="17"/>
        <v>0</v>
      </c>
      <c r="CY514" s="51">
        <f t="shared" si="18"/>
        <v>0</v>
      </c>
      <c r="CZ514" s="52" t="str">
        <f t="shared" si="19"/>
        <v/>
      </c>
      <c r="DA514" s="58"/>
      <c r="DB514" s="52"/>
      <c r="DC514" s="52"/>
      <c r="DD514" s="52"/>
      <c r="DE514" s="52"/>
      <c r="DF514" s="52"/>
      <c r="DG514" s="52"/>
      <c r="DH514" s="52"/>
      <c r="DI514" s="52"/>
      <c r="DJ514" s="52"/>
      <c r="DK514" s="52"/>
      <c r="DL514" s="52"/>
      <c r="DM514" s="52"/>
      <c r="DN514" s="52"/>
      <c r="DO514" s="52"/>
      <c r="DP514" s="52"/>
      <c r="DQ514" s="52"/>
      <c r="DR514" s="52"/>
      <c r="DS514" s="52"/>
      <c r="DT514" s="52"/>
      <c r="DU514" s="52"/>
      <c r="DV514" s="52"/>
      <c r="DW514" s="52"/>
    </row>
    <row r="515">
      <c r="A515" s="40" t="s">
        <v>55</v>
      </c>
      <c r="B515" s="41" t="s">
        <v>56</v>
      </c>
      <c r="C515" s="31" t="s">
        <v>1415</v>
      </c>
      <c r="D515" s="25" t="str">
        <f>IFERROR(__xludf.DUMMYFUNCTION("SPLIT(C515,"" "")"),"Greef,")</f>
        <v>Greef,</v>
      </c>
      <c r="E515" s="40" t="str">
        <f>IFERROR(__xludf.DUMMYFUNCTION("""COMPUTED_VALUE"""),"Holly
6665")</f>
        <v>Holly
6665</v>
      </c>
      <c r="F515" s="40" t="str">
        <f>IFERROR(__xludf.DUMMYFUNCTION("""COMPUTED_VALUE"""),"Lakewood")</f>
        <v>Lakewood</v>
      </c>
      <c r="G515" s="40" t="str">
        <f>IFERROR(__xludf.DUMMYFUNCTION("""COMPUTED_VALUE"""),"Blvd
Dallas,")</f>
        <v>Blvd
Dallas,</v>
      </c>
      <c r="H515" s="40" t="str">
        <f>IFERROR(__xludf.DUMMYFUNCTION("""COMPUTED_VALUE"""),"TX")</f>
        <v>TX</v>
      </c>
      <c r="I515" s="40">
        <f>IFERROR(__xludf.DUMMYFUNCTION("""COMPUTED_VALUE"""),75214.0)</f>
        <v>75214</v>
      </c>
      <c r="J515" s="40"/>
      <c r="K515" s="40"/>
      <c r="L515" s="40"/>
      <c r="M515" s="40"/>
      <c r="N515" s="40"/>
      <c r="O515" s="40"/>
      <c r="P515" s="40"/>
      <c r="Q515" s="40"/>
      <c r="R515" s="40"/>
      <c r="S515" s="40"/>
      <c r="T515" s="40"/>
      <c r="U515" s="24" t="str">
        <f>IFERROR(__xludf.DUMMYFUNCTION("SPLIT(E515,""01234567890"")"),"Holly
")</f>
        <v>Holly
</v>
      </c>
      <c r="V515" s="24" t="str">
        <f>IFERROR(__xludf.DUMMYFUNCTION("SPLIT(D515,"","")"),"Greef")</f>
        <v>Greef</v>
      </c>
      <c r="W515" s="25" t="str">
        <f t="shared" si="1"/>
        <v>HOLLY
 GREEF</v>
      </c>
      <c r="X515" s="25" t="s">
        <v>1416</v>
      </c>
      <c r="Y515" s="25">
        <v>75214.0</v>
      </c>
      <c r="Z515" s="25" t="str">
        <f>IFERROR(__xludf.DUMMYFUNCTION("SPLIT(C515,""
"")"),"Greef, Holly")</f>
        <v>Greef, Holly</v>
      </c>
      <c r="AA515" s="25" t="str">
        <f>IFERROR(__xludf.DUMMYFUNCTION("""COMPUTED_VALUE"""),"6665 Lakewood Blvd")</f>
        <v>6665 Lakewood Blvd</v>
      </c>
      <c r="AB515" s="25" t="str">
        <f>IFERROR(__xludf.DUMMYFUNCTION("""COMPUTED_VALUE"""),"Dallas, TX 75214")</f>
        <v>Dallas, TX 75214</v>
      </c>
      <c r="AC515" s="24" t="s">
        <v>1414</v>
      </c>
      <c r="AD515" s="25"/>
      <c r="AE515" s="25"/>
      <c r="AF515" s="25"/>
      <c r="AG515" s="40" t="s">
        <v>60</v>
      </c>
      <c r="AH515" s="42">
        <v>2448.0</v>
      </c>
      <c r="AI515" s="40" t="s">
        <v>61</v>
      </c>
      <c r="AJ515" s="27">
        <v>250.0</v>
      </c>
      <c r="AK515" s="31" t="s">
        <v>24</v>
      </c>
      <c r="AL515" s="43">
        <v>44686.0</v>
      </c>
      <c r="AM515" s="44">
        <v>44757.44018518519</v>
      </c>
      <c r="AN515" s="30">
        <v>2.0</v>
      </c>
      <c r="AO515" s="40"/>
      <c r="AP515" s="40"/>
      <c r="AQ515" s="40"/>
      <c r="AR515" s="40"/>
      <c r="AS515" s="40"/>
      <c r="AT515" s="47"/>
      <c r="AU515" s="40"/>
      <c r="AV515" s="46" t="str">
        <f>IFERROR(__xludf.DUMMYFUNCTION("""COMPUTED_VALUE"""),"Texas")</f>
        <v>Texas</v>
      </c>
      <c r="AW515" s="46">
        <f t="shared" si="7"/>
        <v>11000</v>
      </c>
      <c r="AX515" s="47">
        <f t="shared" ref="AX515:BQ515" si="1655">SUMIFS($AJ:$AJ,$V:$V,$AV515,$AK:$AK,AX$2)</f>
        <v>0</v>
      </c>
      <c r="AY515" s="48">
        <f t="shared" si="1655"/>
        <v>0</v>
      </c>
      <c r="AZ515" s="48">
        <f t="shared" si="1655"/>
        <v>0</v>
      </c>
      <c r="BA515" s="48">
        <f t="shared" si="1655"/>
        <v>0</v>
      </c>
      <c r="BB515" s="48">
        <f t="shared" si="1655"/>
        <v>11000</v>
      </c>
      <c r="BC515" s="48">
        <f t="shared" si="1655"/>
        <v>0</v>
      </c>
      <c r="BD515" s="48">
        <f t="shared" si="1655"/>
        <v>0</v>
      </c>
      <c r="BE515" s="48">
        <f t="shared" si="1655"/>
        <v>0</v>
      </c>
      <c r="BF515" s="48">
        <f t="shared" si="1655"/>
        <v>0</v>
      </c>
      <c r="BG515" s="48">
        <f t="shared" si="1655"/>
        <v>0</v>
      </c>
      <c r="BH515" s="48">
        <f t="shared" si="1655"/>
        <v>0</v>
      </c>
      <c r="BI515" s="48">
        <f t="shared" si="1655"/>
        <v>0</v>
      </c>
      <c r="BJ515" s="48">
        <f t="shared" si="1655"/>
        <v>0</v>
      </c>
      <c r="BK515" s="48">
        <f t="shared" si="1655"/>
        <v>0</v>
      </c>
      <c r="BL515" s="48">
        <f t="shared" si="1655"/>
        <v>0</v>
      </c>
      <c r="BM515" s="48">
        <f t="shared" si="1655"/>
        <v>0</v>
      </c>
      <c r="BN515" s="48">
        <f t="shared" si="1655"/>
        <v>0</v>
      </c>
      <c r="BO515" s="48">
        <f t="shared" si="1655"/>
        <v>0</v>
      </c>
      <c r="BP515" s="48">
        <f t="shared" si="1655"/>
        <v>0</v>
      </c>
      <c r="BQ515" s="48">
        <f t="shared" si="1655"/>
        <v>0</v>
      </c>
      <c r="BR515" s="36">
        <f t="shared" si="9"/>
        <v>1</v>
      </c>
      <c r="BS515" s="38">
        <f t="shared" si="10"/>
        <v>2</v>
      </c>
      <c r="BT515" s="49">
        <f t="shared" si="11"/>
        <v>0</v>
      </c>
      <c r="BU515" s="38">
        <f t="shared" si="12"/>
        <v>2000</v>
      </c>
      <c r="BV515" s="46" t="str">
        <f>IFERROR(__xludf.DUMMYFUNCTION("""COMPUTED_VALUE"""),"Texas")</f>
        <v>Texas</v>
      </c>
      <c r="BW515" s="46">
        <f t="shared" si="13"/>
        <v>11000</v>
      </c>
      <c r="BX515" s="47">
        <f t="shared" ref="BX515:CA515" si="1656">AX515-$BU515</f>
        <v>-2000</v>
      </c>
      <c r="BY515" s="47">
        <f t="shared" si="1656"/>
        <v>-2000</v>
      </c>
      <c r="BZ515" s="47">
        <f t="shared" si="1656"/>
        <v>-2000</v>
      </c>
      <c r="CA515" s="47">
        <f t="shared" si="1656"/>
        <v>-2000</v>
      </c>
      <c r="CB515" s="47">
        <f t="shared" si="15"/>
        <v>-9000</v>
      </c>
      <c r="CC515" s="47">
        <f t="shared" ref="CC515:CQ515" si="1657">BC515-$BU515</f>
        <v>-2000</v>
      </c>
      <c r="CD515" s="47">
        <f t="shared" si="1657"/>
        <v>-2000</v>
      </c>
      <c r="CE515" s="47">
        <f t="shared" si="1657"/>
        <v>-2000</v>
      </c>
      <c r="CF515" s="47">
        <f t="shared" si="1657"/>
        <v>-2000</v>
      </c>
      <c r="CG515" s="47">
        <f t="shared" si="1657"/>
        <v>-2000</v>
      </c>
      <c r="CH515" s="47">
        <f t="shared" si="1657"/>
        <v>-2000</v>
      </c>
      <c r="CI515" s="47">
        <f t="shared" si="1657"/>
        <v>-2000</v>
      </c>
      <c r="CJ515" s="47">
        <f t="shared" si="1657"/>
        <v>-2000</v>
      </c>
      <c r="CK515" s="47">
        <f t="shared" si="1657"/>
        <v>-2000</v>
      </c>
      <c r="CL515" s="47">
        <f t="shared" si="1657"/>
        <v>-2000</v>
      </c>
      <c r="CM515" s="47">
        <f t="shared" si="1657"/>
        <v>-2000</v>
      </c>
      <c r="CN515" s="47">
        <f t="shared" si="1657"/>
        <v>-2000</v>
      </c>
      <c r="CO515" s="47">
        <f t="shared" si="1657"/>
        <v>-2000</v>
      </c>
      <c r="CP515" s="47">
        <f t="shared" si="1657"/>
        <v>-2000</v>
      </c>
      <c r="CQ515" s="47">
        <f t="shared" si="1657"/>
        <v>-2000</v>
      </c>
      <c r="CR515" s="47"/>
      <c r="CS515" s="47"/>
      <c r="CT515" s="47"/>
      <c r="CU515" s="50" t="str">
        <f>IFERROR(__xludf.DUMMYFUNCTION("""COMPUTED_VALUE"""),"8380 San Leandro Dr.
Dallas, TX 75218         ")</f>
        <v>8380 San Leandro Dr.
Dallas, TX 75218         </v>
      </c>
      <c r="CV515" s="51">
        <f>IFERROR(__xludf.DUMMYFUNCTION("IF(REGEXMATCH(UPPER(CU515), ""TX""),0,1)"),0.0)</f>
        <v>0</v>
      </c>
      <c r="CW515" s="51">
        <f>IFERROR(__xludf.DUMMYFUNCTION("IF(REGEXMATCH(UPPER(CU515), ""DALLAS""),0,1)"),0.0)</f>
        <v>0</v>
      </c>
      <c r="CX515" s="51">
        <f t="shared" si="17"/>
        <v>0</v>
      </c>
      <c r="CY515" s="51">
        <f t="shared" si="18"/>
        <v>0</v>
      </c>
      <c r="CZ515" s="52" t="str">
        <f t="shared" si="19"/>
        <v/>
      </c>
      <c r="DA515" s="58"/>
      <c r="DB515" s="52"/>
      <c r="DC515" s="52"/>
      <c r="DD515" s="52"/>
      <c r="DE515" s="52"/>
      <c r="DF515" s="52"/>
      <c r="DG515" s="52"/>
      <c r="DH515" s="52"/>
      <c r="DI515" s="52"/>
      <c r="DJ515" s="52"/>
      <c r="DK515" s="52"/>
      <c r="DL515" s="52"/>
      <c r="DM515" s="52"/>
      <c r="DN515" s="52"/>
      <c r="DO515" s="52"/>
      <c r="DP515" s="52"/>
      <c r="DQ515" s="52"/>
      <c r="DR515" s="52"/>
      <c r="DS515" s="52"/>
      <c r="DT515" s="52"/>
      <c r="DU515" s="52"/>
      <c r="DV515" s="52"/>
      <c r="DW515" s="52"/>
    </row>
    <row r="516">
      <c r="A516" s="22" t="s">
        <v>55</v>
      </c>
      <c r="B516" s="23" t="s">
        <v>56</v>
      </c>
      <c r="C516" s="31" t="s">
        <v>1360</v>
      </c>
      <c r="D516" s="25" t="str">
        <f>IFERROR(__xludf.DUMMYFUNCTION("SPLIT(C516,"" "")"),"Mason,")</f>
        <v>Mason,</v>
      </c>
      <c r="E516" s="22" t="str">
        <f>IFERROR(__xludf.DUMMYFUNCTION("""COMPUTED_VALUE"""),"George
6821")</f>
        <v>George
6821</v>
      </c>
      <c r="F516" s="22" t="str">
        <f>IFERROR(__xludf.DUMMYFUNCTION("""COMPUTED_VALUE"""),"Carolyncrest
Dallas,")</f>
        <v>Carolyncrest
Dallas,</v>
      </c>
      <c r="G516" s="22" t="str">
        <f>IFERROR(__xludf.DUMMYFUNCTION("""COMPUTED_VALUE"""),"TX")</f>
        <v>TX</v>
      </c>
      <c r="H516" s="22">
        <f>IFERROR(__xludf.DUMMYFUNCTION("""COMPUTED_VALUE"""),75214.0)</f>
        <v>75214</v>
      </c>
      <c r="I516" s="22"/>
      <c r="J516" s="22"/>
      <c r="K516" s="22"/>
      <c r="L516" s="22"/>
      <c r="M516" s="22"/>
      <c r="N516" s="22"/>
      <c r="O516" s="22"/>
      <c r="P516" s="22"/>
      <c r="Q516" s="22"/>
      <c r="R516" s="22"/>
      <c r="S516" s="22"/>
      <c r="T516" s="22"/>
      <c r="U516" s="24" t="str">
        <f>IFERROR(__xludf.DUMMYFUNCTION("SPLIT(E516,""01234567890"")"),"George
")</f>
        <v>George
</v>
      </c>
      <c r="V516" s="24" t="str">
        <f>IFERROR(__xludf.DUMMYFUNCTION("SPLIT(D516,"","")"),"Mason")</f>
        <v>Mason</v>
      </c>
      <c r="W516" s="25" t="str">
        <f t="shared" si="1"/>
        <v>GEORGE
 MASON</v>
      </c>
      <c r="X516" s="25" t="s">
        <v>1361</v>
      </c>
      <c r="Y516" s="25">
        <v>75214.0</v>
      </c>
      <c r="Z516" s="25" t="str">
        <f>IFERROR(__xludf.DUMMYFUNCTION("SPLIT(C516,""
"")"),"Mason, George")</f>
        <v>Mason, George</v>
      </c>
      <c r="AA516" s="25" t="str">
        <f>IFERROR(__xludf.DUMMYFUNCTION("""COMPUTED_VALUE"""),"6821 Carolyncrest")</f>
        <v>6821 Carolyncrest</v>
      </c>
      <c r="AB516" s="25" t="str">
        <f>IFERROR(__xludf.DUMMYFUNCTION("""COMPUTED_VALUE"""),"Dallas, TX 75214")</f>
        <v>Dallas, TX 75214</v>
      </c>
      <c r="AC516" s="24" t="s">
        <v>1362</v>
      </c>
      <c r="AD516" s="25"/>
      <c r="AE516" s="25"/>
      <c r="AF516" s="25"/>
      <c r="AG516" s="22" t="s">
        <v>60</v>
      </c>
      <c r="AH516" s="54">
        <v>2448.0</v>
      </c>
      <c r="AI516" s="22" t="s">
        <v>61</v>
      </c>
      <c r="AJ516" s="27">
        <v>100.0</v>
      </c>
      <c r="AK516" s="31" t="s">
        <v>24</v>
      </c>
      <c r="AL516" s="28">
        <v>44686.0</v>
      </c>
      <c r="AM516" s="29">
        <v>44757.44018518519</v>
      </c>
      <c r="AN516" s="30">
        <v>2.0</v>
      </c>
      <c r="AO516" s="22"/>
      <c r="AP516" s="22"/>
      <c r="AQ516" s="22"/>
      <c r="AR516" s="22"/>
      <c r="AS516" s="22"/>
      <c r="AT516" s="70"/>
      <c r="AU516" s="22"/>
      <c r="AV516" s="57" t="str">
        <f>IFERROR(__xludf.DUMMYFUNCTION("""COMPUTED_VALUE"""),"Enzler")</f>
        <v>Enzler</v>
      </c>
      <c r="AW516" s="46">
        <f t="shared" si="7"/>
        <v>1000</v>
      </c>
      <c r="AX516" s="47">
        <f t="shared" ref="AX516:BQ516" si="1658">SUMIFS($AJ:$AJ,$V:$V,$AV516,$AK:$AK,AX$2)</f>
        <v>0</v>
      </c>
      <c r="AY516" s="48">
        <f t="shared" si="1658"/>
        <v>0</v>
      </c>
      <c r="AZ516" s="48">
        <f t="shared" si="1658"/>
        <v>0</v>
      </c>
      <c r="BA516" s="48">
        <f t="shared" si="1658"/>
        <v>0</v>
      </c>
      <c r="BB516" s="48">
        <f t="shared" si="1658"/>
        <v>1000</v>
      </c>
      <c r="BC516" s="48">
        <f t="shared" si="1658"/>
        <v>0</v>
      </c>
      <c r="BD516" s="48">
        <f t="shared" si="1658"/>
        <v>0</v>
      </c>
      <c r="BE516" s="48">
        <f t="shared" si="1658"/>
        <v>0</v>
      </c>
      <c r="BF516" s="48">
        <f t="shared" si="1658"/>
        <v>0</v>
      </c>
      <c r="BG516" s="48">
        <f t="shared" si="1658"/>
        <v>0</v>
      </c>
      <c r="BH516" s="48">
        <f t="shared" si="1658"/>
        <v>0</v>
      </c>
      <c r="BI516" s="48">
        <f t="shared" si="1658"/>
        <v>0</v>
      </c>
      <c r="BJ516" s="48">
        <f t="shared" si="1658"/>
        <v>0</v>
      </c>
      <c r="BK516" s="48">
        <f t="shared" si="1658"/>
        <v>0</v>
      </c>
      <c r="BL516" s="48">
        <f t="shared" si="1658"/>
        <v>0</v>
      </c>
      <c r="BM516" s="48">
        <f t="shared" si="1658"/>
        <v>0</v>
      </c>
      <c r="BN516" s="48">
        <f t="shared" si="1658"/>
        <v>0</v>
      </c>
      <c r="BO516" s="48">
        <f t="shared" si="1658"/>
        <v>0</v>
      </c>
      <c r="BP516" s="48">
        <f t="shared" si="1658"/>
        <v>0</v>
      </c>
      <c r="BQ516" s="48">
        <f t="shared" si="1658"/>
        <v>0</v>
      </c>
      <c r="BR516" s="36">
        <f t="shared" si="9"/>
        <v>0</v>
      </c>
      <c r="BS516" s="38">
        <f t="shared" si="10"/>
        <v>1</v>
      </c>
      <c r="BT516" s="49">
        <f t="shared" si="11"/>
        <v>0</v>
      </c>
      <c r="BU516" s="38">
        <f t="shared" si="12"/>
        <v>1000</v>
      </c>
      <c r="BV516" s="57" t="str">
        <f>IFERROR(__xludf.DUMMYFUNCTION("""COMPUTED_VALUE"""),"Enzler")</f>
        <v>Enzler</v>
      </c>
      <c r="BW516" s="46">
        <f t="shared" si="13"/>
        <v>1000</v>
      </c>
      <c r="BX516" s="47">
        <f t="shared" ref="BX516:CA516" si="1659">AX516-$BU516</f>
        <v>-1000</v>
      </c>
      <c r="BY516" s="47">
        <f t="shared" si="1659"/>
        <v>-1000</v>
      </c>
      <c r="BZ516" s="47">
        <f t="shared" si="1659"/>
        <v>-1000</v>
      </c>
      <c r="CA516" s="47">
        <f t="shared" si="1659"/>
        <v>-1000</v>
      </c>
      <c r="CB516" s="47">
        <f t="shared" si="15"/>
        <v>-9000</v>
      </c>
      <c r="CC516" s="47">
        <f t="shared" ref="CC516:CQ516" si="1660">BC516-$BU516</f>
        <v>-1000</v>
      </c>
      <c r="CD516" s="47">
        <f t="shared" si="1660"/>
        <v>-1000</v>
      </c>
      <c r="CE516" s="47">
        <f t="shared" si="1660"/>
        <v>-1000</v>
      </c>
      <c r="CF516" s="47">
        <f t="shared" si="1660"/>
        <v>-1000</v>
      </c>
      <c r="CG516" s="47">
        <f t="shared" si="1660"/>
        <v>-1000</v>
      </c>
      <c r="CH516" s="47">
        <f t="shared" si="1660"/>
        <v>-1000</v>
      </c>
      <c r="CI516" s="47">
        <f t="shared" si="1660"/>
        <v>-1000</v>
      </c>
      <c r="CJ516" s="47">
        <f t="shared" si="1660"/>
        <v>-1000</v>
      </c>
      <c r="CK516" s="47">
        <f t="shared" si="1660"/>
        <v>-1000</v>
      </c>
      <c r="CL516" s="47">
        <f t="shared" si="1660"/>
        <v>-1000</v>
      </c>
      <c r="CM516" s="47">
        <f t="shared" si="1660"/>
        <v>-1000</v>
      </c>
      <c r="CN516" s="47">
        <f t="shared" si="1660"/>
        <v>-1000</v>
      </c>
      <c r="CO516" s="47">
        <f t="shared" si="1660"/>
        <v>-1000</v>
      </c>
      <c r="CP516" s="47">
        <f t="shared" si="1660"/>
        <v>-1000</v>
      </c>
      <c r="CQ516" s="47">
        <f t="shared" si="1660"/>
        <v>-1000</v>
      </c>
      <c r="CR516" s="47"/>
      <c r="CS516" s="47"/>
      <c r="CT516" s="47"/>
      <c r="CU516" s="50" t="str">
        <f>IFERROR(__xludf.DUMMYFUNCTION("""COMPUTED_VALUE"""),"2611 Millmar Dr.
Dallas, TX 75228          ")</f>
        <v>2611 Millmar Dr.
Dallas, TX 75228          </v>
      </c>
      <c r="CV516" s="51">
        <f>IFERROR(__xludf.DUMMYFUNCTION("IF(REGEXMATCH(UPPER(CU516), ""TX""),0,1)"),0.0)</f>
        <v>0</v>
      </c>
      <c r="CW516" s="51">
        <f>IFERROR(__xludf.DUMMYFUNCTION("IF(REGEXMATCH(UPPER(CU516), ""DALLAS""),0,1)"),0.0)</f>
        <v>0</v>
      </c>
      <c r="CX516" s="51">
        <f t="shared" si="17"/>
        <v>0</v>
      </c>
      <c r="CY516" s="51">
        <f t="shared" si="18"/>
        <v>0</v>
      </c>
      <c r="CZ516" s="52" t="str">
        <f t="shared" si="19"/>
        <v/>
      </c>
      <c r="DA516" s="58"/>
      <c r="DB516" s="52"/>
      <c r="DC516" s="52"/>
      <c r="DD516" s="52"/>
      <c r="DE516" s="52"/>
      <c r="DF516" s="52"/>
      <c r="DG516" s="52"/>
      <c r="DH516" s="52"/>
      <c r="DI516" s="52"/>
      <c r="DJ516" s="52"/>
      <c r="DK516" s="52"/>
      <c r="DL516" s="52"/>
      <c r="DM516" s="52"/>
      <c r="DN516" s="52"/>
      <c r="DO516" s="52"/>
      <c r="DP516" s="52"/>
      <c r="DQ516" s="52"/>
      <c r="DR516" s="52"/>
      <c r="DS516" s="52"/>
      <c r="DT516" s="52"/>
      <c r="DU516" s="52"/>
      <c r="DV516" s="52"/>
      <c r="DW516" s="52"/>
    </row>
    <row r="517">
      <c r="A517" s="40" t="s">
        <v>55</v>
      </c>
      <c r="B517" s="41" t="s">
        <v>56</v>
      </c>
      <c r="C517" s="31" t="s">
        <v>1417</v>
      </c>
      <c r="D517" s="25" t="str">
        <f>IFERROR(__xludf.DUMMYFUNCTION("SPLIT(C517,"" "")"),"Schossler,")</f>
        <v>Schossler,</v>
      </c>
      <c r="E517" s="40" t="str">
        <f>IFERROR(__xludf.DUMMYFUNCTION("""COMPUTED_VALUE"""),"Rodney
6336")</f>
        <v>Rodney
6336</v>
      </c>
      <c r="F517" s="40" t="str">
        <f>IFERROR(__xludf.DUMMYFUNCTION("""COMPUTED_VALUE"""),"Tulip
Dallas,")</f>
        <v>Tulip
Dallas,</v>
      </c>
      <c r="G517" s="40" t="str">
        <f>IFERROR(__xludf.DUMMYFUNCTION("""COMPUTED_VALUE"""),"TX")</f>
        <v>TX</v>
      </c>
      <c r="H517" s="40">
        <f>IFERROR(__xludf.DUMMYFUNCTION("""COMPUTED_VALUE"""),75230.0)</f>
        <v>75230</v>
      </c>
      <c r="I517" s="40"/>
      <c r="J517" s="40"/>
      <c r="K517" s="40"/>
      <c r="L517" s="40"/>
      <c r="M517" s="40"/>
      <c r="N517" s="40"/>
      <c r="O517" s="40"/>
      <c r="P517" s="40"/>
      <c r="Q517" s="40"/>
      <c r="R517" s="40"/>
      <c r="S517" s="40"/>
      <c r="T517" s="40"/>
      <c r="U517" s="24" t="str">
        <f>IFERROR(__xludf.DUMMYFUNCTION("SPLIT(E517,""01234567890"")"),"Rodney
")</f>
        <v>Rodney
</v>
      </c>
      <c r="V517" s="24" t="str">
        <f>IFERROR(__xludf.DUMMYFUNCTION("SPLIT(D517,"","")"),"Schossler")</f>
        <v>Schossler</v>
      </c>
      <c r="W517" s="25" t="str">
        <f t="shared" si="1"/>
        <v>RODNEY
 SCHOSSLER</v>
      </c>
      <c r="X517" s="25" t="s">
        <v>1418</v>
      </c>
      <c r="Y517" s="25">
        <v>75230.0</v>
      </c>
      <c r="Z517" s="25" t="str">
        <f>IFERROR(__xludf.DUMMYFUNCTION("SPLIT(C517,""
"")"),"Schossler, Rodney")</f>
        <v>Schossler, Rodney</v>
      </c>
      <c r="AA517" s="25" t="str">
        <f>IFERROR(__xludf.DUMMYFUNCTION("""COMPUTED_VALUE"""),"6336 Tulip")</f>
        <v>6336 Tulip</v>
      </c>
      <c r="AB517" s="25" t="str">
        <f>IFERROR(__xludf.DUMMYFUNCTION("""COMPUTED_VALUE"""),"Dallas, TX 75230")</f>
        <v>Dallas, TX 75230</v>
      </c>
      <c r="AC517" s="24" t="s">
        <v>1419</v>
      </c>
      <c r="AD517" s="25"/>
      <c r="AE517" s="25"/>
      <c r="AF517" s="25"/>
      <c r="AG517" s="40" t="s">
        <v>60</v>
      </c>
      <c r="AH517" s="42">
        <v>2448.0</v>
      </c>
      <c r="AI517" s="40" t="s">
        <v>61</v>
      </c>
      <c r="AJ517" s="27">
        <v>250.0</v>
      </c>
      <c r="AK517" s="31" t="s">
        <v>24</v>
      </c>
      <c r="AL517" s="43">
        <v>44686.0</v>
      </c>
      <c r="AM517" s="44">
        <v>44757.44018518519</v>
      </c>
      <c r="AN517" s="30">
        <v>2.0</v>
      </c>
      <c r="AO517" s="40"/>
      <c r="AP517" s="40"/>
      <c r="AQ517" s="40"/>
      <c r="AR517" s="40"/>
      <c r="AS517" s="40"/>
      <c r="AT517" s="47"/>
      <c r="AU517" s="40"/>
      <c r="AV517" s="46" t="str">
        <f>IFERROR(__xludf.DUMMYFUNCTION("""COMPUTED_VALUE"""),"Farmer")</f>
        <v>Farmer</v>
      </c>
      <c r="AW517" s="46">
        <f t="shared" si="7"/>
        <v>1000</v>
      </c>
      <c r="AX517" s="47">
        <f t="shared" ref="AX517:BQ517" si="1661">SUMIFS($AJ:$AJ,$V:$V,$AV517,$AK:$AK,AX$2)</f>
        <v>0</v>
      </c>
      <c r="AY517" s="48">
        <f t="shared" si="1661"/>
        <v>0</v>
      </c>
      <c r="AZ517" s="48">
        <f t="shared" si="1661"/>
        <v>0</v>
      </c>
      <c r="BA517" s="48">
        <f t="shared" si="1661"/>
        <v>0</v>
      </c>
      <c r="BB517" s="48">
        <f t="shared" si="1661"/>
        <v>1000</v>
      </c>
      <c r="BC517" s="48">
        <f t="shared" si="1661"/>
        <v>0</v>
      </c>
      <c r="BD517" s="48">
        <f t="shared" si="1661"/>
        <v>0</v>
      </c>
      <c r="BE517" s="48">
        <f t="shared" si="1661"/>
        <v>0</v>
      </c>
      <c r="BF517" s="48">
        <f t="shared" si="1661"/>
        <v>0</v>
      </c>
      <c r="BG517" s="48">
        <f t="shared" si="1661"/>
        <v>0</v>
      </c>
      <c r="BH517" s="48">
        <f t="shared" si="1661"/>
        <v>0</v>
      </c>
      <c r="BI517" s="48">
        <f t="shared" si="1661"/>
        <v>0</v>
      </c>
      <c r="BJ517" s="48">
        <f t="shared" si="1661"/>
        <v>0</v>
      </c>
      <c r="BK517" s="48">
        <f t="shared" si="1661"/>
        <v>0</v>
      </c>
      <c r="BL517" s="48">
        <f t="shared" si="1661"/>
        <v>0</v>
      </c>
      <c r="BM517" s="48">
        <f t="shared" si="1661"/>
        <v>0</v>
      </c>
      <c r="BN517" s="48">
        <f t="shared" si="1661"/>
        <v>0</v>
      </c>
      <c r="BO517" s="48">
        <f t="shared" si="1661"/>
        <v>0</v>
      </c>
      <c r="BP517" s="48">
        <f t="shared" si="1661"/>
        <v>0</v>
      </c>
      <c r="BQ517" s="48">
        <f t="shared" si="1661"/>
        <v>0</v>
      </c>
      <c r="BR517" s="36">
        <f t="shared" si="9"/>
        <v>0</v>
      </c>
      <c r="BS517" s="38">
        <f t="shared" si="10"/>
        <v>1</v>
      </c>
      <c r="BT517" s="49">
        <f t="shared" si="11"/>
        <v>0</v>
      </c>
      <c r="BU517" s="38">
        <f t="shared" si="12"/>
        <v>1000</v>
      </c>
      <c r="BV517" s="46" t="str">
        <f>IFERROR(__xludf.DUMMYFUNCTION("""COMPUTED_VALUE"""),"Farmer")</f>
        <v>Farmer</v>
      </c>
      <c r="BW517" s="46">
        <f t="shared" si="13"/>
        <v>1000</v>
      </c>
      <c r="BX517" s="47">
        <f t="shared" ref="BX517:CA517" si="1662">AX517-$BU517</f>
        <v>-1000</v>
      </c>
      <c r="BY517" s="47">
        <f t="shared" si="1662"/>
        <v>-1000</v>
      </c>
      <c r="BZ517" s="47">
        <f t="shared" si="1662"/>
        <v>-1000</v>
      </c>
      <c r="CA517" s="47">
        <f t="shared" si="1662"/>
        <v>-1000</v>
      </c>
      <c r="CB517" s="47">
        <f t="shared" si="15"/>
        <v>-9000</v>
      </c>
      <c r="CC517" s="47">
        <f t="shared" ref="CC517:CQ517" si="1663">BC517-$BU517</f>
        <v>-1000</v>
      </c>
      <c r="CD517" s="47">
        <f t="shared" si="1663"/>
        <v>-1000</v>
      </c>
      <c r="CE517" s="47">
        <f t="shared" si="1663"/>
        <v>-1000</v>
      </c>
      <c r="CF517" s="47">
        <f t="shared" si="1663"/>
        <v>-1000</v>
      </c>
      <c r="CG517" s="47">
        <f t="shared" si="1663"/>
        <v>-1000</v>
      </c>
      <c r="CH517" s="47">
        <f t="shared" si="1663"/>
        <v>-1000</v>
      </c>
      <c r="CI517" s="47">
        <f t="shared" si="1663"/>
        <v>-1000</v>
      </c>
      <c r="CJ517" s="47">
        <f t="shared" si="1663"/>
        <v>-1000</v>
      </c>
      <c r="CK517" s="47">
        <f t="shared" si="1663"/>
        <v>-1000</v>
      </c>
      <c r="CL517" s="47">
        <f t="shared" si="1663"/>
        <v>-1000</v>
      </c>
      <c r="CM517" s="47">
        <f t="shared" si="1663"/>
        <v>-1000</v>
      </c>
      <c r="CN517" s="47">
        <f t="shared" si="1663"/>
        <v>-1000</v>
      </c>
      <c r="CO517" s="47">
        <f t="shared" si="1663"/>
        <v>-1000</v>
      </c>
      <c r="CP517" s="47">
        <f t="shared" si="1663"/>
        <v>-1000</v>
      </c>
      <c r="CQ517" s="47">
        <f t="shared" si="1663"/>
        <v>-1000</v>
      </c>
      <c r="CR517" s="47"/>
      <c r="CS517" s="47"/>
      <c r="CT517" s="47"/>
      <c r="CU517" s="50" t="str">
        <f>IFERROR(__xludf.DUMMYFUNCTION("""COMPUTED_VALUE"""),"6307 Club Lake Ct.
Dallas, TX 75214         ")</f>
        <v>6307 Club Lake Ct.
Dallas, TX 75214         </v>
      </c>
      <c r="CV517" s="51">
        <f>IFERROR(__xludf.DUMMYFUNCTION("IF(REGEXMATCH(UPPER(CU517), ""TX""),0,1)"),0.0)</f>
        <v>0</v>
      </c>
      <c r="CW517" s="51">
        <f>IFERROR(__xludf.DUMMYFUNCTION("IF(REGEXMATCH(UPPER(CU517), ""DALLAS""),0,1)"),0.0)</f>
        <v>0</v>
      </c>
      <c r="CX517" s="51">
        <f t="shared" si="17"/>
        <v>0</v>
      </c>
      <c r="CY517" s="51">
        <f t="shared" si="18"/>
        <v>0</v>
      </c>
      <c r="CZ517" s="52" t="str">
        <f t="shared" si="19"/>
        <v/>
      </c>
      <c r="DA517" s="58"/>
      <c r="DB517" s="52"/>
      <c r="DC517" s="52"/>
      <c r="DD517" s="52"/>
      <c r="DE517" s="52"/>
      <c r="DF517" s="52"/>
      <c r="DG517" s="52"/>
      <c r="DH517" s="52"/>
      <c r="DI517" s="52"/>
      <c r="DJ517" s="52"/>
      <c r="DK517" s="52"/>
      <c r="DL517" s="52"/>
      <c r="DM517" s="52"/>
      <c r="DN517" s="52"/>
      <c r="DO517" s="52"/>
      <c r="DP517" s="52"/>
      <c r="DQ517" s="52"/>
      <c r="DR517" s="52"/>
      <c r="DS517" s="52"/>
      <c r="DT517" s="52"/>
      <c r="DU517" s="52"/>
      <c r="DV517" s="52"/>
      <c r="DW517" s="52"/>
    </row>
    <row r="518">
      <c r="A518" s="22" t="s">
        <v>55</v>
      </c>
      <c r="B518" s="23" t="s">
        <v>56</v>
      </c>
      <c r="C518" s="31" t="s">
        <v>997</v>
      </c>
      <c r="D518" s="25" t="str">
        <f>IFERROR(__xludf.DUMMYFUNCTION("SPLIT(C518,"" "")"),"Wilson,")</f>
        <v>Wilson,</v>
      </c>
      <c r="E518" s="22" t="str">
        <f>IFERROR(__xludf.DUMMYFUNCTION("""COMPUTED_VALUE"""),"Nancy
6739")</f>
        <v>Nancy
6739</v>
      </c>
      <c r="F518" s="22" t="str">
        <f>IFERROR(__xludf.DUMMYFUNCTION("""COMPUTED_VALUE"""),"Avalon")</f>
        <v>Avalon</v>
      </c>
      <c r="G518" s="22" t="str">
        <f>IFERROR(__xludf.DUMMYFUNCTION("""COMPUTED_VALUE"""),"Ave
Dallas,")</f>
        <v>Ave
Dallas,</v>
      </c>
      <c r="H518" s="22" t="str">
        <f>IFERROR(__xludf.DUMMYFUNCTION("""COMPUTED_VALUE"""),"TX")</f>
        <v>TX</v>
      </c>
      <c r="I518" s="22">
        <f>IFERROR(__xludf.DUMMYFUNCTION("""COMPUTED_VALUE"""),75214.0)</f>
        <v>75214</v>
      </c>
      <c r="J518" s="22"/>
      <c r="K518" s="22"/>
      <c r="L518" s="22"/>
      <c r="M518" s="22"/>
      <c r="N518" s="22"/>
      <c r="O518" s="22"/>
      <c r="P518" s="22"/>
      <c r="Q518" s="22"/>
      <c r="R518" s="22"/>
      <c r="S518" s="22"/>
      <c r="T518" s="22"/>
      <c r="U518" s="24" t="str">
        <f>IFERROR(__xludf.DUMMYFUNCTION("SPLIT(E518,""01234567890"")"),"Nancy
")</f>
        <v>Nancy
</v>
      </c>
      <c r="V518" s="24" t="str">
        <f>IFERROR(__xludf.DUMMYFUNCTION("SPLIT(D518,"","")"),"Wilson")</f>
        <v>Wilson</v>
      </c>
      <c r="W518" s="25" t="str">
        <f t="shared" si="1"/>
        <v>NANCY
 WILSON</v>
      </c>
      <c r="X518" s="25" t="s">
        <v>878</v>
      </c>
      <c r="Y518" s="25">
        <v>75214.0</v>
      </c>
      <c r="Z518" s="25" t="str">
        <f>IFERROR(__xludf.DUMMYFUNCTION("SPLIT(C518,""
"")"),"Wilson, Nancy")</f>
        <v>Wilson, Nancy</v>
      </c>
      <c r="AA518" s="25" t="str">
        <f>IFERROR(__xludf.DUMMYFUNCTION("""COMPUTED_VALUE"""),"6739 Avalon Ave")</f>
        <v>6739 Avalon Ave</v>
      </c>
      <c r="AB518" s="25" t="str">
        <f>IFERROR(__xludf.DUMMYFUNCTION("""COMPUTED_VALUE"""),"Dallas, TX 75214")</f>
        <v>Dallas, TX 75214</v>
      </c>
      <c r="AC518" s="24" t="s">
        <v>998</v>
      </c>
      <c r="AD518" s="25"/>
      <c r="AE518" s="25"/>
      <c r="AF518" s="25"/>
      <c r="AG518" s="22" t="s">
        <v>60</v>
      </c>
      <c r="AH518" s="54">
        <v>2448.0</v>
      </c>
      <c r="AI518" s="22" t="s">
        <v>61</v>
      </c>
      <c r="AJ518" s="27">
        <v>250.0</v>
      </c>
      <c r="AK518" s="31" t="s">
        <v>24</v>
      </c>
      <c r="AL518" s="28">
        <v>44686.0</v>
      </c>
      <c r="AM518" s="29">
        <v>44757.44018518519</v>
      </c>
      <c r="AN518" s="30">
        <v>2.0</v>
      </c>
      <c r="AO518" s="22"/>
      <c r="AP518" s="22"/>
      <c r="AQ518" s="22"/>
      <c r="AR518" s="22"/>
      <c r="AS518" s="22"/>
      <c r="AT518" s="70"/>
      <c r="AU518" s="22"/>
      <c r="AV518" s="57" t="str">
        <f>IFERROR(__xludf.DUMMYFUNCTION("""COMPUTED_VALUE"""),"Fertitta")</f>
        <v>Fertitta</v>
      </c>
      <c r="AW518" s="46">
        <f t="shared" si="7"/>
        <v>1000</v>
      </c>
      <c r="AX518" s="47">
        <f t="shared" ref="AX518:BQ518" si="1664">SUMIFS($AJ:$AJ,$V:$V,$AV518,$AK:$AK,AX$2)</f>
        <v>0</v>
      </c>
      <c r="AY518" s="48">
        <f t="shared" si="1664"/>
        <v>0</v>
      </c>
      <c r="AZ518" s="48">
        <f t="shared" si="1664"/>
        <v>0</v>
      </c>
      <c r="BA518" s="48">
        <f t="shared" si="1664"/>
        <v>0</v>
      </c>
      <c r="BB518" s="48">
        <f t="shared" si="1664"/>
        <v>1000</v>
      </c>
      <c r="BC518" s="48">
        <f t="shared" si="1664"/>
        <v>0</v>
      </c>
      <c r="BD518" s="48">
        <f t="shared" si="1664"/>
        <v>0</v>
      </c>
      <c r="BE518" s="48">
        <f t="shared" si="1664"/>
        <v>0</v>
      </c>
      <c r="BF518" s="48">
        <f t="shared" si="1664"/>
        <v>0</v>
      </c>
      <c r="BG518" s="48">
        <f t="shared" si="1664"/>
        <v>0</v>
      </c>
      <c r="BH518" s="48">
        <f t="shared" si="1664"/>
        <v>0</v>
      </c>
      <c r="BI518" s="48">
        <f t="shared" si="1664"/>
        <v>0</v>
      </c>
      <c r="BJ518" s="48">
        <f t="shared" si="1664"/>
        <v>0</v>
      </c>
      <c r="BK518" s="48">
        <f t="shared" si="1664"/>
        <v>0</v>
      </c>
      <c r="BL518" s="48">
        <f t="shared" si="1664"/>
        <v>0</v>
      </c>
      <c r="BM518" s="48">
        <f t="shared" si="1664"/>
        <v>0</v>
      </c>
      <c r="BN518" s="48">
        <f t="shared" si="1664"/>
        <v>0</v>
      </c>
      <c r="BO518" s="48">
        <f t="shared" si="1664"/>
        <v>0</v>
      </c>
      <c r="BP518" s="48">
        <f t="shared" si="1664"/>
        <v>0</v>
      </c>
      <c r="BQ518" s="48">
        <f t="shared" si="1664"/>
        <v>0</v>
      </c>
      <c r="BR518" s="36">
        <f t="shared" si="9"/>
        <v>0</v>
      </c>
      <c r="BS518" s="38">
        <f t="shared" si="10"/>
        <v>1</v>
      </c>
      <c r="BT518" s="49">
        <f t="shared" si="11"/>
        <v>0</v>
      </c>
      <c r="BU518" s="38">
        <f t="shared" si="12"/>
        <v>1000</v>
      </c>
      <c r="BV518" s="57" t="str">
        <f>IFERROR(__xludf.DUMMYFUNCTION("""COMPUTED_VALUE"""),"Fertitta")</f>
        <v>Fertitta</v>
      </c>
      <c r="BW518" s="46">
        <f t="shared" si="13"/>
        <v>1000</v>
      </c>
      <c r="BX518" s="47">
        <f t="shared" ref="BX518:CA518" si="1665">AX518-$BU518</f>
        <v>-1000</v>
      </c>
      <c r="BY518" s="47">
        <f t="shared" si="1665"/>
        <v>-1000</v>
      </c>
      <c r="BZ518" s="47">
        <f t="shared" si="1665"/>
        <v>-1000</v>
      </c>
      <c r="CA518" s="47">
        <f t="shared" si="1665"/>
        <v>-1000</v>
      </c>
      <c r="CB518" s="47">
        <f t="shared" si="15"/>
        <v>-9000</v>
      </c>
      <c r="CC518" s="47">
        <f t="shared" ref="CC518:CQ518" si="1666">BC518-$BU518</f>
        <v>-1000</v>
      </c>
      <c r="CD518" s="47">
        <f t="shared" si="1666"/>
        <v>-1000</v>
      </c>
      <c r="CE518" s="47">
        <f t="shared" si="1666"/>
        <v>-1000</v>
      </c>
      <c r="CF518" s="47">
        <f t="shared" si="1666"/>
        <v>-1000</v>
      </c>
      <c r="CG518" s="47">
        <f t="shared" si="1666"/>
        <v>-1000</v>
      </c>
      <c r="CH518" s="47">
        <f t="shared" si="1666"/>
        <v>-1000</v>
      </c>
      <c r="CI518" s="47">
        <f t="shared" si="1666"/>
        <v>-1000</v>
      </c>
      <c r="CJ518" s="47">
        <f t="shared" si="1666"/>
        <v>-1000</v>
      </c>
      <c r="CK518" s="47">
        <f t="shared" si="1666"/>
        <v>-1000</v>
      </c>
      <c r="CL518" s="47">
        <f t="shared" si="1666"/>
        <v>-1000</v>
      </c>
      <c r="CM518" s="47">
        <f t="shared" si="1666"/>
        <v>-1000</v>
      </c>
      <c r="CN518" s="47">
        <f t="shared" si="1666"/>
        <v>-1000</v>
      </c>
      <c r="CO518" s="47">
        <f t="shared" si="1666"/>
        <v>-1000</v>
      </c>
      <c r="CP518" s="47">
        <f t="shared" si="1666"/>
        <v>-1000</v>
      </c>
      <c r="CQ518" s="47">
        <f t="shared" si="1666"/>
        <v>-1000</v>
      </c>
      <c r="CR518" s="47"/>
      <c r="CS518" s="47"/>
      <c r="CT518" s="47"/>
      <c r="CU518" s="50" t="str">
        <f>IFERROR(__xludf.DUMMYFUNCTION("""COMPUTED_VALUE"""),"8185 San Leandro
Dallas, TX 75218          ")</f>
        <v>8185 San Leandro
Dallas, TX 75218          </v>
      </c>
      <c r="CV518" s="51">
        <f>IFERROR(__xludf.DUMMYFUNCTION("IF(REGEXMATCH(UPPER(CU518), ""TX""),0,1)"),0.0)</f>
        <v>0</v>
      </c>
      <c r="CW518" s="51">
        <f>IFERROR(__xludf.DUMMYFUNCTION("IF(REGEXMATCH(UPPER(CU518), ""DALLAS""),0,1)"),0.0)</f>
        <v>0</v>
      </c>
      <c r="CX518" s="51">
        <f t="shared" si="17"/>
        <v>0</v>
      </c>
      <c r="CY518" s="51">
        <f t="shared" si="18"/>
        <v>0</v>
      </c>
      <c r="CZ518" s="52" t="str">
        <f t="shared" si="19"/>
        <v/>
      </c>
      <c r="DA518" s="58"/>
      <c r="DB518" s="52"/>
      <c r="DC518" s="52"/>
      <c r="DD518" s="52"/>
      <c r="DE518" s="52"/>
      <c r="DF518" s="52"/>
      <c r="DG518" s="52"/>
      <c r="DH518" s="52"/>
      <c r="DI518" s="52"/>
      <c r="DJ518" s="52"/>
      <c r="DK518" s="52"/>
      <c r="DL518" s="52"/>
      <c r="DM518" s="52"/>
      <c r="DN518" s="52"/>
      <c r="DO518" s="52"/>
      <c r="DP518" s="52"/>
      <c r="DQ518" s="52"/>
      <c r="DR518" s="52"/>
      <c r="DS518" s="52"/>
      <c r="DT518" s="52"/>
      <c r="DU518" s="52"/>
      <c r="DV518" s="52"/>
      <c r="DW518" s="52"/>
    </row>
    <row r="519">
      <c r="A519" s="40" t="s">
        <v>55</v>
      </c>
      <c r="B519" s="41" t="s">
        <v>56</v>
      </c>
      <c r="C519" s="31" t="s">
        <v>1420</v>
      </c>
      <c r="D519" s="25" t="str">
        <f>IFERROR(__xludf.DUMMYFUNCTION("SPLIT(C519,"" "")"),"Wendel,")</f>
        <v>Wendel,</v>
      </c>
      <c r="E519" s="40" t="str">
        <f>IFERROR(__xludf.DUMMYFUNCTION("""COMPUTED_VALUE"""),"Diane
6913")</f>
        <v>Diane
6913</v>
      </c>
      <c r="F519" s="40" t="str">
        <f>IFERROR(__xludf.DUMMYFUNCTION("""COMPUTED_VALUE"""),"Lakewood")</f>
        <v>Lakewood</v>
      </c>
      <c r="G519" s="40" t="str">
        <f>IFERROR(__xludf.DUMMYFUNCTION("""COMPUTED_VALUE"""),"Blvd
Dallas,")</f>
        <v>Blvd
Dallas,</v>
      </c>
      <c r="H519" s="40" t="str">
        <f>IFERROR(__xludf.DUMMYFUNCTION("""COMPUTED_VALUE"""),"TX")</f>
        <v>TX</v>
      </c>
      <c r="I519" s="40">
        <f>IFERROR(__xludf.DUMMYFUNCTION("""COMPUTED_VALUE"""),75214.0)</f>
        <v>75214</v>
      </c>
      <c r="J519" s="40"/>
      <c r="K519" s="40"/>
      <c r="L519" s="40"/>
      <c r="M519" s="40"/>
      <c r="N519" s="40"/>
      <c r="O519" s="40"/>
      <c r="P519" s="40"/>
      <c r="Q519" s="40"/>
      <c r="R519" s="40"/>
      <c r="S519" s="40"/>
      <c r="T519" s="40"/>
      <c r="U519" s="24" t="str">
        <f>IFERROR(__xludf.DUMMYFUNCTION("SPLIT(E519,""01234567890"")"),"Diane
")</f>
        <v>Diane
</v>
      </c>
      <c r="V519" s="24" t="str">
        <f>IFERROR(__xludf.DUMMYFUNCTION("SPLIT(D519,"","")"),"Wendel")</f>
        <v>Wendel</v>
      </c>
      <c r="W519" s="25" t="str">
        <f t="shared" si="1"/>
        <v>DIANE
 WENDEL</v>
      </c>
      <c r="X519" s="25" t="s">
        <v>1421</v>
      </c>
      <c r="Y519" s="25">
        <v>75214.0</v>
      </c>
      <c r="Z519" s="25" t="str">
        <f>IFERROR(__xludf.DUMMYFUNCTION("SPLIT(C519,""
"")"),"Wendel, Diane")</f>
        <v>Wendel, Diane</v>
      </c>
      <c r="AA519" s="25" t="str">
        <f>IFERROR(__xludf.DUMMYFUNCTION("""COMPUTED_VALUE"""),"6913 Lakewood Blvd")</f>
        <v>6913 Lakewood Blvd</v>
      </c>
      <c r="AB519" s="25" t="str">
        <f>IFERROR(__xludf.DUMMYFUNCTION("""COMPUTED_VALUE"""),"Dallas, TX 75214")</f>
        <v>Dallas, TX 75214</v>
      </c>
      <c r="AC519" s="24" t="s">
        <v>1422</v>
      </c>
      <c r="AD519" s="25"/>
      <c r="AE519" s="25"/>
      <c r="AF519" s="25"/>
      <c r="AG519" s="40" t="s">
        <v>60</v>
      </c>
      <c r="AH519" s="42">
        <v>2448.0</v>
      </c>
      <c r="AI519" s="40" t="s">
        <v>61</v>
      </c>
      <c r="AJ519" s="27">
        <v>1000.0</v>
      </c>
      <c r="AK519" s="31" t="s">
        <v>24</v>
      </c>
      <c r="AL519" s="43">
        <v>44687.0</v>
      </c>
      <c r="AM519" s="44">
        <v>44757.44018518519</v>
      </c>
      <c r="AN519" s="30">
        <v>2.0</v>
      </c>
      <c r="AO519" s="40"/>
      <c r="AP519" s="40"/>
      <c r="AQ519" s="40"/>
      <c r="AR519" s="40"/>
      <c r="AS519" s="40"/>
      <c r="AT519" s="47"/>
      <c r="AU519" s="40"/>
      <c r="AV519" s="46" t="str">
        <f>IFERROR(__xludf.DUMMYFUNCTION("""COMPUTED_VALUE"""),"Kleinert")</f>
        <v>Kleinert</v>
      </c>
      <c r="AW519" s="46">
        <f t="shared" si="7"/>
        <v>5000</v>
      </c>
      <c r="AX519" s="47">
        <f t="shared" ref="AX519:BQ519" si="1667">SUMIFS($AJ:$AJ,$V:$V,$AV519,$AK:$AK,AX$2)</f>
        <v>0</v>
      </c>
      <c r="AY519" s="48">
        <f t="shared" si="1667"/>
        <v>0</v>
      </c>
      <c r="AZ519" s="48">
        <f t="shared" si="1667"/>
        <v>0</v>
      </c>
      <c r="BA519" s="48">
        <f t="shared" si="1667"/>
        <v>0</v>
      </c>
      <c r="BB519" s="48">
        <f t="shared" si="1667"/>
        <v>5000</v>
      </c>
      <c r="BC519" s="48">
        <f t="shared" si="1667"/>
        <v>0</v>
      </c>
      <c r="BD519" s="48">
        <f t="shared" si="1667"/>
        <v>0</v>
      </c>
      <c r="BE519" s="48">
        <f t="shared" si="1667"/>
        <v>0</v>
      </c>
      <c r="BF519" s="48">
        <f t="shared" si="1667"/>
        <v>0</v>
      </c>
      <c r="BG519" s="48">
        <f t="shared" si="1667"/>
        <v>0</v>
      </c>
      <c r="BH519" s="48">
        <f t="shared" si="1667"/>
        <v>0</v>
      </c>
      <c r="BI519" s="48">
        <f t="shared" si="1667"/>
        <v>0</v>
      </c>
      <c r="BJ519" s="48">
        <f t="shared" si="1667"/>
        <v>0</v>
      </c>
      <c r="BK519" s="48">
        <f t="shared" si="1667"/>
        <v>0</v>
      </c>
      <c r="BL519" s="48">
        <f t="shared" si="1667"/>
        <v>0</v>
      </c>
      <c r="BM519" s="48">
        <f t="shared" si="1667"/>
        <v>0</v>
      </c>
      <c r="BN519" s="48">
        <f t="shared" si="1667"/>
        <v>0</v>
      </c>
      <c r="BO519" s="48">
        <f t="shared" si="1667"/>
        <v>0</v>
      </c>
      <c r="BP519" s="48">
        <f t="shared" si="1667"/>
        <v>0</v>
      </c>
      <c r="BQ519" s="48">
        <f t="shared" si="1667"/>
        <v>0</v>
      </c>
      <c r="BR519" s="36">
        <f t="shared" si="9"/>
        <v>0</v>
      </c>
      <c r="BS519" s="38">
        <f t="shared" si="10"/>
        <v>1</v>
      </c>
      <c r="BT519" s="49">
        <f t="shared" si="11"/>
        <v>0</v>
      </c>
      <c r="BU519" s="38">
        <f t="shared" si="12"/>
        <v>1000</v>
      </c>
      <c r="BV519" s="46" t="str">
        <f>IFERROR(__xludf.DUMMYFUNCTION("""COMPUTED_VALUE"""),"Kleinert")</f>
        <v>Kleinert</v>
      </c>
      <c r="BW519" s="46">
        <f t="shared" si="13"/>
        <v>5000</v>
      </c>
      <c r="BX519" s="47">
        <f t="shared" ref="BX519:CA519" si="1668">AX519-$BU519</f>
        <v>-1000</v>
      </c>
      <c r="BY519" s="47">
        <f t="shared" si="1668"/>
        <v>-1000</v>
      </c>
      <c r="BZ519" s="47">
        <f t="shared" si="1668"/>
        <v>-1000</v>
      </c>
      <c r="CA519" s="47">
        <f t="shared" si="1668"/>
        <v>-1000</v>
      </c>
      <c r="CB519" s="47">
        <f t="shared" si="15"/>
        <v>-5000</v>
      </c>
      <c r="CC519" s="47">
        <f t="shared" ref="CC519:CQ519" si="1669">BC519-$BU519</f>
        <v>-1000</v>
      </c>
      <c r="CD519" s="47">
        <f t="shared" si="1669"/>
        <v>-1000</v>
      </c>
      <c r="CE519" s="47">
        <f t="shared" si="1669"/>
        <v>-1000</v>
      </c>
      <c r="CF519" s="47">
        <f t="shared" si="1669"/>
        <v>-1000</v>
      </c>
      <c r="CG519" s="47">
        <f t="shared" si="1669"/>
        <v>-1000</v>
      </c>
      <c r="CH519" s="47">
        <f t="shared" si="1669"/>
        <v>-1000</v>
      </c>
      <c r="CI519" s="47">
        <f t="shared" si="1669"/>
        <v>-1000</v>
      </c>
      <c r="CJ519" s="47">
        <f t="shared" si="1669"/>
        <v>-1000</v>
      </c>
      <c r="CK519" s="47">
        <f t="shared" si="1669"/>
        <v>-1000</v>
      </c>
      <c r="CL519" s="47">
        <f t="shared" si="1669"/>
        <v>-1000</v>
      </c>
      <c r="CM519" s="47">
        <f t="shared" si="1669"/>
        <v>-1000</v>
      </c>
      <c r="CN519" s="47">
        <f t="shared" si="1669"/>
        <v>-1000</v>
      </c>
      <c r="CO519" s="47">
        <f t="shared" si="1669"/>
        <v>-1000</v>
      </c>
      <c r="CP519" s="47">
        <f t="shared" si="1669"/>
        <v>-1000</v>
      </c>
      <c r="CQ519" s="47">
        <f t="shared" si="1669"/>
        <v>-1000</v>
      </c>
      <c r="CR519" s="47"/>
      <c r="CS519" s="47"/>
      <c r="CT519" s="47"/>
      <c r="CU519" s="50" t="str">
        <f>IFERROR(__xludf.DUMMYFUNCTION("""COMPUTED_VALUE"""),"9322 Mercer Dr.
Dallas, TX 75228          ")</f>
        <v>9322 Mercer Dr.
Dallas, TX 75228          </v>
      </c>
      <c r="CV519" s="51">
        <f>IFERROR(__xludf.DUMMYFUNCTION("IF(REGEXMATCH(UPPER(CU519), ""TX""),0,1)"),0.0)</f>
        <v>0</v>
      </c>
      <c r="CW519" s="51">
        <f>IFERROR(__xludf.DUMMYFUNCTION("IF(REGEXMATCH(UPPER(CU519), ""DALLAS""),0,1)"),0.0)</f>
        <v>0</v>
      </c>
      <c r="CX519" s="51">
        <f t="shared" si="17"/>
        <v>0</v>
      </c>
      <c r="CY519" s="51">
        <f t="shared" si="18"/>
        <v>0</v>
      </c>
      <c r="CZ519" s="52" t="str">
        <f t="shared" si="19"/>
        <v/>
      </c>
      <c r="DA519" s="58"/>
      <c r="DB519" s="52"/>
      <c r="DC519" s="52"/>
      <c r="DD519" s="52"/>
      <c r="DE519" s="52"/>
      <c r="DF519" s="52"/>
      <c r="DG519" s="52"/>
      <c r="DH519" s="52"/>
      <c r="DI519" s="52"/>
      <c r="DJ519" s="52"/>
      <c r="DK519" s="52"/>
      <c r="DL519" s="52"/>
      <c r="DM519" s="52"/>
      <c r="DN519" s="52"/>
      <c r="DO519" s="52"/>
      <c r="DP519" s="52"/>
      <c r="DQ519" s="52"/>
      <c r="DR519" s="52"/>
      <c r="DS519" s="52"/>
      <c r="DT519" s="52"/>
      <c r="DU519" s="52"/>
      <c r="DV519" s="52"/>
      <c r="DW519" s="52"/>
    </row>
    <row r="520">
      <c r="A520" s="22" t="s">
        <v>55</v>
      </c>
      <c r="B520" s="23" t="s">
        <v>56</v>
      </c>
      <c r="C520" s="31" t="s">
        <v>1423</v>
      </c>
      <c r="D520" s="25" t="str">
        <f>IFERROR(__xludf.DUMMYFUNCTION("SPLIT(C520,"" "")"),"Davis,")</f>
        <v>Davis,</v>
      </c>
      <c r="E520" s="22" t="str">
        <f>IFERROR(__xludf.DUMMYFUNCTION("""COMPUTED_VALUE"""),"Macey
8322")</f>
        <v>Macey
8322</v>
      </c>
      <c r="F520" s="22" t="str">
        <f>IFERROR(__xludf.DUMMYFUNCTION("""COMPUTED_VALUE"""),"Ridgelea")</f>
        <v>Ridgelea</v>
      </c>
      <c r="G520" s="22" t="str">
        <f>IFERROR(__xludf.DUMMYFUNCTION("""COMPUTED_VALUE"""),"St.
Dallas,")</f>
        <v>St.
Dallas,</v>
      </c>
      <c r="H520" s="22" t="str">
        <f>IFERROR(__xludf.DUMMYFUNCTION("""COMPUTED_VALUE"""),"TX")</f>
        <v>TX</v>
      </c>
      <c r="I520" s="22">
        <f>IFERROR(__xludf.DUMMYFUNCTION("""COMPUTED_VALUE"""),75209.0)</f>
        <v>75209</v>
      </c>
      <c r="J520" s="22"/>
      <c r="K520" s="22"/>
      <c r="L520" s="22"/>
      <c r="M520" s="22"/>
      <c r="N520" s="22"/>
      <c r="O520" s="22"/>
      <c r="P520" s="22"/>
      <c r="Q520" s="22"/>
      <c r="R520" s="22"/>
      <c r="S520" s="22"/>
      <c r="T520" s="22"/>
      <c r="U520" s="24" t="str">
        <f>IFERROR(__xludf.DUMMYFUNCTION("SPLIT(E520,""01234567890"")"),"Macey
")</f>
        <v>Macey
</v>
      </c>
      <c r="V520" s="24" t="str">
        <f>IFERROR(__xludf.DUMMYFUNCTION("SPLIT(D520,"","")"),"Davis")</f>
        <v>Davis</v>
      </c>
      <c r="W520" s="25" t="str">
        <f t="shared" si="1"/>
        <v>MACEY
 DAVIS</v>
      </c>
      <c r="X520" s="25" t="s">
        <v>1424</v>
      </c>
      <c r="Y520" s="25">
        <v>75209.0</v>
      </c>
      <c r="Z520" s="25" t="str">
        <f>IFERROR(__xludf.DUMMYFUNCTION("SPLIT(C520,""
"")"),"Davis, Macey")</f>
        <v>Davis, Macey</v>
      </c>
      <c r="AA520" s="25" t="str">
        <f>IFERROR(__xludf.DUMMYFUNCTION("""COMPUTED_VALUE"""),"8322 Ridgelea St.")</f>
        <v>8322 Ridgelea St.</v>
      </c>
      <c r="AB520" s="25" t="str">
        <f>IFERROR(__xludf.DUMMYFUNCTION("""COMPUTED_VALUE"""),"Dallas, TX 75209")</f>
        <v>Dallas, TX 75209</v>
      </c>
      <c r="AC520" s="24" t="s">
        <v>1224</v>
      </c>
      <c r="AD520" s="25"/>
      <c r="AE520" s="25"/>
      <c r="AF520" s="25"/>
      <c r="AG520" s="22" t="s">
        <v>60</v>
      </c>
      <c r="AH520" s="54">
        <v>2448.0</v>
      </c>
      <c r="AI520" s="22" t="s">
        <v>61</v>
      </c>
      <c r="AJ520" s="27">
        <v>1000.0</v>
      </c>
      <c r="AK520" s="31" t="s">
        <v>24</v>
      </c>
      <c r="AL520" s="28">
        <v>44688.0</v>
      </c>
      <c r="AM520" s="29">
        <v>44757.44018518519</v>
      </c>
      <c r="AN520" s="30">
        <v>2.0</v>
      </c>
      <c r="AO520" s="22"/>
      <c r="AP520" s="22"/>
      <c r="AQ520" s="22"/>
      <c r="AR520" s="22"/>
      <c r="AS520" s="22"/>
      <c r="AT520" s="70"/>
      <c r="AU520" s="22"/>
      <c r="AV520" s="57" t="str">
        <f>IFERROR(__xludf.DUMMYFUNCTION("""COMPUTED_VALUE"""),"Meurer")</f>
        <v>Meurer</v>
      </c>
      <c r="AW520" s="46">
        <f t="shared" si="7"/>
        <v>5000</v>
      </c>
      <c r="AX520" s="47">
        <f t="shared" ref="AX520:BQ520" si="1670">SUMIFS($AJ:$AJ,$V:$V,$AV520,$AK:$AK,AX$2)</f>
        <v>0</v>
      </c>
      <c r="AY520" s="48">
        <f t="shared" si="1670"/>
        <v>0</v>
      </c>
      <c r="AZ520" s="48">
        <f t="shared" si="1670"/>
        <v>0</v>
      </c>
      <c r="BA520" s="48">
        <f t="shared" si="1670"/>
        <v>0</v>
      </c>
      <c r="BB520" s="48">
        <f t="shared" si="1670"/>
        <v>5000</v>
      </c>
      <c r="BC520" s="48">
        <f t="shared" si="1670"/>
        <v>0</v>
      </c>
      <c r="BD520" s="48">
        <f t="shared" si="1670"/>
        <v>0</v>
      </c>
      <c r="BE520" s="48">
        <f t="shared" si="1670"/>
        <v>0</v>
      </c>
      <c r="BF520" s="48">
        <f t="shared" si="1670"/>
        <v>0</v>
      </c>
      <c r="BG520" s="48">
        <f t="shared" si="1670"/>
        <v>0</v>
      </c>
      <c r="BH520" s="48">
        <f t="shared" si="1670"/>
        <v>0</v>
      </c>
      <c r="BI520" s="48">
        <f t="shared" si="1670"/>
        <v>0</v>
      </c>
      <c r="BJ520" s="48">
        <f t="shared" si="1670"/>
        <v>0</v>
      </c>
      <c r="BK520" s="48">
        <f t="shared" si="1670"/>
        <v>0</v>
      </c>
      <c r="BL520" s="48">
        <f t="shared" si="1670"/>
        <v>0</v>
      </c>
      <c r="BM520" s="48">
        <f t="shared" si="1670"/>
        <v>0</v>
      </c>
      <c r="BN520" s="48">
        <f t="shared" si="1670"/>
        <v>0</v>
      </c>
      <c r="BO520" s="48">
        <f t="shared" si="1670"/>
        <v>0</v>
      </c>
      <c r="BP520" s="48">
        <f t="shared" si="1670"/>
        <v>0</v>
      </c>
      <c r="BQ520" s="48">
        <f t="shared" si="1670"/>
        <v>0</v>
      </c>
      <c r="BR520" s="36">
        <f t="shared" si="9"/>
        <v>0</v>
      </c>
      <c r="BS520" s="38">
        <f t="shared" si="10"/>
        <v>1</v>
      </c>
      <c r="BT520" s="49">
        <f t="shared" si="11"/>
        <v>0</v>
      </c>
      <c r="BU520" s="38">
        <f t="shared" si="12"/>
        <v>1000</v>
      </c>
      <c r="BV520" s="57" t="str">
        <f>IFERROR(__xludf.DUMMYFUNCTION("""COMPUTED_VALUE"""),"Meurer")</f>
        <v>Meurer</v>
      </c>
      <c r="BW520" s="46">
        <f t="shared" si="13"/>
        <v>5000</v>
      </c>
      <c r="BX520" s="47">
        <f t="shared" ref="BX520:CA520" si="1671">AX520-$BU520</f>
        <v>-1000</v>
      </c>
      <c r="BY520" s="47">
        <f t="shared" si="1671"/>
        <v>-1000</v>
      </c>
      <c r="BZ520" s="47">
        <f t="shared" si="1671"/>
        <v>-1000</v>
      </c>
      <c r="CA520" s="47">
        <f t="shared" si="1671"/>
        <v>-1000</v>
      </c>
      <c r="CB520" s="47">
        <f t="shared" si="15"/>
        <v>-5000</v>
      </c>
      <c r="CC520" s="47">
        <f t="shared" ref="CC520:CQ520" si="1672">BC520-$BU520</f>
        <v>-1000</v>
      </c>
      <c r="CD520" s="47">
        <f t="shared" si="1672"/>
        <v>-1000</v>
      </c>
      <c r="CE520" s="47">
        <f t="shared" si="1672"/>
        <v>-1000</v>
      </c>
      <c r="CF520" s="47">
        <f t="shared" si="1672"/>
        <v>-1000</v>
      </c>
      <c r="CG520" s="47">
        <f t="shared" si="1672"/>
        <v>-1000</v>
      </c>
      <c r="CH520" s="47">
        <f t="shared" si="1672"/>
        <v>-1000</v>
      </c>
      <c r="CI520" s="47">
        <f t="shared" si="1672"/>
        <v>-1000</v>
      </c>
      <c r="CJ520" s="47">
        <f t="shared" si="1672"/>
        <v>-1000</v>
      </c>
      <c r="CK520" s="47">
        <f t="shared" si="1672"/>
        <v>-1000</v>
      </c>
      <c r="CL520" s="47">
        <f t="shared" si="1672"/>
        <v>-1000</v>
      </c>
      <c r="CM520" s="47">
        <f t="shared" si="1672"/>
        <v>-1000</v>
      </c>
      <c r="CN520" s="47">
        <f t="shared" si="1672"/>
        <v>-1000</v>
      </c>
      <c r="CO520" s="47">
        <f t="shared" si="1672"/>
        <v>-1000</v>
      </c>
      <c r="CP520" s="47">
        <f t="shared" si="1672"/>
        <v>-1000</v>
      </c>
      <c r="CQ520" s="47">
        <f t="shared" si="1672"/>
        <v>-1000</v>
      </c>
      <c r="CR520" s="47"/>
      <c r="CS520" s="47"/>
      <c r="CT520" s="47"/>
      <c r="CU520" s="50" t="str">
        <f>IFERROR(__xludf.DUMMYFUNCTION("""COMPUTED_VALUE"""),"6200 Los Robles Ln
MEsquite, TX 75215         ")</f>
        <v>6200 Los Robles Ln
MEsquite, TX 75215         </v>
      </c>
      <c r="CV520" s="51">
        <f>IFERROR(__xludf.DUMMYFUNCTION("IF(REGEXMATCH(UPPER(CU520), ""TX""),0,1)"),0.0)</f>
        <v>0</v>
      </c>
      <c r="CW520" s="51">
        <f>IFERROR(__xludf.DUMMYFUNCTION("IF(REGEXMATCH(UPPER(CU520), ""DALLAS""),0,1)"),1.0)</f>
        <v>1</v>
      </c>
      <c r="CX520" s="51">
        <f t="shared" si="17"/>
        <v>0</v>
      </c>
      <c r="CY520" s="51">
        <f t="shared" si="18"/>
        <v>100</v>
      </c>
      <c r="CZ520" s="52" t="str">
        <f t="shared" si="19"/>
        <v>6200 Los Robles Ln
MEsquite, TX 75215         </v>
      </c>
      <c r="DA520" s="58"/>
      <c r="DB520" s="52"/>
      <c r="DC520" s="52"/>
      <c r="DD520" s="52"/>
      <c r="DE520" s="52"/>
      <c r="DF520" s="52"/>
      <c r="DG520" s="52"/>
      <c r="DH520" s="52"/>
      <c r="DI520" s="52"/>
      <c r="DJ520" s="52"/>
      <c r="DK520" s="52"/>
      <c r="DL520" s="52"/>
      <c r="DM520" s="52"/>
      <c r="DN520" s="52"/>
      <c r="DO520" s="52"/>
      <c r="DP520" s="52"/>
      <c r="DQ520" s="52"/>
      <c r="DR520" s="52"/>
      <c r="DS520" s="52"/>
      <c r="DT520" s="52"/>
      <c r="DU520" s="52"/>
      <c r="DV520" s="52"/>
      <c r="DW520" s="52"/>
    </row>
    <row r="521">
      <c r="A521" s="40" t="s">
        <v>55</v>
      </c>
      <c r="B521" s="41" t="s">
        <v>56</v>
      </c>
      <c r="C521" s="31" t="s">
        <v>1425</v>
      </c>
      <c r="D521" s="25" t="str">
        <f>IFERROR(__xludf.DUMMYFUNCTION("SPLIT(C521,"" "")"),"Treadway,")</f>
        <v>Treadway,</v>
      </c>
      <c r="E521" s="40" t="str">
        <f>IFERROR(__xludf.DUMMYFUNCTION("""COMPUTED_VALUE"""),"Brandy
7520")</f>
        <v>Brandy
7520</v>
      </c>
      <c r="F521" s="40" t="str">
        <f>IFERROR(__xludf.DUMMYFUNCTION("""COMPUTED_VALUE"""),"Yamani
Dallas,")</f>
        <v>Yamani
Dallas,</v>
      </c>
      <c r="G521" s="40" t="str">
        <f>IFERROR(__xludf.DUMMYFUNCTION("""COMPUTED_VALUE"""),"TX")</f>
        <v>TX</v>
      </c>
      <c r="H521" s="40">
        <f>IFERROR(__xludf.DUMMYFUNCTION("""COMPUTED_VALUE"""),75230.0)</f>
        <v>75230</v>
      </c>
      <c r="I521" s="40"/>
      <c r="J521" s="40"/>
      <c r="K521" s="40"/>
      <c r="L521" s="40"/>
      <c r="M521" s="40"/>
      <c r="N521" s="40"/>
      <c r="O521" s="40"/>
      <c r="P521" s="40"/>
      <c r="Q521" s="40"/>
      <c r="R521" s="40"/>
      <c r="S521" s="40"/>
      <c r="T521" s="40"/>
      <c r="U521" s="24" t="str">
        <f>IFERROR(__xludf.DUMMYFUNCTION("SPLIT(E521,""01234567890"")"),"Brandy
")</f>
        <v>Brandy
</v>
      </c>
      <c r="V521" s="24" t="str">
        <f>IFERROR(__xludf.DUMMYFUNCTION("SPLIT(D521,"","")"),"Treadway")</f>
        <v>Treadway</v>
      </c>
      <c r="W521" s="25" t="str">
        <f t="shared" si="1"/>
        <v>BRANDY
 TREADWAY</v>
      </c>
      <c r="X521" s="25" t="s">
        <v>1426</v>
      </c>
      <c r="Y521" s="25">
        <v>75230.0</v>
      </c>
      <c r="Z521" s="25" t="str">
        <f>IFERROR(__xludf.DUMMYFUNCTION("SPLIT(C521,""
"")"),"Treadway, Brandy")</f>
        <v>Treadway, Brandy</v>
      </c>
      <c r="AA521" s="25" t="str">
        <f>IFERROR(__xludf.DUMMYFUNCTION("""COMPUTED_VALUE"""),"7520 Yamani")</f>
        <v>7520 Yamani</v>
      </c>
      <c r="AB521" s="25" t="str">
        <f>IFERROR(__xludf.DUMMYFUNCTION("""COMPUTED_VALUE"""),"Dallas, TX 75230")</f>
        <v>Dallas, TX 75230</v>
      </c>
      <c r="AC521" s="24" t="s">
        <v>1427</v>
      </c>
      <c r="AD521" s="25"/>
      <c r="AE521" s="25"/>
      <c r="AF521" s="25"/>
      <c r="AG521" s="40" t="s">
        <v>60</v>
      </c>
      <c r="AH521" s="42">
        <v>2448.0</v>
      </c>
      <c r="AI521" s="40" t="s">
        <v>61</v>
      </c>
      <c r="AJ521" s="27">
        <v>500.0</v>
      </c>
      <c r="AK521" s="31" t="s">
        <v>24</v>
      </c>
      <c r="AL521" s="43">
        <v>44688.0</v>
      </c>
      <c r="AM521" s="44">
        <v>44757.44018518519</v>
      </c>
      <c r="AN521" s="30">
        <v>2.0</v>
      </c>
      <c r="AO521" s="40"/>
      <c r="AP521" s="40"/>
      <c r="AQ521" s="40"/>
      <c r="AR521" s="40"/>
      <c r="AS521" s="40"/>
      <c r="AT521" s="47"/>
      <c r="AU521" s="40"/>
      <c r="AV521" s="46" t="str">
        <f>IFERROR(__xludf.DUMMYFUNCTION("""COMPUTED_VALUE"""),"Rowling")</f>
        <v>Rowling</v>
      </c>
      <c r="AW521" s="46">
        <f t="shared" si="7"/>
        <v>5000</v>
      </c>
      <c r="AX521" s="47">
        <f t="shared" ref="AX521:BQ521" si="1673">SUMIFS($AJ:$AJ,$V:$V,$AV521,$AK:$AK,AX$2)</f>
        <v>0</v>
      </c>
      <c r="AY521" s="48">
        <f t="shared" si="1673"/>
        <v>0</v>
      </c>
      <c r="AZ521" s="48">
        <f t="shared" si="1673"/>
        <v>0</v>
      </c>
      <c r="BA521" s="48">
        <f t="shared" si="1673"/>
        <v>0</v>
      </c>
      <c r="BB521" s="48">
        <f t="shared" si="1673"/>
        <v>5000</v>
      </c>
      <c r="BC521" s="48">
        <f t="shared" si="1673"/>
        <v>0</v>
      </c>
      <c r="BD521" s="48">
        <f t="shared" si="1673"/>
        <v>0</v>
      </c>
      <c r="BE521" s="48">
        <f t="shared" si="1673"/>
        <v>0</v>
      </c>
      <c r="BF521" s="48">
        <f t="shared" si="1673"/>
        <v>0</v>
      </c>
      <c r="BG521" s="48">
        <f t="shared" si="1673"/>
        <v>0</v>
      </c>
      <c r="BH521" s="48">
        <f t="shared" si="1673"/>
        <v>0</v>
      </c>
      <c r="BI521" s="48">
        <f t="shared" si="1673"/>
        <v>0</v>
      </c>
      <c r="BJ521" s="48">
        <f t="shared" si="1673"/>
        <v>0</v>
      </c>
      <c r="BK521" s="48">
        <f t="shared" si="1673"/>
        <v>0</v>
      </c>
      <c r="BL521" s="48">
        <f t="shared" si="1673"/>
        <v>0</v>
      </c>
      <c r="BM521" s="48">
        <f t="shared" si="1673"/>
        <v>0</v>
      </c>
      <c r="BN521" s="48">
        <f t="shared" si="1673"/>
        <v>0</v>
      </c>
      <c r="BO521" s="48">
        <f t="shared" si="1673"/>
        <v>0</v>
      </c>
      <c r="BP521" s="48">
        <f t="shared" si="1673"/>
        <v>0</v>
      </c>
      <c r="BQ521" s="48">
        <f t="shared" si="1673"/>
        <v>0</v>
      </c>
      <c r="BR521" s="36">
        <f t="shared" si="9"/>
        <v>0</v>
      </c>
      <c r="BS521" s="38">
        <f t="shared" si="10"/>
        <v>1</v>
      </c>
      <c r="BT521" s="49">
        <f t="shared" si="11"/>
        <v>0</v>
      </c>
      <c r="BU521" s="38">
        <f t="shared" si="12"/>
        <v>1000</v>
      </c>
      <c r="BV521" s="46" t="str">
        <f>IFERROR(__xludf.DUMMYFUNCTION("""COMPUTED_VALUE"""),"Rowling")</f>
        <v>Rowling</v>
      </c>
      <c r="BW521" s="46">
        <f t="shared" si="13"/>
        <v>5000</v>
      </c>
      <c r="BX521" s="47">
        <f t="shared" ref="BX521:CA521" si="1674">AX521-$BU521</f>
        <v>-1000</v>
      </c>
      <c r="BY521" s="47">
        <f t="shared" si="1674"/>
        <v>-1000</v>
      </c>
      <c r="BZ521" s="47">
        <f t="shared" si="1674"/>
        <v>-1000</v>
      </c>
      <c r="CA521" s="47">
        <f t="shared" si="1674"/>
        <v>-1000</v>
      </c>
      <c r="CB521" s="47">
        <f t="shared" si="15"/>
        <v>-5000</v>
      </c>
      <c r="CC521" s="47">
        <f t="shared" ref="CC521:CQ521" si="1675">BC521-$BU521</f>
        <v>-1000</v>
      </c>
      <c r="CD521" s="47">
        <f t="shared" si="1675"/>
        <v>-1000</v>
      </c>
      <c r="CE521" s="47">
        <f t="shared" si="1675"/>
        <v>-1000</v>
      </c>
      <c r="CF521" s="47">
        <f t="shared" si="1675"/>
        <v>-1000</v>
      </c>
      <c r="CG521" s="47">
        <f t="shared" si="1675"/>
        <v>-1000</v>
      </c>
      <c r="CH521" s="47">
        <f t="shared" si="1675"/>
        <v>-1000</v>
      </c>
      <c r="CI521" s="47">
        <f t="shared" si="1675"/>
        <v>-1000</v>
      </c>
      <c r="CJ521" s="47">
        <f t="shared" si="1675"/>
        <v>-1000</v>
      </c>
      <c r="CK521" s="47">
        <f t="shared" si="1675"/>
        <v>-1000</v>
      </c>
      <c r="CL521" s="47">
        <f t="shared" si="1675"/>
        <v>-1000</v>
      </c>
      <c r="CM521" s="47">
        <f t="shared" si="1675"/>
        <v>-1000</v>
      </c>
      <c r="CN521" s="47">
        <f t="shared" si="1675"/>
        <v>-1000</v>
      </c>
      <c r="CO521" s="47">
        <f t="shared" si="1675"/>
        <v>-1000</v>
      </c>
      <c r="CP521" s="47">
        <f t="shared" si="1675"/>
        <v>-1000</v>
      </c>
      <c r="CQ521" s="47">
        <f t="shared" si="1675"/>
        <v>-1000</v>
      </c>
      <c r="CR521" s="47"/>
      <c r="CS521" s="47"/>
      <c r="CT521" s="47"/>
      <c r="CU521" s="50" t="str">
        <f>IFERROR(__xludf.DUMMYFUNCTION("""COMPUTED_VALUE"""),"6200 Los Robles Drive
Mesquite, TX 75215         ")</f>
        <v>6200 Los Robles Drive
Mesquite, TX 75215         </v>
      </c>
      <c r="CV521" s="51">
        <f>IFERROR(__xludf.DUMMYFUNCTION("IF(REGEXMATCH(UPPER(CU521), ""TX""),0,1)"),0.0)</f>
        <v>0</v>
      </c>
      <c r="CW521" s="51">
        <f>IFERROR(__xludf.DUMMYFUNCTION("IF(REGEXMATCH(UPPER(CU521), ""DALLAS""),0,1)"),1.0)</f>
        <v>1</v>
      </c>
      <c r="CX521" s="51">
        <f t="shared" si="17"/>
        <v>0</v>
      </c>
      <c r="CY521" s="51">
        <f t="shared" si="18"/>
        <v>100</v>
      </c>
      <c r="CZ521" s="52" t="str">
        <f t="shared" si="19"/>
        <v>6200 Los Robles Drive
Mesquite, TX 75215         </v>
      </c>
      <c r="DA521" s="58"/>
      <c r="DB521" s="52"/>
      <c r="DC521" s="52"/>
      <c r="DD521" s="52"/>
      <c r="DE521" s="52"/>
      <c r="DF521" s="52"/>
      <c r="DG521" s="52"/>
      <c r="DH521" s="52"/>
      <c r="DI521" s="52"/>
      <c r="DJ521" s="52"/>
      <c r="DK521" s="52"/>
      <c r="DL521" s="52"/>
      <c r="DM521" s="52"/>
      <c r="DN521" s="52"/>
      <c r="DO521" s="52"/>
      <c r="DP521" s="52"/>
      <c r="DQ521" s="52"/>
      <c r="DR521" s="52"/>
      <c r="DS521" s="52"/>
      <c r="DT521" s="52"/>
      <c r="DU521" s="52"/>
      <c r="DV521" s="52"/>
      <c r="DW521" s="52"/>
    </row>
    <row r="522">
      <c r="A522" s="22" t="s">
        <v>55</v>
      </c>
      <c r="B522" s="23" t="s">
        <v>56</v>
      </c>
      <c r="C522" s="31" t="s">
        <v>1428</v>
      </c>
      <c r="D522" s="25" t="str">
        <f>IFERROR(__xludf.DUMMYFUNCTION("SPLIT(C522,"" "")"),"Rybczyk,")</f>
        <v>Rybczyk,</v>
      </c>
      <c r="E522" s="22" t="str">
        <f>IFERROR(__xludf.DUMMYFUNCTION("""COMPUTED_VALUE"""),"Madelyn
1507")</f>
        <v>Madelyn
1507</v>
      </c>
      <c r="F522" s="22" t="str">
        <f>IFERROR(__xludf.DUMMYFUNCTION("""COMPUTED_VALUE"""),"Tranquilla")</f>
        <v>Tranquilla</v>
      </c>
      <c r="G522" s="22" t="str">
        <f>IFERROR(__xludf.DUMMYFUNCTION("""COMPUTED_VALUE"""),"Dr
Dallas,")</f>
        <v>Dr
Dallas,</v>
      </c>
      <c r="H522" s="22" t="str">
        <f>IFERROR(__xludf.DUMMYFUNCTION("""COMPUTED_VALUE"""),"TX")</f>
        <v>TX</v>
      </c>
      <c r="I522" s="22">
        <f>IFERROR(__xludf.DUMMYFUNCTION("""COMPUTED_VALUE"""),75218.0)</f>
        <v>75218</v>
      </c>
      <c r="J522" s="22"/>
      <c r="K522" s="22"/>
      <c r="L522" s="22"/>
      <c r="M522" s="22"/>
      <c r="N522" s="22"/>
      <c r="O522" s="22"/>
      <c r="P522" s="22"/>
      <c r="Q522" s="22"/>
      <c r="R522" s="22"/>
      <c r="S522" s="22"/>
      <c r="T522" s="22"/>
      <c r="U522" s="24" t="str">
        <f>IFERROR(__xludf.DUMMYFUNCTION("SPLIT(E522,""01234567890"")"),"Madelyn
")</f>
        <v>Madelyn
</v>
      </c>
      <c r="V522" s="24" t="str">
        <f>IFERROR(__xludf.DUMMYFUNCTION("SPLIT(D522,"","")"),"Rybczyk")</f>
        <v>Rybczyk</v>
      </c>
      <c r="W522" s="25" t="str">
        <f t="shared" si="1"/>
        <v>MADELYN
 RYBCZYK</v>
      </c>
      <c r="X522" s="25" t="s">
        <v>1429</v>
      </c>
      <c r="Y522" s="25">
        <v>75218.0</v>
      </c>
      <c r="Z522" s="25" t="str">
        <f>IFERROR(__xludf.DUMMYFUNCTION("SPLIT(C522,""
"")"),"Rybczyk, Madelyn")</f>
        <v>Rybczyk, Madelyn</v>
      </c>
      <c r="AA522" s="25" t="str">
        <f>IFERROR(__xludf.DUMMYFUNCTION("""COMPUTED_VALUE"""),"1507 Tranquilla Dr")</f>
        <v>1507 Tranquilla Dr</v>
      </c>
      <c r="AB522" s="25" t="str">
        <f>IFERROR(__xludf.DUMMYFUNCTION("""COMPUTED_VALUE"""),"Dallas, TX 75218")</f>
        <v>Dallas, TX 75218</v>
      </c>
      <c r="AC522" s="24" t="s">
        <v>1430</v>
      </c>
      <c r="AD522" s="25"/>
      <c r="AE522" s="25"/>
      <c r="AF522" s="25"/>
      <c r="AG522" s="22" t="s">
        <v>60</v>
      </c>
      <c r="AH522" s="54">
        <v>2448.0</v>
      </c>
      <c r="AI522" s="22" t="s">
        <v>61</v>
      </c>
      <c r="AJ522" s="27">
        <v>100.0</v>
      </c>
      <c r="AK522" s="31" t="s">
        <v>24</v>
      </c>
      <c r="AL522" s="28">
        <v>44692.0</v>
      </c>
      <c r="AM522" s="29">
        <v>44757.44018518519</v>
      </c>
      <c r="AN522" s="30">
        <v>2.0</v>
      </c>
      <c r="AO522" s="22"/>
      <c r="AP522" s="22"/>
      <c r="AQ522" s="22"/>
      <c r="AR522" s="22"/>
      <c r="AS522" s="22"/>
      <c r="AT522" s="70"/>
      <c r="AU522" s="22"/>
      <c r="AV522" s="57" t="str">
        <f>IFERROR(__xludf.DUMMYFUNCTION("""COMPUTED_VALUE"""),"Zulejkic")</f>
        <v>Zulejkic</v>
      </c>
      <c r="AW522" s="46">
        <f t="shared" si="7"/>
        <v>5000</v>
      </c>
      <c r="AX522" s="47">
        <f t="shared" ref="AX522:BQ522" si="1676">SUMIFS($AJ:$AJ,$V:$V,$AV522,$AK:$AK,AX$2)</f>
        <v>0</v>
      </c>
      <c r="AY522" s="48">
        <f t="shared" si="1676"/>
        <v>0</v>
      </c>
      <c r="AZ522" s="48">
        <f t="shared" si="1676"/>
        <v>0</v>
      </c>
      <c r="BA522" s="48">
        <f t="shared" si="1676"/>
        <v>0</v>
      </c>
      <c r="BB522" s="48">
        <f t="shared" si="1676"/>
        <v>5000</v>
      </c>
      <c r="BC522" s="48">
        <f t="shared" si="1676"/>
        <v>0</v>
      </c>
      <c r="BD522" s="48">
        <f t="shared" si="1676"/>
        <v>0</v>
      </c>
      <c r="BE522" s="48">
        <f t="shared" si="1676"/>
        <v>0</v>
      </c>
      <c r="BF522" s="48">
        <f t="shared" si="1676"/>
        <v>0</v>
      </c>
      <c r="BG522" s="48">
        <f t="shared" si="1676"/>
        <v>0</v>
      </c>
      <c r="BH522" s="48">
        <f t="shared" si="1676"/>
        <v>0</v>
      </c>
      <c r="BI522" s="48">
        <f t="shared" si="1676"/>
        <v>0</v>
      </c>
      <c r="BJ522" s="48">
        <f t="shared" si="1676"/>
        <v>0</v>
      </c>
      <c r="BK522" s="48">
        <f t="shared" si="1676"/>
        <v>0</v>
      </c>
      <c r="BL522" s="48">
        <f t="shared" si="1676"/>
        <v>0</v>
      </c>
      <c r="BM522" s="48">
        <f t="shared" si="1676"/>
        <v>0</v>
      </c>
      <c r="BN522" s="48">
        <f t="shared" si="1676"/>
        <v>0</v>
      </c>
      <c r="BO522" s="48">
        <f t="shared" si="1676"/>
        <v>0</v>
      </c>
      <c r="BP522" s="48">
        <f t="shared" si="1676"/>
        <v>0</v>
      </c>
      <c r="BQ522" s="48">
        <f t="shared" si="1676"/>
        <v>0</v>
      </c>
      <c r="BR522" s="36">
        <f t="shared" si="9"/>
        <v>0</v>
      </c>
      <c r="BS522" s="38">
        <f t="shared" si="10"/>
        <v>1</v>
      </c>
      <c r="BT522" s="49">
        <f t="shared" si="11"/>
        <v>0</v>
      </c>
      <c r="BU522" s="38">
        <f t="shared" si="12"/>
        <v>1000</v>
      </c>
      <c r="BV522" s="57" t="str">
        <f>IFERROR(__xludf.DUMMYFUNCTION("""COMPUTED_VALUE"""),"Zulejkic")</f>
        <v>Zulejkic</v>
      </c>
      <c r="BW522" s="46">
        <f t="shared" si="13"/>
        <v>5000</v>
      </c>
      <c r="BX522" s="47">
        <f t="shared" ref="BX522:CA522" si="1677">AX522-$BU522</f>
        <v>-1000</v>
      </c>
      <c r="BY522" s="47">
        <f t="shared" si="1677"/>
        <v>-1000</v>
      </c>
      <c r="BZ522" s="47">
        <f t="shared" si="1677"/>
        <v>-1000</v>
      </c>
      <c r="CA522" s="47">
        <f t="shared" si="1677"/>
        <v>-1000</v>
      </c>
      <c r="CB522" s="47">
        <f t="shared" si="15"/>
        <v>-5000</v>
      </c>
      <c r="CC522" s="47">
        <f t="shared" ref="CC522:CQ522" si="1678">BC522-$BU522</f>
        <v>-1000</v>
      </c>
      <c r="CD522" s="47">
        <f t="shared" si="1678"/>
        <v>-1000</v>
      </c>
      <c r="CE522" s="47">
        <f t="shared" si="1678"/>
        <v>-1000</v>
      </c>
      <c r="CF522" s="47">
        <f t="shared" si="1678"/>
        <v>-1000</v>
      </c>
      <c r="CG522" s="47">
        <f t="shared" si="1678"/>
        <v>-1000</v>
      </c>
      <c r="CH522" s="47">
        <f t="shared" si="1678"/>
        <v>-1000</v>
      </c>
      <c r="CI522" s="47">
        <f t="shared" si="1678"/>
        <v>-1000</v>
      </c>
      <c r="CJ522" s="47">
        <f t="shared" si="1678"/>
        <v>-1000</v>
      </c>
      <c r="CK522" s="47">
        <f t="shared" si="1678"/>
        <v>-1000</v>
      </c>
      <c r="CL522" s="47">
        <f t="shared" si="1678"/>
        <v>-1000</v>
      </c>
      <c r="CM522" s="47">
        <f t="shared" si="1678"/>
        <v>-1000</v>
      </c>
      <c r="CN522" s="47">
        <f t="shared" si="1678"/>
        <v>-1000</v>
      </c>
      <c r="CO522" s="47">
        <f t="shared" si="1678"/>
        <v>-1000</v>
      </c>
      <c r="CP522" s="47">
        <f t="shared" si="1678"/>
        <v>-1000</v>
      </c>
      <c r="CQ522" s="47">
        <f t="shared" si="1678"/>
        <v>-1000</v>
      </c>
      <c r="CR522" s="47"/>
      <c r="CS522" s="47"/>
      <c r="CT522" s="47"/>
      <c r="CU522" s="50" t="str">
        <f>IFERROR(__xludf.DUMMYFUNCTION("""COMPUTED_VALUE"""),"821 Haines Ave.
Dallas, TX 75208          ")</f>
        <v>821 Haines Ave.
Dallas, TX 75208          </v>
      </c>
      <c r="CV522" s="51">
        <f>IFERROR(__xludf.DUMMYFUNCTION("IF(REGEXMATCH(UPPER(CU522), ""TX""),0,1)"),0.0)</f>
        <v>0</v>
      </c>
      <c r="CW522" s="51">
        <f>IFERROR(__xludf.DUMMYFUNCTION("IF(REGEXMATCH(UPPER(CU522), ""DALLAS""),0,1)"),0.0)</f>
        <v>0</v>
      </c>
      <c r="CX522" s="51">
        <f t="shared" si="17"/>
        <v>0</v>
      </c>
      <c r="CY522" s="51">
        <f t="shared" si="18"/>
        <v>0</v>
      </c>
      <c r="CZ522" s="52" t="str">
        <f t="shared" si="19"/>
        <v/>
      </c>
      <c r="DA522" s="58"/>
      <c r="DB522" s="52"/>
      <c r="DC522" s="52"/>
      <c r="DD522" s="52"/>
      <c r="DE522" s="52"/>
      <c r="DF522" s="52"/>
      <c r="DG522" s="52"/>
      <c r="DH522" s="52"/>
      <c r="DI522" s="52"/>
      <c r="DJ522" s="52"/>
      <c r="DK522" s="52"/>
      <c r="DL522" s="52"/>
      <c r="DM522" s="52"/>
      <c r="DN522" s="52"/>
      <c r="DO522" s="52"/>
      <c r="DP522" s="52"/>
      <c r="DQ522" s="52"/>
      <c r="DR522" s="52"/>
      <c r="DS522" s="52"/>
      <c r="DT522" s="52"/>
      <c r="DU522" s="52"/>
      <c r="DV522" s="52"/>
      <c r="DW522" s="52"/>
    </row>
    <row r="523">
      <c r="A523" s="40" t="s">
        <v>55</v>
      </c>
      <c r="B523" s="41" t="s">
        <v>56</v>
      </c>
      <c r="C523" s="31" t="s">
        <v>1431</v>
      </c>
      <c r="D523" s="25" t="str">
        <f>IFERROR(__xludf.DUMMYFUNCTION("SPLIT(C523,"" "")"),"Owen,")</f>
        <v>Owen,</v>
      </c>
      <c r="E523" s="40" t="str">
        <f>IFERROR(__xludf.DUMMYFUNCTION("""COMPUTED_VALUE"""),"Jennifer
6541")</f>
        <v>Jennifer
6541</v>
      </c>
      <c r="F523" s="40" t="str">
        <f>IFERROR(__xludf.DUMMYFUNCTION("""COMPUTED_VALUE"""),"Arborist
Dallas,")</f>
        <v>Arborist
Dallas,</v>
      </c>
      <c r="G523" s="40" t="str">
        <f>IFERROR(__xludf.DUMMYFUNCTION("""COMPUTED_VALUE"""),"TX")</f>
        <v>TX</v>
      </c>
      <c r="H523" s="40">
        <f>IFERROR(__xludf.DUMMYFUNCTION("""COMPUTED_VALUE"""),75214.0)</f>
        <v>75214</v>
      </c>
      <c r="I523" s="40"/>
      <c r="J523" s="40"/>
      <c r="K523" s="40"/>
      <c r="L523" s="40"/>
      <c r="M523" s="40"/>
      <c r="N523" s="40"/>
      <c r="O523" s="40"/>
      <c r="P523" s="40"/>
      <c r="Q523" s="40"/>
      <c r="R523" s="40"/>
      <c r="S523" s="40"/>
      <c r="T523" s="40"/>
      <c r="U523" s="24" t="str">
        <f>IFERROR(__xludf.DUMMYFUNCTION("SPLIT(E523,""01234567890"")"),"Jennifer
")</f>
        <v>Jennifer
</v>
      </c>
      <c r="V523" s="24" t="str">
        <f>IFERROR(__xludf.DUMMYFUNCTION("SPLIT(D523,"","")"),"Owen")</f>
        <v>Owen</v>
      </c>
      <c r="W523" s="25" t="str">
        <f t="shared" si="1"/>
        <v>JENNIFER
 OWEN</v>
      </c>
      <c r="X523" s="25" t="s">
        <v>1432</v>
      </c>
      <c r="Y523" s="25">
        <v>75214.0</v>
      </c>
      <c r="Z523" s="25" t="str">
        <f>IFERROR(__xludf.DUMMYFUNCTION("SPLIT(C523,""
"")"),"Owen, Jennifer")</f>
        <v>Owen, Jennifer</v>
      </c>
      <c r="AA523" s="25" t="str">
        <f>IFERROR(__xludf.DUMMYFUNCTION("""COMPUTED_VALUE"""),"6541 Arborist")</f>
        <v>6541 Arborist</v>
      </c>
      <c r="AB523" s="25" t="str">
        <f>IFERROR(__xludf.DUMMYFUNCTION("""COMPUTED_VALUE"""),"Dallas, TX 75214")</f>
        <v>Dallas, TX 75214</v>
      </c>
      <c r="AC523" s="24" t="s">
        <v>1433</v>
      </c>
      <c r="AD523" s="25"/>
      <c r="AE523" s="25"/>
      <c r="AF523" s="25"/>
      <c r="AG523" s="40" t="s">
        <v>60</v>
      </c>
      <c r="AH523" s="42">
        <v>2448.0</v>
      </c>
      <c r="AI523" s="40" t="s">
        <v>61</v>
      </c>
      <c r="AJ523" s="27">
        <v>100.0</v>
      </c>
      <c r="AK523" s="31" t="s">
        <v>24</v>
      </c>
      <c r="AL523" s="43">
        <v>44693.0</v>
      </c>
      <c r="AM523" s="44">
        <v>44757.44018518519</v>
      </c>
      <c r="AN523" s="30">
        <v>2.0</v>
      </c>
      <c r="AO523" s="40"/>
      <c r="AP523" s="40"/>
      <c r="AQ523" s="40"/>
      <c r="AR523" s="40"/>
      <c r="AS523" s="40"/>
      <c r="AT523" s="47"/>
      <c r="AU523" s="40"/>
      <c r="AV523" s="46" t="str">
        <f>IFERROR(__xludf.DUMMYFUNCTION("""COMPUTED_VALUE"""),"Eisenberg")</f>
        <v>Eisenberg</v>
      </c>
      <c r="AW523" s="46">
        <f t="shared" si="7"/>
        <v>1000</v>
      </c>
      <c r="AX523" s="47">
        <f t="shared" ref="AX523:BQ523" si="1679">SUMIFS($AJ:$AJ,$V:$V,$AV523,$AK:$AK,AX$2)</f>
        <v>0</v>
      </c>
      <c r="AY523" s="48">
        <f t="shared" si="1679"/>
        <v>0</v>
      </c>
      <c r="AZ523" s="48">
        <f t="shared" si="1679"/>
        <v>0</v>
      </c>
      <c r="BA523" s="48">
        <f t="shared" si="1679"/>
        <v>0</v>
      </c>
      <c r="BB523" s="48">
        <f t="shared" si="1679"/>
        <v>1000</v>
      </c>
      <c r="BC523" s="48">
        <f t="shared" si="1679"/>
        <v>0</v>
      </c>
      <c r="BD523" s="48">
        <f t="shared" si="1679"/>
        <v>0</v>
      </c>
      <c r="BE523" s="48">
        <f t="shared" si="1679"/>
        <v>0</v>
      </c>
      <c r="BF523" s="48">
        <f t="shared" si="1679"/>
        <v>0</v>
      </c>
      <c r="BG523" s="48">
        <f t="shared" si="1679"/>
        <v>0</v>
      </c>
      <c r="BH523" s="48">
        <f t="shared" si="1679"/>
        <v>0</v>
      </c>
      <c r="BI523" s="48">
        <f t="shared" si="1679"/>
        <v>0</v>
      </c>
      <c r="BJ523" s="48">
        <f t="shared" si="1679"/>
        <v>0</v>
      </c>
      <c r="BK523" s="48">
        <f t="shared" si="1679"/>
        <v>0</v>
      </c>
      <c r="BL523" s="48">
        <f t="shared" si="1679"/>
        <v>0</v>
      </c>
      <c r="BM523" s="48">
        <f t="shared" si="1679"/>
        <v>0</v>
      </c>
      <c r="BN523" s="48">
        <f t="shared" si="1679"/>
        <v>0</v>
      </c>
      <c r="BO523" s="48">
        <f t="shared" si="1679"/>
        <v>0</v>
      </c>
      <c r="BP523" s="48">
        <f t="shared" si="1679"/>
        <v>0</v>
      </c>
      <c r="BQ523" s="48">
        <f t="shared" si="1679"/>
        <v>0</v>
      </c>
      <c r="BR523" s="36">
        <f t="shared" si="9"/>
        <v>0</v>
      </c>
      <c r="BS523" s="38">
        <f t="shared" si="10"/>
        <v>1</v>
      </c>
      <c r="BT523" s="49">
        <f t="shared" si="11"/>
        <v>0</v>
      </c>
      <c r="BU523" s="38">
        <f t="shared" si="12"/>
        <v>1000</v>
      </c>
      <c r="BV523" s="46" t="str">
        <f>IFERROR(__xludf.DUMMYFUNCTION("""COMPUTED_VALUE"""),"Eisenberg")</f>
        <v>Eisenberg</v>
      </c>
      <c r="BW523" s="46">
        <f t="shared" si="13"/>
        <v>1000</v>
      </c>
      <c r="BX523" s="47">
        <f t="shared" ref="BX523:CA523" si="1680">AX523-$BU523</f>
        <v>-1000</v>
      </c>
      <c r="BY523" s="47">
        <f t="shared" si="1680"/>
        <v>-1000</v>
      </c>
      <c r="BZ523" s="47">
        <f t="shared" si="1680"/>
        <v>-1000</v>
      </c>
      <c r="CA523" s="47">
        <f t="shared" si="1680"/>
        <v>-1000</v>
      </c>
      <c r="CB523" s="47">
        <f t="shared" si="15"/>
        <v>-9000</v>
      </c>
      <c r="CC523" s="47">
        <f t="shared" ref="CC523:CQ523" si="1681">BC523-$BU523</f>
        <v>-1000</v>
      </c>
      <c r="CD523" s="47">
        <f t="shared" si="1681"/>
        <v>-1000</v>
      </c>
      <c r="CE523" s="47">
        <f t="shared" si="1681"/>
        <v>-1000</v>
      </c>
      <c r="CF523" s="47">
        <f t="shared" si="1681"/>
        <v>-1000</v>
      </c>
      <c r="CG523" s="47">
        <f t="shared" si="1681"/>
        <v>-1000</v>
      </c>
      <c r="CH523" s="47">
        <f t="shared" si="1681"/>
        <v>-1000</v>
      </c>
      <c r="CI523" s="47">
        <f t="shared" si="1681"/>
        <v>-1000</v>
      </c>
      <c r="CJ523" s="47">
        <f t="shared" si="1681"/>
        <v>-1000</v>
      </c>
      <c r="CK523" s="47">
        <f t="shared" si="1681"/>
        <v>-1000</v>
      </c>
      <c r="CL523" s="47">
        <f t="shared" si="1681"/>
        <v>-1000</v>
      </c>
      <c r="CM523" s="47">
        <f t="shared" si="1681"/>
        <v>-1000</v>
      </c>
      <c r="CN523" s="47">
        <f t="shared" si="1681"/>
        <v>-1000</v>
      </c>
      <c r="CO523" s="47">
        <f t="shared" si="1681"/>
        <v>-1000</v>
      </c>
      <c r="CP523" s="47">
        <f t="shared" si="1681"/>
        <v>-1000</v>
      </c>
      <c r="CQ523" s="47">
        <f t="shared" si="1681"/>
        <v>-1000</v>
      </c>
      <c r="CR523" s="47"/>
      <c r="CS523" s="47"/>
      <c r="CT523" s="47"/>
      <c r="CU523" s="50" t="str">
        <f>IFERROR(__xludf.DUMMYFUNCTION("""COMPUTED_VALUE"""),"8824 Diceman Dr.
Dallas, TX 75218          ")</f>
        <v>8824 Diceman Dr.
Dallas, TX 75218          </v>
      </c>
      <c r="CV523" s="51">
        <f>IFERROR(__xludf.DUMMYFUNCTION("IF(REGEXMATCH(UPPER(CU523), ""TX""),0,1)"),0.0)</f>
        <v>0</v>
      </c>
      <c r="CW523" s="51">
        <f>IFERROR(__xludf.DUMMYFUNCTION("IF(REGEXMATCH(UPPER(CU523), ""DALLAS""),0,1)"),0.0)</f>
        <v>0</v>
      </c>
      <c r="CX523" s="51">
        <f t="shared" si="17"/>
        <v>0</v>
      </c>
      <c r="CY523" s="51">
        <f t="shared" si="18"/>
        <v>0</v>
      </c>
      <c r="CZ523" s="52" t="str">
        <f t="shared" si="19"/>
        <v/>
      </c>
      <c r="DA523" s="58"/>
      <c r="DB523" s="52"/>
      <c r="DC523" s="52"/>
      <c r="DD523" s="52"/>
      <c r="DE523" s="52"/>
      <c r="DF523" s="52"/>
      <c r="DG523" s="52"/>
      <c r="DH523" s="52"/>
      <c r="DI523" s="52"/>
      <c r="DJ523" s="52"/>
      <c r="DK523" s="52"/>
      <c r="DL523" s="52"/>
      <c r="DM523" s="52"/>
      <c r="DN523" s="52"/>
      <c r="DO523" s="52"/>
      <c r="DP523" s="52"/>
      <c r="DQ523" s="52"/>
      <c r="DR523" s="52"/>
      <c r="DS523" s="52"/>
      <c r="DT523" s="52"/>
      <c r="DU523" s="52"/>
      <c r="DV523" s="52"/>
      <c r="DW523" s="52"/>
    </row>
    <row r="524">
      <c r="A524" s="22" t="s">
        <v>55</v>
      </c>
      <c r="B524" s="23" t="s">
        <v>56</v>
      </c>
      <c r="C524" s="31" t="s">
        <v>1434</v>
      </c>
      <c r="D524" s="25" t="str">
        <f>IFERROR(__xludf.DUMMYFUNCTION("SPLIT(C524,"" "")"),"Faz,")</f>
        <v>Faz,</v>
      </c>
      <c r="E524" s="22" t="str">
        <f>IFERROR(__xludf.DUMMYFUNCTION("""COMPUTED_VALUE"""),"Isaac
101")</f>
        <v>Isaac
101</v>
      </c>
      <c r="F524" s="22" t="str">
        <f>IFERROR(__xludf.DUMMYFUNCTION("""COMPUTED_VALUE"""),"N.")</f>
        <v>N.</v>
      </c>
      <c r="G524" s="22" t="str">
        <f>IFERROR(__xludf.DUMMYFUNCTION("""COMPUTED_VALUE"""),"Clinton")</f>
        <v>Clinton</v>
      </c>
      <c r="H524" s="22" t="str">
        <f>IFERROR(__xludf.DUMMYFUNCTION("""COMPUTED_VALUE"""),"Ave
Dallas,")</f>
        <v>Ave
Dallas,</v>
      </c>
      <c r="I524" s="22" t="str">
        <f>IFERROR(__xludf.DUMMYFUNCTION("""COMPUTED_VALUE"""),"TX")</f>
        <v>TX</v>
      </c>
      <c r="J524" s="22">
        <f>IFERROR(__xludf.DUMMYFUNCTION("""COMPUTED_VALUE"""),75208.0)</f>
        <v>75208</v>
      </c>
      <c r="K524" s="22"/>
      <c r="L524" s="22"/>
      <c r="M524" s="22"/>
      <c r="N524" s="22"/>
      <c r="O524" s="22"/>
      <c r="P524" s="22"/>
      <c r="Q524" s="22"/>
      <c r="R524" s="22"/>
      <c r="S524" s="22"/>
      <c r="T524" s="22"/>
      <c r="U524" s="24" t="str">
        <f>IFERROR(__xludf.DUMMYFUNCTION("SPLIT(E524,""01234567890"")"),"Isaac
")</f>
        <v>Isaac
</v>
      </c>
      <c r="V524" s="24" t="str">
        <f>IFERROR(__xludf.DUMMYFUNCTION("SPLIT(D524,"","")"),"Faz")</f>
        <v>Faz</v>
      </c>
      <c r="W524" s="25" t="str">
        <f t="shared" si="1"/>
        <v>ISAAC
 FAZ</v>
      </c>
      <c r="X524" s="25" t="s">
        <v>1435</v>
      </c>
      <c r="Y524" s="25">
        <v>75208.0</v>
      </c>
      <c r="Z524" s="25" t="str">
        <f>IFERROR(__xludf.DUMMYFUNCTION("SPLIT(C524,""
"")"),"Faz, Isaac")</f>
        <v>Faz, Isaac</v>
      </c>
      <c r="AA524" s="25" t="str">
        <f>IFERROR(__xludf.DUMMYFUNCTION("""COMPUTED_VALUE"""),"101 N. Clinton Ave")</f>
        <v>101 N. Clinton Ave</v>
      </c>
      <c r="AB524" s="25" t="str">
        <f>IFERROR(__xludf.DUMMYFUNCTION("""COMPUTED_VALUE"""),"Dallas, TX 75208")</f>
        <v>Dallas, TX 75208</v>
      </c>
      <c r="AC524" s="24" t="s">
        <v>1436</v>
      </c>
      <c r="AD524" s="25"/>
      <c r="AE524" s="25"/>
      <c r="AF524" s="25"/>
      <c r="AG524" s="22" t="s">
        <v>60</v>
      </c>
      <c r="AH524" s="54">
        <v>2448.0</v>
      </c>
      <c r="AI524" s="22" t="s">
        <v>61</v>
      </c>
      <c r="AJ524" s="27">
        <v>100.0</v>
      </c>
      <c r="AK524" s="31" t="s">
        <v>24</v>
      </c>
      <c r="AL524" s="28">
        <v>44694.0</v>
      </c>
      <c r="AM524" s="29">
        <v>44757.44018518519</v>
      </c>
      <c r="AN524" s="30">
        <v>2.0</v>
      </c>
      <c r="AO524" s="22"/>
      <c r="AP524" s="22"/>
      <c r="AQ524" s="22"/>
      <c r="AR524" s="22"/>
      <c r="AS524" s="22"/>
      <c r="AT524" s="70"/>
      <c r="AU524" s="22"/>
      <c r="AV524" s="57" t="str">
        <f>IFERROR(__xludf.DUMMYFUNCTION("""COMPUTED_VALUE"""),"Grace")</f>
        <v>Grace</v>
      </c>
      <c r="AW524" s="46">
        <f t="shared" si="7"/>
        <v>1000</v>
      </c>
      <c r="AX524" s="47">
        <f t="shared" ref="AX524:BQ524" si="1682">SUMIFS($AJ:$AJ,$V:$V,$AV524,$AK:$AK,AX$2)</f>
        <v>0</v>
      </c>
      <c r="AY524" s="48">
        <f t="shared" si="1682"/>
        <v>0</v>
      </c>
      <c r="AZ524" s="48">
        <f t="shared" si="1682"/>
        <v>0</v>
      </c>
      <c r="BA524" s="48">
        <f t="shared" si="1682"/>
        <v>0</v>
      </c>
      <c r="BB524" s="48">
        <f t="shared" si="1682"/>
        <v>1000</v>
      </c>
      <c r="BC524" s="48">
        <f t="shared" si="1682"/>
        <v>0</v>
      </c>
      <c r="BD524" s="48">
        <f t="shared" si="1682"/>
        <v>0</v>
      </c>
      <c r="BE524" s="48">
        <f t="shared" si="1682"/>
        <v>0</v>
      </c>
      <c r="BF524" s="48">
        <f t="shared" si="1682"/>
        <v>0</v>
      </c>
      <c r="BG524" s="48">
        <f t="shared" si="1682"/>
        <v>0</v>
      </c>
      <c r="BH524" s="48">
        <f t="shared" si="1682"/>
        <v>0</v>
      </c>
      <c r="BI524" s="48">
        <f t="shared" si="1682"/>
        <v>0</v>
      </c>
      <c r="BJ524" s="48">
        <f t="shared" si="1682"/>
        <v>0</v>
      </c>
      <c r="BK524" s="48">
        <f t="shared" si="1682"/>
        <v>0</v>
      </c>
      <c r="BL524" s="48">
        <f t="shared" si="1682"/>
        <v>0</v>
      </c>
      <c r="BM524" s="48">
        <f t="shared" si="1682"/>
        <v>0</v>
      </c>
      <c r="BN524" s="48">
        <f t="shared" si="1682"/>
        <v>0</v>
      </c>
      <c r="BO524" s="48">
        <f t="shared" si="1682"/>
        <v>0</v>
      </c>
      <c r="BP524" s="48">
        <f t="shared" si="1682"/>
        <v>0</v>
      </c>
      <c r="BQ524" s="48">
        <f t="shared" si="1682"/>
        <v>0</v>
      </c>
      <c r="BR524" s="36">
        <f t="shared" si="9"/>
        <v>0</v>
      </c>
      <c r="BS524" s="38">
        <f t="shared" si="10"/>
        <v>1</v>
      </c>
      <c r="BT524" s="49">
        <f t="shared" si="11"/>
        <v>0</v>
      </c>
      <c r="BU524" s="38">
        <f t="shared" si="12"/>
        <v>1000</v>
      </c>
      <c r="BV524" s="57" t="str">
        <f>IFERROR(__xludf.DUMMYFUNCTION("""COMPUTED_VALUE"""),"Grace")</f>
        <v>Grace</v>
      </c>
      <c r="BW524" s="46">
        <f t="shared" si="13"/>
        <v>1000</v>
      </c>
      <c r="BX524" s="47">
        <f t="shared" ref="BX524:CA524" si="1683">AX524-$BU524</f>
        <v>-1000</v>
      </c>
      <c r="BY524" s="47">
        <f t="shared" si="1683"/>
        <v>-1000</v>
      </c>
      <c r="BZ524" s="47">
        <f t="shared" si="1683"/>
        <v>-1000</v>
      </c>
      <c r="CA524" s="47">
        <f t="shared" si="1683"/>
        <v>-1000</v>
      </c>
      <c r="CB524" s="47">
        <f t="shared" si="15"/>
        <v>-9000</v>
      </c>
      <c r="CC524" s="47">
        <f t="shared" ref="CC524:CQ524" si="1684">BC524-$BU524</f>
        <v>-1000</v>
      </c>
      <c r="CD524" s="47">
        <f t="shared" si="1684"/>
        <v>-1000</v>
      </c>
      <c r="CE524" s="47">
        <f t="shared" si="1684"/>
        <v>-1000</v>
      </c>
      <c r="CF524" s="47">
        <f t="shared" si="1684"/>
        <v>-1000</v>
      </c>
      <c r="CG524" s="47">
        <f t="shared" si="1684"/>
        <v>-1000</v>
      </c>
      <c r="CH524" s="47">
        <f t="shared" si="1684"/>
        <v>-1000</v>
      </c>
      <c r="CI524" s="47">
        <f t="shared" si="1684"/>
        <v>-1000</v>
      </c>
      <c r="CJ524" s="47">
        <f t="shared" si="1684"/>
        <v>-1000</v>
      </c>
      <c r="CK524" s="47">
        <f t="shared" si="1684"/>
        <v>-1000</v>
      </c>
      <c r="CL524" s="47">
        <f t="shared" si="1684"/>
        <v>-1000</v>
      </c>
      <c r="CM524" s="47">
        <f t="shared" si="1684"/>
        <v>-1000</v>
      </c>
      <c r="CN524" s="47">
        <f t="shared" si="1684"/>
        <v>-1000</v>
      </c>
      <c r="CO524" s="47">
        <f t="shared" si="1684"/>
        <v>-1000</v>
      </c>
      <c r="CP524" s="47">
        <f t="shared" si="1684"/>
        <v>-1000</v>
      </c>
      <c r="CQ524" s="47">
        <f t="shared" si="1684"/>
        <v>-1000</v>
      </c>
      <c r="CR524" s="47"/>
      <c r="CS524" s="47"/>
      <c r="CT524" s="47"/>
      <c r="CU524" s="50" t="str">
        <f>IFERROR(__xludf.DUMMYFUNCTION("""COMPUTED_VALUE"""),"613 Mount Auburn Ave.
Dallas, TX 75223         ")</f>
        <v>613 Mount Auburn Ave.
Dallas, TX 75223         </v>
      </c>
      <c r="CV524" s="51">
        <f>IFERROR(__xludf.DUMMYFUNCTION("IF(REGEXMATCH(UPPER(CU524), ""TX""),0,1)"),0.0)</f>
        <v>0</v>
      </c>
      <c r="CW524" s="51">
        <f>IFERROR(__xludf.DUMMYFUNCTION("IF(REGEXMATCH(UPPER(CU524), ""DALLAS""),0,1)"),0.0)</f>
        <v>0</v>
      </c>
      <c r="CX524" s="51">
        <f t="shared" si="17"/>
        <v>0</v>
      </c>
      <c r="CY524" s="51">
        <f t="shared" si="18"/>
        <v>0</v>
      </c>
      <c r="CZ524" s="52" t="str">
        <f t="shared" si="19"/>
        <v/>
      </c>
      <c r="DA524" s="58"/>
      <c r="DB524" s="52"/>
      <c r="DC524" s="52"/>
      <c r="DD524" s="52"/>
      <c r="DE524" s="52"/>
      <c r="DF524" s="52"/>
      <c r="DG524" s="52"/>
      <c r="DH524" s="52"/>
      <c r="DI524" s="52"/>
      <c r="DJ524" s="52"/>
      <c r="DK524" s="52"/>
      <c r="DL524" s="52"/>
      <c r="DM524" s="52"/>
      <c r="DN524" s="52"/>
      <c r="DO524" s="52"/>
      <c r="DP524" s="52"/>
      <c r="DQ524" s="52"/>
      <c r="DR524" s="52"/>
      <c r="DS524" s="52"/>
      <c r="DT524" s="52"/>
      <c r="DU524" s="52"/>
      <c r="DV524" s="52"/>
      <c r="DW524" s="52"/>
    </row>
    <row r="525">
      <c r="A525" s="40" t="s">
        <v>55</v>
      </c>
      <c r="B525" s="41" t="s">
        <v>56</v>
      </c>
      <c r="C525" s="31" t="s">
        <v>1437</v>
      </c>
      <c r="D525" s="25" t="str">
        <f>IFERROR(__xludf.DUMMYFUNCTION("SPLIT(C525,"" "")"),"Forsyth")</f>
        <v>Forsyth</v>
      </c>
      <c r="E525" s="40" t="str">
        <f>IFERROR(__xludf.DUMMYFUNCTION("""COMPUTED_VALUE"""),"Lill,")</f>
        <v>Lill,</v>
      </c>
      <c r="F525" s="40" t="str">
        <f>IFERROR(__xludf.DUMMYFUNCTION("""COMPUTED_VALUE"""),"Veletta
622")</f>
        <v>Veletta
622</v>
      </c>
      <c r="G525" s="40" t="str">
        <f>IFERROR(__xludf.DUMMYFUNCTION("""COMPUTED_VALUE"""),"Blair")</f>
        <v>Blair</v>
      </c>
      <c r="H525" s="40" t="str">
        <f>IFERROR(__xludf.DUMMYFUNCTION("""COMPUTED_VALUE"""),"Blvd
Dallas,")</f>
        <v>Blvd
Dallas,</v>
      </c>
      <c r="I525" s="40" t="str">
        <f>IFERROR(__xludf.DUMMYFUNCTION("""COMPUTED_VALUE"""),"TX")</f>
        <v>TX</v>
      </c>
      <c r="J525" s="40">
        <f>IFERROR(__xludf.DUMMYFUNCTION("""COMPUTED_VALUE"""),75223.0)</f>
        <v>75223</v>
      </c>
      <c r="K525" s="40"/>
      <c r="L525" s="40"/>
      <c r="M525" s="40"/>
      <c r="N525" s="40"/>
      <c r="O525" s="40"/>
      <c r="P525" s="40"/>
      <c r="Q525" s="40"/>
      <c r="R525" s="40"/>
      <c r="S525" s="40"/>
      <c r="T525" s="40"/>
      <c r="U525" s="24" t="str">
        <f>IFERROR(__xludf.DUMMYFUNCTION("SPLIT(E525,""01234567890"")"),"Lill,")</f>
        <v>Lill,</v>
      </c>
      <c r="V525" s="24" t="str">
        <f>IFERROR(__xludf.DUMMYFUNCTION("SPLIT(D525,"","")"),"Forsyth")</f>
        <v>Forsyth</v>
      </c>
      <c r="W525" s="25" t="str">
        <f t="shared" si="1"/>
        <v>LILL, FORSYTH</v>
      </c>
      <c r="X525" s="25" t="s">
        <v>1438</v>
      </c>
      <c r="Y525" s="25">
        <v>75223.0</v>
      </c>
      <c r="Z525" s="25" t="str">
        <f>IFERROR(__xludf.DUMMYFUNCTION("SPLIT(C525,""
"")"),"Forsyth Lill, Veletta")</f>
        <v>Forsyth Lill, Veletta</v>
      </c>
      <c r="AA525" s="25" t="str">
        <f>IFERROR(__xludf.DUMMYFUNCTION("""COMPUTED_VALUE"""),"622 Blair Blvd")</f>
        <v>622 Blair Blvd</v>
      </c>
      <c r="AB525" s="25" t="str">
        <f>IFERROR(__xludf.DUMMYFUNCTION("""COMPUTED_VALUE"""),"Dallas, TX 75223")</f>
        <v>Dallas, TX 75223</v>
      </c>
      <c r="AC525" s="24" t="s">
        <v>1439</v>
      </c>
      <c r="AD525" s="25"/>
      <c r="AE525" s="25"/>
      <c r="AF525" s="25"/>
      <c r="AG525" s="40" t="s">
        <v>60</v>
      </c>
      <c r="AH525" s="42">
        <v>2448.0</v>
      </c>
      <c r="AI525" s="40" t="s">
        <v>61</v>
      </c>
      <c r="AJ525" s="27">
        <v>250.0</v>
      </c>
      <c r="AK525" s="31" t="s">
        <v>24</v>
      </c>
      <c r="AL525" s="43">
        <v>44694.0</v>
      </c>
      <c r="AM525" s="44">
        <v>44757.44018518519</v>
      </c>
      <c r="AN525" s="30">
        <v>2.0</v>
      </c>
      <c r="AO525" s="40"/>
      <c r="AP525" s="40"/>
      <c r="AQ525" s="40"/>
      <c r="AR525" s="40"/>
      <c r="AS525" s="40"/>
      <c r="AT525" s="47"/>
      <c r="AU525" s="40"/>
      <c r="AV525" s="46" t="str">
        <f>IFERROR(__xludf.DUMMYFUNCTION("""COMPUTED_VALUE"""),"Gutierrez")</f>
        <v>Gutierrez</v>
      </c>
      <c r="AW525" s="46">
        <f t="shared" si="7"/>
        <v>500</v>
      </c>
      <c r="AX525" s="47">
        <f t="shared" ref="AX525:BQ525" si="1685">SUMIFS($AJ:$AJ,$V:$V,$AV525,$AK:$AK,AX$2)</f>
        <v>0</v>
      </c>
      <c r="AY525" s="48">
        <f t="shared" si="1685"/>
        <v>0</v>
      </c>
      <c r="AZ525" s="48">
        <f t="shared" si="1685"/>
        <v>0</v>
      </c>
      <c r="BA525" s="48">
        <f t="shared" si="1685"/>
        <v>0</v>
      </c>
      <c r="BB525" s="48">
        <f t="shared" si="1685"/>
        <v>500</v>
      </c>
      <c r="BC525" s="48">
        <f t="shared" si="1685"/>
        <v>0</v>
      </c>
      <c r="BD525" s="48">
        <f t="shared" si="1685"/>
        <v>0</v>
      </c>
      <c r="BE525" s="48">
        <f t="shared" si="1685"/>
        <v>0</v>
      </c>
      <c r="BF525" s="48">
        <f t="shared" si="1685"/>
        <v>0</v>
      </c>
      <c r="BG525" s="48">
        <f t="shared" si="1685"/>
        <v>0</v>
      </c>
      <c r="BH525" s="48">
        <f t="shared" si="1685"/>
        <v>0</v>
      </c>
      <c r="BI525" s="48">
        <f t="shared" si="1685"/>
        <v>0</v>
      </c>
      <c r="BJ525" s="48">
        <f t="shared" si="1685"/>
        <v>0</v>
      </c>
      <c r="BK525" s="48">
        <f t="shared" si="1685"/>
        <v>0</v>
      </c>
      <c r="BL525" s="48">
        <f t="shared" si="1685"/>
        <v>0</v>
      </c>
      <c r="BM525" s="48">
        <f t="shared" si="1685"/>
        <v>0</v>
      </c>
      <c r="BN525" s="48">
        <f t="shared" si="1685"/>
        <v>0</v>
      </c>
      <c r="BO525" s="48">
        <f t="shared" si="1685"/>
        <v>0</v>
      </c>
      <c r="BP525" s="48">
        <f t="shared" si="1685"/>
        <v>0</v>
      </c>
      <c r="BQ525" s="48">
        <f t="shared" si="1685"/>
        <v>0</v>
      </c>
      <c r="BR525" s="36">
        <f t="shared" si="9"/>
        <v>0</v>
      </c>
      <c r="BS525" s="38">
        <f t="shared" si="10"/>
        <v>1</v>
      </c>
      <c r="BT525" s="49">
        <f t="shared" si="11"/>
        <v>0</v>
      </c>
      <c r="BU525" s="38">
        <f t="shared" si="12"/>
        <v>1000</v>
      </c>
      <c r="BV525" s="46" t="str">
        <f>IFERROR(__xludf.DUMMYFUNCTION("""COMPUTED_VALUE"""),"Gutierrez")</f>
        <v>Gutierrez</v>
      </c>
      <c r="BW525" s="46">
        <f t="shared" si="13"/>
        <v>500</v>
      </c>
      <c r="BX525" s="47">
        <f t="shared" ref="BX525:CA525" si="1686">AX525-$BU525</f>
        <v>-1000</v>
      </c>
      <c r="BY525" s="47">
        <f t="shared" si="1686"/>
        <v>-1000</v>
      </c>
      <c r="BZ525" s="47">
        <f t="shared" si="1686"/>
        <v>-1000</v>
      </c>
      <c r="CA525" s="47">
        <f t="shared" si="1686"/>
        <v>-1000</v>
      </c>
      <c r="CB525" s="47">
        <f t="shared" si="15"/>
        <v>-9500</v>
      </c>
      <c r="CC525" s="47">
        <f t="shared" ref="CC525:CQ525" si="1687">BC525-$BU525</f>
        <v>-1000</v>
      </c>
      <c r="CD525" s="47">
        <f t="shared" si="1687"/>
        <v>-1000</v>
      </c>
      <c r="CE525" s="47">
        <f t="shared" si="1687"/>
        <v>-1000</v>
      </c>
      <c r="CF525" s="47">
        <f t="shared" si="1687"/>
        <v>-1000</v>
      </c>
      <c r="CG525" s="47">
        <f t="shared" si="1687"/>
        <v>-1000</v>
      </c>
      <c r="CH525" s="47">
        <f t="shared" si="1687"/>
        <v>-1000</v>
      </c>
      <c r="CI525" s="47">
        <f t="shared" si="1687"/>
        <v>-1000</v>
      </c>
      <c r="CJ525" s="47">
        <f t="shared" si="1687"/>
        <v>-1000</v>
      </c>
      <c r="CK525" s="47">
        <f t="shared" si="1687"/>
        <v>-1000</v>
      </c>
      <c r="CL525" s="47">
        <f t="shared" si="1687"/>
        <v>-1000</v>
      </c>
      <c r="CM525" s="47">
        <f t="shared" si="1687"/>
        <v>-1000</v>
      </c>
      <c r="CN525" s="47">
        <f t="shared" si="1687"/>
        <v>-1000</v>
      </c>
      <c r="CO525" s="47">
        <f t="shared" si="1687"/>
        <v>-1000</v>
      </c>
      <c r="CP525" s="47">
        <f t="shared" si="1687"/>
        <v>-1000</v>
      </c>
      <c r="CQ525" s="47">
        <f t="shared" si="1687"/>
        <v>-1000</v>
      </c>
      <c r="CR525" s="47"/>
      <c r="CS525" s="47"/>
      <c r="CT525" s="47"/>
      <c r="CU525" s="50" t="str">
        <f>IFERROR(__xludf.DUMMYFUNCTION("""COMPUTED_VALUE"""),"6535 Bob O Link
Dallas, TX 75214         ")</f>
        <v>6535 Bob O Link
Dallas, TX 75214         </v>
      </c>
      <c r="CV525" s="51">
        <f>IFERROR(__xludf.DUMMYFUNCTION("IF(REGEXMATCH(UPPER(CU525), ""TX""),0,1)"),0.0)</f>
        <v>0</v>
      </c>
      <c r="CW525" s="51">
        <f>IFERROR(__xludf.DUMMYFUNCTION("IF(REGEXMATCH(UPPER(CU525), ""DALLAS""),0,1)"),0.0)</f>
        <v>0</v>
      </c>
      <c r="CX525" s="51">
        <f t="shared" si="17"/>
        <v>0</v>
      </c>
      <c r="CY525" s="51">
        <f t="shared" si="18"/>
        <v>0</v>
      </c>
      <c r="CZ525" s="52" t="str">
        <f t="shared" si="19"/>
        <v/>
      </c>
      <c r="DA525" s="58"/>
      <c r="DB525" s="52"/>
      <c r="DC525" s="52"/>
      <c r="DD525" s="52"/>
      <c r="DE525" s="52"/>
      <c r="DF525" s="52"/>
      <c r="DG525" s="52"/>
      <c r="DH525" s="52"/>
      <c r="DI525" s="52"/>
      <c r="DJ525" s="52"/>
      <c r="DK525" s="52"/>
      <c r="DL525" s="52"/>
      <c r="DM525" s="52"/>
      <c r="DN525" s="52"/>
      <c r="DO525" s="52"/>
      <c r="DP525" s="52"/>
      <c r="DQ525" s="52"/>
      <c r="DR525" s="52"/>
      <c r="DS525" s="52"/>
      <c r="DT525" s="52"/>
      <c r="DU525" s="52"/>
      <c r="DV525" s="52"/>
      <c r="DW525" s="52"/>
    </row>
    <row r="526">
      <c r="A526" s="22" t="s">
        <v>55</v>
      </c>
      <c r="B526" s="23" t="s">
        <v>56</v>
      </c>
      <c r="C526" s="31" t="s">
        <v>1440</v>
      </c>
      <c r="D526" s="25" t="str">
        <f>IFERROR(__xludf.DUMMYFUNCTION("SPLIT(C526,"" "")"),"Gates,")</f>
        <v>Gates,</v>
      </c>
      <c r="E526" s="22" t="str">
        <f>IFERROR(__xludf.DUMMYFUNCTION("""COMPUTED_VALUE"""),"Jennifer
4914")</f>
        <v>Jennifer
4914</v>
      </c>
      <c r="F526" s="22" t="str">
        <f>IFERROR(__xludf.DUMMYFUNCTION("""COMPUTED_VALUE"""),"Keyhole")</f>
        <v>Keyhole</v>
      </c>
      <c r="G526" s="22" t="str">
        <f>IFERROR(__xludf.DUMMYFUNCTION("""COMPUTED_VALUE"""),"Lane
Dallas,")</f>
        <v>Lane
Dallas,</v>
      </c>
      <c r="H526" s="22" t="str">
        <f>IFERROR(__xludf.DUMMYFUNCTION("""COMPUTED_VALUE"""),"TX")</f>
        <v>TX</v>
      </c>
      <c r="I526" s="22">
        <f>IFERROR(__xludf.DUMMYFUNCTION("""COMPUTED_VALUE"""),75229.0)</f>
        <v>75229</v>
      </c>
      <c r="J526" s="22"/>
      <c r="K526" s="22"/>
      <c r="L526" s="22"/>
      <c r="M526" s="22"/>
      <c r="N526" s="22"/>
      <c r="O526" s="22"/>
      <c r="P526" s="22"/>
      <c r="Q526" s="22"/>
      <c r="R526" s="22"/>
      <c r="S526" s="22"/>
      <c r="T526" s="22"/>
      <c r="U526" s="24" t="str">
        <f>IFERROR(__xludf.DUMMYFUNCTION("SPLIT(E526,""01234567890"")"),"Jennifer
")</f>
        <v>Jennifer
</v>
      </c>
      <c r="V526" s="24" t="str">
        <f>IFERROR(__xludf.DUMMYFUNCTION("SPLIT(D526,"","")"),"Gates")</f>
        <v>Gates</v>
      </c>
      <c r="W526" s="25" t="str">
        <f t="shared" si="1"/>
        <v>JENNIFER
 GATES</v>
      </c>
      <c r="X526" s="25" t="s">
        <v>1441</v>
      </c>
      <c r="Y526" s="25">
        <v>75229.0</v>
      </c>
      <c r="Z526" s="25" t="str">
        <f>IFERROR(__xludf.DUMMYFUNCTION("SPLIT(C526,""
"")"),"Gates, Jennifer")</f>
        <v>Gates, Jennifer</v>
      </c>
      <c r="AA526" s="25" t="str">
        <f>IFERROR(__xludf.DUMMYFUNCTION("""COMPUTED_VALUE"""),"4914 Keyhole Lane")</f>
        <v>4914 Keyhole Lane</v>
      </c>
      <c r="AB526" s="25" t="str">
        <f>IFERROR(__xludf.DUMMYFUNCTION("""COMPUTED_VALUE"""),"Dallas, TX 75229")</f>
        <v>Dallas, TX 75229</v>
      </c>
      <c r="AC526" s="24" t="s">
        <v>679</v>
      </c>
      <c r="AD526" s="25"/>
      <c r="AE526" s="25"/>
      <c r="AF526" s="25"/>
      <c r="AG526" s="22" t="s">
        <v>60</v>
      </c>
      <c r="AH526" s="54">
        <v>2448.0</v>
      </c>
      <c r="AI526" s="22" t="s">
        <v>61</v>
      </c>
      <c r="AJ526" s="27">
        <v>1000.0</v>
      </c>
      <c r="AK526" s="31" t="s">
        <v>24</v>
      </c>
      <c r="AL526" s="28">
        <v>44694.0</v>
      </c>
      <c r="AM526" s="29">
        <v>44757.44018518519</v>
      </c>
      <c r="AN526" s="30">
        <v>2.0</v>
      </c>
      <c r="AO526" s="22"/>
      <c r="AP526" s="22"/>
      <c r="AQ526" s="22"/>
      <c r="AR526" s="22"/>
      <c r="AS526" s="22"/>
      <c r="AT526" s="70"/>
      <c r="AU526" s="22"/>
      <c r="AV526" s="57" t="str">
        <f>IFERROR(__xludf.DUMMYFUNCTION("""COMPUTED_VALUE"""),"Hooey")</f>
        <v>Hooey</v>
      </c>
      <c r="AW526" s="46">
        <f t="shared" si="7"/>
        <v>100</v>
      </c>
      <c r="AX526" s="47">
        <f t="shared" ref="AX526:BQ526" si="1688">SUMIFS($AJ:$AJ,$V:$V,$AV526,$AK:$AK,AX$2)</f>
        <v>0</v>
      </c>
      <c r="AY526" s="48">
        <f t="shared" si="1688"/>
        <v>0</v>
      </c>
      <c r="AZ526" s="48">
        <f t="shared" si="1688"/>
        <v>0</v>
      </c>
      <c r="BA526" s="48">
        <f t="shared" si="1688"/>
        <v>0</v>
      </c>
      <c r="BB526" s="48">
        <f t="shared" si="1688"/>
        <v>100</v>
      </c>
      <c r="BC526" s="48">
        <f t="shared" si="1688"/>
        <v>0</v>
      </c>
      <c r="BD526" s="48">
        <f t="shared" si="1688"/>
        <v>0</v>
      </c>
      <c r="BE526" s="48">
        <f t="shared" si="1688"/>
        <v>0</v>
      </c>
      <c r="BF526" s="48">
        <f t="shared" si="1688"/>
        <v>0</v>
      </c>
      <c r="BG526" s="48">
        <f t="shared" si="1688"/>
        <v>0</v>
      </c>
      <c r="BH526" s="48">
        <f t="shared" si="1688"/>
        <v>0</v>
      </c>
      <c r="BI526" s="48">
        <f t="shared" si="1688"/>
        <v>0</v>
      </c>
      <c r="BJ526" s="48">
        <f t="shared" si="1688"/>
        <v>0</v>
      </c>
      <c r="BK526" s="48">
        <f t="shared" si="1688"/>
        <v>0</v>
      </c>
      <c r="BL526" s="48">
        <f t="shared" si="1688"/>
        <v>0</v>
      </c>
      <c r="BM526" s="48">
        <f t="shared" si="1688"/>
        <v>0</v>
      </c>
      <c r="BN526" s="48">
        <f t="shared" si="1688"/>
        <v>0</v>
      </c>
      <c r="BO526" s="48">
        <f t="shared" si="1688"/>
        <v>0</v>
      </c>
      <c r="BP526" s="48">
        <f t="shared" si="1688"/>
        <v>0</v>
      </c>
      <c r="BQ526" s="48">
        <f t="shared" si="1688"/>
        <v>0</v>
      </c>
      <c r="BR526" s="36">
        <f t="shared" si="9"/>
        <v>0</v>
      </c>
      <c r="BS526" s="38">
        <f t="shared" si="10"/>
        <v>1</v>
      </c>
      <c r="BT526" s="49">
        <f t="shared" si="11"/>
        <v>0</v>
      </c>
      <c r="BU526" s="38">
        <f t="shared" si="12"/>
        <v>1000</v>
      </c>
      <c r="BV526" s="57" t="str">
        <f>IFERROR(__xludf.DUMMYFUNCTION("""COMPUTED_VALUE"""),"Hooey")</f>
        <v>Hooey</v>
      </c>
      <c r="BW526" s="46">
        <f t="shared" si="13"/>
        <v>100</v>
      </c>
      <c r="BX526" s="47">
        <f t="shared" ref="BX526:CA526" si="1689">AX526-$BU526</f>
        <v>-1000</v>
      </c>
      <c r="BY526" s="47">
        <f t="shared" si="1689"/>
        <v>-1000</v>
      </c>
      <c r="BZ526" s="47">
        <f t="shared" si="1689"/>
        <v>-1000</v>
      </c>
      <c r="CA526" s="47">
        <f t="shared" si="1689"/>
        <v>-1000</v>
      </c>
      <c r="CB526" s="47">
        <f t="shared" si="15"/>
        <v>-9900</v>
      </c>
      <c r="CC526" s="47">
        <f t="shared" ref="CC526:CQ526" si="1690">BC526-$BU526</f>
        <v>-1000</v>
      </c>
      <c r="CD526" s="47">
        <f t="shared" si="1690"/>
        <v>-1000</v>
      </c>
      <c r="CE526" s="47">
        <f t="shared" si="1690"/>
        <v>-1000</v>
      </c>
      <c r="CF526" s="47">
        <f t="shared" si="1690"/>
        <v>-1000</v>
      </c>
      <c r="CG526" s="47">
        <f t="shared" si="1690"/>
        <v>-1000</v>
      </c>
      <c r="CH526" s="47">
        <f t="shared" si="1690"/>
        <v>-1000</v>
      </c>
      <c r="CI526" s="47">
        <f t="shared" si="1690"/>
        <v>-1000</v>
      </c>
      <c r="CJ526" s="47">
        <f t="shared" si="1690"/>
        <v>-1000</v>
      </c>
      <c r="CK526" s="47">
        <f t="shared" si="1690"/>
        <v>-1000</v>
      </c>
      <c r="CL526" s="47">
        <f t="shared" si="1690"/>
        <v>-1000</v>
      </c>
      <c r="CM526" s="47">
        <f t="shared" si="1690"/>
        <v>-1000</v>
      </c>
      <c r="CN526" s="47">
        <f t="shared" si="1690"/>
        <v>-1000</v>
      </c>
      <c r="CO526" s="47">
        <f t="shared" si="1690"/>
        <v>-1000</v>
      </c>
      <c r="CP526" s="47">
        <f t="shared" si="1690"/>
        <v>-1000</v>
      </c>
      <c r="CQ526" s="47">
        <f t="shared" si="1690"/>
        <v>-1000</v>
      </c>
      <c r="CR526" s="47"/>
      <c r="CS526" s="47"/>
      <c r="CT526" s="47"/>
      <c r="CU526" s="50" t="str">
        <f>IFERROR(__xludf.DUMMYFUNCTION("""COMPUTED_VALUE"""),"6145 Park Dale Dr
Dallas, TX 75227         ")</f>
        <v>6145 Park Dale Dr
Dallas, TX 75227         </v>
      </c>
      <c r="CV526" s="51">
        <f>IFERROR(__xludf.DUMMYFUNCTION("IF(REGEXMATCH(UPPER(CU526), ""TX""),0,1)"),0.0)</f>
        <v>0</v>
      </c>
      <c r="CW526" s="51">
        <f>IFERROR(__xludf.DUMMYFUNCTION("IF(REGEXMATCH(UPPER(CU526), ""DALLAS""),0,1)"),0.0)</f>
        <v>0</v>
      </c>
      <c r="CX526" s="51">
        <f t="shared" si="17"/>
        <v>0</v>
      </c>
      <c r="CY526" s="51">
        <f t="shared" si="18"/>
        <v>0</v>
      </c>
      <c r="CZ526" s="52" t="str">
        <f t="shared" si="19"/>
        <v/>
      </c>
      <c r="DA526" s="58"/>
      <c r="DB526" s="52"/>
      <c r="DC526" s="52"/>
      <c r="DD526" s="52"/>
      <c r="DE526" s="52"/>
      <c r="DF526" s="52"/>
      <c r="DG526" s="52"/>
      <c r="DH526" s="52"/>
      <c r="DI526" s="52"/>
      <c r="DJ526" s="52"/>
      <c r="DK526" s="52"/>
      <c r="DL526" s="52"/>
      <c r="DM526" s="52"/>
      <c r="DN526" s="52"/>
      <c r="DO526" s="52"/>
      <c r="DP526" s="52"/>
      <c r="DQ526" s="52"/>
      <c r="DR526" s="52"/>
      <c r="DS526" s="52"/>
      <c r="DT526" s="52"/>
      <c r="DU526" s="52"/>
      <c r="DV526" s="52"/>
      <c r="DW526" s="52"/>
    </row>
    <row r="527">
      <c r="A527" s="40" t="s">
        <v>55</v>
      </c>
      <c r="B527" s="41" t="s">
        <v>56</v>
      </c>
      <c r="C527" s="31" t="s">
        <v>1442</v>
      </c>
      <c r="D527" s="25" t="str">
        <f>IFERROR(__xludf.DUMMYFUNCTION("SPLIT(C527,"" "")"),"Hardtner,")</f>
        <v>Hardtner,</v>
      </c>
      <c r="E527" s="40" t="str">
        <f>IFERROR(__xludf.DUMMYFUNCTION("""COMPUTED_VALUE"""),"Karen
415")</f>
        <v>Karen
415</v>
      </c>
      <c r="F527" s="40" t="str">
        <f>IFERROR(__xludf.DUMMYFUNCTION("""COMPUTED_VALUE"""),"Janie")</f>
        <v>Janie</v>
      </c>
      <c r="G527" s="40" t="str">
        <f>IFERROR(__xludf.DUMMYFUNCTION("""COMPUTED_VALUE"""),"Lane
Shreveport,")</f>
        <v>Lane
Shreveport,</v>
      </c>
      <c r="H527" s="40" t="str">
        <f>IFERROR(__xludf.DUMMYFUNCTION("""COMPUTED_VALUE"""),"LA")</f>
        <v>LA</v>
      </c>
      <c r="I527" s="40">
        <f>IFERROR(__xludf.DUMMYFUNCTION("""COMPUTED_VALUE"""),71106.0)</f>
        <v>71106</v>
      </c>
      <c r="J527" s="40"/>
      <c r="K527" s="40"/>
      <c r="L527" s="40"/>
      <c r="M527" s="40"/>
      <c r="N527" s="40"/>
      <c r="O527" s="40"/>
      <c r="P527" s="40"/>
      <c r="Q527" s="40"/>
      <c r="R527" s="40"/>
      <c r="S527" s="40"/>
      <c r="T527" s="40"/>
      <c r="U527" s="24" t="str">
        <f>IFERROR(__xludf.DUMMYFUNCTION("SPLIT(E527,""01234567890"")"),"Karen
")</f>
        <v>Karen
</v>
      </c>
      <c r="V527" s="24" t="str">
        <f>IFERROR(__xludf.DUMMYFUNCTION("SPLIT(D527,"","")"),"Hardtner")</f>
        <v>Hardtner</v>
      </c>
      <c r="W527" s="25" t="str">
        <f t="shared" si="1"/>
        <v>KAREN
 HARDTNER</v>
      </c>
      <c r="X527" s="25" t="s">
        <v>1443</v>
      </c>
      <c r="Y527" s="25">
        <v>71106.0</v>
      </c>
      <c r="Z527" s="25" t="str">
        <f>IFERROR(__xludf.DUMMYFUNCTION("SPLIT(C527,""
"")"),"Hardtner, Karen")</f>
        <v>Hardtner, Karen</v>
      </c>
      <c r="AA527" s="25" t="str">
        <f>IFERROR(__xludf.DUMMYFUNCTION("""COMPUTED_VALUE"""),"415 Janie Lane")</f>
        <v>415 Janie Lane</v>
      </c>
      <c r="AB527" s="25" t="str">
        <f>IFERROR(__xludf.DUMMYFUNCTION("""COMPUTED_VALUE"""),"Shreveport, LA 71106")</f>
        <v>Shreveport, LA 71106</v>
      </c>
      <c r="AC527" s="24" t="s">
        <v>1444</v>
      </c>
      <c r="AD527" s="25"/>
      <c r="AE527" s="25"/>
      <c r="AF527" s="25"/>
      <c r="AG527" s="40" t="s">
        <v>60</v>
      </c>
      <c r="AH527" s="42">
        <v>2448.0</v>
      </c>
      <c r="AI527" s="40" t="s">
        <v>61</v>
      </c>
      <c r="AJ527" s="27">
        <v>500.0</v>
      </c>
      <c r="AK527" s="31" t="s">
        <v>24</v>
      </c>
      <c r="AL527" s="43">
        <v>44694.0</v>
      </c>
      <c r="AM527" s="44">
        <v>44757.44018518519</v>
      </c>
      <c r="AN527" s="30">
        <v>2.0</v>
      </c>
      <c r="AO527" s="40"/>
      <c r="AP527" s="40"/>
      <c r="AQ527" s="40"/>
      <c r="AR527" s="40"/>
      <c r="AS527" s="40"/>
      <c r="AT527" s="47"/>
      <c r="AU527" s="40"/>
      <c r="AV527" s="46" t="str">
        <f>IFERROR(__xludf.DUMMYFUNCTION("""COMPUTED_VALUE"""),"Love")</f>
        <v>Love</v>
      </c>
      <c r="AW527" s="46">
        <f t="shared" si="7"/>
        <v>2500</v>
      </c>
      <c r="AX527" s="47">
        <f t="shared" ref="AX527:BQ527" si="1691">SUMIFS($AJ:$AJ,$V:$V,$AV527,$AK:$AK,AX$2)</f>
        <v>0</v>
      </c>
      <c r="AY527" s="48">
        <f t="shared" si="1691"/>
        <v>0</v>
      </c>
      <c r="AZ527" s="48">
        <f t="shared" si="1691"/>
        <v>0</v>
      </c>
      <c r="BA527" s="48">
        <f t="shared" si="1691"/>
        <v>0</v>
      </c>
      <c r="BB527" s="48">
        <f t="shared" si="1691"/>
        <v>2500</v>
      </c>
      <c r="BC527" s="48">
        <f t="shared" si="1691"/>
        <v>0</v>
      </c>
      <c r="BD527" s="48">
        <f t="shared" si="1691"/>
        <v>0</v>
      </c>
      <c r="BE527" s="48">
        <f t="shared" si="1691"/>
        <v>0</v>
      </c>
      <c r="BF527" s="48">
        <f t="shared" si="1691"/>
        <v>0</v>
      </c>
      <c r="BG527" s="48">
        <f t="shared" si="1691"/>
        <v>0</v>
      </c>
      <c r="BH527" s="48">
        <f t="shared" si="1691"/>
        <v>0</v>
      </c>
      <c r="BI527" s="48">
        <f t="shared" si="1691"/>
        <v>0</v>
      </c>
      <c r="BJ527" s="48">
        <f t="shared" si="1691"/>
        <v>0</v>
      </c>
      <c r="BK527" s="48">
        <f t="shared" si="1691"/>
        <v>0</v>
      </c>
      <c r="BL527" s="48">
        <f t="shared" si="1691"/>
        <v>0</v>
      </c>
      <c r="BM527" s="48">
        <f t="shared" si="1691"/>
        <v>0</v>
      </c>
      <c r="BN527" s="48">
        <f t="shared" si="1691"/>
        <v>0</v>
      </c>
      <c r="BO527" s="48">
        <f t="shared" si="1691"/>
        <v>0</v>
      </c>
      <c r="BP527" s="48">
        <f t="shared" si="1691"/>
        <v>0</v>
      </c>
      <c r="BQ527" s="48">
        <f t="shared" si="1691"/>
        <v>0</v>
      </c>
      <c r="BR527" s="36">
        <f t="shared" si="9"/>
        <v>0</v>
      </c>
      <c r="BS527" s="38">
        <f t="shared" si="10"/>
        <v>1</v>
      </c>
      <c r="BT527" s="49">
        <f t="shared" si="11"/>
        <v>0</v>
      </c>
      <c r="BU527" s="38">
        <f t="shared" si="12"/>
        <v>1000</v>
      </c>
      <c r="BV527" s="46" t="str">
        <f>IFERROR(__xludf.DUMMYFUNCTION("""COMPUTED_VALUE"""),"Love")</f>
        <v>Love</v>
      </c>
      <c r="BW527" s="46">
        <f t="shared" si="13"/>
        <v>2500</v>
      </c>
      <c r="BX527" s="47">
        <f t="shared" ref="BX527:CA527" si="1692">AX527-$BU527</f>
        <v>-1000</v>
      </c>
      <c r="BY527" s="47">
        <f t="shared" si="1692"/>
        <v>-1000</v>
      </c>
      <c r="BZ527" s="47">
        <f t="shared" si="1692"/>
        <v>-1000</v>
      </c>
      <c r="CA527" s="47">
        <f t="shared" si="1692"/>
        <v>-1000</v>
      </c>
      <c r="CB527" s="47">
        <f t="shared" si="15"/>
        <v>-7500</v>
      </c>
      <c r="CC527" s="47">
        <f t="shared" ref="CC527:CQ527" si="1693">BC527-$BU527</f>
        <v>-1000</v>
      </c>
      <c r="CD527" s="47">
        <f t="shared" si="1693"/>
        <v>-1000</v>
      </c>
      <c r="CE527" s="47">
        <f t="shared" si="1693"/>
        <v>-1000</v>
      </c>
      <c r="CF527" s="47">
        <f t="shared" si="1693"/>
        <v>-1000</v>
      </c>
      <c r="CG527" s="47">
        <f t="shared" si="1693"/>
        <v>-1000</v>
      </c>
      <c r="CH527" s="47">
        <f t="shared" si="1693"/>
        <v>-1000</v>
      </c>
      <c r="CI527" s="47">
        <f t="shared" si="1693"/>
        <v>-1000</v>
      </c>
      <c r="CJ527" s="47">
        <f t="shared" si="1693"/>
        <v>-1000</v>
      </c>
      <c r="CK527" s="47">
        <f t="shared" si="1693"/>
        <v>-1000</v>
      </c>
      <c r="CL527" s="47">
        <f t="shared" si="1693"/>
        <v>-1000</v>
      </c>
      <c r="CM527" s="47">
        <f t="shared" si="1693"/>
        <v>-1000</v>
      </c>
      <c r="CN527" s="47">
        <f t="shared" si="1693"/>
        <v>-1000</v>
      </c>
      <c r="CO527" s="47">
        <f t="shared" si="1693"/>
        <v>-1000</v>
      </c>
      <c r="CP527" s="47">
        <f t="shared" si="1693"/>
        <v>-1000</v>
      </c>
      <c r="CQ527" s="47">
        <f t="shared" si="1693"/>
        <v>-1000</v>
      </c>
      <c r="CR527" s="47"/>
      <c r="CS527" s="47"/>
      <c r="CT527" s="47"/>
      <c r="CU527" s="50" t="str">
        <f>IFERROR(__xludf.DUMMYFUNCTION("""COMPUTED_VALUE"""),"1917 Valley Oaks Ct
Irving, TX 75016         ")</f>
        <v>1917 Valley Oaks Ct
Irving, TX 75016         </v>
      </c>
      <c r="CV527" s="51">
        <f>IFERROR(__xludf.DUMMYFUNCTION("IF(REGEXMATCH(UPPER(CU527), ""TX""),0,1)"),0.0)</f>
        <v>0</v>
      </c>
      <c r="CW527" s="51">
        <f>IFERROR(__xludf.DUMMYFUNCTION("IF(REGEXMATCH(UPPER(CU527), ""DALLAS""),0,1)"),1.0)</f>
        <v>1</v>
      </c>
      <c r="CX527" s="51">
        <f t="shared" si="17"/>
        <v>0</v>
      </c>
      <c r="CY527" s="51">
        <f t="shared" si="18"/>
        <v>250</v>
      </c>
      <c r="CZ527" s="52" t="str">
        <f t="shared" si="19"/>
        <v>1917 Valley Oaks Ct
Irving, TX 75016         </v>
      </c>
      <c r="DA527" s="58"/>
      <c r="DB527" s="52"/>
      <c r="DC527" s="52"/>
      <c r="DD527" s="52"/>
      <c r="DE527" s="52"/>
      <c r="DF527" s="52"/>
      <c r="DG527" s="52"/>
      <c r="DH527" s="52"/>
      <c r="DI527" s="52"/>
      <c r="DJ527" s="52"/>
      <c r="DK527" s="52"/>
      <c r="DL527" s="52"/>
      <c r="DM527" s="52"/>
      <c r="DN527" s="52"/>
      <c r="DO527" s="52"/>
      <c r="DP527" s="52"/>
      <c r="DQ527" s="52"/>
      <c r="DR527" s="52"/>
      <c r="DS527" s="52"/>
      <c r="DT527" s="52"/>
      <c r="DU527" s="52"/>
      <c r="DV527" s="52"/>
      <c r="DW527" s="52"/>
    </row>
    <row r="528">
      <c r="A528" s="22" t="s">
        <v>55</v>
      </c>
      <c r="B528" s="23" t="s">
        <v>56</v>
      </c>
      <c r="C528" s="31" t="s">
        <v>1445</v>
      </c>
      <c r="D528" s="25" t="str">
        <f>IFERROR(__xludf.DUMMYFUNCTION("SPLIT(C528,"" "")"),"Hoseterey,")</f>
        <v>Hoseterey,</v>
      </c>
      <c r="E528" s="22" t="str">
        <f>IFERROR(__xludf.DUMMYFUNCTION("""COMPUTED_VALUE"""),"Jennifer
1409")</f>
        <v>Jennifer
1409</v>
      </c>
      <c r="F528" s="22" t="str">
        <f>IFERROR(__xludf.DUMMYFUNCTION("""COMPUTED_VALUE"""),"Bella")</f>
        <v>Bella</v>
      </c>
      <c r="G528" s="22" t="str">
        <f>IFERROR(__xludf.DUMMYFUNCTION("""COMPUTED_VALUE"""),"Vista
Dallas,")</f>
        <v>Vista
Dallas,</v>
      </c>
      <c r="H528" s="22" t="str">
        <f>IFERROR(__xludf.DUMMYFUNCTION("""COMPUTED_VALUE"""),"TX")</f>
        <v>TX</v>
      </c>
      <c r="I528" s="22">
        <f>IFERROR(__xludf.DUMMYFUNCTION("""COMPUTED_VALUE"""),75218.0)</f>
        <v>75218</v>
      </c>
      <c r="J528" s="22"/>
      <c r="K528" s="22"/>
      <c r="L528" s="22"/>
      <c r="M528" s="22"/>
      <c r="N528" s="22"/>
      <c r="O528" s="22"/>
      <c r="P528" s="22"/>
      <c r="Q528" s="22"/>
      <c r="R528" s="22"/>
      <c r="S528" s="22"/>
      <c r="T528" s="22"/>
      <c r="U528" s="24" t="str">
        <f>IFERROR(__xludf.DUMMYFUNCTION("SPLIT(E528,""01234567890"")"),"Jennifer
")</f>
        <v>Jennifer
</v>
      </c>
      <c r="V528" s="24" t="str">
        <f>IFERROR(__xludf.DUMMYFUNCTION("SPLIT(D528,"","")"),"Hoseterey")</f>
        <v>Hoseterey</v>
      </c>
      <c r="W528" s="25" t="str">
        <f t="shared" si="1"/>
        <v>JENNIFER
 HOSETEREY</v>
      </c>
      <c r="X528" s="25" t="s">
        <v>1446</v>
      </c>
      <c r="Y528" s="25">
        <v>75218.0</v>
      </c>
      <c r="Z528" s="25" t="str">
        <f>IFERROR(__xludf.DUMMYFUNCTION("SPLIT(C528,""
"")"),"Hoseterey, Jennifer")</f>
        <v>Hoseterey, Jennifer</v>
      </c>
      <c r="AA528" s="25" t="str">
        <f>IFERROR(__xludf.DUMMYFUNCTION("""COMPUTED_VALUE"""),"1409 Bella Vista")</f>
        <v>1409 Bella Vista</v>
      </c>
      <c r="AB528" s="25" t="str">
        <f>IFERROR(__xludf.DUMMYFUNCTION("""COMPUTED_VALUE"""),"Dallas, TX 75218")</f>
        <v>Dallas, TX 75218</v>
      </c>
      <c r="AC528" s="24" t="s">
        <v>1447</v>
      </c>
      <c r="AD528" s="25"/>
      <c r="AE528" s="25"/>
      <c r="AF528" s="25"/>
      <c r="AG528" s="22" t="s">
        <v>60</v>
      </c>
      <c r="AH528" s="54">
        <v>2448.0</v>
      </c>
      <c r="AI528" s="22" t="s">
        <v>61</v>
      </c>
      <c r="AJ528" s="27">
        <v>250.0</v>
      </c>
      <c r="AK528" s="31" t="s">
        <v>24</v>
      </c>
      <c r="AL528" s="28">
        <v>44694.0</v>
      </c>
      <c r="AM528" s="29">
        <v>44757.44018518519</v>
      </c>
      <c r="AN528" s="30">
        <v>2.0</v>
      </c>
      <c r="AO528" s="22"/>
      <c r="AP528" s="22"/>
      <c r="AQ528" s="22"/>
      <c r="AR528" s="22"/>
      <c r="AS528" s="22"/>
      <c r="AT528" s="70"/>
      <c r="AU528" s="22"/>
      <c r="AV528" s="57" t="str">
        <f>IFERROR(__xludf.DUMMYFUNCTION("""COMPUTED_VALUE"""),"Peters")</f>
        <v>Peters</v>
      </c>
      <c r="AW528" s="46">
        <f t="shared" si="7"/>
        <v>250</v>
      </c>
      <c r="AX528" s="47">
        <f t="shared" ref="AX528:BQ528" si="1694">SUMIFS($AJ:$AJ,$V:$V,$AV528,$AK:$AK,AX$2)</f>
        <v>0</v>
      </c>
      <c r="AY528" s="48">
        <f t="shared" si="1694"/>
        <v>0</v>
      </c>
      <c r="AZ528" s="48">
        <f t="shared" si="1694"/>
        <v>0</v>
      </c>
      <c r="BA528" s="48">
        <f t="shared" si="1694"/>
        <v>0</v>
      </c>
      <c r="BB528" s="48">
        <f t="shared" si="1694"/>
        <v>250</v>
      </c>
      <c r="BC528" s="48">
        <f t="shared" si="1694"/>
        <v>0</v>
      </c>
      <c r="BD528" s="48">
        <f t="shared" si="1694"/>
        <v>0</v>
      </c>
      <c r="BE528" s="48">
        <f t="shared" si="1694"/>
        <v>0</v>
      </c>
      <c r="BF528" s="48">
        <f t="shared" si="1694"/>
        <v>0</v>
      </c>
      <c r="BG528" s="48">
        <f t="shared" si="1694"/>
        <v>0</v>
      </c>
      <c r="BH528" s="48">
        <f t="shared" si="1694"/>
        <v>0</v>
      </c>
      <c r="BI528" s="48">
        <f t="shared" si="1694"/>
        <v>0</v>
      </c>
      <c r="BJ528" s="48">
        <f t="shared" si="1694"/>
        <v>0</v>
      </c>
      <c r="BK528" s="48">
        <f t="shared" si="1694"/>
        <v>0</v>
      </c>
      <c r="BL528" s="48">
        <f t="shared" si="1694"/>
        <v>0</v>
      </c>
      <c r="BM528" s="48">
        <f t="shared" si="1694"/>
        <v>0</v>
      </c>
      <c r="BN528" s="48">
        <f t="shared" si="1694"/>
        <v>0</v>
      </c>
      <c r="BO528" s="48">
        <f t="shared" si="1694"/>
        <v>0</v>
      </c>
      <c r="BP528" s="48">
        <f t="shared" si="1694"/>
        <v>0</v>
      </c>
      <c r="BQ528" s="48">
        <f t="shared" si="1694"/>
        <v>0</v>
      </c>
      <c r="BR528" s="36">
        <f t="shared" si="9"/>
        <v>0</v>
      </c>
      <c r="BS528" s="38">
        <f t="shared" si="10"/>
        <v>1</v>
      </c>
      <c r="BT528" s="49">
        <f t="shared" si="11"/>
        <v>0</v>
      </c>
      <c r="BU528" s="38">
        <f t="shared" si="12"/>
        <v>1000</v>
      </c>
      <c r="BV528" s="57" t="str">
        <f>IFERROR(__xludf.DUMMYFUNCTION("""COMPUTED_VALUE"""),"Peters")</f>
        <v>Peters</v>
      </c>
      <c r="BW528" s="46">
        <f t="shared" si="13"/>
        <v>250</v>
      </c>
      <c r="BX528" s="47">
        <f t="shared" ref="BX528:CA528" si="1695">AX528-$BU528</f>
        <v>-1000</v>
      </c>
      <c r="BY528" s="47">
        <f t="shared" si="1695"/>
        <v>-1000</v>
      </c>
      <c r="BZ528" s="47">
        <f t="shared" si="1695"/>
        <v>-1000</v>
      </c>
      <c r="CA528" s="47">
        <f t="shared" si="1695"/>
        <v>-1000</v>
      </c>
      <c r="CB528" s="47">
        <f t="shared" si="15"/>
        <v>-9750</v>
      </c>
      <c r="CC528" s="47">
        <f t="shared" ref="CC528:CQ528" si="1696">BC528-$BU528</f>
        <v>-1000</v>
      </c>
      <c r="CD528" s="47">
        <f t="shared" si="1696"/>
        <v>-1000</v>
      </c>
      <c r="CE528" s="47">
        <f t="shared" si="1696"/>
        <v>-1000</v>
      </c>
      <c r="CF528" s="47">
        <f t="shared" si="1696"/>
        <v>-1000</v>
      </c>
      <c r="CG528" s="47">
        <f t="shared" si="1696"/>
        <v>-1000</v>
      </c>
      <c r="CH528" s="47">
        <f t="shared" si="1696"/>
        <v>-1000</v>
      </c>
      <c r="CI528" s="47">
        <f t="shared" si="1696"/>
        <v>-1000</v>
      </c>
      <c r="CJ528" s="47">
        <f t="shared" si="1696"/>
        <v>-1000</v>
      </c>
      <c r="CK528" s="47">
        <f t="shared" si="1696"/>
        <v>-1000</v>
      </c>
      <c r="CL528" s="47">
        <f t="shared" si="1696"/>
        <v>-1000</v>
      </c>
      <c r="CM528" s="47">
        <f t="shared" si="1696"/>
        <v>-1000</v>
      </c>
      <c r="CN528" s="47">
        <f t="shared" si="1696"/>
        <v>-1000</v>
      </c>
      <c r="CO528" s="47">
        <f t="shared" si="1696"/>
        <v>-1000</v>
      </c>
      <c r="CP528" s="47">
        <f t="shared" si="1696"/>
        <v>-1000</v>
      </c>
      <c r="CQ528" s="47">
        <f t="shared" si="1696"/>
        <v>-1000</v>
      </c>
      <c r="CR528" s="47"/>
      <c r="CS528" s="47"/>
      <c r="CT528" s="47"/>
      <c r="CU528" s="50" t="str">
        <f>IFERROR(__xludf.DUMMYFUNCTION("""COMPUTED_VALUE"""),"3374 Blackburn
Dallas, TX 75204           ")</f>
        <v>3374 Blackburn
Dallas, TX 75204           </v>
      </c>
      <c r="CV528" s="51">
        <f>IFERROR(__xludf.DUMMYFUNCTION("IF(REGEXMATCH(UPPER(CU528), ""TX""),0,1)"),0.0)</f>
        <v>0</v>
      </c>
      <c r="CW528" s="51">
        <f>IFERROR(__xludf.DUMMYFUNCTION("IF(REGEXMATCH(UPPER(CU528), ""DALLAS""),0,1)"),0.0)</f>
        <v>0</v>
      </c>
      <c r="CX528" s="51">
        <f t="shared" si="17"/>
        <v>0</v>
      </c>
      <c r="CY528" s="51">
        <f t="shared" si="18"/>
        <v>0</v>
      </c>
      <c r="CZ528" s="52" t="str">
        <f t="shared" si="19"/>
        <v/>
      </c>
      <c r="DA528" s="58"/>
      <c r="DB528" s="52"/>
      <c r="DC528" s="52"/>
      <c r="DD528" s="52"/>
      <c r="DE528" s="52"/>
      <c r="DF528" s="52"/>
      <c r="DG528" s="52"/>
      <c r="DH528" s="52"/>
      <c r="DI528" s="52"/>
      <c r="DJ528" s="52"/>
      <c r="DK528" s="52"/>
      <c r="DL528" s="52"/>
      <c r="DM528" s="52"/>
      <c r="DN528" s="52"/>
      <c r="DO528" s="52"/>
      <c r="DP528" s="52"/>
      <c r="DQ528" s="52"/>
      <c r="DR528" s="52"/>
      <c r="DS528" s="52"/>
      <c r="DT528" s="52"/>
      <c r="DU528" s="52"/>
      <c r="DV528" s="52"/>
      <c r="DW528" s="52"/>
    </row>
    <row r="529">
      <c r="A529" s="40" t="s">
        <v>55</v>
      </c>
      <c r="B529" s="41" t="s">
        <v>56</v>
      </c>
      <c r="C529" s="31" t="s">
        <v>1448</v>
      </c>
      <c r="D529" s="25" t="str">
        <f>IFERROR(__xludf.DUMMYFUNCTION("SPLIT(C529,"" "")"),"Hong,")</f>
        <v>Hong,</v>
      </c>
      <c r="E529" s="40" t="str">
        <f>IFERROR(__xludf.DUMMYFUNCTION("""COMPUTED_VALUE"""),"Sunhee
4315")</f>
        <v>Sunhee
4315</v>
      </c>
      <c r="F529" s="40" t="str">
        <f>IFERROR(__xludf.DUMMYFUNCTION("""COMPUTED_VALUE"""),"Melissa")</f>
        <v>Melissa</v>
      </c>
      <c r="G529" s="40" t="str">
        <f>IFERROR(__xludf.DUMMYFUNCTION("""COMPUTED_VALUE"""),"Ln
Dallas,")</f>
        <v>Ln
Dallas,</v>
      </c>
      <c r="H529" s="40" t="str">
        <f>IFERROR(__xludf.DUMMYFUNCTION("""COMPUTED_VALUE"""),"TX")</f>
        <v>TX</v>
      </c>
      <c r="I529" s="40">
        <f>IFERROR(__xludf.DUMMYFUNCTION("""COMPUTED_VALUE"""),75229.0)</f>
        <v>75229</v>
      </c>
      <c r="J529" s="40"/>
      <c r="K529" s="40"/>
      <c r="L529" s="40"/>
      <c r="M529" s="40"/>
      <c r="N529" s="40"/>
      <c r="O529" s="40"/>
      <c r="P529" s="40"/>
      <c r="Q529" s="40"/>
      <c r="R529" s="40"/>
      <c r="S529" s="40"/>
      <c r="T529" s="40"/>
      <c r="U529" s="24" t="str">
        <f>IFERROR(__xludf.DUMMYFUNCTION("SPLIT(E529,""01234567890"")"),"Sunhee
")</f>
        <v>Sunhee
</v>
      </c>
      <c r="V529" s="24" t="str">
        <f>IFERROR(__xludf.DUMMYFUNCTION("SPLIT(D529,"","")"),"Hong")</f>
        <v>Hong</v>
      </c>
      <c r="W529" s="25" t="str">
        <f t="shared" si="1"/>
        <v>SUNHEE
 HONG</v>
      </c>
      <c r="X529" s="25" t="s">
        <v>1449</v>
      </c>
      <c r="Y529" s="25">
        <v>75229.0</v>
      </c>
      <c r="Z529" s="25" t="str">
        <f>IFERROR(__xludf.DUMMYFUNCTION("SPLIT(C529,""
"")"),"Hong, Sunhee")</f>
        <v>Hong, Sunhee</v>
      </c>
      <c r="AA529" s="25" t="str">
        <f>IFERROR(__xludf.DUMMYFUNCTION("""COMPUTED_VALUE"""),"4315 Melissa Ln")</f>
        <v>4315 Melissa Ln</v>
      </c>
      <c r="AB529" s="25" t="str">
        <f>IFERROR(__xludf.DUMMYFUNCTION("""COMPUTED_VALUE"""),"Dallas, TX 75229")</f>
        <v>Dallas, TX 75229</v>
      </c>
      <c r="AC529" s="24" t="s">
        <v>1450</v>
      </c>
      <c r="AD529" s="25"/>
      <c r="AE529" s="25"/>
      <c r="AF529" s="25"/>
      <c r="AG529" s="40" t="s">
        <v>60</v>
      </c>
      <c r="AH529" s="42">
        <v>2448.0</v>
      </c>
      <c r="AI529" s="40" t="s">
        <v>61</v>
      </c>
      <c r="AJ529" s="27">
        <v>500.0</v>
      </c>
      <c r="AK529" s="31" t="s">
        <v>24</v>
      </c>
      <c r="AL529" s="43">
        <v>44694.0</v>
      </c>
      <c r="AM529" s="44">
        <v>44757.44018518519</v>
      </c>
      <c r="AN529" s="30">
        <v>2.0</v>
      </c>
      <c r="AO529" s="40"/>
      <c r="AP529" s="40"/>
      <c r="AQ529" s="40"/>
      <c r="AR529" s="40"/>
      <c r="AS529" s="40"/>
      <c r="AT529" s="47"/>
      <c r="AU529" s="40"/>
      <c r="AV529" s="46" t="str">
        <f>IFERROR(__xludf.DUMMYFUNCTION("""COMPUTED_VALUE"""),"Cammack")</f>
        <v>Cammack</v>
      </c>
      <c r="AW529" s="46">
        <f t="shared" si="7"/>
        <v>1000</v>
      </c>
      <c r="AX529" s="47">
        <f t="shared" ref="AX529:BQ529" si="1697">SUMIFS($AJ:$AJ,$V:$V,$AV529,$AK:$AK,AX$2)</f>
        <v>0</v>
      </c>
      <c r="AY529" s="48">
        <f t="shared" si="1697"/>
        <v>0</v>
      </c>
      <c r="AZ529" s="48">
        <f t="shared" si="1697"/>
        <v>0</v>
      </c>
      <c r="BA529" s="48">
        <f t="shared" si="1697"/>
        <v>0</v>
      </c>
      <c r="BB529" s="48">
        <f t="shared" si="1697"/>
        <v>1000</v>
      </c>
      <c r="BC529" s="48">
        <f t="shared" si="1697"/>
        <v>0</v>
      </c>
      <c r="BD529" s="48">
        <f t="shared" si="1697"/>
        <v>0</v>
      </c>
      <c r="BE529" s="48">
        <f t="shared" si="1697"/>
        <v>0</v>
      </c>
      <c r="BF529" s="48">
        <f t="shared" si="1697"/>
        <v>0</v>
      </c>
      <c r="BG529" s="48">
        <f t="shared" si="1697"/>
        <v>0</v>
      </c>
      <c r="BH529" s="48">
        <f t="shared" si="1697"/>
        <v>0</v>
      </c>
      <c r="BI529" s="48">
        <f t="shared" si="1697"/>
        <v>0</v>
      </c>
      <c r="BJ529" s="48">
        <f t="shared" si="1697"/>
        <v>0</v>
      </c>
      <c r="BK529" s="48">
        <f t="shared" si="1697"/>
        <v>0</v>
      </c>
      <c r="BL529" s="48">
        <f t="shared" si="1697"/>
        <v>0</v>
      </c>
      <c r="BM529" s="48">
        <f t="shared" si="1697"/>
        <v>0</v>
      </c>
      <c r="BN529" s="48">
        <f t="shared" si="1697"/>
        <v>0</v>
      </c>
      <c r="BO529" s="48">
        <f t="shared" si="1697"/>
        <v>0</v>
      </c>
      <c r="BP529" s="48">
        <f t="shared" si="1697"/>
        <v>0</v>
      </c>
      <c r="BQ529" s="48">
        <f t="shared" si="1697"/>
        <v>0</v>
      </c>
      <c r="BR529" s="36">
        <f t="shared" si="9"/>
        <v>0</v>
      </c>
      <c r="BS529" s="38">
        <f t="shared" si="10"/>
        <v>1</v>
      </c>
      <c r="BT529" s="49">
        <f t="shared" si="11"/>
        <v>0</v>
      </c>
      <c r="BU529" s="38">
        <f t="shared" si="12"/>
        <v>1000</v>
      </c>
      <c r="BV529" s="46" t="str">
        <f>IFERROR(__xludf.DUMMYFUNCTION("""COMPUTED_VALUE"""),"Cammack")</f>
        <v>Cammack</v>
      </c>
      <c r="BW529" s="46">
        <f t="shared" si="13"/>
        <v>1000</v>
      </c>
      <c r="BX529" s="47">
        <f t="shared" ref="BX529:CA529" si="1698">AX529-$BU529</f>
        <v>-1000</v>
      </c>
      <c r="BY529" s="47">
        <f t="shared" si="1698"/>
        <v>-1000</v>
      </c>
      <c r="BZ529" s="47">
        <f t="shared" si="1698"/>
        <v>-1000</v>
      </c>
      <c r="CA529" s="47">
        <f t="shared" si="1698"/>
        <v>-1000</v>
      </c>
      <c r="CB529" s="47">
        <f t="shared" si="15"/>
        <v>-9000</v>
      </c>
      <c r="CC529" s="47">
        <f t="shared" ref="CC529:CQ529" si="1699">BC529-$BU529</f>
        <v>-1000</v>
      </c>
      <c r="CD529" s="47">
        <f t="shared" si="1699"/>
        <v>-1000</v>
      </c>
      <c r="CE529" s="47">
        <f t="shared" si="1699"/>
        <v>-1000</v>
      </c>
      <c r="CF529" s="47">
        <f t="shared" si="1699"/>
        <v>-1000</v>
      </c>
      <c r="CG529" s="47">
        <f t="shared" si="1699"/>
        <v>-1000</v>
      </c>
      <c r="CH529" s="47">
        <f t="shared" si="1699"/>
        <v>-1000</v>
      </c>
      <c r="CI529" s="47">
        <f t="shared" si="1699"/>
        <v>-1000</v>
      </c>
      <c r="CJ529" s="47">
        <f t="shared" si="1699"/>
        <v>-1000</v>
      </c>
      <c r="CK529" s="47">
        <f t="shared" si="1699"/>
        <v>-1000</v>
      </c>
      <c r="CL529" s="47">
        <f t="shared" si="1699"/>
        <v>-1000</v>
      </c>
      <c r="CM529" s="47">
        <f t="shared" si="1699"/>
        <v>-1000</v>
      </c>
      <c r="CN529" s="47">
        <f t="shared" si="1699"/>
        <v>-1000</v>
      </c>
      <c r="CO529" s="47">
        <f t="shared" si="1699"/>
        <v>-1000</v>
      </c>
      <c r="CP529" s="47">
        <f t="shared" si="1699"/>
        <v>-1000</v>
      </c>
      <c r="CQ529" s="47">
        <f t="shared" si="1699"/>
        <v>-1000</v>
      </c>
      <c r="CR529" s="47"/>
      <c r="CS529" s="47"/>
      <c r="CT529" s="47"/>
      <c r="CU529" s="50" t="str">
        <f>IFERROR(__xludf.DUMMYFUNCTION("""COMPUTED_VALUE"""),"5909 Luther Lake
Dallas, TX 75225          ")</f>
        <v>5909 Luther Lake
Dallas, TX 75225          </v>
      </c>
      <c r="CV529" s="51">
        <f>IFERROR(__xludf.DUMMYFUNCTION("IF(REGEXMATCH(UPPER(CU529), ""TX""),0,1)"),0.0)</f>
        <v>0</v>
      </c>
      <c r="CW529" s="51">
        <f>IFERROR(__xludf.DUMMYFUNCTION("IF(REGEXMATCH(UPPER(CU529), ""DALLAS""),0,1)"),0.0)</f>
        <v>0</v>
      </c>
      <c r="CX529" s="51">
        <f t="shared" si="17"/>
        <v>0</v>
      </c>
      <c r="CY529" s="51">
        <f t="shared" si="18"/>
        <v>0</v>
      </c>
      <c r="CZ529" s="52" t="str">
        <f t="shared" si="19"/>
        <v/>
      </c>
      <c r="DA529" s="58"/>
      <c r="DB529" s="52"/>
      <c r="DC529" s="52"/>
      <c r="DD529" s="52"/>
      <c r="DE529" s="52"/>
      <c r="DF529" s="52"/>
      <c r="DG529" s="52"/>
      <c r="DH529" s="52"/>
      <c r="DI529" s="52"/>
      <c r="DJ529" s="52"/>
      <c r="DK529" s="52"/>
      <c r="DL529" s="52"/>
      <c r="DM529" s="52"/>
      <c r="DN529" s="52"/>
      <c r="DO529" s="52"/>
      <c r="DP529" s="52"/>
      <c r="DQ529" s="52"/>
      <c r="DR529" s="52"/>
      <c r="DS529" s="52"/>
      <c r="DT529" s="52"/>
      <c r="DU529" s="52"/>
      <c r="DV529" s="52"/>
      <c r="DW529" s="52"/>
    </row>
    <row r="530">
      <c r="A530" s="22" t="s">
        <v>55</v>
      </c>
      <c r="B530" s="23" t="s">
        <v>56</v>
      </c>
      <c r="C530" s="31" t="s">
        <v>1451</v>
      </c>
      <c r="D530" s="25" t="str">
        <f>IFERROR(__xludf.DUMMYFUNCTION("SPLIT(C530,"" "")"),"Irvin,")</f>
        <v>Irvin,</v>
      </c>
      <c r="E530" s="22" t="str">
        <f>IFERROR(__xludf.DUMMYFUNCTION("""COMPUTED_VALUE"""),"Kathleen
6620")</f>
        <v>Kathleen
6620</v>
      </c>
      <c r="F530" s="22" t="str">
        <f>IFERROR(__xludf.DUMMYFUNCTION("""COMPUTED_VALUE"""),"Ridgemont")</f>
        <v>Ridgemont</v>
      </c>
      <c r="G530" s="22" t="str">
        <f>IFERROR(__xludf.DUMMYFUNCTION("""COMPUTED_VALUE"""),"Dr
Dallas,")</f>
        <v>Dr
Dallas,</v>
      </c>
      <c r="H530" s="22" t="str">
        <f>IFERROR(__xludf.DUMMYFUNCTION("""COMPUTED_VALUE"""),"TX")</f>
        <v>TX</v>
      </c>
      <c r="I530" s="22">
        <f>IFERROR(__xludf.DUMMYFUNCTION("""COMPUTED_VALUE"""),75214.0)</f>
        <v>75214</v>
      </c>
      <c r="J530" s="22"/>
      <c r="K530" s="22"/>
      <c r="L530" s="22"/>
      <c r="M530" s="22"/>
      <c r="N530" s="22"/>
      <c r="O530" s="22"/>
      <c r="P530" s="22"/>
      <c r="Q530" s="22"/>
      <c r="R530" s="22"/>
      <c r="S530" s="22"/>
      <c r="T530" s="22"/>
      <c r="U530" s="24" t="str">
        <f>IFERROR(__xludf.DUMMYFUNCTION("SPLIT(E530,""01234567890"")"),"Kathleen
")</f>
        <v>Kathleen
</v>
      </c>
      <c r="V530" s="24" t="str">
        <f>IFERROR(__xludf.DUMMYFUNCTION("SPLIT(D530,"","")"),"Irvin")</f>
        <v>Irvin</v>
      </c>
      <c r="W530" s="25" t="str">
        <f t="shared" si="1"/>
        <v>KATHLEEN
 IRVIN</v>
      </c>
      <c r="X530" s="25" t="s">
        <v>1452</v>
      </c>
      <c r="Y530" s="25">
        <v>75214.0</v>
      </c>
      <c r="Z530" s="25" t="str">
        <f>IFERROR(__xludf.DUMMYFUNCTION("SPLIT(C530,""
"")"),"Irvin, Kathleen")</f>
        <v>Irvin, Kathleen</v>
      </c>
      <c r="AA530" s="25" t="str">
        <f>IFERROR(__xludf.DUMMYFUNCTION("""COMPUTED_VALUE"""),"6620 Ridgemont Dr")</f>
        <v>6620 Ridgemont Dr</v>
      </c>
      <c r="AB530" s="25" t="str">
        <f>IFERROR(__xludf.DUMMYFUNCTION("""COMPUTED_VALUE"""),"Dallas, TX 75214")</f>
        <v>Dallas, TX 75214</v>
      </c>
      <c r="AC530" s="24" t="s">
        <v>1453</v>
      </c>
      <c r="AD530" s="25"/>
      <c r="AE530" s="25"/>
      <c r="AF530" s="25"/>
      <c r="AG530" s="22" t="s">
        <v>60</v>
      </c>
      <c r="AH530" s="54">
        <v>2448.0</v>
      </c>
      <c r="AI530" s="22" t="s">
        <v>61</v>
      </c>
      <c r="AJ530" s="27">
        <v>500.0</v>
      </c>
      <c r="AK530" s="31" t="s">
        <v>24</v>
      </c>
      <c r="AL530" s="28">
        <v>44694.0</v>
      </c>
      <c r="AM530" s="29">
        <v>44757.44018518519</v>
      </c>
      <c r="AN530" s="30">
        <v>2.0</v>
      </c>
      <c r="AO530" s="22"/>
      <c r="AP530" s="22"/>
      <c r="AQ530" s="22"/>
      <c r="AR530" s="22"/>
      <c r="AS530" s="22"/>
      <c r="AT530" s="70"/>
      <c r="AU530" s="22"/>
      <c r="AV530" s="57" t="str">
        <f>IFERROR(__xludf.DUMMYFUNCTION("""COMPUTED_VALUE"""),"Hawley")</f>
        <v>Hawley</v>
      </c>
      <c r="AW530" s="46">
        <f t="shared" si="7"/>
        <v>1000</v>
      </c>
      <c r="AX530" s="47">
        <f t="shared" ref="AX530:BQ530" si="1700">SUMIFS($AJ:$AJ,$V:$V,$AV530,$AK:$AK,AX$2)</f>
        <v>0</v>
      </c>
      <c r="AY530" s="48">
        <f t="shared" si="1700"/>
        <v>0</v>
      </c>
      <c r="AZ530" s="48">
        <f t="shared" si="1700"/>
        <v>0</v>
      </c>
      <c r="BA530" s="48">
        <f t="shared" si="1700"/>
        <v>0</v>
      </c>
      <c r="BB530" s="48">
        <f t="shared" si="1700"/>
        <v>1000</v>
      </c>
      <c r="BC530" s="48">
        <f t="shared" si="1700"/>
        <v>0</v>
      </c>
      <c r="BD530" s="48">
        <f t="shared" si="1700"/>
        <v>0</v>
      </c>
      <c r="BE530" s="48">
        <f t="shared" si="1700"/>
        <v>0</v>
      </c>
      <c r="BF530" s="48">
        <f t="shared" si="1700"/>
        <v>0</v>
      </c>
      <c r="BG530" s="48">
        <f t="shared" si="1700"/>
        <v>0</v>
      </c>
      <c r="BH530" s="48">
        <f t="shared" si="1700"/>
        <v>0</v>
      </c>
      <c r="BI530" s="48">
        <f t="shared" si="1700"/>
        <v>0</v>
      </c>
      <c r="BJ530" s="48">
        <f t="shared" si="1700"/>
        <v>0</v>
      </c>
      <c r="BK530" s="48">
        <f t="shared" si="1700"/>
        <v>0</v>
      </c>
      <c r="BL530" s="48">
        <f t="shared" si="1700"/>
        <v>0</v>
      </c>
      <c r="BM530" s="48">
        <f t="shared" si="1700"/>
        <v>0</v>
      </c>
      <c r="BN530" s="48">
        <f t="shared" si="1700"/>
        <v>0</v>
      </c>
      <c r="BO530" s="48">
        <f t="shared" si="1700"/>
        <v>0</v>
      </c>
      <c r="BP530" s="48">
        <f t="shared" si="1700"/>
        <v>0</v>
      </c>
      <c r="BQ530" s="48">
        <f t="shared" si="1700"/>
        <v>0</v>
      </c>
      <c r="BR530" s="36">
        <f t="shared" si="9"/>
        <v>0</v>
      </c>
      <c r="BS530" s="38">
        <f t="shared" si="10"/>
        <v>1</v>
      </c>
      <c r="BT530" s="49">
        <f t="shared" si="11"/>
        <v>0</v>
      </c>
      <c r="BU530" s="38">
        <f t="shared" si="12"/>
        <v>1000</v>
      </c>
      <c r="BV530" s="57" t="str">
        <f>IFERROR(__xludf.DUMMYFUNCTION("""COMPUTED_VALUE"""),"Hawley")</f>
        <v>Hawley</v>
      </c>
      <c r="BW530" s="46">
        <f t="shared" si="13"/>
        <v>1000</v>
      </c>
      <c r="BX530" s="47">
        <f t="shared" ref="BX530:CA530" si="1701">AX530-$BU530</f>
        <v>-1000</v>
      </c>
      <c r="BY530" s="47">
        <f t="shared" si="1701"/>
        <v>-1000</v>
      </c>
      <c r="BZ530" s="47">
        <f t="shared" si="1701"/>
        <v>-1000</v>
      </c>
      <c r="CA530" s="47">
        <f t="shared" si="1701"/>
        <v>-1000</v>
      </c>
      <c r="CB530" s="47">
        <f t="shared" si="15"/>
        <v>-9000</v>
      </c>
      <c r="CC530" s="47">
        <f t="shared" ref="CC530:CQ530" si="1702">BC530-$BU530</f>
        <v>-1000</v>
      </c>
      <c r="CD530" s="47">
        <f t="shared" si="1702"/>
        <v>-1000</v>
      </c>
      <c r="CE530" s="47">
        <f t="shared" si="1702"/>
        <v>-1000</v>
      </c>
      <c r="CF530" s="47">
        <f t="shared" si="1702"/>
        <v>-1000</v>
      </c>
      <c r="CG530" s="47">
        <f t="shared" si="1702"/>
        <v>-1000</v>
      </c>
      <c r="CH530" s="47">
        <f t="shared" si="1702"/>
        <v>-1000</v>
      </c>
      <c r="CI530" s="47">
        <f t="shared" si="1702"/>
        <v>-1000</v>
      </c>
      <c r="CJ530" s="47">
        <f t="shared" si="1702"/>
        <v>-1000</v>
      </c>
      <c r="CK530" s="47">
        <f t="shared" si="1702"/>
        <v>-1000</v>
      </c>
      <c r="CL530" s="47">
        <f t="shared" si="1702"/>
        <v>-1000</v>
      </c>
      <c r="CM530" s="47">
        <f t="shared" si="1702"/>
        <v>-1000</v>
      </c>
      <c r="CN530" s="47">
        <f t="shared" si="1702"/>
        <v>-1000</v>
      </c>
      <c r="CO530" s="47">
        <f t="shared" si="1702"/>
        <v>-1000</v>
      </c>
      <c r="CP530" s="47">
        <f t="shared" si="1702"/>
        <v>-1000</v>
      </c>
      <c r="CQ530" s="47">
        <f t="shared" si="1702"/>
        <v>-1000</v>
      </c>
      <c r="CR530" s="47"/>
      <c r="CS530" s="47"/>
      <c r="CT530" s="47"/>
      <c r="CU530" s="50" t="str">
        <f>IFERROR(__xludf.DUMMYFUNCTION("""COMPUTED_VALUE"""),"4105 W. Lanther Drive
Dallas, TX 75214         ")</f>
        <v>4105 W. Lanther Drive
Dallas, TX 75214         </v>
      </c>
      <c r="CV530" s="51">
        <f>IFERROR(__xludf.DUMMYFUNCTION("IF(REGEXMATCH(UPPER(CU530), ""TX""),0,1)"),0.0)</f>
        <v>0</v>
      </c>
      <c r="CW530" s="51">
        <f>IFERROR(__xludf.DUMMYFUNCTION("IF(REGEXMATCH(UPPER(CU530), ""DALLAS""),0,1)"),0.0)</f>
        <v>0</v>
      </c>
      <c r="CX530" s="51">
        <f t="shared" si="17"/>
        <v>0</v>
      </c>
      <c r="CY530" s="51">
        <f t="shared" si="18"/>
        <v>0</v>
      </c>
      <c r="CZ530" s="52" t="str">
        <f t="shared" si="19"/>
        <v/>
      </c>
      <c r="DA530" s="58"/>
      <c r="DB530" s="52"/>
      <c r="DC530" s="52"/>
      <c r="DD530" s="52"/>
      <c r="DE530" s="52"/>
      <c r="DF530" s="52"/>
      <c r="DG530" s="52"/>
      <c r="DH530" s="52"/>
      <c r="DI530" s="52"/>
      <c r="DJ530" s="52"/>
      <c r="DK530" s="52"/>
      <c r="DL530" s="52"/>
      <c r="DM530" s="52"/>
      <c r="DN530" s="52"/>
      <c r="DO530" s="52"/>
      <c r="DP530" s="52"/>
      <c r="DQ530" s="52"/>
      <c r="DR530" s="52"/>
      <c r="DS530" s="52"/>
      <c r="DT530" s="52"/>
      <c r="DU530" s="52"/>
      <c r="DV530" s="52"/>
      <c r="DW530" s="52"/>
    </row>
    <row r="531">
      <c r="A531" s="40" t="s">
        <v>55</v>
      </c>
      <c r="B531" s="41" t="s">
        <v>56</v>
      </c>
      <c r="C531" s="31" t="s">
        <v>1454</v>
      </c>
      <c r="D531" s="25" t="str">
        <f>IFERROR(__xludf.DUMMYFUNCTION("SPLIT(C531,"" "")"),"Kirby,")</f>
        <v>Kirby,</v>
      </c>
      <c r="E531" s="40" t="str">
        <f>IFERROR(__xludf.DUMMYFUNCTION("""COMPUTED_VALUE"""),"Deborah
7027")</f>
        <v>Deborah
7027</v>
      </c>
      <c r="F531" s="40" t="str">
        <f>IFERROR(__xludf.DUMMYFUNCTION("""COMPUTED_VALUE"""),"Merilee")</f>
        <v>Merilee</v>
      </c>
      <c r="G531" s="40" t="str">
        <f>IFERROR(__xludf.DUMMYFUNCTION("""COMPUTED_VALUE"""),"Ln
Dallas,")</f>
        <v>Ln
Dallas,</v>
      </c>
      <c r="H531" s="40" t="str">
        <f>IFERROR(__xludf.DUMMYFUNCTION("""COMPUTED_VALUE"""),"TX")</f>
        <v>TX</v>
      </c>
      <c r="I531" s="40">
        <f>IFERROR(__xludf.DUMMYFUNCTION("""COMPUTED_VALUE"""),75214.0)</f>
        <v>75214</v>
      </c>
      <c r="J531" s="40"/>
      <c r="K531" s="40"/>
      <c r="L531" s="40"/>
      <c r="M531" s="40"/>
      <c r="N531" s="40"/>
      <c r="O531" s="40"/>
      <c r="P531" s="40"/>
      <c r="Q531" s="40"/>
      <c r="R531" s="40"/>
      <c r="S531" s="40"/>
      <c r="T531" s="40"/>
      <c r="U531" s="24" t="str">
        <f>IFERROR(__xludf.DUMMYFUNCTION("SPLIT(E531,""01234567890"")"),"Deborah
")</f>
        <v>Deborah
</v>
      </c>
      <c r="V531" s="24" t="str">
        <f>IFERROR(__xludf.DUMMYFUNCTION("SPLIT(D531,"","")"),"Kirby")</f>
        <v>Kirby</v>
      </c>
      <c r="W531" s="25" t="str">
        <f t="shared" si="1"/>
        <v>DEBORAH
 KIRBY</v>
      </c>
      <c r="X531" s="25" t="s">
        <v>1455</v>
      </c>
      <c r="Y531" s="25">
        <v>75214.0</v>
      </c>
      <c r="Z531" s="25" t="str">
        <f>IFERROR(__xludf.DUMMYFUNCTION("SPLIT(C531,""
"")"),"Kirby, Deborah")</f>
        <v>Kirby, Deborah</v>
      </c>
      <c r="AA531" s="25" t="str">
        <f>IFERROR(__xludf.DUMMYFUNCTION("""COMPUTED_VALUE"""),"7027 Merilee Ln")</f>
        <v>7027 Merilee Ln</v>
      </c>
      <c r="AB531" s="25" t="str">
        <f>IFERROR(__xludf.DUMMYFUNCTION("""COMPUTED_VALUE"""),"Dallas, TX 75214")</f>
        <v>Dallas, TX 75214</v>
      </c>
      <c r="AC531" s="24" t="s">
        <v>1456</v>
      </c>
      <c r="AD531" s="25"/>
      <c r="AE531" s="25"/>
      <c r="AF531" s="25"/>
      <c r="AG531" s="40" t="s">
        <v>60</v>
      </c>
      <c r="AH531" s="42">
        <v>2448.0</v>
      </c>
      <c r="AI531" s="40" t="s">
        <v>61</v>
      </c>
      <c r="AJ531" s="27">
        <v>100.0</v>
      </c>
      <c r="AK531" s="31" t="s">
        <v>24</v>
      </c>
      <c r="AL531" s="43">
        <v>44694.0</v>
      </c>
      <c r="AM531" s="44">
        <v>44757.44018518519</v>
      </c>
      <c r="AN531" s="30">
        <v>2.0</v>
      </c>
      <c r="AO531" s="40"/>
      <c r="AP531" s="40"/>
      <c r="AQ531" s="40"/>
      <c r="AR531" s="40"/>
      <c r="AS531" s="40"/>
      <c r="AT531" s="47"/>
      <c r="AU531" s="40"/>
      <c r="AV531" s="46" t="str">
        <f>IFERROR(__xludf.DUMMYFUNCTION("""COMPUTED_VALUE"""),"Hodge")</f>
        <v>Hodge</v>
      </c>
      <c r="AW531" s="46">
        <f t="shared" si="7"/>
        <v>1000</v>
      </c>
      <c r="AX531" s="47">
        <f t="shared" ref="AX531:BQ531" si="1703">SUMIFS($AJ:$AJ,$V:$V,$AV531,$AK:$AK,AX$2)</f>
        <v>0</v>
      </c>
      <c r="AY531" s="48">
        <f t="shared" si="1703"/>
        <v>0</v>
      </c>
      <c r="AZ531" s="48">
        <f t="shared" si="1703"/>
        <v>0</v>
      </c>
      <c r="BA531" s="48">
        <f t="shared" si="1703"/>
        <v>0</v>
      </c>
      <c r="BB531" s="48">
        <f t="shared" si="1703"/>
        <v>1000</v>
      </c>
      <c r="BC531" s="48">
        <f t="shared" si="1703"/>
        <v>0</v>
      </c>
      <c r="BD531" s="48">
        <f t="shared" si="1703"/>
        <v>0</v>
      </c>
      <c r="BE531" s="48">
        <f t="shared" si="1703"/>
        <v>0</v>
      </c>
      <c r="BF531" s="48">
        <f t="shared" si="1703"/>
        <v>0</v>
      </c>
      <c r="BG531" s="48">
        <f t="shared" si="1703"/>
        <v>0</v>
      </c>
      <c r="BH531" s="48">
        <f t="shared" si="1703"/>
        <v>0</v>
      </c>
      <c r="BI531" s="48">
        <f t="shared" si="1703"/>
        <v>0</v>
      </c>
      <c r="BJ531" s="48">
        <f t="shared" si="1703"/>
        <v>0</v>
      </c>
      <c r="BK531" s="48">
        <f t="shared" si="1703"/>
        <v>0</v>
      </c>
      <c r="BL531" s="48">
        <f t="shared" si="1703"/>
        <v>0</v>
      </c>
      <c r="BM531" s="48">
        <f t="shared" si="1703"/>
        <v>0</v>
      </c>
      <c r="BN531" s="48">
        <f t="shared" si="1703"/>
        <v>0</v>
      </c>
      <c r="BO531" s="48">
        <f t="shared" si="1703"/>
        <v>0</v>
      </c>
      <c r="BP531" s="48">
        <f t="shared" si="1703"/>
        <v>0</v>
      </c>
      <c r="BQ531" s="48">
        <f t="shared" si="1703"/>
        <v>0</v>
      </c>
      <c r="BR531" s="36">
        <f t="shared" si="9"/>
        <v>0</v>
      </c>
      <c r="BS531" s="38">
        <f t="shared" si="10"/>
        <v>1</v>
      </c>
      <c r="BT531" s="49">
        <f t="shared" si="11"/>
        <v>0</v>
      </c>
      <c r="BU531" s="38">
        <f t="shared" si="12"/>
        <v>1000</v>
      </c>
      <c r="BV531" s="46" t="str">
        <f>IFERROR(__xludf.DUMMYFUNCTION("""COMPUTED_VALUE"""),"Hodge")</f>
        <v>Hodge</v>
      </c>
      <c r="BW531" s="46">
        <f t="shared" si="13"/>
        <v>1000</v>
      </c>
      <c r="BX531" s="47">
        <f t="shared" ref="BX531:CA531" si="1704">AX531-$BU531</f>
        <v>-1000</v>
      </c>
      <c r="BY531" s="47">
        <f t="shared" si="1704"/>
        <v>-1000</v>
      </c>
      <c r="BZ531" s="47">
        <f t="shared" si="1704"/>
        <v>-1000</v>
      </c>
      <c r="CA531" s="47">
        <f t="shared" si="1704"/>
        <v>-1000</v>
      </c>
      <c r="CB531" s="47">
        <f t="shared" si="15"/>
        <v>-9000</v>
      </c>
      <c r="CC531" s="47">
        <f t="shared" ref="CC531:CQ531" si="1705">BC531-$BU531</f>
        <v>-1000</v>
      </c>
      <c r="CD531" s="47">
        <f t="shared" si="1705"/>
        <v>-1000</v>
      </c>
      <c r="CE531" s="47">
        <f t="shared" si="1705"/>
        <v>-1000</v>
      </c>
      <c r="CF531" s="47">
        <f t="shared" si="1705"/>
        <v>-1000</v>
      </c>
      <c r="CG531" s="47">
        <f t="shared" si="1705"/>
        <v>-1000</v>
      </c>
      <c r="CH531" s="47">
        <f t="shared" si="1705"/>
        <v>-1000</v>
      </c>
      <c r="CI531" s="47">
        <f t="shared" si="1705"/>
        <v>-1000</v>
      </c>
      <c r="CJ531" s="47">
        <f t="shared" si="1705"/>
        <v>-1000</v>
      </c>
      <c r="CK531" s="47">
        <f t="shared" si="1705"/>
        <v>-1000</v>
      </c>
      <c r="CL531" s="47">
        <f t="shared" si="1705"/>
        <v>-1000</v>
      </c>
      <c r="CM531" s="47">
        <f t="shared" si="1705"/>
        <v>-1000</v>
      </c>
      <c r="CN531" s="47">
        <f t="shared" si="1705"/>
        <v>-1000</v>
      </c>
      <c r="CO531" s="47">
        <f t="shared" si="1705"/>
        <v>-1000</v>
      </c>
      <c r="CP531" s="47">
        <f t="shared" si="1705"/>
        <v>-1000</v>
      </c>
      <c r="CQ531" s="47">
        <f t="shared" si="1705"/>
        <v>-1000</v>
      </c>
      <c r="CR531" s="47"/>
      <c r="CS531" s="47"/>
      <c r="CT531" s="47"/>
      <c r="CU531" s="50" t="str">
        <f>IFERROR(__xludf.DUMMYFUNCTION("""COMPUTED_VALUE"""),"10811 Fernald Ave
Dallas, TX 75218          ")</f>
        <v>10811 Fernald Ave
Dallas, TX 75218          </v>
      </c>
      <c r="CV531" s="51">
        <f>IFERROR(__xludf.DUMMYFUNCTION("IF(REGEXMATCH(UPPER(CU531), ""TX""),0,1)"),0.0)</f>
        <v>0</v>
      </c>
      <c r="CW531" s="51">
        <f>IFERROR(__xludf.DUMMYFUNCTION("IF(REGEXMATCH(UPPER(CU531), ""DALLAS""),0,1)"),0.0)</f>
        <v>0</v>
      </c>
      <c r="CX531" s="51">
        <f t="shared" si="17"/>
        <v>0</v>
      </c>
      <c r="CY531" s="51">
        <f t="shared" si="18"/>
        <v>0</v>
      </c>
      <c r="CZ531" s="52" t="str">
        <f t="shared" si="19"/>
        <v/>
      </c>
      <c r="DA531" s="58"/>
      <c r="DB531" s="52"/>
      <c r="DC531" s="52"/>
      <c r="DD531" s="52"/>
      <c r="DE531" s="52"/>
      <c r="DF531" s="52"/>
      <c r="DG531" s="52"/>
      <c r="DH531" s="52"/>
      <c r="DI531" s="52"/>
      <c r="DJ531" s="52"/>
      <c r="DK531" s="52"/>
      <c r="DL531" s="52"/>
      <c r="DM531" s="52"/>
      <c r="DN531" s="52"/>
      <c r="DO531" s="52"/>
      <c r="DP531" s="52"/>
      <c r="DQ531" s="52"/>
      <c r="DR531" s="52"/>
      <c r="DS531" s="52"/>
      <c r="DT531" s="52"/>
      <c r="DU531" s="52"/>
      <c r="DV531" s="52"/>
      <c r="DW531" s="52"/>
    </row>
    <row r="532">
      <c r="A532" s="22" t="s">
        <v>55</v>
      </c>
      <c r="B532" s="23" t="s">
        <v>56</v>
      </c>
      <c r="C532" s="31" t="s">
        <v>1457</v>
      </c>
      <c r="D532" s="25" t="str">
        <f>IFERROR(__xludf.DUMMYFUNCTION("SPLIT(C532,"" "")"),"Oakley,")</f>
        <v>Oakley,</v>
      </c>
      <c r="E532" s="22" t="str">
        <f>IFERROR(__xludf.DUMMYFUNCTION("""COMPUTED_VALUE"""),"Ed
3824")</f>
        <v>Ed
3824</v>
      </c>
      <c r="F532" s="22" t="str">
        <f>IFERROR(__xludf.DUMMYFUNCTION("""COMPUTED_VALUE"""),"Cedar")</f>
        <v>Cedar</v>
      </c>
      <c r="G532" s="22" t="str">
        <f>IFERROR(__xludf.DUMMYFUNCTION("""COMPUTED_VALUE"""),"Springs
Dallas,")</f>
        <v>Springs
Dallas,</v>
      </c>
      <c r="H532" s="22" t="str">
        <f>IFERROR(__xludf.DUMMYFUNCTION("""COMPUTED_VALUE"""),"TX")</f>
        <v>TX</v>
      </c>
      <c r="I532" s="22">
        <f>IFERROR(__xludf.DUMMYFUNCTION("""COMPUTED_VALUE"""),75219.0)</f>
        <v>75219</v>
      </c>
      <c r="J532" s="22"/>
      <c r="K532" s="22"/>
      <c r="L532" s="22"/>
      <c r="M532" s="22"/>
      <c r="N532" s="22"/>
      <c r="O532" s="22"/>
      <c r="P532" s="22"/>
      <c r="Q532" s="22"/>
      <c r="R532" s="22"/>
      <c r="S532" s="22"/>
      <c r="T532" s="22"/>
      <c r="U532" s="24" t="str">
        <f>IFERROR(__xludf.DUMMYFUNCTION("SPLIT(E532,""01234567890"")"),"Ed
")</f>
        <v>Ed
</v>
      </c>
      <c r="V532" s="24" t="str">
        <f>IFERROR(__xludf.DUMMYFUNCTION("SPLIT(D532,"","")"),"Oakley")</f>
        <v>Oakley</v>
      </c>
      <c r="W532" s="25" t="str">
        <f t="shared" si="1"/>
        <v>ED
 OAKLEY</v>
      </c>
      <c r="X532" s="25" t="s">
        <v>1458</v>
      </c>
      <c r="Y532" s="25">
        <v>75219.0</v>
      </c>
      <c r="Z532" s="25" t="str">
        <f>IFERROR(__xludf.DUMMYFUNCTION("SPLIT(C532,""
"")"),"Oakley, Ed")</f>
        <v>Oakley, Ed</v>
      </c>
      <c r="AA532" s="25" t="str">
        <f>IFERROR(__xludf.DUMMYFUNCTION("""COMPUTED_VALUE"""),"3824 Cedar Springs")</f>
        <v>3824 Cedar Springs</v>
      </c>
      <c r="AB532" s="25" t="str">
        <f>IFERROR(__xludf.DUMMYFUNCTION("""COMPUTED_VALUE"""),"Dallas, TX 75219")</f>
        <v>Dallas, TX 75219</v>
      </c>
      <c r="AC532" s="24" t="s">
        <v>1459</v>
      </c>
      <c r="AD532" s="25"/>
      <c r="AE532" s="25"/>
      <c r="AF532" s="25"/>
      <c r="AG532" s="22" t="s">
        <v>60</v>
      </c>
      <c r="AH532" s="54">
        <v>2448.0</v>
      </c>
      <c r="AI532" s="22" t="s">
        <v>61</v>
      </c>
      <c r="AJ532" s="27">
        <v>250.0</v>
      </c>
      <c r="AK532" s="31" t="s">
        <v>24</v>
      </c>
      <c r="AL532" s="28">
        <v>44694.0</v>
      </c>
      <c r="AM532" s="29">
        <v>44757.44018518519</v>
      </c>
      <c r="AN532" s="30">
        <v>2.0</v>
      </c>
      <c r="AO532" s="22"/>
      <c r="AP532" s="22"/>
      <c r="AQ532" s="22"/>
      <c r="AR532" s="22"/>
      <c r="AS532" s="22"/>
      <c r="AT532" s="70"/>
      <c r="AU532" s="22"/>
      <c r="AV532" s="57" t="str">
        <f>IFERROR(__xludf.DUMMYFUNCTION("""COMPUTED_VALUE"""),"Keffer")</f>
        <v>Keffer</v>
      </c>
      <c r="AW532" s="46">
        <f t="shared" si="7"/>
        <v>1500</v>
      </c>
      <c r="AX532" s="47">
        <f t="shared" ref="AX532:BQ532" si="1706">SUMIFS($AJ:$AJ,$V:$V,$AV532,$AK:$AK,AX$2)</f>
        <v>0</v>
      </c>
      <c r="AY532" s="48">
        <f t="shared" si="1706"/>
        <v>0</v>
      </c>
      <c r="AZ532" s="48">
        <f t="shared" si="1706"/>
        <v>0</v>
      </c>
      <c r="BA532" s="48">
        <f t="shared" si="1706"/>
        <v>0</v>
      </c>
      <c r="BB532" s="48">
        <f t="shared" si="1706"/>
        <v>1500</v>
      </c>
      <c r="BC532" s="48">
        <f t="shared" si="1706"/>
        <v>0</v>
      </c>
      <c r="BD532" s="48">
        <f t="shared" si="1706"/>
        <v>0</v>
      </c>
      <c r="BE532" s="48">
        <f t="shared" si="1706"/>
        <v>0</v>
      </c>
      <c r="BF532" s="48">
        <f t="shared" si="1706"/>
        <v>0</v>
      </c>
      <c r="BG532" s="48">
        <f t="shared" si="1706"/>
        <v>0</v>
      </c>
      <c r="BH532" s="48">
        <f t="shared" si="1706"/>
        <v>0</v>
      </c>
      <c r="BI532" s="48">
        <f t="shared" si="1706"/>
        <v>0</v>
      </c>
      <c r="BJ532" s="48">
        <f t="shared" si="1706"/>
        <v>0</v>
      </c>
      <c r="BK532" s="48">
        <f t="shared" si="1706"/>
        <v>0</v>
      </c>
      <c r="BL532" s="48">
        <f t="shared" si="1706"/>
        <v>0</v>
      </c>
      <c r="BM532" s="48">
        <f t="shared" si="1706"/>
        <v>0</v>
      </c>
      <c r="BN532" s="48">
        <f t="shared" si="1706"/>
        <v>0</v>
      </c>
      <c r="BO532" s="48">
        <f t="shared" si="1706"/>
        <v>0</v>
      </c>
      <c r="BP532" s="48">
        <f t="shared" si="1706"/>
        <v>0</v>
      </c>
      <c r="BQ532" s="48">
        <f t="shared" si="1706"/>
        <v>0</v>
      </c>
      <c r="BR532" s="36">
        <f t="shared" si="9"/>
        <v>0</v>
      </c>
      <c r="BS532" s="38">
        <f t="shared" si="10"/>
        <v>1</v>
      </c>
      <c r="BT532" s="49">
        <f t="shared" si="11"/>
        <v>0</v>
      </c>
      <c r="BU532" s="38">
        <f t="shared" si="12"/>
        <v>1000</v>
      </c>
      <c r="BV532" s="57" t="str">
        <f>IFERROR(__xludf.DUMMYFUNCTION("""COMPUTED_VALUE"""),"Keffer")</f>
        <v>Keffer</v>
      </c>
      <c r="BW532" s="46">
        <f t="shared" si="13"/>
        <v>1500</v>
      </c>
      <c r="BX532" s="47">
        <f t="shared" ref="BX532:CA532" si="1707">AX532-$BU532</f>
        <v>-1000</v>
      </c>
      <c r="BY532" s="47">
        <f t="shared" si="1707"/>
        <v>-1000</v>
      </c>
      <c r="BZ532" s="47">
        <f t="shared" si="1707"/>
        <v>-1000</v>
      </c>
      <c r="CA532" s="47">
        <f t="shared" si="1707"/>
        <v>-1000</v>
      </c>
      <c r="CB532" s="47">
        <f t="shared" si="15"/>
        <v>-8500</v>
      </c>
      <c r="CC532" s="47">
        <f t="shared" ref="CC532:CQ532" si="1708">BC532-$BU532</f>
        <v>-1000</v>
      </c>
      <c r="CD532" s="47">
        <f t="shared" si="1708"/>
        <v>-1000</v>
      </c>
      <c r="CE532" s="47">
        <f t="shared" si="1708"/>
        <v>-1000</v>
      </c>
      <c r="CF532" s="47">
        <f t="shared" si="1708"/>
        <v>-1000</v>
      </c>
      <c r="CG532" s="47">
        <f t="shared" si="1708"/>
        <v>-1000</v>
      </c>
      <c r="CH532" s="47">
        <f t="shared" si="1708"/>
        <v>-1000</v>
      </c>
      <c r="CI532" s="47">
        <f t="shared" si="1708"/>
        <v>-1000</v>
      </c>
      <c r="CJ532" s="47">
        <f t="shared" si="1708"/>
        <v>-1000</v>
      </c>
      <c r="CK532" s="47">
        <f t="shared" si="1708"/>
        <v>-1000</v>
      </c>
      <c r="CL532" s="47">
        <f t="shared" si="1708"/>
        <v>-1000</v>
      </c>
      <c r="CM532" s="47">
        <f t="shared" si="1708"/>
        <v>-1000</v>
      </c>
      <c r="CN532" s="47">
        <f t="shared" si="1708"/>
        <v>-1000</v>
      </c>
      <c r="CO532" s="47">
        <f t="shared" si="1708"/>
        <v>-1000</v>
      </c>
      <c r="CP532" s="47">
        <f t="shared" si="1708"/>
        <v>-1000</v>
      </c>
      <c r="CQ532" s="47">
        <f t="shared" si="1708"/>
        <v>-1000</v>
      </c>
      <c r="CR532" s="47"/>
      <c r="CS532" s="47"/>
      <c r="CT532" s="47"/>
      <c r="CU532" s="50" t="str">
        <f>IFERROR(__xludf.DUMMYFUNCTION("""COMPUTED_VALUE"""),"6956 Dalhart Ln
Dallas, TX 75214          ")</f>
        <v>6956 Dalhart Ln
Dallas, TX 75214          </v>
      </c>
      <c r="CV532" s="51">
        <f>IFERROR(__xludf.DUMMYFUNCTION("IF(REGEXMATCH(UPPER(CU532), ""TX""),0,1)"),0.0)</f>
        <v>0</v>
      </c>
      <c r="CW532" s="51">
        <f>IFERROR(__xludf.DUMMYFUNCTION("IF(REGEXMATCH(UPPER(CU532), ""DALLAS""),0,1)"),0.0)</f>
        <v>0</v>
      </c>
      <c r="CX532" s="51">
        <f t="shared" si="17"/>
        <v>0</v>
      </c>
      <c r="CY532" s="51">
        <f t="shared" si="18"/>
        <v>0</v>
      </c>
      <c r="CZ532" s="52" t="str">
        <f t="shared" si="19"/>
        <v/>
      </c>
      <c r="DA532" s="58"/>
      <c r="DB532" s="52"/>
      <c r="DC532" s="52"/>
      <c r="DD532" s="52"/>
      <c r="DE532" s="52"/>
      <c r="DF532" s="52"/>
      <c r="DG532" s="52"/>
      <c r="DH532" s="52"/>
      <c r="DI532" s="52"/>
      <c r="DJ532" s="52"/>
      <c r="DK532" s="52"/>
      <c r="DL532" s="52"/>
      <c r="DM532" s="52"/>
      <c r="DN532" s="52"/>
      <c r="DO532" s="52"/>
      <c r="DP532" s="52"/>
      <c r="DQ532" s="52"/>
      <c r="DR532" s="52"/>
      <c r="DS532" s="52"/>
      <c r="DT532" s="52"/>
      <c r="DU532" s="52"/>
      <c r="DV532" s="52"/>
      <c r="DW532" s="52"/>
    </row>
    <row r="533">
      <c r="A533" s="40" t="s">
        <v>55</v>
      </c>
      <c r="B533" s="41" t="s">
        <v>56</v>
      </c>
      <c r="C533" s="31" t="s">
        <v>1460</v>
      </c>
      <c r="D533" s="25" t="str">
        <f>IFERROR(__xludf.DUMMYFUNCTION("SPLIT(C533,"" "")"),"Tarpley,")</f>
        <v>Tarpley,</v>
      </c>
      <c r="E533" s="40" t="str">
        <f>IFERROR(__xludf.DUMMYFUNCTION("""COMPUTED_VALUE"""),"Gloria
8378")</f>
        <v>Gloria
8378</v>
      </c>
      <c r="F533" s="40" t="str">
        <f>IFERROR(__xludf.DUMMYFUNCTION("""COMPUTED_VALUE"""),"Forest")</f>
        <v>Forest</v>
      </c>
      <c r="G533" s="40" t="str">
        <f>IFERROR(__xludf.DUMMYFUNCTION("""COMPUTED_VALUE"""),"Hills
Dallas,")</f>
        <v>Hills
Dallas,</v>
      </c>
      <c r="H533" s="40" t="str">
        <f>IFERROR(__xludf.DUMMYFUNCTION("""COMPUTED_VALUE"""),"TX")</f>
        <v>TX</v>
      </c>
      <c r="I533" s="40">
        <f>IFERROR(__xludf.DUMMYFUNCTION("""COMPUTED_VALUE"""),75218.0)</f>
        <v>75218</v>
      </c>
      <c r="J533" s="40"/>
      <c r="K533" s="40"/>
      <c r="L533" s="40"/>
      <c r="M533" s="40"/>
      <c r="N533" s="40"/>
      <c r="O533" s="40"/>
      <c r="P533" s="40"/>
      <c r="Q533" s="40"/>
      <c r="R533" s="40"/>
      <c r="S533" s="40"/>
      <c r="T533" s="40"/>
      <c r="U533" s="24" t="str">
        <f>IFERROR(__xludf.DUMMYFUNCTION("SPLIT(E533,""01234567890"")"),"Gloria
")</f>
        <v>Gloria
</v>
      </c>
      <c r="V533" s="24" t="str">
        <f>IFERROR(__xludf.DUMMYFUNCTION("SPLIT(D533,"","")"),"Tarpley")</f>
        <v>Tarpley</v>
      </c>
      <c r="W533" s="25" t="str">
        <f t="shared" si="1"/>
        <v>GLORIA
 TARPLEY</v>
      </c>
      <c r="X533" s="25" t="s">
        <v>1461</v>
      </c>
      <c r="Y533" s="25">
        <v>75218.0</v>
      </c>
      <c r="Z533" s="25" t="str">
        <f>IFERROR(__xludf.DUMMYFUNCTION("SPLIT(C533,""
"")"),"Tarpley, Gloria")</f>
        <v>Tarpley, Gloria</v>
      </c>
      <c r="AA533" s="25" t="str">
        <f>IFERROR(__xludf.DUMMYFUNCTION("""COMPUTED_VALUE"""),"8378 Forest Hills")</f>
        <v>8378 Forest Hills</v>
      </c>
      <c r="AB533" s="25" t="str">
        <f>IFERROR(__xludf.DUMMYFUNCTION("""COMPUTED_VALUE"""),"Dallas, TX 75218")</f>
        <v>Dallas, TX 75218</v>
      </c>
      <c r="AC533" s="24" t="s">
        <v>1341</v>
      </c>
      <c r="AD533" s="25"/>
      <c r="AE533" s="25"/>
      <c r="AF533" s="25"/>
      <c r="AG533" s="40" t="s">
        <v>60</v>
      </c>
      <c r="AH533" s="42">
        <v>2448.0</v>
      </c>
      <c r="AI533" s="40" t="s">
        <v>61</v>
      </c>
      <c r="AJ533" s="27">
        <v>250.0</v>
      </c>
      <c r="AK533" s="31" t="s">
        <v>24</v>
      </c>
      <c r="AL533" s="43">
        <v>44694.0</v>
      </c>
      <c r="AM533" s="44">
        <v>44757.44018518519</v>
      </c>
      <c r="AN533" s="30">
        <v>2.0</v>
      </c>
      <c r="AO533" s="40"/>
      <c r="AP533" s="40"/>
      <c r="AQ533" s="40"/>
      <c r="AR533" s="40"/>
      <c r="AS533" s="40"/>
      <c r="AT533" s="47"/>
      <c r="AU533" s="40"/>
      <c r="AV533" s="46" t="str">
        <f>IFERROR(__xludf.DUMMYFUNCTION("""COMPUTED_VALUE"""),"Bracewell")</f>
        <v>Bracewell</v>
      </c>
      <c r="AW533" s="46">
        <f t="shared" si="7"/>
        <v>2500</v>
      </c>
      <c r="AX533" s="47">
        <f t="shared" ref="AX533:BQ533" si="1709">SUMIFS($AJ:$AJ,$V:$V,$AV533,$AK:$AK,AX$2)</f>
        <v>0</v>
      </c>
      <c r="AY533" s="48">
        <f t="shared" si="1709"/>
        <v>0</v>
      </c>
      <c r="AZ533" s="48">
        <f t="shared" si="1709"/>
        <v>0</v>
      </c>
      <c r="BA533" s="48">
        <f t="shared" si="1709"/>
        <v>0</v>
      </c>
      <c r="BB533" s="48">
        <f t="shared" si="1709"/>
        <v>2500</v>
      </c>
      <c r="BC533" s="48">
        <f t="shared" si="1709"/>
        <v>0</v>
      </c>
      <c r="BD533" s="48">
        <f t="shared" si="1709"/>
        <v>0</v>
      </c>
      <c r="BE533" s="48">
        <f t="shared" si="1709"/>
        <v>0</v>
      </c>
      <c r="BF533" s="48">
        <f t="shared" si="1709"/>
        <v>0</v>
      </c>
      <c r="BG533" s="48">
        <f t="shared" si="1709"/>
        <v>0</v>
      </c>
      <c r="BH533" s="48">
        <f t="shared" si="1709"/>
        <v>0</v>
      </c>
      <c r="BI533" s="48">
        <f t="shared" si="1709"/>
        <v>0</v>
      </c>
      <c r="BJ533" s="48">
        <f t="shared" si="1709"/>
        <v>0</v>
      </c>
      <c r="BK533" s="48">
        <f t="shared" si="1709"/>
        <v>0</v>
      </c>
      <c r="BL533" s="48">
        <f t="shared" si="1709"/>
        <v>0</v>
      </c>
      <c r="BM533" s="48">
        <f t="shared" si="1709"/>
        <v>0</v>
      </c>
      <c r="BN533" s="48">
        <f t="shared" si="1709"/>
        <v>0</v>
      </c>
      <c r="BO533" s="48">
        <f t="shared" si="1709"/>
        <v>0</v>
      </c>
      <c r="BP533" s="48">
        <f t="shared" si="1709"/>
        <v>0</v>
      </c>
      <c r="BQ533" s="48">
        <f t="shared" si="1709"/>
        <v>0</v>
      </c>
      <c r="BR533" s="36">
        <f t="shared" si="9"/>
        <v>0</v>
      </c>
      <c r="BS533" s="38">
        <f t="shared" si="10"/>
        <v>1</v>
      </c>
      <c r="BT533" s="49">
        <f t="shared" si="11"/>
        <v>0</v>
      </c>
      <c r="BU533" s="38">
        <f t="shared" si="12"/>
        <v>1000</v>
      </c>
      <c r="BV533" s="46" t="str">
        <f>IFERROR(__xludf.DUMMYFUNCTION("""COMPUTED_VALUE"""),"Bracewell")</f>
        <v>Bracewell</v>
      </c>
      <c r="BW533" s="46">
        <f t="shared" si="13"/>
        <v>2500</v>
      </c>
      <c r="BX533" s="47">
        <f t="shared" ref="BX533:CA533" si="1710">AX533-$BU533</f>
        <v>-1000</v>
      </c>
      <c r="BY533" s="47">
        <f t="shared" si="1710"/>
        <v>-1000</v>
      </c>
      <c r="BZ533" s="47">
        <f t="shared" si="1710"/>
        <v>-1000</v>
      </c>
      <c r="CA533" s="47">
        <f t="shared" si="1710"/>
        <v>-1000</v>
      </c>
      <c r="CB533" s="47">
        <f t="shared" si="15"/>
        <v>-7500</v>
      </c>
      <c r="CC533" s="47">
        <f t="shared" ref="CC533:CQ533" si="1711">BC533-$BU533</f>
        <v>-1000</v>
      </c>
      <c r="CD533" s="47">
        <f t="shared" si="1711"/>
        <v>-1000</v>
      </c>
      <c r="CE533" s="47">
        <f t="shared" si="1711"/>
        <v>-1000</v>
      </c>
      <c r="CF533" s="47">
        <f t="shared" si="1711"/>
        <v>-1000</v>
      </c>
      <c r="CG533" s="47">
        <f t="shared" si="1711"/>
        <v>-1000</v>
      </c>
      <c r="CH533" s="47">
        <f t="shared" si="1711"/>
        <v>-1000</v>
      </c>
      <c r="CI533" s="47">
        <f t="shared" si="1711"/>
        <v>-1000</v>
      </c>
      <c r="CJ533" s="47">
        <f t="shared" si="1711"/>
        <v>-1000</v>
      </c>
      <c r="CK533" s="47">
        <f t="shared" si="1711"/>
        <v>-1000</v>
      </c>
      <c r="CL533" s="47">
        <f t="shared" si="1711"/>
        <v>-1000</v>
      </c>
      <c r="CM533" s="47">
        <f t="shared" si="1711"/>
        <v>-1000</v>
      </c>
      <c r="CN533" s="47">
        <f t="shared" si="1711"/>
        <v>-1000</v>
      </c>
      <c r="CO533" s="47">
        <f t="shared" si="1711"/>
        <v>-1000</v>
      </c>
      <c r="CP533" s="47">
        <f t="shared" si="1711"/>
        <v>-1000</v>
      </c>
      <c r="CQ533" s="47">
        <f t="shared" si="1711"/>
        <v>-1000</v>
      </c>
      <c r="CR533" s="47"/>
      <c r="CS533" s="47"/>
      <c r="CT533" s="47"/>
      <c r="CU533" s="50" t="str">
        <f>IFERROR(__xludf.DUMMYFUNCTION("""COMPUTED_VALUE"""),"6713 Avalon Ave
Dallas, TX 75214          ")</f>
        <v>6713 Avalon Ave
Dallas, TX 75214          </v>
      </c>
      <c r="CV533" s="51">
        <f>IFERROR(__xludf.DUMMYFUNCTION("IF(REGEXMATCH(UPPER(CU533), ""TX""),0,1)"),0.0)</f>
        <v>0</v>
      </c>
      <c r="CW533" s="51">
        <f>IFERROR(__xludf.DUMMYFUNCTION("IF(REGEXMATCH(UPPER(CU533), ""DALLAS""),0,1)"),0.0)</f>
        <v>0</v>
      </c>
      <c r="CX533" s="51">
        <f t="shared" si="17"/>
        <v>0</v>
      </c>
      <c r="CY533" s="51">
        <f t="shared" si="18"/>
        <v>0</v>
      </c>
      <c r="CZ533" s="52" t="str">
        <f t="shared" si="19"/>
        <v/>
      </c>
      <c r="DA533" s="58"/>
      <c r="DB533" s="52"/>
      <c r="DC533" s="52"/>
      <c r="DD533" s="52"/>
      <c r="DE533" s="52"/>
      <c r="DF533" s="52"/>
      <c r="DG533" s="52"/>
      <c r="DH533" s="52"/>
      <c r="DI533" s="52"/>
      <c r="DJ533" s="52"/>
      <c r="DK533" s="52"/>
      <c r="DL533" s="52"/>
      <c r="DM533" s="52"/>
      <c r="DN533" s="52"/>
      <c r="DO533" s="52"/>
      <c r="DP533" s="52"/>
      <c r="DQ533" s="52"/>
      <c r="DR533" s="52"/>
      <c r="DS533" s="52"/>
      <c r="DT533" s="52"/>
      <c r="DU533" s="52"/>
      <c r="DV533" s="52"/>
      <c r="DW533" s="52"/>
    </row>
    <row r="534">
      <c r="A534" s="22" t="s">
        <v>55</v>
      </c>
      <c r="B534" s="23" t="s">
        <v>56</v>
      </c>
      <c r="C534" s="31" t="s">
        <v>1342</v>
      </c>
      <c r="D534" s="25" t="str">
        <f>IFERROR(__xludf.DUMMYFUNCTION("SPLIT(C534,"" "")"),"Chase,")</f>
        <v>Chase,</v>
      </c>
      <c r="E534" s="22" t="str">
        <f>IFERROR(__xludf.DUMMYFUNCTION("""COMPUTED_VALUE"""),"Scott
1700")</f>
        <v>Scott
1700</v>
      </c>
      <c r="F534" s="22" t="str">
        <f>IFERROR(__xludf.DUMMYFUNCTION("""COMPUTED_VALUE"""),"Pacific
Dallas,")</f>
        <v>Pacific
Dallas,</v>
      </c>
      <c r="G534" s="22" t="str">
        <f>IFERROR(__xludf.DUMMYFUNCTION("""COMPUTED_VALUE"""),"TX")</f>
        <v>TX</v>
      </c>
      <c r="H534" s="22">
        <f>IFERROR(__xludf.DUMMYFUNCTION("""COMPUTED_VALUE"""),75201.0)</f>
        <v>75201</v>
      </c>
      <c r="I534" s="22"/>
      <c r="J534" s="22"/>
      <c r="K534" s="22"/>
      <c r="L534" s="22"/>
      <c r="M534" s="22"/>
      <c r="N534" s="22"/>
      <c r="O534" s="22"/>
      <c r="P534" s="22"/>
      <c r="Q534" s="22"/>
      <c r="R534" s="22"/>
      <c r="S534" s="22"/>
      <c r="T534" s="22"/>
      <c r="U534" s="24" t="str">
        <f>IFERROR(__xludf.DUMMYFUNCTION("SPLIT(E534,""01234567890"")"),"Scott
")</f>
        <v>Scott
</v>
      </c>
      <c r="V534" s="24" t="str">
        <f>IFERROR(__xludf.DUMMYFUNCTION("SPLIT(D534,"","")"),"Chase")</f>
        <v>Chase</v>
      </c>
      <c r="W534" s="25" t="str">
        <f t="shared" si="1"/>
        <v>SCOTT
 CHASE</v>
      </c>
      <c r="X534" s="25" t="s">
        <v>1343</v>
      </c>
      <c r="Y534" s="25">
        <v>75201.0</v>
      </c>
      <c r="Z534" s="25" t="str">
        <f>IFERROR(__xludf.DUMMYFUNCTION("SPLIT(C534,""
"")"),"Chase, Scott")</f>
        <v>Chase, Scott</v>
      </c>
      <c r="AA534" s="25" t="str">
        <f>IFERROR(__xludf.DUMMYFUNCTION("""COMPUTED_VALUE"""),"1700 Pacific")</f>
        <v>1700 Pacific</v>
      </c>
      <c r="AB534" s="25" t="str">
        <f>IFERROR(__xludf.DUMMYFUNCTION("""COMPUTED_VALUE"""),"Dallas, TX 75201")</f>
        <v>Dallas, TX 75201</v>
      </c>
      <c r="AC534" s="24" t="s">
        <v>1344</v>
      </c>
      <c r="AD534" s="25"/>
      <c r="AE534" s="25"/>
      <c r="AF534" s="25"/>
      <c r="AG534" s="22" t="s">
        <v>60</v>
      </c>
      <c r="AH534" s="54">
        <v>2448.0</v>
      </c>
      <c r="AI534" s="22" t="s">
        <v>61</v>
      </c>
      <c r="AJ534" s="27">
        <v>100.0</v>
      </c>
      <c r="AK534" s="31" t="s">
        <v>24</v>
      </c>
      <c r="AL534" s="28">
        <v>44695.0</v>
      </c>
      <c r="AM534" s="29">
        <v>44757.44018518519</v>
      </c>
      <c r="AN534" s="30">
        <v>2.0</v>
      </c>
      <c r="AO534" s="22"/>
      <c r="AP534" s="22"/>
      <c r="AQ534" s="22"/>
      <c r="AR534" s="22"/>
      <c r="AS534" s="22"/>
      <c r="AT534" s="70"/>
      <c r="AU534" s="22"/>
      <c r="AV534" s="57" t="str">
        <f>IFERROR(__xludf.DUMMYFUNCTION("""COMPUTED_VALUE"""),"Gulf")</f>
        <v>Gulf</v>
      </c>
      <c r="AW534" s="46">
        <f t="shared" si="7"/>
        <v>1000</v>
      </c>
      <c r="AX534" s="47">
        <f t="shared" ref="AX534:BQ534" si="1712">SUMIFS($AJ:$AJ,$V:$V,$AV534,$AK:$AK,AX$2)</f>
        <v>0</v>
      </c>
      <c r="AY534" s="48">
        <f t="shared" si="1712"/>
        <v>0</v>
      </c>
      <c r="AZ534" s="48">
        <f t="shared" si="1712"/>
        <v>0</v>
      </c>
      <c r="BA534" s="48">
        <f t="shared" si="1712"/>
        <v>0</v>
      </c>
      <c r="BB534" s="48">
        <f t="shared" si="1712"/>
        <v>1000</v>
      </c>
      <c r="BC534" s="48">
        <f t="shared" si="1712"/>
        <v>0</v>
      </c>
      <c r="BD534" s="48">
        <f t="shared" si="1712"/>
        <v>0</v>
      </c>
      <c r="BE534" s="48">
        <f t="shared" si="1712"/>
        <v>0</v>
      </c>
      <c r="BF534" s="48">
        <f t="shared" si="1712"/>
        <v>0</v>
      </c>
      <c r="BG534" s="48">
        <f t="shared" si="1712"/>
        <v>0</v>
      </c>
      <c r="BH534" s="48">
        <f t="shared" si="1712"/>
        <v>0</v>
      </c>
      <c r="BI534" s="48">
        <f t="shared" si="1712"/>
        <v>0</v>
      </c>
      <c r="BJ534" s="48">
        <f t="shared" si="1712"/>
        <v>0</v>
      </c>
      <c r="BK534" s="48">
        <f t="shared" si="1712"/>
        <v>0</v>
      </c>
      <c r="BL534" s="48">
        <f t="shared" si="1712"/>
        <v>0</v>
      </c>
      <c r="BM534" s="48">
        <f t="shared" si="1712"/>
        <v>0</v>
      </c>
      <c r="BN534" s="48">
        <f t="shared" si="1712"/>
        <v>0</v>
      </c>
      <c r="BO534" s="48">
        <f t="shared" si="1712"/>
        <v>0</v>
      </c>
      <c r="BP534" s="48">
        <f t="shared" si="1712"/>
        <v>0</v>
      </c>
      <c r="BQ534" s="48">
        <f t="shared" si="1712"/>
        <v>0</v>
      </c>
      <c r="BR534" s="36">
        <f t="shared" si="9"/>
        <v>0</v>
      </c>
      <c r="BS534" s="38">
        <f t="shared" si="10"/>
        <v>1</v>
      </c>
      <c r="BT534" s="49">
        <f t="shared" si="11"/>
        <v>0</v>
      </c>
      <c r="BU534" s="38">
        <f t="shared" si="12"/>
        <v>1000</v>
      </c>
      <c r="BV534" s="57" t="str">
        <f>IFERROR(__xludf.DUMMYFUNCTION("""COMPUTED_VALUE"""),"Gulf")</f>
        <v>Gulf</v>
      </c>
      <c r="BW534" s="46">
        <f t="shared" si="13"/>
        <v>1000</v>
      </c>
      <c r="BX534" s="47">
        <f t="shared" ref="BX534:CA534" si="1713">AX534-$BU534</f>
        <v>-1000</v>
      </c>
      <c r="BY534" s="47">
        <f t="shared" si="1713"/>
        <v>-1000</v>
      </c>
      <c r="BZ534" s="47">
        <f t="shared" si="1713"/>
        <v>-1000</v>
      </c>
      <c r="CA534" s="47">
        <f t="shared" si="1713"/>
        <v>-1000</v>
      </c>
      <c r="CB534" s="47">
        <f t="shared" si="15"/>
        <v>-9000</v>
      </c>
      <c r="CC534" s="47">
        <f t="shared" ref="CC534:CQ534" si="1714">BC534-$BU534</f>
        <v>-1000</v>
      </c>
      <c r="CD534" s="47">
        <f t="shared" si="1714"/>
        <v>-1000</v>
      </c>
      <c r="CE534" s="47">
        <f t="shared" si="1714"/>
        <v>-1000</v>
      </c>
      <c r="CF534" s="47">
        <f t="shared" si="1714"/>
        <v>-1000</v>
      </c>
      <c r="CG534" s="47">
        <f t="shared" si="1714"/>
        <v>-1000</v>
      </c>
      <c r="CH534" s="47">
        <f t="shared" si="1714"/>
        <v>-1000</v>
      </c>
      <c r="CI534" s="47">
        <f t="shared" si="1714"/>
        <v>-1000</v>
      </c>
      <c r="CJ534" s="47">
        <f t="shared" si="1714"/>
        <v>-1000</v>
      </c>
      <c r="CK534" s="47">
        <f t="shared" si="1714"/>
        <v>-1000</v>
      </c>
      <c r="CL534" s="47">
        <f t="shared" si="1714"/>
        <v>-1000</v>
      </c>
      <c r="CM534" s="47">
        <f t="shared" si="1714"/>
        <v>-1000</v>
      </c>
      <c r="CN534" s="47">
        <f t="shared" si="1714"/>
        <v>-1000</v>
      </c>
      <c r="CO534" s="47">
        <f t="shared" si="1714"/>
        <v>-1000</v>
      </c>
      <c r="CP534" s="47">
        <f t="shared" si="1714"/>
        <v>-1000</v>
      </c>
      <c r="CQ534" s="47">
        <f t="shared" si="1714"/>
        <v>-1000</v>
      </c>
      <c r="CR534" s="47"/>
      <c r="CS534" s="47"/>
      <c r="CT534" s="47"/>
      <c r="CU534" s="50" t="str">
        <f>IFERROR(__xludf.DUMMYFUNCTION("""COMPUTED_VALUE"""),"6620 Yosemite
Dallas, TX 75214           ")</f>
        <v>6620 Yosemite
Dallas, TX 75214           </v>
      </c>
      <c r="CV534" s="51">
        <f>IFERROR(__xludf.DUMMYFUNCTION("IF(REGEXMATCH(UPPER(CU534), ""TX""),0,1)"),0.0)</f>
        <v>0</v>
      </c>
      <c r="CW534" s="51">
        <f>IFERROR(__xludf.DUMMYFUNCTION("IF(REGEXMATCH(UPPER(CU534), ""DALLAS""),0,1)"),0.0)</f>
        <v>0</v>
      </c>
      <c r="CX534" s="51">
        <f t="shared" si="17"/>
        <v>0</v>
      </c>
      <c r="CY534" s="51">
        <f t="shared" si="18"/>
        <v>0</v>
      </c>
      <c r="CZ534" s="52" t="str">
        <f t="shared" si="19"/>
        <v/>
      </c>
      <c r="DA534" s="58"/>
      <c r="DB534" s="52"/>
      <c r="DC534" s="52"/>
      <c r="DD534" s="52"/>
      <c r="DE534" s="52"/>
      <c r="DF534" s="52"/>
      <c r="DG534" s="52"/>
      <c r="DH534" s="52"/>
      <c r="DI534" s="52"/>
      <c r="DJ534" s="52"/>
      <c r="DK534" s="52"/>
      <c r="DL534" s="52"/>
      <c r="DM534" s="52"/>
      <c r="DN534" s="52"/>
      <c r="DO534" s="52"/>
      <c r="DP534" s="52"/>
      <c r="DQ534" s="52"/>
      <c r="DR534" s="52"/>
      <c r="DS534" s="52"/>
      <c r="DT534" s="52"/>
      <c r="DU534" s="52"/>
      <c r="DV534" s="52"/>
      <c r="DW534" s="52"/>
    </row>
    <row r="535">
      <c r="A535" s="40" t="s">
        <v>55</v>
      </c>
      <c r="B535" s="41" t="s">
        <v>56</v>
      </c>
      <c r="C535" s="31" t="s">
        <v>1462</v>
      </c>
      <c r="D535" s="25" t="str">
        <f>IFERROR(__xludf.DUMMYFUNCTION("SPLIT(C535,"" "")"),"Ehrhardt,")</f>
        <v>Ehrhardt,</v>
      </c>
      <c r="E535" s="40" t="str">
        <f>IFERROR(__xludf.DUMMYFUNCTION("""COMPUTED_VALUE"""),"Harryette
3525")</f>
        <v>Harryette
3525</v>
      </c>
      <c r="F535" s="40" t="str">
        <f>IFERROR(__xludf.DUMMYFUNCTION("""COMPUTED_VALUE"""),"Turtle")</f>
        <v>Turtle</v>
      </c>
      <c r="G535" s="40" t="str">
        <f>IFERROR(__xludf.DUMMYFUNCTION("""COMPUTED_VALUE"""),"Creek
Dallas,")</f>
        <v>Creek
Dallas,</v>
      </c>
      <c r="H535" s="40" t="str">
        <f>IFERROR(__xludf.DUMMYFUNCTION("""COMPUTED_VALUE"""),"TX")</f>
        <v>TX</v>
      </c>
      <c r="I535" s="40">
        <f>IFERROR(__xludf.DUMMYFUNCTION("""COMPUTED_VALUE"""),75219.0)</f>
        <v>75219</v>
      </c>
      <c r="J535" s="40"/>
      <c r="K535" s="40"/>
      <c r="L535" s="40"/>
      <c r="M535" s="40"/>
      <c r="N535" s="40"/>
      <c r="O535" s="40"/>
      <c r="P535" s="40"/>
      <c r="Q535" s="40"/>
      <c r="R535" s="40"/>
      <c r="S535" s="40"/>
      <c r="T535" s="40"/>
      <c r="U535" s="24" t="str">
        <f>IFERROR(__xludf.DUMMYFUNCTION("SPLIT(E535,""01234567890"")"),"Harryette
")</f>
        <v>Harryette
</v>
      </c>
      <c r="V535" s="24" t="str">
        <f>IFERROR(__xludf.DUMMYFUNCTION("SPLIT(D535,"","")"),"Ehrhardt")</f>
        <v>Ehrhardt</v>
      </c>
      <c r="W535" s="25" t="str">
        <f t="shared" si="1"/>
        <v>HARRYETTE
 EHRHARDT</v>
      </c>
      <c r="X535" s="25" t="s">
        <v>1463</v>
      </c>
      <c r="Y535" s="25">
        <v>75219.0</v>
      </c>
      <c r="Z535" s="25" t="str">
        <f>IFERROR(__xludf.DUMMYFUNCTION("SPLIT(C535,""
"")"),"Ehrhardt, Harryette")</f>
        <v>Ehrhardt, Harryette</v>
      </c>
      <c r="AA535" s="25" t="str">
        <f>IFERROR(__xludf.DUMMYFUNCTION("""COMPUTED_VALUE"""),"3525 Turtle Creek")</f>
        <v>3525 Turtle Creek</v>
      </c>
      <c r="AB535" s="25" t="str">
        <f>IFERROR(__xludf.DUMMYFUNCTION("""COMPUTED_VALUE"""),"Dallas, TX 75219")</f>
        <v>Dallas, TX 75219</v>
      </c>
      <c r="AC535" s="24" t="s">
        <v>1464</v>
      </c>
      <c r="AD535" s="25"/>
      <c r="AE535" s="25"/>
      <c r="AF535" s="25"/>
      <c r="AG535" s="40" t="s">
        <v>60</v>
      </c>
      <c r="AH535" s="42">
        <v>2448.0</v>
      </c>
      <c r="AI535" s="40" t="s">
        <v>61</v>
      </c>
      <c r="AJ535" s="27">
        <v>100.0</v>
      </c>
      <c r="AK535" s="31" t="s">
        <v>24</v>
      </c>
      <c r="AL535" s="43">
        <v>44695.0</v>
      </c>
      <c r="AM535" s="44">
        <v>44757.44018518519</v>
      </c>
      <c r="AN535" s="30">
        <v>2.0</v>
      </c>
      <c r="AO535" s="40"/>
      <c r="AP535" s="40"/>
      <c r="AQ535" s="40"/>
      <c r="AR535" s="40"/>
      <c r="AS535" s="40"/>
      <c r="AT535" s="47"/>
      <c r="AU535" s="40"/>
      <c r="AV535" s="46" t="str">
        <f>IFERROR(__xludf.DUMMYFUNCTION("""COMPUTED_VALUE"""),"Kelley")</f>
        <v>Kelley</v>
      </c>
      <c r="AW535" s="46">
        <f t="shared" si="7"/>
        <v>5000</v>
      </c>
      <c r="AX535" s="47">
        <f t="shared" ref="AX535:BQ535" si="1715">SUMIFS($AJ:$AJ,$V:$V,$AV535,$AK:$AK,AX$2)</f>
        <v>0</v>
      </c>
      <c r="AY535" s="48">
        <f t="shared" si="1715"/>
        <v>0</v>
      </c>
      <c r="AZ535" s="48">
        <f t="shared" si="1715"/>
        <v>0</v>
      </c>
      <c r="BA535" s="48">
        <f t="shared" si="1715"/>
        <v>0</v>
      </c>
      <c r="BB535" s="48">
        <f t="shared" si="1715"/>
        <v>5000</v>
      </c>
      <c r="BC535" s="48">
        <f t="shared" si="1715"/>
        <v>0</v>
      </c>
      <c r="BD535" s="48">
        <f t="shared" si="1715"/>
        <v>0</v>
      </c>
      <c r="BE535" s="48">
        <f t="shared" si="1715"/>
        <v>0</v>
      </c>
      <c r="BF535" s="48">
        <f t="shared" si="1715"/>
        <v>0</v>
      </c>
      <c r="BG535" s="48">
        <f t="shared" si="1715"/>
        <v>0</v>
      </c>
      <c r="BH535" s="48">
        <f t="shared" si="1715"/>
        <v>0</v>
      </c>
      <c r="BI535" s="48">
        <f t="shared" si="1715"/>
        <v>0</v>
      </c>
      <c r="BJ535" s="48">
        <f t="shared" si="1715"/>
        <v>0</v>
      </c>
      <c r="BK535" s="48">
        <f t="shared" si="1715"/>
        <v>0</v>
      </c>
      <c r="BL535" s="48">
        <f t="shared" si="1715"/>
        <v>0</v>
      </c>
      <c r="BM535" s="48">
        <f t="shared" si="1715"/>
        <v>0</v>
      </c>
      <c r="BN535" s="48">
        <f t="shared" si="1715"/>
        <v>0</v>
      </c>
      <c r="BO535" s="48">
        <f t="shared" si="1715"/>
        <v>0</v>
      </c>
      <c r="BP535" s="48">
        <f t="shared" si="1715"/>
        <v>0</v>
      </c>
      <c r="BQ535" s="48">
        <f t="shared" si="1715"/>
        <v>0</v>
      </c>
      <c r="BR535" s="36">
        <f t="shared" si="9"/>
        <v>0</v>
      </c>
      <c r="BS535" s="38">
        <f t="shared" si="10"/>
        <v>1</v>
      </c>
      <c r="BT535" s="49">
        <f t="shared" si="11"/>
        <v>0</v>
      </c>
      <c r="BU535" s="38">
        <f t="shared" si="12"/>
        <v>1000</v>
      </c>
      <c r="BV535" s="46" t="str">
        <f>IFERROR(__xludf.DUMMYFUNCTION("""COMPUTED_VALUE"""),"Kelley")</f>
        <v>Kelley</v>
      </c>
      <c r="BW535" s="46">
        <f t="shared" si="13"/>
        <v>5000</v>
      </c>
      <c r="BX535" s="47">
        <f t="shared" ref="BX535:CA535" si="1716">AX535-$BU535</f>
        <v>-1000</v>
      </c>
      <c r="BY535" s="47">
        <f t="shared" si="1716"/>
        <v>-1000</v>
      </c>
      <c r="BZ535" s="47">
        <f t="shared" si="1716"/>
        <v>-1000</v>
      </c>
      <c r="CA535" s="47">
        <f t="shared" si="1716"/>
        <v>-1000</v>
      </c>
      <c r="CB535" s="47">
        <f t="shared" si="15"/>
        <v>-5000</v>
      </c>
      <c r="CC535" s="47">
        <f t="shared" ref="CC535:CQ535" si="1717">BC535-$BU535</f>
        <v>-1000</v>
      </c>
      <c r="CD535" s="47">
        <f t="shared" si="1717"/>
        <v>-1000</v>
      </c>
      <c r="CE535" s="47">
        <f t="shared" si="1717"/>
        <v>-1000</v>
      </c>
      <c r="CF535" s="47">
        <f t="shared" si="1717"/>
        <v>-1000</v>
      </c>
      <c r="CG535" s="47">
        <f t="shared" si="1717"/>
        <v>-1000</v>
      </c>
      <c r="CH535" s="47">
        <f t="shared" si="1717"/>
        <v>-1000</v>
      </c>
      <c r="CI535" s="47">
        <f t="shared" si="1717"/>
        <v>-1000</v>
      </c>
      <c r="CJ535" s="47">
        <f t="shared" si="1717"/>
        <v>-1000</v>
      </c>
      <c r="CK535" s="47">
        <f t="shared" si="1717"/>
        <v>-1000</v>
      </c>
      <c r="CL535" s="47">
        <f t="shared" si="1717"/>
        <v>-1000</v>
      </c>
      <c r="CM535" s="47">
        <f t="shared" si="1717"/>
        <v>-1000</v>
      </c>
      <c r="CN535" s="47">
        <f t="shared" si="1717"/>
        <v>-1000</v>
      </c>
      <c r="CO535" s="47">
        <f t="shared" si="1717"/>
        <v>-1000</v>
      </c>
      <c r="CP535" s="47">
        <f t="shared" si="1717"/>
        <v>-1000</v>
      </c>
      <c r="CQ535" s="47">
        <f t="shared" si="1717"/>
        <v>-1000</v>
      </c>
      <c r="CR535" s="47"/>
      <c r="CS535" s="47"/>
      <c r="CT535" s="47"/>
      <c r="CU535" s="50" t="str">
        <f>IFERROR(__xludf.DUMMYFUNCTION("""COMPUTED_VALUE"""),"10434 Lennox Lane
Dallas, TX 75229          ")</f>
        <v>10434 Lennox Lane
Dallas, TX 75229          </v>
      </c>
      <c r="CV535" s="51">
        <f>IFERROR(__xludf.DUMMYFUNCTION("IF(REGEXMATCH(UPPER(CU535), ""TX""),0,1)"),0.0)</f>
        <v>0</v>
      </c>
      <c r="CW535" s="51">
        <f>IFERROR(__xludf.DUMMYFUNCTION("IF(REGEXMATCH(UPPER(CU535), ""DALLAS""),0,1)"),0.0)</f>
        <v>0</v>
      </c>
      <c r="CX535" s="51">
        <f t="shared" si="17"/>
        <v>0</v>
      </c>
      <c r="CY535" s="51">
        <f t="shared" si="18"/>
        <v>0</v>
      </c>
      <c r="CZ535" s="52" t="str">
        <f t="shared" si="19"/>
        <v/>
      </c>
      <c r="DA535" s="58"/>
      <c r="DB535" s="52"/>
      <c r="DC535" s="52"/>
      <c r="DD535" s="52"/>
      <c r="DE535" s="52"/>
      <c r="DF535" s="52"/>
      <c r="DG535" s="52"/>
      <c r="DH535" s="52"/>
      <c r="DI535" s="52"/>
      <c r="DJ535" s="52"/>
      <c r="DK535" s="52"/>
      <c r="DL535" s="52"/>
      <c r="DM535" s="52"/>
      <c r="DN535" s="52"/>
      <c r="DO535" s="52"/>
      <c r="DP535" s="52"/>
      <c r="DQ535" s="52"/>
      <c r="DR535" s="52"/>
      <c r="DS535" s="52"/>
      <c r="DT535" s="52"/>
      <c r="DU535" s="52"/>
      <c r="DV535" s="52"/>
      <c r="DW535" s="52"/>
    </row>
    <row r="536">
      <c r="A536" s="22" t="s">
        <v>55</v>
      </c>
      <c r="B536" s="23" t="s">
        <v>56</v>
      </c>
      <c r="C536" s="31" t="s">
        <v>1465</v>
      </c>
      <c r="D536" s="25" t="str">
        <f>IFERROR(__xludf.DUMMYFUNCTION("SPLIT(C536,"" "")"),"Miller,")</f>
        <v>Miller,</v>
      </c>
      <c r="E536" s="22" t="str">
        <f>IFERROR(__xludf.DUMMYFUNCTION("""COMPUTED_VALUE"""),"Shirley
5701")</f>
        <v>Shirley
5701</v>
      </c>
      <c r="F536" s="22" t="str">
        <f>IFERROR(__xludf.DUMMYFUNCTION("""COMPUTED_VALUE"""),"Trail")</f>
        <v>Trail</v>
      </c>
      <c r="G536" s="22" t="str">
        <f>IFERROR(__xludf.DUMMYFUNCTION("""COMPUTED_VALUE"""),"Meadow")</f>
        <v>Meadow</v>
      </c>
      <c r="H536" s="22" t="str">
        <f>IFERROR(__xludf.DUMMYFUNCTION("""COMPUTED_VALUE"""),"Dr.
Dallas,")</f>
        <v>Dr.
Dallas,</v>
      </c>
      <c r="I536" s="22" t="str">
        <f>IFERROR(__xludf.DUMMYFUNCTION("""COMPUTED_VALUE"""),"TX")</f>
        <v>TX</v>
      </c>
      <c r="J536" s="22">
        <f>IFERROR(__xludf.DUMMYFUNCTION("""COMPUTED_VALUE"""),75230.0)</f>
        <v>75230</v>
      </c>
      <c r="K536" s="22"/>
      <c r="L536" s="22"/>
      <c r="M536" s="22"/>
      <c r="N536" s="22"/>
      <c r="O536" s="22"/>
      <c r="P536" s="22"/>
      <c r="Q536" s="22"/>
      <c r="R536" s="22"/>
      <c r="S536" s="22"/>
      <c r="T536" s="22"/>
      <c r="U536" s="24" t="str">
        <f>IFERROR(__xludf.DUMMYFUNCTION("SPLIT(E536,""01234567890"")"),"Shirley
")</f>
        <v>Shirley
</v>
      </c>
      <c r="V536" s="24" t="str">
        <f>IFERROR(__xludf.DUMMYFUNCTION("SPLIT(D536,"","")"),"Miller")</f>
        <v>Miller</v>
      </c>
      <c r="W536" s="25" t="str">
        <f t="shared" si="1"/>
        <v>SHIRLEY
 MILLER</v>
      </c>
      <c r="X536" s="25" t="s">
        <v>1466</v>
      </c>
      <c r="Y536" s="25">
        <v>75230.0</v>
      </c>
      <c r="Z536" s="25" t="str">
        <f>IFERROR(__xludf.DUMMYFUNCTION("SPLIT(C536,""
"")"),"Miller, Shirley")</f>
        <v>Miller, Shirley</v>
      </c>
      <c r="AA536" s="25" t="str">
        <f>IFERROR(__xludf.DUMMYFUNCTION("""COMPUTED_VALUE"""),"5701 Trail Meadow Dr.")</f>
        <v>5701 Trail Meadow Dr.</v>
      </c>
      <c r="AB536" s="25" t="str">
        <f>IFERROR(__xludf.DUMMYFUNCTION("""COMPUTED_VALUE"""),"Dallas, TX 75230")</f>
        <v>Dallas, TX 75230</v>
      </c>
      <c r="AC536" s="24" t="s">
        <v>1467</v>
      </c>
      <c r="AD536" s="25"/>
      <c r="AE536" s="25"/>
      <c r="AF536" s="25"/>
      <c r="AG536" s="22" t="s">
        <v>60</v>
      </c>
      <c r="AH536" s="54">
        <v>2448.0</v>
      </c>
      <c r="AI536" s="22" t="s">
        <v>61</v>
      </c>
      <c r="AJ536" s="27">
        <v>100.0</v>
      </c>
      <c r="AK536" s="31" t="s">
        <v>24</v>
      </c>
      <c r="AL536" s="28">
        <v>44695.0</v>
      </c>
      <c r="AM536" s="29">
        <v>44757.44018518519</v>
      </c>
      <c r="AN536" s="30">
        <v>2.0</v>
      </c>
      <c r="AO536" s="22"/>
      <c r="AP536" s="22"/>
      <c r="AQ536" s="22"/>
      <c r="AR536" s="22"/>
      <c r="AS536" s="22"/>
      <c r="AT536" s="70"/>
      <c r="AU536" s="22"/>
      <c r="AV536" s="57" t="str">
        <f>IFERROR(__xludf.DUMMYFUNCTION("""COMPUTED_VALUE"""),"Long")</f>
        <v>Long</v>
      </c>
      <c r="AW536" s="46">
        <f t="shared" si="7"/>
        <v>1500</v>
      </c>
      <c r="AX536" s="47">
        <f t="shared" ref="AX536:BQ536" si="1718">SUMIFS($AJ:$AJ,$V:$V,$AV536,$AK:$AK,AX$2)</f>
        <v>500</v>
      </c>
      <c r="AY536" s="48">
        <f t="shared" si="1718"/>
        <v>0</v>
      </c>
      <c r="AZ536" s="48">
        <f t="shared" si="1718"/>
        <v>0</v>
      </c>
      <c r="BA536" s="48">
        <f t="shared" si="1718"/>
        <v>0</v>
      </c>
      <c r="BB536" s="48">
        <f t="shared" si="1718"/>
        <v>1000</v>
      </c>
      <c r="BC536" s="48">
        <f t="shared" si="1718"/>
        <v>0</v>
      </c>
      <c r="BD536" s="48">
        <f t="shared" si="1718"/>
        <v>0</v>
      </c>
      <c r="BE536" s="48">
        <f t="shared" si="1718"/>
        <v>0</v>
      </c>
      <c r="BF536" s="48">
        <f t="shared" si="1718"/>
        <v>0</v>
      </c>
      <c r="BG536" s="48">
        <f t="shared" si="1718"/>
        <v>0</v>
      </c>
      <c r="BH536" s="48">
        <f t="shared" si="1718"/>
        <v>0</v>
      </c>
      <c r="BI536" s="48">
        <f t="shared" si="1718"/>
        <v>0</v>
      </c>
      <c r="BJ536" s="48">
        <f t="shared" si="1718"/>
        <v>0</v>
      </c>
      <c r="BK536" s="48">
        <f t="shared" si="1718"/>
        <v>0</v>
      </c>
      <c r="BL536" s="48">
        <f t="shared" si="1718"/>
        <v>0</v>
      </c>
      <c r="BM536" s="48">
        <f t="shared" si="1718"/>
        <v>0</v>
      </c>
      <c r="BN536" s="48">
        <f t="shared" si="1718"/>
        <v>0</v>
      </c>
      <c r="BO536" s="48">
        <f t="shared" si="1718"/>
        <v>0</v>
      </c>
      <c r="BP536" s="48">
        <f t="shared" si="1718"/>
        <v>0</v>
      </c>
      <c r="BQ536" s="48">
        <f t="shared" si="1718"/>
        <v>0</v>
      </c>
      <c r="BR536" s="36">
        <f t="shared" si="9"/>
        <v>1</v>
      </c>
      <c r="BS536" s="38">
        <f t="shared" si="10"/>
        <v>2</v>
      </c>
      <c r="BT536" s="49">
        <f t="shared" si="11"/>
        <v>0</v>
      </c>
      <c r="BU536" s="38">
        <f t="shared" si="12"/>
        <v>2000</v>
      </c>
      <c r="BV536" s="57" t="str">
        <f>IFERROR(__xludf.DUMMYFUNCTION("""COMPUTED_VALUE"""),"Long")</f>
        <v>Long</v>
      </c>
      <c r="BW536" s="46">
        <f t="shared" si="13"/>
        <v>1500</v>
      </c>
      <c r="BX536" s="47">
        <f t="shared" ref="BX536:CA536" si="1719">AX536-$BU536</f>
        <v>-1500</v>
      </c>
      <c r="BY536" s="47">
        <f t="shared" si="1719"/>
        <v>-2000</v>
      </c>
      <c r="BZ536" s="47">
        <f t="shared" si="1719"/>
        <v>-2000</v>
      </c>
      <c r="CA536" s="47">
        <f t="shared" si="1719"/>
        <v>-2000</v>
      </c>
      <c r="CB536" s="47">
        <f t="shared" si="15"/>
        <v>-19000</v>
      </c>
      <c r="CC536" s="47">
        <f t="shared" ref="CC536:CQ536" si="1720">BC536-$BU536</f>
        <v>-2000</v>
      </c>
      <c r="CD536" s="47">
        <f t="shared" si="1720"/>
        <v>-2000</v>
      </c>
      <c r="CE536" s="47">
        <f t="shared" si="1720"/>
        <v>-2000</v>
      </c>
      <c r="CF536" s="47">
        <f t="shared" si="1720"/>
        <v>-2000</v>
      </c>
      <c r="CG536" s="47">
        <f t="shared" si="1720"/>
        <v>-2000</v>
      </c>
      <c r="CH536" s="47">
        <f t="shared" si="1720"/>
        <v>-2000</v>
      </c>
      <c r="CI536" s="47">
        <f t="shared" si="1720"/>
        <v>-2000</v>
      </c>
      <c r="CJ536" s="47">
        <f t="shared" si="1720"/>
        <v>-2000</v>
      </c>
      <c r="CK536" s="47">
        <f t="shared" si="1720"/>
        <v>-2000</v>
      </c>
      <c r="CL536" s="47">
        <f t="shared" si="1720"/>
        <v>-2000</v>
      </c>
      <c r="CM536" s="47">
        <f t="shared" si="1720"/>
        <v>-2000</v>
      </c>
      <c r="CN536" s="47">
        <f t="shared" si="1720"/>
        <v>-2000</v>
      </c>
      <c r="CO536" s="47">
        <f t="shared" si="1720"/>
        <v>-2000</v>
      </c>
      <c r="CP536" s="47">
        <f t="shared" si="1720"/>
        <v>-2000</v>
      </c>
      <c r="CQ536" s="47">
        <f t="shared" si="1720"/>
        <v>-2000</v>
      </c>
      <c r="CR536" s="47"/>
      <c r="CS536" s="47"/>
      <c r="CT536" s="47"/>
      <c r="CU536" s="50" t="str">
        <f>IFERROR(__xludf.DUMMYFUNCTION("""COMPUTED_VALUE"""),". Dupree
7034 Alexander Dr.
Dallas, TX 75214         ")</f>
        <v>. Dupree
7034 Alexander Dr.
Dallas, TX 75214         </v>
      </c>
      <c r="CV536" s="51">
        <f>IFERROR(__xludf.DUMMYFUNCTION("IF(REGEXMATCH(UPPER(CU536), ""TX""),0,1)"),0.0)</f>
        <v>0</v>
      </c>
      <c r="CW536" s="51">
        <f>IFERROR(__xludf.DUMMYFUNCTION("IF(REGEXMATCH(UPPER(CU536), ""DALLAS""),0,1)"),0.0)</f>
        <v>0</v>
      </c>
      <c r="CX536" s="51">
        <f t="shared" si="17"/>
        <v>0</v>
      </c>
      <c r="CY536" s="51">
        <f t="shared" si="18"/>
        <v>0</v>
      </c>
      <c r="CZ536" s="52" t="str">
        <f t="shared" si="19"/>
        <v/>
      </c>
      <c r="DA536" s="58"/>
      <c r="DB536" s="52"/>
      <c r="DC536" s="52"/>
      <c r="DD536" s="52"/>
      <c r="DE536" s="52"/>
      <c r="DF536" s="52"/>
      <c r="DG536" s="52"/>
      <c r="DH536" s="52"/>
      <c r="DI536" s="52"/>
      <c r="DJ536" s="52"/>
      <c r="DK536" s="52"/>
      <c r="DL536" s="52"/>
      <c r="DM536" s="52"/>
      <c r="DN536" s="52"/>
      <c r="DO536" s="52"/>
      <c r="DP536" s="52"/>
      <c r="DQ536" s="52"/>
      <c r="DR536" s="52"/>
      <c r="DS536" s="52"/>
      <c r="DT536" s="52"/>
      <c r="DU536" s="52"/>
      <c r="DV536" s="52"/>
      <c r="DW536" s="52"/>
    </row>
    <row r="537">
      <c r="A537" s="40" t="s">
        <v>55</v>
      </c>
      <c r="B537" s="41" t="s">
        <v>56</v>
      </c>
      <c r="C537" s="31" t="s">
        <v>1468</v>
      </c>
      <c r="D537" s="25" t="str">
        <f>IFERROR(__xludf.DUMMYFUNCTION("SPLIT(C537,"" "")"),"Ramos,")</f>
        <v>Ramos,</v>
      </c>
      <c r="E537" s="40" t="str">
        <f>IFERROR(__xludf.DUMMYFUNCTION("""COMPUTED_VALUE"""),"Steven
6711")</f>
        <v>Steven
6711</v>
      </c>
      <c r="F537" s="40" t="str">
        <f>IFERROR(__xludf.DUMMYFUNCTION("""COMPUTED_VALUE"""),"Dalhart
Dallas,")</f>
        <v>Dalhart
Dallas,</v>
      </c>
      <c r="G537" s="40" t="str">
        <f>IFERROR(__xludf.DUMMYFUNCTION("""COMPUTED_VALUE"""),"TX")</f>
        <v>TX</v>
      </c>
      <c r="H537" s="40">
        <f>IFERROR(__xludf.DUMMYFUNCTION("""COMPUTED_VALUE"""),75214.0)</f>
        <v>75214</v>
      </c>
      <c r="I537" s="40"/>
      <c r="J537" s="40"/>
      <c r="K537" s="40"/>
      <c r="L537" s="40"/>
      <c r="M537" s="40"/>
      <c r="N537" s="40"/>
      <c r="O537" s="40"/>
      <c r="P537" s="40"/>
      <c r="Q537" s="40"/>
      <c r="R537" s="40"/>
      <c r="S537" s="40"/>
      <c r="T537" s="40"/>
      <c r="U537" s="24" t="str">
        <f>IFERROR(__xludf.DUMMYFUNCTION("SPLIT(E537,""01234567890"")"),"Steven
")</f>
        <v>Steven
</v>
      </c>
      <c r="V537" s="24" t="str">
        <f>IFERROR(__xludf.DUMMYFUNCTION("SPLIT(D537,"","")"),"Ramos")</f>
        <v>Ramos</v>
      </c>
      <c r="W537" s="25" t="str">
        <f t="shared" si="1"/>
        <v>STEVEN
 RAMOS</v>
      </c>
      <c r="X537" s="25" t="s">
        <v>1469</v>
      </c>
      <c r="Y537" s="25">
        <v>75214.0</v>
      </c>
      <c r="Z537" s="25" t="str">
        <f>IFERROR(__xludf.DUMMYFUNCTION("SPLIT(C537,""
"")"),"Ramos, Steven")</f>
        <v>Ramos, Steven</v>
      </c>
      <c r="AA537" s="25" t="str">
        <f>IFERROR(__xludf.DUMMYFUNCTION("""COMPUTED_VALUE"""),"6711 Dalhart")</f>
        <v>6711 Dalhart</v>
      </c>
      <c r="AB537" s="25" t="str">
        <f>IFERROR(__xludf.DUMMYFUNCTION("""COMPUTED_VALUE"""),"Dallas, TX 75214")</f>
        <v>Dallas, TX 75214</v>
      </c>
      <c r="AC537" s="24" t="s">
        <v>1470</v>
      </c>
      <c r="AD537" s="25"/>
      <c r="AE537" s="25"/>
      <c r="AF537" s="25"/>
      <c r="AG537" s="40" t="s">
        <v>60</v>
      </c>
      <c r="AH537" s="42">
        <v>2448.0</v>
      </c>
      <c r="AI537" s="40" t="s">
        <v>61</v>
      </c>
      <c r="AJ537" s="27">
        <v>250.0</v>
      </c>
      <c r="AK537" s="31" t="s">
        <v>24</v>
      </c>
      <c r="AL537" s="43">
        <v>44696.0</v>
      </c>
      <c r="AM537" s="44">
        <v>44757.44018518519</v>
      </c>
      <c r="AN537" s="30">
        <v>2.0</v>
      </c>
      <c r="AO537" s="40"/>
      <c r="AP537" s="40"/>
      <c r="AQ537" s="40"/>
      <c r="AR537" s="40"/>
      <c r="AS537" s="40"/>
      <c r="AT537" s="47"/>
      <c r="AU537" s="40"/>
      <c r="AV537" s="46" t="str">
        <f>IFERROR(__xludf.DUMMYFUNCTION("""COMPUTED_VALUE"""),"Nosek")</f>
        <v>Nosek</v>
      </c>
      <c r="AW537" s="46">
        <f t="shared" si="7"/>
        <v>4200</v>
      </c>
      <c r="AX537" s="47">
        <f t="shared" ref="AX537:BQ537" si="1721">SUMIFS($AJ:$AJ,$V:$V,$AV537,$AK:$AK,AX$2)</f>
        <v>0</v>
      </c>
      <c r="AY537" s="48">
        <f t="shared" si="1721"/>
        <v>0</v>
      </c>
      <c r="AZ537" s="48">
        <f t="shared" si="1721"/>
        <v>0</v>
      </c>
      <c r="BA537" s="48">
        <f t="shared" si="1721"/>
        <v>0</v>
      </c>
      <c r="BB537" s="48">
        <f t="shared" si="1721"/>
        <v>4200</v>
      </c>
      <c r="BC537" s="48">
        <f t="shared" si="1721"/>
        <v>0</v>
      </c>
      <c r="BD537" s="48">
        <f t="shared" si="1721"/>
        <v>0</v>
      </c>
      <c r="BE537" s="48">
        <f t="shared" si="1721"/>
        <v>0</v>
      </c>
      <c r="BF537" s="48">
        <f t="shared" si="1721"/>
        <v>0</v>
      </c>
      <c r="BG537" s="48">
        <f t="shared" si="1721"/>
        <v>0</v>
      </c>
      <c r="BH537" s="48">
        <f t="shared" si="1721"/>
        <v>0</v>
      </c>
      <c r="BI537" s="48">
        <f t="shared" si="1721"/>
        <v>0</v>
      </c>
      <c r="BJ537" s="48">
        <f t="shared" si="1721"/>
        <v>0</v>
      </c>
      <c r="BK537" s="48">
        <f t="shared" si="1721"/>
        <v>0</v>
      </c>
      <c r="BL537" s="48">
        <f t="shared" si="1721"/>
        <v>0</v>
      </c>
      <c r="BM537" s="48">
        <f t="shared" si="1721"/>
        <v>0</v>
      </c>
      <c r="BN537" s="48">
        <f t="shared" si="1721"/>
        <v>0</v>
      </c>
      <c r="BO537" s="48">
        <f t="shared" si="1721"/>
        <v>0</v>
      </c>
      <c r="BP537" s="48">
        <f t="shared" si="1721"/>
        <v>0</v>
      </c>
      <c r="BQ537" s="48">
        <f t="shared" si="1721"/>
        <v>0</v>
      </c>
      <c r="BR537" s="36">
        <f t="shared" si="9"/>
        <v>0</v>
      </c>
      <c r="BS537" s="38">
        <f t="shared" si="10"/>
        <v>1</v>
      </c>
      <c r="BT537" s="49">
        <f t="shared" si="11"/>
        <v>0</v>
      </c>
      <c r="BU537" s="38">
        <f t="shared" si="12"/>
        <v>1000</v>
      </c>
      <c r="BV537" s="46" t="str">
        <f>IFERROR(__xludf.DUMMYFUNCTION("""COMPUTED_VALUE"""),"Nosek")</f>
        <v>Nosek</v>
      </c>
      <c r="BW537" s="46">
        <f t="shared" si="13"/>
        <v>4200</v>
      </c>
      <c r="BX537" s="47">
        <f t="shared" ref="BX537:CA537" si="1722">AX537-$BU537</f>
        <v>-1000</v>
      </c>
      <c r="BY537" s="47">
        <f t="shared" si="1722"/>
        <v>-1000</v>
      </c>
      <c r="BZ537" s="47">
        <f t="shared" si="1722"/>
        <v>-1000</v>
      </c>
      <c r="CA537" s="47">
        <f t="shared" si="1722"/>
        <v>-1000</v>
      </c>
      <c r="CB537" s="47">
        <f t="shared" si="15"/>
        <v>-5800</v>
      </c>
      <c r="CC537" s="47">
        <f t="shared" ref="CC537:CQ537" si="1723">BC537-$BU537</f>
        <v>-1000</v>
      </c>
      <c r="CD537" s="47">
        <f t="shared" si="1723"/>
        <v>-1000</v>
      </c>
      <c r="CE537" s="47">
        <f t="shared" si="1723"/>
        <v>-1000</v>
      </c>
      <c r="CF537" s="47">
        <f t="shared" si="1723"/>
        <v>-1000</v>
      </c>
      <c r="CG537" s="47">
        <f t="shared" si="1723"/>
        <v>-1000</v>
      </c>
      <c r="CH537" s="47">
        <f t="shared" si="1723"/>
        <v>-1000</v>
      </c>
      <c r="CI537" s="47">
        <f t="shared" si="1723"/>
        <v>-1000</v>
      </c>
      <c r="CJ537" s="47">
        <f t="shared" si="1723"/>
        <v>-1000</v>
      </c>
      <c r="CK537" s="47">
        <f t="shared" si="1723"/>
        <v>-1000</v>
      </c>
      <c r="CL537" s="47">
        <f t="shared" si="1723"/>
        <v>-1000</v>
      </c>
      <c r="CM537" s="47">
        <f t="shared" si="1723"/>
        <v>-1000</v>
      </c>
      <c r="CN537" s="47">
        <f t="shared" si="1723"/>
        <v>-1000</v>
      </c>
      <c r="CO537" s="47">
        <f t="shared" si="1723"/>
        <v>-1000</v>
      </c>
      <c r="CP537" s="47">
        <f t="shared" si="1723"/>
        <v>-1000</v>
      </c>
      <c r="CQ537" s="47">
        <f t="shared" si="1723"/>
        <v>-1000</v>
      </c>
      <c r="CR537" s="47"/>
      <c r="CS537" s="47"/>
      <c r="CT537" s="47"/>
      <c r="CU537" s="50" t="str">
        <f>IFERROR(__xludf.DUMMYFUNCTION("""COMPUTED_VALUE"""),"6429 McCommas Blvd
Dallas, TX 75214          ")</f>
        <v>6429 McCommas Blvd
Dallas, TX 75214          </v>
      </c>
      <c r="CV537" s="51">
        <f>IFERROR(__xludf.DUMMYFUNCTION("IF(REGEXMATCH(UPPER(CU537), ""TX""),0,1)"),0.0)</f>
        <v>0</v>
      </c>
      <c r="CW537" s="51">
        <f>IFERROR(__xludf.DUMMYFUNCTION("IF(REGEXMATCH(UPPER(CU537), ""DALLAS""),0,1)"),0.0)</f>
        <v>0</v>
      </c>
      <c r="CX537" s="51">
        <f t="shared" si="17"/>
        <v>0</v>
      </c>
      <c r="CY537" s="51">
        <f t="shared" si="18"/>
        <v>0</v>
      </c>
      <c r="CZ537" s="52" t="str">
        <f t="shared" si="19"/>
        <v/>
      </c>
      <c r="DA537" s="58"/>
      <c r="DB537" s="52"/>
      <c r="DC537" s="52"/>
      <c r="DD537" s="52"/>
      <c r="DE537" s="52"/>
      <c r="DF537" s="52"/>
      <c r="DG537" s="52"/>
      <c r="DH537" s="52"/>
      <c r="DI537" s="52"/>
      <c r="DJ537" s="52"/>
      <c r="DK537" s="52"/>
      <c r="DL537" s="52"/>
      <c r="DM537" s="52"/>
      <c r="DN537" s="52"/>
      <c r="DO537" s="52"/>
      <c r="DP537" s="52"/>
      <c r="DQ537" s="52"/>
      <c r="DR537" s="52"/>
      <c r="DS537" s="52"/>
      <c r="DT537" s="52"/>
      <c r="DU537" s="52"/>
      <c r="DV537" s="52"/>
      <c r="DW537" s="52"/>
    </row>
    <row r="538">
      <c r="A538" s="22" t="s">
        <v>55</v>
      </c>
      <c r="B538" s="23" t="s">
        <v>56</v>
      </c>
      <c r="C538" s="31" t="s">
        <v>1471</v>
      </c>
      <c r="D538" s="25" t="str">
        <f>IFERROR(__xludf.DUMMYFUNCTION("SPLIT(C538,"" "")"),"Saucedo,")</f>
        <v>Saucedo,</v>
      </c>
      <c r="E538" s="22" t="str">
        <f>IFERROR(__xludf.DUMMYFUNCTION("""COMPUTED_VALUE"""),"Felix
6729")</f>
        <v>Felix
6729</v>
      </c>
      <c r="F538" s="22" t="str">
        <f>IFERROR(__xludf.DUMMYFUNCTION("""COMPUTED_VALUE"""),"Santa")</f>
        <v>Santa</v>
      </c>
      <c r="G538" s="22" t="str">
        <f>IFERROR(__xludf.DUMMYFUNCTION("""COMPUTED_VALUE"""),"Maria")</f>
        <v>Maria</v>
      </c>
      <c r="H538" s="22" t="str">
        <f>IFERROR(__xludf.DUMMYFUNCTION("""COMPUTED_VALUE"""),"Ln
Dallas,")</f>
        <v>Ln
Dallas,</v>
      </c>
      <c r="I538" s="22" t="str">
        <f>IFERROR(__xludf.DUMMYFUNCTION("""COMPUTED_VALUE"""),"TX")</f>
        <v>TX</v>
      </c>
      <c r="J538" s="22">
        <f>IFERROR(__xludf.DUMMYFUNCTION("""COMPUTED_VALUE"""),75214.0)</f>
        <v>75214</v>
      </c>
      <c r="K538" s="22"/>
      <c r="L538" s="22"/>
      <c r="M538" s="22"/>
      <c r="N538" s="22"/>
      <c r="O538" s="22"/>
      <c r="P538" s="22"/>
      <c r="Q538" s="22"/>
      <c r="R538" s="22"/>
      <c r="S538" s="22"/>
      <c r="T538" s="22"/>
      <c r="U538" s="24" t="str">
        <f>IFERROR(__xludf.DUMMYFUNCTION("SPLIT(E538,""01234567890"")"),"Felix
")</f>
        <v>Felix
</v>
      </c>
      <c r="V538" s="24" t="str">
        <f>IFERROR(__xludf.DUMMYFUNCTION("SPLIT(D538,"","")"),"Saucedo")</f>
        <v>Saucedo</v>
      </c>
      <c r="W538" s="25" t="str">
        <f t="shared" si="1"/>
        <v>FELIX
 SAUCEDO</v>
      </c>
      <c r="X538" s="25" t="s">
        <v>1472</v>
      </c>
      <c r="Y538" s="25">
        <v>75214.0</v>
      </c>
      <c r="Z538" s="25" t="str">
        <f>IFERROR(__xludf.DUMMYFUNCTION("SPLIT(C538,""
"")"),"Saucedo, Felix")</f>
        <v>Saucedo, Felix</v>
      </c>
      <c r="AA538" s="25" t="str">
        <f>IFERROR(__xludf.DUMMYFUNCTION("""COMPUTED_VALUE"""),"6729 Santa Maria Ln")</f>
        <v>6729 Santa Maria Ln</v>
      </c>
      <c r="AB538" s="25" t="str">
        <f>IFERROR(__xludf.DUMMYFUNCTION("""COMPUTED_VALUE"""),"Dallas, TX 75214")</f>
        <v>Dallas, TX 75214</v>
      </c>
      <c r="AC538" s="24" t="s">
        <v>1473</v>
      </c>
      <c r="AD538" s="25"/>
      <c r="AE538" s="25"/>
      <c r="AF538" s="25"/>
      <c r="AG538" s="22" t="s">
        <v>60</v>
      </c>
      <c r="AH538" s="54">
        <v>2448.0</v>
      </c>
      <c r="AI538" s="22" t="s">
        <v>61</v>
      </c>
      <c r="AJ538" s="27">
        <v>100.0</v>
      </c>
      <c r="AK538" s="31" t="s">
        <v>24</v>
      </c>
      <c r="AL538" s="28">
        <v>44697.0</v>
      </c>
      <c r="AM538" s="29">
        <v>44757.44018518519</v>
      </c>
      <c r="AN538" s="30">
        <v>2.0</v>
      </c>
      <c r="AO538" s="22"/>
      <c r="AP538" s="22"/>
      <c r="AQ538" s="22"/>
      <c r="AR538" s="22"/>
      <c r="AS538" s="22"/>
      <c r="AT538" s="70"/>
      <c r="AU538" s="22"/>
      <c r="AV538" s="57" t="str">
        <f>IFERROR(__xludf.DUMMYFUNCTION("""COMPUTED_VALUE"""),"Health")</f>
        <v>Health</v>
      </c>
      <c r="AW538" s="46">
        <f t="shared" si="7"/>
        <v>500</v>
      </c>
      <c r="AX538" s="47">
        <f t="shared" ref="AX538:BQ538" si="1724">SUMIFS($AJ:$AJ,$V:$V,$AV538,$AK:$AK,AX$2)</f>
        <v>0</v>
      </c>
      <c r="AY538" s="48">
        <f t="shared" si="1724"/>
        <v>0</v>
      </c>
      <c r="AZ538" s="48">
        <f t="shared" si="1724"/>
        <v>0</v>
      </c>
      <c r="BA538" s="48">
        <f t="shared" si="1724"/>
        <v>0</v>
      </c>
      <c r="BB538" s="48">
        <f t="shared" si="1724"/>
        <v>500</v>
      </c>
      <c r="BC538" s="48">
        <f t="shared" si="1724"/>
        <v>0</v>
      </c>
      <c r="BD538" s="48">
        <f t="shared" si="1724"/>
        <v>0</v>
      </c>
      <c r="BE538" s="48">
        <f t="shared" si="1724"/>
        <v>0</v>
      </c>
      <c r="BF538" s="48">
        <f t="shared" si="1724"/>
        <v>0</v>
      </c>
      <c r="BG538" s="48">
        <f t="shared" si="1724"/>
        <v>0</v>
      </c>
      <c r="BH538" s="48">
        <f t="shared" si="1724"/>
        <v>0</v>
      </c>
      <c r="BI538" s="48">
        <f t="shared" si="1724"/>
        <v>0</v>
      </c>
      <c r="BJ538" s="48">
        <f t="shared" si="1724"/>
        <v>0</v>
      </c>
      <c r="BK538" s="48">
        <f t="shared" si="1724"/>
        <v>0</v>
      </c>
      <c r="BL538" s="48">
        <f t="shared" si="1724"/>
        <v>0</v>
      </c>
      <c r="BM538" s="48">
        <f t="shared" si="1724"/>
        <v>0</v>
      </c>
      <c r="BN538" s="48">
        <f t="shared" si="1724"/>
        <v>0</v>
      </c>
      <c r="BO538" s="48">
        <f t="shared" si="1724"/>
        <v>0</v>
      </c>
      <c r="BP538" s="48">
        <f t="shared" si="1724"/>
        <v>0</v>
      </c>
      <c r="BQ538" s="48">
        <f t="shared" si="1724"/>
        <v>0</v>
      </c>
      <c r="BR538" s="36">
        <f t="shared" si="9"/>
        <v>0</v>
      </c>
      <c r="BS538" s="38">
        <f t="shared" si="10"/>
        <v>1</v>
      </c>
      <c r="BT538" s="49">
        <f t="shared" si="11"/>
        <v>0</v>
      </c>
      <c r="BU538" s="38">
        <f t="shared" si="12"/>
        <v>1000</v>
      </c>
      <c r="BV538" s="57" t="str">
        <f>IFERROR(__xludf.DUMMYFUNCTION("""COMPUTED_VALUE"""),"Health")</f>
        <v>Health</v>
      </c>
      <c r="BW538" s="46">
        <f t="shared" si="13"/>
        <v>500</v>
      </c>
      <c r="BX538" s="47">
        <f t="shared" ref="BX538:CA538" si="1725">AX538-$BU538</f>
        <v>-1000</v>
      </c>
      <c r="BY538" s="47">
        <f t="shared" si="1725"/>
        <v>-1000</v>
      </c>
      <c r="BZ538" s="47">
        <f t="shared" si="1725"/>
        <v>-1000</v>
      </c>
      <c r="CA538" s="47">
        <f t="shared" si="1725"/>
        <v>-1000</v>
      </c>
      <c r="CB538" s="47">
        <f t="shared" si="15"/>
        <v>-9500</v>
      </c>
      <c r="CC538" s="47">
        <f t="shared" ref="CC538:CQ538" si="1726">BC538-$BU538</f>
        <v>-1000</v>
      </c>
      <c r="CD538" s="47">
        <f t="shared" si="1726"/>
        <v>-1000</v>
      </c>
      <c r="CE538" s="47">
        <f t="shared" si="1726"/>
        <v>-1000</v>
      </c>
      <c r="CF538" s="47">
        <f t="shared" si="1726"/>
        <v>-1000</v>
      </c>
      <c r="CG538" s="47">
        <f t="shared" si="1726"/>
        <v>-1000</v>
      </c>
      <c r="CH538" s="47">
        <f t="shared" si="1726"/>
        <v>-1000</v>
      </c>
      <c r="CI538" s="47">
        <f t="shared" si="1726"/>
        <v>-1000</v>
      </c>
      <c r="CJ538" s="47">
        <f t="shared" si="1726"/>
        <v>-1000</v>
      </c>
      <c r="CK538" s="47">
        <f t="shared" si="1726"/>
        <v>-1000</v>
      </c>
      <c r="CL538" s="47">
        <f t="shared" si="1726"/>
        <v>-1000</v>
      </c>
      <c r="CM538" s="47">
        <f t="shared" si="1726"/>
        <v>-1000</v>
      </c>
      <c r="CN538" s="47">
        <f t="shared" si="1726"/>
        <v>-1000</v>
      </c>
      <c r="CO538" s="47">
        <f t="shared" si="1726"/>
        <v>-1000</v>
      </c>
      <c r="CP538" s="47">
        <f t="shared" si="1726"/>
        <v>-1000</v>
      </c>
      <c r="CQ538" s="47">
        <f t="shared" si="1726"/>
        <v>-1000</v>
      </c>
      <c r="CR538" s="47"/>
      <c r="CS538" s="47"/>
      <c r="CT538" s="47"/>
      <c r="CU538" s="50" t="str">
        <f>IFERROR(__xludf.DUMMYFUNCTION("""COMPUTED_VALUE"""),"3509 Hillbrook St
Dallas, TX 75214          ")</f>
        <v>3509 Hillbrook St
Dallas, TX 75214          </v>
      </c>
      <c r="CV538" s="51">
        <f>IFERROR(__xludf.DUMMYFUNCTION("IF(REGEXMATCH(UPPER(CU538), ""TX""),0,1)"),0.0)</f>
        <v>0</v>
      </c>
      <c r="CW538" s="51">
        <f>IFERROR(__xludf.DUMMYFUNCTION("IF(REGEXMATCH(UPPER(CU538), ""DALLAS""),0,1)"),0.0)</f>
        <v>0</v>
      </c>
      <c r="CX538" s="51">
        <f t="shared" si="17"/>
        <v>0</v>
      </c>
      <c r="CY538" s="51">
        <f t="shared" si="18"/>
        <v>0</v>
      </c>
      <c r="CZ538" s="52" t="str">
        <f t="shared" si="19"/>
        <v/>
      </c>
      <c r="DA538" s="58"/>
      <c r="DB538" s="52"/>
      <c r="DC538" s="52"/>
      <c r="DD538" s="52"/>
      <c r="DE538" s="52"/>
      <c r="DF538" s="52"/>
      <c r="DG538" s="52"/>
      <c r="DH538" s="52"/>
      <c r="DI538" s="52"/>
      <c r="DJ538" s="52"/>
      <c r="DK538" s="52"/>
      <c r="DL538" s="52"/>
      <c r="DM538" s="52"/>
      <c r="DN538" s="52"/>
      <c r="DO538" s="52"/>
      <c r="DP538" s="52"/>
      <c r="DQ538" s="52"/>
      <c r="DR538" s="52"/>
      <c r="DS538" s="52"/>
      <c r="DT538" s="52"/>
      <c r="DU538" s="52"/>
      <c r="DV538" s="52"/>
      <c r="DW538" s="52"/>
    </row>
    <row r="539">
      <c r="A539" s="40" t="s">
        <v>55</v>
      </c>
      <c r="B539" s="41" t="s">
        <v>56</v>
      </c>
      <c r="C539" s="31" t="s">
        <v>1474</v>
      </c>
      <c r="D539" s="25" t="str">
        <f>IFERROR(__xludf.DUMMYFUNCTION("SPLIT(C539,"" "")"),"Johnson,")</f>
        <v>Johnson,</v>
      </c>
      <c r="E539" s="40" t="str">
        <f>IFERROR(__xludf.DUMMYFUNCTION("""COMPUTED_VALUE"""),"Willis
1001")</f>
        <v>Willis
1001</v>
      </c>
      <c r="F539" s="40" t="str">
        <f>IFERROR(__xludf.DUMMYFUNCTION("""COMPUTED_VALUE"""),"Belleview
Dallas,")</f>
        <v>Belleview
Dallas,</v>
      </c>
      <c r="G539" s="40" t="str">
        <f>IFERROR(__xludf.DUMMYFUNCTION("""COMPUTED_VALUE"""),"TX")</f>
        <v>TX</v>
      </c>
      <c r="H539" s="40">
        <f>IFERROR(__xludf.DUMMYFUNCTION("""COMPUTED_VALUE"""),75210.0)</f>
        <v>75210</v>
      </c>
      <c r="I539" s="40"/>
      <c r="J539" s="40"/>
      <c r="K539" s="40"/>
      <c r="L539" s="40"/>
      <c r="M539" s="40"/>
      <c r="N539" s="40"/>
      <c r="O539" s="40"/>
      <c r="P539" s="40"/>
      <c r="Q539" s="40"/>
      <c r="R539" s="40"/>
      <c r="S539" s="40"/>
      <c r="T539" s="40"/>
      <c r="U539" s="24" t="str">
        <f>IFERROR(__xludf.DUMMYFUNCTION("SPLIT(E539,""01234567890"")"),"Willis
")</f>
        <v>Willis
</v>
      </c>
      <c r="V539" s="24" t="str">
        <f>IFERROR(__xludf.DUMMYFUNCTION("SPLIT(D539,"","")"),"Johnson")</f>
        <v>Johnson</v>
      </c>
      <c r="W539" s="25" t="str">
        <f t="shared" si="1"/>
        <v>WILLIS
 JOHNSON</v>
      </c>
      <c r="X539" s="25" t="s">
        <v>1475</v>
      </c>
      <c r="Y539" s="25">
        <v>75210.0</v>
      </c>
      <c r="Z539" s="25" t="str">
        <f>IFERROR(__xludf.DUMMYFUNCTION("SPLIT(C539,""
"")"),"Johnson, Willis")</f>
        <v>Johnson, Willis</v>
      </c>
      <c r="AA539" s="25" t="str">
        <f>IFERROR(__xludf.DUMMYFUNCTION("""COMPUTED_VALUE"""),"1001 Belleview")</f>
        <v>1001 Belleview</v>
      </c>
      <c r="AB539" s="25" t="str">
        <f>IFERROR(__xludf.DUMMYFUNCTION("""COMPUTED_VALUE"""),"Dallas, TX 75210")</f>
        <v>Dallas, TX 75210</v>
      </c>
      <c r="AC539" s="24" t="s">
        <v>1476</v>
      </c>
      <c r="AD539" s="25"/>
      <c r="AE539" s="25"/>
      <c r="AF539" s="25"/>
      <c r="AG539" s="40" t="s">
        <v>60</v>
      </c>
      <c r="AH539" s="42">
        <v>2448.0</v>
      </c>
      <c r="AI539" s="40" t="s">
        <v>61</v>
      </c>
      <c r="AJ539" s="27">
        <v>500.0</v>
      </c>
      <c r="AK539" s="31" t="s">
        <v>24</v>
      </c>
      <c r="AL539" s="43">
        <v>44698.0</v>
      </c>
      <c r="AM539" s="44">
        <v>44757.44018518519</v>
      </c>
      <c r="AN539" s="30">
        <v>2.0</v>
      </c>
      <c r="AO539" s="40"/>
      <c r="AP539" s="40"/>
      <c r="AQ539" s="40"/>
      <c r="AR539" s="40"/>
      <c r="AS539" s="40"/>
      <c r="AT539" s="47"/>
      <c r="AU539" s="40"/>
      <c r="AV539" s="46" t="str">
        <f>IFERROR(__xludf.DUMMYFUNCTION("""COMPUTED_VALUE"""),"Hardwick")</f>
        <v>Hardwick</v>
      </c>
      <c r="AW539" s="46">
        <f t="shared" si="7"/>
        <v>1000</v>
      </c>
      <c r="AX539" s="47">
        <f t="shared" ref="AX539:BQ539" si="1727">SUMIFS($AJ:$AJ,$V:$V,$AV539,$AK:$AK,AX$2)</f>
        <v>0</v>
      </c>
      <c r="AY539" s="48">
        <f t="shared" si="1727"/>
        <v>0</v>
      </c>
      <c r="AZ539" s="48">
        <f t="shared" si="1727"/>
        <v>0</v>
      </c>
      <c r="BA539" s="48">
        <f t="shared" si="1727"/>
        <v>0</v>
      </c>
      <c r="BB539" s="48">
        <f t="shared" si="1727"/>
        <v>1000</v>
      </c>
      <c r="BC539" s="48">
        <f t="shared" si="1727"/>
        <v>0</v>
      </c>
      <c r="BD539" s="48">
        <f t="shared" si="1727"/>
        <v>0</v>
      </c>
      <c r="BE539" s="48">
        <f t="shared" si="1727"/>
        <v>0</v>
      </c>
      <c r="BF539" s="48">
        <f t="shared" si="1727"/>
        <v>0</v>
      </c>
      <c r="BG539" s="48">
        <f t="shared" si="1727"/>
        <v>0</v>
      </c>
      <c r="BH539" s="48">
        <f t="shared" si="1727"/>
        <v>0</v>
      </c>
      <c r="BI539" s="48">
        <f t="shared" si="1727"/>
        <v>0</v>
      </c>
      <c r="BJ539" s="48">
        <f t="shared" si="1727"/>
        <v>0</v>
      </c>
      <c r="BK539" s="48">
        <f t="shared" si="1727"/>
        <v>0</v>
      </c>
      <c r="BL539" s="48">
        <f t="shared" si="1727"/>
        <v>0</v>
      </c>
      <c r="BM539" s="48">
        <f t="shared" si="1727"/>
        <v>0</v>
      </c>
      <c r="BN539" s="48">
        <f t="shared" si="1727"/>
        <v>0</v>
      </c>
      <c r="BO539" s="48">
        <f t="shared" si="1727"/>
        <v>0</v>
      </c>
      <c r="BP539" s="48">
        <f t="shared" si="1727"/>
        <v>0</v>
      </c>
      <c r="BQ539" s="48">
        <f t="shared" si="1727"/>
        <v>0</v>
      </c>
      <c r="BR539" s="36">
        <f t="shared" si="9"/>
        <v>0</v>
      </c>
      <c r="BS539" s="38">
        <f t="shared" si="10"/>
        <v>1</v>
      </c>
      <c r="BT539" s="49">
        <f t="shared" si="11"/>
        <v>0</v>
      </c>
      <c r="BU539" s="38">
        <f t="shared" si="12"/>
        <v>1000</v>
      </c>
      <c r="BV539" s="46" t="str">
        <f>IFERROR(__xludf.DUMMYFUNCTION("""COMPUTED_VALUE"""),"Hardwick")</f>
        <v>Hardwick</v>
      </c>
      <c r="BW539" s="46">
        <f t="shared" si="13"/>
        <v>1000</v>
      </c>
      <c r="BX539" s="47">
        <f t="shared" ref="BX539:CA539" si="1728">AX539-$BU539</f>
        <v>-1000</v>
      </c>
      <c r="BY539" s="47">
        <f t="shared" si="1728"/>
        <v>-1000</v>
      </c>
      <c r="BZ539" s="47">
        <f t="shared" si="1728"/>
        <v>-1000</v>
      </c>
      <c r="CA539" s="47">
        <f t="shared" si="1728"/>
        <v>-1000</v>
      </c>
      <c r="CB539" s="47">
        <f t="shared" si="15"/>
        <v>-9000</v>
      </c>
      <c r="CC539" s="47">
        <f t="shared" ref="CC539:CQ539" si="1729">BC539-$BU539</f>
        <v>-1000</v>
      </c>
      <c r="CD539" s="47">
        <f t="shared" si="1729"/>
        <v>-1000</v>
      </c>
      <c r="CE539" s="47">
        <f t="shared" si="1729"/>
        <v>-1000</v>
      </c>
      <c r="CF539" s="47">
        <f t="shared" si="1729"/>
        <v>-1000</v>
      </c>
      <c r="CG539" s="47">
        <f t="shared" si="1729"/>
        <v>-1000</v>
      </c>
      <c r="CH539" s="47">
        <f t="shared" si="1729"/>
        <v>-1000</v>
      </c>
      <c r="CI539" s="47">
        <f t="shared" si="1729"/>
        <v>-1000</v>
      </c>
      <c r="CJ539" s="47">
        <f t="shared" si="1729"/>
        <v>-1000</v>
      </c>
      <c r="CK539" s="47">
        <f t="shared" si="1729"/>
        <v>-1000</v>
      </c>
      <c r="CL539" s="47">
        <f t="shared" si="1729"/>
        <v>-1000</v>
      </c>
      <c r="CM539" s="47">
        <f t="shared" si="1729"/>
        <v>-1000</v>
      </c>
      <c r="CN539" s="47">
        <f t="shared" si="1729"/>
        <v>-1000</v>
      </c>
      <c r="CO539" s="47">
        <f t="shared" si="1729"/>
        <v>-1000</v>
      </c>
      <c r="CP539" s="47">
        <f t="shared" si="1729"/>
        <v>-1000</v>
      </c>
      <c r="CQ539" s="47">
        <f t="shared" si="1729"/>
        <v>-1000</v>
      </c>
      <c r="CR539" s="47"/>
      <c r="CS539" s="47"/>
      <c r="CT539" s="47"/>
      <c r="CU539" s="50" t="str">
        <f>IFERROR(__xludf.DUMMYFUNCTION("""COMPUTED_VALUE"""),"8231 San Fernando
Dallas, TX 75218          ")</f>
        <v>8231 San Fernando
Dallas, TX 75218          </v>
      </c>
      <c r="CV539" s="51">
        <f>IFERROR(__xludf.DUMMYFUNCTION("IF(REGEXMATCH(UPPER(CU539), ""TX""),0,1)"),0.0)</f>
        <v>0</v>
      </c>
      <c r="CW539" s="51">
        <f>IFERROR(__xludf.DUMMYFUNCTION("IF(REGEXMATCH(UPPER(CU539), ""DALLAS""),0,1)"),0.0)</f>
        <v>0</v>
      </c>
      <c r="CX539" s="51">
        <f t="shared" si="17"/>
        <v>0</v>
      </c>
      <c r="CY539" s="51">
        <f t="shared" si="18"/>
        <v>0</v>
      </c>
      <c r="CZ539" s="52" t="str">
        <f t="shared" si="19"/>
        <v/>
      </c>
      <c r="DA539" s="58"/>
      <c r="DB539" s="52"/>
      <c r="DC539" s="52"/>
      <c r="DD539" s="52"/>
      <c r="DE539" s="52"/>
      <c r="DF539" s="52"/>
      <c r="DG539" s="52"/>
      <c r="DH539" s="52"/>
      <c r="DI539" s="52"/>
      <c r="DJ539" s="52"/>
      <c r="DK539" s="52"/>
      <c r="DL539" s="52"/>
      <c r="DM539" s="52"/>
      <c r="DN539" s="52"/>
      <c r="DO539" s="52"/>
      <c r="DP539" s="52"/>
      <c r="DQ539" s="52"/>
      <c r="DR539" s="52"/>
      <c r="DS539" s="52"/>
      <c r="DT539" s="52"/>
      <c r="DU539" s="52"/>
      <c r="DV539" s="52"/>
      <c r="DW539" s="52"/>
    </row>
    <row r="540">
      <c r="A540" s="22" t="s">
        <v>55</v>
      </c>
      <c r="B540" s="23" t="s">
        <v>56</v>
      </c>
      <c r="C540" s="31" t="s">
        <v>1477</v>
      </c>
      <c r="D540" s="25" t="str">
        <f>IFERROR(__xludf.DUMMYFUNCTION("SPLIT(C540,"" "")"),"McBee,")</f>
        <v>McBee,</v>
      </c>
      <c r="E540" s="22" t="str">
        <f>IFERROR(__xludf.DUMMYFUNCTION("""COMPUTED_VALUE"""),"Lynn
1722")</f>
        <v>Lynn
1722</v>
      </c>
      <c r="F540" s="22" t="str">
        <f>IFERROR(__xludf.DUMMYFUNCTION("""COMPUTED_VALUE"""),"Routh")</f>
        <v>Routh</v>
      </c>
      <c r="G540" s="22" t="str">
        <f>IFERROR(__xludf.DUMMYFUNCTION("""COMPUTED_VALUE"""),"St
Dallas,")</f>
        <v>St
Dallas,</v>
      </c>
      <c r="H540" s="22" t="str">
        <f>IFERROR(__xludf.DUMMYFUNCTION("""COMPUTED_VALUE"""),"TX")</f>
        <v>TX</v>
      </c>
      <c r="I540" s="22">
        <f>IFERROR(__xludf.DUMMYFUNCTION("""COMPUTED_VALUE"""),75204.0)</f>
        <v>75204</v>
      </c>
      <c r="J540" s="22"/>
      <c r="K540" s="22"/>
      <c r="L540" s="22"/>
      <c r="M540" s="22"/>
      <c r="N540" s="22"/>
      <c r="O540" s="22"/>
      <c r="P540" s="22"/>
      <c r="Q540" s="22"/>
      <c r="R540" s="22"/>
      <c r="S540" s="22"/>
      <c r="T540" s="22"/>
      <c r="U540" s="24" t="str">
        <f>IFERROR(__xludf.DUMMYFUNCTION("SPLIT(E540,""01234567890"")"),"Lynn
")</f>
        <v>Lynn
</v>
      </c>
      <c r="V540" s="24" t="str">
        <f>IFERROR(__xludf.DUMMYFUNCTION("SPLIT(D540,"","")"),"McBee")</f>
        <v>McBee</v>
      </c>
      <c r="W540" s="25" t="str">
        <f t="shared" si="1"/>
        <v>LYNN
 MCBEE</v>
      </c>
      <c r="X540" s="25" t="s">
        <v>1478</v>
      </c>
      <c r="Y540" s="25">
        <v>75204.0</v>
      </c>
      <c r="Z540" s="25" t="str">
        <f>IFERROR(__xludf.DUMMYFUNCTION("SPLIT(C540,""
"")"),"McBee, Lynn")</f>
        <v>McBee, Lynn</v>
      </c>
      <c r="AA540" s="25" t="str">
        <f>IFERROR(__xludf.DUMMYFUNCTION("""COMPUTED_VALUE"""),"1722 Routh St")</f>
        <v>1722 Routh St</v>
      </c>
      <c r="AB540" s="25" t="str">
        <f>IFERROR(__xludf.DUMMYFUNCTION("""COMPUTED_VALUE"""),"Dallas, TX 75204")</f>
        <v>Dallas, TX 75204</v>
      </c>
      <c r="AC540" s="24" t="s">
        <v>1049</v>
      </c>
      <c r="AD540" s="25"/>
      <c r="AE540" s="25"/>
      <c r="AF540" s="25"/>
      <c r="AG540" s="22" t="s">
        <v>60</v>
      </c>
      <c r="AH540" s="54">
        <v>2448.0</v>
      </c>
      <c r="AI540" s="22" t="s">
        <v>61</v>
      </c>
      <c r="AJ540" s="27">
        <v>100.0</v>
      </c>
      <c r="AK540" s="31" t="s">
        <v>24</v>
      </c>
      <c r="AL540" s="28">
        <v>44703.0</v>
      </c>
      <c r="AM540" s="29">
        <v>44757.44018518519</v>
      </c>
      <c r="AN540" s="30">
        <v>2.0</v>
      </c>
      <c r="AO540" s="22"/>
      <c r="AP540" s="22"/>
      <c r="AQ540" s="22"/>
      <c r="AR540" s="22"/>
      <c r="AS540" s="22"/>
      <c r="AT540" s="70"/>
      <c r="AU540" s="22"/>
      <c r="AV540" s="57" t="str">
        <f>IFERROR(__xludf.DUMMYFUNCTION("""COMPUTED_VALUE"""),"Locke")</f>
        <v>Locke</v>
      </c>
      <c r="AW540" s="46">
        <f t="shared" si="7"/>
        <v>10000</v>
      </c>
      <c r="AX540" s="47">
        <f t="shared" ref="AX540:BQ540" si="1730">SUMIFS($AJ:$AJ,$V:$V,$AV540,$AK:$AK,AX$2)</f>
        <v>0</v>
      </c>
      <c r="AY540" s="48">
        <f t="shared" si="1730"/>
        <v>0</v>
      </c>
      <c r="AZ540" s="48">
        <f t="shared" si="1730"/>
        <v>0</v>
      </c>
      <c r="BA540" s="48">
        <f t="shared" si="1730"/>
        <v>0</v>
      </c>
      <c r="BB540" s="48">
        <f t="shared" si="1730"/>
        <v>10000</v>
      </c>
      <c r="BC540" s="48">
        <f t="shared" si="1730"/>
        <v>0</v>
      </c>
      <c r="BD540" s="48">
        <f t="shared" si="1730"/>
        <v>0</v>
      </c>
      <c r="BE540" s="48">
        <f t="shared" si="1730"/>
        <v>0</v>
      </c>
      <c r="BF540" s="48">
        <f t="shared" si="1730"/>
        <v>0</v>
      </c>
      <c r="BG540" s="48">
        <f t="shared" si="1730"/>
        <v>0</v>
      </c>
      <c r="BH540" s="48">
        <f t="shared" si="1730"/>
        <v>0</v>
      </c>
      <c r="BI540" s="48">
        <f t="shared" si="1730"/>
        <v>0</v>
      </c>
      <c r="BJ540" s="48">
        <f t="shared" si="1730"/>
        <v>0</v>
      </c>
      <c r="BK540" s="48">
        <f t="shared" si="1730"/>
        <v>0</v>
      </c>
      <c r="BL540" s="48">
        <f t="shared" si="1730"/>
        <v>0</v>
      </c>
      <c r="BM540" s="48">
        <f t="shared" si="1730"/>
        <v>0</v>
      </c>
      <c r="BN540" s="48">
        <f t="shared" si="1730"/>
        <v>0</v>
      </c>
      <c r="BO540" s="48">
        <f t="shared" si="1730"/>
        <v>0</v>
      </c>
      <c r="BP540" s="48">
        <f t="shared" si="1730"/>
        <v>0</v>
      </c>
      <c r="BQ540" s="48">
        <f t="shared" si="1730"/>
        <v>0</v>
      </c>
      <c r="BR540" s="36">
        <f t="shared" si="9"/>
        <v>0</v>
      </c>
      <c r="BS540" s="38">
        <f t="shared" si="10"/>
        <v>1</v>
      </c>
      <c r="BT540" s="49">
        <f t="shared" si="11"/>
        <v>0</v>
      </c>
      <c r="BU540" s="38">
        <f t="shared" si="12"/>
        <v>1000</v>
      </c>
      <c r="BV540" s="57" t="str">
        <f>IFERROR(__xludf.DUMMYFUNCTION("""COMPUTED_VALUE"""),"Locke")</f>
        <v>Locke</v>
      </c>
      <c r="BW540" s="46">
        <f t="shared" si="13"/>
        <v>10000</v>
      </c>
      <c r="BX540" s="47">
        <f t="shared" ref="BX540:CA540" si="1731">AX540-$BU540</f>
        <v>-1000</v>
      </c>
      <c r="BY540" s="47">
        <f t="shared" si="1731"/>
        <v>-1000</v>
      </c>
      <c r="BZ540" s="47">
        <f t="shared" si="1731"/>
        <v>-1000</v>
      </c>
      <c r="CA540" s="47">
        <f t="shared" si="1731"/>
        <v>-1000</v>
      </c>
      <c r="CB540" s="47">
        <f t="shared" si="15"/>
        <v>0</v>
      </c>
      <c r="CC540" s="47">
        <f t="shared" ref="CC540:CQ540" si="1732">BC540-$BU540</f>
        <v>-1000</v>
      </c>
      <c r="CD540" s="47">
        <f t="shared" si="1732"/>
        <v>-1000</v>
      </c>
      <c r="CE540" s="47">
        <f t="shared" si="1732"/>
        <v>-1000</v>
      </c>
      <c r="CF540" s="47">
        <f t="shared" si="1732"/>
        <v>-1000</v>
      </c>
      <c r="CG540" s="47">
        <f t="shared" si="1732"/>
        <v>-1000</v>
      </c>
      <c r="CH540" s="47">
        <f t="shared" si="1732"/>
        <v>-1000</v>
      </c>
      <c r="CI540" s="47">
        <f t="shared" si="1732"/>
        <v>-1000</v>
      </c>
      <c r="CJ540" s="47">
        <f t="shared" si="1732"/>
        <v>-1000</v>
      </c>
      <c r="CK540" s="47">
        <f t="shared" si="1732"/>
        <v>-1000</v>
      </c>
      <c r="CL540" s="47">
        <f t="shared" si="1732"/>
        <v>-1000</v>
      </c>
      <c r="CM540" s="47">
        <f t="shared" si="1732"/>
        <v>-1000</v>
      </c>
      <c r="CN540" s="47">
        <f t="shared" si="1732"/>
        <v>-1000</v>
      </c>
      <c r="CO540" s="47">
        <f t="shared" si="1732"/>
        <v>-1000</v>
      </c>
      <c r="CP540" s="47">
        <f t="shared" si="1732"/>
        <v>-1000</v>
      </c>
      <c r="CQ540" s="47">
        <f t="shared" si="1732"/>
        <v>-1000</v>
      </c>
      <c r="CR540" s="47"/>
      <c r="CS540" s="47"/>
      <c r="CT540" s="47"/>
      <c r="CU540" s="50" t="str">
        <f>IFERROR(__xludf.DUMMYFUNCTION("""COMPUTED_VALUE"""),"6604 Northridge
Dallas, TX 75214           ")</f>
        <v>6604 Northridge
Dallas, TX 75214           </v>
      </c>
      <c r="CV540" s="51">
        <f>IFERROR(__xludf.DUMMYFUNCTION("IF(REGEXMATCH(UPPER(CU540), ""TX""),0,1)"),0.0)</f>
        <v>0</v>
      </c>
      <c r="CW540" s="51">
        <f>IFERROR(__xludf.DUMMYFUNCTION("IF(REGEXMATCH(UPPER(CU540), ""DALLAS""),0,1)"),0.0)</f>
        <v>0</v>
      </c>
      <c r="CX540" s="51">
        <f t="shared" si="17"/>
        <v>0</v>
      </c>
      <c r="CY540" s="51">
        <f t="shared" si="18"/>
        <v>0</v>
      </c>
      <c r="CZ540" s="52" t="str">
        <f t="shared" si="19"/>
        <v/>
      </c>
      <c r="DA540" s="58"/>
      <c r="DB540" s="52"/>
      <c r="DC540" s="52"/>
      <c r="DD540" s="52"/>
      <c r="DE540" s="52"/>
      <c r="DF540" s="52"/>
      <c r="DG540" s="52"/>
      <c r="DH540" s="52"/>
      <c r="DI540" s="52"/>
      <c r="DJ540" s="52"/>
      <c r="DK540" s="52"/>
      <c r="DL540" s="52"/>
      <c r="DM540" s="52"/>
      <c r="DN540" s="52"/>
      <c r="DO540" s="52"/>
      <c r="DP540" s="52"/>
      <c r="DQ540" s="52"/>
      <c r="DR540" s="52"/>
      <c r="DS540" s="52"/>
      <c r="DT540" s="52"/>
      <c r="DU540" s="52"/>
      <c r="DV540" s="52"/>
      <c r="DW540" s="52"/>
    </row>
    <row r="541">
      <c r="A541" s="40" t="s">
        <v>55</v>
      </c>
      <c r="B541" s="41" t="s">
        <v>56</v>
      </c>
      <c r="C541" s="31" t="s">
        <v>1479</v>
      </c>
      <c r="D541" s="25" t="str">
        <f>IFERROR(__xludf.DUMMYFUNCTION("SPLIT(C541,"" "")"),"Vandiver,")</f>
        <v>Vandiver,</v>
      </c>
      <c r="E541" s="40" t="str">
        <f>IFERROR(__xludf.DUMMYFUNCTION("""COMPUTED_VALUE"""),"Carol
6705")</f>
        <v>Carol
6705</v>
      </c>
      <c r="F541" s="40" t="str">
        <f>IFERROR(__xludf.DUMMYFUNCTION("""COMPUTED_VALUE"""),"Bob")</f>
        <v>Bob</v>
      </c>
      <c r="G541" s="40" t="str">
        <f>IFERROR(__xludf.DUMMYFUNCTION("""COMPUTED_VALUE"""),"O")</f>
        <v>O</v>
      </c>
      <c r="H541" s="40" t="str">
        <f>IFERROR(__xludf.DUMMYFUNCTION("""COMPUTED_VALUE"""),"Link
Dallas,")</f>
        <v>Link
Dallas,</v>
      </c>
      <c r="I541" s="40" t="str">
        <f>IFERROR(__xludf.DUMMYFUNCTION("""COMPUTED_VALUE"""),"TX")</f>
        <v>TX</v>
      </c>
      <c r="J541" s="40">
        <f>IFERROR(__xludf.DUMMYFUNCTION("""COMPUTED_VALUE"""),75214.0)</f>
        <v>75214</v>
      </c>
      <c r="K541" s="40"/>
      <c r="L541" s="40"/>
      <c r="M541" s="40"/>
      <c r="N541" s="40"/>
      <c r="O541" s="40"/>
      <c r="P541" s="40"/>
      <c r="Q541" s="40"/>
      <c r="R541" s="40"/>
      <c r="S541" s="40"/>
      <c r="T541" s="40"/>
      <c r="U541" s="24" t="str">
        <f>IFERROR(__xludf.DUMMYFUNCTION("SPLIT(E541,""01234567890"")"),"Carol
")</f>
        <v>Carol
</v>
      </c>
      <c r="V541" s="24" t="str">
        <f>IFERROR(__xludf.DUMMYFUNCTION("SPLIT(D541,"","")"),"Vandiver")</f>
        <v>Vandiver</v>
      </c>
      <c r="W541" s="25" t="str">
        <f t="shared" si="1"/>
        <v>CAROL
 VANDIVER</v>
      </c>
      <c r="X541" s="25" t="s">
        <v>1480</v>
      </c>
      <c r="Y541" s="25">
        <v>75214.0</v>
      </c>
      <c r="Z541" s="25" t="str">
        <f>IFERROR(__xludf.DUMMYFUNCTION("SPLIT(C541,""
"")"),"Vandiver, Carol")</f>
        <v>Vandiver, Carol</v>
      </c>
      <c r="AA541" s="25" t="str">
        <f>IFERROR(__xludf.DUMMYFUNCTION("""COMPUTED_VALUE"""),"6705 Bob O Link")</f>
        <v>6705 Bob O Link</v>
      </c>
      <c r="AB541" s="25" t="str">
        <f>IFERROR(__xludf.DUMMYFUNCTION("""COMPUTED_VALUE"""),"Dallas, TX 75214")</f>
        <v>Dallas, TX 75214</v>
      </c>
      <c r="AC541" s="24" t="s">
        <v>1481</v>
      </c>
      <c r="AD541" s="25"/>
      <c r="AE541" s="25"/>
      <c r="AF541" s="25"/>
      <c r="AG541" s="40" t="s">
        <v>60</v>
      </c>
      <c r="AH541" s="42">
        <v>2448.0</v>
      </c>
      <c r="AI541" s="40" t="s">
        <v>61</v>
      </c>
      <c r="AJ541" s="27">
        <v>250.0</v>
      </c>
      <c r="AK541" s="31" t="s">
        <v>24</v>
      </c>
      <c r="AL541" s="43">
        <v>44703.0</v>
      </c>
      <c r="AM541" s="44">
        <v>44757.44018518519</v>
      </c>
      <c r="AN541" s="30">
        <v>2.0</v>
      </c>
      <c r="AO541" s="40"/>
      <c r="AP541" s="40"/>
      <c r="AQ541" s="40"/>
      <c r="AR541" s="40"/>
      <c r="AS541" s="40"/>
      <c r="AT541" s="47"/>
      <c r="AU541" s="40"/>
      <c r="AV541" s="46" t="str">
        <f>IFERROR(__xludf.DUMMYFUNCTION("""COMPUTED_VALUE"""),"Hunton")</f>
        <v>Hunton</v>
      </c>
      <c r="AW541" s="46">
        <f t="shared" si="7"/>
        <v>10000</v>
      </c>
      <c r="AX541" s="47">
        <f t="shared" ref="AX541:BQ541" si="1733">SUMIFS($AJ:$AJ,$V:$V,$AV541,$AK:$AK,AX$2)</f>
        <v>0</v>
      </c>
      <c r="AY541" s="48">
        <f t="shared" si="1733"/>
        <v>0</v>
      </c>
      <c r="AZ541" s="48">
        <f t="shared" si="1733"/>
        <v>0</v>
      </c>
      <c r="BA541" s="48">
        <f t="shared" si="1733"/>
        <v>0</v>
      </c>
      <c r="BB541" s="48">
        <f t="shared" si="1733"/>
        <v>10000</v>
      </c>
      <c r="BC541" s="48">
        <f t="shared" si="1733"/>
        <v>0</v>
      </c>
      <c r="BD541" s="48">
        <f t="shared" si="1733"/>
        <v>0</v>
      </c>
      <c r="BE541" s="48">
        <f t="shared" si="1733"/>
        <v>0</v>
      </c>
      <c r="BF541" s="48">
        <f t="shared" si="1733"/>
        <v>0</v>
      </c>
      <c r="BG541" s="48">
        <f t="shared" si="1733"/>
        <v>0</v>
      </c>
      <c r="BH541" s="48">
        <f t="shared" si="1733"/>
        <v>0</v>
      </c>
      <c r="BI541" s="48">
        <f t="shared" si="1733"/>
        <v>0</v>
      </c>
      <c r="BJ541" s="48">
        <f t="shared" si="1733"/>
        <v>0</v>
      </c>
      <c r="BK541" s="48">
        <f t="shared" si="1733"/>
        <v>0</v>
      </c>
      <c r="BL541" s="48">
        <f t="shared" si="1733"/>
        <v>0</v>
      </c>
      <c r="BM541" s="48">
        <f t="shared" si="1733"/>
        <v>0</v>
      </c>
      <c r="BN541" s="48">
        <f t="shared" si="1733"/>
        <v>0</v>
      </c>
      <c r="BO541" s="48">
        <f t="shared" si="1733"/>
        <v>0</v>
      </c>
      <c r="BP541" s="48">
        <f t="shared" si="1733"/>
        <v>0</v>
      </c>
      <c r="BQ541" s="48">
        <f t="shared" si="1733"/>
        <v>0</v>
      </c>
      <c r="BR541" s="36">
        <f t="shared" si="9"/>
        <v>0</v>
      </c>
      <c r="BS541" s="38">
        <f t="shared" si="10"/>
        <v>1</v>
      </c>
      <c r="BT541" s="49">
        <f t="shared" si="11"/>
        <v>0</v>
      </c>
      <c r="BU541" s="38">
        <f t="shared" si="12"/>
        <v>1000</v>
      </c>
      <c r="BV541" s="46" t="str">
        <f>IFERROR(__xludf.DUMMYFUNCTION("""COMPUTED_VALUE"""),"Hunton")</f>
        <v>Hunton</v>
      </c>
      <c r="BW541" s="46">
        <f t="shared" si="13"/>
        <v>10000</v>
      </c>
      <c r="BX541" s="47">
        <f t="shared" ref="BX541:CA541" si="1734">AX541-$BU541</f>
        <v>-1000</v>
      </c>
      <c r="BY541" s="47">
        <f t="shared" si="1734"/>
        <v>-1000</v>
      </c>
      <c r="BZ541" s="47">
        <f t="shared" si="1734"/>
        <v>-1000</v>
      </c>
      <c r="CA541" s="47">
        <f t="shared" si="1734"/>
        <v>-1000</v>
      </c>
      <c r="CB541" s="47">
        <f t="shared" si="15"/>
        <v>0</v>
      </c>
      <c r="CC541" s="47">
        <f t="shared" ref="CC541:CQ541" si="1735">BC541-$BU541</f>
        <v>-1000</v>
      </c>
      <c r="CD541" s="47">
        <f t="shared" si="1735"/>
        <v>-1000</v>
      </c>
      <c r="CE541" s="47">
        <f t="shared" si="1735"/>
        <v>-1000</v>
      </c>
      <c r="CF541" s="47">
        <f t="shared" si="1735"/>
        <v>-1000</v>
      </c>
      <c r="CG541" s="47">
        <f t="shared" si="1735"/>
        <v>-1000</v>
      </c>
      <c r="CH541" s="47">
        <f t="shared" si="1735"/>
        <v>-1000</v>
      </c>
      <c r="CI541" s="47">
        <f t="shared" si="1735"/>
        <v>-1000</v>
      </c>
      <c r="CJ541" s="47">
        <f t="shared" si="1735"/>
        <v>-1000</v>
      </c>
      <c r="CK541" s="47">
        <f t="shared" si="1735"/>
        <v>-1000</v>
      </c>
      <c r="CL541" s="47">
        <f t="shared" si="1735"/>
        <v>-1000</v>
      </c>
      <c r="CM541" s="47">
        <f t="shared" si="1735"/>
        <v>-1000</v>
      </c>
      <c r="CN541" s="47">
        <f t="shared" si="1735"/>
        <v>-1000</v>
      </c>
      <c r="CO541" s="47">
        <f t="shared" si="1735"/>
        <v>-1000</v>
      </c>
      <c r="CP541" s="47">
        <f t="shared" si="1735"/>
        <v>-1000</v>
      </c>
      <c r="CQ541" s="47">
        <f t="shared" si="1735"/>
        <v>-1000</v>
      </c>
      <c r="CR541" s="47"/>
      <c r="CS541" s="47"/>
      <c r="CT541" s="47"/>
      <c r="CU541" s="50" t="str">
        <f>IFERROR(__xludf.DUMMYFUNCTION("""COMPUTED_VALUE"""),"8335 San Fernando Way
Dallas, TX 75218         ")</f>
        <v>8335 San Fernando Way
Dallas, TX 75218         </v>
      </c>
      <c r="CV541" s="51">
        <f>IFERROR(__xludf.DUMMYFUNCTION("IF(REGEXMATCH(UPPER(CU541), ""TX""),0,1)"),0.0)</f>
        <v>0</v>
      </c>
      <c r="CW541" s="51">
        <f>IFERROR(__xludf.DUMMYFUNCTION("IF(REGEXMATCH(UPPER(CU541), ""DALLAS""),0,1)"),0.0)</f>
        <v>0</v>
      </c>
      <c r="CX541" s="51">
        <f t="shared" si="17"/>
        <v>0</v>
      </c>
      <c r="CY541" s="51">
        <f t="shared" si="18"/>
        <v>0</v>
      </c>
      <c r="CZ541" s="52" t="str">
        <f t="shared" si="19"/>
        <v/>
      </c>
      <c r="DA541" s="58"/>
      <c r="DB541" s="52"/>
      <c r="DC541" s="52"/>
      <c r="DD541" s="52"/>
      <c r="DE541" s="52"/>
      <c r="DF541" s="52"/>
      <c r="DG541" s="52"/>
      <c r="DH541" s="52"/>
      <c r="DI541" s="52"/>
      <c r="DJ541" s="52"/>
      <c r="DK541" s="52"/>
      <c r="DL541" s="52"/>
      <c r="DM541" s="52"/>
      <c r="DN541" s="52"/>
      <c r="DO541" s="52"/>
      <c r="DP541" s="52"/>
      <c r="DQ541" s="52"/>
      <c r="DR541" s="52"/>
      <c r="DS541" s="52"/>
      <c r="DT541" s="52"/>
      <c r="DU541" s="52"/>
      <c r="DV541" s="52"/>
      <c r="DW541" s="52"/>
    </row>
    <row r="542">
      <c r="A542" s="22" t="s">
        <v>55</v>
      </c>
      <c r="B542" s="23" t="s">
        <v>56</v>
      </c>
      <c r="C542" s="31" t="s">
        <v>1482</v>
      </c>
      <c r="D542" s="25" t="str">
        <f>IFERROR(__xludf.DUMMYFUNCTION("SPLIT(C542,"" "")"),"Ellis,")</f>
        <v>Ellis,</v>
      </c>
      <c r="E542" s="22" t="str">
        <f>IFERROR(__xludf.DUMMYFUNCTION("""COMPUTED_VALUE"""),"Tom
6872")</f>
        <v>Tom
6872</v>
      </c>
      <c r="F542" s="22" t="str">
        <f>IFERROR(__xludf.DUMMYFUNCTION("""COMPUTED_VALUE"""),"Burwood
Dallas,")</f>
        <v>Burwood
Dallas,</v>
      </c>
      <c r="G542" s="22" t="str">
        <f>IFERROR(__xludf.DUMMYFUNCTION("""COMPUTED_VALUE"""),"TX")</f>
        <v>TX</v>
      </c>
      <c r="H542" s="22">
        <f>IFERROR(__xludf.DUMMYFUNCTION("""COMPUTED_VALUE"""),75214.0)</f>
        <v>75214</v>
      </c>
      <c r="I542" s="22"/>
      <c r="J542" s="22"/>
      <c r="K542" s="22"/>
      <c r="L542" s="22"/>
      <c r="M542" s="22"/>
      <c r="N542" s="22"/>
      <c r="O542" s="22"/>
      <c r="P542" s="22"/>
      <c r="Q542" s="22"/>
      <c r="R542" s="22"/>
      <c r="S542" s="22"/>
      <c r="T542" s="22"/>
      <c r="U542" s="24" t="str">
        <f>IFERROR(__xludf.DUMMYFUNCTION("SPLIT(E542,""01234567890"")"),"Tom
")</f>
        <v>Tom
</v>
      </c>
      <c r="V542" s="24" t="str">
        <f>IFERROR(__xludf.DUMMYFUNCTION("SPLIT(D542,"","")"),"Ellis")</f>
        <v>Ellis</v>
      </c>
      <c r="W542" s="25" t="str">
        <f t="shared" si="1"/>
        <v>TOM
 ELLIS</v>
      </c>
      <c r="X542" s="25" t="s">
        <v>1483</v>
      </c>
      <c r="Y542" s="25">
        <v>75214.0</v>
      </c>
      <c r="Z542" s="25" t="str">
        <f>IFERROR(__xludf.DUMMYFUNCTION("SPLIT(C542,""
"")"),"Ellis, Tom")</f>
        <v>Ellis, Tom</v>
      </c>
      <c r="AA542" s="25" t="str">
        <f>IFERROR(__xludf.DUMMYFUNCTION("""COMPUTED_VALUE"""),"6872 Burwood")</f>
        <v>6872 Burwood</v>
      </c>
      <c r="AB542" s="25" t="str">
        <f>IFERROR(__xludf.DUMMYFUNCTION("""COMPUTED_VALUE"""),"Dallas, TX 75214")</f>
        <v>Dallas, TX 75214</v>
      </c>
      <c r="AC542" s="24" t="s">
        <v>1347</v>
      </c>
      <c r="AD542" s="25"/>
      <c r="AE542" s="25"/>
      <c r="AF542" s="25"/>
      <c r="AG542" s="22" t="s">
        <v>60</v>
      </c>
      <c r="AH542" s="54">
        <v>2448.0</v>
      </c>
      <c r="AI542" s="22" t="s">
        <v>61</v>
      </c>
      <c r="AJ542" s="27">
        <v>50.0</v>
      </c>
      <c r="AK542" s="31" t="s">
        <v>24</v>
      </c>
      <c r="AL542" s="28">
        <v>44705.0</v>
      </c>
      <c r="AM542" s="29">
        <v>44757.44018518519</v>
      </c>
      <c r="AN542" s="30">
        <v>2.0</v>
      </c>
      <c r="AO542" s="22"/>
      <c r="AP542" s="22"/>
      <c r="AQ542" s="22"/>
      <c r="AR542" s="22"/>
      <c r="AS542" s="22"/>
      <c r="AT542" s="70"/>
      <c r="AU542" s="22"/>
      <c r="AV542" s="57" t="str">
        <f>IFERROR(__xludf.DUMMYFUNCTION("""COMPUTED_VALUE"""),"Madden")</f>
        <v>Madden</v>
      </c>
      <c r="AW542" s="46">
        <f t="shared" si="7"/>
        <v>350</v>
      </c>
      <c r="AX542" s="47">
        <f t="shared" ref="AX542:BQ542" si="1736">SUMIFS($AJ:$AJ,$V:$V,$AV542,$AK:$AK,AX$2)</f>
        <v>0</v>
      </c>
      <c r="AY542" s="48">
        <f t="shared" si="1736"/>
        <v>0</v>
      </c>
      <c r="AZ542" s="48">
        <f t="shared" si="1736"/>
        <v>0</v>
      </c>
      <c r="BA542" s="48">
        <f t="shared" si="1736"/>
        <v>0</v>
      </c>
      <c r="BB542" s="48">
        <f t="shared" si="1736"/>
        <v>350</v>
      </c>
      <c r="BC542" s="48">
        <f t="shared" si="1736"/>
        <v>0</v>
      </c>
      <c r="BD542" s="48">
        <f t="shared" si="1736"/>
        <v>0</v>
      </c>
      <c r="BE542" s="48">
        <f t="shared" si="1736"/>
        <v>0</v>
      </c>
      <c r="BF542" s="48">
        <f t="shared" si="1736"/>
        <v>0</v>
      </c>
      <c r="BG542" s="48">
        <f t="shared" si="1736"/>
        <v>0</v>
      </c>
      <c r="BH542" s="48">
        <f t="shared" si="1736"/>
        <v>0</v>
      </c>
      <c r="BI542" s="48">
        <f t="shared" si="1736"/>
        <v>0</v>
      </c>
      <c r="BJ542" s="48">
        <f t="shared" si="1736"/>
        <v>0</v>
      </c>
      <c r="BK542" s="48">
        <f t="shared" si="1736"/>
        <v>0</v>
      </c>
      <c r="BL542" s="48">
        <f t="shared" si="1736"/>
        <v>0</v>
      </c>
      <c r="BM542" s="48">
        <f t="shared" si="1736"/>
        <v>0</v>
      </c>
      <c r="BN542" s="48">
        <f t="shared" si="1736"/>
        <v>0</v>
      </c>
      <c r="BO542" s="48">
        <f t="shared" si="1736"/>
        <v>0</v>
      </c>
      <c r="BP542" s="48">
        <f t="shared" si="1736"/>
        <v>0</v>
      </c>
      <c r="BQ542" s="48">
        <f t="shared" si="1736"/>
        <v>0</v>
      </c>
      <c r="BR542" s="36">
        <f t="shared" si="9"/>
        <v>0</v>
      </c>
      <c r="BS542" s="38">
        <f t="shared" si="10"/>
        <v>1</v>
      </c>
      <c r="BT542" s="49">
        <f t="shared" si="11"/>
        <v>0</v>
      </c>
      <c r="BU542" s="38">
        <f t="shared" si="12"/>
        <v>1000</v>
      </c>
      <c r="BV542" s="57" t="str">
        <f>IFERROR(__xludf.DUMMYFUNCTION("""COMPUTED_VALUE"""),"Madden")</f>
        <v>Madden</v>
      </c>
      <c r="BW542" s="46">
        <f t="shared" si="13"/>
        <v>350</v>
      </c>
      <c r="BX542" s="47">
        <f t="shared" ref="BX542:CA542" si="1737">AX542-$BU542</f>
        <v>-1000</v>
      </c>
      <c r="BY542" s="47">
        <f t="shared" si="1737"/>
        <v>-1000</v>
      </c>
      <c r="BZ542" s="47">
        <f t="shared" si="1737"/>
        <v>-1000</v>
      </c>
      <c r="CA542" s="47">
        <f t="shared" si="1737"/>
        <v>-1000</v>
      </c>
      <c r="CB542" s="47">
        <f t="shared" si="15"/>
        <v>-9650</v>
      </c>
      <c r="CC542" s="47">
        <f t="shared" ref="CC542:CQ542" si="1738">BC542-$BU542</f>
        <v>-1000</v>
      </c>
      <c r="CD542" s="47">
        <f t="shared" si="1738"/>
        <v>-1000</v>
      </c>
      <c r="CE542" s="47">
        <f t="shared" si="1738"/>
        <v>-1000</v>
      </c>
      <c r="CF542" s="47">
        <f t="shared" si="1738"/>
        <v>-1000</v>
      </c>
      <c r="CG542" s="47">
        <f t="shared" si="1738"/>
        <v>-1000</v>
      </c>
      <c r="CH542" s="47">
        <f t="shared" si="1738"/>
        <v>-1000</v>
      </c>
      <c r="CI542" s="47">
        <f t="shared" si="1738"/>
        <v>-1000</v>
      </c>
      <c r="CJ542" s="47">
        <f t="shared" si="1738"/>
        <v>-1000</v>
      </c>
      <c r="CK542" s="47">
        <f t="shared" si="1738"/>
        <v>-1000</v>
      </c>
      <c r="CL542" s="47">
        <f t="shared" si="1738"/>
        <v>-1000</v>
      </c>
      <c r="CM542" s="47">
        <f t="shared" si="1738"/>
        <v>-1000</v>
      </c>
      <c r="CN542" s="47">
        <f t="shared" si="1738"/>
        <v>-1000</v>
      </c>
      <c r="CO542" s="47">
        <f t="shared" si="1738"/>
        <v>-1000</v>
      </c>
      <c r="CP542" s="47">
        <f t="shared" si="1738"/>
        <v>-1000</v>
      </c>
      <c r="CQ542" s="47">
        <f t="shared" si="1738"/>
        <v>-1000</v>
      </c>
      <c r="CR542" s="47"/>
      <c r="CS542" s="47"/>
      <c r="CT542" s="47"/>
      <c r="CU542" s="50" t="str">
        <f>IFERROR(__xludf.DUMMYFUNCTION("""COMPUTED_VALUE"""),"7712 Southwestern Blvd
Dallas, TX 75225          ")</f>
        <v>7712 Southwestern Blvd
Dallas, TX 75225          </v>
      </c>
      <c r="CV542" s="51">
        <f>IFERROR(__xludf.DUMMYFUNCTION("IF(REGEXMATCH(UPPER(CU542), ""TX""),0,1)"),0.0)</f>
        <v>0</v>
      </c>
      <c r="CW542" s="51">
        <f>IFERROR(__xludf.DUMMYFUNCTION("IF(REGEXMATCH(UPPER(CU542), ""DALLAS""),0,1)"),0.0)</f>
        <v>0</v>
      </c>
      <c r="CX542" s="51">
        <f t="shared" si="17"/>
        <v>0</v>
      </c>
      <c r="CY542" s="51">
        <f t="shared" si="18"/>
        <v>0</v>
      </c>
      <c r="CZ542" s="52" t="str">
        <f t="shared" si="19"/>
        <v/>
      </c>
      <c r="DA542" s="58"/>
      <c r="DB542" s="52"/>
      <c r="DC542" s="52"/>
      <c r="DD542" s="52"/>
      <c r="DE542" s="52"/>
      <c r="DF542" s="52"/>
      <c r="DG542" s="52"/>
      <c r="DH542" s="52"/>
      <c r="DI542" s="52"/>
      <c r="DJ542" s="52"/>
      <c r="DK542" s="52"/>
      <c r="DL542" s="52"/>
      <c r="DM542" s="52"/>
      <c r="DN542" s="52"/>
      <c r="DO542" s="52"/>
      <c r="DP542" s="52"/>
      <c r="DQ542" s="52"/>
      <c r="DR542" s="52"/>
      <c r="DS542" s="52"/>
      <c r="DT542" s="52"/>
      <c r="DU542" s="52"/>
      <c r="DV542" s="52"/>
      <c r="DW542" s="52"/>
    </row>
    <row r="543">
      <c r="A543" s="40" t="s">
        <v>55</v>
      </c>
      <c r="B543" s="41" t="s">
        <v>56</v>
      </c>
      <c r="C543" s="31" t="s">
        <v>1484</v>
      </c>
      <c r="D543" s="25" t="str">
        <f>IFERROR(__xludf.DUMMYFUNCTION("SPLIT(C543,"" "")"),"Forester,")</f>
        <v>Forester,</v>
      </c>
      <c r="E543" s="40" t="str">
        <f>IFERROR(__xludf.DUMMYFUNCTION("""COMPUTED_VALUE"""),"Jay
6465")</f>
        <v>Jay
6465</v>
      </c>
      <c r="F543" s="40" t="str">
        <f>IFERROR(__xludf.DUMMYFUNCTION("""COMPUTED_VALUE"""),"Ravendale
Dallas,")</f>
        <v>Ravendale
Dallas,</v>
      </c>
      <c r="G543" s="40" t="str">
        <f>IFERROR(__xludf.DUMMYFUNCTION("""COMPUTED_VALUE"""),"TX")</f>
        <v>TX</v>
      </c>
      <c r="H543" s="40">
        <f>IFERROR(__xludf.DUMMYFUNCTION("""COMPUTED_VALUE"""),75214.0)</f>
        <v>75214</v>
      </c>
      <c r="I543" s="40"/>
      <c r="J543" s="40"/>
      <c r="K543" s="40"/>
      <c r="L543" s="40"/>
      <c r="M543" s="40"/>
      <c r="N543" s="40"/>
      <c r="O543" s="40"/>
      <c r="P543" s="40"/>
      <c r="Q543" s="40"/>
      <c r="R543" s="40"/>
      <c r="S543" s="40"/>
      <c r="T543" s="40"/>
      <c r="U543" s="24" t="str">
        <f>IFERROR(__xludf.DUMMYFUNCTION("SPLIT(E543,""01234567890"")"),"Jay
")</f>
        <v>Jay
</v>
      </c>
      <c r="V543" s="24" t="str">
        <f>IFERROR(__xludf.DUMMYFUNCTION("SPLIT(D543,"","")"),"Forester")</f>
        <v>Forester</v>
      </c>
      <c r="W543" s="25" t="str">
        <f t="shared" si="1"/>
        <v>JAY
 FORESTER</v>
      </c>
      <c r="X543" s="25" t="s">
        <v>1485</v>
      </c>
      <c r="Y543" s="25">
        <v>75214.0</v>
      </c>
      <c r="Z543" s="25" t="str">
        <f>IFERROR(__xludf.DUMMYFUNCTION("SPLIT(C543,""
"")"),"Forester, Jay")</f>
        <v>Forester, Jay</v>
      </c>
      <c r="AA543" s="25" t="str">
        <f>IFERROR(__xludf.DUMMYFUNCTION("""COMPUTED_VALUE"""),"6465 Ravendale")</f>
        <v>6465 Ravendale</v>
      </c>
      <c r="AB543" s="25" t="str">
        <f>IFERROR(__xludf.DUMMYFUNCTION("""COMPUTED_VALUE"""),"Dallas, TX 75214")</f>
        <v>Dallas, TX 75214</v>
      </c>
      <c r="AC543" s="24" t="s">
        <v>1486</v>
      </c>
      <c r="AD543" s="25"/>
      <c r="AE543" s="25"/>
      <c r="AF543" s="25"/>
      <c r="AG543" s="40" t="s">
        <v>60</v>
      </c>
      <c r="AH543" s="42">
        <v>2448.0</v>
      </c>
      <c r="AI543" s="40" t="s">
        <v>61</v>
      </c>
      <c r="AJ543" s="27">
        <v>100.0</v>
      </c>
      <c r="AK543" s="31" t="s">
        <v>24</v>
      </c>
      <c r="AL543" s="43">
        <v>44705.0</v>
      </c>
      <c r="AM543" s="44">
        <v>44757.44018518519</v>
      </c>
      <c r="AN543" s="30">
        <v>2.0</v>
      </c>
      <c r="AO543" s="40"/>
      <c r="AP543" s="40"/>
      <c r="AQ543" s="40"/>
      <c r="AR543" s="40"/>
      <c r="AS543" s="40"/>
      <c r="AT543" s="47"/>
      <c r="AU543" s="40"/>
      <c r="AV543" s="46" t="str">
        <f>IFERROR(__xludf.DUMMYFUNCTION("""COMPUTED_VALUE"""),"Mani")</f>
        <v>Mani</v>
      </c>
      <c r="AW543" s="46">
        <f t="shared" si="7"/>
        <v>4000</v>
      </c>
      <c r="AX543" s="47">
        <f t="shared" ref="AX543:BQ543" si="1739">SUMIFS($AJ:$AJ,$V:$V,$AV543,$AK:$AK,AX$2)</f>
        <v>0</v>
      </c>
      <c r="AY543" s="48">
        <f t="shared" si="1739"/>
        <v>0</v>
      </c>
      <c r="AZ543" s="48">
        <f t="shared" si="1739"/>
        <v>0</v>
      </c>
      <c r="BA543" s="48">
        <f t="shared" si="1739"/>
        <v>0</v>
      </c>
      <c r="BB543" s="48">
        <f t="shared" si="1739"/>
        <v>4000</v>
      </c>
      <c r="BC543" s="48">
        <f t="shared" si="1739"/>
        <v>0</v>
      </c>
      <c r="BD543" s="48">
        <f t="shared" si="1739"/>
        <v>0</v>
      </c>
      <c r="BE543" s="48">
        <f t="shared" si="1739"/>
        <v>0</v>
      </c>
      <c r="BF543" s="48">
        <f t="shared" si="1739"/>
        <v>0</v>
      </c>
      <c r="BG543" s="48">
        <f t="shared" si="1739"/>
        <v>0</v>
      </c>
      <c r="BH543" s="48">
        <f t="shared" si="1739"/>
        <v>0</v>
      </c>
      <c r="BI543" s="48">
        <f t="shared" si="1739"/>
        <v>0</v>
      </c>
      <c r="BJ543" s="48">
        <f t="shared" si="1739"/>
        <v>0</v>
      </c>
      <c r="BK543" s="48">
        <f t="shared" si="1739"/>
        <v>0</v>
      </c>
      <c r="BL543" s="48">
        <f t="shared" si="1739"/>
        <v>0</v>
      </c>
      <c r="BM543" s="48">
        <f t="shared" si="1739"/>
        <v>0</v>
      </c>
      <c r="BN543" s="48">
        <f t="shared" si="1739"/>
        <v>0</v>
      </c>
      <c r="BO543" s="48">
        <f t="shared" si="1739"/>
        <v>0</v>
      </c>
      <c r="BP543" s="48">
        <f t="shared" si="1739"/>
        <v>0</v>
      </c>
      <c r="BQ543" s="48">
        <f t="shared" si="1739"/>
        <v>0</v>
      </c>
      <c r="BR543" s="36">
        <f t="shared" si="9"/>
        <v>0</v>
      </c>
      <c r="BS543" s="38">
        <f t="shared" si="10"/>
        <v>1</v>
      </c>
      <c r="BT543" s="49">
        <f t="shared" si="11"/>
        <v>0</v>
      </c>
      <c r="BU543" s="38">
        <f t="shared" si="12"/>
        <v>1000</v>
      </c>
      <c r="BV543" s="46" t="str">
        <f>IFERROR(__xludf.DUMMYFUNCTION("""COMPUTED_VALUE"""),"Mani")</f>
        <v>Mani</v>
      </c>
      <c r="BW543" s="46">
        <f t="shared" si="13"/>
        <v>4000</v>
      </c>
      <c r="BX543" s="47">
        <f t="shared" ref="BX543:CA543" si="1740">AX543-$BU543</f>
        <v>-1000</v>
      </c>
      <c r="BY543" s="47">
        <f t="shared" si="1740"/>
        <v>-1000</v>
      </c>
      <c r="BZ543" s="47">
        <f t="shared" si="1740"/>
        <v>-1000</v>
      </c>
      <c r="CA543" s="47">
        <f t="shared" si="1740"/>
        <v>-1000</v>
      </c>
      <c r="CB543" s="47">
        <f t="shared" si="15"/>
        <v>-6000</v>
      </c>
      <c r="CC543" s="47">
        <f t="shared" ref="CC543:CQ543" si="1741">BC543-$BU543</f>
        <v>-1000</v>
      </c>
      <c r="CD543" s="47">
        <f t="shared" si="1741"/>
        <v>-1000</v>
      </c>
      <c r="CE543" s="47">
        <f t="shared" si="1741"/>
        <v>-1000</v>
      </c>
      <c r="CF543" s="47">
        <f t="shared" si="1741"/>
        <v>-1000</v>
      </c>
      <c r="CG543" s="47">
        <f t="shared" si="1741"/>
        <v>-1000</v>
      </c>
      <c r="CH543" s="47">
        <f t="shared" si="1741"/>
        <v>-1000</v>
      </c>
      <c r="CI543" s="47">
        <f t="shared" si="1741"/>
        <v>-1000</v>
      </c>
      <c r="CJ543" s="47">
        <f t="shared" si="1741"/>
        <v>-1000</v>
      </c>
      <c r="CK543" s="47">
        <f t="shared" si="1741"/>
        <v>-1000</v>
      </c>
      <c r="CL543" s="47">
        <f t="shared" si="1741"/>
        <v>-1000</v>
      </c>
      <c r="CM543" s="47">
        <f t="shared" si="1741"/>
        <v>-1000</v>
      </c>
      <c r="CN543" s="47">
        <f t="shared" si="1741"/>
        <v>-1000</v>
      </c>
      <c r="CO543" s="47">
        <f t="shared" si="1741"/>
        <v>-1000</v>
      </c>
      <c r="CP543" s="47">
        <f t="shared" si="1741"/>
        <v>-1000</v>
      </c>
      <c r="CQ543" s="47">
        <f t="shared" si="1741"/>
        <v>-1000</v>
      </c>
      <c r="CR543" s="47"/>
      <c r="CS543" s="47"/>
      <c r="CT543" s="47"/>
      <c r="CU543" s="50" t="str">
        <f>IFERROR(__xludf.DUMMYFUNCTION("""COMPUTED_VALUE"""),"6232 Highgate Ln
Dallas, TX 75214          ")</f>
        <v>6232 Highgate Ln
Dallas, TX 75214          </v>
      </c>
      <c r="CV543" s="51">
        <f>IFERROR(__xludf.DUMMYFUNCTION("IF(REGEXMATCH(UPPER(CU543), ""TX""),0,1)"),0.0)</f>
        <v>0</v>
      </c>
      <c r="CW543" s="51">
        <f>IFERROR(__xludf.DUMMYFUNCTION("IF(REGEXMATCH(UPPER(CU543), ""DALLAS""),0,1)"),0.0)</f>
        <v>0</v>
      </c>
      <c r="CX543" s="51">
        <f t="shared" si="17"/>
        <v>0</v>
      </c>
      <c r="CY543" s="51">
        <f t="shared" si="18"/>
        <v>0</v>
      </c>
      <c r="CZ543" s="52" t="str">
        <f t="shared" si="19"/>
        <v/>
      </c>
      <c r="DA543" s="58"/>
      <c r="DB543" s="52"/>
      <c r="DC543" s="52"/>
      <c r="DD543" s="52"/>
      <c r="DE543" s="52"/>
      <c r="DF543" s="52"/>
      <c r="DG543" s="52"/>
      <c r="DH543" s="52"/>
      <c r="DI543" s="52"/>
      <c r="DJ543" s="52"/>
      <c r="DK543" s="52"/>
      <c r="DL543" s="52"/>
      <c r="DM543" s="52"/>
      <c r="DN543" s="52"/>
      <c r="DO543" s="52"/>
      <c r="DP543" s="52"/>
      <c r="DQ543" s="52"/>
      <c r="DR543" s="52"/>
      <c r="DS543" s="52"/>
      <c r="DT543" s="52"/>
      <c r="DU543" s="52"/>
      <c r="DV543" s="52"/>
      <c r="DW543" s="52"/>
    </row>
    <row r="544">
      <c r="A544" s="22" t="s">
        <v>55</v>
      </c>
      <c r="B544" s="23" t="s">
        <v>56</v>
      </c>
      <c r="C544" s="31" t="s">
        <v>1143</v>
      </c>
      <c r="D544" s="25" t="str">
        <f>IFERROR(__xludf.DUMMYFUNCTION("SPLIT(C544,"" "")"),"Margolin,")</f>
        <v>Margolin,</v>
      </c>
      <c r="E544" s="22" t="str">
        <f>IFERROR(__xludf.DUMMYFUNCTION("""COMPUTED_VALUE"""),"Ann
2828")</f>
        <v>Ann
2828</v>
      </c>
      <c r="F544" s="22" t="str">
        <f>IFERROR(__xludf.DUMMYFUNCTION("""COMPUTED_VALUE"""),"Hood")</f>
        <v>Hood</v>
      </c>
      <c r="G544" s="22" t="str">
        <f>IFERROR(__xludf.DUMMYFUNCTION("""COMPUTED_VALUE"""),"Street
Dallas,")</f>
        <v>Street
Dallas,</v>
      </c>
      <c r="H544" s="22" t="str">
        <f>IFERROR(__xludf.DUMMYFUNCTION("""COMPUTED_VALUE"""),"TX")</f>
        <v>TX</v>
      </c>
      <c r="I544" s="22">
        <f>IFERROR(__xludf.DUMMYFUNCTION("""COMPUTED_VALUE"""),75219.0)</f>
        <v>75219</v>
      </c>
      <c r="J544" s="22"/>
      <c r="K544" s="22"/>
      <c r="L544" s="22"/>
      <c r="M544" s="22"/>
      <c r="N544" s="22"/>
      <c r="O544" s="22"/>
      <c r="P544" s="22"/>
      <c r="Q544" s="22"/>
      <c r="R544" s="22"/>
      <c r="S544" s="22"/>
      <c r="T544" s="22"/>
      <c r="U544" s="24" t="str">
        <f>IFERROR(__xludf.DUMMYFUNCTION("SPLIT(E544,""01234567890"")"),"Ann
")</f>
        <v>Ann
</v>
      </c>
      <c r="V544" s="24" t="str">
        <f>IFERROR(__xludf.DUMMYFUNCTION("SPLIT(D544,"","")"),"Margolin")</f>
        <v>Margolin</v>
      </c>
      <c r="W544" s="25" t="str">
        <f t="shared" si="1"/>
        <v>ANN
 MARGOLIN</v>
      </c>
      <c r="X544" s="25" t="s">
        <v>1144</v>
      </c>
      <c r="Y544" s="25">
        <v>75219.0</v>
      </c>
      <c r="Z544" s="25" t="str">
        <f>IFERROR(__xludf.DUMMYFUNCTION("SPLIT(C544,""
"")"),"Margolin, Ann")</f>
        <v>Margolin, Ann</v>
      </c>
      <c r="AA544" s="25" t="str">
        <f>IFERROR(__xludf.DUMMYFUNCTION("""COMPUTED_VALUE"""),"2828 Hood Street")</f>
        <v>2828 Hood Street</v>
      </c>
      <c r="AB544" s="25" t="str">
        <f>IFERROR(__xludf.DUMMYFUNCTION("""COMPUTED_VALUE"""),"Dallas, TX 75219")</f>
        <v>Dallas, TX 75219</v>
      </c>
      <c r="AC544" s="24" t="s">
        <v>1145</v>
      </c>
      <c r="AD544" s="25"/>
      <c r="AE544" s="25"/>
      <c r="AF544" s="25"/>
      <c r="AG544" s="22" t="s">
        <v>60</v>
      </c>
      <c r="AH544" s="54">
        <v>2448.0</v>
      </c>
      <c r="AI544" s="22" t="s">
        <v>61</v>
      </c>
      <c r="AJ544" s="27">
        <v>250.0</v>
      </c>
      <c r="AK544" s="31" t="s">
        <v>24</v>
      </c>
      <c r="AL544" s="28">
        <v>44705.0</v>
      </c>
      <c r="AM544" s="29">
        <v>44757.44018518519</v>
      </c>
      <c r="AN544" s="30">
        <v>2.0</v>
      </c>
      <c r="AO544" s="22"/>
      <c r="AP544" s="22"/>
      <c r="AQ544" s="22"/>
      <c r="AR544" s="22"/>
      <c r="AS544" s="22"/>
      <c r="AT544" s="70"/>
      <c r="AU544" s="22"/>
      <c r="AV544" s="57" t="str">
        <f>IFERROR(__xludf.DUMMYFUNCTION("""COMPUTED_VALUE"""),"Jakes")</f>
        <v>Jakes</v>
      </c>
      <c r="AW544" s="46">
        <f t="shared" si="7"/>
        <v>10000</v>
      </c>
      <c r="AX544" s="47">
        <f t="shared" ref="AX544:BQ544" si="1742">SUMIFS($AJ:$AJ,$V:$V,$AV544,$AK:$AK,AX$2)</f>
        <v>0</v>
      </c>
      <c r="AY544" s="48">
        <f t="shared" si="1742"/>
        <v>0</v>
      </c>
      <c r="AZ544" s="48">
        <f t="shared" si="1742"/>
        <v>0</v>
      </c>
      <c r="BA544" s="48">
        <f t="shared" si="1742"/>
        <v>0</v>
      </c>
      <c r="BB544" s="48">
        <f t="shared" si="1742"/>
        <v>10000</v>
      </c>
      <c r="BC544" s="48">
        <f t="shared" si="1742"/>
        <v>0</v>
      </c>
      <c r="BD544" s="48">
        <f t="shared" si="1742"/>
        <v>0</v>
      </c>
      <c r="BE544" s="48">
        <f t="shared" si="1742"/>
        <v>0</v>
      </c>
      <c r="BF544" s="48">
        <f t="shared" si="1742"/>
        <v>0</v>
      </c>
      <c r="BG544" s="48">
        <f t="shared" si="1742"/>
        <v>0</v>
      </c>
      <c r="BH544" s="48">
        <f t="shared" si="1742"/>
        <v>0</v>
      </c>
      <c r="BI544" s="48">
        <f t="shared" si="1742"/>
        <v>0</v>
      </c>
      <c r="BJ544" s="48">
        <f t="shared" si="1742"/>
        <v>0</v>
      </c>
      <c r="BK544" s="48">
        <f t="shared" si="1742"/>
        <v>0</v>
      </c>
      <c r="BL544" s="48">
        <f t="shared" si="1742"/>
        <v>0</v>
      </c>
      <c r="BM544" s="48">
        <f t="shared" si="1742"/>
        <v>0</v>
      </c>
      <c r="BN544" s="48">
        <f t="shared" si="1742"/>
        <v>0</v>
      </c>
      <c r="BO544" s="48">
        <f t="shared" si="1742"/>
        <v>0</v>
      </c>
      <c r="BP544" s="48">
        <f t="shared" si="1742"/>
        <v>0</v>
      </c>
      <c r="BQ544" s="48">
        <f t="shared" si="1742"/>
        <v>0</v>
      </c>
      <c r="BR544" s="36">
        <f t="shared" si="9"/>
        <v>0</v>
      </c>
      <c r="BS544" s="38">
        <f t="shared" si="10"/>
        <v>1</v>
      </c>
      <c r="BT544" s="49">
        <f t="shared" si="11"/>
        <v>0</v>
      </c>
      <c r="BU544" s="38">
        <f t="shared" si="12"/>
        <v>1000</v>
      </c>
      <c r="BV544" s="57" t="str">
        <f>IFERROR(__xludf.DUMMYFUNCTION("""COMPUTED_VALUE"""),"Jakes")</f>
        <v>Jakes</v>
      </c>
      <c r="BW544" s="46">
        <f t="shared" si="13"/>
        <v>10000</v>
      </c>
      <c r="BX544" s="47">
        <f t="shared" ref="BX544:CA544" si="1743">AX544-$BU544</f>
        <v>-1000</v>
      </c>
      <c r="BY544" s="47">
        <f t="shared" si="1743"/>
        <v>-1000</v>
      </c>
      <c r="BZ544" s="47">
        <f t="shared" si="1743"/>
        <v>-1000</v>
      </c>
      <c r="CA544" s="47">
        <f t="shared" si="1743"/>
        <v>-1000</v>
      </c>
      <c r="CB544" s="47">
        <f t="shared" si="15"/>
        <v>0</v>
      </c>
      <c r="CC544" s="47">
        <f t="shared" ref="CC544:CQ544" si="1744">BC544-$BU544</f>
        <v>-1000</v>
      </c>
      <c r="CD544" s="47">
        <f t="shared" si="1744"/>
        <v>-1000</v>
      </c>
      <c r="CE544" s="47">
        <f t="shared" si="1744"/>
        <v>-1000</v>
      </c>
      <c r="CF544" s="47">
        <f t="shared" si="1744"/>
        <v>-1000</v>
      </c>
      <c r="CG544" s="47">
        <f t="shared" si="1744"/>
        <v>-1000</v>
      </c>
      <c r="CH544" s="47">
        <f t="shared" si="1744"/>
        <v>-1000</v>
      </c>
      <c r="CI544" s="47">
        <f t="shared" si="1744"/>
        <v>-1000</v>
      </c>
      <c r="CJ544" s="47">
        <f t="shared" si="1744"/>
        <v>-1000</v>
      </c>
      <c r="CK544" s="47">
        <f t="shared" si="1744"/>
        <v>-1000</v>
      </c>
      <c r="CL544" s="47">
        <f t="shared" si="1744"/>
        <v>-1000</v>
      </c>
      <c r="CM544" s="47">
        <f t="shared" si="1744"/>
        <v>-1000</v>
      </c>
      <c r="CN544" s="47">
        <f t="shared" si="1744"/>
        <v>-1000</v>
      </c>
      <c r="CO544" s="47">
        <f t="shared" si="1744"/>
        <v>-1000</v>
      </c>
      <c r="CP544" s="47">
        <f t="shared" si="1744"/>
        <v>-1000</v>
      </c>
      <c r="CQ544" s="47">
        <f t="shared" si="1744"/>
        <v>-1000</v>
      </c>
      <c r="CR544" s="47"/>
      <c r="CS544" s="47"/>
      <c r="CT544" s="47"/>
      <c r="CU544" s="50" t="str">
        <f>IFERROR(__xludf.DUMMYFUNCTION("""COMPUTED_VALUE"""),"7117 Wake Forest Dr
Dallas, TX 75214         ")</f>
        <v>7117 Wake Forest Dr
Dallas, TX 75214         </v>
      </c>
      <c r="CV544" s="51">
        <f>IFERROR(__xludf.DUMMYFUNCTION("IF(REGEXMATCH(UPPER(CU544), ""TX""),0,1)"),0.0)</f>
        <v>0</v>
      </c>
      <c r="CW544" s="51">
        <f>IFERROR(__xludf.DUMMYFUNCTION("IF(REGEXMATCH(UPPER(CU544), ""DALLAS""),0,1)"),0.0)</f>
        <v>0</v>
      </c>
      <c r="CX544" s="51">
        <f t="shared" si="17"/>
        <v>0</v>
      </c>
      <c r="CY544" s="51">
        <f t="shared" si="18"/>
        <v>0</v>
      </c>
      <c r="CZ544" s="52" t="str">
        <f t="shared" si="19"/>
        <v/>
      </c>
      <c r="DA544" s="58"/>
      <c r="DB544" s="52"/>
      <c r="DC544" s="52"/>
      <c r="DD544" s="52"/>
      <c r="DE544" s="52"/>
      <c r="DF544" s="52"/>
      <c r="DG544" s="52"/>
      <c r="DH544" s="52"/>
      <c r="DI544" s="52"/>
      <c r="DJ544" s="52"/>
      <c r="DK544" s="52"/>
      <c r="DL544" s="52"/>
      <c r="DM544" s="52"/>
      <c r="DN544" s="52"/>
      <c r="DO544" s="52"/>
      <c r="DP544" s="52"/>
      <c r="DQ544" s="52"/>
      <c r="DR544" s="52"/>
      <c r="DS544" s="52"/>
      <c r="DT544" s="52"/>
      <c r="DU544" s="52"/>
      <c r="DV544" s="52"/>
      <c r="DW544" s="52"/>
    </row>
    <row r="545">
      <c r="A545" s="40" t="s">
        <v>55</v>
      </c>
      <c r="B545" s="41" t="s">
        <v>56</v>
      </c>
      <c r="C545" s="31" t="s">
        <v>1487</v>
      </c>
      <c r="D545" s="25" t="str">
        <f>IFERROR(__xludf.DUMMYFUNCTION("SPLIT(C545,"" "")"),"Newton,")</f>
        <v>Newton,</v>
      </c>
      <c r="E545" s="40" t="str">
        <f>IFERROR(__xludf.DUMMYFUNCTION("""COMPUTED_VALUE"""),"Karen
10415")</f>
        <v>Karen
10415</v>
      </c>
      <c r="F545" s="40" t="str">
        <f>IFERROR(__xludf.DUMMYFUNCTION("""COMPUTED_VALUE"""),"Fern")</f>
        <v>Fern</v>
      </c>
      <c r="G545" s="40" t="str">
        <f>IFERROR(__xludf.DUMMYFUNCTION("""COMPUTED_VALUE"""),"St
Dallas,")</f>
        <v>St
Dallas,</v>
      </c>
      <c r="H545" s="40" t="str">
        <f>IFERROR(__xludf.DUMMYFUNCTION("""COMPUTED_VALUE"""),"TX")</f>
        <v>TX</v>
      </c>
      <c r="I545" s="40">
        <f>IFERROR(__xludf.DUMMYFUNCTION("""COMPUTED_VALUE"""),75228.0)</f>
        <v>75228</v>
      </c>
      <c r="J545" s="40"/>
      <c r="K545" s="40"/>
      <c r="L545" s="40"/>
      <c r="M545" s="40"/>
      <c r="N545" s="40"/>
      <c r="O545" s="40"/>
      <c r="P545" s="40"/>
      <c r="Q545" s="40"/>
      <c r="R545" s="40"/>
      <c r="S545" s="40"/>
      <c r="T545" s="40"/>
      <c r="U545" s="24" t="str">
        <f>IFERROR(__xludf.DUMMYFUNCTION("SPLIT(E545,""01234567890"")"),"Karen
")</f>
        <v>Karen
</v>
      </c>
      <c r="V545" s="24" t="str">
        <f>IFERROR(__xludf.DUMMYFUNCTION("SPLIT(D545,"","")"),"Newton")</f>
        <v>Newton</v>
      </c>
      <c r="W545" s="25" t="str">
        <f t="shared" si="1"/>
        <v>KAREN
 NEWTON</v>
      </c>
      <c r="X545" s="25" t="s">
        <v>1488</v>
      </c>
      <c r="Y545" s="25">
        <v>75228.0</v>
      </c>
      <c r="Z545" s="25" t="str">
        <f>IFERROR(__xludf.DUMMYFUNCTION("SPLIT(C545,""
"")"),"Newton, Karen")</f>
        <v>Newton, Karen</v>
      </c>
      <c r="AA545" s="25" t="str">
        <f>IFERROR(__xludf.DUMMYFUNCTION("""COMPUTED_VALUE"""),"10415 Fern St")</f>
        <v>10415 Fern St</v>
      </c>
      <c r="AB545" s="25" t="str">
        <f>IFERROR(__xludf.DUMMYFUNCTION("""COMPUTED_VALUE"""),"Dallas, TX 75228")</f>
        <v>Dallas, TX 75228</v>
      </c>
      <c r="AC545" s="24" t="s">
        <v>1489</v>
      </c>
      <c r="AD545" s="25"/>
      <c r="AE545" s="25"/>
      <c r="AF545" s="25"/>
      <c r="AG545" s="40" t="s">
        <v>60</v>
      </c>
      <c r="AH545" s="42">
        <v>2448.0</v>
      </c>
      <c r="AI545" s="40" t="s">
        <v>61</v>
      </c>
      <c r="AJ545" s="27">
        <v>50.0</v>
      </c>
      <c r="AK545" s="31" t="s">
        <v>24</v>
      </c>
      <c r="AL545" s="43">
        <v>44705.0</v>
      </c>
      <c r="AM545" s="44">
        <v>44757.44018518519</v>
      </c>
      <c r="AN545" s="30">
        <v>2.0</v>
      </c>
      <c r="AO545" s="40"/>
      <c r="AP545" s="40"/>
      <c r="AQ545" s="40"/>
      <c r="AR545" s="40"/>
      <c r="AS545" s="40"/>
      <c r="AT545" s="47"/>
      <c r="AU545" s="40"/>
      <c r="AV545" s="46" t="str">
        <f>IFERROR(__xludf.DUMMYFUNCTION("""COMPUTED_VALUE"""),"Iwasko")</f>
        <v>Iwasko</v>
      </c>
      <c r="AW545" s="46">
        <f t="shared" si="7"/>
        <v>25</v>
      </c>
      <c r="AX545" s="47">
        <f t="shared" ref="AX545:BQ545" si="1745">SUMIFS($AJ:$AJ,$V:$V,$AV545,$AK:$AK,AX$2)</f>
        <v>0</v>
      </c>
      <c r="AY545" s="48">
        <f t="shared" si="1745"/>
        <v>0</v>
      </c>
      <c r="AZ545" s="48">
        <f t="shared" si="1745"/>
        <v>0</v>
      </c>
      <c r="BA545" s="48">
        <f t="shared" si="1745"/>
        <v>0</v>
      </c>
      <c r="BB545" s="48">
        <f t="shared" si="1745"/>
        <v>25</v>
      </c>
      <c r="BC545" s="48">
        <f t="shared" si="1745"/>
        <v>0</v>
      </c>
      <c r="BD545" s="48">
        <f t="shared" si="1745"/>
        <v>0</v>
      </c>
      <c r="BE545" s="48">
        <f t="shared" si="1745"/>
        <v>0</v>
      </c>
      <c r="BF545" s="48">
        <f t="shared" si="1745"/>
        <v>0</v>
      </c>
      <c r="BG545" s="48">
        <f t="shared" si="1745"/>
        <v>0</v>
      </c>
      <c r="BH545" s="48">
        <f t="shared" si="1745"/>
        <v>0</v>
      </c>
      <c r="BI545" s="48">
        <f t="shared" si="1745"/>
        <v>0</v>
      </c>
      <c r="BJ545" s="48">
        <f t="shared" si="1745"/>
        <v>0</v>
      </c>
      <c r="BK545" s="48">
        <f t="shared" si="1745"/>
        <v>0</v>
      </c>
      <c r="BL545" s="48">
        <f t="shared" si="1745"/>
        <v>0</v>
      </c>
      <c r="BM545" s="48">
        <f t="shared" si="1745"/>
        <v>0</v>
      </c>
      <c r="BN545" s="48">
        <f t="shared" si="1745"/>
        <v>0</v>
      </c>
      <c r="BO545" s="48">
        <f t="shared" si="1745"/>
        <v>0</v>
      </c>
      <c r="BP545" s="48">
        <f t="shared" si="1745"/>
        <v>0</v>
      </c>
      <c r="BQ545" s="48">
        <f t="shared" si="1745"/>
        <v>0</v>
      </c>
      <c r="BR545" s="36">
        <f t="shared" si="9"/>
        <v>0</v>
      </c>
      <c r="BS545" s="38">
        <f t="shared" si="10"/>
        <v>1</v>
      </c>
      <c r="BT545" s="49">
        <f t="shared" si="11"/>
        <v>0</v>
      </c>
      <c r="BU545" s="38">
        <f t="shared" si="12"/>
        <v>1000</v>
      </c>
      <c r="BV545" s="46" t="str">
        <f>IFERROR(__xludf.DUMMYFUNCTION("""COMPUTED_VALUE"""),"Iwasko")</f>
        <v>Iwasko</v>
      </c>
      <c r="BW545" s="46">
        <f t="shared" si="13"/>
        <v>25</v>
      </c>
      <c r="BX545" s="47">
        <f t="shared" ref="BX545:CA545" si="1746">AX545-$BU545</f>
        <v>-1000</v>
      </c>
      <c r="BY545" s="47">
        <f t="shared" si="1746"/>
        <v>-1000</v>
      </c>
      <c r="BZ545" s="47">
        <f t="shared" si="1746"/>
        <v>-1000</v>
      </c>
      <c r="CA545" s="47">
        <f t="shared" si="1746"/>
        <v>-1000</v>
      </c>
      <c r="CB545" s="47">
        <f t="shared" si="15"/>
        <v>-9975</v>
      </c>
      <c r="CC545" s="47">
        <f t="shared" ref="CC545:CQ545" si="1747">BC545-$BU545</f>
        <v>-1000</v>
      </c>
      <c r="CD545" s="47">
        <f t="shared" si="1747"/>
        <v>-1000</v>
      </c>
      <c r="CE545" s="47">
        <f t="shared" si="1747"/>
        <v>-1000</v>
      </c>
      <c r="CF545" s="47">
        <f t="shared" si="1747"/>
        <v>-1000</v>
      </c>
      <c r="CG545" s="47">
        <f t="shared" si="1747"/>
        <v>-1000</v>
      </c>
      <c r="CH545" s="47">
        <f t="shared" si="1747"/>
        <v>-1000</v>
      </c>
      <c r="CI545" s="47">
        <f t="shared" si="1747"/>
        <v>-1000</v>
      </c>
      <c r="CJ545" s="47">
        <f t="shared" si="1747"/>
        <v>-1000</v>
      </c>
      <c r="CK545" s="47">
        <f t="shared" si="1747"/>
        <v>-1000</v>
      </c>
      <c r="CL545" s="47">
        <f t="shared" si="1747"/>
        <v>-1000</v>
      </c>
      <c r="CM545" s="47">
        <f t="shared" si="1747"/>
        <v>-1000</v>
      </c>
      <c r="CN545" s="47">
        <f t="shared" si="1747"/>
        <v>-1000</v>
      </c>
      <c r="CO545" s="47">
        <f t="shared" si="1747"/>
        <v>-1000</v>
      </c>
      <c r="CP545" s="47">
        <f t="shared" si="1747"/>
        <v>-1000</v>
      </c>
      <c r="CQ545" s="47">
        <f t="shared" si="1747"/>
        <v>-1000</v>
      </c>
      <c r="CR545" s="47"/>
      <c r="CS545" s="47"/>
      <c r="CT545" s="47"/>
      <c r="CU545" s="50" t="str">
        <f>IFERROR(__xludf.DUMMYFUNCTION("""COMPUTED_VALUE"""),"6759 Avalon
Dallas, TX 75214           ")</f>
        <v>6759 Avalon
Dallas, TX 75214           </v>
      </c>
      <c r="CV545" s="51">
        <f>IFERROR(__xludf.DUMMYFUNCTION("IF(REGEXMATCH(UPPER(CU545), ""TX""),0,1)"),0.0)</f>
        <v>0</v>
      </c>
      <c r="CW545" s="51">
        <f>IFERROR(__xludf.DUMMYFUNCTION("IF(REGEXMATCH(UPPER(CU545), ""DALLAS""),0,1)"),0.0)</f>
        <v>0</v>
      </c>
      <c r="CX545" s="51">
        <f t="shared" si="17"/>
        <v>0</v>
      </c>
      <c r="CY545" s="51">
        <f t="shared" si="18"/>
        <v>0</v>
      </c>
      <c r="CZ545" s="52" t="str">
        <f t="shared" si="19"/>
        <v/>
      </c>
      <c r="DA545" s="58"/>
      <c r="DB545" s="52"/>
      <c r="DC545" s="52"/>
      <c r="DD545" s="52"/>
      <c r="DE545" s="52"/>
      <c r="DF545" s="52"/>
      <c r="DG545" s="52"/>
      <c r="DH545" s="52"/>
      <c r="DI545" s="52"/>
      <c r="DJ545" s="52"/>
      <c r="DK545" s="52"/>
      <c r="DL545" s="52"/>
      <c r="DM545" s="52"/>
      <c r="DN545" s="52"/>
      <c r="DO545" s="52"/>
      <c r="DP545" s="52"/>
      <c r="DQ545" s="52"/>
      <c r="DR545" s="52"/>
      <c r="DS545" s="52"/>
      <c r="DT545" s="52"/>
      <c r="DU545" s="52"/>
      <c r="DV545" s="52"/>
      <c r="DW545" s="52"/>
    </row>
    <row r="546">
      <c r="A546" s="22" t="s">
        <v>55</v>
      </c>
      <c r="B546" s="23" t="s">
        <v>56</v>
      </c>
      <c r="C546" s="31" t="s">
        <v>1490</v>
      </c>
      <c r="D546" s="25" t="str">
        <f>IFERROR(__xludf.DUMMYFUNCTION("SPLIT(C546,"" "")"),"Pearce,")</f>
        <v>Pearce,</v>
      </c>
      <c r="E546" s="22" t="str">
        <f>IFERROR(__xludf.DUMMYFUNCTION("""COMPUTED_VALUE"""),"Jennifer
5826")</f>
        <v>Jennifer
5826</v>
      </c>
      <c r="F546" s="22" t="str">
        <f>IFERROR(__xludf.DUMMYFUNCTION("""COMPUTED_VALUE"""),"Mercedes
Dallas,")</f>
        <v>Mercedes
Dallas,</v>
      </c>
      <c r="G546" s="22" t="str">
        <f>IFERROR(__xludf.DUMMYFUNCTION("""COMPUTED_VALUE"""),"TX")</f>
        <v>TX</v>
      </c>
      <c r="H546" s="22">
        <f>IFERROR(__xludf.DUMMYFUNCTION("""COMPUTED_VALUE"""),75206.0)</f>
        <v>75206</v>
      </c>
      <c r="I546" s="22"/>
      <c r="J546" s="22"/>
      <c r="K546" s="22"/>
      <c r="L546" s="22"/>
      <c r="M546" s="22"/>
      <c r="N546" s="22"/>
      <c r="O546" s="22"/>
      <c r="P546" s="22"/>
      <c r="Q546" s="22"/>
      <c r="R546" s="22"/>
      <c r="S546" s="22"/>
      <c r="T546" s="22"/>
      <c r="U546" s="24" t="str">
        <f>IFERROR(__xludf.DUMMYFUNCTION("SPLIT(E546,""01234567890"")"),"Jennifer
")</f>
        <v>Jennifer
</v>
      </c>
      <c r="V546" s="24" t="str">
        <f>IFERROR(__xludf.DUMMYFUNCTION("SPLIT(D546,"","")"),"Pearce")</f>
        <v>Pearce</v>
      </c>
      <c r="W546" s="25" t="str">
        <f t="shared" si="1"/>
        <v>JENNIFER
 PEARCE</v>
      </c>
      <c r="X546" s="25" t="s">
        <v>1491</v>
      </c>
      <c r="Y546" s="25">
        <v>75206.0</v>
      </c>
      <c r="Z546" s="25" t="str">
        <f>IFERROR(__xludf.DUMMYFUNCTION("SPLIT(C546,""
"")"),"Pearce, Jennifer")</f>
        <v>Pearce, Jennifer</v>
      </c>
      <c r="AA546" s="25" t="str">
        <f>IFERROR(__xludf.DUMMYFUNCTION("""COMPUTED_VALUE"""),"5826 Mercedes")</f>
        <v>5826 Mercedes</v>
      </c>
      <c r="AB546" s="25" t="str">
        <f>IFERROR(__xludf.DUMMYFUNCTION("""COMPUTED_VALUE"""),"Dallas, TX 75206")</f>
        <v>Dallas, TX 75206</v>
      </c>
      <c r="AC546" s="24" t="s">
        <v>1492</v>
      </c>
      <c r="AD546" s="25"/>
      <c r="AE546" s="25"/>
      <c r="AF546" s="25"/>
      <c r="AG546" s="22" t="s">
        <v>60</v>
      </c>
      <c r="AH546" s="54">
        <v>2448.0</v>
      </c>
      <c r="AI546" s="22" t="s">
        <v>61</v>
      </c>
      <c r="AJ546" s="27">
        <v>100.0</v>
      </c>
      <c r="AK546" s="31" t="s">
        <v>24</v>
      </c>
      <c r="AL546" s="28">
        <v>44705.0</v>
      </c>
      <c r="AM546" s="29">
        <v>44757.44018518519</v>
      </c>
      <c r="AN546" s="30">
        <v>2.0</v>
      </c>
      <c r="AO546" s="22"/>
      <c r="AP546" s="22"/>
      <c r="AQ546" s="22"/>
      <c r="AR546" s="22"/>
      <c r="AS546" s="22"/>
      <c r="AT546" s="70"/>
      <c r="AU546" s="22"/>
      <c r="AV546" s="57" t="str">
        <f>IFERROR(__xludf.DUMMYFUNCTION("""COMPUTED_VALUE"""),"Rothenberger")</f>
        <v>Rothenberger</v>
      </c>
      <c r="AW546" s="46">
        <f t="shared" si="7"/>
        <v>50</v>
      </c>
      <c r="AX546" s="47">
        <f t="shared" ref="AX546:BQ546" si="1748">SUMIFS($AJ:$AJ,$V:$V,$AV546,$AK:$AK,AX$2)</f>
        <v>0</v>
      </c>
      <c r="AY546" s="48">
        <f t="shared" si="1748"/>
        <v>0</v>
      </c>
      <c r="AZ546" s="48">
        <f t="shared" si="1748"/>
        <v>0</v>
      </c>
      <c r="BA546" s="48">
        <f t="shared" si="1748"/>
        <v>0</v>
      </c>
      <c r="BB546" s="48">
        <f t="shared" si="1748"/>
        <v>50</v>
      </c>
      <c r="BC546" s="48">
        <f t="shared" si="1748"/>
        <v>0</v>
      </c>
      <c r="BD546" s="48">
        <f t="shared" si="1748"/>
        <v>0</v>
      </c>
      <c r="BE546" s="48">
        <f t="shared" si="1748"/>
        <v>0</v>
      </c>
      <c r="BF546" s="48">
        <f t="shared" si="1748"/>
        <v>0</v>
      </c>
      <c r="BG546" s="48">
        <f t="shared" si="1748"/>
        <v>0</v>
      </c>
      <c r="BH546" s="48">
        <f t="shared" si="1748"/>
        <v>0</v>
      </c>
      <c r="BI546" s="48">
        <f t="shared" si="1748"/>
        <v>0</v>
      </c>
      <c r="BJ546" s="48">
        <f t="shared" si="1748"/>
        <v>0</v>
      </c>
      <c r="BK546" s="48">
        <f t="shared" si="1748"/>
        <v>0</v>
      </c>
      <c r="BL546" s="48">
        <f t="shared" si="1748"/>
        <v>0</v>
      </c>
      <c r="BM546" s="48">
        <f t="shared" si="1748"/>
        <v>0</v>
      </c>
      <c r="BN546" s="48">
        <f t="shared" si="1748"/>
        <v>0</v>
      </c>
      <c r="BO546" s="48">
        <f t="shared" si="1748"/>
        <v>0</v>
      </c>
      <c r="BP546" s="48">
        <f t="shared" si="1748"/>
        <v>0</v>
      </c>
      <c r="BQ546" s="48">
        <f t="shared" si="1748"/>
        <v>0</v>
      </c>
      <c r="BR546" s="36">
        <f t="shared" si="9"/>
        <v>0</v>
      </c>
      <c r="BS546" s="38">
        <f t="shared" si="10"/>
        <v>1</v>
      </c>
      <c r="BT546" s="49">
        <f t="shared" si="11"/>
        <v>0</v>
      </c>
      <c r="BU546" s="38">
        <f t="shared" si="12"/>
        <v>1000</v>
      </c>
      <c r="BV546" s="57" t="str">
        <f>IFERROR(__xludf.DUMMYFUNCTION("""COMPUTED_VALUE"""),"Rothenberger")</f>
        <v>Rothenberger</v>
      </c>
      <c r="BW546" s="46">
        <f t="shared" si="13"/>
        <v>50</v>
      </c>
      <c r="BX546" s="47">
        <f t="shared" ref="BX546:CA546" si="1749">AX546-$BU546</f>
        <v>-1000</v>
      </c>
      <c r="BY546" s="47">
        <f t="shared" si="1749"/>
        <v>-1000</v>
      </c>
      <c r="BZ546" s="47">
        <f t="shared" si="1749"/>
        <v>-1000</v>
      </c>
      <c r="CA546" s="47">
        <f t="shared" si="1749"/>
        <v>-1000</v>
      </c>
      <c r="CB546" s="47">
        <f t="shared" si="15"/>
        <v>-9950</v>
      </c>
      <c r="CC546" s="47">
        <f t="shared" ref="CC546:CQ546" si="1750">BC546-$BU546</f>
        <v>-1000</v>
      </c>
      <c r="CD546" s="47">
        <f t="shared" si="1750"/>
        <v>-1000</v>
      </c>
      <c r="CE546" s="47">
        <f t="shared" si="1750"/>
        <v>-1000</v>
      </c>
      <c r="CF546" s="47">
        <f t="shared" si="1750"/>
        <v>-1000</v>
      </c>
      <c r="CG546" s="47">
        <f t="shared" si="1750"/>
        <v>-1000</v>
      </c>
      <c r="CH546" s="47">
        <f t="shared" si="1750"/>
        <v>-1000</v>
      </c>
      <c r="CI546" s="47">
        <f t="shared" si="1750"/>
        <v>-1000</v>
      </c>
      <c r="CJ546" s="47">
        <f t="shared" si="1750"/>
        <v>-1000</v>
      </c>
      <c r="CK546" s="47">
        <f t="shared" si="1750"/>
        <v>-1000</v>
      </c>
      <c r="CL546" s="47">
        <f t="shared" si="1750"/>
        <v>-1000</v>
      </c>
      <c r="CM546" s="47">
        <f t="shared" si="1750"/>
        <v>-1000</v>
      </c>
      <c r="CN546" s="47">
        <f t="shared" si="1750"/>
        <v>-1000</v>
      </c>
      <c r="CO546" s="47">
        <f t="shared" si="1750"/>
        <v>-1000</v>
      </c>
      <c r="CP546" s="47">
        <f t="shared" si="1750"/>
        <v>-1000</v>
      </c>
      <c r="CQ546" s="47">
        <f t="shared" si="1750"/>
        <v>-1000</v>
      </c>
      <c r="CR546" s="47"/>
      <c r="CS546" s="47"/>
      <c r="CT546" s="47"/>
      <c r="CU546" s="50" t="str">
        <f>IFERROR(__xludf.DUMMYFUNCTION("""COMPUTED_VALUE"""),"8378 Forest Hills Blvd
Dallas, TX 75218         ")</f>
        <v>8378 Forest Hills Blvd
Dallas, TX 75218         </v>
      </c>
      <c r="CV546" s="51">
        <f>IFERROR(__xludf.DUMMYFUNCTION("IF(REGEXMATCH(UPPER(CU546), ""TX""),0,1)"),0.0)</f>
        <v>0</v>
      </c>
      <c r="CW546" s="51">
        <f>IFERROR(__xludf.DUMMYFUNCTION("IF(REGEXMATCH(UPPER(CU546), ""DALLAS""),0,1)"),0.0)</f>
        <v>0</v>
      </c>
      <c r="CX546" s="51">
        <f t="shared" si="17"/>
        <v>0</v>
      </c>
      <c r="CY546" s="51">
        <f t="shared" si="18"/>
        <v>0</v>
      </c>
      <c r="CZ546" s="52" t="str">
        <f t="shared" si="19"/>
        <v/>
      </c>
      <c r="DA546" s="58"/>
      <c r="DB546" s="52"/>
      <c r="DC546" s="52"/>
      <c r="DD546" s="52"/>
      <c r="DE546" s="52"/>
      <c r="DF546" s="52"/>
      <c r="DG546" s="52"/>
      <c r="DH546" s="52"/>
      <c r="DI546" s="52"/>
      <c r="DJ546" s="52"/>
      <c r="DK546" s="52"/>
      <c r="DL546" s="52"/>
      <c r="DM546" s="52"/>
      <c r="DN546" s="52"/>
      <c r="DO546" s="52"/>
      <c r="DP546" s="52"/>
      <c r="DQ546" s="52"/>
      <c r="DR546" s="52"/>
      <c r="DS546" s="52"/>
      <c r="DT546" s="52"/>
      <c r="DU546" s="52"/>
      <c r="DV546" s="52"/>
      <c r="DW546" s="52"/>
    </row>
    <row r="547">
      <c r="A547" s="40" t="s">
        <v>55</v>
      </c>
      <c r="B547" s="41" t="s">
        <v>56</v>
      </c>
      <c r="C547" s="31" t="s">
        <v>1493</v>
      </c>
      <c r="D547" s="25" t="str">
        <f>IFERROR(__xludf.DUMMYFUNCTION("SPLIT(C547,"" "")"),"Shadid,")</f>
        <v>Shadid,</v>
      </c>
      <c r="E547" s="40" t="str">
        <f>IFERROR(__xludf.DUMMYFUNCTION("""COMPUTED_VALUE"""),"Tony
6208")</f>
        <v>Tony
6208</v>
      </c>
      <c r="F547" s="40" t="str">
        <f>IFERROR(__xludf.DUMMYFUNCTION("""COMPUTED_VALUE"""),"Copperhill")</f>
        <v>Copperhill</v>
      </c>
      <c r="G547" s="40" t="str">
        <f>IFERROR(__xludf.DUMMYFUNCTION("""COMPUTED_VALUE"""),"Dr
Dallas,")</f>
        <v>Dr
Dallas,</v>
      </c>
      <c r="H547" s="40" t="str">
        <f>IFERROR(__xludf.DUMMYFUNCTION("""COMPUTED_VALUE"""),"TX")</f>
        <v>TX</v>
      </c>
      <c r="I547" s="40">
        <f>IFERROR(__xludf.DUMMYFUNCTION("""COMPUTED_VALUE"""),75248.0)</f>
        <v>75248</v>
      </c>
      <c r="J547" s="40"/>
      <c r="K547" s="40"/>
      <c r="L547" s="40"/>
      <c r="M547" s="40"/>
      <c r="N547" s="40"/>
      <c r="O547" s="40"/>
      <c r="P547" s="40"/>
      <c r="Q547" s="40"/>
      <c r="R547" s="40"/>
      <c r="S547" s="40"/>
      <c r="T547" s="40"/>
      <c r="U547" s="24" t="str">
        <f>IFERROR(__xludf.DUMMYFUNCTION("SPLIT(E547,""01234567890"")"),"Tony
")</f>
        <v>Tony
</v>
      </c>
      <c r="V547" s="24" t="str">
        <f>IFERROR(__xludf.DUMMYFUNCTION("SPLIT(D547,"","")"),"Shadid")</f>
        <v>Shadid</v>
      </c>
      <c r="W547" s="25" t="str">
        <f t="shared" si="1"/>
        <v>TONY
 SHADID</v>
      </c>
      <c r="X547" s="25" t="s">
        <v>986</v>
      </c>
      <c r="Y547" s="25">
        <v>75248.0</v>
      </c>
      <c r="Z547" s="25" t="str">
        <f>IFERROR(__xludf.DUMMYFUNCTION("SPLIT(C547,""
"")"),"Shadid, Tony")</f>
        <v>Shadid, Tony</v>
      </c>
      <c r="AA547" s="25" t="str">
        <f>IFERROR(__xludf.DUMMYFUNCTION("""COMPUTED_VALUE"""),"6208 Copperhill Dr")</f>
        <v>6208 Copperhill Dr</v>
      </c>
      <c r="AB547" s="25" t="str">
        <f>IFERROR(__xludf.DUMMYFUNCTION("""COMPUTED_VALUE"""),"Dallas, TX 75248")</f>
        <v>Dallas, TX 75248</v>
      </c>
      <c r="AC547" s="24" t="s">
        <v>1494</v>
      </c>
      <c r="AD547" s="25"/>
      <c r="AE547" s="25"/>
      <c r="AF547" s="25"/>
      <c r="AG547" s="40" t="s">
        <v>60</v>
      </c>
      <c r="AH547" s="42">
        <v>2448.0</v>
      </c>
      <c r="AI547" s="40" t="s">
        <v>61</v>
      </c>
      <c r="AJ547" s="27">
        <v>100.0</v>
      </c>
      <c r="AK547" s="31" t="s">
        <v>24</v>
      </c>
      <c r="AL547" s="43">
        <v>44705.0</v>
      </c>
      <c r="AM547" s="44">
        <v>44757.44018518519</v>
      </c>
      <c r="AN547" s="30">
        <v>2.0</v>
      </c>
      <c r="AO547" s="40"/>
      <c r="AP547" s="40"/>
      <c r="AQ547" s="40"/>
      <c r="AR547" s="40"/>
      <c r="AS547" s="40"/>
      <c r="AT547" s="47"/>
      <c r="AU547" s="40"/>
      <c r="AV547" s="46" t="str">
        <f>IFERROR(__xludf.DUMMYFUNCTION("""COMPUTED_VALUE"""),"Rubin")</f>
        <v>Rubin</v>
      </c>
      <c r="AW547" s="46">
        <f t="shared" si="7"/>
        <v>2000</v>
      </c>
      <c r="AX547" s="47">
        <f t="shared" ref="AX547:BQ547" si="1751">SUMIFS($AJ:$AJ,$V:$V,$AV547,$AK:$AK,AX$2)</f>
        <v>0</v>
      </c>
      <c r="AY547" s="48">
        <f t="shared" si="1751"/>
        <v>0</v>
      </c>
      <c r="AZ547" s="48">
        <f t="shared" si="1751"/>
        <v>0</v>
      </c>
      <c r="BA547" s="48">
        <f t="shared" si="1751"/>
        <v>0</v>
      </c>
      <c r="BB547" s="48">
        <f t="shared" si="1751"/>
        <v>1000</v>
      </c>
      <c r="BC547" s="48">
        <f t="shared" si="1751"/>
        <v>0</v>
      </c>
      <c r="BD547" s="48">
        <f t="shared" si="1751"/>
        <v>0</v>
      </c>
      <c r="BE547" s="48">
        <f t="shared" si="1751"/>
        <v>0</v>
      </c>
      <c r="BF547" s="48">
        <f t="shared" si="1751"/>
        <v>0</v>
      </c>
      <c r="BG547" s="48">
        <f t="shared" si="1751"/>
        <v>0</v>
      </c>
      <c r="BH547" s="48">
        <f t="shared" si="1751"/>
        <v>1000</v>
      </c>
      <c r="BI547" s="48">
        <f t="shared" si="1751"/>
        <v>0</v>
      </c>
      <c r="BJ547" s="48">
        <f t="shared" si="1751"/>
        <v>0</v>
      </c>
      <c r="BK547" s="48">
        <f t="shared" si="1751"/>
        <v>0</v>
      </c>
      <c r="BL547" s="48">
        <f t="shared" si="1751"/>
        <v>0</v>
      </c>
      <c r="BM547" s="48">
        <f t="shared" si="1751"/>
        <v>0</v>
      </c>
      <c r="BN547" s="48">
        <f t="shared" si="1751"/>
        <v>0</v>
      </c>
      <c r="BO547" s="48">
        <f t="shared" si="1751"/>
        <v>0</v>
      </c>
      <c r="BP547" s="48">
        <f t="shared" si="1751"/>
        <v>0</v>
      </c>
      <c r="BQ547" s="48">
        <f t="shared" si="1751"/>
        <v>0</v>
      </c>
      <c r="BR547" s="36">
        <f t="shared" si="9"/>
        <v>1</v>
      </c>
      <c r="BS547" s="38">
        <f t="shared" si="10"/>
        <v>2</v>
      </c>
      <c r="BT547" s="49">
        <f t="shared" si="11"/>
        <v>0</v>
      </c>
      <c r="BU547" s="38">
        <f t="shared" si="12"/>
        <v>2000</v>
      </c>
      <c r="BV547" s="46" t="str">
        <f>IFERROR(__xludf.DUMMYFUNCTION("""COMPUTED_VALUE"""),"Rubin")</f>
        <v>Rubin</v>
      </c>
      <c r="BW547" s="46">
        <f t="shared" si="13"/>
        <v>2000</v>
      </c>
      <c r="BX547" s="47">
        <f t="shared" ref="BX547:CA547" si="1752">AX547-$BU547</f>
        <v>-2000</v>
      </c>
      <c r="BY547" s="47">
        <f t="shared" si="1752"/>
        <v>-2000</v>
      </c>
      <c r="BZ547" s="47">
        <f t="shared" si="1752"/>
        <v>-2000</v>
      </c>
      <c r="CA547" s="47">
        <f t="shared" si="1752"/>
        <v>-2000</v>
      </c>
      <c r="CB547" s="47">
        <f t="shared" si="15"/>
        <v>-19000</v>
      </c>
      <c r="CC547" s="47">
        <f t="shared" ref="CC547:CQ547" si="1753">BC547-$BU547</f>
        <v>-2000</v>
      </c>
      <c r="CD547" s="47">
        <f t="shared" si="1753"/>
        <v>-2000</v>
      </c>
      <c r="CE547" s="47">
        <f t="shared" si="1753"/>
        <v>-2000</v>
      </c>
      <c r="CF547" s="47">
        <f t="shared" si="1753"/>
        <v>-2000</v>
      </c>
      <c r="CG547" s="47">
        <f t="shared" si="1753"/>
        <v>-2000</v>
      </c>
      <c r="CH547" s="47">
        <f t="shared" si="1753"/>
        <v>-1000</v>
      </c>
      <c r="CI547" s="47">
        <f t="shared" si="1753"/>
        <v>-2000</v>
      </c>
      <c r="CJ547" s="47">
        <f t="shared" si="1753"/>
        <v>-2000</v>
      </c>
      <c r="CK547" s="47">
        <f t="shared" si="1753"/>
        <v>-2000</v>
      </c>
      <c r="CL547" s="47">
        <f t="shared" si="1753"/>
        <v>-2000</v>
      </c>
      <c r="CM547" s="47">
        <f t="shared" si="1753"/>
        <v>-2000</v>
      </c>
      <c r="CN547" s="47">
        <f t="shared" si="1753"/>
        <v>-2000</v>
      </c>
      <c r="CO547" s="47">
        <f t="shared" si="1753"/>
        <v>-2000</v>
      </c>
      <c r="CP547" s="47">
        <f t="shared" si="1753"/>
        <v>-2000</v>
      </c>
      <c r="CQ547" s="47">
        <f t="shared" si="1753"/>
        <v>-2000</v>
      </c>
      <c r="CR547" s="47"/>
      <c r="CS547" s="47"/>
      <c r="CT547" s="47"/>
      <c r="CU547" s="50" t="str">
        <f>IFERROR(__xludf.DUMMYFUNCTION("""COMPUTED_VALUE"""),"7238 Mimosa
Dallas, TX 75230           ")</f>
        <v>7238 Mimosa
Dallas, TX 75230           </v>
      </c>
      <c r="CV547" s="51">
        <f>IFERROR(__xludf.DUMMYFUNCTION("IF(REGEXMATCH(UPPER(CU547), ""TX""),0,1)"),0.0)</f>
        <v>0</v>
      </c>
      <c r="CW547" s="51">
        <f>IFERROR(__xludf.DUMMYFUNCTION("IF(REGEXMATCH(UPPER(CU547), ""DALLAS""),0,1)"),0.0)</f>
        <v>0</v>
      </c>
      <c r="CX547" s="51">
        <f t="shared" si="17"/>
        <v>0</v>
      </c>
      <c r="CY547" s="51">
        <f t="shared" si="18"/>
        <v>0</v>
      </c>
      <c r="CZ547" s="52" t="str">
        <f t="shared" si="19"/>
        <v/>
      </c>
      <c r="DA547" s="58"/>
      <c r="DB547" s="52"/>
      <c r="DC547" s="52"/>
      <c r="DD547" s="52"/>
      <c r="DE547" s="52"/>
      <c r="DF547" s="52"/>
      <c r="DG547" s="52"/>
      <c r="DH547" s="52"/>
      <c r="DI547" s="52"/>
      <c r="DJ547" s="52"/>
      <c r="DK547" s="52"/>
      <c r="DL547" s="52"/>
      <c r="DM547" s="52"/>
      <c r="DN547" s="52"/>
      <c r="DO547" s="52"/>
      <c r="DP547" s="52"/>
      <c r="DQ547" s="52"/>
      <c r="DR547" s="52"/>
      <c r="DS547" s="52"/>
      <c r="DT547" s="52"/>
      <c r="DU547" s="52"/>
      <c r="DV547" s="52"/>
      <c r="DW547" s="52"/>
    </row>
    <row r="548">
      <c r="A548" s="22" t="s">
        <v>55</v>
      </c>
      <c r="B548" s="23" t="s">
        <v>56</v>
      </c>
      <c r="C548" s="31" t="s">
        <v>1495</v>
      </c>
      <c r="D548" s="25" t="str">
        <f>IFERROR(__xludf.DUMMYFUNCTION("SPLIT(C548,"" "")"),"Suhm,")</f>
        <v>Suhm,</v>
      </c>
      <c r="E548" s="22" t="str">
        <f>IFERROR(__xludf.DUMMYFUNCTION("""COMPUTED_VALUE"""),"Mary
12703")</f>
        <v>Mary
12703</v>
      </c>
      <c r="F548" s="22" t="str">
        <f>IFERROR(__xludf.DUMMYFUNCTION("""COMPUTED_VALUE"""),"Nutty")</f>
        <v>Nutty</v>
      </c>
      <c r="G548" s="22" t="str">
        <f>IFERROR(__xludf.DUMMYFUNCTION("""COMPUTED_VALUE"""),"Brown")</f>
        <v>Brown</v>
      </c>
      <c r="H548" s="22" t="str">
        <f>IFERROR(__xludf.DUMMYFUNCTION("""COMPUTED_VALUE"""),"Rd
Austin,")</f>
        <v>Rd
Austin,</v>
      </c>
      <c r="I548" s="22" t="str">
        <f>IFERROR(__xludf.DUMMYFUNCTION("""COMPUTED_VALUE"""),"TX")</f>
        <v>TX</v>
      </c>
      <c r="J548" s="22">
        <f>IFERROR(__xludf.DUMMYFUNCTION("""COMPUTED_VALUE"""),78737.0)</f>
        <v>78737</v>
      </c>
      <c r="K548" s="22"/>
      <c r="L548" s="22"/>
      <c r="M548" s="22"/>
      <c r="N548" s="22"/>
      <c r="O548" s="22"/>
      <c r="P548" s="22"/>
      <c r="Q548" s="22"/>
      <c r="R548" s="22"/>
      <c r="S548" s="22"/>
      <c r="T548" s="22"/>
      <c r="U548" s="24" t="str">
        <f>IFERROR(__xludf.DUMMYFUNCTION("SPLIT(E548,""01234567890"")"),"Mary
")</f>
        <v>Mary
</v>
      </c>
      <c r="V548" s="24" t="str">
        <f>IFERROR(__xludf.DUMMYFUNCTION("SPLIT(D548,"","")"),"Suhm")</f>
        <v>Suhm</v>
      </c>
      <c r="W548" s="25" t="str">
        <f t="shared" si="1"/>
        <v>MARY
 SUHM</v>
      </c>
      <c r="X548" s="25" t="s">
        <v>1496</v>
      </c>
      <c r="Y548" s="25">
        <v>78737.0</v>
      </c>
      <c r="Z548" s="25" t="str">
        <f>IFERROR(__xludf.DUMMYFUNCTION("SPLIT(C548,""
"")"),"Suhm, Mary")</f>
        <v>Suhm, Mary</v>
      </c>
      <c r="AA548" s="25" t="str">
        <f>IFERROR(__xludf.DUMMYFUNCTION("""COMPUTED_VALUE"""),"12703 Nutty Brown Rd")</f>
        <v>12703 Nutty Brown Rd</v>
      </c>
      <c r="AB548" s="25" t="str">
        <f>IFERROR(__xludf.DUMMYFUNCTION("""COMPUTED_VALUE"""),"Austin, TX 78737")</f>
        <v>Austin, TX 78737</v>
      </c>
      <c r="AC548" s="24" t="s">
        <v>1497</v>
      </c>
      <c r="AD548" s="25"/>
      <c r="AE548" s="25"/>
      <c r="AF548" s="25"/>
      <c r="AG548" s="22" t="s">
        <v>60</v>
      </c>
      <c r="AH548" s="54">
        <v>2448.0</v>
      </c>
      <c r="AI548" s="22" t="s">
        <v>61</v>
      </c>
      <c r="AJ548" s="27">
        <v>70.0</v>
      </c>
      <c r="AK548" s="31" t="s">
        <v>24</v>
      </c>
      <c r="AL548" s="28">
        <v>44705.0</v>
      </c>
      <c r="AM548" s="29">
        <v>44757.44018518519</v>
      </c>
      <c r="AN548" s="30">
        <v>2.0</v>
      </c>
      <c r="AO548" s="22"/>
      <c r="AP548" s="22"/>
      <c r="AQ548" s="22"/>
      <c r="AR548" s="22"/>
      <c r="AS548" s="22"/>
      <c r="AT548" s="70"/>
      <c r="AU548" s="22"/>
      <c r="AV548" s="57" t="str">
        <f>IFERROR(__xludf.DUMMYFUNCTION("""COMPUTED_VALUE"""),"Velvin")</f>
        <v>Velvin</v>
      </c>
      <c r="AW548" s="46">
        <f t="shared" si="7"/>
        <v>50</v>
      </c>
      <c r="AX548" s="47">
        <f t="shared" ref="AX548:BQ548" si="1754">SUMIFS($AJ:$AJ,$V:$V,$AV548,$AK:$AK,AX$2)</f>
        <v>0</v>
      </c>
      <c r="AY548" s="48">
        <f t="shared" si="1754"/>
        <v>0</v>
      </c>
      <c r="AZ548" s="48">
        <f t="shared" si="1754"/>
        <v>0</v>
      </c>
      <c r="BA548" s="48">
        <f t="shared" si="1754"/>
        <v>0</v>
      </c>
      <c r="BB548" s="48">
        <f t="shared" si="1754"/>
        <v>50</v>
      </c>
      <c r="BC548" s="48">
        <f t="shared" si="1754"/>
        <v>0</v>
      </c>
      <c r="BD548" s="48">
        <f t="shared" si="1754"/>
        <v>0</v>
      </c>
      <c r="BE548" s="48">
        <f t="shared" si="1754"/>
        <v>0</v>
      </c>
      <c r="BF548" s="48">
        <f t="shared" si="1754"/>
        <v>0</v>
      </c>
      <c r="BG548" s="48">
        <f t="shared" si="1754"/>
        <v>0</v>
      </c>
      <c r="BH548" s="48">
        <f t="shared" si="1754"/>
        <v>0</v>
      </c>
      <c r="BI548" s="48">
        <f t="shared" si="1754"/>
        <v>0</v>
      </c>
      <c r="BJ548" s="48">
        <f t="shared" si="1754"/>
        <v>0</v>
      </c>
      <c r="BK548" s="48">
        <f t="shared" si="1754"/>
        <v>0</v>
      </c>
      <c r="BL548" s="48">
        <f t="shared" si="1754"/>
        <v>0</v>
      </c>
      <c r="BM548" s="48">
        <f t="shared" si="1754"/>
        <v>0</v>
      </c>
      <c r="BN548" s="48">
        <f t="shared" si="1754"/>
        <v>0</v>
      </c>
      <c r="BO548" s="48">
        <f t="shared" si="1754"/>
        <v>0</v>
      </c>
      <c r="BP548" s="48">
        <f t="shared" si="1754"/>
        <v>0</v>
      </c>
      <c r="BQ548" s="48">
        <f t="shared" si="1754"/>
        <v>0</v>
      </c>
      <c r="BR548" s="36">
        <f t="shared" si="9"/>
        <v>0</v>
      </c>
      <c r="BS548" s="38">
        <f t="shared" si="10"/>
        <v>1</v>
      </c>
      <c r="BT548" s="49">
        <f t="shared" si="11"/>
        <v>0</v>
      </c>
      <c r="BU548" s="38">
        <f t="shared" si="12"/>
        <v>1000</v>
      </c>
      <c r="BV548" s="57" t="str">
        <f>IFERROR(__xludf.DUMMYFUNCTION("""COMPUTED_VALUE"""),"Velvin")</f>
        <v>Velvin</v>
      </c>
      <c r="BW548" s="46">
        <f t="shared" si="13"/>
        <v>50</v>
      </c>
      <c r="BX548" s="47">
        <f t="shared" ref="BX548:CA548" si="1755">AX548-$BU548</f>
        <v>-1000</v>
      </c>
      <c r="BY548" s="47">
        <f t="shared" si="1755"/>
        <v>-1000</v>
      </c>
      <c r="BZ548" s="47">
        <f t="shared" si="1755"/>
        <v>-1000</v>
      </c>
      <c r="CA548" s="47">
        <f t="shared" si="1755"/>
        <v>-1000</v>
      </c>
      <c r="CB548" s="47">
        <f t="shared" si="15"/>
        <v>-9950</v>
      </c>
      <c r="CC548" s="47">
        <f t="shared" ref="CC548:CQ548" si="1756">BC548-$BU548</f>
        <v>-1000</v>
      </c>
      <c r="CD548" s="47">
        <f t="shared" si="1756"/>
        <v>-1000</v>
      </c>
      <c r="CE548" s="47">
        <f t="shared" si="1756"/>
        <v>-1000</v>
      </c>
      <c r="CF548" s="47">
        <f t="shared" si="1756"/>
        <v>-1000</v>
      </c>
      <c r="CG548" s="47">
        <f t="shared" si="1756"/>
        <v>-1000</v>
      </c>
      <c r="CH548" s="47">
        <f t="shared" si="1756"/>
        <v>-1000</v>
      </c>
      <c r="CI548" s="47">
        <f t="shared" si="1756"/>
        <v>-1000</v>
      </c>
      <c r="CJ548" s="47">
        <f t="shared" si="1756"/>
        <v>-1000</v>
      </c>
      <c r="CK548" s="47">
        <f t="shared" si="1756"/>
        <v>-1000</v>
      </c>
      <c r="CL548" s="47">
        <f t="shared" si="1756"/>
        <v>-1000</v>
      </c>
      <c r="CM548" s="47">
        <f t="shared" si="1756"/>
        <v>-1000</v>
      </c>
      <c r="CN548" s="47">
        <f t="shared" si="1756"/>
        <v>-1000</v>
      </c>
      <c r="CO548" s="47">
        <f t="shared" si="1756"/>
        <v>-1000</v>
      </c>
      <c r="CP548" s="47">
        <f t="shared" si="1756"/>
        <v>-1000</v>
      </c>
      <c r="CQ548" s="47">
        <f t="shared" si="1756"/>
        <v>-1000</v>
      </c>
      <c r="CR548" s="47"/>
      <c r="CS548" s="47"/>
      <c r="CT548" s="47"/>
      <c r="CU548" s="50" t="str">
        <f>IFERROR(__xludf.DUMMYFUNCTION("""COMPUTED_VALUE"""),"phillip Johnston
3444 University Blvd
Dallas, TX 75205         ")</f>
        <v>phillip Johnston
3444 University Blvd
Dallas, TX 75205         </v>
      </c>
      <c r="CV548" s="51">
        <f>IFERROR(__xludf.DUMMYFUNCTION("IF(REGEXMATCH(UPPER(CU548), ""TX""),0,1)"),0.0)</f>
        <v>0</v>
      </c>
      <c r="CW548" s="51">
        <f>IFERROR(__xludf.DUMMYFUNCTION("IF(REGEXMATCH(UPPER(CU548), ""DALLAS""),0,1)"),0.0)</f>
        <v>0</v>
      </c>
      <c r="CX548" s="51">
        <f t="shared" si="17"/>
        <v>0</v>
      </c>
      <c r="CY548" s="51">
        <f t="shared" si="18"/>
        <v>0</v>
      </c>
      <c r="CZ548" s="52" t="str">
        <f t="shared" si="19"/>
        <v/>
      </c>
      <c r="DA548" s="58"/>
      <c r="DB548" s="52"/>
      <c r="DC548" s="52"/>
      <c r="DD548" s="52"/>
      <c r="DE548" s="52"/>
      <c r="DF548" s="52"/>
      <c r="DG548" s="52"/>
      <c r="DH548" s="52"/>
      <c r="DI548" s="52"/>
      <c r="DJ548" s="52"/>
      <c r="DK548" s="52"/>
      <c r="DL548" s="52"/>
      <c r="DM548" s="52"/>
      <c r="DN548" s="52"/>
      <c r="DO548" s="52"/>
      <c r="DP548" s="52"/>
      <c r="DQ548" s="52"/>
      <c r="DR548" s="52"/>
      <c r="DS548" s="52"/>
      <c r="DT548" s="52"/>
      <c r="DU548" s="52"/>
      <c r="DV548" s="52"/>
      <c r="DW548" s="52"/>
    </row>
    <row r="549">
      <c r="A549" s="40" t="s">
        <v>55</v>
      </c>
      <c r="B549" s="41" t="s">
        <v>56</v>
      </c>
      <c r="C549" s="31" t="s">
        <v>343</v>
      </c>
      <c r="D549" s="25" t="str">
        <f>IFERROR(__xludf.DUMMYFUNCTION("SPLIT(C549,"" "")"),"Bazan,")</f>
        <v>Bazan,</v>
      </c>
      <c r="E549" s="40" t="str">
        <f>IFERROR(__xludf.DUMMYFUNCTION("""COMPUTED_VALUE"""),"Kathryn
10456")</f>
        <v>Kathryn
10456</v>
      </c>
      <c r="F549" s="40" t="str">
        <f>IFERROR(__xludf.DUMMYFUNCTION("""COMPUTED_VALUE"""),"Vinemont
Dallas,")</f>
        <v>Vinemont
Dallas,</v>
      </c>
      <c r="G549" s="40" t="str">
        <f>IFERROR(__xludf.DUMMYFUNCTION("""COMPUTED_VALUE"""),"TX")</f>
        <v>TX</v>
      </c>
      <c r="H549" s="40">
        <f>IFERROR(__xludf.DUMMYFUNCTION("""COMPUTED_VALUE"""),75218.0)</f>
        <v>75218</v>
      </c>
      <c r="I549" s="40"/>
      <c r="J549" s="40"/>
      <c r="K549" s="40"/>
      <c r="L549" s="40"/>
      <c r="M549" s="40"/>
      <c r="N549" s="40"/>
      <c r="O549" s="40"/>
      <c r="P549" s="40"/>
      <c r="Q549" s="40"/>
      <c r="R549" s="40"/>
      <c r="S549" s="40"/>
      <c r="T549" s="40"/>
      <c r="U549" s="24" t="str">
        <f>IFERROR(__xludf.DUMMYFUNCTION("SPLIT(E549,""01234567890"")"),"Kathryn
")</f>
        <v>Kathryn
</v>
      </c>
      <c r="V549" s="24" t="str">
        <f>IFERROR(__xludf.DUMMYFUNCTION("SPLIT(D549,"","")"),"Bazan")</f>
        <v>Bazan</v>
      </c>
      <c r="W549" s="25" t="str">
        <f t="shared" si="1"/>
        <v>KATHRYN
 BAZAN</v>
      </c>
      <c r="X549" s="25" t="s">
        <v>344</v>
      </c>
      <c r="Y549" s="25">
        <v>75218.0</v>
      </c>
      <c r="Z549" s="25" t="str">
        <f>IFERROR(__xludf.DUMMYFUNCTION("SPLIT(C549,""
"")"),"Bazan, Kathryn")</f>
        <v>Bazan, Kathryn</v>
      </c>
      <c r="AA549" s="25" t="str">
        <f>IFERROR(__xludf.DUMMYFUNCTION("""COMPUTED_VALUE"""),"10456 Vinemont")</f>
        <v>10456 Vinemont</v>
      </c>
      <c r="AB549" s="25" t="str">
        <f>IFERROR(__xludf.DUMMYFUNCTION("""COMPUTED_VALUE"""),"Dallas, TX 75218")</f>
        <v>Dallas, TX 75218</v>
      </c>
      <c r="AC549" s="24" t="s">
        <v>342</v>
      </c>
      <c r="AD549" s="25"/>
      <c r="AE549" s="25"/>
      <c r="AF549" s="25"/>
      <c r="AG549" s="40" t="s">
        <v>60</v>
      </c>
      <c r="AH549" s="42">
        <v>2448.0</v>
      </c>
      <c r="AI549" s="40" t="s">
        <v>61</v>
      </c>
      <c r="AJ549" s="27">
        <v>100.0</v>
      </c>
      <c r="AK549" s="31" t="s">
        <v>24</v>
      </c>
      <c r="AL549" s="43">
        <v>44706.0</v>
      </c>
      <c r="AM549" s="44">
        <v>44757.44018518519</v>
      </c>
      <c r="AN549" s="30">
        <v>2.0</v>
      </c>
      <c r="AO549" s="40"/>
      <c r="AP549" s="40"/>
      <c r="AQ549" s="40"/>
      <c r="AR549" s="40"/>
      <c r="AS549" s="40"/>
      <c r="AT549" s="47"/>
      <c r="AU549" s="40"/>
      <c r="AV549" s="46" t="str">
        <f>IFERROR(__xludf.DUMMYFUNCTION("""COMPUTED_VALUE"""),"Neumann")</f>
        <v>Neumann</v>
      </c>
      <c r="AW549" s="46">
        <f t="shared" si="7"/>
        <v>100</v>
      </c>
      <c r="AX549" s="47">
        <f t="shared" ref="AX549:BQ549" si="1757">SUMIFS($AJ:$AJ,$V:$V,$AV549,$AK:$AK,AX$2)</f>
        <v>0</v>
      </c>
      <c r="AY549" s="48">
        <f t="shared" si="1757"/>
        <v>0</v>
      </c>
      <c r="AZ549" s="48">
        <f t="shared" si="1757"/>
        <v>0</v>
      </c>
      <c r="BA549" s="48">
        <f t="shared" si="1757"/>
        <v>0</v>
      </c>
      <c r="BB549" s="48">
        <f t="shared" si="1757"/>
        <v>100</v>
      </c>
      <c r="BC549" s="48">
        <f t="shared" si="1757"/>
        <v>0</v>
      </c>
      <c r="BD549" s="48">
        <f t="shared" si="1757"/>
        <v>0</v>
      </c>
      <c r="BE549" s="48">
        <f t="shared" si="1757"/>
        <v>0</v>
      </c>
      <c r="BF549" s="48">
        <f t="shared" si="1757"/>
        <v>0</v>
      </c>
      <c r="BG549" s="48">
        <f t="shared" si="1757"/>
        <v>0</v>
      </c>
      <c r="BH549" s="48">
        <f t="shared" si="1757"/>
        <v>0</v>
      </c>
      <c r="BI549" s="48">
        <f t="shared" si="1757"/>
        <v>0</v>
      </c>
      <c r="BJ549" s="48">
        <f t="shared" si="1757"/>
        <v>0</v>
      </c>
      <c r="BK549" s="48">
        <f t="shared" si="1757"/>
        <v>0</v>
      </c>
      <c r="BL549" s="48">
        <f t="shared" si="1757"/>
        <v>0</v>
      </c>
      <c r="BM549" s="48">
        <f t="shared" si="1757"/>
        <v>0</v>
      </c>
      <c r="BN549" s="48">
        <f t="shared" si="1757"/>
        <v>0</v>
      </c>
      <c r="BO549" s="48">
        <f t="shared" si="1757"/>
        <v>0</v>
      </c>
      <c r="BP549" s="48">
        <f t="shared" si="1757"/>
        <v>0</v>
      </c>
      <c r="BQ549" s="48">
        <f t="shared" si="1757"/>
        <v>0</v>
      </c>
      <c r="BR549" s="36">
        <f t="shared" si="9"/>
        <v>0</v>
      </c>
      <c r="BS549" s="38">
        <f t="shared" si="10"/>
        <v>1</v>
      </c>
      <c r="BT549" s="49">
        <f t="shared" si="11"/>
        <v>0</v>
      </c>
      <c r="BU549" s="38">
        <f t="shared" si="12"/>
        <v>1000</v>
      </c>
      <c r="BV549" s="46" t="str">
        <f>IFERROR(__xludf.DUMMYFUNCTION("""COMPUTED_VALUE"""),"Neumann")</f>
        <v>Neumann</v>
      </c>
      <c r="BW549" s="46">
        <f t="shared" si="13"/>
        <v>100</v>
      </c>
      <c r="BX549" s="47">
        <f t="shared" ref="BX549:CA549" si="1758">AX549-$BU549</f>
        <v>-1000</v>
      </c>
      <c r="BY549" s="47">
        <f t="shared" si="1758"/>
        <v>-1000</v>
      </c>
      <c r="BZ549" s="47">
        <f t="shared" si="1758"/>
        <v>-1000</v>
      </c>
      <c r="CA549" s="47">
        <f t="shared" si="1758"/>
        <v>-1000</v>
      </c>
      <c r="CB549" s="47">
        <f t="shared" si="15"/>
        <v>-9900</v>
      </c>
      <c r="CC549" s="47">
        <f t="shared" ref="CC549:CQ549" si="1759">BC549-$BU549</f>
        <v>-1000</v>
      </c>
      <c r="CD549" s="47">
        <f t="shared" si="1759"/>
        <v>-1000</v>
      </c>
      <c r="CE549" s="47">
        <f t="shared" si="1759"/>
        <v>-1000</v>
      </c>
      <c r="CF549" s="47">
        <f t="shared" si="1759"/>
        <v>-1000</v>
      </c>
      <c r="CG549" s="47">
        <f t="shared" si="1759"/>
        <v>-1000</v>
      </c>
      <c r="CH549" s="47">
        <f t="shared" si="1759"/>
        <v>-1000</v>
      </c>
      <c r="CI549" s="47">
        <f t="shared" si="1759"/>
        <v>-1000</v>
      </c>
      <c r="CJ549" s="47">
        <f t="shared" si="1759"/>
        <v>-1000</v>
      </c>
      <c r="CK549" s="47">
        <f t="shared" si="1759"/>
        <v>-1000</v>
      </c>
      <c r="CL549" s="47">
        <f t="shared" si="1759"/>
        <v>-1000</v>
      </c>
      <c r="CM549" s="47">
        <f t="shared" si="1759"/>
        <v>-1000</v>
      </c>
      <c r="CN549" s="47">
        <f t="shared" si="1759"/>
        <v>-1000</v>
      </c>
      <c r="CO549" s="47">
        <f t="shared" si="1759"/>
        <v>-1000</v>
      </c>
      <c r="CP549" s="47">
        <f t="shared" si="1759"/>
        <v>-1000</v>
      </c>
      <c r="CQ549" s="47">
        <f t="shared" si="1759"/>
        <v>-1000</v>
      </c>
      <c r="CR549" s="47"/>
      <c r="CS549" s="47"/>
      <c r="CT549" s="47"/>
      <c r="CU549" s="50" t="str">
        <f>IFERROR(__xludf.DUMMYFUNCTION("""COMPUTED_VALUE"""),"3601 Normandy Ave
Dallas, TX 75205          ")</f>
        <v>3601 Normandy Ave
Dallas, TX 75205          </v>
      </c>
      <c r="CV549" s="51">
        <f>IFERROR(__xludf.DUMMYFUNCTION("IF(REGEXMATCH(UPPER(CU549), ""TX""),0,1)"),0.0)</f>
        <v>0</v>
      </c>
      <c r="CW549" s="51">
        <f>IFERROR(__xludf.DUMMYFUNCTION("IF(REGEXMATCH(UPPER(CU549), ""DALLAS""),0,1)"),0.0)</f>
        <v>0</v>
      </c>
      <c r="CX549" s="51">
        <f t="shared" si="17"/>
        <v>0</v>
      </c>
      <c r="CY549" s="51">
        <f t="shared" si="18"/>
        <v>0</v>
      </c>
      <c r="CZ549" s="52" t="str">
        <f t="shared" si="19"/>
        <v/>
      </c>
      <c r="DA549" s="58"/>
      <c r="DB549" s="52"/>
      <c r="DC549" s="52"/>
      <c r="DD549" s="52"/>
      <c r="DE549" s="52"/>
      <c r="DF549" s="52"/>
      <c r="DG549" s="52"/>
      <c r="DH549" s="52"/>
      <c r="DI549" s="52"/>
      <c r="DJ549" s="52"/>
      <c r="DK549" s="52"/>
      <c r="DL549" s="52"/>
      <c r="DM549" s="52"/>
      <c r="DN549" s="52"/>
      <c r="DO549" s="52"/>
      <c r="DP549" s="52"/>
      <c r="DQ549" s="52"/>
      <c r="DR549" s="52"/>
      <c r="DS549" s="52"/>
      <c r="DT549" s="52"/>
      <c r="DU549" s="52"/>
      <c r="DV549" s="52"/>
      <c r="DW549" s="52"/>
    </row>
    <row r="550">
      <c r="A550" s="22" t="s">
        <v>55</v>
      </c>
      <c r="B550" s="23" t="s">
        <v>56</v>
      </c>
      <c r="C550" s="31" t="s">
        <v>1498</v>
      </c>
      <c r="D550" s="25" t="str">
        <f>IFERROR(__xludf.DUMMYFUNCTION("SPLIT(C550,"" "")"),"Corcoran,")</f>
        <v>Corcoran,</v>
      </c>
      <c r="E550" s="22" t="str">
        <f>IFERROR(__xludf.DUMMYFUNCTION("""COMPUTED_VALUE"""),"Anna
7140")</f>
        <v>Anna
7140</v>
      </c>
      <c r="F550" s="22" t="str">
        <f>IFERROR(__xludf.DUMMYFUNCTION("""COMPUTED_VALUE"""),"Westlake
Dallas,")</f>
        <v>Westlake
Dallas,</v>
      </c>
      <c r="G550" s="22" t="str">
        <f>IFERROR(__xludf.DUMMYFUNCTION("""COMPUTED_VALUE"""),"TX")</f>
        <v>TX</v>
      </c>
      <c r="H550" s="22">
        <f>IFERROR(__xludf.DUMMYFUNCTION("""COMPUTED_VALUE"""),75214.0)</f>
        <v>75214</v>
      </c>
      <c r="I550" s="22"/>
      <c r="J550" s="22"/>
      <c r="K550" s="22"/>
      <c r="L550" s="22"/>
      <c r="M550" s="22"/>
      <c r="N550" s="22"/>
      <c r="O550" s="22"/>
      <c r="P550" s="22"/>
      <c r="Q550" s="22"/>
      <c r="R550" s="22"/>
      <c r="S550" s="22"/>
      <c r="T550" s="22"/>
      <c r="U550" s="24" t="str">
        <f>IFERROR(__xludf.DUMMYFUNCTION("SPLIT(E550,""01234567890"")"),"Anna
")</f>
        <v>Anna
</v>
      </c>
      <c r="V550" s="24" t="str">
        <f>IFERROR(__xludf.DUMMYFUNCTION("SPLIT(D550,"","")"),"Corcoran")</f>
        <v>Corcoran</v>
      </c>
      <c r="W550" s="25" t="str">
        <f t="shared" si="1"/>
        <v>ANNA
 CORCORAN</v>
      </c>
      <c r="X550" s="25" t="s">
        <v>1499</v>
      </c>
      <c r="Y550" s="25">
        <v>75214.0</v>
      </c>
      <c r="Z550" s="25" t="str">
        <f>IFERROR(__xludf.DUMMYFUNCTION("SPLIT(C550,""
"")"),"Corcoran, Anna")</f>
        <v>Corcoran, Anna</v>
      </c>
      <c r="AA550" s="25" t="str">
        <f>IFERROR(__xludf.DUMMYFUNCTION("""COMPUTED_VALUE"""),"7140 Westlake")</f>
        <v>7140 Westlake</v>
      </c>
      <c r="AB550" s="25" t="str">
        <f>IFERROR(__xludf.DUMMYFUNCTION("""COMPUTED_VALUE"""),"Dallas, TX 75214")</f>
        <v>Dallas, TX 75214</v>
      </c>
      <c r="AC550" s="24" t="s">
        <v>1500</v>
      </c>
      <c r="AD550" s="25"/>
      <c r="AE550" s="25"/>
      <c r="AF550" s="25"/>
      <c r="AG550" s="22" t="s">
        <v>60</v>
      </c>
      <c r="AH550" s="54">
        <v>2448.0</v>
      </c>
      <c r="AI550" s="22" t="s">
        <v>61</v>
      </c>
      <c r="AJ550" s="27">
        <v>250.0</v>
      </c>
      <c r="AK550" s="31" t="s">
        <v>24</v>
      </c>
      <c r="AL550" s="28">
        <v>44706.0</v>
      </c>
      <c r="AM550" s="29">
        <v>44757.44018518519</v>
      </c>
      <c r="AN550" s="30">
        <v>2.0</v>
      </c>
      <c r="AO550" s="22"/>
      <c r="AP550" s="22"/>
      <c r="AQ550" s="22"/>
      <c r="AR550" s="22"/>
      <c r="AS550" s="22"/>
      <c r="AT550" s="70"/>
      <c r="AU550" s="22"/>
      <c r="AV550" s="57" t="str">
        <f>IFERROR(__xludf.DUMMYFUNCTION("""COMPUTED_VALUE"""),"Yoxall")</f>
        <v>Yoxall</v>
      </c>
      <c r="AW550" s="46">
        <f t="shared" si="7"/>
        <v>1000</v>
      </c>
      <c r="AX550" s="47">
        <f t="shared" ref="AX550:BQ550" si="1760">SUMIFS($AJ:$AJ,$V:$V,$AV550,$AK:$AK,AX$2)</f>
        <v>0</v>
      </c>
      <c r="AY550" s="48">
        <f t="shared" si="1760"/>
        <v>0</v>
      </c>
      <c r="AZ550" s="48">
        <f t="shared" si="1760"/>
        <v>0</v>
      </c>
      <c r="BA550" s="48">
        <f t="shared" si="1760"/>
        <v>0</v>
      </c>
      <c r="BB550" s="48">
        <f t="shared" si="1760"/>
        <v>1000</v>
      </c>
      <c r="BC550" s="48">
        <f t="shared" si="1760"/>
        <v>0</v>
      </c>
      <c r="BD550" s="48">
        <f t="shared" si="1760"/>
        <v>0</v>
      </c>
      <c r="BE550" s="48">
        <f t="shared" si="1760"/>
        <v>0</v>
      </c>
      <c r="BF550" s="48">
        <f t="shared" si="1760"/>
        <v>0</v>
      </c>
      <c r="BG550" s="48">
        <f t="shared" si="1760"/>
        <v>0</v>
      </c>
      <c r="BH550" s="48">
        <f t="shared" si="1760"/>
        <v>0</v>
      </c>
      <c r="BI550" s="48">
        <f t="shared" si="1760"/>
        <v>0</v>
      </c>
      <c r="BJ550" s="48">
        <f t="shared" si="1760"/>
        <v>0</v>
      </c>
      <c r="BK550" s="48">
        <f t="shared" si="1760"/>
        <v>0</v>
      </c>
      <c r="BL550" s="48">
        <f t="shared" si="1760"/>
        <v>0</v>
      </c>
      <c r="BM550" s="48">
        <f t="shared" si="1760"/>
        <v>0</v>
      </c>
      <c r="BN550" s="48">
        <f t="shared" si="1760"/>
        <v>0</v>
      </c>
      <c r="BO550" s="48">
        <f t="shared" si="1760"/>
        <v>0</v>
      </c>
      <c r="BP550" s="48">
        <f t="shared" si="1760"/>
        <v>0</v>
      </c>
      <c r="BQ550" s="48">
        <f t="shared" si="1760"/>
        <v>0</v>
      </c>
      <c r="BR550" s="36">
        <f t="shared" si="9"/>
        <v>0</v>
      </c>
      <c r="BS550" s="38">
        <f t="shared" si="10"/>
        <v>1</v>
      </c>
      <c r="BT550" s="49">
        <f t="shared" si="11"/>
        <v>0</v>
      </c>
      <c r="BU550" s="38">
        <f t="shared" si="12"/>
        <v>1000</v>
      </c>
      <c r="BV550" s="57" t="str">
        <f>IFERROR(__xludf.DUMMYFUNCTION("""COMPUTED_VALUE"""),"Yoxall")</f>
        <v>Yoxall</v>
      </c>
      <c r="BW550" s="46">
        <f t="shared" si="13"/>
        <v>1000</v>
      </c>
      <c r="BX550" s="47">
        <f t="shared" ref="BX550:CA550" si="1761">AX550-$BU550</f>
        <v>-1000</v>
      </c>
      <c r="BY550" s="47">
        <f t="shared" si="1761"/>
        <v>-1000</v>
      </c>
      <c r="BZ550" s="47">
        <f t="shared" si="1761"/>
        <v>-1000</v>
      </c>
      <c r="CA550" s="47">
        <f t="shared" si="1761"/>
        <v>-1000</v>
      </c>
      <c r="CB550" s="47">
        <f t="shared" si="15"/>
        <v>-9000</v>
      </c>
      <c r="CC550" s="47">
        <f t="shared" ref="CC550:CQ550" si="1762">BC550-$BU550</f>
        <v>-1000</v>
      </c>
      <c r="CD550" s="47">
        <f t="shared" si="1762"/>
        <v>-1000</v>
      </c>
      <c r="CE550" s="47">
        <f t="shared" si="1762"/>
        <v>-1000</v>
      </c>
      <c r="CF550" s="47">
        <f t="shared" si="1762"/>
        <v>-1000</v>
      </c>
      <c r="CG550" s="47">
        <f t="shared" si="1762"/>
        <v>-1000</v>
      </c>
      <c r="CH550" s="47">
        <f t="shared" si="1762"/>
        <v>-1000</v>
      </c>
      <c r="CI550" s="47">
        <f t="shared" si="1762"/>
        <v>-1000</v>
      </c>
      <c r="CJ550" s="47">
        <f t="shared" si="1762"/>
        <v>-1000</v>
      </c>
      <c r="CK550" s="47">
        <f t="shared" si="1762"/>
        <v>-1000</v>
      </c>
      <c r="CL550" s="47">
        <f t="shared" si="1762"/>
        <v>-1000</v>
      </c>
      <c r="CM550" s="47">
        <f t="shared" si="1762"/>
        <v>-1000</v>
      </c>
      <c r="CN550" s="47">
        <f t="shared" si="1762"/>
        <v>-1000</v>
      </c>
      <c r="CO550" s="47">
        <f t="shared" si="1762"/>
        <v>-1000</v>
      </c>
      <c r="CP550" s="47">
        <f t="shared" si="1762"/>
        <v>-1000</v>
      </c>
      <c r="CQ550" s="47">
        <f t="shared" si="1762"/>
        <v>-1000</v>
      </c>
      <c r="CR550" s="47"/>
      <c r="CS550" s="47"/>
      <c r="CT550" s="47"/>
      <c r="CU550" s="50" t="str">
        <f>IFERROR(__xludf.DUMMYFUNCTION("""COMPUTED_VALUE"""),"6451 Patrick
Dallas, TX 75214           ")</f>
        <v>6451 Patrick
Dallas, TX 75214           </v>
      </c>
      <c r="CV550" s="51">
        <f>IFERROR(__xludf.DUMMYFUNCTION("IF(REGEXMATCH(UPPER(CU550), ""TX""),0,1)"),0.0)</f>
        <v>0</v>
      </c>
      <c r="CW550" s="51">
        <f>IFERROR(__xludf.DUMMYFUNCTION("IF(REGEXMATCH(UPPER(CU550), ""DALLAS""),0,1)"),0.0)</f>
        <v>0</v>
      </c>
      <c r="CX550" s="51">
        <f t="shared" si="17"/>
        <v>0</v>
      </c>
      <c r="CY550" s="51">
        <f t="shared" si="18"/>
        <v>0</v>
      </c>
      <c r="CZ550" s="52" t="str">
        <f t="shared" si="19"/>
        <v/>
      </c>
      <c r="DA550" s="58"/>
      <c r="DB550" s="52"/>
      <c r="DC550" s="52"/>
      <c r="DD550" s="52"/>
      <c r="DE550" s="52"/>
      <c r="DF550" s="52"/>
      <c r="DG550" s="52"/>
      <c r="DH550" s="52"/>
      <c r="DI550" s="52"/>
      <c r="DJ550" s="52"/>
      <c r="DK550" s="52"/>
      <c r="DL550" s="52"/>
      <c r="DM550" s="52"/>
      <c r="DN550" s="52"/>
      <c r="DO550" s="52"/>
      <c r="DP550" s="52"/>
      <c r="DQ550" s="52"/>
      <c r="DR550" s="52"/>
      <c r="DS550" s="52"/>
      <c r="DT550" s="52"/>
      <c r="DU550" s="52"/>
      <c r="DV550" s="52"/>
      <c r="DW550" s="52"/>
    </row>
    <row r="551">
      <c r="A551" s="40" t="s">
        <v>55</v>
      </c>
      <c r="B551" s="41" t="s">
        <v>56</v>
      </c>
      <c r="C551" s="31" t="s">
        <v>1501</v>
      </c>
      <c r="D551" s="25" t="str">
        <f>IFERROR(__xludf.DUMMYFUNCTION("SPLIT(C551,"" "")"),"Hoffman,")</f>
        <v>Hoffman,</v>
      </c>
      <c r="E551" s="40" t="str">
        <f>IFERROR(__xludf.DUMMYFUNCTION("""COMPUTED_VALUE"""),"Alan
7324")</f>
        <v>Alan
7324</v>
      </c>
      <c r="F551" s="40" t="str">
        <f>IFERROR(__xludf.DUMMYFUNCTION("""COMPUTED_VALUE"""),"Gaston
Dallas,")</f>
        <v>Gaston
Dallas,</v>
      </c>
      <c r="G551" s="40" t="str">
        <f>IFERROR(__xludf.DUMMYFUNCTION("""COMPUTED_VALUE"""),"TX")</f>
        <v>TX</v>
      </c>
      <c r="H551" s="40">
        <f>IFERROR(__xludf.DUMMYFUNCTION("""COMPUTED_VALUE"""),75214.0)</f>
        <v>75214</v>
      </c>
      <c r="I551" s="40"/>
      <c r="J551" s="40"/>
      <c r="K551" s="40"/>
      <c r="L551" s="40"/>
      <c r="M551" s="40"/>
      <c r="N551" s="40"/>
      <c r="O551" s="40"/>
      <c r="P551" s="40"/>
      <c r="Q551" s="40"/>
      <c r="R551" s="40"/>
      <c r="S551" s="40"/>
      <c r="T551" s="40"/>
      <c r="U551" s="24" t="str">
        <f>IFERROR(__xludf.DUMMYFUNCTION("SPLIT(E551,""01234567890"")"),"Alan
")</f>
        <v>Alan
</v>
      </c>
      <c r="V551" s="24" t="str">
        <f>IFERROR(__xludf.DUMMYFUNCTION("SPLIT(D551,"","")"),"Hoffman")</f>
        <v>Hoffman</v>
      </c>
      <c r="W551" s="25" t="str">
        <f t="shared" si="1"/>
        <v>ALAN
 HOFFMAN</v>
      </c>
      <c r="X551" s="25" t="s">
        <v>1502</v>
      </c>
      <c r="Y551" s="25">
        <v>75214.0</v>
      </c>
      <c r="Z551" s="25" t="str">
        <f>IFERROR(__xludf.DUMMYFUNCTION("SPLIT(C551,""
"")"),"Hoffman, Alan")</f>
        <v>Hoffman, Alan</v>
      </c>
      <c r="AA551" s="25" t="str">
        <f>IFERROR(__xludf.DUMMYFUNCTION("""COMPUTED_VALUE"""),"7324 Gaston")</f>
        <v>7324 Gaston</v>
      </c>
      <c r="AB551" s="25" t="str">
        <f>IFERROR(__xludf.DUMMYFUNCTION("""COMPUTED_VALUE"""),"Dallas, TX 75214")</f>
        <v>Dallas, TX 75214</v>
      </c>
      <c r="AC551" s="24" t="s">
        <v>1503</v>
      </c>
      <c r="AD551" s="25"/>
      <c r="AE551" s="25"/>
      <c r="AF551" s="25"/>
      <c r="AG551" s="40" t="s">
        <v>60</v>
      </c>
      <c r="AH551" s="42">
        <v>2448.0</v>
      </c>
      <c r="AI551" s="40" t="s">
        <v>61</v>
      </c>
      <c r="AJ551" s="27">
        <v>100.0</v>
      </c>
      <c r="AK551" s="31" t="s">
        <v>24</v>
      </c>
      <c r="AL551" s="43">
        <v>44706.0</v>
      </c>
      <c r="AM551" s="44">
        <v>44757.44018518519</v>
      </c>
      <c r="AN551" s="30">
        <v>2.0</v>
      </c>
      <c r="AO551" s="40"/>
      <c r="AP551" s="40"/>
      <c r="AQ551" s="40"/>
      <c r="AR551" s="40"/>
      <c r="AS551" s="40"/>
      <c r="AT551" s="47"/>
      <c r="AU551" s="40"/>
      <c r="AV551" s="46" t="str">
        <f>IFERROR(__xludf.DUMMYFUNCTION("""COMPUTED_VALUE"""),"Mann")</f>
        <v>Mann</v>
      </c>
      <c r="AW551" s="46">
        <f t="shared" si="7"/>
        <v>500</v>
      </c>
      <c r="AX551" s="47">
        <f t="shared" ref="AX551:BQ551" si="1763">SUMIFS($AJ:$AJ,$V:$V,$AV551,$AK:$AK,AX$2)</f>
        <v>0</v>
      </c>
      <c r="AY551" s="48">
        <f t="shared" si="1763"/>
        <v>0</v>
      </c>
      <c r="AZ551" s="48">
        <f t="shared" si="1763"/>
        <v>0</v>
      </c>
      <c r="BA551" s="48">
        <f t="shared" si="1763"/>
        <v>0</v>
      </c>
      <c r="BB551" s="48">
        <f t="shared" si="1763"/>
        <v>500</v>
      </c>
      <c r="BC551" s="48">
        <f t="shared" si="1763"/>
        <v>0</v>
      </c>
      <c r="BD551" s="48">
        <f t="shared" si="1763"/>
        <v>0</v>
      </c>
      <c r="BE551" s="48">
        <f t="shared" si="1763"/>
        <v>0</v>
      </c>
      <c r="BF551" s="48">
        <f t="shared" si="1763"/>
        <v>0</v>
      </c>
      <c r="BG551" s="48">
        <f t="shared" si="1763"/>
        <v>0</v>
      </c>
      <c r="BH551" s="48">
        <f t="shared" si="1763"/>
        <v>0</v>
      </c>
      <c r="BI551" s="48">
        <f t="shared" si="1763"/>
        <v>0</v>
      </c>
      <c r="BJ551" s="48">
        <f t="shared" si="1763"/>
        <v>0</v>
      </c>
      <c r="BK551" s="48">
        <f t="shared" si="1763"/>
        <v>0</v>
      </c>
      <c r="BL551" s="48">
        <f t="shared" si="1763"/>
        <v>0</v>
      </c>
      <c r="BM551" s="48">
        <f t="shared" si="1763"/>
        <v>0</v>
      </c>
      <c r="BN551" s="48">
        <f t="shared" si="1763"/>
        <v>0</v>
      </c>
      <c r="BO551" s="48">
        <f t="shared" si="1763"/>
        <v>0</v>
      </c>
      <c r="BP551" s="48">
        <f t="shared" si="1763"/>
        <v>0</v>
      </c>
      <c r="BQ551" s="48">
        <f t="shared" si="1763"/>
        <v>0</v>
      </c>
      <c r="BR551" s="36">
        <f t="shared" si="9"/>
        <v>0</v>
      </c>
      <c r="BS551" s="38">
        <f t="shared" si="10"/>
        <v>1</v>
      </c>
      <c r="BT551" s="49">
        <f t="shared" si="11"/>
        <v>0</v>
      </c>
      <c r="BU551" s="38">
        <f t="shared" si="12"/>
        <v>1000</v>
      </c>
      <c r="BV551" s="46" t="str">
        <f>IFERROR(__xludf.DUMMYFUNCTION("""COMPUTED_VALUE"""),"Mann")</f>
        <v>Mann</v>
      </c>
      <c r="BW551" s="46">
        <f t="shared" si="13"/>
        <v>500</v>
      </c>
      <c r="BX551" s="47">
        <f t="shared" ref="BX551:CA551" si="1764">AX551-$BU551</f>
        <v>-1000</v>
      </c>
      <c r="BY551" s="47">
        <f t="shared" si="1764"/>
        <v>-1000</v>
      </c>
      <c r="BZ551" s="47">
        <f t="shared" si="1764"/>
        <v>-1000</v>
      </c>
      <c r="CA551" s="47">
        <f t="shared" si="1764"/>
        <v>-1000</v>
      </c>
      <c r="CB551" s="47">
        <f t="shared" si="15"/>
        <v>-9500</v>
      </c>
      <c r="CC551" s="47">
        <f t="shared" ref="CC551:CQ551" si="1765">BC551-$BU551</f>
        <v>-1000</v>
      </c>
      <c r="CD551" s="47">
        <f t="shared" si="1765"/>
        <v>-1000</v>
      </c>
      <c r="CE551" s="47">
        <f t="shared" si="1765"/>
        <v>-1000</v>
      </c>
      <c r="CF551" s="47">
        <f t="shared" si="1765"/>
        <v>-1000</v>
      </c>
      <c r="CG551" s="47">
        <f t="shared" si="1765"/>
        <v>-1000</v>
      </c>
      <c r="CH551" s="47">
        <f t="shared" si="1765"/>
        <v>-1000</v>
      </c>
      <c r="CI551" s="47">
        <f t="shared" si="1765"/>
        <v>-1000</v>
      </c>
      <c r="CJ551" s="47">
        <f t="shared" si="1765"/>
        <v>-1000</v>
      </c>
      <c r="CK551" s="47">
        <f t="shared" si="1765"/>
        <v>-1000</v>
      </c>
      <c r="CL551" s="47">
        <f t="shared" si="1765"/>
        <v>-1000</v>
      </c>
      <c r="CM551" s="47">
        <f t="shared" si="1765"/>
        <v>-1000</v>
      </c>
      <c r="CN551" s="47">
        <f t="shared" si="1765"/>
        <v>-1000</v>
      </c>
      <c r="CO551" s="47">
        <f t="shared" si="1765"/>
        <v>-1000</v>
      </c>
      <c r="CP551" s="47">
        <f t="shared" si="1765"/>
        <v>-1000</v>
      </c>
      <c r="CQ551" s="47">
        <f t="shared" si="1765"/>
        <v>-1000</v>
      </c>
      <c r="CR551" s="47"/>
      <c r="CS551" s="47"/>
      <c r="CT551" s="47"/>
      <c r="CU551" s="50" t="str">
        <f>IFERROR(__xludf.DUMMYFUNCTION("""COMPUTED_VALUE"""),"5514 Montrose
Dallas, TX 75209           ")</f>
        <v>5514 Montrose
Dallas, TX 75209           </v>
      </c>
      <c r="CV551" s="51">
        <f>IFERROR(__xludf.DUMMYFUNCTION("IF(REGEXMATCH(UPPER(CU551), ""TX""),0,1)"),0.0)</f>
        <v>0</v>
      </c>
      <c r="CW551" s="51">
        <f>IFERROR(__xludf.DUMMYFUNCTION("IF(REGEXMATCH(UPPER(CU551), ""DALLAS""),0,1)"),0.0)</f>
        <v>0</v>
      </c>
      <c r="CX551" s="51">
        <f t="shared" si="17"/>
        <v>0</v>
      </c>
      <c r="CY551" s="51">
        <f t="shared" si="18"/>
        <v>0</v>
      </c>
      <c r="CZ551" s="52" t="str">
        <f t="shared" si="19"/>
        <v/>
      </c>
      <c r="DA551" s="58"/>
      <c r="DB551" s="52"/>
      <c r="DC551" s="52"/>
      <c r="DD551" s="52"/>
      <c r="DE551" s="52"/>
      <c r="DF551" s="52"/>
      <c r="DG551" s="52"/>
      <c r="DH551" s="52"/>
      <c r="DI551" s="52"/>
      <c r="DJ551" s="52"/>
      <c r="DK551" s="52"/>
      <c r="DL551" s="52"/>
      <c r="DM551" s="52"/>
      <c r="DN551" s="52"/>
      <c r="DO551" s="52"/>
      <c r="DP551" s="52"/>
      <c r="DQ551" s="52"/>
      <c r="DR551" s="52"/>
      <c r="DS551" s="52"/>
      <c r="DT551" s="52"/>
      <c r="DU551" s="52"/>
      <c r="DV551" s="52"/>
      <c r="DW551" s="52"/>
    </row>
    <row r="552">
      <c r="A552" s="22" t="s">
        <v>55</v>
      </c>
      <c r="B552" s="23" t="s">
        <v>56</v>
      </c>
      <c r="C552" s="31" t="s">
        <v>1504</v>
      </c>
      <c r="D552" s="25" t="str">
        <f>IFERROR(__xludf.DUMMYFUNCTION("SPLIT(C552,"" "")"),"Hoffman,")</f>
        <v>Hoffman,</v>
      </c>
      <c r="E552" s="22" t="str">
        <f>IFERROR(__xludf.DUMMYFUNCTION("""COMPUTED_VALUE"""),"Pamela
9010")</f>
        <v>Pamela
9010</v>
      </c>
      <c r="F552" s="22" t="str">
        <f>IFERROR(__xludf.DUMMYFUNCTION("""COMPUTED_VALUE"""),"Groveland")</f>
        <v>Groveland</v>
      </c>
      <c r="G552" s="22" t="str">
        <f>IFERROR(__xludf.DUMMYFUNCTION("""COMPUTED_VALUE"""),"Dr
Dallas,")</f>
        <v>Dr
Dallas,</v>
      </c>
      <c r="H552" s="22" t="str">
        <f>IFERROR(__xludf.DUMMYFUNCTION("""COMPUTED_VALUE"""),"TX")</f>
        <v>TX</v>
      </c>
      <c r="I552" s="22">
        <f>IFERROR(__xludf.DUMMYFUNCTION("""COMPUTED_VALUE"""),75218.0)</f>
        <v>75218</v>
      </c>
      <c r="J552" s="22"/>
      <c r="K552" s="22"/>
      <c r="L552" s="22"/>
      <c r="M552" s="22"/>
      <c r="N552" s="22"/>
      <c r="O552" s="22"/>
      <c r="P552" s="22"/>
      <c r="Q552" s="22"/>
      <c r="R552" s="22"/>
      <c r="S552" s="22"/>
      <c r="T552" s="22"/>
      <c r="U552" s="24" t="str">
        <f>IFERROR(__xludf.DUMMYFUNCTION("SPLIT(E552,""01234567890"")"),"Pamela
")</f>
        <v>Pamela
</v>
      </c>
      <c r="V552" s="24" t="str">
        <f>IFERROR(__xludf.DUMMYFUNCTION("SPLIT(D552,"","")"),"Hoffman")</f>
        <v>Hoffman</v>
      </c>
      <c r="W552" s="25" t="str">
        <f t="shared" si="1"/>
        <v>PAMELA
 HOFFMAN</v>
      </c>
      <c r="X552" s="25" t="s">
        <v>1505</v>
      </c>
      <c r="Y552" s="25">
        <v>75218.0</v>
      </c>
      <c r="Z552" s="25" t="str">
        <f>IFERROR(__xludf.DUMMYFUNCTION("SPLIT(C552,""
"")"),"Hoffman, Pamela")</f>
        <v>Hoffman, Pamela</v>
      </c>
      <c r="AA552" s="25" t="str">
        <f>IFERROR(__xludf.DUMMYFUNCTION("""COMPUTED_VALUE"""),"9010 Groveland Dr")</f>
        <v>9010 Groveland Dr</v>
      </c>
      <c r="AB552" s="25" t="str">
        <f>IFERROR(__xludf.DUMMYFUNCTION("""COMPUTED_VALUE"""),"Dallas, TX 75218")</f>
        <v>Dallas, TX 75218</v>
      </c>
      <c r="AC552" s="24" t="s">
        <v>1506</v>
      </c>
      <c r="AD552" s="25"/>
      <c r="AE552" s="25"/>
      <c r="AF552" s="25"/>
      <c r="AG552" s="22" t="s">
        <v>60</v>
      </c>
      <c r="AH552" s="54">
        <v>2448.0</v>
      </c>
      <c r="AI552" s="22" t="s">
        <v>61</v>
      </c>
      <c r="AJ552" s="27">
        <v>100.0</v>
      </c>
      <c r="AK552" s="31" t="s">
        <v>24</v>
      </c>
      <c r="AL552" s="28">
        <v>44706.0</v>
      </c>
      <c r="AM552" s="29">
        <v>44757.44018518519</v>
      </c>
      <c r="AN552" s="30">
        <v>2.0</v>
      </c>
      <c r="AO552" s="22"/>
      <c r="AP552" s="22"/>
      <c r="AQ552" s="22"/>
      <c r="AR552" s="22"/>
      <c r="AS552" s="22"/>
      <c r="AT552" s="70"/>
      <c r="AU552" s="22"/>
      <c r="AV552" s="57" t="str">
        <f>IFERROR(__xludf.DUMMYFUNCTION("""COMPUTED_VALUE"""),"Lutin")</f>
        <v>Lutin</v>
      </c>
      <c r="AW552" s="46">
        <f t="shared" si="7"/>
        <v>500</v>
      </c>
      <c r="AX552" s="47">
        <f t="shared" ref="AX552:BQ552" si="1766">SUMIFS($AJ:$AJ,$V:$V,$AV552,$AK:$AK,AX$2)</f>
        <v>0</v>
      </c>
      <c r="AY552" s="48">
        <f t="shared" si="1766"/>
        <v>0</v>
      </c>
      <c r="AZ552" s="48">
        <f t="shared" si="1766"/>
        <v>0</v>
      </c>
      <c r="BA552" s="48">
        <f t="shared" si="1766"/>
        <v>0</v>
      </c>
      <c r="BB552" s="48">
        <f t="shared" si="1766"/>
        <v>500</v>
      </c>
      <c r="BC552" s="48">
        <f t="shared" si="1766"/>
        <v>0</v>
      </c>
      <c r="BD552" s="48">
        <f t="shared" si="1766"/>
        <v>0</v>
      </c>
      <c r="BE552" s="48">
        <f t="shared" si="1766"/>
        <v>0</v>
      </c>
      <c r="BF552" s="48">
        <f t="shared" si="1766"/>
        <v>0</v>
      </c>
      <c r="BG552" s="48">
        <f t="shared" si="1766"/>
        <v>0</v>
      </c>
      <c r="BH552" s="48">
        <f t="shared" si="1766"/>
        <v>0</v>
      </c>
      <c r="BI552" s="48">
        <f t="shared" si="1766"/>
        <v>0</v>
      </c>
      <c r="BJ552" s="48">
        <f t="shared" si="1766"/>
        <v>0</v>
      </c>
      <c r="BK552" s="48">
        <f t="shared" si="1766"/>
        <v>0</v>
      </c>
      <c r="BL552" s="48">
        <f t="shared" si="1766"/>
        <v>0</v>
      </c>
      <c r="BM552" s="48">
        <f t="shared" si="1766"/>
        <v>0</v>
      </c>
      <c r="BN552" s="48">
        <f t="shared" si="1766"/>
        <v>0</v>
      </c>
      <c r="BO552" s="48">
        <f t="shared" si="1766"/>
        <v>0</v>
      </c>
      <c r="BP552" s="48">
        <f t="shared" si="1766"/>
        <v>0</v>
      </c>
      <c r="BQ552" s="48">
        <f t="shared" si="1766"/>
        <v>0</v>
      </c>
      <c r="BR552" s="36">
        <f t="shared" si="9"/>
        <v>0</v>
      </c>
      <c r="BS552" s="38">
        <f t="shared" si="10"/>
        <v>1</v>
      </c>
      <c r="BT552" s="49">
        <f t="shared" si="11"/>
        <v>0</v>
      </c>
      <c r="BU552" s="38">
        <f t="shared" si="12"/>
        <v>1000</v>
      </c>
      <c r="BV552" s="57" t="str">
        <f>IFERROR(__xludf.DUMMYFUNCTION("""COMPUTED_VALUE"""),"Lutin")</f>
        <v>Lutin</v>
      </c>
      <c r="BW552" s="46">
        <f t="shared" si="13"/>
        <v>500</v>
      </c>
      <c r="BX552" s="47">
        <f t="shared" ref="BX552:CA552" si="1767">AX552-$BU552</f>
        <v>-1000</v>
      </c>
      <c r="BY552" s="47">
        <f t="shared" si="1767"/>
        <v>-1000</v>
      </c>
      <c r="BZ552" s="47">
        <f t="shared" si="1767"/>
        <v>-1000</v>
      </c>
      <c r="CA552" s="47">
        <f t="shared" si="1767"/>
        <v>-1000</v>
      </c>
      <c r="CB552" s="47">
        <f t="shared" si="15"/>
        <v>-9500</v>
      </c>
      <c r="CC552" s="47">
        <f t="shared" ref="CC552:CQ552" si="1768">BC552-$BU552</f>
        <v>-1000</v>
      </c>
      <c r="CD552" s="47">
        <f t="shared" si="1768"/>
        <v>-1000</v>
      </c>
      <c r="CE552" s="47">
        <f t="shared" si="1768"/>
        <v>-1000</v>
      </c>
      <c r="CF552" s="47">
        <f t="shared" si="1768"/>
        <v>-1000</v>
      </c>
      <c r="CG552" s="47">
        <f t="shared" si="1768"/>
        <v>-1000</v>
      </c>
      <c r="CH552" s="47">
        <f t="shared" si="1768"/>
        <v>-1000</v>
      </c>
      <c r="CI552" s="47">
        <f t="shared" si="1768"/>
        <v>-1000</v>
      </c>
      <c r="CJ552" s="47">
        <f t="shared" si="1768"/>
        <v>-1000</v>
      </c>
      <c r="CK552" s="47">
        <f t="shared" si="1768"/>
        <v>-1000</v>
      </c>
      <c r="CL552" s="47">
        <f t="shared" si="1768"/>
        <v>-1000</v>
      </c>
      <c r="CM552" s="47">
        <f t="shared" si="1768"/>
        <v>-1000</v>
      </c>
      <c r="CN552" s="47">
        <f t="shared" si="1768"/>
        <v>-1000</v>
      </c>
      <c r="CO552" s="47">
        <f t="shared" si="1768"/>
        <v>-1000</v>
      </c>
      <c r="CP552" s="47">
        <f t="shared" si="1768"/>
        <v>-1000</v>
      </c>
      <c r="CQ552" s="47">
        <f t="shared" si="1768"/>
        <v>-1000</v>
      </c>
      <c r="CR552" s="47"/>
      <c r="CS552" s="47"/>
      <c r="CT552" s="47"/>
      <c r="CU552" s="50" t="str">
        <f>IFERROR(__xludf.DUMMYFUNCTION("""COMPUTED_VALUE"""),"2500 Houston
Dallas, TX 75219           ")</f>
        <v>2500 Houston
Dallas, TX 75219           </v>
      </c>
      <c r="CV552" s="51">
        <f>IFERROR(__xludf.DUMMYFUNCTION("IF(REGEXMATCH(UPPER(CU552), ""TX""),0,1)"),0.0)</f>
        <v>0</v>
      </c>
      <c r="CW552" s="51">
        <f>IFERROR(__xludf.DUMMYFUNCTION("IF(REGEXMATCH(UPPER(CU552), ""DALLAS""),0,1)"),0.0)</f>
        <v>0</v>
      </c>
      <c r="CX552" s="51">
        <f t="shared" si="17"/>
        <v>0</v>
      </c>
      <c r="CY552" s="51">
        <f t="shared" si="18"/>
        <v>0</v>
      </c>
      <c r="CZ552" s="52" t="str">
        <f t="shared" si="19"/>
        <v/>
      </c>
      <c r="DA552" s="58"/>
      <c r="DB552" s="52"/>
      <c r="DC552" s="52"/>
      <c r="DD552" s="52"/>
      <c r="DE552" s="52"/>
      <c r="DF552" s="52"/>
      <c r="DG552" s="52"/>
      <c r="DH552" s="52"/>
      <c r="DI552" s="52"/>
      <c r="DJ552" s="52"/>
      <c r="DK552" s="52"/>
      <c r="DL552" s="52"/>
      <c r="DM552" s="52"/>
      <c r="DN552" s="52"/>
      <c r="DO552" s="52"/>
      <c r="DP552" s="52"/>
      <c r="DQ552" s="52"/>
      <c r="DR552" s="52"/>
      <c r="DS552" s="52"/>
      <c r="DT552" s="52"/>
      <c r="DU552" s="52"/>
      <c r="DV552" s="52"/>
      <c r="DW552" s="52"/>
    </row>
    <row r="553">
      <c r="A553" s="40" t="s">
        <v>55</v>
      </c>
      <c r="B553" s="41" t="s">
        <v>56</v>
      </c>
      <c r="C553" s="31" t="s">
        <v>1504</v>
      </c>
      <c r="D553" s="25" t="str">
        <f>IFERROR(__xludf.DUMMYFUNCTION("SPLIT(C553,"" "")"),"Hoffman,")</f>
        <v>Hoffman,</v>
      </c>
      <c r="E553" s="40" t="str">
        <f>IFERROR(__xludf.DUMMYFUNCTION("""COMPUTED_VALUE"""),"Pamela
9010")</f>
        <v>Pamela
9010</v>
      </c>
      <c r="F553" s="40" t="str">
        <f>IFERROR(__xludf.DUMMYFUNCTION("""COMPUTED_VALUE"""),"Groveland")</f>
        <v>Groveland</v>
      </c>
      <c r="G553" s="40" t="str">
        <f>IFERROR(__xludf.DUMMYFUNCTION("""COMPUTED_VALUE"""),"Dr
Dallas,")</f>
        <v>Dr
Dallas,</v>
      </c>
      <c r="H553" s="40" t="str">
        <f>IFERROR(__xludf.DUMMYFUNCTION("""COMPUTED_VALUE"""),"TX")</f>
        <v>TX</v>
      </c>
      <c r="I553" s="40">
        <f>IFERROR(__xludf.DUMMYFUNCTION("""COMPUTED_VALUE"""),75218.0)</f>
        <v>75218</v>
      </c>
      <c r="J553" s="40"/>
      <c r="K553" s="40"/>
      <c r="L553" s="40"/>
      <c r="M553" s="40"/>
      <c r="N553" s="40"/>
      <c r="O553" s="40"/>
      <c r="P553" s="40"/>
      <c r="Q553" s="40"/>
      <c r="R553" s="40"/>
      <c r="S553" s="40"/>
      <c r="T553" s="40"/>
      <c r="U553" s="24" t="str">
        <f>IFERROR(__xludf.DUMMYFUNCTION("SPLIT(E553,""01234567890"")"),"Pamela
")</f>
        <v>Pamela
</v>
      </c>
      <c r="V553" s="24" t="str">
        <f>IFERROR(__xludf.DUMMYFUNCTION("SPLIT(D553,"","")"),"Hoffman")</f>
        <v>Hoffman</v>
      </c>
      <c r="W553" s="25" t="str">
        <f t="shared" si="1"/>
        <v>PAMELA
 HOFFMAN</v>
      </c>
      <c r="X553" s="25" t="s">
        <v>1505</v>
      </c>
      <c r="Y553" s="25">
        <v>75218.0</v>
      </c>
      <c r="Z553" s="25" t="str">
        <f>IFERROR(__xludf.DUMMYFUNCTION("SPLIT(C553,""
"")"),"Hoffman, Pamela")</f>
        <v>Hoffman, Pamela</v>
      </c>
      <c r="AA553" s="25" t="str">
        <f>IFERROR(__xludf.DUMMYFUNCTION("""COMPUTED_VALUE"""),"9010 Groveland Dr")</f>
        <v>9010 Groveland Dr</v>
      </c>
      <c r="AB553" s="25" t="str">
        <f>IFERROR(__xludf.DUMMYFUNCTION("""COMPUTED_VALUE"""),"Dallas, TX 75218")</f>
        <v>Dallas, TX 75218</v>
      </c>
      <c r="AC553" s="24" t="s">
        <v>1506</v>
      </c>
      <c r="AD553" s="25"/>
      <c r="AE553" s="25"/>
      <c r="AF553" s="25"/>
      <c r="AG553" s="40" t="s">
        <v>60</v>
      </c>
      <c r="AH553" s="42">
        <v>2448.0</v>
      </c>
      <c r="AI553" s="40" t="s">
        <v>61</v>
      </c>
      <c r="AJ553" s="27">
        <v>100.0</v>
      </c>
      <c r="AK553" s="31" t="s">
        <v>24</v>
      </c>
      <c r="AL553" s="43">
        <v>44706.0</v>
      </c>
      <c r="AM553" s="44">
        <v>44757.44018518519</v>
      </c>
      <c r="AN553" s="30">
        <v>2.0</v>
      </c>
      <c r="AO553" s="40"/>
      <c r="AP553" s="40"/>
      <c r="AQ553" s="40"/>
      <c r="AR553" s="40"/>
      <c r="AS553" s="40"/>
      <c r="AT553" s="47"/>
      <c r="AU553" s="40"/>
      <c r="AV553" s="46" t="str">
        <f>IFERROR(__xludf.DUMMYFUNCTION("""COMPUTED_VALUE"""),"Culbreath")</f>
        <v>Culbreath</v>
      </c>
      <c r="AW553" s="46">
        <f t="shared" si="7"/>
        <v>200</v>
      </c>
      <c r="AX553" s="47">
        <f t="shared" ref="AX553:BQ553" si="1769">SUMIFS($AJ:$AJ,$V:$V,$AV553,$AK:$AK,AX$2)</f>
        <v>0</v>
      </c>
      <c r="AY553" s="48">
        <f t="shared" si="1769"/>
        <v>0</v>
      </c>
      <c r="AZ553" s="48">
        <f t="shared" si="1769"/>
        <v>0</v>
      </c>
      <c r="BA553" s="48">
        <f t="shared" si="1769"/>
        <v>0</v>
      </c>
      <c r="BB553" s="48">
        <f t="shared" si="1769"/>
        <v>200</v>
      </c>
      <c r="BC553" s="48">
        <f t="shared" si="1769"/>
        <v>0</v>
      </c>
      <c r="BD553" s="48">
        <f t="shared" si="1769"/>
        <v>0</v>
      </c>
      <c r="BE553" s="48">
        <f t="shared" si="1769"/>
        <v>0</v>
      </c>
      <c r="BF553" s="48">
        <f t="shared" si="1769"/>
        <v>0</v>
      </c>
      <c r="BG553" s="48">
        <f t="shared" si="1769"/>
        <v>0</v>
      </c>
      <c r="BH553" s="48">
        <f t="shared" si="1769"/>
        <v>0</v>
      </c>
      <c r="BI553" s="48">
        <f t="shared" si="1769"/>
        <v>0</v>
      </c>
      <c r="BJ553" s="48">
        <f t="shared" si="1769"/>
        <v>0</v>
      </c>
      <c r="BK553" s="48">
        <f t="shared" si="1769"/>
        <v>0</v>
      </c>
      <c r="BL553" s="48">
        <f t="shared" si="1769"/>
        <v>0</v>
      </c>
      <c r="BM553" s="48">
        <f t="shared" si="1769"/>
        <v>0</v>
      </c>
      <c r="BN553" s="48">
        <f t="shared" si="1769"/>
        <v>0</v>
      </c>
      <c r="BO553" s="48">
        <f t="shared" si="1769"/>
        <v>0</v>
      </c>
      <c r="BP553" s="48">
        <f t="shared" si="1769"/>
        <v>0</v>
      </c>
      <c r="BQ553" s="48">
        <f t="shared" si="1769"/>
        <v>0</v>
      </c>
      <c r="BR553" s="36">
        <f t="shared" si="9"/>
        <v>0</v>
      </c>
      <c r="BS553" s="38">
        <f t="shared" si="10"/>
        <v>1</v>
      </c>
      <c r="BT553" s="49">
        <f t="shared" si="11"/>
        <v>0</v>
      </c>
      <c r="BU553" s="38">
        <f t="shared" si="12"/>
        <v>1000</v>
      </c>
      <c r="BV553" s="46" t="str">
        <f>IFERROR(__xludf.DUMMYFUNCTION("""COMPUTED_VALUE"""),"Culbreath")</f>
        <v>Culbreath</v>
      </c>
      <c r="BW553" s="46">
        <f t="shared" si="13"/>
        <v>200</v>
      </c>
      <c r="BX553" s="47">
        <f t="shared" ref="BX553:CA553" si="1770">AX553-$BU553</f>
        <v>-1000</v>
      </c>
      <c r="BY553" s="47">
        <f t="shared" si="1770"/>
        <v>-1000</v>
      </c>
      <c r="BZ553" s="47">
        <f t="shared" si="1770"/>
        <v>-1000</v>
      </c>
      <c r="CA553" s="47">
        <f t="shared" si="1770"/>
        <v>-1000</v>
      </c>
      <c r="CB553" s="47">
        <f t="shared" si="15"/>
        <v>-9800</v>
      </c>
      <c r="CC553" s="47">
        <f t="shared" ref="CC553:CQ553" si="1771">BC553-$BU553</f>
        <v>-1000</v>
      </c>
      <c r="CD553" s="47">
        <f t="shared" si="1771"/>
        <v>-1000</v>
      </c>
      <c r="CE553" s="47">
        <f t="shared" si="1771"/>
        <v>-1000</v>
      </c>
      <c r="CF553" s="47">
        <f t="shared" si="1771"/>
        <v>-1000</v>
      </c>
      <c r="CG553" s="47">
        <f t="shared" si="1771"/>
        <v>-1000</v>
      </c>
      <c r="CH553" s="47">
        <f t="shared" si="1771"/>
        <v>-1000</v>
      </c>
      <c r="CI553" s="47">
        <f t="shared" si="1771"/>
        <v>-1000</v>
      </c>
      <c r="CJ553" s="47">
        <f t="shared" si="1771"/>
        <v>-1000</v>
      </c>
      <c r="CK553" s="47">
        <f t="shared" si="1771"/>
        <v>-1000</v>
      </c>
      <c r="CL553" s="47">
        <f t="shared" si="1771"/>
        <v>-1000</v>
      </c>
      <c r="CM553" s="47">
        <f t="shared" si="1771"/>
        <v>-1000</v>
      </c>
      <c r="CN553" s="47">
        <f t="shared" si="1771"/>
        <v>-1000</v>
      </c>
      <c r="CO553" s="47">
        <f t="shared" si="1771"/>
        <v>-1000</v>
      </c>
      <c r="CP553" s="47">
        <f t="shared" si="1771"/>
        <v>-1000</v>
      </c>
      <c r="CQ553" s="47">
        <f t="shared" si="1771"/>
        <v>-1000</v>
      </c>
      <c r="CR553" s="47"/>
      <c r="CS553" s="47"/>
      <c r="CT553" s="47"/>
      <c r="CU553" s="50" t="str">
        <f>IFERROR(__xludf.DUMMYFUNCTION("""COMPUTED_VALUE"""),"3925 Carnegie Ln
Raleigh, NC 27612          ")</f>
        <v>3925 Carnegie Ln
Raleigh, NC 27612          </v>
      </c>
      <c r="CV553" s="51">
        <f>IFERROR(__xludf.DUMMYFUNCTION("IF(REGEXMATCH(UPPER(CU553), ""TX""),0,1)"),1.0)</f>
        <v>1</v>
      </c>
      <c r="CW553" s="51">
        <f>IFERROR(__xludf.DUMMYFUNCTION("IF(REGEXMATCH(UPPER(CU553), ""DALLAS""),0,1)"),1.0)</f>
        <v>1</v>
      </c>
      <c r="CX553" s="51">
        <f t="shared" si="17"/>
        <v>60</v>
      </c>
      <c r="CY553" s="51">
        <f t="shared" si="18"/>
        <v>60</v>
      </c>
      <c r="CZ553" s="52" t="str">
        <f t="shared" si="19"/>
        <v>3925 Carnegie Ln
Raleigh, NC 27612          </v>
      </c>
      <c r="DA553" s="58"/>
      <c r="DB553" s="52"/>
      <c r="DC553" s="52"/>
      <c r="DD553" s="52"/>
      <c r="DE553" s="52"/>
      <c r="DF553" s="52"/>
      <c r="DG553" s="52"/>
      <c r="DH553" s="52"/>
      <c r="DI553" s="52"/>
      <c r="DJ553" s="52"/>
      <c r="DK553" s="52"/>
      <c r="DL553" s="52"/>
      <c r="DM553" s="52"/>
      <c r="DN553" s="52"/>
      <c r="DO553" s="52"/>
      <c r="DP553" s="52"/>
      <c r="DQ553" s="52"/>
      <c r="DR553" s="52"/>
      <c r="DS553" s="52"/>
      <c r="DT553" s="52"/>
      <c r="DU553" s="52"/>
      <c r="DV553" s="52"/>
      <c r="DW553" s="52"/>
    </row>
    <row r="554">
      <c r="A554" s="22" t="s">
        <v>55</v>
      </c>
      <c r="B554" s="23" t="s">
        <v>56</v>
      </c>
      <c r="C554" s="31" t="s">
        <v>1504</v>
      </c>
      <c r="D554" s="25" t="str">
        <f>IFERROR(__xludf.DUMMYFUNCTION("SPLIT(C554,"" "")"),"Hoffman,")</f>
        <v>Hoffman,</v>
      </c>
      <c r="E554" s="22" t="str">
        <f>IFERROR(__xludf.DUMMYFUNCTION("""COMPUTED_VALUE"""),"Pamela
9010")</f>
        <v>Pamela
9010</v>
      </c>
      <c r="F554" s="22" t="str">
        <f>IFERROR(__xludf.DUMMYFUNCTION("""COMPUTED_VALUE"""),"Groveland")</f>
        <v>Groveland</v>
      </c>
      <c r="G554" s="22" t="str">
        <f>IFERROR(__xludf.DUMMYFUNCTION("""COMPUTED_VALUE"""),"Dr
Dallas,")</f>
        <v>Dr
Dallas,</v>
      </c>
      <c r="H554" s="22" t="str">
        <f>IFERROR(__xludf.DUMMYFUNCTION("""COMPUTED_VALUE"""),"TX")</f>
        <v>TX</v>
      </c>
      <c r="I554" s="22">
        <f>IFERROR(__xludf.DUMMYFUNCTION("""COMPUTED_VALUE"""),75218.0)</f>
        <v>75218</v>
      </c>
      <c r="J554" s="22"/>
      <c r="K554" s="22"/>
      <c r="L554" s="22"/>
      <c r="M554" s="22"/>
      <c r="N554" s="22"/>
      <c r="O554" s="22"/>
      <c r="P554" s="22"/>
      <c r="Q554" s="22"/>
      <c r="R554" s="22"/>
      <c r="S554" s="22"/>
      <c r="T554" s="22"/>
      <c r="U554" s="24" t="str">
        <f>IFERROR(__xludf.DUMMYFUNCTION("SPLIT(E554,""01234567890"")"),"Pamela
")</f>
        <v>Pamela
</v>
      </c>
      <c r="V554" s="24" t="str">
        <f>IFERROR(__xludf.DUMMYFUNCTION("SPLIT(D554,"","")"),"Hoffman")</f>
        <v>Hoffman</v>
      </c>
      <c r="W554" s="25" t="str">
        <f t="shared" si="1"/>
        <v>PAMELA
 HOFFMAN</v>
      </c>
      <c r="X554" s="25" t="s">
        <v>1505</v>
      </c>
      <c r="Y554" s="25">
        <v>75218.0</v>
      </c>
      <c r="Z554" s="25" t="str">
        <f>IFERROR(__xludf.DUMMYFUNCTION("SPLIT(C554,""
"")"),"Hoffman, Pamela")</f>
        <v>Hoffman, Pamela</v>
      </c>
      <c r="AA554" s="25" t="str">
        <f>IFERROR(__xludf.DUMMYFUNCTION("""COMPUTED_VALUE"""),"9010 Groveland Dr")</f>
        <v>9010 Groveland Dr</v>
      </c>
      <c r="AB554" s="25" t="str">
        <f>IFERROR(__xludf.DUMMYFUNCTION("""COMPUTED_VALUE"""),"Dallas, TX 75218")</f>
        <v>Dallas, TX 75218</v>
      </c>
      <c r="AC554" s="24" t="s">
        <v>1506</v>
      </c>
      <c r="AD554" s="25"/>
      <c r="AE554" s="25"/>
      <c r="AF554" s="25"/>
      <c r="AG554" s="22" t="s">
        <v>60</v>
      </c>
      <c r="AH554" s="54">
        <v>2448.0</v>
      </c>
      <c r="AI554" s="22" t="s">
        <v>61</v>
      </c>
      <c r="AJ554" s="27">
        <v>100.0</v>
      </c>
      <c r="AK554" s="31" t="s">
        <v>24</v>
      </c>
      <c r="AL554" s="28">
        <v>44706.0</v>
      </c>
      <c r="AM554" s="29">
        <v>44757.44018518519</v>
      </c>
      <c r="AN554" s="30">
        <v>2.0</v>
      </c>
      <c r="AO554" s="22"/>
      <c r="AP554" s="22"/>
      <c r="AQ554" s="22"/>
      <c r="AR554" s="22"/>
      <c r="AS554" s="22"/>
      <c r="AT554" s="70"/>
      <c r="AU554" s="22"/>
      <c r="AV554" s="57" t="str">
        <f>IFERROR(__xludf.DUMMYFUNCTION("""COMPUTED_VALUE"""),"Sacher")</f>
        <v>Sacher</v>
      </c>
      <c r="AW554" s="46">
        <f t="shared" si="7"/>
        <v>600</v>
      </c>
      <c r="AX554" s="47">
        <f t="shared" ref="AX554:BQ554" si="1772">SUMIFS($AJ:$AJ,$V:$V,$AV554,$AK:$AK,AX$2)</f>
        <v>0</v>
      </c>
      <c r="AY554" s="48">
        <f t="shared" si="1772"/>
        <v>0</v>
      </c>
      <c r="AZ554" s="48">
        <f t="shared" si="1772"/>
        <v>0</v>
      </c>
      <c r="BA554" s="48">
        <f t="shared" si="1772"/>
        <v>0</v>
      </c>
      <c r="BB554" s="48">
        <f t="shared" si="1772"/>
        <v>600</v>
      </c>
      <c r="BC554" s="48">
        <f t="shared" si="1772"/>
        <v>0</v>
      </c>
      <c r="BD554" s="48">
        <f t="shared" si="1772"/>
        <v>0</v>
      </c>
      <c r="BE554" s="48">
        <f t="shared" si="1772"/>
        <v>0</v>
      </c>
      <c r="BF554" s="48">
        <f t="shared" si="1772"/>
        <v>0</v>
      </c>
      <c r="BG554" s="48">
        <f t="shared" si="1772"/>
        <v>0</v>
      </c>
      <c r="BH554" s="48">
        <f t="shared" si="1772"/>
        <v>0</v>
      </c>
      <c r="BI554" s="48">
        <f t="shared" si="1772"/>
        <v>0</v>
      </c>
      <c r="BJ554" s="48">
        <f t="shared" si="1772"/>
        <v>0</v>
      </c>
      <c r="BK554" s="48">
        <f t="shared" si="1772"/>
        <v>0</v>
      </c>
      <c r="BL554" s="48">
        <f t="shared" si="1772"/>
        <v>0</v>
      </c>
      <c r="BM554" s="48">
        <f t="shared" si="1772"/>
        <v>0</v>
      </c>
      <c r="BN554" s="48">
        <f t="shared" si="1772"/>
        <v>0</v>
      </c>
      <c r="BO554" s="48">
        <f t="shared" si="1772"/>
        <v>0</v>
      </c>
      <c r="BP554" s="48">
        <f t="shared" si="1772"/>
        <v>0</v>
      </c>
      <c r="BQ554" s="48">
        <f t="shared" si="1772"/>
        <v>0</v>
      </c>
      <c r="BR554" s="36">
        <f t="shared" si="9"/>
        <v>1</v>
      </c>
      <c r="BS554" s="38">
        <f t="shared" si="10"/>
        <v>2</v>
      </c>
      <c r="BT554" s="49">
        <f t="shared" si="11"/>
        <v>0</v>
      </c>
      <c r="BU554" s="38">
        <f t="shared" si="12"/>
        <v>2000</v>
      </c>
      <c r="BV554" s="57" t="str">
        <f>IFERROR(__xludf.DUMMYFUNCTION("""COMPUTED_VALUE"""),"Sacher")</f>
        <v>Sacher</v>
      </c>
      <c r="BW554" s="46">
        <f t="shared" si="13"/>
        <v>600</v>
      </c>
      <c r="BX554" s="47">
        <f t="shared" ref="BX554:CA554" si="1773">AX554-$BU554</f>
        <v>-2000</v>
      </c>
      <c r="BY554" s="47">
        <f t="shared" si="1773"/>
        <v>-2000</v>
      </c>
      <c r="BZ554" s="47">
        <f t="shared" si="1773"/>
        <v>-2000</v>
      </c>
      <c r="CA554" s="47">
        <f t="shared" si="1773"/>
        <v>-2000</v>
      </c>
      <c r="CB554" s="47">
        <f t="shared" si="15"/>
        <v>-19400</v>
      </c>
      <c r="CC554" s="47">
        <f t="shared" ref="CC554:CQ554" si="1774">BC554-$BU554</f>
        <v>-2000</v>
      </c>
      <c r="CD554" s="47">
        <f t="shared" si="1774"/>
        <v>-2000</v>
      </c>
      <c r="CE554" s="47">
        <f t="shared" si="1774"/>
        <v>-2000</v>
      </c>
      <c r="CF554" s="47">
        <f t="shared" si="1774"/>
        <v>-2000</v>
      </c>
      <c r="CG554" s="47">
        <f t="shared" si="1774"/>
        <v>-2000</v>
      </c>
      <c r="CH554" s="47">
        <f t="shared" si="1774"/>
        <v>-2000</v>
      </c>
      <c r="CI554" s="47">
        <f t="shared" si="1774"/>
        <v>-2000</v>
      </c>
      <c r="CJ554" s="47">
        <f t="shared" si="1774"/>
        <v>-2000</v>
      </c>
      <c r="CK554" s="47">
        <f t="shared" si="1774"/>
        <v>-2000</v>
      </c>
      <c r="CL554" s="47">
        <f t="shared" si="1774"/>
        <v>-2000</v>
      </c>
      <c r="CM554" s="47">
        <f t="shared" si="1774"/>
        <v>-2000</v>
      </c>
      <c r="CN554" s="47">
        <f t="shared" si="1774"/>
        <v>-2000</v>
      </c>
      <c r="CO554" s="47">
        <f t="shared" si="1774"/>
        <v>-2000</v>
      </c>
      <c r="CP554" s="47">
        <f t="shared" si="1774"/>
        <v>-2000</v>
      </c>
      <c r="CQ554" s="47">
        <f t="shared" si="1774"/>
        <v>-2000</v>
      </c>
      <c r="CR554" s="47"/>
      <c r="CS554" s="47"/>
      <c r="CT554" s="47"/>
      <c r="CU554" s="50" t="str">
        <f>IFERROR(__xludf.DUMMYFUNCTION("""COMPUTED_VALUE"""),"1224 Inwood Rd
Dallas, NC 75244          ")</f>
        <v>1224 Inwood Rd
Dallas, NC 75244          </v>
      </c>
      <c r="CV554" s="51">
        <f>IFERROR(__xludf.DUMMYFUNCTION("IF(REGEXMATCH(UPPER(CU554), ""TX""),0,1)"),1.0)</f>
        <v>1</v>
      </c>
      <c r="CW554" s="51">
        <f>IFERROR(__xludf.DUMMYFUNCTION("IF(REGEXMATCH(UPPER(CU554), ""DALLAS""),0,1)"),0.0)</f>
        <v>0</v>
      </c>
      <c r="CX554" s="51">
        <f t="shared" si="17"/>
        <v>1000</v>
      </c>
      <c r="CY554" s="51">
        <f t="shared" si="18"/>
        <v>0</v>
      </c>
      <c r="CZ554" s="52" t="str">
        <f t="shared" si="19"/>
        <v/>
      </c>
      <c r="DA554" s="58"/>
      <c r="DB554" s="52"/>
      <c r="DC554" s="52"/>
      <c r="DD554" s="52"/>
      <c r="DE554" s="52"/>
      <c r="DF554" s="52"/>
      <c r="DG554" s="52"/>
      <c r="DH554" s="52"/>
      <c r="DI554" s="52"/>
      <c r="DJ554" s="52"/>
      <c r="DK554" s="52"/>
      <c r="DL554" s="52"/>
      <c r="DM554" s="52"/>
      <c r="DN554" s="52"/>
      <c r="DO554" s="52"/>
      <c r="DP554" s="52"/>
      <c r="DQ554" s="52"/>
      <c r="DR554" s="52"/>
      <c r="DS554" s="52"/>
      <c r="DT554" s="52"/>
      <c r="DU554" s="52"/>
      <c r="DV554" s="52"/>
      <c r="DW554" s="52"/>
    </row>
    <row r="555">
      <c r="A555" s="40" t="s">
        <v>55</v>
      </c>
      <c r="B555" s="41" t="s">
        <v>56</v>
      </c>
      <c r="C555" s="31" t="s">
        <v>1507</v>
      </c>
      <c r="D555" s="25" t="str">
        <f>IFERROR(__xludf.DUMMYFUNCTION("SPLIT(C555,"" "")"),"Reed,")</f>
        <v>Reed,</v>
      </c>
      <c r="E555" s="40" t="str">
        <f>IFERROR(__xludf.DUMMYFUNCTION("""COMPUTED_VALUE"""),"Holly
7123")</f>
        <v>Holly
7123</v>
      </c>
      <c r="F555" s="40" t="str">
        <f>IFERROR(__xludf.DUMMYFUNCTION("""COMPUTED_VALUE"""),"LaVista")</f>
        <v>LaVista</v>
      </c>
      <c r="G555" s="40" t="str">
        <f>IFERROR(__xludf.DUMMYFUNCTION("""COMPUTED_VALUE"""),"Dr.
Dallas,")</f>
        <v>Dr.
Dallas,</v>
      </c>
      <c r="H555" s="40" t="str">
        <f>IFERROR(__xludf.DUMMYFUNCTION("""COMPUTED_VALUE"""),"TX")</f>
        <v>TX</v>
      </c>
      <c r="I555" s="40">
        <f>IFERROR(__xludf.DUMMYFUNCTION("""COMPUTED_VALUE"""),75214.0)</f>
        <v>75214</v>
      </c>
      <c r="J555" s="40"/>
      <c r="K555" s="40"/>
      <c r="L555" s="40"/>
      <c r="M555" s="40"/>
      <c r="N555" s="40"/>
      <c r="O555" s="40"/>
      <c r="P555" s="40"/>
      <c r="Q555" s="40"/>
      <c r="R555" s="40"/>
      <c r="S555" s="40"/>
      <c r="T555" s="40"/>
      <c r="U555" s="24" t="str">
        <f>IFERROR(__xludf.DUMMYFUNCTION("SPLIT(E555,""01234567890"")"),"Holly
")</f>
        <v>Holly
</v>
      </c>
      <c r="V555" s="24" t="str">
        <f>IFERROR(__xludf.DUMMYFUNCTION("SPLIT(D555,"","")"),"Reed")</f>
        <v>Reed</v>
      </c>
      <c r="W555" s="25" t="str">
        <f t="shared" si="1"/>
        <v>HOLLY
 REED</v>
      </c>
      <c r="X555" s="25" t="s">
        <v>1508</v>
      </c>
      <c r="Y555" s="25">
        <v>75214.0</v>
      </c>
      <c r="Z555" s="25" t="str">
        <f>IFERROR(__xludf.DUMMYFUNCTION("SPLIT(C555,""
"")"),"Reed, Holly")</f>
        <v>Reed, Holly</v>
      </c>
      <c r="AA555" s="25" t="str">
        <f>IFERROR(__xludf.DUMMYFUNCTION("""COMPUTED_VALUE"""),"7123 LaVista Dr.")</f>
        <v>7123 LaVista Dr.</v>
      </c>
      <c r="AB555" s="25" t="str">
        <f>IFERROR(__xludf.DUMMYFUNCTION("""COMPUTED_VALUE"""),"Dallas, TX 75214")</f>
        <v>Dallas, TX 75214</v>
      </c>
      <c r="AC555" s="24" t="s">
        <v>1509</v>
      </c>
      <c r="AD555" s="25"/>
      <c r="AE555" s="25"/>
      <c r="AF555" s="25"/>
      <c r="AG555" s="40" t="s">
        <v>60</v>
      </c>
      <c r="AH555" s="42">
        <v>2448.0</v>
      </c>
      <c r="AI555" s="40" t="s">
        <v>61</v>
      </c>
      <c r="AJ555" s="27">
        <v>500.0</v>
      </c>
      <c r="AK555" s="31" t="s">
        <v>24</v>
      </c>
      <c r="AL555" s="43">
        <v>44706.0</v>
      </c>
      <c r="AM555" s="44">
        <v>44757.44018518519</v>
      </c>
      <c r="AN555" s="30">
        <v>2.0</v>
      </c>
      <c r="AO555" s="40"/>
      <c r="AP555" s="40"/>
      <c r="AQ555" s="40"/>
      <c r="AR555" s="40"/>
      <c r="AS555" s="40"/>
      <c r="AT555" s="47"/>
      <c r="AU555" s="40"/>
      <c r="AV555" s="46" t="str">
        <f>IFERROR(__xludf.DUMMYFUNCTION("""COMPUTED_VALUE"""),"Renfro")</f>
        <v>Renfro</v>
      </c>
      <c r="AW555" s="46">
        <f t="shared" si="7"/>
        <v>100</v>
      </c>
      <c r="AX555" s="47">
        <f t="shared" ref="AX555:BQ555" si="1775">SUMIFS($AJ:$AJ,$V:$V,$AV555,$AK:$AK,AX$2)</f>
        <v>0</v>
      </c>
      <c r="AY555" s="48">
        <f t="shared" si="1775"/>
        <v>0</v>
      </c>
      <c r="AZ555" s="48">
        <f t="shared" si="1775"/>
        <v>0</v>
      </c>
      <c r="BA555" s="48">
        <f t="shared" si="1775"/>
        <v>0</v>
      </c>
      <c r="BB555" s="48">
        <f t="shared" si="1775"/>
        <v>100</v>
      </c>
      <c r="BC555" s="48">
        <f t="shared" si="1775"/>
        <v>0</v>
      </c>
      <c r="BD555" s="48">
        <f t="shared" si="1775"/>
        <v>0</v>
      </c>
      <c r="BE555" s="48">
        <f t="shared" si="1775"/>
        <v>0</v>
      </c>
      <c r="BF555" s="48">
        <f t="shared" si="1775"/>
        <v>0</v>
      </c>
      <c r="BG555" s="48">
        <f t="shared" si="1775"/>
        <v>0</v>
      </c>
      <c r="BH555" s="48">
        <f t="shared" si="1775"/>
        <v>0</v>
      </c>
      <c r="BI555" s="48">
        <f t="shared" si="1775"/>
        <v>0</v>
      </c>
      <c r="BJ555" s="48">
        <f t="shared" si="1775"/>
        <v>0</v>
      </c>
      <c r="BK555" s="48">
        <f t="shared" si="1775"/>
        <v>0</v>
      </c>
      <c r="BL555" s="48">
        <f t="shared" si="1775"/>
        <v>0</v>
      </c>
      <c r="BM555" s="48">
        <f t="shared" si="1775"/>
        <v>0</v>
      </c>
      <c r="BN555" s="48">
        <f t="shared" si="1775"/>
        <v>0</v>
      </c>
      <c r="BO555" s="48">
        <f t="shared" si="1775"/>
        <v>0</v>
      </c>
      <c r="BP555" s="48">
        <f t="shared" si="1775"/>
        <v>0</v>
      </c>
      <c r="BQ555" s="48">
        <f t="shared" si="1775"/>
        <v>0</v>
      </c>
      <c r="BR555" s="36">
        <f t="shared" si="9"/>
        <v>0</v>
      </c>
      <c r="BS555" s="38">
        <f t="shared" si="10"/>
        <v>1</v>
      </c>
      <c r="BT555" s="49">
        <f t="shared" si="11"/>
        <v>0</v>
      </c>
      <c r="BU555" s="38">
        <f t="shared" si="12"/>
        <v>1000</v>
      </c>
      <c r="BV555" s="46" t="str">
        <f>IFERROR(__xludf.DUMMYFUNCTION("""COMPUTED_VALUE"""),"Renfro")</f>
        <v>Renfro</v>
      </c>
      <c r="BW555" s="46">
        <f t="shared" si="13"/>
        <v>100</v>
      </c>
      <c r="BX555" s="47">
        <f t="shared" ref="BX555:CA555" si="1776">AX555-$BU555</f>
        <v>-1000</v>
      </c>
      <c r="BY555" s="47">
        <f t="shared" si="1776"/>
        <v>-1000</v>
      </c>
      <c r="BZ555" s="47">
        <f t="shared" si="1776"/>
        <v>-1000</v>
      </c>
      <c r="CA555" s="47">
        <f t="shared" si="1776"/>
        <v>-1000</v>
      </c>
      <c r="CB555" s="47">
        <f t="shared" si="15"/>
        <v>-9900</v>
      </c>
      <c r="CC555" s="47">
        <f t="shared" ref="CC555:CQ555" si="1777">BC555-$BU555</f>
        <v>-1000</v>
      </c>
      <c r="CD555" s="47">
        <f t="shared" si="1777"/>
        <v>-1000</v>
      </c>
      <c r="CE555" s="47">
        <f t="shared" si="1777"/>
        <v>-1000</v>
      </c>
      <c r="CF555" s="47">
        <f t="shared" si="1777"/>
        <v>-1000</v>
      </c>
      <c r="CG555" s="47">
        <f t="shared" si="1777"/>
        <v>-1000</v>
      </c>
      <c r="CH555" s="47">
        <f t="shared" si="1777"/>
        <v>-1000</v>
      </c>
      <c r="CI555" s="47">
        <f t="shared" si="1777"/>
        <v>-1000</v>
      </c>
      <c r="CJ555" s="47">
        <f t="shared" si="1777"/>
        <v>-1000</v>
      </c>
      <c r="CK555" s="47">
        <f t="shared" si="1777"/>
        <v>-1000</v>
      </c>
      <c r="CL555" s="47">
        <f t="shared" si="1777"/>
        <v>-1000</v>
      </c>
      <c r="CM555" s="47">
        <f t="shared" si="1777"/>
        <v>-1000</v>
      </c>
      <c r="CN555" s="47">
        <f t="shared" si="1777"/>
        <v>-1000</v>
      </c>
      <c r="CO555" s="47">
        <f t="shared" si="1777"/>
        <v>-1000</v>
      </c>
      <c r="CP555" s="47">
        <f t="shared" si="1777"/>
        <v>-1000</v>
      </c>
      <c r="CQ555" s="47">
        <f t="shared" si="1777"/>
        <v>-1000</v>
      </c>
      <c r="CR555" s="47"/>
      <c r="CS555" s="47"/>
      <c r="CT555" s="47"/>
      <c r="CU555" s="50" t="str">
        <f>IFERROR(__xludf.DUMMYFUNCTION("""COMPUTED_VALUE"""),"1900 North Akard
Dallas, TX 75201          ")</f>
        <v>1900 North Akard
Dallas, TX 75201          </v>
      </c>
      <c r="CV555" s="51">
        <f>IFERROR(__xludf.DUMMYFUNCTION("IF(REGEXMATCH(UPPER(CU555), ""TX""),0,1)"),0.0)</f>
        <v>0</v>
      </c>
      <c r="CW555" s="51">
        <f>IFERROR(__xludf.DUMMYFUNCTION("IF(REGEXMATCH(UPPER(CU555), ""DALLAS""),0,1)"),0.0)</f>
        <v>0</v>
      </c>
      <c r="CX555" s="51">
        <f t="shared" si="17"/>
        <v>0</v>
      </c>
      <c r="CY555" s="51">
        <f t="shared" si="18"/>
        <v>0</v>
      </c>
      <c r="CZ555" s="52" t="str">
        <f t="shared" si="19"/>
        <v/>
      </c>
      <c r="DA555" s="58"/>
      <c r="DB555" s="52"/>
      <c r="DC555" s="52"/>
      <c r="DD555" s="52"/>
      <c r="DE555" s="52"/>
      <c r="DF555" s="52"/>
      <c r="DG555" s="52"/>
      <c r="DH555" s="52"/>
      <c r="DI555" s="52"/>
      <c r="DJ555" s="52"/>
      <c r="DK555" s="52"/>
      <c r="DL555" s="52"/>
      <c r="DM555" s="52"/>
      <c r="DN555" s="52"/>
      <c r="DO555" s="52"/>
      <c r="DP555" s="52"/>
      <c r="DQ555" s="52"/>
      <c r="DR555" s="52"/>
      <c r="DS555" s="52"/>
      <c r="DT555" s="52"/>
      <c r="DU555" s="52"/>
      <c r="DV555" s="52"/>
      <c r="DW555" s="52"/>
    </row>
    <row r="556">
      <c r="A556" s="22" t="s">
        <v>55</v>
      </c>
      <c r="B556" s="23" t="s">
        <v>56</v>
      </c>
      <c r="C556" s="31" t="s">
        <v>1156</v>
      </c>
      <c r="D556" s="25" t="str">
        <f>IFERROR(__xludf.DUMMYFUNCTION("SPLIT(C556,"" "")"),"Byrne,")</f>
        <v>Byrne,</v>
      </c>
      <c r="E556" s="22" t="str">
        <f>IFERROR(__xludf.DUMMYFUNCTION("""COMPUTED_VALUE"""),"Tim
2000")</f>
        <v>Tim
2000</v>
      </c>
      <c r="F556" s="22" t="str">
        <f>IFERROR(__xludf.DUMMYFUNCTION("""COMPUTED_VALUE"""),"McKinney")</f>
        <v>McKinney</v>
      </c>
      <c r="G556" s="22" t="str">
        <f>IFERROR(__xludf.DUMMYFUNCTION("""COMPUTED_VALUE"""),"Ave
Dallas,")</f>
        <v>Ave
Dallas,</v>
      </c>
      <c r="H556" s="22" t="str">
        <f>IFERROR(__xludf.DUMMYFUNCTION("""COMPUTED_VALUE"""),"TX")</f>
        <v>TX</v>
      </c>
      <c r="I556" s="22">
        <f>IFERROR(__xludf.DUMMYFUNCTION("""COMPUTED_VALUE"""),75201.0)</f>
        <v>75201</v>
      </c>
      <c r="J556" s="22"/>
      <c r="K556" s="22"/>
      <c r="L556" s="22"/>
      <c r="M556" s="22"/>
      <c r="N556" s="22"/>
      <c r="O556" s="22"/>
      <c r="P556" s="22"/>
      <c r="Q556" s="22"/>
      <c r="R556" s="22"/>
      <c r="S556" s="22"/>
      <c r="T556" s="22"/>
      <c r="U556" s="24" t="str">
        <f>IFERROR(__xludf.DUMMYFUNCTION("SPLIT(E556,""01234567890"")"),"Tim
")</f>
        <v>Tim
</v>
      </c>
      <c r="V556" s="24" t="str">
        <f>IFERROR(__xludf.DUMMYFUNCTION("SPLIT(D556,"","")"),"Byrne")</f>
        <v>Byrne</v>
      </c>
      <c r="W556" s="25" t="str">
        <f t="shared" si="1"/>
        <v>TIM
 BYRNE</v>
      </c>
      <c r="X556" s="25" t="s">
        <v>1157</v>
      </c>
      <c r="Y556" s="25">
        <v>75201.0</v>
      </c>
      <c r="Z556" s="25" t="str">
        <f>IFERROR(__xludf.DUMMYFUNCTION("SPLIT(C556,""
"")"),"Byrne, Tim")</f>
        <v>Byrne, Tim</v>
      </c>
      <c r="AA556" s="25" t="str">
        <f>IFERROR(__xludf.DUMMYFUNCTION("""COMPUTED_VALUE"""),"2000 McKinney Ave")</f>
        <v>2000 McKinney Ave</v>
      </c>
      <c r="AB556" s="25" t="str">
        <f>IFERROR(__xludf.DUMMYFUNCTION("""COMPUTED_VALUE"""),"Dallas, TX 75201")</f>
        <v>Dallas, TX 75201</v>
      </c>
      <c r="AC556" s="24" t="s">
        <v>1158</v>
      </c>
      <c r="AD556" s="25"/>
      <c r="AE556" s="25"/>
      <c r="AF556" s="25"/>
      <c r="AG556" s="22" t="s">
        <v>60</v>
      </c>
      <c r="AH556" s="54">
        <v>2448.0</v>
      </c>
      <c r="AI556" s="22" t="s">
        <v>61</v>
      </c>
      <c r="AJ556" s="27">
        <v>1000.0</v>
      </c>
      <c r="AK556" s="31" t="s">
        <v>24</v>
      </c>
      <c r="AL556" s="28">
        <v>44706.0</v>
      </c>
      <c r="AM556" s="29">
        <v>44757.44018518519</v>
      </c>
      <c r="AN556" s="30">
        <v>2.0</v>
      </c>
      <c r="AO556" s="22"/>
      <c r="AP556" s="22"/>
      <c r="AQ556" s="22"/>
      <c r="AR556" s="22"/>
      <c r="AS556" s="22"/>
      <c r="AT556" s="70"/>
      <c r="AU556" s="22"/>
      <c r="AV556" s="57" t="str">
        <f>IFERROR(__xludf.DUMMYFUNCTION("""COMPUTED_VALUE"""),"Vaught")</f>
        <v>Vaught</v>
      </c>
      <c r="AW556" s="46">
        <f t="shared" si="7"/>
        <v>500</v>
      </c>
      <c r="AX556" s="47">
        <f t="shared" ref="AX556:BQ556" si="1778">SUMIFS($AJ:$AJ,$V:$V,$AV556,$AK:$AK,AX$2)</f>
        <v>0</v>
      </c>
      <c r="AY556" s="48">
        <f t="shared" si="1778"/>
        <v>0</v>
      </c>
      <c r="AZ556" s="48">
        <f t="shared" si="1778"/>
        <v>0</v>
      </c>
      <c r="BA556" s="48">
        <f t="shared" si="1778"/>
        <v>0</v>
      </c>
      <c r="BB556" s="48">
        <f t="shared" si="1778"/>
        <v>500</v>
      </c>
      <c r="BC556" s="48">
        <f t="shared" si="1778"/>
        <v>0</v>
      </c>
      <c r="BD556" s="48">
        <f t="shared" si="1778"/>
        <v>0</v>
      </c>
      <c r="BE556" s="48">
        <f t="shared" si="1778"/>
        <v>0</v>
      </c>
      <c r="BF556" s="48">
        <f t="shared" si="1778"/>
        <v>0</v>
      </c>
      <c r="BG556" s="48">
        <f t="shared" si="1778"/>
        <v>0</v>
      </c>
      <c r="BH556" s="48">
        <f t="shared" si="1778"/>
        <v>0</v>
      </c>
      <c r="BI556" s="48">
        <f t="shared" si="1778"/>
        <v>0</v>
      </c>
      <c r="BJ556" s="48">
        <f t="shared" si="1778"/>
        <v>0</v>
      </c>
      <c r="BK556" s="48">
        <f t="shared" si="1778"/>
        <v>0</v>
      </c>
      <c r="BL556" s="48">
        <f t="shared" si="1778"/>
        <v>0</v>
      </c>
      <c r="BM556" s="48">
        <f t="shared" si="1778"/>
        <v>0</v>
      </c>
      <c r="BN556" s="48">
        <f t="shared" si="1778"/>
        <v>0</v>
      </c>
      <c r="BO556" s="48">
        <f t="shared" si="1778"/>
        <v>0</v>
      </c>
      <c r="BP556" s="48">
        <f t="shared" si="1778"/>
        <v>0</v>
      </c>
      <c r="BQ556" s="48">
        <f t="shared" si="1778"/>
        <v>0</v>
      </c>
      <c r="BR556" s="36">
        <f t="shared" si="9"/>
        <v>0</v>
      </c>
      <c r="BS556" s="38">
        <f t="shared" si="10"/>
        <v>1</v>
      </c>
      <c r="BT556" s="49">
        <f t="shared" si="11"/>
        <v>0</v>
      </c>
      <c r="BU556" s="38">
        <f t="shared" si="12"/>
        <v>1000</v>
      </c>
      <c r="BV556" s="57" t="str">
        <f>IFERROR(__xludf.DUMMYFUNCTION("""COMPUTED_VALUE"""),"Vaught")</f>
        <v>Vaught</v>
      </c>
      <c r="BW556" s="46">
        <f t="shared" si="13"/>
        <v>500</v>
      </c>
      <c r="BX556" s="47">
        <f t="shared" ref="BX556:CA556" si="1779">AX556-$BU556</f>
        <v>-1000</v>
      </c>
      <c r="BY556" s="47">
        <f t="shared" si="1779"/>
        <v>-1000</v>
      </c>
      <c r="BZ556" s="47">
        <f t="shared" si="1779"/>
        <v>-1000</v>
      </c>
      <c r="CA556" s="47">
        <f t="shared" si="1779"/>
        <v>-1000</v>
      </c>
      <c r="CB556" s="47">
        <f t="shared" si="15"/>
        <v>-9500</v>
      </c>
      <c r="CC556" s="47">
        <f t="shared" ref="CC556:CQ556" si="1780">BC556-$BU556</f>
        <v>-1000</v>
      </c>
      <c r="CD556" s="47">
        <f t="shared" si="1780"/>
        <v>-1000</v>
      </c>
      <c r="CE556" s="47">
        <f t="shared" si="1780"/>
        <v>-1000</v>
      </c>
      <c r="CF556" s="47">
        <f t="shared" si="1780"/>
        <v>-1000</v>
      </c>
      <c r="CG556" s="47">
        <f t="shared" si="1780"/>
        <v>-1000</v>
      </c>
      <c r="CH556" s="47">
        <f t="shared" si="1780"/>
        <v>-1000</v>
      </c>
      <c r="CI556" s="47">
        <f t="shared" si="1780"/>
        <v>-1000</v>
      </c>
      <c r="CJ556" s="47">
        <f t="shared" si="1780"/>
        <v>-1000</v>
      </c>
      <c r="CK556" s="47">
        <f t="shared" si="1780"/>
        <v>-1000</v>
      </c>
      <c r="CL556" s="47">
        <f t="shared" si="1780"/>
        <v>-1000</v>
      </c>
      <c r="CM556" s="47">
        <f t="shared" si="1780"/>
        <v>-1000</v>
      </c>
      <c r="CN556" s="47">
        <f t="shared" si="1780"/>
        <v>-1000</v>
      </c>
      <c r="CO556" s="47">
        <f t="shared" si="1780"/>
        <v>-1000</v>
      </c>
      <c r="CP556" s="47">
        <f t="shared" si="1780"/>
        <v>-1000</v>
      </c>
      <c r="CQ556" s="47">
        <f t="shared" si="1780"/>
        <v>-1000</v>
      </c>
      <c r="CR556" s="47"/>
      <c r="CS556" s="47"/>
      <c r="CT556" s="47"/>
      <c r="CU556" s="50" t="str">
        <f>IFERROR(__xludf.DUMMYFUNCTION("""COMPUTED_VALUE"""),"3720 Miramar Ave
Dallas, TX 75205          ")</f>
        <v>3720 Miramar Ave
Dallas, TX 75205          </v>
      </c>
      <c r="CV556" s="51">
        <f>IFERROR(__xludf.DUMMYFUNCTION("IF(REGEXMATCH(UPPER(CU556), ""TX""),0,1)"),0.0)</f>
        <v>0</v>
      </c>
      <c r="CW556" s="51">
        <f>IFERROR(__xludf.DUMMYFUNCTION("IF(REGEXMATCH(UPPER(CU556), ""DALLAS""),0,1)"),0.0)</f>
        <v>0</v>
      </c>
      <c r="CX556" s="51">
        <f t="shared" si="17"/>
        <v>0</v>
      </c>
      <c r="CY556" s="51">
        <f t="shared" si="18"/>
        <v>0</v>
      </c>
      <c r="CZ556" s="52" t="str">
        <f t="shared" si="19"/>
        <v/>
      </c>
      <c r="DA556" s="58"/>
      <c r="DB556" s="52"/>
      <c r="DC556" s="52"/>
      <c r="DD556" s="52"/>
      <c r="DE556" s="52"/>
      <c r="DF556" s="52"/>
      <c r="DG556" s="52"/>
      <c r="DH556" s="52"/>
      <c r="DI556" s="52"/>
      <c r="DJ556" s="52"/>
      <c r="DK556" s="52"/>
      <c r="DL556" s="52"/>
      <c r="DM556" s="52"/>
      <c r="DN556" s="52"/>
      <c r="DO556" s="52"/>
      <c r="DP556" s="52"/>
      <c r="DQ556" s="52"/>
      <c r="DR556" s="52"/>
      <c r="DS556" s="52"/>
      <c r="DT556" s="52"/>
      <c r="DU556" s="52"/>
      <c r="DV556" s="52"/>
      <c r="DW556" s="52"/>
    </row>
    <row r="557">
      <c r="A557" s="40" t="s">
        <v>55</v>
      </c>
      <c r="B557" s="41" t="s">
        <v>56</v>
      </c>
      <c r="C557" s="31" t="s">
        <v>1510</v>
      </c>
      <c r="D557" s="25" t="str">
        <f>IFERROR(__xludf.DUMMYFUNCTION("SPLIT(C557,"" "")"),"Maggard,")</f>
        <v>Maggard,</v>
      </c>
      <c r="E557" s="40" t="str">
        <f>IFERROR(__xludf.DUMMYFUNCTION("""COMPUTED_VALUE"""),"Lauren
6601")</f>
        <v>Lauren
6601</v>
      </c>
      <c r="F557" s="40" t="str">
        <f>IFERROR(__xludf.DUMMYFUNCTION("""COMPUTED_VALUE"""),"Lake")</f>
        <v>Lake</v>
      </c>
      <c r="G557" s="40" t="str">
        <f>IFERROR(__xludf.DUMMYFUNCTION("""COMPUTED_VALUE"""),"Circle")</f>
        <v>Circle</v>
      </c>
      <c r="H557" s="40" t="str">
        <f>IFERROR(__xludf.DUMMYFUNCTION("""COMPUTED_VALUE"""),"Dr.
Dallas,")</f>
        <v>Dr.
Dallas,</v>
      </c>
      <c r="I557" s="40" t="str">
        <f>IFERROR(__xludf.DUMMYFUNCTION("""COMPUTED_VALUE"""),"TX")</f>
        <v>TX</v>
      </c>
      <c r="J557" s="40">
        <f>IFERROR(__xludf.DUMMYFUNCTION("""COMPUTED_VALUE"""),75214.0)</f>
        <v>75214</v>
      </c>
      <c r="K557" s="40"/>
      <c r="L557" s="40"/>
      <c r="M557" s="40"/>
      <c r="N557" s="40"/>
      <c r="O557" s="40"/>
      <c r="P557" s="40"/>
      <c r="Q557" s="40"/>
      <c r="R557" s="40"/>
      <c r="S557" s="40"/>
      <c r="T557" s="40"/>
      <c r="U557" s="24" t="str">
        <f>IFERROR(__xludf.DUMMYFUNCTION("SPLIT(E557,""01234567890"")"),"Lauren
")</f>
        <v>Lauren
</v>
      </c>
      <c r="V557" s="24" t="str">
        <f>IFERROR(__xludf.DUMMYFUNCTION("SPLIT(D557,"","")"),"Maggard")</f>
        <v>Maggard</v>
      </c>
      <c r="W557" s="25" t="str">
        <f t="shared" si="1"/>
        <v>LAUREN
 MAGGARD</v>
      </c>
      <c r="X557" s="25" t="s">
        <v>1511</v>
      </c>
      <c r="Y557" s="25">
        <v>75214.0</v>
      </c>
      <c r="Z557" s="25" t="str">
        <f>IFERROR(__xludf.DUMMYFUNCTION("SPLIT(C557,""
"")"),"Maggard, Lauren")</f>
        <v>Maggard, Lauren</v>
      </c>
      <c r="AA557" s="25" t="str">
        <f>IFERROR(__xludf.DUMMYFUNCTION("""COMPUTED_VALUE"""),"6601 Lake Circle Dr.")</f>
        <v>6601 Lake Circle Dr.</v>
      </c>
      <c r="AB557" s="25" t="str">
        <f>IFERROR(__xludf.DUMMYFUNCTION("""COMPUTED_VALUE"""),"Dallas, TX 75214")</f>
        <v>Dallas, TX 75214</v>
      </c>
      <c r="AC557" s="24" t="s">
        <v>1512</v>
      </c>
      <c r="AD557" s="25"/>
      <c r="AE557" s="25"/>
      <c r="AF557" s="25"/>
      <c r="AG557" s="40" t="s">
        <v>60</v>
      </c>
      <c r="AH557" s="42">
        <v>2448.0</v>
      </c>
      <c r="AI557" s="40" t="s">
        <v>61</v>
      </c>
      <c r="AJ557" s="27">
        <v>250.0</v>
      </c>
      <c r="AK557" s="31" t="s">
        <v>24</v>
      </c>
      <c r="AL557" s="43">
        <v>44707.0</v>
      </c>
      <c r="AM557" s="44">
        <v>44757.44018518519</v>
      </c>
      <c r="AN557" s="30">
        <v>2.0</v>
      </c>
      <c r="AO557" s="40"/>
      <c r="AP557" s="40"/>
      <c r="AQ557" s="40"/>
      <c r="AR557" s="40"/>
      <c r="AS557" s="40"/>
      <c r="AT557" s="47"/>
      <c r="AU557" s="40"/>
      <c r="AV557" s="46" t="str">
        <f>IFERROR(__xludf.DUMMYFUNCTION("""COMPUTED_VALUE"""),"Ku")</f>
        <v>Ku</v>
      </c>
      <c r="AW557" s="46">
        <f t="shared" si="7"/>
        <v>500</v>
      </c>
      <c r="AX557" s="47">
        <f t="shared" ref="AX557:BQ557" si="1781">SUMIFS($AJ:$AJ,$V:$V,$AV557,$AK:$AK,AX$2)</f>
        <v>0</v>
      </c>
      <c r="AY557" s="48">
        <f t="shared" si="1781"/>
        <v>0</v>
      </c>
      <c r="AZ557" s="48">
        <f t="shared" si="1781"/>
        <v>0</v>
      </c>
      <c r="BA557" s="48">
        <f t="shared" si="1781"/>
        <v>0</v>
      </c>
      <c r="BB557" s="48">
        <f t="shared" si="1781"/>
        <v>500</v>
      </c>
      <c r="BC557" s="48">
        <f t="shared" si="1781"/>
        <v>0</v>
      </c>
      <c r="BD557" s="48">
        <f t="shared" si="1781"/>
        <v>0</v>
      </c>
      <c r="BE557" s="48">
        <f t="shared" si="1781"/>
        <v>0</v>
      </c>
      <c r="BF557" s="48">
        <f t="shared" si="1781"/>
        <v>0</v>
      </c>
      <c r="BG557" s="48">
        <f t="shared" si="1781"/>
        <v>0</v>
      </c>
      <c r="BH557" s="48">
        <f t="shared" si="1781"/>
        <v>0</v>
      </c>
      <c r="BI557" s="48">
        <f t="shared" si="1781"/>
        <v>0</v>
      </c>
      <c r="BJ557" s="48">
        <f t="shared" si="1781"/>
        <v>0</v>
      </c>
      <c r="BK557" s="48">
        <f t="shared" si="1781"/>
        <v>0</v>
      </c>
      <c r="BL557" s="48">
        <f t="shared" si="1781"/>
        <v>0</v>
      </c>
      <c r="BM557" s="48">
        <f t="shared" si="1781"/>
        <v>0</v>
      </c>
      <c r="BN557" s="48">
        <f t="shared" si="1781"/>
        <v>0</v>
      </c>
      <c r="BO557" s="48">
        <f t="shared" si="1781"/>
        <v>0</v>
      </c>
      <c r="BP557" s="48">
        <f t="shared" si="1781"/>
        <v>0</v>
      </c>
      <c r="BQ557" s="48">
        <f t="shared" si="1781"/>
        <v>0</v>
      </c>
      <c r="BR557" s="36">
        <f t="shared" si="9"/>
        <v>0</v>
      </c>
      <c r="BS557" s="38">
        <f t="shared" si="10"/>
        <v>1</v>
      </c>
      <c r="BT557" s="49">
        <f t="shared" si="11"/>
        <v>0</v>
      </c>
      <c r="BU557" s="38">
        <f t="shared" si="12"/>
        <v>1000</v>
      </c>
      <c r="BV557" s="46" t="str">
        <f>IFERROR(__xludf.DUMMYFUNCTION("""COMPUTED_VALUE"""),"Ku")</f>
        <v>Ku</v>
      </c>
      <c r="BW557" s="46">
        <f t="shared" si="13"/>
        <v>500</v>
      </c>
      <c r="BX557" s="47">
        <f t="shared" ref="BX557:CA557" si="1782">AX557-$BU557</f>
        <v>-1000</v>
      </c>
      <c r="BY557" s="47">
        <f t="shared" si="1782"/>
        <v>-1000</v>
      </c>
      <c r="BZ557" s="47">
        <f t="shared" si="1782"/>
        <v>-1000</v>
      </c>
      <c r="CA557" s="47">
        <f t="shared" si="1782"/>
        <v>-1000</v>
      </c>
      <c r="CB557" s="47">
        <f t="shared" si="15"/>
        <v>-9500</v>
      </c>
      <c r="CC557" s="47">
        <f t="shared" ref="CC557:CQ557" si="1783">BC557-$BU557</f>
        <v>-1000</v>
      </c>
      <c r="CD557" s="47">
        <f t="shared" si="1783"/>
        <v>-1000</v>
      </c>
      <c r="CE557" s="47">
        <f t="shared" si="1783"/>
        <v>-1000</v>
      </c>
      <c r="CF557" s="47">
        <f t="shared" si="1783"/>
        <v>-1000</v>
      </c>
      <c r="CG557" s="47">
        <f t="shared" si="1783"/>
        <v>-1000</v>
      </c>
      <c r="CH557" s="47">
        <f t="shared" si="1783"/>
        <v>-1000</v>
      </c>
      <c r="CI557" s="47">
        <f t="shared" si="1783"/>
        <v>-1000</v>
      </c>
      <c r="CJ557" s="47">
        <f t="shared" si="1783"/>
        <v>-1000</v>
      </c>
      <c r="CK557" s="47">
        <f t="shared" si="1783"/>
        <v>-1000</v>
      </c>
      <c r="CL557" s="47">
        <f t="shared" si="1783"/>
        <v>-1000</v>
      </c>
      <c r="CM557" s="47">
        <f t="shared" si="1783"/>
        <v>-1000</v>
      </c>
      <c r="CN557" s="47">
        <f t="shared" si="1783"/>
        <v>-1000</v>
      </c>
      <c r="CO557" s="47">
        <f t="shared" si="1783"/>
        <v>-1000</v>
      </c>
      <c r="CP557" s="47">
        <f t="shared" si="1783"/>
        <v>-1000</v>
      </c>
      <c r="CQ557" s="47">
        <f t="shared" si="1783"/>
        <v>-1000</v>
      </c>
      <c r="CR557" s="47"/>
      <c r="CS557" s="47"/>
      <c r="CT557" s="47"/>
      <c r="CU557" s="50" t="str">
        <f>IFERROR(__xludf.DUMMYFUNCTION("""COMPUTED_VALUE"""),"
 Box 17423
Austin, TX 78760          ")</f>
        <v>
 Box 17423
Austin, TX 78760          </v>
      </c>
      <c r="CV557" s="51">
        <f>IFERROR(__xludf.DUMMYFUNCTION("IF(REGEXMATCH(UPPER(CU557), ""TX""),0,1)"),0.0)</f>
        <v>0</v>
      </c>
      <c r="CW557" s="51">
        <f>IFERROR(__xludf.DUMMYFUNCTION("IF(REGEXMATCH(UPPER(CU557), ""DALLAS""),0,1)"),1.0)</f>
        <v>1</v>
      </c>
      <c r="CX557" s="51">
        <f t="shared" si="17"/>
        <v>0</v>
      </c>
      <c r="CY557" s="51">
        <f t="shared" si="18"/>
        <v>1000</v>
      </c>
      <c r="CZ557" s="52" t="str">
        <f t="shared" si="19"/>
        <v>
 Box 17423
Austin, TX 78760          </v>
      </c>
      <c r="DA557" s="58"/>
      <c r="DB557" s="52"/>
      <c r="DC557" s="52"/>
      <c r="DD557" s="52"/>
      <c r="DE557" s="52"/>
      <c r="DF557" s="52"/>
      <c r="DG557" s="52"/>
      <c r="DH557" s="52"/>
      <c r="DI557" s="52"/>
      <c r="DJ557" s="52"/>
      <c r="DK557" s="52"/>
      <c r="DL557" s="52"/>
      <c r="DM557" s="52"/>
      <c r="DN557" s="52"/>
      <c r="DO557" s="52"/>
      <c r="DP557" s="52"/>
      <c r="DQ557" s="52"/>
      <c r="DR557" s="52"/>
      <c r="DS557" s="52"/>
      <c r="DT557" s="52"/>
      <c r="DU557" s="52"/>
      <c r="DV557" s="52"/>
      <c r="DW557" s="52"/>
    </row>
    <row r="558">
      <c r="A558" s="22" t="s">
        <v>55</v>
      </c>
      <c r="B558" s="23" t="s">
        <v>56</v>
      </c>
      <c r="C558" s="31" t="s">
        <v>1513</v>
      </c>
      <c r="D558" s="25" t="str">
        <f>IFERROR(__xludf.DUMMYFUNCTION("SPLIT(C558,"" "")"),"Gonzalez,")</f>
        <v>Gonzalez,</v>
      </c>
      <c r="E558" s="22" t="str">
        <f>IFERROR(__xludf.DUMMYFUNCTION("""COMPUTED_VALUE"""),"Alex
16226")</f>
        <v>Alex
16226</v>
      </c>
      <c r="F558" s="22" t="str">
        <f>IFERROR(__xludf.DUMMYFUNCTION("""COMPUTED_VALUE"""),"Amberwood")</f>
        <v>Amberwood</v>
      </c>
      <c r="G558" s="22" t="str">
        <f>IFERROR(__xludf.DUMMYFUNCTION("""COMPUTED_VALUE"""),"Rd
Dallas,")</f>
        <v>Rd
Dallas,</v>
      </c>
      <c r="H558" s="22" t="str">
        <f>IFERROR(__xludf.DUMMYFUNCTION("""COMPUTED_VALUE"""),"TX")</f>
        <v>TX</v>
      </c>
      <c r="I558" s="22">
        <f>IFERROR(__xludf.DUMMYFUNCTION("""COMPUTED_VALUE"""),75248.0)</f>
        <v>75248</v>
      </c>
      <c r="J558" s="22"/>
      <c r="K558" s="22"/>
      <c r="L558" s="22"/>
      <c r="M558" s="22"/>
      <c r="N558" s="22"/>
      <c r="O558" s="22"/>
      <c r="P558" s="22"/>
      <c r="Q558" s="22"/>
      <c r="R558" s="22"/>
      <c r="S558" s="22"/>
      <c r="T558" s="22"/>
      <c r="U558" s="24" t="str">
        <f>IFERROR(__xludf.DUMMYFUNCTION("SPLIT(E558,""01234567890"")"),"Alex
")</f>
        <v>Alex
</v>
      </c>
      <c r="V558" s="24" t="str">
        <f>IFERROR(__xludf.DUMMYFUNCTION("SPLIT(D558,"","")"),"Gonzalez")</f>
        <v>Gonzalez</v>
      </c>
      <c r="W558" s="25" t="str">
        <f t="shared" si="1"/>
        <v>ALEX
 GONZALEZ</v>
      </c>
      <c r="X558" s="25" t="s">
        <v>1514</v>
      </c>
      <c r="Y558" s="25">
        <v>75248.0</v>
      </c>
      <c r="Z558" s="25" t="str">
        <f>IFERROR(__xludf.DUMMYFUNCTION("SPLIT(C558,""
"")"),"Gonzalez, Alex")</f>
        <v>Gonzalez, Alex</v>
      </c>
      <c r="AA558" s="25" t="str">
        <f>IFERROR(__xludf.DUMMYFUNCTION("""COMPUTED_VALUE"""),"16226 Amberwood Rd")</f>
        <v>16226 Amberwood Rd</v>
      </c>
      <c r="AB558" s="25" t="str">
        <f>IFERROR(__xludf.DUMMYFUNCTION("""COMPUTED_VALUE"""),"Dallas, TX 75248")</f>
        <v>Dallas, TX 75248</v>
      </c>
      <c r="AC558" s="24" t="s">
        <v>1515</v>
      </c>
      <c r="AD558" s="25"/>
      <c r="AE558" s="25"/>
      <c r="AF558" s="25"/>
      <c r="AG558" s="22" t="s">
        <v>60</v>
      </c>
      <c r="AH558" s="54">
        <v>2448.0</v>
      </c>
      <c r="AI558" s="22" t="s">
        <v>61</v>
      </c>
      <c r="AJ558" s="27">
        <v>100.0</v>
      </c>
      <c r="AK558" s="31" t="s">
        <v>24</v>
      </c>
      <c r="AL558" s="28">
        <v>44708.0</v>
      </c>
      <c r="AM558" s="29">
        <v>44757.44018518519</v>
      </c>
      <c r="AN558" s="30">
        <v>2.0</v>
      </c>
      <c r="AO558" s="22"/>
      <c r="AP558" s="22"/>
      <c r="AQ558" s="22"/>
      <c r="AR558" s="22"/>
      <c r="AS558" s="22"/>
      <c r="AT558" s="70"/>
      <c r="AU558" s="22"/>
      <c r="AV558" s="57" t="str">
        <f>IFERROR(__xludf.DUMMYFUNCTION("""COMPUTED_VALUE"""),"Dominguez")</f>
        <v>Dominguez</v>
      </c>
      <c r="AW558" s="46">
        <f t="shared" si="7"/>
        <v>1000</v>
      </c>
      <c r="AX558" s="47">
        <f t="shared" ref="AX558:BQ558" si="1784">SUMIFS($AJ:$AJ,$V:$V,$AV558,$AK:$AK,AX$2)</f>
        <v>0</v>
      </c>
      <c r="AY558" s="48">
        <f t="shared" si="1784"/>
        <v>0</v>
      </c>
      <c r="AZ558" s="48">
        <f t="shared" si="1784"/>
        <v>0</v>
      </c>
      <c r="BA558" s="48">
        <f t="shared" si="1784"/>
        <v>0</v>
      </c>
      <c r="BB558" s="48">
        <f t="shared" si="1784"/>
        <v>1000</v>
      </c>
      <c r="BC558" s="48">
        <f t="shared" si="1784"/>
        <v>0</v>
      </c>
      <c r="BD558" s="48">
        <f t="shared" si="1784"/>
        <v>0</v>
      </c>
      <c r="BE558" s="48">
        <f t="shared" si="1784"/>
        <v>0</v>
      </c>
      <c r="BF558" s="48">
        <f t="shared" si="1784"/>
        <v>0</v>
      </c>
      <c r="BG558" s="48">
        <f t="shared" si="1784"/>
        <v>0</v>
      </c>
      <c r="BH558" s="48">
        <f t="shared" si="1784"/>
        <v>0</v>
      </c>
      <c r="BI558" s="48">
        <f t="shared" si="1784"/>
        <v>0</v>
      </c>
      <c r="BJ558" s="48">
        <f t="shared" si="1784"/>
        <v>0</v>
      </c>
      <c r="BK558" s="48">
        <f t="shared" si="1784"/>
        <v>0</v>
      </c>
      <c r="BL558" s="48">
        <f t="shared" si="1784"/>
        <v>0</v>
      </c>
      <c r="BM558" s="48">
        <f t="shared" si="1784"/>
        <v>0</v>
      </c>
      <c r="BN558" s="48">
        <f t="shared" si="1784"/>
        <v>0</v>
      </c>
      <c r="BO558" s="48">
        <f t="shared" si="1784"/>
        <v>0</v>
      </c>
      <c r="BP558" s="48">
        <f t="shared" si="1784"/>
        <v>0</v>
      </c>
      <c r="BQ558" s="48">
        <f t="shared" si="1784"/>
        <v>0</v>
      </c>
      <c r="BR558" s="36">
        <f t="shared" si="9"/>
        <v>0</v>
      </c>
      <c r="BS558" s="38">
        <f t="shared" si="10"/>
        <v>1</v>
      </c>
      <c r="BT558" s="49">
        <f t="shared" si="11"/>
        <v>0</v>
      </c>
      <c r="BU558" s="38">
        <f t="shared" si="12"/>
        <v>1000</v>
      </c>
      <c r="BV558" s="57" t="str">
        <f>IFERROR(__xludf.DUMMYFUNCTION("""COMPUTED_VALUE"""),"Dominguez")</f>
        <v>Dominguez</v>
      </c>
      <c r="BW558" s="46">
        <f t="shared" si="13"/>
        <v>1000</v>
      </c>
      <c r="BX558" s="47">
        <f t="shared" ref="BX558:CA558" si="1785">AX558-$BU558</f>
        <v>-1000</v>
      </c>
      <c r="BY558" s="47">
        <f t="shared" si="1785"/>
        <v>-1000</v>
      </c>
      <c r="BZ558" s="47">
        <f t="shared" si="1785"/>
        <v>-1000</v>
      </c>
      <c r="CA558" s="47">
        <f t="shared" si="1785"/>
        <v>-1000</v>
      </c>
      <c r="CB558" s="47">
        <f t="shared" si="15"/>
        <v>-9000</v>
      </c>
      <c r="CC558" s="47">
        <f t="shared" ref="CC558:CQ558" si="1786">BC558-$BU558</f>
        <v>-1000</v>
      </c>
      <c r="CD558" s="47">
        <f t="shared" si="1786"/>
        <v>-1000</v>
      </c>
      <c r="CE558" s="47">
        <f t="shared" si="1786"/>
        <v>-1000</v>
      </c>
      <c r="CF558" s="47">
        <f t="shared" si="1786"/>
        <v>-1000</v>
      </c>
      <c r="CG558" s="47">
        <f t="shared" si="1786"/>
        <v>-1000</v>
      </c>
      <c r="CH558" s="47">
        <f t="shared" si="1786"/>
        <v>-1000</v>
      </c>
      <c r="CI558" s="47">
        <f t="shared" si="1786"/>
        <v>-1000</v>
      </c>
      <c r="CJ558" s="47">
        <f t="shared" si="1786"/>
        <v>-1000</v>
      </c>
      <c r="CK558" s="47">
        <f t="shared" si="1786"/>
        <v>-1000</v>
      </c>
      <c r="CL558" s="47">
        <f t="shared" si="1786"/>
        <v>-1000</v>
      </c>
      <c r="CM558" s="47">
        <f t="shared" si="1786"/>
        <v>-1000</v>
      </c>
      <c r="CN558" s="47">
        <f t="shared" si="1786"/>
        <v>-1000</v>
      </c>
      <c r="CO558" s="47">
        <f t="shared" si="1786"/>
        <v>-1000</v>
      </c>
      <c r="CP558" s="47">
        <f t="shared" si="1786"/>
        <v>-1000</v>
      </c>
      <c r="CQ558" s="47">
        <f t="shared" si="1786"/>
        <v>-1000</v>
      </c>
      <c r="CR558" s="47"/>
      <c r="CS558" s="47"/>
      <c r="CT558" s="47"/>
      <c r="CU558" s="50" t="str">
        <f>IFERROR(__xludf.DUMMYFUNCTION("""COMPUTED_VALUE"""),"630 S Pearl
Dallas, TX 75201          ")</f>
        <v>630 S Pearl
Dallas, TX 75201          </v>
      </c>
      <c r="CV558" s="51">
        <f>IFERROR(__xludf.DUMMYFUNCTION("IF(REGEXMATCH(UPPER(CU558), ""TX""),0,1)"),0.0)</f>
        <v>0</v>
      </c>
      <c r="CW558" s="51">
        <f>IFERROR(__xludf.DUMMYFUNCTION("IF(REGEXMATCH(UPPER(CU558), ""DALLAS""),0,1)"),0.0)</f>
        <v>0</v>
      </c>
      <c r="CX558" s="51">
        <f t="shared" si="17"/>
        <v>0</v>
      </c>
      <c r="CY558" s="51">
        <f t="shared" si="18"/>
        <v>0</v>
      </c>
      <c r="CZ558" s="52" t="str">
        <f t="shared" si="19"/>
        <v/>
      </c>
      <c r="DA558" s="58"/>
      <c r="DB558" s="52"/>
      <c r="DC558" s="52"/>
      <c r="DD558" s="52"/>
      <c r="DE558" s="52"/>
      <c r="DF558" s="52"/>
      <c r="DG558" s="52"/>
      <c r="DH558" s="52"/>
      <c r="DI558" s="52"/>
      <c r="DJ558" s="52"/>
      <c r="DK558" s="52"/>
      <c r="DL558" s="52"/>
      <c r="DM558" s="52"/>
      <c r="DN558" s="52"/>
      <c r="DO558" s="52"/>
      <c r="DP558" s="52"/>
      <c r="DQ558" s="52"/>
      <c r="DR558" s="52"/>
      <c r="DS558" s="52"/>
      <c r="DT558" s="52"/>
      <c r="DU558" s="52"/>
      <c r="DV558" s="52"/>
      <c r="DW558" s="52"/>
    </row>
    <row r="559">
      <c r="A559" s="40" t="s">
        <v>55</v>
      </c>
      <c r="B559" s="41" t="s">
        <v>56</v>
      </c>
      <c r="C559" s="31" t="s">
        <v>1516</v>
      </c>
      <c r="D559" s="25" t="str">
        <f>IFERROR(__xludf.DUMMYFUNCTION("SPLIT(C559,"" "")"),"Weaver,")</f>
        <v>Weaver,</v>
      </c>
      <c r="E559" s="40" t="str">
        <f>IFERROR(__xludf.DUMMYFUNCTION("""COMPUTED_VALUE"""),"Sylvia
6920")</f>
        <v>Sylvia
6920</v>
      </c>
      <c r="F559" s="40" t="str">
        <f>IFERROR(__xludf.DUMMYFUNCTION("""COMPUTED_VALUE"""),"Clemson")</f>
        <v>Clemson</v>
      </c>
      <c r="G559" s="40" t="str">
        <f>IFERROR(__xludf.DUMMYFUNCTION("""COMPUTED_VALUE"""),"Dr
Dallas,")</f>
        <v>Dr
Dallas,</v>
      </c>
      <c r="H559" s="40" t="str">
        <f>IFERROR(__xludf.DUMMYFUNCTION("""COMPUTED_VALUE"""),"TX")</f>
        <v>TX</v>
      </c>
      <c r="I559" s="40">
        <f>IFERROR(__xludf.DUMMYFUNCTION("""COMPUTED_VALUE"""),75214.0)</f>
        <v>75214</v>
      </c>
      <c r="J559" s="40"/>
      <c r="K559" s="40"/>
      <c r="L559" s="40"/>
      <c r="M559" s="40"/>
      <c r="N559" s="40"/>
      <c r="O559" s="40"/>
      <c r="P559" s="40"/>
      <c r="Q559" s="40"/>
      <c r="R559" s="40"/>
      <c r="S559" s="40"/>
      <c r="T559" s="40"/>
      <c r="U559" s="24" t="str">
        <f>IFERROR(__xludf.DUMMYFUNCTION("SPLIT(E559,""01234567890"")"),"Sylvia
")</f>
        <v>Sylvia
</v>
      </c>
      <c r="V559" s="24" t="str">
        <f>IFERROR(__xludf.DUMMYFUNCTION("SPLIT(D559,"","")"),"Weaver")</f>
        <v>Weaver</v>
      </c>
      <c r="W559" s="25" t="str">
        <f t="shared" si="1"/>
        <v>SYLVIA
 WEAVER</v>
      </c>
      <c r="X559" s="25" t="s">
        <v>1517</v>
      </c>
      <c r="Y559" s="25">
        <v>75214.0</v>
      </c>
      <c r="Z559" s="25" t="str">
        <f>IFERROR(__xludf.DUMMYFUNCTION("SPLIT(C559,""
"")"),"Weaver, Sylvia")</f>
        <v>Weaver, Sylvia</v>
      </c>
      <c r="AA559" s="25" t="str">
        <f>IFERROR(__xludf.DUMMYFUNCTION("""COMPUTED_VALUE"""),"6920 Clemson Dr")</f>
        <v>6920 Clemson Dr</v>
      </c>
      <c r="AB559" s="25" t="str">
        <f>IFERROR(__xludf.DUMMYFUNCTION("""COMPUTED_VALUE"""),"Dallas, TX 75214")</f>
        <v>Dallas, TX 75214</v>
      </c>
      <c r="AC559" s="24" t="s">
        <v>1518</v>
      </c>
      <c r="AD559" s="25"/>
      <c r="AE559" s="25"/>
      <c r="AF559" s="25"/>
      <c r="AG559" s="40" t="s">
        <v>60</v>
      </c>
      <c r="AH559" s="42">
        <v>2448.0</v>
      </c>
      <c r="AI559" s="40" t="s">
        <v>61</v>
      </c>
      <c r="AJ559" s="27">
        <v>100.0</v>
      </c>
      <c r="AK559" s="31" t="s">
        <v>24</v>
      </c>
      <c r="AL559" s="43">
        <v>44709.0</v>
      </c>
      <c r="AM559" s="44">
        <v>44757.44018518519</v>
      </c>
      <c r="AN559" s="30">
        <v>2.0</v>
      </c>
      <c r="AO559" s="40"/>
      <c r="AP559" s="40"/>
      <c r="AQ559" s="40"/>
      <c r="AR559" s="40"/>
      <c r="AS559" s="40"/>
      <c r="AT559" s="47"/>
      <c r="AU559" s="40"/>
      <c r="AV559" s="46" t="str">
        <f>IFERROR(__xludf.DUMMYFUNCTION("""COMPUTED_VALUE"""),"Okon")</f>
        <v>Okon</v>
      </c>
      <c r="AW559" s="46">
        <f t="shared" si="7"/>
        <v>6000</v>
      </c>
      <c r="AX559" s="47">
        <f t="shared" ref="AX559:BQ559" si="1787">SUMIFS($AJ:$AJ,$V:$V,$AV559,$AK:$AK,AX$2)</f>
        <v>0</v>
      </c>
      <c r="AY559" s="48">
        <f t="shared" si="1787"/>
        <v>0</v>
      </c>
      <c r="AZ559" s="48">
        <f t="shared" si="1787"/>
        <v>0</v>
      </c>
      <c r="BA559" s="48">
        <f t="shared" si="1787"/>
        <v>0</v>
      </c>
      <c r="BB559" s="48">
        <f t="shared" si="1787"/>
        <v>5000</v>
      </c>
      <c r="BC559" s="48">
        <f t="shared" si="1787"/>
        <v>0</v>
      </c>
      <c r="BD559" s="48">
        <f t="shared" si="1787"/>
        <v>0</v>
      </c>
      <c r="BE559" s="48">
        <f t="shared" si="1787"/>
        <v>0</v>
      </c>
      <c r="BF559" s="48">
        <f t="shared" si="1787"/>
        <v>0</v>
      </c>
      <c r="BG559" s="48">
        <f t="shared" si="1787"/>
        <v>0</v>
      </c>
      <c r="BH559" s="48">
        <f t="shared" si="1787"/>
        <v>1000</v>
      </c>
      <c r="BI559" s="48">
        <f t="shared" si="1787"/>
        <v>0</v>
      </c>
      <c r="BJ559" s="48">
        <f t="shared" si="1787"/>
        <v>0</v>
      </c>
      <c r="BK559" s="48">
        <f t="shared" si="1787"/>
        <v>0</v>
      </c>
      <c r="BL559" s="48">
        <f t="shared" si="1787"/>
        <v>0</v>
      </c>
      <c r="BM559" s="48">
        <f t="shared" si="1787"/>
        <v>0</v>
      </c>
      <c r="BN559" s="48">
        <f t="shared" si="1787"/>
        <v>0</v>
      </c>
      <c r="BO559" s="48">
        <f t="shared" si="1787"/>
        <v>0</v>
      </c>
      <c r="BP559" s="48">
        <f t="shared" si="1787"/>
        <v>0</v>
      </c>
      <c r="BQ559" s="48">
        <f t="shared" si="1787"/>
        <v>0</v>
      </c>
      <c r="BR559" s="36">
        <f t="shared" si="9"/>
        <v>0</v>
      </c>
      <c r="BS559" s="38">
        <f t="shared" si="10"/>
        <v>1</v>
      </c>
      <c r="BT559" s="49">
        <f t="shared" si="11"/>
        <v>0</v>
      </c>
      <c r="BU559" s="38">
        <f t="shared" si="12"/>
        <v>1000</v>
      </c>
      <c r="BV559" s="46" t="str">
        <f>IFERROR(__xludf.DUMMYFUNCTION("""COMPUTED_VALUE"""),"Okon")</f>
        <v>Okon</v>
      </c>
      <c r="BW559" s="46">
        <f t="shared" si="13"/>
        <v>6000</v>
      </c>
      <c r="BX559" s="47">
        <f t="shared" ref="BX559:CA559" si="1788">AX559-$BU559</f>
        <v>-1000</v>
      </c>
      <c r="BY559" s="47">
        <f t="shared" si="1788"/>
        <v>-1000</v>
      </c>
      <c r="BZ559" s="47">
        <f t="shared" si="1788"/>
        <v>-1000</v>
      </c>
      <c r="CA559" s="47">
        <f t="shared" si="1788"/>
        <v>-1000</v>
      </c>
      <c r="CB559" s="47">
        <f t="shared" si="15"/>
        <v>-5000</v>
      </c>
      <c r="CC559" s="47">
        <f t="shared" ref="CC559:CQ559" si="1789">BC559-$BU559</f>
        <v>-1000</v>
      </c>
      <c r="CD559" s="47">
        <f t="shared" si="1789"/>
        <v>-1000</v>
      </c>
      <c r="CE559" s="47">
        <f t="shared" si="1789"/>
        <v>-1000</v>
      </c>
      <c r="CF559" s="47">
        <f t="shared" si="1789"/>
        <v>-1000</v>
      </c>
      <c r="CG559" s="47">
        <f t="shared" si="1789"/>
        <v>-1000</v>
      </c>
      <c r="CH559" s="47">
        <f t="shared" si="1789"/>
        <v>0</v>
      </c>
      <c r="CI559" s="47">
        <f t="shared" si="1789"/>
        <v>-1000</v>
      </c>
      <c r="CJ559" s="47">
        <f t="shared" si="1789"/>
        <v>-1000</v>
      </c>
      <c r="CK559" s="47">
        <f t="shared" si="1789"/>
        <v>-1000</v>
      </c>
      <c r="CL559" s="47">
        <f t="shared" si="1789"/>
        <v>-1000</v>
      </c>
      <c r="CM559" s="47">
        <f t="shared" si="1789"/>
        <v>-1000</v>
      </c>
      <c r="CN559" s="47">
        <f t="shared" si="1789"/>
        <v>-1000</v>
      </c>
      <c r="CO559" s="47">
        <f t="shared" si="1789"/>
        <v>-1000</v>
      </c>
      <c r="CP559" s="47">
        <f t="shared" si="1789"/>
        <v>-1000</v>
      </c>
      <c r="CQ559" s="47">
        <f t="shared" si="1789"/>
        <v>-1000</v>
      </c>
      <c r="CR559" s="47"/>
      <c r="CS559" s="47"/>
      <c r="CT559" s="47"/>
      <c r="CU559" s="50" t="str">
        <f>IFERROR(__xludf.DUMMYFUNCTION("""COMPUTED_VALUE"""),"
 Box 75214
Dallas, TX 75214          ")</f>
        <v>
 Box 75214
Dallas, TX 75214          </v>
      </c>
      <c r="CV559" s="51">
        <f>IFERROR(__xludf.DUMMYFUNCTION("IF(REGEXMATCH(UPPER(CU559), ""TX""),0,1)"),0.0)</f>
        <v>0</v>
      </c>
      <c r="CW559" s="51">
        <f>IFERROR(__xludf.DUMMYFUNCTION("IF(REGEXMATCH(UPPER(CU559), ""DALLAS""),0,1)"),0.0)</f>
        <v>0</v>
      </c>
      <c r="CX559" s="51">
        <f t="shared" si="17"/>
        <v>0</v>
      </c>
      <c r="CY559" s="51">
        <f t="shared" si="18"/>
        <v>0</v>
      </c>
      <c r="CZ559" s="52" t="str">
        <f t="shared" si="19"/>
        <v/>
      </c>
      <c r="DA559" s="58"/>
      <c r="DB559" s="52"/>
      <c r="DC559" s="52"/>
      <c r="DD559" s="52"/>
      <c r="DE559" s="52"/>
      <c r="DF559" s="52"/>
      <c r="DG559" s="52"/>
      <c r="DH559" s="52"/>
      <c r="DI559" s="52"/>
      <c r="DJ559" s="52"/>
      <c r="DK559" s="52"/>
      <c r="DL559" s="52"/>
      <c r="DM559" s="52"/>
      <c r="DN559" s="52"/>
      <c r="DO559" s="52"/>
      <c r="DP559" s="52"/>
      <c r="DQ559" s="52"/>
      <c r="DR559" s="52"/>
      <c r="DS559" s="52"/>
      <c r="DT559" s="52"/>
      <c r="DU559" s="52"/>
      <c r="DV559" s="52"/>
      <c r="DW559" s="52"/>
    </row>
    <row r="560">
      <c r="A560" s="22" t="s">
        <v>55</v>
      </c>
      <c r="B560" s="23" t="s">
        <v>56</v>
      </c>
      <c r="C560" s="31" t="s">
        <v>434</v>
      </c>
      <c r="D560" s="25" t="str">
        <f>IFERROR(__xludf.DUMMYFUNCTION("SPLIT(C560,"" "")"),"Bird,")</f>
        <v>Bird,</v>
      </c>
      <c r="E560" s="22" t="str">
        <f>IFERROR(__xludf.DUMMYFUNCTION("""COMPUTED_VALUE"""),"Brandi
9710")</f>
        <v>Brandi
9710</v>
      </c>
      <c r="F560" s="22" t="str">
        <f>IFERROR(__xludf.DUMMYFUNCTION("""COMPUTED_VALUE"""),"Blanco")</f>
        <v>Blanco</v>
      </c>
      <c r="G560" s="22" t="str">
        <f>IFERROR(__xludf.DUMMYFUNCTION("""COMPUTED_VALUE"""),"dr
Lantana,")</f>
        <v>dr
Lantana,</v>
      </c>
      <c r="H560" s="22" t="str">
        <f>IFERROR(__xludf.DUMMYFUNCTION("""COMPUTED_VALUE"""),"TX")</f>
        <v>TX</v>
      </c>
      <c r="I560" s="22">
        <f>IFERROR(__xludf.DUMMYFUNCTION("""COMPUTED_VALUE"""),76226.0)</f>
        <v>76226</v>
      </c>
      <c r="J560" s="22"/>
      <c r="K560" s="22"/>
      <c r="L560" s="22"/>
      <c r="M560" s="22"/>
      <c r="N560" s="22"/>
      <c r="O560" s="22"/>
      <c r="P560" s="22"/>
      <c r="Q560" s="22"/>
      <c r="R560" s="22"/>
      <c r="S560" s="22"/>
      <c r="T560" s="22"/>
      <c r="U560" s="24" t="str">
        <f>IFERROR(__xludf.DUMMYFUNCTION("SPLIT(E560,""01234567890"")"),"Brandi
")</f>
        <v>Brandi
</v>
      </c>
      <c r="V560" s="24" t="str">
        <f>IFERROR(__xludf.DUMMYFUNCTION("SPLIT(D560,"","")"),"Bird")</f>
        <v>Bird</v>
      </c>
      <c r="W560" s="25" t="str">
        <f t="shared" si="1"/>
        <v>BRANDI
 BIRD</v>
      </c>
      <c r="X560" s="25" t="s">
        <v>435</v>
      </c>
      <c r="Y560" s="25">
        <v>76226.0</v>
      </c>
      <c r="Z560" s="25" t="str">
        <f>IFERROR(__xludf.DUMMYFUNCTION("SPLIT(C560,""
"")"),"Bird, Brandi")</f>
        <v>Bird, Brandi</v>
      </c>
      <c r="AA560" s="25" t="str">
        <f>IFERROR(__xludf.DUMMYFUNCTION("""COMPUTED_VALUE"""),"9710 Blanco dr")</f>
        <v>9710 Blanco dr</v>
      </c>
      <c r="AB560" s="25" t="str">
        <f>IFERROR(__xludf.DUMMYFUNCTION("""COMPUTED_VALUE"""),"Lantana, TX 76226")</f>
        <v>Lantana, TX 76226</v>
      </c>
      <c r="AC560" s="24" t="s">
        <v>436</v>
      </c>
      <c r="AD560" s="25"/>
      <c r="AE560" s="25"/>
      <c r="AF560" s="25"/>
      <c r="AG560" s="22" t="s">
        <v>60</v>
      </c>
      <c r="AH560" s="54">
        <v>2448.0</v>
      </c>
      <c r="AI560" s="22" t="s">
        <v>61</v>
      </c>
      <c r="AJ560" s="27">
        <v>1000.0</v>
      </c>
      <c r="AK560" s="31" t="s">
        <v>24</v>
      </c>
      <c r="AL560" s="28">
        <v>44712.0</v>
      </c>
      <c r="AM560" s="29">
        <v>44757.44018518519</v>
      </c>
      <c r="AN560" s="30">
        <v>2.0</v>
      </c>
      <c r="AO560" s="22"/>
      <c r="AP560" s="22"/>
      <c r="AQ560" s="22"/>
      <c r="AR560" s="22"/>
      <c r="AS560" s="22"/>
      <c r="AT560" s="70"/>
      <c r="AU560" s="22"/>
      <c r="AV560" s="57" t="str">
        <f>IFERROR(__xludf.DUMMYFUNCTION("""COMPUTED_VALUE"""),"Knaupe")</f>
        <v>Knaupe</v>
      </c>
      <c r="AW560" s="46">
        <f t="shared" si="7"/>
        <v>1000</v>
      </c>
      <c r="AX560" s="47">
        <f t="shared" ref="AX560:BQ560" si="1790">SUMIFS($AJ:$AJ,$V:$V,$AV560,$AK:$AK,AX$2)</f>
        <v>0</v>
      </c>
      <c r="AY560" s="48">
        <f t="shared" si="1790"/>
        <v>0</v>
      </c>
      <c r="AZ560" s="48">
        <f t="shared" si="1790"/>
        <v>0</v>
      </c>
      <c r="BA560" s="48">
        <f t="shared" si="1790"/>
        <v>0</v>
      </c>
      <c r="BB560" s="48">
        <f t="shared" si="1790"/>
        <v>1000</v>
      </c>
      <c r="BC560" s="48">
        <f t="shared" si="1790"/>
        <v>0</v>
      </c>
      <c r="BD560" s="48">
        <f t="shared" si="1790"/>
        <v>0</v>
      </c>
      <c r="BE560" s="48">
        <f t="shared" si="1790"/>
        <v>0</v>
      </c>
      <c r="BF560" s="48">
        <f t="shared" si="1790"/>
        <v>0</v>
      </c>
      <c r="BG560" s="48">
        <f t="shared" si="1790"/>
        <v>0</v>
      </c>
      <c r="BH560" s="48">
        <f t="shared" si="1790"/>
        <v>0</v>
      </c>
      <c r="BI560" s="48">
        <f t="shared" si="1790"/>
        <v>0</v>
      </c>
      <c r="BJ560" s="48">
        <f t="shared" si="1790"/>
        <v>0</v>
      </c>
      <c r="BK560" s="48">
        <f t="shared" si="1790"/>
        <v>0</v>
      </c>
      <c r="BL560" s="48">
        <f t="shared" si="1790"/>
        <v>0</v>
      </c>
      <c r="BM560" s="48">
        <f t="shared" si="1790"/>
        <v>0</v>
      </c>
      <c r="BN560" s="48">
        <f t="shared" si="1790"/>
        <v>0</v>
      </c>
      <c r="BO560" s="48">
        <f t="shared" si="1790"/>
        <v>0</v>
      </c>
      <c r="BP560" s="48">
        <f t="shared" si="1790"/>
        <v>0</v>
      </c>
      <c r="BQ560" s="48">
        <f t="shared" si="1790"/>
        <v>0</v>
      </c>
      <c r="BR560" s="36">
        <f t="shared" si="9"/>
        <v>0</v>
      </c>
      <c r="BS560" s="38">
        <f t="shared" si="10"/>
        <v>1</v>
      </c>
      <c r="BT560" s="49">
        <f t="shared" si="11"/>
        <v>0</v>
      </c>
      <c r="BU560" s="38">
        <f t="shared" si="12"/>
        <v>1000</v>
      </c>
      <c r="BV560" s="57" t="str">
        <f>IFERROR(__xludf.DUMMYFUNCTION("""COMPUTED_VALUE"""),"Knaupe")</f>
        <v>Knaupe</v>
      </c>
      <c r="BW560" s="46">
        <f t="shared" si="13"/>
        <v>1000</v>
      </c>
      <c r="BX560" s="47">
        <f t="shared" ref="BX560:CA560" si="1791">AX560-$BU560</f>
        <v>-1000</v>
      </c>
      <c r="BY560" s="47">
        <f t="shared" si="1791"/>
        <v>-1000</v>
      </c>
      <c r="BZ560" s="47">
        <f t="shared" si="1791"/>
        <v>-1000</v>
      </c>
      <c r="CA560" s="47">
        <f t="shared" si="1791"/>
        <v>-1000</v>
      </c>
      <c r="CB560" s="47">
        <f t="shared" si="15"/>
        <v>-9000</v>
      </c>
      <c r="CC560" s="47">
        <f t="shared" ref="CC560:CQ560" si="1792">BC560-$BU560</f>
        <v>-1000</v>
      </c>
      <c r="CD560" s="47">
        <f t="shared" si="1792"/>
        <v>-1000</v>
      </c>
      <c r="CE560" s="47">
        <f t="shared" si="1792"/>
        <v>-1000</v>
      </c>
      <c r="CF560" s="47">
        <f t="shared" si="1792"/>
        <v>-1000</v>
      </c>
      <c r="CG560" s="47">
        <f t="shared" si="1792"/>
        <v>-1000</v>
      </c>
      <c r="CH560" s="47">
        <f t="shared" si="1792"/>
        <v>-1000</v>
      </c>
      <c r="CI560" s="47">
        <f t="shared" si="1792"/>
        <v>-1000</v>
      </c>
      <c r="CJ560" s="47">
        <f t="shared" si="1792"/>
        <v>-1000</v>
      </c>
      <c r="CK560" s="47">
        <f t="shared" si="1792"/>
        <v>-1000</v>
      </c>
      <c r="CL560" s="47">
        <f t="shared" si="1792"/>
        <v>-1000</v>
      </c>
      <c r="CM560" s="47">
        <f t="shared" si="1792"/>
        <v>-1000</v>
      </c>
      <c r="CN560" s="47">
        <f t="shared" si="1792"/>
        <v>-1000</v>
      </c>
      <c r="CO560" s="47">
        <f t="shared" si="1792"/>
        <v>-1000</v>
      </c>
      <c r="CP560" s="47">
        <f t="shared" si="1792"/>
        <v>-1000</v>
      </c>
      <c r="CQ560" s="47">
        <f t="shared" si="1792"/>
        <v>-1000</v>
      </c>
      <c r="CR560" s="47"/>
      <c r="CS560" s="47"/>
      <c r="CT560" s="47"/>
      <c r="CU560" s="50" t="str">
        <f>IFERROR(__xludf.DUMMYFUNCTION("""COMPUTED_VALUE"""),"6815 American Way
Dallas, TX 75237          ")</f>
        <v>6815 American Way
Dallas, TX 75237          </v>
      </c>
      <c r="CV560" s="51">
        <f>IFERROR(__xludf.DUMMYFUNCTION("IF(REGEXMATCH(UPPER(CU560), ""TX""),0,1)"),0.0)</f>
        <v>0</v>
      </c>
      <c r="CW560" s="51">
        <f>IFERROR(__xludf.DUMMYFUNCTION("IF(REGEXMATCH(UPPER(CU560), ""DALLAS""),0,1)"),0.0)</f>
        <v>0</v>
      </c>
      <c r="CX560" s="51">
        <f t="shared" si="17"/>
        <v>0</v>
      </c>
      <c r="CY560" s="51">
        <f t="shared" si="18"/>
        <v>0</v>
      </c>
      <c r="CZ560" s="52" t="str">
        <f t="shared" si="19"/>
        <v/>
      </c>
      <c r="DA560" s="58"/>
      <c r="DB560" s="52"/>
      <c r="DC560" s="52"/>
      <c r="DD560" s="52"/>
      <c r="DE560" s="52"/>
      <c r="DF560" s="52"/>
      <c r="DG560" s="52"/>
      <c r="DH560" s="52"/>
      <c r="DI560" s="52"/>
      <c r="DJ560" s="52"/>
      <c r="DK560" s="52"/>
      <c r="DL560" s="52"/>
      <c r="DM560" s="52"/>
      <c r="DN560" s="52"/>
      <c r="DO560" s="52"/>
      <c r="DP560" s="52"/>
      <c r="DQ560" s="52"/>
      <c r="DR560" s="52"/>
      <c r="DS560" s="52"/>
      <c r="DT560" s="52"/>
      <c r="DU560" s="52"/>
      <c r="DV560" s="52"/>
      <c r="DW560" s="52"/>
    </row>
    <row r="561">
      <c r="A561" s="40" t="s">
        <v>55</v>
      </c>
      <c r="B561" s="41" t="s">
        <v>56</v>
      </c>
      <c r="C561" s="31" t="s">
        <v>1519</v>
      </c>
      <c r="D561" s="25" t="str">
        <f>IFERROR(__xludf.DUMMYFUNCTION("SPLIT(C561,"" "")"),"Wallace,")</f>
        <v>Wallace,</v>
      </c>
      <c r="E561" s="40" t="str">
        <f>IFERROR(__xludf.DUMMYFUNCTION("""COMPUTED_VALUE"""),"Chris
4235")</f>
        <v>Chris
4235</v>
      </c>
      <c r="F561" s="40" t="str">
        <f>IFERROR(__xludf.DUMMYFUNCTION("""COMPUTED_VALUE"""),"Castle")</f>
        <v>Castle</v>
      </c>
      <c r="G561" s="40" t="str">
        <f>IFERROR(__xludf.DUMMYFUNCTION("""COMPUTED_VALUE"""),"Rock")</f>
        <v>Rock</v>
      </c>
      <c r="H561" s="40" t="str">
        <f>IFERROR(__xludf.DUMMYFUNCTION("""COMPUTED_VALUE"""),"Ct.
IRVING,")</f>
        <v>Ct.
IRVING,</v>
      </c>
      <c r="I561" s="40" t="str">
        <f>IFERROR(__xludf.DUMMYFUNCTION("""COMPUTED_VALUE"""),"TX")</f>
        <v>TX</v>
      </c>
      <c r="J561" s="40">
        <f>IFERROR(__xludf.DUMMYFUNCTION("""COMPUTED_VALUE"""),75038.0)</f>
        <v>75038</v>
      </c>
      <c r="K561" s="40"/>
      <c r="L561" s="40"/>
      <c r="M561" s="40"/>
      <c r="N561" s="40"/>
      <c r="O561" s="40"/>
      <c r="P561" s="40"/>
      <c r="Q561" s="40"/>
      <c r="R561" s="40"/>
      <c r="S561" s="40"/>
      <c r="T561" s="40"/>
      <c r="U561" s="24" t="str">
        <f>IFERROR(__xludf.DUMMYFUNCTION("SPLIT(E561,""01234567890"")"),"Chris
")</f>
        <v>Chris
</v>
      </c>
      <c r="V561" s="24" t="str">
        <f>IFERROR(__xludf.DUMMYFUNCTION("SPLIT(D561,"","")"),"Wallace")</f>
        <v>Wallace</v>
      </c>
      <c r="W561" s="25" t="str">
        <f t="shared" si="1"/>
        <v>CHRIS
 WALLACE</v>
      </c>
      <c r="X561" s="25" t="s">
        <v>1520</v>
      </c>
      <c r="Y561" s="25">
        <v>75038.0</v>
      </c>
      <c r="Z561" s="25" t="str">
        <f>IFERROR(__xludf.DUMMYFUNCTION("SPLIT(C561,""
"")"),"Wallace, Chris")</f>
        <v>Wallace, Chris</v>
      </c>
      <c r="AA561" s="25" t="str">
        <f>IFERROR(__xludf.DUMMYFUNCTION("""COMPUTED_VALUE"""),"4235 Castle Rock Ct.")</f>
        <v>4235 Castle Rock Ct.</v>
      </c>
      <c r="AB561" s="25" t="str">
        <f>IFERROR(__xludf.DUMMYFUNCTION("""COMPUTED_VALUE"""),"IRVING, TX 75038")</f>
        <v>IRVING, TX 75038</v>
      </c>
      <c r="AC561" s="24" t="s">
        <v>1521</v>
      </c>
      <c r="AD561" s="25"/>
      <c r="AE561" s="25"/>
      <c r="AF561" s="25"/>
      <c r="AG561" s="40" t="s">
        <v>60</v>
      </c>
      <c r="AH561" s="42">
        <v>2448.0</v>
      </c>
      <c r="AI561" s="40" t="s">
        <v>61</v>
      </c>
      <c r="AJ561" s="27">
        <v>250.0</v>
      </c>
      <c r="AK561" s="31" t="s">
        <v>24</v>
      </c>
      <c r="AL561" s="43">
        <v>44712.0</v>
      </c>
      <c r="AM561" s="44">
        <v>44757.44018518519</v>
      </c>
      <c r="AN561" s="30">
        <v>2.0</v>
      </c>
      <c r="AO561" s="40"/>
      <c r="AP561" s="40"/>
      <c r="AQ561" s="40"/>
      <c r="AR561" s="40"/>
      <c r="AS561" s="40"/>
      <c r="AT561" s="47"/>
      <c r="AU561" s="40"/>
      <c r="AV561" s="46" t="str">
        <f>IFERROR(__xludf.DUMMYFUNCTION("""COMPUTED_VALUE"""),"Gump")</f>
        <v>Gump</v>
      </c>
      <c r="AW561" s="46">
        <f t="shared" si="7"/>
        <v>100</v>
      </c>
      <c r="AX561" s="47">
        <f t="shared" ref="AX561:BQ561" si="1793">SUMIFS($AJ:$AJ,$V:$V,$AV561,$AK:$AK,AX$2)</f>
        <v>0</v>
      </c>
      <c r="AY561" s="48">
        <f t="shared" si="1793"/>
        <v>0</v>
      </c>
      <c r="AZ561" s="48">
        <f t="shared" si="1793"/>
        <v>0</v>
      </c>
      <c r="BA561" s="48">
        <f t="shared" si="1793"/>
        <v>0</v>
      </c>
      <c r="BB561" s="48">
        <f t="shared" si="1793"/>
        <v>100</v>
      </c>
      <c r="BC561" s="48">
        <f t="shared" si="1793"/>
        <v>0</v>
      </c>
      <c r="BD561" s="48">
        <f t="shared" si="1793"/>
        <v>0</v>
      </c>
      <c r="BE561" s="48">
        <f t="shared" si="1793"/>
        <v>0</v>
      </c>
      <c r="BF561" s="48">
        <f t="shared" si="1793"/>
        <v>0</v>
      </c>
      <c r="BG561" s="48">
        <f t="shared" si="1793"/>
        <v>0</v>
      </c>
      <c r="BH561" s="48">
        <f t="shared" si="1793"/>
        <v>0</v>
      </c>
      <c r="BI561" s="48">
        <f t="shared" si="1793"/>
        <v>0</v>
      </c>
      <c r="BJ561" s="48">
        <f t="shared" si="1793"/>
        <v>0</v>
      </c>
      <c r="BK561" s="48">
        <f t="shared" si="1793"/>
        <v>0</v>
      </c>
      <c r="BL561" s="48">
        <f t="shared" si="1793"/>
        <v>0</v>
      </c>
      <c r="BM561" s="48">
        <f t="shared" si="1793"/>
        <v>0</v>
      </c>
      <c r="BN561" s="48">
        <f t="shared" si="1793"/>
        <v>0</v>
      </c>
      <c r="BO561" s="48">
        <f t="shared" si="1793"/>
        <v>0</v>
      </c>
      <c r="BP561" s="48">
        <f t="shared" si="1793"/>
        <v>0</v>
      </c>
      <c r="BQ561" s="48">
        <f t="shared" si="1793"/>
        <v>0</v>
      </c>
      <c r="BR561" s="36">
        <f t="shared" si="9"/>
        <v>0</v>
      </c>
      <c r="BS561" s="38">
        <f t="shared" si="10"/>
        <v>1</v>
      </c>
      <c r="BT561" s="49">
        <f t="shared" si="11"/>
        <v>0</v>
      </c>
      <c r="BU561" s="38">
        <f t="shared" si="12"/>
        <v>1000</v>
      </c>
      <c r="BV561" s="46" t="str">
        <f>IFERROR(__xludf.DUMMYFUNCTION("""COMPUTED_VALUE"""),"Gump")</f>
        <v>Gump</v>
      </c>
      <c r="BW561" s="46">
        <f t="shared" si="13"/>
        <v>100</v>
      </c>
      <c r="BX561" s="47">
        <f t="shared" ref="BX561:CA561" si="1794">AX561-$BU561</f>
        <v>-1000</v>
      </c>
      <c r="BY561" s="47">
        <f t="shared" si="1794"/>
        <v>-1000</v>
      </c>
      <c r="BZ561" s="47">
        <f t="shared" si="1794"/>
        <v>-1000</v>
      </c>
      <c r="CA561" s="47">
        <f t="shared" si="1794"/>
        <v>-1000</v>
      </c>
      <c r="CB561" s="47">
        <f t="shared" si="15"/>
        <v>-9900</v>
      </c>
      <c r="CC561" s="47">
        <f t="shared" ref="CC561:CQ561" si="1795">BC561-$BU561</f>
        <v>-1000</v>
      </c>
      <c r="CD561" s="47">
        <f t="shared" si="1795"/>
        <v>-1000</v>
      </c>
      <c r="CE561" s="47">
        <f t="shared" si="1795"/>
        <v>-1000</v>
      </c>
      <c r="CF561" s="47">
        <f t="shared" si="1795"/>
        <v>-1000</v>
      </c>
      <c r="CG561" s="47">
        <f t="shared" si="1795"/>
        <v>-1000</v>
      </c>
      <c r="CH561" s="47">
        <f t="shared" si="1795"/>
        <v>-1000</v>
      </c>
      <c r="CI561" s="47">
        <f t="shared" si="1795"/>
        <v>-1000</v>
      </c>
      <c r="CJ561" s="47">
        <f t="shared" si="1795"/>
        <v>-1000</v>
      </c>
      <c r="CK561" s="47">
        <f t="shared" si="1795"/>
        <v>-1000</v>
      </c>
      <c r="CL561" s="47">
        <f t="shared" si="1795"/>
        <v>-1000</v>
      </c>
      <c r="CM561" s="47">
        <f t="shared" si="1795"/>
        <v>-1000</v>
      </c>
      <c r="CN561" s="47">
        <f t="shared" si="1795"/>
        <v>-1000</v>
      </c>
      <c r="CO561" s="47">
        <f t="shared" si="1795"/>
        <v>-1000</v>
      </c>
      <c r="CP561" s="47">
        <f t="shared" si="1795"/>
        <v>-1000</v>
      </c>
      <c r="CQ561" s="47">
        <f t="shared" si="1795"/>
        <v>-1000</v>
      </c>
      <c r="CR561" s="47"/>
      <c r="CS561" s="47"/>
      <c r="CT561" s="47"/>
      <c r="CU561" s="50" t="str">
        <f>IFERROR(__xludf.DUMMYFUNCTION("""COMPUTED_VALUE"""),"4007 Lively
Dallas, TX 75220           ")</f>
        <v>4007 Lively
Dallas, TX 75220           </v>
      </c>
      <c r="CV561" s="51">
        <f>IFERROR(__xludf.DUMMYFUNCTION("IF(REGEXMATCH(UPPER(CU561), ""TX""),0,1)"),0.0)</f>
        <v>0</v>
      </c>
      <c r="CW561" s="51">
        <f>IFERROR(__xludf.DUMMYFUNCTION("IF(REGEXMATCH(UPPER(CU561), ""DALLAS""),0,1)"),0.0)</f>
        <v>0</v>
      </c>
      <c r="CX561" s="51">
        <f t="shared" si="17"/>
        <v>0</v>
      </c>
      <c r="CY561" s="51">
        <f t="shared" si="18"/>
        <v>0</v>
      </c>
      <c r="CZ561" s="52" t="str">
        <f t="shared" si="19"/>
        <v/>
      </c>
      <c r="DA561" s="58"/>
      <c r="DB561" s="52"/>
      <c r="DC561" s="52"/>
      <c r="DD561" s="52"/>
      <c r="DE561" s="52"/>
      <c r="DF561" s="52"/>
      <c r="DG561" s="52"/>
      <c r="DH561" s="52"/>
      <c r="DI561" s="52"/>
      <c r="DJ561" s="52"/>
      <c r="DK561" s="52"/>
      <c r="DL561" s="52"/>
      <c r="DM561" s="52"/>
      <c r="DN561" s="52"/>
      <c r="DO561" s="52"/>
      <c r="DP561" s="52"/>
      <c r="DQ561" s="52"/>
      <c r="DR561" s="52"/>
      <c r="DS561" s="52"/>
      <c r="DT561" s="52"/>
      <c r="DU561" s="52"/>
      <c r="DV561" s="52"/>
      <c r="DW561" s="52"/>
    </row>
    <row r="562">
      <c r="A562" s="22" t="s">
        <v>55</v>
      </c>
      <c r="B562" s="23" t="s">
        <v>56</v>
      </c>
      <c r="C562" s="31" t="s">
        <v>1522</v>
      </c>
      <c r="D562" s="25" t="str">
        <f>IFERROR(__xludf.DUMMYFUNCTION("SPLIT(C562,"" "")"),"Linebarger,")</f>
        <v>Linebarger,</v>
      </c>
      <c r="E562" s="22" t="str">
        <f>IFERROR(__xludf.DUMMYFUNCTION("""COMPUTED_VALUE"""),"Goggan,")</f>
        <v>Goggan,</v>
      </c>
      <c r="F562" s="22" t="str">
        <f>IFERROR(__xludf.DUMMYFUNCTION("""COMPUTED_VALUE"""),"Blair")</f>
        <v>Blair</v>
      </c>
      <c r="G562" s="22" t="str">
        <f>IFERROR(__xludf.DUMMYFUNCTION("""COMPUTED_VALUE"""),"&amp;")</f>
        <v>&amp;</v>
      </c>
      <c r="H562" s="22" t="str">
        <f>IFERROR(__xludf.DUMMYFUNCTION("""COMPUTED_VALUE"""),"Simpson
PO")</f>
        <v>Simpson
PO</v>
      </c>
      <c r="I562" s="22" t="str">
        <f>IFERROR(__xludf.DUMMYFUNCTION("""COMPUTED_VALUE"""),"Box")</f>
        <v>Box</v>
      </c>
      <c r="J562" s="22" t="str">
        <f>IFERROR(__xludf.DUMMYFUNCTION("""COMPUTED_VALUE"""),"17426
Austin,")</f>
        <v>17426
Austin,</v>
      </c>
      <c r="K562" s="22" t="str">
        <f>IFERROR(__xludf.DUMMYFUNCTION("""COMPUTED_VALUE"""),"TX")</f>
        <v>TX</v>
      </c>
      <c r="L562" s="22">
        <f>IFERROR(__xludf.DUMMYFUNCTION("""COMPUTED_VALUE"""),78760.0)</f>
        <v>78760</v>
      </c>
      <c r="M562" s="22"/>
      <c r="N562" s="22"/>
      <c r="O562" s="22"/>
      <c r="P562" s="22"/>
      <c r="Q562" s="22"/>
      <c r="R562" s="22"/>
      <c r="S562" s="22"/>
      <c r="T562" s="22"/>
      <c r="U562" s="24" t="str">
        <f>IFERROR(__xludf.DUMMYFUNCTION("SPLIT(E562,""01234567890"")"),"Goggan,")</f>
        <v>Goggan,</v>
      </c>
      <c r="V562" s="24" t="str">
        <f>IFERROR(__xludf.DUMMYFUNCTION("SPLIT(D562,"","")"),"Linebarger")</f>
        <v>Linebarger</v>
      </c>
      <c r="W562" s="25" t="str">
        <f t="shared" si="1"/>
        <v>GOGGAN, LINEBARGER</v>
      </c>
      <c r="X562" s="25" t="s">
        <v>1523</v>
      </c>
      <c r="Y562" s="25">
        <v>17426.0</v>
      </c>
      <c r="Z562" s="25" t="str">
        <f>IFERROR(__xludf.DUMMYFUNCTION("SPLIT(C562,""
"")"),"Linebarger, Goggan, Blair &amp; Simpson")</f>
        <v>Linebarger, Goggan, Blair &amp; Simpson</v>
      </c>
      <c r="AA562" s="25" t="str">
        <f>IFERROR(__xludf.DUMMYFUNCTION("""COMPUTED_VALUE"""),"PO Box 17426")</f>
        <v>PO Box 17426</v>
      </c>
      <c r="AB562" s="25" t="str">
        <f>IFERROR(__xludf.DUMMYFUNCTION("""COMPUTED_VALUE"""),"Austin, TX 78760")</f>
        <v>Austin, TX 78760</v>
      </c>
      <c r="AC562" s="24" t="s">
        <v>1524</v>
      </c>
      <c r="AD562" s="25"/>
      <c r="AE562" s="25"/>
      <c r="AF562" s="25"/>
      <c r="AG562" s="22" t="s">
        <v>60</v>
      </c>
      <c r="AH562" s="54">
        <v>2448.0</v>
      </c>
      <c r="AI562" s="22" t="s">
        <v>61</v>
      </c>
      <c r="AJ562" s="27">
        <v>1000.0</v>
      </c>
      <c r="AK562" s="31" t="s">
        <v>24</v>
      </c>
      <c r="AL562" s="28">
        <v>44712.0</v>
      </c>
      <c r="AM562" s="29">
        <v>44757.44018518519</v>
      </c>
      <c r="AN562" s="30">
        <v>2.0</v>
      </c>
      <c r="AO562" s="22"/>
      <c r="AP562" s="22"/>
      <c r="AQ562" s="22"/>
      <c r="AR562" s="22"/>
      <c r="AS562" s="22"/>
      <c r="AT562" s="70"/>
      <c r="AU562" s="22"/>
      <c r="AV562" s="57" t="str">
        <f>IFERROR(__xludf.DUMMYFUNCTION("""COMPUTED_VALUE"""),"Koch")</f>
        <v>Koch</v>
      </c>
      <c r="AW562" s="46">
        <f t="shared" si="7"/>
        <v>100</v>
      </c>
      <c r="AX562" s="47">
        <f t="shared" ref="AX562:BQ562" si="1796">SUMIFS($AJ:$AJ,$V:$V,$AV562,$AK:$AK,AX$2)</f>
        <v>0</v>
      </c>
      <c r="AY562" s="48">
        <f t="shared" si="1796"/>
        <v>0</v>
      </c>
      <c r="AZ562" s="48">
        <f t="shared" si="1796"/>
        <v>0</v>
      </c>
      <c r="BA562" s="48">
        <f t="shared" si="1796"/>
        <v>0</v>
      </c>
      <c r="BB562" s="48">
        <f t="shared" si="1796"/>
        <v>100</v>
      </c>
      <c r="BC562" s="48">
        <f t="shared" si="1796"/>
        <v>0</v>
      </c>
      <c r="BD562" s="48">
        <f t="shared" si="1796"/>
        <v>0</v>
      </c>
      <c r="BE562" s="48">
        <f t="shared" si="1796"/>
        <v>0</v>
      </c>
      <c r="BF562" s="48">
        <f t="shared" si="1796"/>
        <v>0</v>
      </c>
      <c r="BG562" s="48">
        <f t="shared" si="1796"/>
        <v>0</v>
      </c>
      <c r="BH562" s="48">
        <f t="shared" si="1796"/>
        <v>0</v>
      </c>
      <c r="BI562" s="48">
        <f t="shared" si="1796"/>
        <v>0</v>
      </c>
      <c r="BJ562" s="48">
        <f t="shared" si="1796"/>
        <v>0</v>
      </c>
      <c r="BK562" s="48">
        <f t="shared" si="1796"/>
        <v>0</v>
      </c>
      <c r="BL562" s="48">
        <f t="shared" si="1796"/>
        <v>0</v>
      </c>
      <c r="BM562" s="48">
        <f t="shared" si="1796"/>
        <v>0</v>
      </c>
      <c r="BN562" s="48">
        <f t="shared" si="1796"/>
        <v>0</v>
      </c>
      <c r="BO562" s="48">
        <f t="shared" si="1796"/>
        <v>0</v>
      </c>
      <c r="BP562" s="48">
        <f t="shared" si="1796"/>
        <v>0</v>
      </c>
      <c r="BQ562" s="48">
        <f t="shared" si="1796"/>
        <v>0</v>
      </c>
      <c r="BR562" s="36">
        <f t="shared" si="9"/>
        <v>0</v>
      </c>
      <c r="BS562" s="38">
        <f t="shared" si="10"/>
        <v>1</v>
      </c>
      <c r="BT562" s="49">
        <f t="shared" si="11"/>
        <v>0</v>
      </c>
      <c r="BU562" s="38">
        <f t="shared" si="12"/>
        <v>1000</v>
      </c>
      <c r="BV562" s="57" t="str">
        <f>IFERROR(__xludf.DUMMYFUNCTION("""COMPUTED_VALUE"""),"Koch")</f>
        <v>Koch</v>
      </c>
      <c r="BW562" s="46">
        <f t="shared" si="13"/>
        <v>100</v>
      </c>
      <c r="BX562" s="47">
        <f t="shared" ref="BX562:CA562" si="1797">AX562-$BU562</f>
        <v>-1000</v>
      </c>
      <c r="BY562" s="47">
        <f t="shared" si="1797"/>
        <v>-1000</v>
      </c>
      <c r="BZ562" s="47">
        <f t="shared" si="1797"/>
        <v>-1000</v>
      </c>
      <c r="CA562" s="47">
        <f t="shared" si="1797"/>
        <v>-1000</v>
      </c>
      <c r="CB562" s="47">
        <f t="shared" si="15"/>
        <v>-9900</v>
      </c>
      <c r="CC562" s="47">
        <f t="shared" ref="CC562:CQ562" si="1798">BC562-$BU562</f>
        <v>-1000</v>
      </c>
      <c r="CD562" s="47">
        <f t="shared" si="1798"/>
        <v>-1000</v>
      </c>
      <c r="CE562" s="47">
        <f t="shared" si="1798"/>
        <v>-1000</v>
      </c>
      <c r="CF562" s="47">
        <f t="shared" si="1798"/>
        <v>-1000</v>
      </c>
      <c r="CG562" s="47">
        <f t="shared" si="1798"/>
        <v>-1000</v>
      </c>
      <c r="CH562" s="47">
        <f t="shared" si="1798"/>
        <v>-1000</v>
      </c>
      <c r="CI562" s="47">
        <f t="shared" si="1798"/>
        <v>-1000</v>
      </c>
      <c r="CJ562" s="47">
        <f t="shared" si="1798"/>
        <v>-1000</v>
      </c>
      <c r="CK562" s="47">
        <f t="shared" si="1798"/>
        <v>-1000</v>
      </c>
      <c r="CL562" s="47">
        <f t="shared" si="1798"/>
        <v>-1000</v>
      </c>
      <c r="CM562" s="47">
        <f t="shared" si="1798"/>
        <v>-1000</v>
      </c>
      <c r="CN562" s="47">
        <f t="shared" si="1798"/>
        <v>-1000</v>
      </c>
      <c r="CO562" s="47">
        <f t="shared" si="1798"/>
        <v>-1000</v>
      </c>
      <c r="CP562" s="47">
        <f t="shared" si="1798"/>
        <v>-1000</v>
      </c>
      <c r="CQ562" s="47">
        <f t="shared" si="1798"/>
        <v>-1000</v>
      </c>
      <c r="CR562" s="47"/>
      <c r="CS562" s="47"/>
      <c r="CT562" s="47"/>
      <c r="CU562" s="50" t="str">
        <f>IFERROR(__xludf.DUMMYFUNCTION("""COMPUTED_VALUE"""),"604 Fort Worth Ave
Dallas, TX 75208         ")</f>
        <v>604 Fort Worth Ave
Dallas, TX 75208         </v>
      </c>
      <c r="CV562" s="51">
        <f>IFERROR(__xludf.DUMMYFUNCTION("IF(REGEXMATCH(UPPER(CU562), ""TX""),0,1)"),0.0)</f>
        <v>0</v>
      </c>
      <c r="CW562" s="51">
        <f>IFERROR(__xludf.DUMMYFUNCTION("IF(REGEXMATCH(UPPER(CU562), ""DALLAS""),0,1)"),0.0)</f>
        <v>0</v>
      </c>
      <c r="CX562" s="51">
        <f t="shared" si="17"/>
        <v>0</v>
      </c>
      <c r="CY562" s="51">
        <f t="shared" si="18"/>
        <v>0</v>
      </c>
      <c r="CZ562" s="52" t="str">
        <f t="shared" si="19"/>
        <v/>
      </c>
      <c r="DA562" s="58"/>
      <c r="DB562" s="52"/>
      <c r="DC562" s="52"/>
      <c r="DD562" s="52"/>
      <c r="DE562" s="52"/>
      <c r="DF562" s="52"/>
      <c r="DG562" s="52"/>
      <c r="DH562" s="52"/>
      <c r="DI562" s="52"/>
      <c r="DJ562" s="52"/>
      <c r="DK562" s="52"/>
      <c r="DL562" s="52"/>
      <c r="DM562" s="52"/>
      <c r="DN562" s="52"/>
      <c r="DO562" s="52"/>
      <c r="DP562" s="52"/>
      <c r="DQ562" s="52"/>
      <c r="DR562" s="52"/>
      <c r="DS562" s="52"/>
      <c r="DT562" s="52"/>
      <c r="DU562" s="52"/>
      <c r="DV562" s="52"/>
      <c r="DW562" s="52"/>
    </row>
    <row r="563">
      <c r="A563" s="40" t="s">
        <v>55</v>
      </c>
      <c r="B563" s="41" t="s">
        <v>56</v>
      </c>
      <c r="C563" s="31" t="s">
        <v>1525</v>
      </c>
      <c r="D563" s="25" t="str">
        <f>IFERROR(__xludf.DUMMYFUNCTION("SPLIT(C563,"" "")"),"Fergason,")</f>
        <v>Fergason,</v>
      </c>
      <c r="E563" s="40" t="str">
        <f>IFERROR(__xludf.DUMMYFUNCTION("""COMPUTED_VALUE"""),"Jane
4130")</f>
        <v>Jane
4130</v>
      </c>
      <c r="F563" s="40" t="str">
        <f>IFERROR(__xludf.DUMMYFUNCTION("""COMPUTED_VALUE"""),"Santa")</f>
        <v>Santa</v>
      </c>
      <c r="G563" s="40" t="str">
        <f>IFERROR(__xludf.DUMMYFUNCTION("""COMPUTED_VALUE"""),"Barbara")</f>
        <v>Barbara</v>
      </c>
      <c r="H563" s="40" t="str">
        <f>IFERROR(__xludf.DUMMYFUNCTION("""COMPUTED_VALUE"""),"Dr.
Dallas,")</f>
        <v>Dr.
Dallas,</v>
      </c>
      <c r="I563" s="40" t="str">
        <f>IFERROR(__xludf.DUMMYFUNCTION("""COMPUTED_VALUE"""),"TX")</f>
        <v>TX</v>
      </c>
      <c r="J563" s="40">
        <f>IFERROR(__xludf.DUMMYFUNCTION("""COMPUTED_VALUE"""),75214.0)</f>
        <v>75214</v>
      </c>
      <c r="K563" s="40"/>
      <c r="L563" s="40"/>
      <c r="M563" s="40"/>
      <c r="N563" s="40"/>
      <c r="O563" s="40"/>
      <c r="P563" s="40"/>
      <c r="Q563" s="40"/>
      <c r="R563" s="40"/>
      <c r="S563" s="40"/>
      <c r="T563" s="40"/>
      <c r="U563" s="24" t="str">
        <f>IFERROR(__xludf.DUMMYFUNCTION("SPLIT(E563,""01234567890"")"),"Jane
")</f>
        <v>Jane
</v>
      </c>
      <c r="V563" s="24" t="str">
        <f>IFERROR(__xludf.DUMMYFUNCTION("SPLIT(D563,"","")"),"Fergason")</f>
        <v>Fergason</v>
      </c>
      <c r="W563" s="25" t="str">
        <f t="shared" si="1"/>
        <v>JANE
 FERGASON</v>
      </c>
      <c r="X563" s="25" t="s">
        <v>1526</v>
      </c>
      <c r="Y563" s="25">
        <v>75214.0</v>
      </c>
      <c r="Z563" s="25" t="str">
        <f>IFERROR(__xludf.DUMMYFUNCTION("SPLIT(C563,""
"")"),"Fergason, Jane")</f>
        <v>Fergason, Jane</v>
      </c>
      <c r="AA563" s="25" t="str">
        <f>IFERROR(__xludf.DUMMYFUNCTION("""COMPUTED_VALUE"""),"4130 Santa Barbara Dr.")</f>
        <v>4130 Santa Barbara Dr.</v>
      </c>
      <c r="AB563" s="25" t="str">
        <f>IFERROR(__xludf.DUMMYFUNCTION("""COMPUTED_VALUE"""),"Dallas, TX 75214")</f>
        <v>Dallas, TX 75214</v>
      </c>
      <c r="AC563" s="24" t="s">
        <v>1527</v>
      </c>
      <c r="AD563" s="25"/>
      <c r="AE563" s="25"/>
      <c r="AF563" s="25"/>
      <c r="AG563" s="40" t="s">
        <v>60</v>
      </c>
      <c r="AH563" s="42">
        <v>2448.0</v>
      </c>
      <c r="AI563" s="40" t="s">
        <v>61</v>
      </c>
      <c r="AJ563" s="27">
        <v>50.0</v>
      </c>
      <c r="AK563" s="31" t="s">
        <v>24</v>
      </c>
      <c r="AL563" s="43">
        <v>44715.0</v>
      </c>
      <c r="AM563" s="44">
        <v>44757.44018518519</v>
      </c>
      <c r="AN563" s="30">
        <v>2.0</v>
      </c>
      <c r="AO563" s="40"/>
      <c r="AP563" s="40"/>
      <c r="AQ563" s="40"/>
      <c r="AR563" s="40"/>
      <c r="AS563" s="40"/>
      <c r="AT563" s="47"/>
      <c r="AU563" s="40"/>
      <c r="AV563" s="46" t="str">
        <f>IFERROR(__xludf.DUMMYFUNCTION("""COMPUTED_VALUE"""),"Ross")</f>
        <v>Ross</v>
      </c>
      <c r="AW563" s="46">
        <f t="shared" si="7"/>
        <v>1000</v>
      </c>
      <c r="AX563" s="47">
        <f t="shared" ref="AX563:BQ563" si="1799">SUMIFS($AJ:$AJ,$V:$V,$AV563,$AK:$AK,AX$2)</f>
        <v>0</v>
      </c>
      <c r="AY563" s="48">
        <f t="shared" si="1799"/>
        <v>0</v>
      </c>
      <c r="AZ563" s="48">
        <f t="shared" si="1799"/>
        <v>0</v>
      </c>
      <c r="BA563" s="48">
        <f t="shared" si="1799"/>
        <v>0</v>
      </c>
      <c r="BB563" s="48">
        <f t="shared" si="1799"/>
        <v>1000</v>
      </c>
      <c r="BC563" s="48">
        <f t="shared" si="1799"/>
        <v>0</v>
      </c>
      <c r="BD563" s="48">
        <f t="shared" si="1799"/>
        <v>0</v>
      </c>
      <c r="BE563" s="48">
        <f t="shared" si="1799"/>
        <v>0</v>
      </c>
      <c r="BF563" s="48">
        <f t="shared" si="1799"/>
        <v>0</v>
      </c>
      <c r="BG563" s="48">
        <f t="shared" si="1799"/>
        <v>0</v>
      </c>
      <c r="BH563" s="48">
        <f t="shared" si="1799"/>
        <v>0</v>
      </c>
      <c r="BI563" s="48">
        <f t="shared" si="1799"/>
        <v>0</v>
      </c>
      <c r="BJ563" s="48">
        <f t="shared" si="1799"/>
        <v>0</v>
      </c>
      <c r="BK563" s="48">
        <f t="shared" si="1799"/>
        <v>0</v>
      </c>
      <c r="BL563" s="48">
        <f t="shared" si="1799"/>
        <v>0</v>
      </c>
      <c r="BM563" s="48">
        <f t="shared" si="1799"/>
        <v>0</v>
      </c>
      <c r="BN563" s="48">
        <f t="shared" si="1799"/>
        <v>0</v>
      </c>
      <c r="BO563" s="48">
        <f t="shared" si="1799"/>
        <v>0</v>
      </c>
      <c r="BP563" s="48">
        <f t="shared" si="1799"/>
        <v>0</v>
      </c>
      <c r="BQ563" s="48">
        <f t="shared" si="1799"/>
        <v>0</v>
      </c>
      <c r="BR563" s="36">
        <f t="shared" si="9"/>
        <v>0</v>
      </c>
      <c r="BS563" s="38">
        <f t="shared" si="10"/>
        <v>1</v>
      </c>
      <c r="BT563" s="49">
        <f t="shared" si="11"/>
        <v>0</v>
      </c>
      <c r="BU563" s="38">
        <f t="shared" si="12"/>
        <v>1000</v>
      </c>
      <c r="BV563" s="46" t="str">
        <f>IFERROR(__xludf.DUMMYFUNCTION("""COMPUTED_VALUE"""),"Ross")</f>
        <v>Ross</v>
      </c>
      <c r="BW563" s="46">
        <f t="shared" si="13"/>
        <v>1000</v>
      </c>
      <c r="BX563" s="47">
        <f t="shared" ref="BX563:CA563" si="1800">AX563-$BU563</f>
        <v>-1000</v>
      </c>
      <c r="BY563" s="47">
        <f t="shared" si="1800"/>
        <v>-1000</v>
      </c>
      <c r="BZ563" s="47">
        <f t="shared" si="1800"/>
        <v>-1000</v>
      </c>
      <c r="CA563" s="47">
        <f t="shared" si="1800"/>
        <v>-1000</v>
      </c>
      <c r="CB563" s="47">
        <f t="shared" si="15"/>
        <v>-9000</v>
      </c>
      <c r="CC563" s="47">
        <f t="shared" ref="CC563:CQ563" si="1801">BC563-$BU563</f>
        <v>-1000</v>
      </c>
      <c r="CD563" s="47">
        <f t="shared" si="1801"/>
        <v>-1000</v>
      </c>
      <c r="CE563" s="47">
        <f t="shared" si="1801"/>
        <v>-1000</v>
      </c>
      <c r="CF563" s="47">
        <f t="shared" si="1801"/>
        <v>-1000</v>
      </c>
      <c r="CG563" s="47">
        <f t="shared" si="1801"/>
        <v>-1000</v>
      </c>
      <c r="CH563" s="47">
        <f t="shared" si="1801"/>
        <v>-1000</v>
      </c>
      <c r="CI563" s="47">
        <f t="shared" si="1801"/>
        <v>-1000</v>
      </c>
      <c r="CJ563" s="47">
        <f t="shared" si="1801"/>
        <v>-1000</v>
      </c>
      <c r="CK563" s="47">
        <f t="shared" si="1801"/>
        <v>-1000</v>
      </c>
      <c r="CL563" s="47">
        <f t="shared" si="1801"/>
        <v>-1000</v>
      </c>
      <c r="CM563" s="47">
        <f t="shared" si="1801"/>
        <v>-1000</v>
      </c>
      <c r="CN563" s="47">
        <f t="shared" si="1801"/>
        <v>-1000</v>
      </c>
      <c r="CO563" s="47">
        <f t="shared" si="1801"/>
        <v>-1000</v>
      </c>
      <c r="CP563" s="47">
        <f t="shared" si="1801"/>
        <v>-1000</v>
      </c>
      <c r="CQ563" s="47">
        <f t="shared" si="1801"/>
        <v>-1000</v>
      </c>
      <c r="CR563" s="47"/>
      <c r="CS563" s="47"/>
      <c r="CT563" s="47"/>
      <c r="CU563" s="50" t="str">
        <f>IFERROR(__xludf.DUMMYFUNCTION("""COMPUTED_VALUE"""),"2642 Bahama
Dallas, TX 75211           ")</f>
        <v>2642 Bahama
Dallas, TX 75211           </v>
      </c>
      <c r="CV563" s="51">
        <f>IFERROR(__xludf.DUMMYFUNCTION("IF(REGEXMATCH(UPPER(CU563), ""TX""),0,1)"),0.0)</f>
        <v>0</v>
      </c>
      <c r="CW563" s="51">
        <f>IFERROR(__xludf.DUMMYFUNCTION("IF(REGEXMATCH(UPPER(CU563), ""DALLAS""),0,1)"),0.0)</f>
        <v>0</v>
      </c>
      <c r="CX563" s="51">
        <f t="shared" si="17"/>
        <v>0</v>
      </c>
      <c r="CY563" s="51">
        <f t="shared" si="18"/>
        <v>0</v>
      </c>
      <c r="CZ563" s="52" t="str">
        <f t="shared" si="19"/>
        <v/>
      </c>
      <c r="DA563" s="58"/>
      <c r="DB563" s="52"/>
      <c r="DC563" s="52"/>
      <c r="DD563" s="52"/>
      <c r="DE563" s="52"/>
      <c r="DF563" s="52"/>
      <c r="DG563" s="52"/>
      <c r="DH563" s="52"/>
      <c r="DI563" s="52"/>
      <c r="DJ563" s="52"/>
      <c r="DK563" s="52"/>
      <c r="DL563" s="52"/>
      <c r="DM563" s="52"/>
      <c r="DN563" s="52"/>
      <c r="DO563" s="52"/>
      <c r="DP563" s="52"/>
      <c r="DQ563" s="52"/>
      <c r="DR563" s="52"/>
      <c r="DS563" s="52"/>
      <c r="DT563" s="52"/>
      <c r="DU563" s="52"/>
      <c r="DV563" s="52"/>
      <c r="DW563" s="52"/>
    </row>
    <row r="564">
      <c r="A564" s="22" t="s">
        <v>55</v>
      </c>
      <c r="B564" s="23" t="s">
        <v>56</v>
      </c>
      <c r="C564" s="31" t="s">
        <v>1528</v>
      </c>
      <c r="D564" s="25" t="str">
        <f>IFERROR(__xludf.DUMMYFUNCTION("SPLIT(C564,"" "")"),"Grantham,")</f>
        <v>Grantham,</v>
      </c>
      <c r="E564" s="22" t="str">
        <f>IFERROR(__xludf.DUMMYFUNCTION("""COMPUTED_VALUE"""),"Jennifer
4101")</f>
        <v>Jennifer
4101</v>
      </c>
      <c r="F564" s="22" t="str">
        <f>IFERROR(__xludf.DUMMYFUNCTION("""COMPUTED_VALUE"""),"Commerce")</f>
        <v>Commerce</v>
      </c>
      <c r="G564" s="22" t="str">
        <f>IFERROR(__xludf.DUMMYFUNCTION("""COMPUTED_VALUE"""),"St.
Dallas,")</f>
        <v>St.
Dallas,</v>
      </c>
      <c r="H564" s="22" t="str">
        <f>IFERROR(__xludf.DUMMYFUNCTION("""COMPUTED_VALUE"""),"TX")</f>
        <v>TX</v>
      </c>
      <c r="I564" s="22">
        <f>IFERROR(__xludf.DUMMYFUNCTION("""COMPUTED_VALUE"""),75226.0)</f>
        <v>75226</v>
      </c>
      <c r="J564" s="22"/>
      <c r="K564" s="22"/>
      <c r="L564" s="22"/>
      <c r="M564" s="22"/>
      <c r="N564" s="22"/>
      <c r="O564" s="22"/>
      <c r="P564" s="22"/>
      <c r="Q564" s="22"/>
      <c r="R564" s="22"/>
      <c r="S564" s="22"/>
      <c r="T564" s="22"/>
      <c r="U564" s="24" t="str">
        <f>IFERROR(__xludf.DUMMYFUNCTION("SPLIT(E564,""01234567890"")"),"Jennifer
")</f>
        <v>Jennifer
</v>
      </c>
      <c r="V564" s="24" t="str">
        <f>IFERROR(__xludf.DUMMYFUNCTION("SPLIT(D564,"","")"),"Grantham")</f>
        <v>Grantham</v>
      </c>
      <c r="W564" s="25" t="str">
        <f t="shared" si="1"/>
        <v>JENNIFER
 GRANTHAM</v>
      </c>
      <c r="X564" s="25" t="s">
        <v>1529</v>
      </c>
      <c r="Y564" s="25">
        <v>75226.0</v>
      </c>
      <c r="Z564" s="25" t="str">
        <f>IFERROR(__xludf.DUMMYFUNCTION("SPLIT(C564,""
"")"),"Grantham, Jennifer")</f>
        <v>Grantham, Jennifer</v>
      </c>
      <c r="AA564" s="25" t="str">
        <f>IFERROR(__xludf.DUMMYFUNCTION("""COMPUTED_VALUE"""),"4101 Commerce St.")</f>
        <v>4101 Commerce St.</v>
      </c>
      <c r="AB564" s="25" t="str">
        <f>IFERROR(__xludf.DUMMYFUNCTION("""COMPUTED_VALUE"""),"Dallas, TX 75226")</f>
        <v>Dallas, TX 75226</v>
      </c>
      <c r="AC564" s="24" t="s">
        <v>1530</v>
      </c>
      <c r="AD564" s="25"/>
      <c r="AE564" s="25"/>
      <c r="AF564" s="25"/>
      <c r="AG564" s="22" t="s">
        <v>60</v>
      </c>
      <c r="AH564" s="54">
        <v>2448.0</v>
      </c>
      <c r="AI564" s="22" t="s">
        <v>61</v>
      </c>
      <c r="AJ564" s="27">
        <v>50.0</v>
      </c>
      <c r="AK564" s="31" t="s">
        <v>24</v>
      </c>
      <c r="AL564" s="28">
        <v>44715.0</v>
      </c>
      <c r="AM564" s="29">
        <v>44757.44018518519</v>
      </c>
      <c r="AN564" s="30">
        <v>2.0</v>
      </c>
      <c r="AO564" s="22"/>
      <c r="AP564" s="22"/>
      <c r="AQ564" s="22"/>
      <c r="AR564" s="22"/>
      <c r="AS564" s="22"/>
      <c r="AT564" s="70"/>
      <c r="AU564" s="22"/>
      <c r="AV564" s="57" t="str">
        <f>IFERROR(__xludf.DUMMYFUNCTION("""COMPUTED_VALUE"""),"Brock")</f>
        <v>Brock</v>
      </c>
      <c r="AW564" s="46">
        <f t="shared" si="7"/>
        <v>100</v>
      </c>
      <c r="AX564" s="47">
        <f t="shared" ref="AX564:BQ564" si="1802">SUMIFS($AJ:$AJ,$V:$V,$AV564,$AK:$AK,AX$2)</f>
        <v>0</v>
      </c>
      <c r="AY564" s="48">
        <f t="shared" si="1802"/>
        <v>0</v>
      </c>
      <c r="AZ564" s="48">
        <f t="shared" si="1802"/>
        <v>0</v>
      </c>
      <c r="BA564" s="48">
        <f t="shared" si="1802"/>
        <v>0</v>
      </c>
      <c r="BB564" s="48">
        <f t="shared" si="1802"/>
        <v>100</v>
      </c>
      <c r="BC564" s="48">
        <f t="shared" si="1802"/>
        <v>0</v>
      </c>
      <c r="BD564" s="48">
        <f t="shared" si="1802"/>
        <v>0</v>
      </c>
      <c r="BE564" s="48">
        <f t="shared" si="1802"/>
        <v>0</v>
      </c>
      <c r="BF564" s="48">
        <f t="shared" si="1802"/>
        <v>0</v>
      </c>
      <c r="BG564" s="48">
        <f t="shared" si="1802"/>
        <v>0</v>
      </c>
      <c r="BH564" s="48">
        <f t="shared" si="1802"/>
        <v>0</v>
      </c>
      <c r="BI564" s="48">
        <f t="shared" si="1802"/>
        <v>0</v>
      </c>
      <c r="BJ564" s="48">
        <f t="shared" si="1802"/>
        <v>0</v>
      </c>
      <c r="BK564" s="48">
        <f t="shared" si="1802"/>
        <v>0</v>
      </c>
      <c r="BL564" s="48">
        <f t="shared" si="1802"/>
        <v>0</v>
      </c>
      <c r="BM564" s="48">
        <f t="shared" si="1802"/>
        <v>0</v>
      </c>
      <c r="BN564" s="48">
        <f t="shared" si="1802"/>
        <v>0</v>
      </c>
      <c r="BO564" s="48">
        <f t="shared" si="1802"/>
        <v>0</v>
      </c>
      <c r="BP564" s="48">
        <f t="shared" si="1802"/>
        <v>0</v>
      </c>
      <c r="BQ564" s="48">
        <f t="shared" si="1802"/>
        <v>0</v>
      </c>
      <c r="BR564" s="36">
        <f t="shared" si="9"/>
        <v>0</v>
      </c>
      <c r="BS564" s="38">
        <f t="shared" si="10"/>
        <v>1</v>
      </c>
      <c r="BT564" s="49">
        <f t="shared" si="11"/>
        <v>0</v>
      </c>
      <c r="BU564" s="38">
        <f t="shared" si="12"/>
        <v>1000</v>
      </c>
      <c r="BV564" s="57" t="str">
        <f>IFERROR(__xludf.DUMMYFUNCTION("""COMPUTED_VALUE"""),"Brock")</f>
        <v>Brock</v>
      </c>
      <c r="BW564" s="46">
        <f t="shared" si="13"/>
        <v>100</v>
      </c>
      <c r="BX564" s="47">
        <f t="shared" ref="BX564:CA564" si="1803">AX564-$BU564</f>
        <v>-1000</v>
      </c>
      <c r="BY564" s="47">
        <f t="shared" si="1803"/>
        <v>-1000</v>
      </c>
      <c r="BZ564" s="47">
        <f t="shared" si="1803"/>
        <v>-1000</v>
      </c>
      <c r="CA564" s="47">
        <f t="shared" si="1803"/>
        <v>-1000</v>
      </c>
      <c r="CB564" s="47">
        <f t="shared" si="15"/>
        <v>-9900</v>
      </c>
      <c r="CC564" s="47">
        <f t="shared" ref="CC564:CQ564" si="1804">BC564-$BU564</f>
        <v>-1000</v>
      </c>
      <c r="CD564" s="47">
        <f t="shared" si="1804"/>
        <v>-1000</v>
      </c>
      <c r="CE564" s="47">
        <f t="shared" si="1804"/>
        <v>-1000</v>
      </c>
      <c r="CF564" s="47">
        <f t="shared" si="1804"/>
        <v>-1000</v>
      </c>
      <c r="CG564" s="47">
        <f t="shared" si="1804"/>
        <v>-1000</v>
      </c>
      <c r="CH564" s="47">
        <f t="shared" si="1804"/>
        <v>-1000</v>
      </c>
      <c r="CI564" s="47">
        <f t="shared" si="1804"/>
        <v>-1000</v>
      </c>
      <c r="CJ564" s="47">
        <f t="shared" si="1804"/>
        <v>-1000</v>
      </c>
      <c r="CK564" s="47">
        <f t="shared" si="1804"/>
        <v>-1000</v>
      </c>
      <c r="CL564" s="47">
        <f t="shared" si="1804"/>
        <v>-1000</v>
      </c>
      <c r="CM564" s="47">
        <f t="shared" si="1804"/>
        <v>-1000</v>
      </c>
      <c r="CN564" s="47">
        <f t="shared" si="1804"/>
        <v>-1000</v>
      </c>
      <c r="CO564" s="47">
        <f t="shared" si="1804"/>
        <v>-1000</v>
      </c>
      <c r="CP564" s="47">
        <f t="shared" si="1804"/>
        <v>-1000</v>
      </c>
      <c r="CQ564" s="47">
        <f t="shared" si="1804"/>
        <v>-1000</v>
      </c>
      <c r="CR564" s="47"/>
      <c r="CS564" s="47"/>
      <c r="CT564" s="47"/>
      <c r="CU564" s="50" t="str">
        <f>IFERROR(__xludf.DUMMYFUNCTION("""COMPUTED_VALUE"""),"3405 Bellcrest
Celina, TX 75009           ")</f>
        <v>3405 Bellcrest
Celina, TX 75009           </v>
      </c>
      <c r="CV564" s="51">
        <f>IFERROR(__xludf.DUMMYFUNCTION("IF(REGEXMATCH(UPPER(CU564), ""TX""),0,1)"),0.0)</f>
        <v>0</v>
      </c>
      <c r="CW564" s="51">
        <f>IFERROR(__xludf.DUMMYFUNCTION("IF(REGEXMATCH(UPPER(CU564), ""DALLAS""),0,1)"),1.0)</f>
        <v>1</v>
      </c>
      <c r="CX564" s="51">
        <f t="shared" si="17"/>
        <v>0</v>
      </c>
      <c r="CY564" s="51">
        <f t="shared" si="18"/>
        <v>100</v>
      </c>
      <c r="CZ564" s="52" t="str">
        <f t="shared" si="19"/>
        <v>3405 Bellcrest
Celina, TX 75009           </v>
      </c>
      <c r="DA564" s="58"/>
      <c r="DB564" s="52"/>
      <c r="DC564" s="52"/>
      <c r="DD564" s="52"/>
      <c r="DE564" s="52"/>
      <c r="DF564" s="52"/>
      <c r="DG564" s="52"/>
      <c r="DH564" s="52"/>
      <c r="DI564" s="52"/>
      <c r="DJ564" s="52"/>
      <c r="DK564" s="52"/>
      <c r="DL564" s="52"/>
      <c r="DM564" s="52"/>
      <c r="DN564" s="52"/>
      <c r="DO564" s="52"/>
      <c r="DP564" s="52"/>
      <c r="DQ564" s="52"/>
      <c r="DR564" s="52"/>
      <c r="DS564" s="52"/>
      <c r="DT564" s="52"/>
      <c r="DU564" s="52"/>
      <c r="DV564" s="52"/>
      <c r="DW564" s="52"/>
    </row>
    <row r="565">
      <c r="A565" s="40" t="s">
        <v>55</v>
      </c>
      <c r="B565" s="41" t="s">
        <v>56</v>
      </c>
      <c r="C565" s="31" t="s">
        <v>1531</v>
      </c>
      <c r="D565" s="25" t="str">
        <f>IFERROR(__xludf.DUMMYFUNCTION("SPLIT(C565,"" "")"),"Hoffland,")</f>
        <v>Hoffland,</v>
      </c>
      <c r="E565" s="40" t="str">
        <f>IFERROR(__xludf.DUMMYFUNCTION("""COMPUTED_VALUE"""),"Scott
7278")</f>
        <v>Scott
7278</v>
      </c>
      <c r="F565" s="40" t="str">
        <f>IFERROR(__xludf.DUMMYFUNCTION("""COMPUTED_VALUE"""),"Williamson")</f>
        <v>Williamson</v>
      </c>
      <c r="G565" s="40" t="str">
        <f>IFERROR(__xludf.DUMMYFUNCTION("""COMPUTED_VALUE"""),"Cir
Dallas,")</f>
        <v>Cir
Dallas,</v>
      </c>
      <c r="H565" s="40" t="str">
        <f>IFERROR(__xludf.DUMMYFUNCTION("""COMPUTED_VALUE"""),"TX")</f>
        <v>TX</v>
      </c>
      <c r="I565" s="40">
        <f>IFERROR(__xludf.DUMMYFUNCTION("""COMPUTED_VALUE"""),75214.0)</f>
        <v>75214</v>
      </c>
      <c r="J565" s="40"/>
      <c r="K565" s="40"/>
      <c r="L565" s="40"/>
      <c r="M565" s="40"/>
      <c r="N565" s="40"/>
      <c r="O565" s="40"/>
      <c r="P565" s="40"/>
      <c r="Q565" s="40"/>
      <c r="R565" s="40"/>
      <c r="S565" s="40"/>
      <c r="T565" s="40"/>
      <c r="U565" s="24" t="str">
        <f>IFERROR(__xludf.DUMMYFUNCTION("SPLIT(E565,""01234567890"")"),"Scott
")</f>
        <v>Scott
</v>
      </c>
      <c r="V565" s="24" t="str">
        <f>IFERROR(__xludf.DUMMYFUNCTION("SPLIT(D565,"","")"),"Hoffland")</f>
        <v>Hoffland</v>
      </c>
      <c r="W565" s="25" t="str">
        <f t="shared" si="1"/>
        <v>SCOTT
 HOFFLAND</v>
      </c>
      <c r="X565" s="25" t="s">
        <v>1532</v>
      </c>
      <c r="Y565" s="25">
        <v>75214.0</v>
      </c>
      <c r="Z565" s="25" t="str">
        <f>IFERROR(__xludf.DUMMYFUNCTION("SPLIT(C565,""
"")"),"Hoffland, Scott")</f>
        <v>Hoffland, Scott</v>
      </c>
      <c r="AA565" s="25" t="str">
        <f>IFERROR(__xludf.DUMMYFUNCTION("""COMPUTED_VALUE"""),"7278 Williamson Cir")</f>
        <v>7278 Williamson Cir</v>
      </c>
      <c r="AB565" s="25" t="str">
        <f>IFERROR(__xludf.DUMMYFUNCTION("""COMPUTED_VALUE"""),"Dallas, TX 75214")</f>
        <v>Dallas, TX 75214</v>
      </c>
      <c r="AC565" s="24" t="s">
        <v>1533</v>
      </c>
      <c r="AD565" s="25"/>
      <c r="AE565" s="25"/>
      <c r="AF565" s="25"/>
      <c r="AG565" s="40" t="s">
        <v>60</v>
      </c>
      <c r="AH565" s="42">
        <v>2448.0</v>
      </c>
      <c r="AI565" s="40" t="s">
        <v>61</v>
      </c>
      <c r="AJ565" s="27">
        <v>100.0</v>
      </c>
      <c r="AK565" s="31" t="s">
        <v>24</v>
      </c>
      <c r="AL565" s="43">
        <v>44715.0</v>
      </c>
      <c r="AM565" s="44">
        <v>44757.44018518519</v>
      </c>
      <c r="AN565" s="30">
        <v>2.0</v>
      </c>
      <c r="AO565" s="40"/>
      <c r="AP565" s="40"/>
      <c r="AQ565" s="40"/>
      <c r="AR565" s="40"/>
      <c r="AS565" s="40"/>
      <c r="AT565" s="47"/>
      <c r="AU565" s="40"/>
      <c r="AV565" s="46" t="str">
        <f>IFERROR(__xludf.DUMMYFUNCTION("""COMPUTED_VALUE"""),"Mondell")</f>
        <v>Mondell</v>
      </c>
      <c r="AW565" s="46">
        <f t="shared" si="7"/>
        <v>100</v>
      </c>
      <c r="AX565" s="47">
        <f t="shared" ref="AX565:BQ565" si="1805">SUMIFS($AJ:$AJ,$V:$V,$AV565,$AK:$AK,AX$2)</f>
        <v>0</v>
      </c>
      <c r="AY565" s="48">
        <f t="shared" si="1805"/>
        <v>0</v>
      </c>
      <c r="AZ565" s="48">
        <f t="shared" si="1805"/>
        <v>0</v>
      </c>
      <c r="BA565" s="48">
        <f t="shared" si="1805"/>
        <v>0</v>
      </c>
      <c r="BB565" s="48">
        <f t="shared" si="1805"/>
        <v>100</v>
      </c>
      <c r="BC565" s="48">
        <f t="shared" si="1805"/>
        <v>0</v>
      </c>
      <c r="BD565" s="48">
        <f t="shared" si="1805"/>
        <v>0</v>
      </c>
      <c r="BE565" s="48">
        <f t="shared" si="1805"/>
        <v>0</v>
      </c>
      <c r="BF565" s="48">
        <f t="shared" si="1805"/>
        <v>0</v>
      </c>
      <c r="BG565" s="48">
        <f t="shared" si="1805"/>
        <v>0</v>
      </c>
      <c r="BH565" s="48">
        <f t="shared" si="1805"/>
        <v>0</v>
      </c>
      <c r="BI565" s="48">
        <f t="shared" si="1805"/>
        <v>0</v>
      </c>
      <c r="BJ565" s="48">
        <f t="shared" si="1805"/>
        <v>0</v>
      </c>
      <c r="BK565" s="48">
        <f t="shared" si="1805"/>
        <v>0</v>
      </c>
      <c r="BL565" s="48">
        <f t="shared" si="1805"/>
        <v>0</v>
      </c>
      <c r="BM565" s="48">
        <f t="shared" si="1805"/>
        <v>0</v>
      </c>
      <c r="BN565" s="48">
        <f t="shared" si="1805"/>
        <v>0</v>
      </c>
      <c r="BO565" s="48">
        <f t="shared" si="1805"/>
        <v>0</v>
      </c>
      <c r="BP565" s="48">
        <f t="shared" si="1805"/>
        <v>0</v>
      </c>
      <c r="BQ565" s="48">
        <f t="shared" si="1805"/>
        <v>0</v>
      </c>
      <c r="BR565" s="36">
        <f t="shared" si="9"/>
        <v>0</v>
      </c>
      <c r="BS565" s="38">
        <f t="shared" si="10"/>
        <v>1</v>
      </c>
      <c r="BT565" s="49">
        <f t="shared" si="11"/>
        <v>0</v>
      </c>
      <c r="BU565" s="38">
        <f t="shared" si="12"/>
        <v>1000</v>
      </c>
      <c r="BV565" s="46" t="str">
        <f>IFERROR(__xludf.DUMMYFUNCTION("""COMPUTED_VALUE"""),"Mondell")</f>
        <v>Mondell</v>
      </c>
      <c r="BW565" s="46">
        <f t="shared" si="13"/>
        <v>100</v>
      </c>
      <c r="BX565" s="47">
        <f t="shared" ref="BX565:CA565" si="1806">AX565-$BU565</f>
        <v>-1000</v>
      </c>
      <c r="BY565" s="47">
        <f t="shared" si="1806"/>
        <v>-1000</v>
      </c>
      <c r="BZ565" s="47">
        <f t="shared" si="1806"/>
        <v>-1000</v>
      </c>
      <c r="CA565" s="47">
        <f t="shared" si="1806"/>
        <v>-1000</v>
      </c>
      <c r="CB565" s="47">
        <f t="shared" si="15"/>
        <v>-9900</v>
      </c>
      <c r="CC565" s="47">
        <f t="shared" ref="CC565:CQ565" si="1807">BC565-$BU565</f>
        <v>-1000</v>
      </c>
      <c r="CD565" s="47">
        <f t="shared" si="1807"/>
        <v>-1000</v>
      </c>
      <c r="CE565" s="47">
        <f t="shared" si="1807"/>
        <v>-1000</v>
      </c>
      <c r="CF565" s="47">
        <f t="shared" si="1807"/>
        <v>-1000</v>
      </c>
      <c r="CG565" s="47">
        <f t="shared" si="1807"/>
        <v>-1000</v>
      </c>
      <c r="CH565" s="47">
        <f t="shared" si="1807"/>
        <v>-1000</v>
      </c>
      <c r="CI565" s="47">
        <f t="shared" si="1807"/>
        <v>-1000</v>
      </c>
      <c r="CJ565" s="47">
        <f t="shared" si="1807"/>
        <v>-1000</v>
      </c>
      <c r="CK565" s="47">
        <f t="shared" si="1807"/>
        <v>-1000</v>
      </c>
      <c r="CL565" s="47">
        <f t="shared" si="1807"/>
        <v>-1000</v>
      </c>
      <c r="CM565" s="47">
        <f t="shared" si="1807"/>
        <v>-1000</v>
      </c>
      <c r="CN565" s="47">
        <f t="shared" si="1807"/>
        <v>-1000</v>
      </c>
      <c r="CO565" s="47">
        <f t="shared" si="1807"/>
        <v>-1000</v>
      </c>
      <c r="CP565" s="47">
        <f t="shared" si="1807"/>
        <v>-1000</v>
      </c>
      <c r="CQ565" s="47">
        <f t="shared" si="1807"/>
        <v>-1000</v>
      </c>
      <c r="CR565" s="47"/>
      <c r="CS565" s="47"/>
      <c r="CT565" s="47"/>
      <c r="CU565" s="50" t="str">
        <f>IFERROR(__xludf.DUMMYFUNCTION("""COMPUTED_VALUE"""),"1777 N Record St
Dallas, TX 75202         ")</f>
        <v>1777 N Record St
Dallas, TX 75202         </v>
      </c>
      <c r="CV565" s="51">
        <f>IFERROR(__xludf.DUMMYFUNCTION("IF(REGEXMATCH(UPPER(CU565), ""TX""),0,1)"),0.0)</f>
        <v>0</v>
      </c>
      <c r="CW565" s="51">
        <f>IFERROR(__xludf.DUMMYFUNCTION("IF(REGEXMATCH(UPPER(CU565), ""DALLAS""),0,1)"),0.0)</f>
        <v>0</v>
      </c>
      <c r="CX565" s="51">
        <f t="shared" si="17"/>
        <v>0</v>
      </c>
      <c r="CY565" s="51">
        <f t="shared" si="18"/>
        <v>0</v>
      </c>
      <c r="CZ565" s="52" t="str">
        <f t="shared" si="19"/>
        <v/>
      </c>
      <c r="DA565" s="58"/>
      <c r="DB565" s="52"/>
      <c r="DC565" s="52"/>
      <c r="DD565" s="52"/>
      <c r="DE565" s="52"/>
      <c r="DF565" s="52"/>
      <c r="DG565" s="52"/>
      <c r="DH565" s="52"/>
      <c r="DI565" s="52"/>
      <c r="DJ565" s="52"/>
      <c r="DK565" s="52"/>
      <c r="DL565" s="52"/>
      <c r="DM565" s="52"/>
      <c r="DN565" s="52"/>
      <c r="DO565" s="52"/>
      <c r="DP565" s="52"/>
      <c r="DQ565" s="52"/>
      <c r="DR565" s="52"/>
      <c r="DS565" s="52"/>
      <c r="DT565" s="52"/>
      <c r="DU565" s="52"/>
      <c r="DV565" s="52"/>
      <c r="DW565" s="52"/>
    </row>
    <row r="566">
      <c r="A566" s="22" t="s">
        <v>55</v>
      </c>
      <c r="B566" s="23" t="s">
        <v>56</v>
      </c>
      <c r="C566" s="31" t="s">
        <v>1534</v>
      </c>
      <c r="D566" s="25" t="str">
        <f>IFERROR(__xludf.DUMMYFUNCTION("SPLIT(C566,"" "")"),"Krywucki,")</f>
        <v>Krywucki,</v>
      </c>
      <c r="E566" s="22" t="str">
        <f>IFERROR(__xludf.DUMMYFUNCTION("""COMPUTED_VALUE"""),"Michael
500")</f>
        <v>Michael
500</v>
      </c>
      <c r="F566" s="22" t="str">
        <f>IFERROR(__xludf.DUMMYFUNCTION("""COMPUTED_VALUE"""),"N.")</f>
        <v>N.</v>
      </c>
      <c r="G566" s="22" t="str">
        <f>IFERROR(__xludf.DUMMYFUNCTION("""COMPUTED_VALUE"""),"Akard
Dallas,")</f>
        <v>Akard
Dallas,</v>
      </c>
      <c r="H566" s="22" t="str">
        <f>IFERROR(__xludf.DUMMYFUNCTION("""COMPUTED_VALUE"""),"TX")</f>
        <v>TX</v>
      </c>
      <c r="I566" s="22">
        <f>IFERROR(__xludf.DUMMYFUNCTION("""COMPUTED_VALUE"""),75201.0)</f>
        <v>75201</v>
      </c>
      <c r="J566" s="22"/>
      <c r="K566" s="22"/>
      <c r="L566" s="22"/>
      <c r="M566" s="22"/>
      <c r="N566" s="22"/>
      <c r="O566" s="22"/>
      <c r="P566" s="22"/>
      <c r="Q566" s="22"/>
      <c r="R566" s="22"/>
      <c r="S566" s="22"/>
      <c r="T566" s="22"/>
      <c r="U566" s="24" t="str">
        <f>IFERROR(__xludf.DUMMYFUNCTION("SPLIT(E566,""01234567890"")"),"Michael
")</f>
        <v>Michael
</v>
      </c>
      <c r="V566" s="24" t="str">
        <f>IFERROR(__xludf.DUMMYFUNCTION("SPLIT(D566,"","")"),"Krywucki")</f>
        <v>Krywucki</v>
      </c>
      <c r="W566" s="25" t="str">
        <f t="shared" si="1"/>
        <v>MICHAEL
 KRYWUCKI</v>
      </c>
      <c r="X566" s="25" t="s">
        <v>1535</v>
      </c>
      <c r="Y566" s="25">
        <v>75201.0</v>
      </c>
      <c r="Z566" s="25" t="str">
        <f>IFERROR(__xludf.DUMMYFUNCTION("SPLIT(C566,""
"")"),"Krywucki, Michael")</f>
        <v>Krywucki, Michael</v>
      </c>
      <c r="AA566" s="25" t="str">
        <f>IFERROR(__xludf.DUMMYFUNCTION("""COMPUTED_VALUE"""),"500 N. Akard")</f>
        <v>500 N. Akard</v>
      </c>
      <c r="AB566" s="25" t="str">
        <f>IFERROR(__xludf.DUMMYFUNCTION("""COMPUTED_VALUE"""),"Dallas, TX 75201")</f>
        <v>Dallas, TX 75201</v>
      </c>
      <c r="AC566" s="24" t="s">
        <v>1536</v>
      </c>
      <c r="AD566" s="25"/>
      <c r="AE566" s="25"/>
      <c r="AF566" s="25"/>
      <c r="AG566" s="22" t="s">
        <v>60</v>
      </c>
      <c r="AH566" s="54">
        <v>2448.0</v>
      </c>
      <c r="AI566" s="22" t="s">
        <v>61</v>
      </c>
      <c r="AJ566" s="27">
        <v>1000.0</v>
      </c>
      <c r="AK566" s="31" t="s">
        <v>24</v>
      </c>
      <c r="AL566" s="28">
        <v>44715.0</v>
      </c>
      <c r="AM566" s="29">
        <v>44757.44018518519</v>
      </c>
      <c r="AN566" s="30">
        <v>2.0</v>
      </c>
      <c r="AO566" s="22"/>
      <c r="AP566" s="22"/>
      <c r="AQ566" s="22"/>
      <c r="AR566" s="22"/>
      <c r="AS566" s="22"/>
      <c r="AT566" s="70"/>
      <c r="AU566" s="22"/>
      <c r="AV566" s="57" t="str">
        <f>IFERROR(__xludf.DUMMYFUNCTION("""COMPUTED_VALUE"""),"Popolo")</f>
        <v>Popolo</v>
      </c>
      <c r="AW566" s="46">
        <f t="shared" si="7"/>
        <v>1000</v>
      </c>
      <c r="AX566" s="47">
        <f t="shared" ref="AX566:BQ566" si="1808">SUMIFS($AJ:$AJ,$V:$V,$AV566,$AK:$AK,AX$2)</f>
        <v>0</v>
      </c>
      <c r="AY566" s="48">
        <f t="shared" si="1808"/>
        <v>0</v>
      </c>
      <c r="AZ566" s="48">
        <f t="shared" si="1808"/>
        <v>0</v>
      </c>
      <c r="BA566" s="48">
        <f t="shared" si="1808"/>
        <v>0</v>
      </c>
      <c r="BB566" s="48">
        <f t="shared" si="1808"/>
        <v>1000</v>
      </c>
      <c r="BC566" s="48">
        <f t="shared" si="1808"/>
        <v>0</v>
      </c>
      <c r="BD566" s="48">
        <f t="shared" si="1808"/>
        <v>0</v>
      </c>
      <c r="BE566" s="48">
        <f t="shared" si="1808"/>
        <v>0</v>
      </c>
      <c r="BF566" s="48">
        <f t="shared" si="1808"/>
        <v>0</v>
      </c>
      <c r="BG566" s="48">
        <f t="shared" si="1808"/>
        <v>0</v>
      </c>
      <c r="BH566" s="48">
        <f t="shared" si="1808"/>
        <v>0</v>
      </c>
      <c r="BI566" s="48">
        <f t="shared" si="1808"/>
        <v>0</v>
      </c>
      <c r="BJ566" s="48">
        <f t="shared" si="1808"/>
        <v>0</v>
      </c>
      <c r="BK566" s="48">
        <f t="shared" si="1808"/>
        <v>0</v>
      </c>
      <c r="BL566" s="48">
        <f t="shared" si="1808"/>
        <v>0</v>
      </c>
      <c r="BM566" s="48">
        <f t="shared" si="1808"/>
        <v>0</v>
      </c>
      <c r="BN566" s="48">
        <f t="shared" si="1808"/>
        <v>0</v>
      </c>
      <c r="BO566" s="48">
        <f t="shared" si="1808"/>
        <v>0</v>
      </c>
      <c r="BP566" s="48">
        <f t="shared" si="1808"/>
        <v>0</v>
      </c>
      <c r="BQ566" s="48">
        <f t="shared" si="1808"/>
        <v>0</v>
      </c>
      <c r="BR566" s="36">
        <f t="shared" si="9"/>
        <v>0</v>
      </c>
      <c r="BS566" s="38">
        <f t="shared" si="10"/>
        <v>1</v>
      </c>
      <c r="BT566" s="49">
        <f t="shared" si="11"/>
        <v>0</v>
      </c>
      <c r="BU566" s="38">
        <f t="shared" si="12"/>
        <v>1000</v>
      </c>
      <c r="BV566" s="57" t="str">
        <f>IFERROR(__xludf.DUMMYFUNCTION("""COMPUTED_VALUE"""),"Popolo")</f>
        <v>Popolo</v>
      </c>
      <c r="BW566" s="46">
        <f t="shared" si="13"/>
        <v>1000</v>
      </c>
      <c r="BX566" s="47">
        <f t="shared" ref="BX566:CA566" si="1809">AX566-$BU566</f>
        <v>-1000</v>
      </c>
      <c r="BY566" s="47">
        <f t="shared" si="1809"/>
        <v>-1000</v>
      </c>
      <c r="BZ566" s="47">
        <f t="shared" si="1809"/>
        <v>-1000</v>
      </c>
      <c r="CA566" s="47">
        <f t="shared" si="1809"/>
        <v>-1000</v>
      </c>
      <c r="CB566" s="47">
        <f t="shared" si="15"/>
        <v>-9000</v>
      </c>
      <c r="CC566" s="47">
        <f t="shared" ref="CC566:CQ566" si="1810">BC566-$BU566</f>
        <v>-1000</v>
      </c>
      <c r="CD566" s="47">
        <f t="shared" si="1810"/>
        <v>-1000</v>
      </c>
      <c r="CE566" s="47">
        <f t="shared" si="1810"/>
        <v>-1000</v>
      </c>
      <c r="CF566" s="47">
        <f t="shared" si="1810"/>
        <v>-1000</v>
      </c>
      <c r="CG566" s="47">
        <f t="shared" si="1810"/>
        <v>-1000</v>
      </c>
      <c r="CH566" s="47">
        <f t="shared" si="1810"/>
        <v>-1000</v>
      </c>
      <c r="CI566" s="47">
        <f t="shared" si="1810"/>
        <v>-1000</v>
      </c>
      <c r="CJ566" s="47">
        <f t="shared" si="1810"/>
        <v>-1000</v>
      </c>
      <c r="CK566" s="47">
        <f t="shared" si="1810"/>
        <v>-1000</v>
      </c>
      <c r="CL566" s="47">
        <f t="shared" si="1810"/>
        <v>-1000</v>
      </c>
      <c r="CM566" s="47">
        <f t="shared" si="1810"/>
        <v>-1000</v>
      </c>
      <c r="CN566" s="47">
        <f t="shared" si="1810"/>
        <v>-1000</v>
      </c>
      <c r="CO566" s="47">
        <f t="shared" si="1810"/>
        <v>-1000</v>
      </c>
      <c r="CP566" s="47">
        <f t="shared" si="1810"/>
        <v>-1000</v>
      </c>
      <c r="CQ566" s="47">
        <f t="shared" si="1810"/>
        <v>-1000</v>
      </c>
      <c r="CR566" s="47"/>
      <c r="CS566" s="47"/>
      <c r="CT566" s="47"/>
      <c r="CU566" s="50" t="str">
        <f>IFERROR(__xludf.DUMMYFUNCTION("""COMPUTED_VALUE"""),"6042 Prestonshire
Dallas, TX 76225           ")</f>
        <v>6042 Prestonshire
Dallas, TX 76225           </v>
      </c>
      <c r="CV566" s="51">
        <f>IFERROR(__xludf.DUMMYFUNCTION("IF(REGEXMATCH(UPPER(CU566), ""TX""),0,1)"),0.0)</f>
        <v>0</v>
      </c>
      <c r="CW566" s="51">
        <f>IFERROR(__xludf.DUMMYFUNCTION("IF(REGEXMATCH(UPPER(CU566), ""DALLAS""),0,1)"),0.0)</f>
        <v>0</v>
      </c>
      <c r="CX566" s="51">
        <f t="shared" si="17"/>
        <v>0</v>
      </c>
      <c r="CY566" s="51">
        <f t="shared" si="18"/>
        <v>0</v>
      </c>
      <c r="CZ566" s="52" t="str">
        <f t="shared" si="19"/>
        <v/>
      </c>
      <c r="DA566" s="58"/>
      <c r="DB566" s="52"/>
      <c r="DC566" s="52"/>
      <c r="DD566" s="52"/>
      <c r="DE566" s="52"/>
      <c r="DF566" s="52"/>
      <c r="DG566" s="52"/>
      <c r="DH566" s="52"/>
      <c r="DI566" s="52"/>
      <c r="DJ566" s="52"/>
      <c r="DK566" s="52"/>
      <c r="DL566" s="52"/>
      <c r="DM566" s="52"/>
      <c r="DN566" s="52"/>
      <c r="DO566" s="52"/>
      <c r="DP566" s="52"/>
      <c r="DQ566" s="52"/>
      <c r="DR566" s="52"/>
      <c r="DS566" s="52"/>
      <c r="DT566" s="52"/>
      <c r="DU566" s="52"/>
      <c r="DV566" s="52"/>
      <c r="DW566" s="52"/>
    </row>
    <row r="567">
      <c r="A567" s="40" t="s">
        <v>55</v>
      </c>
      <c r="B567" s="41" t="s">
        <v>56</v>
      </c>
      <c r="C567" s="31" t="s">
        <v>1537</v>
      </c>
      <c r="D567" s="25" t="str">
        <f>IFERROR(__xludf.DUMMYFUNCTION("SPLIT(C567,"" "")"),"Lane,")</f>
        <v>Lane,</v>
      </c>
      <c r="E567" s="40" t="str">
        <f>IFERROR(__xludf.DUMMYFUNCTION("""COMPUTED_VALUE"""),"Lawrence
4101")</f>
        <v>Lawrence
4101</v>
      </c>
      <c r="F567" s="40" t="str">
        <f>IFERROR(__xludf.DUMMYFUNCTION("""COMPUTED_VALUE"""),"Commerce
Dallas,")</f>
        <v>Commerce
Dallas,</v>
      </c>
      <c r="G567" s="40" t="str">
        <f>IFERROR(__xludf.DUMMYFUNCTION("""COMPUTED_VALUE"""),"TX")</f>
        <v>TX</v>
      </c>
      <c r="H567" s="40">
        <f>IFERROR(__xludf.DUMMYFUNCTION("""COMPUTED_VALUE"""),75226.0)</f>
        <v>75226</v>
      </c>
      <c r="I567" s="40"/>
      <c r="J567" s="40"/>
      <c r="K567" s="40"/>
      <c r="L567" s="40"/>
      <c r="M567" s="40"/>
      <c r="N567" s="40"/>
      <c r="O567" s="40"/>
      <c r="P567" s="40"/>
      <c r="Q567" s="40"/>
      <c r="R567" s="40"/>
      <c r="S567" s="40"/>
      <c r="T567" s="40"/>
      <c r="U567" s="24" t="str">
        <f>IFERROR(__xludf.DUMMYFUNCTION("SPLIT(E567,""01234567890"")"),"Lawrence
")</f>
        <v>Lawrence
</v>
      </c>
      <c r="V567" s="24" t="str">
        <f>IFERROR(__xludf.DUMMYFUNCTION("SPLIT(D567,"","")"),"Lane")</f>
        <v>Lane</v>
      </c>
      <c r="W567" s="25" t="str">
        <f t="shared" si="1"/>
        <v>LAWRENCE
 LANE</v>
      </c>
      <c r="X567" s="25" t="s">
        <v>1538</v>
      </c>
      <c r="Y567" s="25">
        <v>75226.0</v>
      </c>
      <c r="Z567" s="25" t="str">
        <f>IFERROR(__xludf.DUMMYFUNCTION("SPLIT(C567,""
"")"),"Lane, Lawrence")</f>
        <v>Lane, Lawrence</v>
      </c>
      <c r="AA567" s="25" t="str">
        <f>IFERROR(__xludf.DUMMYFUNCTION("""COMPUTED_VALUE"""),"4101 Commerce")</f>
        <v>4101 Commerce</v>
      </c>
      <c r="AB567" s="25" t="str">
        <f>IFERROR(__xludf.DUMMYFUNCTION("""COMPUTED_VALUE"""),"Dallas, TX 75226")</f>
        <v>Dallas, TX 75226</v>
      </c>
      <c r="AC567" s="24" t="s">
        <v>1539</v>
      </c>
      <c r="AD567" s="25"/>
      <c r="AE567" s="25"/>
      <c r="AF567" s="25"/>
      <c r="AG567" s="40" t="s">
        <v>60</v>
      </c>
      <c r="AH567" s="42">
        <v>2448.0</v>
      </c>
      <c r="AI567" s="40" t="s">
        <v>61</v>
      </c>
      <c r="AJ567" s="27">
        <v>50.0</v>
      </c>
      <c r="AK567" s="31" t="s">
        <v>24</v>
      </c>
      <c r="AL567" s="43">
        <v>44715.0</v>
      </c>
      <c r="AM567" s="44">
        <v>44757.44018518519</v>
      </c>
      <c r="AN567" s="30">
        <v>2.0</v>
      </c>
      <c r="AO567" s="40"/>
      <c r="AP567" s="40"/>
      <c r="AQ567" s="40"/>
      <c r="AR567" s="40"/>
      <c r="AS567" s="40"/>
      <c r="AT567" s="47"/>
      <c r="AU567" s="40"/>
      <c r="AV567" s="46" t="str">
        <f>IFERROR(__xludf.DUMMYFUNCTION("""COMPUTED_VALUE"""),"Capelo")</f>
        <v>Capelo</v>
      </c>
      <c r="AW567" s="46">
        <f t="shared" si="7"/>
        <v>2500</v>
      </c>
      <c r="AX567" s="47">
        <f t="shared" ref="AX567:BQ567" si="1811">SUMIFS($AJ:$AJ,$V:$V,$AV567,$AK:$AK,AX$2)</f>
        <v>0</v>
      </c>
      <c r="AY567" s="48">
        <f t="shared" si="1811"/>
        <v>0</v>
      </c>
      <c r="AZ567" s="48">
        <f t="shared" si="1811"/>
        <v>0</v>
      </c>
      <c r="BA567" s="48">
        <f t="shared" si="1811"/>
        <v>0</v>
      </c>
      <c r="BB567" s="48">
        <f t="shared" si="1811"/>
        <v>2500</v>
      </c>
      <c r="BC567" s="48">
        <f t="shared" si="1811"/>
        <v>0</v>
      </c>
      <c r="BD567" s="48">
        <f t="shared" si="1811"/>
        <v>0</v>
      </c>
      <c r="BE567" s="48">
        <f t="shared" si="1811"/>
        <v>0</v>
      </c>
      <c r="BF567" s="48">
        <f t="shared" si="1811"/>
        <v>0</v>
      </c>
      <c r="BG567" s="48">
        <f t="shared" si="1811"/>
        <v>0</v>
      </c>
      <c r="BH567" s="48">
        <f t="shared" si="1811"/>
        <v>0</v>
      </c>
      <c r="BI567" s="48">
        <f t="shared" si="1811"/>
        <v>0</v>
      </c>
      <c r="BJ567" s="48">
        <f t="shared" si="1811"/>
        <v>0</v>
      </c>
      <c r="BK567" s="48">
        <f t="shared" si="1811"/>
        <v>0</v>
      </c>
      <c r="BL567" s="48">
        <f t="shared" si="1811"/>
        <v>0</v>
      </c>
      <c r="BM567" s="48">
        <f t="shared" si="1811"/>
        <v>0</v>
      </c>
      <c r="BN567" s="48">
        <f t="shared" si="1811"/>
        <v>0</v>
      </c>
      <c r="BO567" s="48">
        <f t="shared" si="1811"/>
        <v>0</v>
      </c>
      <c r="BP567" s="48">
        <f t="shared" si="1811"/>
        <v>0</v>
      </c>
      <c r="BQ567" s="48">
        <f t="shared" si="1811"/>
        <v>0</v>
      </c>
      <c r="BR567" s="36">
        <f t="shared" si="9"/>
        <v>0</v>
      </c>
      <c r="BS567" s="38">
        <f t="shared" si="10"/>
        <v>1</v>
      </c>
      <c r="BT567" s="49">
        <f t="shared" si="11"/>
        <v>0</v>
      </c>
      <c r="BU567" s="38">
        <f t="shared" si="12"/>
        <v>1000</v>
      </c>
      <c r="BV567" s="46" t="str">
        <f>IFERROR(__xludf.DUMMYFUNCTION("""COMPUTED_VALUE"""),"Capelo")</f>
        <v>Capelo</v>
      </c>
      <c r="BW567" s="46">
        <f t="shared" si="13"/>
        <v>2500</v>
      </c>
      <c r="BX567" s="47">
        <f t="shared" ref="BX567:CA567" si="1812">AX567-$BU567</f>
        <v>-1000</v>
      </c>
      <c r="BY567" s="47">
        <f t="shared" si="1812"/>
        <v>-1000</v>
      </c>
      <c r="BZ567" s="47">
        <f t="shared" si="1812"/>
        <v>-1000</v>
      </c>
      <c r="CA567" s="47">
        <f t="shared" si="1812"/>
        <v>-1000</v>
      </c>
      <c r="CB567" s="47">
        <f t="shared" si="15"/>
        <v>-7500</v>
      </c>
      <c r="CC567" s="47">
        <f t="shared" ref="CC567:CQ567" si="1813">BC567-$BU567</f>
        <v>-1000</v>
      </c>
      <c r="CD567" s="47">
        <f t="shared" si="1813"/>
        <v>-1000</v>
      </c>
      <c r="CE567" s="47">
        <f t="shared" si="1813"/>
        <v>-1000</v>
      </c>
      <c r="CF567" s="47">
        <f t="shared" si="1813"/>
        <v>-1000</v>
      </c>
      <c r="CG567" s="47">
        <f t="shared" si="1813"/>
        <v>-1000</v>
      </c>
      <c r="CH567" s="47">
        <f t="shared" si="1813"/>
        <v>-1000</v>
      </c>
      <c r="CI567" s="47">
        <f t="shared" si="1813"/>
        <v>-1000</v>
      </c>
      <c r="CJ567" s="47">
        <f t="shared" si="1813"/>
        <v>-1000</v>
      </c>
      <c r="CK567" s="47">
        <f t="shared" si="1813"/>
        <v>-1000</v>
      </c>
      <c r="CL567" s="47">
        <f t="shared" si="1813"/>
        <v>-1000</v>
      </c>
      <c r="CM567" s="47">
        <f t="shared" si="1813"/>
        <v>-1000</v>
      </c>
      <c r="CN567" s="47">
        <f t="shared" si="1813"/>
        <v>-1000</v>
      </c>
      <c r="CO567" s="47">
        <f t="shared" si="1813"/>
        <v>-1000</v>
      </c>
      <c r="CP567" s="47">
        <f t="shared" si="1813"/>
        <v>-1000</v>
      </c>
      <c r="CQ567" s="47">
        <f t="shared" si="1813"/>
        <v>-1000</v>
      </c>
      <c r="CR567" s="47"/>
      <c r="CS567" s="47"/>
      <c r="CT567" s="47"/>
      <c r="CU567" s="50" t="str">
        <f>IFERROR(__xludf.DUMMYFUNCTION("""COMPUTED_VALUE"""),"4861 Sunnyvale Street
Dallas, TX 75214          ")</f>
        <v>4861 Sunnyvale Street
Dallas, TX 75214          </v>
      </c>
      <c r="CV567" s="51">
        <f>IFERROR(__xludf.DUMMYFUNCTION("IF(REGEXMATCH(UPPER(CU567), ""TX""),0,1)"),0.0)</f>
        <v>0</v>
      </c>
      <c r="CW567" s="51">
        <f>IFERROR(__xludf.DUMMYFUNCTION("IF(REGEXMATCH(UPPER(CU567), ""DALLAS""),0,1)"),0.0)</f>
        <v>0</v>
      </c>
      <c r="CX567" s="51">
        <f t="shared" si="17"/>
        <v>0</v>
      </c>
      <c r="CY567" s="51">
        <f t="shared" si="18"/>
        <v>0</v>
      </c>
      <c r="CZ567" s="52" t="str">
        <f t="shared" si="19"/>
        <v/>
      </c>
      <c r="DA567" s="58"/>
      <c r="DB567" s="52"/>
      <c r="DC567" s="52"/>
      <c r="DD567" s="52"/>
      <c r="DE567" s="52"/>
      <c r="DF567" s="52"/>
      <c r="DG567" s="52"/>
      <c r="DH567" s="52"/>
      <c r="DI567" s="52"/>
      <c r="DJ567" s="52"/>
      <c r="DK567" s="52"/>
      <c r="DL567" s="52"/>
      <c r="DM567" s="52"/>
      <c r="DN567" s="52"/>
      <c r="DO567" s="52"/>
      <c r="DP567" s="52"/>
      <c r="DQ567" s="52"/>
      <c r="DR567" s="52"/>
      <c r="DS567" s="52"/>
      <c r="DT567" s="52"/>
      <c r="DU567" s="52"/>
      <c r="DV567" s="52"/>
      <c r="DW567" s="52"/>
    </row>
    <row r="568">
      <c r="A568" s="22" t="s">
        <v>55</v>
      </c>
      <c r="B568" s="23" t="s">
        <v>56</v>
      </c>
      <c r="C568" s="31" t="s">
        <v>1540</v>
      </c>
      <c r="D568" s="25" t="str">
        <f>IFERROR(__xludf.DUMMYFUNCTION("SPLIT(C568,"" "")"),"Veale,")</f>
        <v>Veale,</v>
      </c>
      <c r="E568" s="22" t="str">
        <f>IFERROR(__xludf.DUMMYFUNCTION("""COMPUTED_VALUE"""),"Michael
1717")</f>
        <v>Michael
1717</v>
      </c>
      <c r="F568" s="22" t="str">
        <f>IFERROR(__xludf.DUMMYFUNCTION("""COMPUTED_VALUE"""),"Arts")</f>
        <v>Arts</v>
      </c>
      <c r="G568" s="22" t="str">
        <f>IFERROR(__xludf.DUMMYFUNCTION("""COMPUTED_VALUE"""),"Place
Dallas,")</f>
        <v>Place
Dallas,</v>
      </c>
      <c r="H568" s="22" t="str">
        <f>IFERROR(__xludf.DUMMYFUNCTION("""COMPUTED_VALUE"""),"TX")</f>
        <v>TX</v>
      </c>
      <c r="I568" s="22">
        <f>IFERROR(__xludf.DUMMYFUNCTION("""COMPUTED_VALUE"""),75201.0)</f>
        <v>75201</v>
      </c>
      <c r="J568" s="22"/>
      <c r="K568" s="22"/>
      <c r="L568" s="22"/>
      <c r="M568" s="22"/>
      <c r="N568" s="22"/>
      <c r="O568" s="22"/>
      <c r="P568" s="22"/>
      <c r="Q568" s="22"/>
      <c r="R568" s="22"/>
      <c r="S568" s="22"/>
      <c r="T568" s="22"/>
      <c r="U568" s="24" t="str">
        <f>IFERROR(__xludf.DUMMYFUNCTION("SPLIT(E568,""01234567890"")"),"Michael
")</f>
        <v>Michael
</v>
      </c>
      <c r="V568" s="24" t="str">
        <f>IFERROR(__xludf.DUMMYFUNCTION("SPLIT(D568,"","")"),"Veale")</f>
        <v>Veale</v>
      </c>
      <c r="W568" s="25" t="str">
        <f t="shared" si="1"/>
        <v>MICHAEL
 VEALE</v>
      </c>
      <c r="X568" s="25" t="s">
        <v>1541</v>
      </c>
      <c r="Y568" s="25">
        <v>75201.0</v>
      </c>
      <c r="Z568" s="25" t="str">
        <f>IFERROR(__xludf.DUMMYFUNCTION("SPLIT(C568,""
"")"),"Veale, Michael")</f>
        <v>Veale, Michael</v>
      </c>
      <c r="AA568" s="25" t="str">
        <f>IFERROR(__xludf.DUMMYFUNCTION("""COMPUTED_VALUE"""),"1717 Arts Place")</f>
        <v>1717 Arts Place</v>
      </c>
      <c r="AB568" s="25" t="str">
        <f>IFERROR(__xludf.DUMMYFUNCTION("""COMPUTED_VALUE"""),"Dallas, TX 75201")</f>
        <v>Dallas, TX 75201</v>
      </c>
      <c r="AC568" s="24" t="s">
        <v>1542</v>
      </c>
      <c r="AD568" s="25"/>
      <c r="AE568" s="25"/>
      <c r="AF568" s="25"/>
      <c r="AG568" s="22" t="s">
        <v>60</v>
      </c>
      <c r="AH568" s="54">
        <v>2448.0</v>
      </c>
      <c r="AI568" s="22" t="s">
        <v>61</v>
      </c>
      <c r="AJ568" s="27">
        <v>100.0</v>
      </c>
      <c r="AK568" s="31" t="s">
        <v>24</v>
      </c>
      <c r="AL568" s="28">
        <v>44715.0</v>
      </c>
      <c r="AM568" s="29">
        <v>44757.44018518519</v>
      </c>
      <c r="AN568" s="30">
        <v>2.0</v>
      </c>
      <c r="AO568" s="22"/>
      <c r="AP568" s="22"/>
      <c r="AQ568" s="22"/>
      <c r="AR568" s="22"/>
      <c r="AS568" s="22"/>
      <c r="AT568" s="70"/>
      <c r="AU568" s="22"/>
      <c r="AV568" s="57" t="str">
        <f>IFERROR(__xludf.DUMMYFUNCTION("""COMPUTED_VALUE"""),"Feinstein")</f>
        <v>Feinstein</v>
      </c>
      <c r="AW568" s="46">
        <f t="shared" si="7"/>
        <v>1000</v>
      </c>
      <c r="AX568" s="47">
        <f t="shared" ref="AX568:BQ568" si="1814">SUMIFS($AJ:$AJ,$V:$V,$AV568,$AK:$AK,AX$2)</f>
        <v>0</v>
      </c>
      <c r="AY568" s="48">
        <f t="shared" si="1814"/>
        <v>0</v>
      </c>
      <c r="AZ568" s="48">
        <f t="shared" si="1814"/>
        <v>0</v>
      </c>
      <c r="BA568" s="48">
        <f t="shared" si="1814"/>
        <v>0</v>
      </c>
      <c r="BB568" s="48">
        <f t="shared" si="1814"/>
        <v>1000</v>
      </c>
      <c r="BC568" s="48">
        <f t="shared" si="1814"/>
        <v>0</v>
      </c>
      <c r="BD568" s="48">
        <f t="shared" si="1814"/>
        <v>0</v>
      </c>
      <c r="BE568" s="48">
        <f t="shared" si="1814"/>
        <v>0</v>
      </c>
      <c r="BF568" s="48">
        <f t="shared" si="1814"/>
        <v>0</v>
      </c>
      <c r="BG568" s="48">
        <f t="shared" si="1814"/>
        <v>0</v>
      </c>
      <c r="BH568" s="48">
        <f t="shared" si="1814"/>
        <v>0</v>
      </c>
      <c r="BI568" s="48">
        <f t="shared" si="1814"/>
        <v>0</v>
      </c>
      <c r="BJ568" s="48">
        <f t="shared" si="1814"/>
        <v>0</v>
      </c>
      <c r="BK568" s="48">
        <f t="shared" si="1814"/>
        <v>0</v>
      </c>
      <c r="BL568" s="48">
        <f t="shared" si="1814"/>
        <v>0</v>
      </c>
      <c r="BM568" s="48">
        <f t="shared" si="1814"/>
        <v>0</v>
      </c>
      <c r="BN568" s="48">
        <f t="shared" si="1814"/>
        <v>0</v>
      </c>
      <c r="BO568" s="48">
        <f t="shared" si="1814"/>
        <v>0</v>
      </c>
      <c r="BP568" s="48">
        <f t="shared" si="1814"/>
        <v>0</v>
      </c>
      <c r="BQ568" s="48">
        <f t="shared" si="1814"/>
        <v>0</v>
      </c>
      <c r="BR568" s="36">
        <f t="shared" si="9"/>
        <v>0</v>
      </c>
      <c r="BS568" s="38">
        <f t="shared" si="10"/>
        <v>1</v>
      </c>
      <c r="BT568" s="49">
        <f t="shared" si="11"/>
        <v>0</v>
      </c>
      <c r="BU568" s="38">
        <f t="shared" si="12"/>
        <v>1000</v>
      </c>
      <c r="BV568" s="57" t="str">
        <f>IFERROR(__xludf.DUMMYFUNCTION("""COMPUTED_VALUE"""),"Feinstein")</f>
        <v>Feinstein</v>
      </c>
      <c r="BW568" s="46">
        <f t="shared" si="13"/>
        <v>1000</v>
      </c>
      <c r="BX568" s="47">
        <f t="shared" ref="BX568:CA568" si="1815">AX568-$BU568</f>
        <v>-1000</v>
      </c>
      <c r="BY568" s="47">
        <f t="shared" si="1815"/>
        <v>-1000</v>
      </c>
      <c r="BZ568" s="47">
        <f t="shared" si="1815"/>
        <v>-1000</v>
      </c>
      <c r="CA568" s="47">
        <f t="shared" si="1815"/>
        <v>-1000</v>
      </c>
      <c r="CB568" s="47">
        <f t="shared" si="15"/>
        <v>-9000</v>
      </c>
      <c r="CC568" s="47">
        <f t="shared" ref="CC568:CQ568" si="1816">BC568-$BU568</f>
        <v>-1000</v>
      </c>
      <c r="CD568" s="47">
        <f t="shared" si="1816"/>
        <v>-1000</v>
      </c>
      <c r="CE568" s="47">
        <f t="shared" si="1816"/>
        <v>-1000</v>
      </c>
      <c r="CF568" s="47">
        <f t="shared" si="1816"/>
        <v>-1000</v>
      </c>
      <c r="CG568" s="47">
        <f t="shared" si="1816"/>
        <v>-1000</v>
      </c>
      <c r="CH568" s="47">
        <f t="shared" si="1816"/>
        <v>-1000</v>
      </c>
      <c r="CI568" s="47">
        <f t="shared" si="1816"/>
        <v>-1000</v>
      </c>
      <c r="CJ568" s="47">
        <f t="shared" si="1816"/>
        <v>-1000</v>
      </c>
      <c r="CK568" s="47">
        <f t="shared" si="1816"/>
        <v>-1000</v>
      </c>
      <c r="CL568" s="47">
        <f t="shared" si="1816"/>
        <v>-1000</v>
      </c>
      <c r="CM568" s="47">
        <f t="shared" si="1816"/>
        <v>-1000</v>
      </c>
      <c r="CN568" s="47">
        <f t="shared" si="1816"/>
        <v>-1000</v>
      </c>
      <c r="CO568" s="47">
        <f t="shared" si="1816"/>
        <v>-1000</v>
      </c>
      <c r="CP568" s="47">
        <f t="shared" si="1816"/>
        <v>-1000</v>
      </c>
      <c r="CQ568" s="47">
        <f t="shared" si="1816"/>
        <v>-1000</v>
      </c>
      <c r="CR568" s="47"/>
      <c r="CS568" s="47"/>
      <c r="CT568" s="47"/>
      <c r="CU568" s="50" t="str">
        <f>IFERROR(__xludf.DUMMYFUNCTION("""COMPUTED_VALUE"""),"1234 n/a
Dallas, TX 12345           ")</f>
        <v>1234 n/a
Dallas, TX 12345           </v>
      </c>
      <c r="CV568" s="51">
        <f>IFERROR(__xludf.DUMMYFUNCTION("IF(REGEXMATCH(UPPER(CU568), ""TX""),0,1)"),0.0)</f>
        <v>0</v>
      </c>
      <c r="CW568" s="51">
        <f>IFERROR(__xludf.DUMMYFUNCTION("IF(REGEXMATCH(UPPER(CU568), ""DALLAS""),0,1)"),0.0)</f>
        <v>0</v>
      </c>
      <c r="CX568" s="51">
        <f t="shared" si="17"/>
        <v>0</v>
      </c>
      <c r="CY568" s="51">
        <f t="shared" si="18"/>
        <v>0</v>
      </c>
      <c r="CZ568" s="52" t="str">
        <f t="shared" si="19"/>
        <v/>
      </c>
      <c r="DA568" s="58"/>
      <c r="DB568" s="52"/>
      <c r="DC568" s="52"/>
      <c r="DD568" s="52"/>
      <c r="DE568" s="52"/>
      <c r="DF568" s="52"/>
      <c r="DG568" s="52"/>
      <c r="DH568" s="52"/>
      <c r="DI568" s="52"/>
      <c r="DJ568" s="52"/>
      <c r="DK568" s="52"/>
      <c r="DL568" s="52"/>
      <c r="DM568" s="52"/>
      <c r="DN568" s="52"/>
      <c r="DO568" s="52"/>
      <c r="DP568" s="52"/>
      <c r="DQ568" s="52"/>
      <c r="DR568" s="52"/>
      <c r="DS568" s="52"/>
      <c r="DT568" s="52"/>
      <c r="DU568" s="52"/>
      <c r="DV568" s="52"/>
      <c r="DW568" s="52"/>
    </row>
    <row r="569">
      <c r="A569" s="40" t="s">
        <v>55</v>
      </c>
      <c r="B569" s="41" t="s">
        <v>56</v>
      </c>
      <c r="C569" s="31" t="s">
        <v>1543</v>
      </c>
      <c r="D569" s="25" t="str">
        <f>IFERROR(__xludf.DUMMYFUNCTION("SPLIT(C569,"" "")"),"Coates,")</f>
        <v>Coates,</v>
      </c>
      <c r="E569" s="40" t="str">
        <f>IFERROR(__xludf.DUMMYFUNCTION("""COMPUTED_VALUE"""),"Sam
26")</f>
        <v>Sam
26</v>
      </c>
      <c r="F569" s="40" t="str">
        <f>IFERROR(__xludf.DUMMYFUNCTION("""COMPUTED_VALUE"""),"Rydington")</f>
        <v>Rydington</v>
      </c>
      <c r="G569" s="40" t="str">
        <f>IFERROR(__xludf.DUMMYFUNCTION("""COMPUTED_VALUE"""),"Pl
Dallas,")</f>
        <v>Pl
Dallas,</v>
      </c>
      <c r="H569" s="40" t="str">
        <f>IFERROR(__xludf.DUMMYFUNCTION("""COMPUTED_VALUE"""),"TX")</f>
        <v>TX</v>
      </c>
      <c r="I569" s="40">
        <f>IFERROR(__xludf.DUMMYFUNCTION("""COMPUTED_VALUE"""),75230.0)</f>
        <v>75230</v>
      </c>
      <c r="J569" s="40"/>
      <c r="K569" s="40"/>
      <c r="L569" s="40"/>
      <c r="M569" s="40"/>
      <c r="N569" s="40"/>
      <c r="O569" s="40"/>
      <c r="P569" s="40"/>
      <c r="Q569" s="40"/>
      <c r="R569" s="40"/>
      <c r="S569" s="40"/>
      <c r="T569" s="40"/>
      <c r="U569" s="24" t="str">
        <f>IFERROR(__xludf.DUMMYFUNCTION("SPLIT(E569,""01234567890"")"),"Sam
")</f>
        <v>Sam
</v>
      </c>
      <c r="V569" s="24" t="str">
        <f>IFERROR(__xludf.DUMMYFUNCTION("SPLIT(D569,"","")"),"Coates")</f>
        <v>Coates</v>
      </c>
      <c r="W569" s="25" t="str">
        <f t="shared" si="1"/>
        <v>SAM
 COATES</v>
      </c>
      <c r="X569" s="25" t="s">
        <v>1544</v>
      </c>
      <c r="Y569" s="25">
        <v>75230.0</v>
      </c>
      <c r="Z569" s="25" t="str">
        <f>IFERROR(__xludf.DUMMYFUNCTION("SPLIT(C569,""
"")"),"Coates, Sam")</f>
        <v>Coates, Sam</v>
      </c>
      <c r="AA569" s="25" t="str">
        <f>IFERROR(__xludf.DUMMYFUNCTION("""COMPUTED_VALUE"""),"26 Rydington Pl")</f>
        <v>26 Rydington Pl</v>
      </c>
      <c r="AB569" s="25" t="str">
        <f>IFERROR(__xludf.DUMMYFUNCTION("""COMPUTED_VALUE"""),"Dallas, TX 75230")</f>
        <v>Dallas, TX 75230</v>
      </c>
      <c r="AC569" s="24" t="s">
        <v>1545</v>
      </c>
      <c r="AD569" s="25"/>
      <c r="AE569" s="25"/>
      <c r="AF569" s="25"/>
      <c r="AG569" s="40" t="s">
        <v>60</v>
      </c>
      <c r="AH569" s="42">
        <v>2448.0</v>
      </c>
      <c r="AI569" s="40" t="s">
        <v>61</v>
      </c>
      <c r="AJ569" s="27">
        <v>250.0</v>
      </c>
      <c r="AK569" s="31" t="s">
        <v>24</v>
      </c>
      <c r="AL569" s="43">
        <v>44716.0</v>
      </c>
      <c r="AM569" s="44">
        <v>44757.44018518519</v>
      </c>
      <c r="AN569" s="30">
        <v>2.0</v>
      </c>
      <c r="AO569" s="40"/>
      <c r="AP569" s="40"/>
      <c r="AQ569" s="40"/>
      <c r="AR569" s="40"/>
      <c r="AS569" s="40"/>
      <c r="AT569" s="47"/>
      <c r="AU569" s="40"/>
      <c r="AV569" s="46" t="str">
        <f>IFERROR(__xludf.DUMMYFUNCTION("""COMPUTED_VALUE"""),"Senat")</f>
        <v>Senat</v>
      </c>
      <c r="AW569" s="46">
        <f t="shared" si="7"/>
        <v>50</v>
      </c>
      <c r="AX569" s="47">
        <f t="shared" ref="AX569:BQ569" si="1817">SUMIFS($AJ:$AJ,$V:$V,$AV569,$AK:$AK,AX$2)</f>
        <v>0</v>
      </c>
      <c r="AY569" s="48">
        <f t="shared" si="1817"/>
        <v>0</v>
      </c>
      <c r="AZ569" s="48">
        <f t="shared" si="1817"/>
        <v>0</v>
      </c>
      <c r="BA569" s="48">
        <f t="shared" si="1817"/>
        <v>0</v>
      </c>
      <c r="BB569" s="48">
        <f t="shared" si="1817"/>
        <v>50</v>
      </c>
      <c r="BC569" s="48">
        <f t="shared" si="1817"/>
        <v>0</v>
      </c>
      <c r="BD569" s="48">
        <f t="shared" si="1817"/>
        <v>0</v>
      </c>
      <c r="BE569" s="48">
        <f t="shared" si="1817"/>
        <v>0</v>
      </c>
      <c r="BF569" s="48">
        <f t="shared" si="1817"/>
        <v>0</v>
      </c>
      <c r="BG569" s="48">
        <f t="shared" si="1817"/>
        <v>0</v>
      </c>
      <c r="BH569" s="48">
        <f t="shared" si="1817"/>
        <v>0</v>
      </c>
      <c r="BI569" s="48">
        <f t="shared" si="1817"/>
        <v>0</v>
      </c>
      <c r="BJ569" s="48">
        <f t="shared" si="1817"/>
        <v>0</v>
      </c>
      <c r="BK569" s="48">
        <f t="shared" si="1817"/>
        <v>0</v>
      </c>
      <c r="BL569" s="48">
        <f t="shared" si="1817"/>
        <v>0</v>
      </c>
      <c r="BM569" s="48">
        <f t="shared" si="1817"/>
        <v>0</v>
      </c>
      <c r="BN569" s="48">
        <f t="shared" si="1817"/>
        <v>0</v>
      </c>
      <c r="BO569" s="48">
        <f t="shared" si="1817"/>
        <v>0</v>
      </c>
      <c r="BP569" s="48">
        <f t="shared" si="1817"/>
        <v>0</v>
      </c>
      <c r="BQ569" s="48">
        <f t="shared" si="1817"/>
        <v>0</v>
      </c>
      <c r="BR569" s="36">
        <f t="shared" si="9"/>
        <v>0</v>
      </c>
      <c r="BS569" s="38">
        <f t="shared" si="10"/>
        <v>1</v>
      </c>
      <c r="BT569" s="49">
        <f t="shared" si="11"/>
        <v>0</v>
      </c>
      <c r="BU569" s="38">
        <f t="shared" si="12"/>
        <v>1000</v>
      </c>
      <c r="BV569" s="46" t="str">
        <f>IFERROR(__xludf.DUMMYFUNCTION("""COMPUTED_VALUE"""),"Senat")</f>
        <v>Senat</v>
      </c>
      <c r="BW569" s="46">
        <f t="shared" si="13"/>
        <v>50</v>
      </c>
      <c r="BX569" s="47">
        <f t="shared" ref="BX569:CA569" si="1818">AX569-$BU569</f>
        <v>-1000</v>
      </c>
      <c r="BY569" s="47">
        <f t="shared" si="1818"/>
        <v>-1000</v>
      </c>
      <c r="BZ569" s="47">
        <f t="shared" si="1818"/>
        <v>-1000</v>
      </c>
      <c r="CA569" s="47">
        <f t="shared" si="1818"/>
        <v>-1000</v>
      </c>
      <c r="CB569" s="47">
        <f t="shared" si="15"/>
        <v>-9950</v>
      </c>
      <c r="CC569" s="47">
        <f t="shared" ref="CC569:CQ569" si="1819">BC569-$BU569</f>
        <v>-1000</v>
      </c>
      <c r="CD569" s="47">
        <f t="shared" si="1819"/>
        <v>-1000</v>
      </c>
      <c r="CE569" s="47">
        <f t="shared" si="1819"/>
        <v>-1000</v>
      </c>
      <c r="CF569" s="47">
        <f t="shared" si="1819"/>
        <v>-1000</v>
      </c>
      <c r="CG569" s="47">
        <f t="shared" si="1819"/>
        <v>-1000</v>
      </c>
      <c r="CH569" s="47">
        <f t="shared" si="1819"/>
        <v>-1000</v>
      </c>
      <c r="CI569" s="47">
        <f t="shared" si="1819"/>
        <v>-1000</v>
      </c>
      <c r="CJ569" s="47">
        <f t="shared" si="1819"/>
        <v>-1000</v>
      </c>
      <c r="CK569" s="47">
        <f t="shared" si="1819"/>
        <v>-1000</v>
      </c>
      <c r="CL569" s="47">
        <f t="shared" si="1819"/>
        <v>-1000</v>
      </c>
      <c r="CM569" s="47">
        <f t="shared" si="1819"/>
        <v>-1000</v>
      </c>
      <c r="CN569" s="47">
        <f t="shared" si="1819"/>
        <v>-1000</v>
      </c>
      <c r="CO569" s="47">
        <f t="shared" si="1819"/>
        <v>-1000</v>
      </c>
      <c r="CP569" s="47">
        <f t="shared" si="1819"/>
        <v>-1000</v>
      </c>
      <c r="CQ569" s="47">
        <f t="shared" si="1819"/>
        <v>-1000</v>
      </c>
      <c r="CR569" s="47"/>
      <c r="CS569" s="47"/>
      <c r="CT569" s="47"/>
      <c r="CU569" s="50" t="str">
        <f>IFERROR(__xludf.DUMMYFUNCTION("""COMPUTED_VALUE"""),"6038 
Dallas, TX 75206           ")</f>
        <v>6038 
Dallas, TX 75206           </v>
      </c>
      <c r="CV569" s="51">
        <f>IFERROR(__xludf.DUMMYFUNCTION("IF(REGEXMATCH(UPPER(CU569), ""TX""),0,1)"),0.0)</f>
        <v>0</v>
      </c>
      <c r="CW569" s="51">
        <f>IFERROR(__xludf.DUMMYFUNCTION("IF(REGEXMATCH(UPPER(CU569), ""DALLAS""),0,1)"),0.0)</f>
        <v>0</v>
      </c>
      <c r="CX569" s="51">
        <f t="shared" si="17"/>
        <v>0</v>
      </c>
      <c r="CY569" s="51">
        <f t="shared" si="18"/>
        <v>0</v>
      </c>
      <c r="CZ569" s="52" t="str">
        <f t="shared" si="19"/>
        <v/>
      </c>
      <c r="DA569" s="58"/>
      <c r="DB569" s="52"/>
      <c r="DC569" s="52"/>
      <c r="DD569" s="52"/>
      <c r="DE569" s="52"/>
      <c r="DF569" s="52"/>
      <c r="DG569" s="52"/>
      <c r="DH569" s="52"/>
      <c r="DI569" s="52"/>
      <c r="DJ569" s="52"/>
      <c r="DK569" s="52"/>
      <c r="DL569" s="52"/>
      <c r="DM569" s="52"/>
      <c r="DN569" s="52"/>
      <c r="DO569" s="52"/>
      <c r="DP569" s="52"/>
      <c r="DQ569" s="52"/>
      <c r="DR569" s="52"/>
      <c r="DS569" s="52"/>
      <c r="DT569" s="52"/>
      <c r="DU569" s="52"/>
      <c r="DV569" s="52"/>
      <c r="DW569" s="52"/>
    </row>
    <row r="570">
      <c r="A570" s="22" t="s">
        <v>55</v>
      </c>
      <c r="B570" s="23" t="s">
        <v>56</v>
      </c>
      <c r="C570" s="31" t="s">
        <v>1098</v>
      </c>
      <c r="D570" s="25" t="str">
        <f>IFERROR(__xludf.DUMMYFUNCTION("SPLIT(C570,"" "")"),"Heinbaugh,")</f>
        <v>Heinbaugh,</v>
      </c>
      <c r="E570" s="22" t="str">
        <f>IFERROR(__xludf.DUMMYFUNCTION("""COMPUTED_VALUE"""),"Chris
1801")</f>
        <v>Chris
1801</v>
      </c>
      <c r="F570" s="22" t="str">
        <f>IFERROR(__xludf.DUMMYFUNCTION("""COMPUTED_VALUE"""),"Annex")</f>
        <v>Annex</v>
      </c>
      <c r="G570" s="22" t="str">
        <f>IFERROR(__xludf.DUMMYFUNCTION("""COMPUTED_VALUE"""),"Ave
Dallas,")</f>
        <v>Ave
Dallas,</v>
      </c>
      <c r="H570" s="22" t="str">
        <f>IFERROR(__xludf.DUMMYFUNCTION("""COMPUTED_VALUE"""),"TX")</f>
        <v>TX</v>
      </c>
      <c r="I570" s="22">
        <f>IFERROR(__xludf.DUMMYFUNCTION("""COMPUTED_VALUE"""),75204.0)</f>
        <v>75204</v>
      </c>
      <c r="J570" s="22"/>
      <c r="K570" s="22"/>
      <c r="L570" s="22"/>
      <c r="M570" s="22"/>
      <c r="N570" s="22"/>
      <c r="O570" s="22"/>
      <c r="P570" s="22"/>
      <c r="Q570" s="22"/>
      <c r="R570" s="22"/>
      <c r="S570" s="22"/>
      <c r="T570" s="22"/>
      <c r="U570" s="24" t="str">
        <f>IFERROR(__xludf.DUMMYFUNCTION("SPLIT(E570,""01234567890"")"),"Chris
")</f>
        <v>Chris
</v>
      </c>
      <c r="V570" s="24" t="str">
        <f>IFERROR(__xludf.DUMMYFUNCTION("SPLIT(D570,"","")"),"Heinbaugh")</f>
        <v>Heinbaugh</v>
      </c>
      <c r="W570" s="25" t="str">
        <f t="shared" si="1"/>
        <v>CHRIS
 HEINBAUGH</v>
      </c>
      <c r="X570" s="25" t="s">
        <v>1099</v>
      </c>
      <c r="Y570" s="25">
        <v>75204.0</v>
      </c>
      <c r="Z570" s="25" t="str">
        <f>IFERROR(__xludf.DUMMYFUNCTION("SPLIT(C570,""
"")"),"Heinbaugh, Chris")</f>
        <v>Heinbaugh, Chris</v>
      </c>
      <c r="AA570" s="25" t="str">
        <f>IFERROR(__xludf.DUMMYFUNCTION("""COMPUTED_VALUE"""),"1801 Annex Ave")</f>
        <v>1801 Annex Ave</v>
      </c>
      <c r="AB570" s="25" t="str">
        <f>IFERROR(__xludf.DUMMYFUNCTION("""COMPUTED_VALUE"""),"Dallas, TX 75204")</f>
        <v>Dallas, TX 75204</v>
      </c>
      <c r="AC570" s="24" t="s">
        <v>1100</v>
      </c>
      <c r="AD570" s="25"/>
      <c r="AE570" s="25"/>
      <c r="AF570" s="25"/>
      <c r="AG570" s="22" t="s">
        <v>60</v>
      </c>
      <c r="AH570" s="54">
        <v>2448.0</v>
      </c>
      <c r="AI570" s="22" t="s">
        <v>61</v>
      </c>
      <c r="AJ570" s="27">
        <v>100.0</v>
      </c>
      <c r="AK570" s="31" t="s">
        <v>24</v>
      </c>
      <c r="AL570" s="28">
        <v>44718.0</v>
      </c>
      <c r="AM570" s="29">
        <v>44757.44018518519</v>
      </c>
      <c r="AN570" s="30">
        <v>2.0</v>
      </c>
      <c r="AO570" s="22"/>
      <c r="AP570" s="22"/>
      <c r="AQ570" s="22"/>
      <c r="AR570" s="22"/>
      <c r="AS570" s="22"/>
      <c r="AT570" s="70"/>
      <c r="AU570" s="22"/>
      <c r="AV570" s="57" t="str">
        <f>IFERROR(__xludf.DUMMYFUNCTION("""COMPUTED_VALUE"""),"Botefuhr")</f>
        <v>Botefuhr</v>
      </c>
      <c r="AW570" s="46">
        <f t="shared" si="7"/>
        <v>100</v>
      </c>
      <c r="AX570" s="47">
        <f t="shared" ref="AX570:BQ570" si="1820">SUMIFS($AJ:$AJ,$V:$V,$AV570,$AK:$AK,AX$2)</f>
        <v>0</v>
      </c>
      <c r="AY570" s="48">
        <f t="shared" si="1820"/>
        <v>0</v>
      </c>
      <c r="AZ570" s="48">
        <f t="shared" si="1820"/>
        <v>0</v>
      </c>
      <c r="BA570" s="48">
        <f t="shared" si="1820"/>
        <v>0</v>
      </c>
      <c r="BB570" s="48">
        <f t="shared" si="1820"/>
        <v>100</v>
      </c>
      <c r="BC570" s="48">
        <f t="shared" si="1820"/>
        <v>0</v>
      </c>
      <c r="BD570" s="48">
        <f t="shared" si="1820"/>
        <v>0</v>
      </c>
      <c r="BE570" s="48">
        <f t="shared" si="1820"/>
        <v>0</v>
      </c>
      <c r="BF570" s="48">
        <f t="shared" si="1820"/>
        <v>0</v>
      </c>
      <c r="BG570" s="48">
        <f t="shared" si="1820"/>
        <v>0</v>
      </c>
      <c r="BH570" s="48">
        <f t="shared" si="1820"/>
        <v>0</v>
      </c>
      <c r="BI570" s="48">
        <f t="shared" si="1820"/>
        <v>0</v>
      </c>
      <c r="BJ570" s="48">
        <f t="shared" si="1820"/>
        <v>0</v>
      </c>
      <c r="BK570" s="48">
        <f t="shared" si="1820"/>
        <v>0</v>
      </c>
      <c r="BL570" s="48">
        <f t="shared" si="1820"/>
        <v>0</v>
      </c>
      <c r="BM570" s="48">
        <f t="shared" si="1820"/>
        <v>0</v>
      </c>
      <c r="BN570" s="48">
        <f t="shared" si="1820"/>
        <v>0</v>
      </c>
      <c r="BO570" s="48">
        <f t="shared" si="1820"/>
        <v>0</v>
      </c>
      <c r="BP570" s="48">
        <f t="shared" si="1820"/>
        <v>0</v>
      </c>
      <c r="BQ570" s="48">
        <f t="shared" si="1820"/>
        <v>0</v>
      </c>
      <c r="BR570" s="36">
        <f t="shared" si="9"/>
        <v>0</v>
      </c>
      <c r="BS570" s="38">
        <f t="shared" si="10"/>
        <v>1</v>
      </c>
      <c r="BT570" s="49">
        <f t="shared" si="11"/>
        <v>0</v>
      </c>
      <c r="BU570" s="38">
        <f t="shared" si="12"/>
        <v>1000</v>
      </c>
      <c r="BV570" s="57" t="str">
        <f>IFERROR(__xludf.DUMMYFUNCTION("""COMPUTED_VALUE"""),"Botefuhr")</f>
        <v>Botefuhr</v>
      </c>
      <c r="BW570" s="46">
        <f t="shared" si="13"/>
        <v>100</v>
      </c>
      <c r="BX570" s="47">
        <f t="shared" ref="BX570:CA570" si="1821">AX570-$BU570</f>
        <v>-1000</v>
      </c>
      <c r="BY570" s="47">
        <f t="shared" si="1821"/>
        <v>-1000</v>
      </c>
      <c r="BZ570" s="47">
        <f t="shared" si="1821"/>
        <v>-1000</v>
      </c>
      <c r="CA570" s="47">
        <f t="shared" si="1821"/>
        <v>-1000</v>
      </c>
      <c r="CB570" s="47">
        <f t="shared" si="15"/>
        <v>-9900</v>
      </c>
      <c r="CC570" s="47">
        <f t="shared" ref="CC570:CQ570" si="1822">BC570-$BU570</f>
        <v>-1000</v>
      </c>
      <c r="CD570" s="47">
        <f t="shared" si="1822"/>
        <v>-1000</v>
      </c>
      <c r="CE570" s="47">
        <f t="shared" si="1822"/>
        <v>-1000</v>
      </c>
      <c r="CF570" s="47">
        <f t="shared" si="1822"/>
        <v>-1000</v>
      </c>
      <c r="CG570" s="47">
        <f t="shared" si="1822"/>
        <v>-1000</v>
      </c>
      <c r="CH570" s="47">
        <f t="shared" si="1822"/>
        <v>-1000</v>
      </c>
      <c r="CI570" s="47">
        <f t="shared" si="1822"/>
        <v>-1000</v>
      </c>
      <c r="CJ570" s="47">
        <f t="shared" si="1822"/>
        <v>-1000</v>
      </c>
      <c r="CK570" s="47">
        <f t="shared" si="1822"/>
        <v>-1000</v>
      </c>
      <c r="CL570" s="47">
        <f t="shared" si="1822"/>
        <v>-1000</v>
      </c>
      <c r="CM570" s="47">
        <f t="shared" si="1822"/>
        <v>-1000</v>
      </c>
      <c r="CN570" s="47">
        <f t="shared" si="1822"/>
        <v>-1000</v>
      </c>
      <c r="CO570" s="47">
        <f t="shared" si="1822"/>
        <v>-1000</v>
      </c>
      <c r="CP570" s="47">
        <f t="shared" si="1822"/>
        <v>-1000</v>
      </c>
      <c r="CQ570" s="47">
        <f t="shared" si="1822"/>
        <v>-1000</v>
      </c>
      <c r="CR570" s="47"/>
      <c r="CS570" s="47"/>
      <c r="CT570" s="47"/>
      <c r="CU570" s="50" t="str">
        <f>IFERROR(__xludf.DUMMYFUNCTION("""COMPUTED_VALUE"""),"4231 
Dallas, TX 75205           ")</f>
        <v>4231 
Dallas, TX 75205           </v>
      </c>
      <c r="CV570" s="51">
        <f>IFERROR(__xludf.DUMMYFUNCTION("IF(REGEXMATCH(UPPER(CU570), ""TX""),0,1)"),0.0)</f>
        <v>0</v>
      </c>
      <c r="CW570" s="51">
        <f>IFERROR(__xludf.DUMMYFUNCTION("IF(REGEXMATCH(UPPER(CU570), ""DALLAS""),0,1)"),0.0)</f>
        <v>0</v>
      </c>
      <c r="CX570" s="51">
        <f t="shared" si="17"/>
        <v>0</v>
      </c>
      <c r="CY570" s="51">
        <f t="shared" si="18"/>
        <v>0</v>
      </c>
      <c r="CZ570" s="52" t="str">
        <f t="shared" si="19"/>
        <v/>
      </c>
      <c r="DA570" s="58"/>
      <c r="DB570" s="52"/>
      <c r="DC570" s="52"/>
      <c r="DD570" s="52"/>
      <c r="DE570" s="52"/>
      <c r="DF570" s="52"/>
      <c r="DG570" s="52"/>
      <c r="DH570" s="52"/>
      <c r="DI570" s="52"/>
      <c r="DJ570" s="52"/>
      <c r="DK570" s="52"/>
      <c r="DL570" s="52"/>
      <c r="DM570" s="52"/>
      <c r="DN570" s="52"/>
      <c r="DO570" s="52"/>
      <c r="DP570" s="52"/>
      <c r="DQ570" s="52"/>
      <c r="DR570" s="52"/>
      <c r="DS570" s="52"/>
      <c r="DT570" s="52"/>
      <c r="DU570" s="52"/>
      <c r="DV570" s="52"/>
      <c r="DW570" s="52"/>
    </row>
    <row r="571">
      <c r="A571" s="40" t="s">
        <v>55</v>
      </c>
      <c r="B571" s="41" t="s">
        <v>56</v>
      </c>
      <c r="C571" s="31" t="s">
        <v>1546</v>
      </c>
      <c r="D571" s="25" t="str">
        <f>IFERROR(__xludf.DUMMYFUNCTION("SPLIT(C571,"" "")"),"McDonough,")</f>
        <v>McDonough,</v>
      </c>
      <c r="E571" s="40" t="str">
        <f>IFERROR(__xludf.DUMMYFUNCTION("""COMPUTED_VALUE"""),"Sally
5847")</f>
        <v>Sally
5847</v>
      </c>
      <c r="F571" s="40" t="str">
        <f>IFERROR(__xludf.DUMMYFUNCTION("""COMPUTED_VALUE"""),"Montecello")</f>
        <v>Montecello</v>
      </c>
      <c r="G571" s="40" t="str">
        <f>IFERROR(__xludf.DUMMYFUNCTION("""COMPUTED_VALUE"""),"Ave
Dallas,")</f>
        <v>Ave
Dallas,</v>
      </c>
      <c r="H571" s="40" t="str">
        <f>IFERROR(__xludf.DUMMYFUNCTION("""COMPUTED_VALUE"""),"TX")</f>
        <v>TX</v>
      </c>
      <c r="I571" s="40">
        <f>IFERROR(__xludf.DUMMYFUNCTION("""COMPUTED_VALUE"""),75206.0)</f>
        <v>75206</v>
      </c>
      <c r="J571" s="40"/>
      <c r="K571" s="40"/>
      <c r="L571" s="40"/>
      <c r="M571" s="40"/>
      <c r="N571" s="40"/>
      <c r="O571" s="40"/>
      <c r="P571" s="40"/>
      <c r="Q571" s="40"/>
      <c r="R571" s="40"/>
      <c r="S571" s="40"/>
      <c r="T571" s="40"/>
      <c r="U571" s="24" t="str">
        <f>IFERROR(__xludf.DUMMYFUNCTION("SPLIT(E571,""01234567890"")"),"Sally
")</f>
        <v>Sally
</v>
      </c>
      <c r="V571" s="24" t="str">
        <f>IFERROR(__xludf.DUMMYFUNCTION("SPLIT(D571,"","")"),"McDonough")</f>
        <v>McDonough</v>
      </c>
      <c r="W571" s="25" t="str">
        <f t="shared" si="1"/>
        <v>SALLY
 MCDONOUGH</v>
      </c>
      <c r="X571" s="25" t="s">
        <v>1547</v>
      </c>
      <c r="Y571" s="25">
        <v>75206.0</v>
      </c>
      <c r="Z571" s="25" t="str">
        <f>IFERROR(__xludf.DUMMYFUNCTION("SPLIT(C571,""
"")"),"McDonough, Sally")</f>
        <v>McDonough, Sally</v>
      </c>
      <c r="AA571" s="25" t="str">
        <f>IFERROR(__xludf.DUMMYFUNCTION("""COMPUTED_VALUE"""),"5847 Montecello Ave")</f>
        <v>5847 Montecello Ave</v>
      </c>
      <c r="AB571" s="25" t="str">
        <f>IFERROR(__xludf.DUMMYFUNCTION("""COMPUTED_VALUE"""),"Dallas, TX 75206")</f>
        <v>Dallas, TX 75206</v>
      </c>
      <c r="AC571" s="24" t="s">
        <v>1548</v>
      </c>
      <c r="AD571" s="25"/>
      <c r="AE571" s="25"/>
      <c r="AF571" s="25"/>
      <c r="AG571" s="40" t="s">
        <v>60</v>
      </c>
      <c r="AH571" s="42">
        <v>2448.0</v>
      </c>
      <c r="AI571" s="40" t="s">
        <v>61</v>
      </c>
      <c r="AJ571" s="27">
        <v>100.0</v>
      </c>
      <c r="AK571" s="31" t="s">
        <v>24</v>
      </c>
      <c r="AL571" s="43">
        <v>44718.0</v>
      </c>
      <c r="AM571" s="44">
        <v>44757.44018518519</v>
      </c>
      <c r="AN571" s="30">
        <v>2.0</v>
      </c>
      <c r="AO571" s="40"/>
      <c r="AP571" s="40"/>
      <c r="AQ571" s="40"/>
      <c r="AR571" s="40"/>
      <c r="AS571" s="40"/>
      <c r="AT571" s="47"/>
      <c r="AU571" s="40"/>
      <c r="AV571" s="46" t="str">
        <f>IFERROR(__xludf.DUMMYFUNCTION("""COMPUTED_VALUE"""),"Tolbert")</f>
        <v>Tolbert</v>
      </c>
      <c r="AW571" s="46">
        <f t="shared" si="7"/>
        <v>100</v>
      </c>
      <c r="AX571" s="47">
        <f t="shared" ref="AX571:BQ571" si="1823">SUMIFS($AJ:$AJ,$V:$V,$AV571,$AK:$AK,AX$2)</f>
        <v>0</v>
      </c>
      <c r="AY571" s="48">
        <f t="shared" si="1823"/>
        <v>0</v>
      </c>
      <c r="AZ571" s="48">
        <f t="shared" si="1823"/>
        <v>0</v>
      </c>
      <c r="BA571" s="48">
        <f t="shared" si="1823"/>
        <v>0</v>
      </c>
      <c r="BB571" s="48">
        <f t="shared" si="1823"/>
        <v>100</v>
      </c>
      <c r="BC571" s="48">
        <f t="shared" si="1823"/>
        <v>0</v>
      </c>
      <c r="BD571" s="48">
        <f t="shared" si="1823"/>
        <v>0</v>
      </c>
      <c r="BE571" s="48">
        <f t="shared" si="1823"/>
        <v>0</v>
      </c>
      <c r="BF571" s="48">
        <f t="shared" si="1823"/>
        <v>0</v>
      </c>
      <c r="BG571" s="48">
        <f t="shared" si="1823"/>
        <v>0</v>
      </c>
      <c r="BH571" s="48">
        <f t="shared" si="1823"/>
        <v>0</v>
      </c>
      <c r="BI571" s="48">
        <f t="shared" si="1823"/>
        <v>0</v>
      </c>
      <c r="BJ571" s="48">
        <f t="shared" si="1823"/>
        <v>0</v>
      </c>
      <c r="BK571" s="48">
        <f t="shared" si="1823"/>
        <v>0</v>
      </c>
      <c r="BL571" s="48">
        <f t="shared" si="1823"/>
        <v>0</v>
      </c>
      <c r="BM571" s="48">
        <f t="shared" si="1823"/>
        <v>0</v>
      </c>
      <c r="BN571" s="48">
        <f t="shared" si="1823"/>
        <v>0</v>
      </c>
      <c r="BO571" s="48">
        <f t="shared" si="1823"/>
        <v>0</v>
      </c>
      <c r="BP571" s="48">
        <f t="shared" si="1823"/>
        <v>0</v>
      </c>
      <c r="BQ571" s="48">
        <f t="shared" si="1823"/>
        <v>0</v>
      </c>
      <c r="BR571" s="36">
        <f t="shared" si="9"/>
        <v>0</v>
      </c>
      <c r="BS571" s="38">
        <f t="shared" si="10"/>
        <v>1</v>
      </c>
      <c r="BT571" s="49">
        <f t="shared" si="11"/>
        <v>0</v>
      </c>
      <c r="BU571" s="38">
        <f t="shared" si="12"/>
        <v>1000</v>
      </c>
      <c r="BV571" s="46" t="str">
        <f>IFERROR(__xludf.DUMMYFUNCTION("""COMPUTED_VALUE"""),"Tolbert")</f>
        <v>Tolbert</v>
      </c>
      <c r="BW571" s="46">
        <f t="shared" si="13"/>
        <v>100</v>
      </c>
      <c r="BX571" s="47">
        <f t="shared" ref="BX571:CA571" si="1824">AX571-$BU571</f>
        <v>-1000</v>
      </c>
      <c r="BY571" s="47">
        <f t="shared" si="1824"/>
        <v>-1000</v>
      </c>
      <c r="BZ571" s="47">
        <f t="shared" si="1824"/>
        <v>-1000</v>
      </c>
      <c r="CA571" s="47">
        <f t="shared" si="1824"/>
        <v>-1000</v>
      </c>
      <c r="CB571" s="47">
        <f t="shared" si="15"/>
        <v>-9900</v>
      </c>
      <c r="CC571" s="47">
        <f t="shared" ref="CC571:CQ571" si="1825">BC571-$BU571</f>
        <v>-1000</v>
      </c>
      <c r="CD571" s="47">
        <f t="shared" si="1825"/>
        <v>-1000</v>
      </c>
      <c r="CE571" s="47">
        <f t="shared" si="1825"/>
        <v>-1000</v>
      </c>
      <c r="CF571" s="47">
        <f t="shared" si="1825"/>
        <v>-1000</v>
      </c>
      <c r="CG571" s="47">
        <f t="shared" si="1825"/>
        <v>-1000</v>
      </c>
      <c r="CH571" s="47">
        <f t="shared" si="1825"/>
        <v>-1000</v>
      </c>
      <c r="CI571" s="47">
        <f t="shared" si="1825"/>
        <v>-1000</v>
      </c>
      <c r="CJ571" s="47">
        <f t="shared" si="1825"/>
        <v>-1000</v>
      </c>
      <c r="CK571" s="47">
        <f t="shared" si="1825"/>
        <v>-1000</v>
      </c>
      <c r="CL571" s="47">
        <f t="shared" si="1825"/>
        <v>-1000</v>
      </c>
      <c r="CM571" s="47">
        <f t="shared" si="1825"/>
        <v>-1000</v>
      </c>
      <c r="CN571" s="47">
        <f t="shared" si="1825"/>
        <v>-1000</v>
      </c>
      <c r="CO571" s="47">
        <f t="shared" si="1825"/>
        <v>-1000</v>
      </c>
      <c r="CP571" s="47">
        <f t="shared" si="1825"/>
        <v>-1000</v>
      </c>
      <c r="CQ571" s="47">
        <f t="shared" si="1825"/>
        <v>-1000</v>
      </c>
      <c r="CR571" s="47"/>
      <c r="CS571" s="47"/>
      <c r="CT571" s="47"/>
      <c r="CU571" s="50" t="str">
        <f>IFERROR(__xludf.DUMMYFUNCTION("""COMPUTED_VALUE"""),"1900 
Dallas, TX 75201           ")</f>
        <v>1900 
Dallas, TX 75201           </v>
      </c>
      <c r="CV571" s="51">
        <f>IFERROR(__xludf.DUMMYFUNCTION("IF(REGEXMATCH(UPPER(CU571), ""TX""),0,1)"),0.0)</f>
        <v>0</v>
      </c>
      <c r="CW571" s="51">
        <f>IFERROR(__xludf.DUMMYFUNCTION("IF(REGEXMATCH(UPPER(CU571), ""DALLAS""),0,1)"),0.0)</f>
        <v>0</v>
      </c>
      <c r="CX571" s="51">
        <f t="shared" si="17"/>
        <v>0</v>
      </c>
      <c r="CY571" s="51">
        <f t="shared" si="18"/>
        <v>0</v>
      </c>
      <c r="CZ571" s="52" t="str">
        <f t="shared" si="19"/>
        <v/>
      </c>
      <c r="DA571" s="58"/>
      <c r="DB571" s="52"/>
      <c r="DC571" s="52"/>
      <c r="DD571" s="52"/>
      <c r="DE571" s="52"/>
      <c r="DF571" s="52"/>
      <c r="DG571" s="52"/>
      <c r="DH571" s="52"/>
      <c r="DI571" s="52"/>
      <c r="DJ571" s="52"/>
      <c r="DK571" s="52"/>
      <c r="DL571" s="52"/>
      <c r="DM571" s="52"/>
      <c r="DN571" s="52"/>
      <c r="DO571" s="52"/>
      <c r="DP571" s="52"/>
      <c r="DQ571" s="52"/>
      <c r="DR571" s="52"/>
      <c r="DS571" s="52"/>
      <c r="DT571" s="52"/>
      <c r="DU571" s="52"/>
      <c r="DV571" s="52"/>
      <c r="DW571" s="52"/>
    </row>
    <row r="572">
      <c r="A572" s="22" t="s">
        <v>55</v>
      </c>
      <c r="B572" s="23" t="s">
        <v>56</v>
      </c>
      <c r="C572" s="31" t="s">
        <v>357</v>
      </c>
      <c r="D572" s="25" t="str">
        <f>IFERROR(__xludf.DUMMYFUNCTION("SPLIT(C572,"" "")"),"Bedford,")</f>
        <v>Bedford,</v>
      </c>
      <c r="E572" s="22" t="str">
        <f>IFERROR(__xludf.DUMMYFUNCTION("""COMPUTED_VALUE"""),"Calen
1512")</f>
        <v>Calen
1512</v>
      </c>
      <c r="F572" s="22" t="str">
        <f>IFERROR(__xludf.DUMMYFUNCTION("""COMPUTED_VALUE"""),"Commerce")</f>
        <v>Commerce</v>
      </c>
      <c r="G572" s="22" t="str">
        <f>IFERROR(__xludf.DUMMYFUNCTION("""COMPUTED_VALUE"""),"St.
Dallas,")</f>
        <v>St.
Dallas,</v>
      </c>
      <c r="H572" s="22" t="str">
        <f>IFERROR(__xludf.DUMMYFUNCTION("""COMPUTED_VALUE"""),"TX")</f>
        <v>TX</v>
      </c>
      <c r="I572" s="22">
        <f>IFERROR(__xludf.DUMMYFUNCTION("""COMPUTED_VALUE"""),75201.0)</f>
        <v>75201</v>
      </c>
      <c r="J572" s="22"/>
      <c r="K572" s="22"/>
      <c r="L572" s="22"/>
      <c r="M572" s="22"/>
      <c r="N572" s="22"/>
      <c r="O572" s="22"/>
      <c r="P572" s="22"/>
      <c r="Q572" s="22"/>
      <c r="R572" s="22"/>
      <c r="S572" s="22"/>
      <c r="T572" s="22"/>
      <c r="U572" s="24" t="str">
        <f>IFERROR(__xludf.DUMMYFUNCTION("SPLIT(E572,""01234567890"")"),"Calen
")</f>
        <v>Calen
</v>
      </c>
      <c r="V572" s="24" t="str">
        <f>IFERROR(__xludf.DUMMYFUNCTION("SPLIT(D572,"","")"),"Bedford")</f>
        <v>Bedford</v>
      </c>
      <c r="W572" s="25" t="str">
        <f t="shared" si="1"/>
        <v>CALEN
 BEDFORD</v>
      </c>
      <c r="X572" s="25" t="s">
        <v>358</v>
      </c>
      <c r="Y572" s="25">
        <v>75201.0</v>
      </c>
      <c r="Z572" s="25" t="str">
        <f>IFERROR(__xludf.DUMMYFUNCTION("SPLIT(C572,""
"")"),"Bedford, Calen")</f>
        <v>Bedford, Calen</v>
      </c>
      <c r="AA572" s="25" t="str">
        <f>IFERROR(__xludf.DUMMYFUNCTION("""COMPUTED_VALUE"""),"1512 Commerce St.")</f>
        <v>1512 Commerce St.</v>
      </c>
      <c r="AB572" s="25" t="str">
        <f>IFERROR(__xludf.DUMMYFUNCTION("""COMPUTED_VALUE"""),"Dallas, TX 75201")</f>
        <v>Dallas, TX 75201</v>
      </c>
      <c r="AC572" s="24" t="s">
        <v>359</v>
      </c>
      <c r="AD572" s="25"/>
      <c r="AE572" s="25"/>
      <c r="AF572" s="25"/>
      <c r="AG572" s="22" t="s">
        <v>60</v>
      </c>
      <c r="AH572" s="54">
        <v>2448.0</v>
      </c>
      <c r="AI572" s="22" t="s">
        <v>61</v>
      </c>
      <c r="AJ572" s="27">
        <v>50.0</v>
      </c>
      <c r="AK572" s="31" t="s">
        <v>24</v>
      </c>
      <c r="AL572" s="28">
        <v>44719.0</v>
      </c>
      <c r="AM572" s="29">
        <v>44757.44018518519</v>
      </c>
      <c r="AN572" s="30">
        <v>2.0</v>
      </c>
      <c r="AO572" s="22"/>
      <c r="AP572" s="22"/>
      <c r="AQ572" s="22"/>
      <c r="AR572" s="22"/>
      <c r="AS572" s="22"/>
      <c r="AT572" s="70"/>
      <c r="AU572" s="22"/>
      <c r="AV572" s="57" t="str">
        <f>IFERROR(__xludf.DUMMYFUNCTION("""COMPUTED_VALUE"""),"Paley")</f>
        <v>Paley</v>
      </c>
      <c r="AW572" s="46">
        <f t="shared" si="7"/>
        <v>100</v>
      </c>
      <c r="AX572" s="47">
        <f t="shared" ref="AX572:BQ572" si="1826">SUMIFS($AJ:$AJ,$V:$V,$AV572,$AK:$AK,AX$2)</f>
        <v>0</v>
      </c>
      <c r="AY572" s="48">
        <f t="shared" si="1826"/>
        <v>0</v>
      </c>
      <c r="AZ572" s="48">
        <f t="shared" si="1826"/>
        <v>0</v>
      </c>
      <c r="BA572" s="48">
        <f t="shared" si="1826"/>
        <v>0</v>
      </c>
      <c r="BB572" s="48">
        <f t="shared" si="1826"/>
        <v>100</v>
      </c>
      <c r="BC572" s="48">
        <f t="shared" si="1826"/>
        <v>0</v>
      </c>
      <c r="BD572" s="48">
        <f t="shared" si="1826"/>
        <v>0</v>
      </c>
      <c r="BE572" s="48">
        <f t="shared" si="1826"/>
        <v>0</v>
      </c>
      <c r="BF572" s="48">
        <f t="shared" si="1826"/>
        <v>0</v>
      </c>
      <c r="BG572" s="48">
        <f t="shared" si="1826"/>
        <v>0</v>
      </c>
      <c r="BH572" s="48">
        <f t="shared" si="1826"/>
        <v>0</v>
      </c>
      <c r="BI572" s="48">
        <f t="shared" si="1826"/>
        <v>0</v>
      </c>
      <c r="BJ572" s="48">
        <f t="shared" si="1826"/>
        <v>0</v>
      </c>
      <c r="BK572" s="48">
        <f t="shared" si="1826"/>
        <v>0</v>
      </c>
      <c r="BL572" s="48">
        <f t="shared" si="1826"/>
        <v>0</v>
      </c>
      <c r="BM572" s="48">
        <f t="shared" si="1826"/>
        <v>0</v>
      </c>
      <c r="BN572" s="48">
        <f t="shared" si="1826"/>
        <v>0</v>
      </c>
      <c r="BO572" s="48">
        <f t="shared" si="1826"/>
        <v>0</v>
      </c>
      <c r="BP572" s="48">
        <f t="shared" si="1826"/>
        <v>0</v>
      </c>
      <c r="BQ572" s="48">
        <f t="shared" si="1826"/>
        <v>0</v>
      </c>
      <c r="BR572" s="36">
        <f t="shared" si="9"/>
        <v>0</v>
      </c>
      <c r="BS572" s="38">
        <f t="shared" si="10"/>
        <v>1</v>
      </c>
      <c r="BT572" s="49">
        <f t="shared" si="11"/>
        <v>0</v>
      </c>
      <c r="BU572" s="38">
        <f t="shared" si="12"/>
        <v>1000</v>
      </c>
      <c r="BV572" s="57" t="str">
        <f>IFERROR(__xludf.DUMMYFUNCTION("""COMPUTED_VALUE"""),"Paley")</f>
        <v>Paley</v>
      </c>
      <c r="BW572" s="46">
        <f t="shared" si="13"/>
        <v>100</v>
      </c>
      <c r="BX572" s="47">
        <f t="shared" ref="BX572:CA572" si="1827">AX572-$BU572</f>
        <v>-1000</v>
      </c>
      <c r="BY572" s="47">
        <f t="shared" si="1827"/>
        <v>-1000</v>
      </c>
      <c r="BZ572" s="47">
        <f t="shared" si="1827"/>
        <v>-1000</v>
      </c>
      <c r="CA572" s="47">
        <f t="shared" si="1827"/>
        <v>-1000</v>
      </c>
      <c r="CB572" s="47">
        <f t="shared" si="15"/>
        <v>-9900</v>
      </c>
      <c r="CC572" s="47">
        <f t="shared" ref="CC572:CQ572" si="1828">BC572-$BU572</f>
        <v>-1000</v>
      </c>
      <c r="CD572" s="47">
        <f t="shared" si="1828"/>
        <v>-1000</v>
      </c>
      <c r="CE572" s="47">
        <f t="shared" si="1828"/>
        <v>-1000</v>
      </c>
      <c r="CF572" s="47">
        <f t="shared" si="1828"/>
        <v>-1000</v>
      </c>
      <c r="CG572" s="47">
        <f t="shared" si="1828"/>
        <v>-1000</v>
      </c>
      <c r="CH572" s="47">
        <f t="shared" si="1828"/>
        <v>-1000</v>
      </c>
      <c r="CI572" s="47">
        <f t="shared" si="1828"/>
        <v>-1000</v>
      </c>
      <c r="CJ572" s="47">
        <f t="shared" si="1828"/>
        <v>-1000</v>
      </c>
      <c r="CK572" s="47">
        <f t="shared" si="1828"/>
        <v>-1000</v>
      </c>
      <c r="CL572" s="47">
        <f t="shared" si="1828"/>
        <v>-1000</v>
      </c>
      <c r="CM572" s="47">
        <f t="shared" si="1828"/>
        <v>-1000</v>
      </c>
      <c r="CN572" s="47">
        <f t="shared" si="1828"/>
        <v>-1000</v>
      </c>
      <c r="CO572" s="47">
        <f t="shared" si="1828"/>
        <v>-1000</v>
      </c>
      <c r="CP572" s="47">
        <f t="shared" si="1828"/>
        <v>-1000</v>
      </c>
      <c r="CQ572" s="47">
        <f t="shared" si="1828"/>
        <v>-1000</v>
      </c>
      <c r="CR572" s="47"/>
      <c r="CS572" s="47"/>
      <c r="CT572" s="47"/>
      <c r="CU572" s="50" t="str">
        <f>IFERROR(__xludf.DUMMYFUNCTION("""COMPUTED_VALUE"""),"9509 Shady Valley Dr.
Dallas, TX 75238         ")</f>
        <v>9509 Shady Valley Dr.
Dallas, TX 75238         </v>
      </c>
      <c r="CV572" s="51">
        <f>IFERROR(__xludf.DUMMYFUNCTION("IF(REGEXMATCH(UPPER(CU572), ""TX""),0,1)"),0.0)</f>
        <v>0</v>
      </c>
      <c r="CW572" s="51">
        <f>IFERROR(__xludf.DUMMYFUNCTION("IF(REGEXMATCH(UPPER(CU572), ""DALLAS""),0,1)"),0.0)</f>
        <v>0</v>
      </c>
      <c r="CX572" s="51">
        <f t="shared" si="17"/>
        <v>0</v>
      </c>
      <c r="CY572" s="51">
        <f t="shared" si="18"/>
        <v>0</v>
      </c>
      <c r="CZ572" s="52" t="str">
        <f t="shared" si="19"/>
        <v/>
      </c>
      <c r="DA572" s="58"/>
      <c r="DB572" s="52"/>
      <c r="DC572" s="52"/>
      <c r="DD572" s="52"/>
      <c r="DE572" s="52"/>
      <c r="DF572" s="52"/>
      <c r="DG572" s="52"/>
      <c r="DH572" s="52"/>
      <c r="DI572" s="52"/>
      <c r="DJ572" s="52"/>
      <c r="DK572" s="52"/>
      <c r="DL572" s="52"/>
      <c r="DM572" s="52"/>
      <c r="DN572" s="52"/>
      <c r="DO572" s="52"/>
      <c r="DP572" s="52"/>
      <c r="DQ572" s="52"/>
      <c r="DR572" s="52"/>
      <c r="DS572" s="52"/>
      <c r="DT572" s="52"/>
      <c r="DU572" s="52"/>
      <c r="DV572" s="52"/>
      <c r="DW572" s="52"/>
    </row>
    <row r="573">
      <c r="A573" s="40" t="s">
        <v>55</v>
      </c>
      <c r="B573" s="41" t="s">
        <v>56</v>
      </c>
      <c r="C573" s="31" t="s">
        <v>1549</v>
      </c>
      <c r="D573" s="25" t="str">
        <f>IFERROR(__xludf.DUMMYFUNCTION("SPLIT(C573,"" "")"),"Bryant,")</f>
        <v>Bryant,</v>
      </c>
      <c r="E573" s="40" t="str">
        <f>IFERROR(__xludf.DUMMYFUNCTION("""COMPUTED_VALUE"""),"Shawn
321")</f>
        <v>Shawn
321</v>
      </c>
      <c r="F573" s="40" t="str">
        <f>IFERROR(__xludf.DUMMYFUNCTION("""COMPUTED_VALUE"""),"Overdale")</f>
        <v>Overdale</v>
      </c>
      <c r="G573" s="40" t="str">
        <f>IFERROR(__xludf.DUMMYFUNCTION("""COMPUTED_VALUE"""),"Ct.
Sunnyvale,")</f>
        <v>Ct.
Sunnyvale,</v>
      </c>
      <c r="H573" s="40" t="str">
        <f>IFERROR(__xludf.DUMMYFUNCTION("""COMPUTED_VALUE"""),"TX")</f>
        <v>TX</v>
      </c>
      <c r="I573" s="40">
        <f>IFERROR(__xludf.DUMMYFUNCTION("""COMPUTED_VALUE"""),75182.0)</f>
        <v>75182</v>
      </c>
      <c r="J573" s="40"/>
      <c r="K573" s="40"/>
      <c r="L573" s="40"/>
      <c r="M573" s="40"/>
      <c r="N573" s="40"/>
      <c r="O573" s="40"/>
      <c r="P573" s="40"/>
      <c r="Q573" s="40"/>
      <c r="R573" s="40"/>
      <c r="S573" s="40"/>
      <c r="T573" s="40"/>
      <c r="U573" s="24" t="str">
        <f>IFERROR(__xludf.DUMMYFUNCTION("SPLIT(E573,""01234567890"")"),"Shawn
")</f>
        <v>Shawn
</v>
      </c>
      <c r="V573" s="24" t="str">
        <f>IFERROR(__xludf.DUMMYFUNCTION("SPLIT(D573,"","")"),"Bryant")</f>
        <v>Bryant</v>
      </c>
      <c r="W573" s="25" t="str">
        <f t="shared" si="1"/>
        <v>SHAWN
 BRYANT</v>
      </c>
      <c r="X573" s="25" t="s">
        <v>1550</v>
      </c>
      <c r="Y573" s="25">
        <v>75182.0</v>
      </c>
      <c r="Z573" s="25" t="str">
        <f>IFERROR(__xludf.DUMMYFUNCTION("SPLIT(C573,""
"")"),"Bryant, Shawn")</f>
        <v>Bryant, Shawn</v>
      </c>
      <c r="AA573" s="25" t="str">
        <f>IFERROR(__xludf.DUMMYFUNCTION("""COMPUTED_VALUE"""),"321 Overdale Ct.")</f>
        <v>321 Overdale Ct.</v>
      </c>
      <c r="AB573" s="25" t="str">
        <f>IFERROR(__xludf.DUMMYFUNCTION("""COMPUTED_VALUE"""),"Sunnyvale, TX 75182")</f>
        <v>Sunnyvale, TX 75182</v>
      </c>
      <c r="AC573" s="24" t="s">
        <v>1551</v>
      </c>
      <c r="AD573" s="25"/>
      <c r="AE573" s="25"/>
      <c r="AF573" s="25"/>
      <c r="AG573" s="40" t="s">
        <v>60</v>
      </c>
      <c r="AH573" s="42">
        <v>2448.0</v>
      </c>
      <c r="AI573" s="40" t="s">
        <v>61</v>
      </c>
      <c r="AJ573" s="27">
        <v>100.0</v>
      </c>
      <c r="AK573" s="31" t="s">
        <v>24</v>
      </c>
      <c r="AL573" s="43">
        <v>44719.0</v>
      </c>
      <c r="AM573" s="44">
        <v>44757.44018518519</v>
      </c>
      <c r="AN573" s="30">
        <v>2.0</v>
      </c>
      <c r="AO573" s="40"/>
      <c r="AP573" s="40"/>
      <c r="AQ573" s="40"/>
      <c r="AR573" s="40"/>
      <c r="AS573" s="40"/>
      <c r="AT573" s="47"/>
      <c r="AU573" s="40"/>
      <c r="AV573" s="46" t="str">
        <f>IFERROR(__xludf.DUMMYFUNCTION("""COMPUTED_VALUE"""),"Houston")</f>
        <v>Houston</v>
      </c>
      <c r="AW573" s="46">
        <f t="shared" si="7"/>
        <v>500</v>
      </c>
      <c r="AX573" s="47">
        <f t="shared" ref="AX573:BQ573" si="1829">SUMIFS($AJ:$AJ,$V:$V,$AV573,$AK:$AK,AX$2)</f>
        <v>0</v>
      </c>
      <c r="AY573" s="48">
        <f t="shared" si="1829"/>
        <v>0</v>
      </c>
      <c r="AZ573" s="48">
        <f t="shared" si="1829"/>
        <v>0</v>
      </c>
      <c r="BA573" s="48">
        <f t="shared" si="1829"/>
        <v>0</v>
      </c>
      <c r="BB573" s="48">
        <f t="shared" si="1829"/>
        <v>500</v>
      </c>
      <c r="BC573" s="48">
        <f t="shared" si="1829"/>
        <v>0</v>
      </c>
      <c r="BD573" s="48">
        <f t="shared" si="1829"/>
        <v>0</v>
      </c>
      <c r="BE573" s="48">
        <f t="shared" si="1829"/>
        <v>0</v>
      </c>
      <c r="BF573" s="48">
        <f t="shared" si="1829"/>
        <v>0</v>
      </c>
      <c r="BG573" s="48">
        <f t="shared" si="1829"/>
        <v>0</v>
      </c>
      <c r="BH573" s="48">
        <f t="shared" si="1829"/>
        <v>0</v>
      </c>
      <c r="BI573" s="48">
        <f t="shared" si="1829"/>
        <v>0</v>
      </c>
      <c r="BJ573" s="48">
        <f t="shared" si="1829"/>
        <v>0</v>
      </c>
      <c r="BK573" s="48">
        <f t="shared" si="1829"/>
        <v>0</v>
      </c>
      <c r="BL573" s="48">
        <f t="shared" si="1829"/>
        <v>0</v>
      </c>
      <c r="BM573" s="48">
        <f t="shared" si="1829"/>
        <v>0</v>
      </c>
      <c r="BN573" s="48">
        <f t="shared" si="1829"/>
        <v>0</v>
      </c>
      <c r="BO573" s="48">
        <f t="shared" si="1829"/>
        <v>0</v>
      </c>
      <c r="BP573" s="48">
        <f t="shared" si="1829"/>
        <v>0</v>
      </c>
      <c r="BQ573" s="48">
        <f t="shared" si="1829"/>
        <v>0</v>
      </c>
      <c r="BR573" s="36">
        <f t="shared" si="9"/>
        <v>0</v>
      </c>
      <c r="BS573" s="38">
        <f t="shared" si="10"/>
        <v>1</v>
      </c>
      <c r="BT573" s="49">
        <f t="shared" si="11"/>
        <v>0</v>
      </c>
      <c r="BU573" s="38">
        <f t="shared" si="12"/>
        <v>1000</v>
      </c>
      <c r="BV573" s="46" t="str">
        <f>IFERROR(__xludf.DUMMYFUNCTION("""COMPUTED_VALUE"""),"Houston")</f>
        <v>Houston</v>
      </c>
      <c r="BW573" s="46">
        <f t="shared" si="13"/>
        <v>500</v>
      </c>
      <c r="BX573" s="47">
        <f t="shared" ref="BX573:CA573" si="1830">AX573-$BU573</f>
        <v>-1000</v>
      </c>
      <c r="BY573" s="47">
        <f t="shared" si="1830"/>
        <v>-1000</v>
      </c>
      <c r="BZ573" s="47">
        <f t="shared" si="1830"/>
        <v>-1000</v>
      </c>
      <c r="CA573" s="47">
        <f t="shared" si="1830"/>
        <v>-1000</v>
      </c>
      <c r="CB573" s="47">
        <f t="shared" si="15"/>
        <v>-9500</v>
      </c>
      <c r="CC573" s="47">
        <f t="shared" ref="CC573:CQ573" si="1831">BC573-$BU573</f>
        <v>-1000</v>
      </c>
      <c r="CD573" s="47">
        <f t="shared" si="1831"/>
        <v>-1000</v>
      </c>
      <c r="CE573" s="47">
        <f t="shared" si="1831"/>
        <v>-1000</v>
      </c>
      <c r="CF573" s="47">
        <f t="shared" si="1831"/>
        <v>-1000</v>
      </c>
      <c r="CG573" s="47">
        <f t="shared" si="1831"/>
        <v>-1000</v>
      </c>
      <c r="CH573" s="47">
        <f t="shared" si="1831"/>
        <v>-1000</v>
      </c>
      <c r="CI573" s="47">
        <f t="shared" si="1831"/>
        <v>-1000</v>
      </c>
      <c r="CJ573" s="47">
        <f t="shared" si="1831"/>
        <v>-1000</v>
      </c>
      <c r="CK573" s="47">
        <f t="shared" si="1831"/>
        <v>-1000</v>
      </c>
      <c r="CL573" s="47">
        <f t="shared" si="1831"/>
        <v>-1000</v>
      </c>
      <c r="CM573" s="47">
        <f t="shared" si="1831"/>
        <v>-1000</v>
      </c>
      <c r="CN573" s="47">
        <f t="shared" si="1831"/>
        <v>-1000</v>
      </c>
      <c r="CO573" s="47">
        <f t="shared" si="1831"/>
        <v>-1000</v>
      </c>
      <c r="CP573" s="47">
        <f t="shared" si="1831"/>
        <v>-1000</v>
      </c>
      <c r="CQ573" s="47">
        <f t="shared" si="1831"/>
        <v>-1000</v>
      </c>
      <c r="CR573" s="47"/>
      <c r="CS573" s="47"/>
      <c r="CT573" s="47"/>
      <c r="CU573" s="50" t="str">
        <f>IFERROR(__xludf.DUMMYFUNCTION("""COMPUTED_VALUE"""),"5112 Woodview Ave.
Austin, TX 78756          ")</f>
        <v>5112 Woodview Ave.
Austin, TX 78756          </v>
      </c>
      <c r="CV573" s="51">
        <f>IFERROR(__xludf.DUMMYFUNCTION("IF(REGEXMATCH(UPPER(CU573), ""TX""),0,1)"),0.0)</f>
        <v>0</v>
      </c>
      <c r="CW573" s="51">
        <f>IFERROR(__xludf.DUMMYFUNCTION("IF(REGEXMATCH(UPPER(CU573), ""DALLAS""),0,1)"),1.0)</f>
        <v>1</v>
      </c>
      <c r="CX573" s="51">
        <f t="shared" si="17"/>
        <v>0</v>
      </c>
      <c r="CY573" s="51">
        <f t="shared" si="18"/>
        <v>1000</v>
      </c>
      <c r="CZ573" s="52" t="str">
        <f t="shared" si="19"/>
        <v>5112 Woodview Ave.
Austin, TX 78756          </v>
      </c>
      <c r="DA573" s="58"/>
      <c r="DB573" s="52"/>
      <c r="DC573" s="52"/>
      <c r="DD573" s="52"/>
      <c r="DE573" s="52"/>
      <c r="DF573" s="52"/>
      <c r="DG573" s="52"/>
      <c r="DH573" s="52"/>
      <c r="DI573" s="52"/>
      <c r="DJ573" s="52"/>
      <c r="DK573" s="52"/>
      <c r="DL573" s="52"/>
      <c r="DM573" s="52"/>
      <c r="DN573" s="52"/>
      <c r="DO573" s="52"/>
      <c r="DP573" s="52"/>
      <c r="DQ573" s="52"/>
      <c r="DR573" s="52"/>
      <c r="DS573" s="52"/>
      <c r="DT573" s="52"/>
      <c r="DU573" s="52"/>
      <c r="DV573" s="52"/>
      <c r="DW573" s="52"/>
    </row>
    <row r="574">
      <c r="A574" s="22" t="s">
        <v>55</v>
      </c>
      <c r="B574" s="23" t="s">
        <v>56</v>
      </c>
      <c r="C574" s="31" t="s">
        <v>1552</v>
      </c>
      <c r="D574" s="25" t="str">
        <f>IFERROR(__xludf.DUMMYFUNCTION("SPLIT(C574,"" "")"),"TREPAC
PO")</f>
        <v>TREPAC
PO</v>
      </c>
      <c r="E574" s="22" t="str">
        <f>IFERROR(__xludf.DUMMYFUNCTION("""COMPUTED_VALUE"""),"Box")</f>
        <v>Box</v>
      </c>
      <c r="F574" s="22" t="str">
        <f>IFERROR(__xludf.DUMMYFUNCTION("""COMPUTED_VALUE"""),"2246
Austin,")</f>
        <v>2246
Austin,</v>
      </c>
      <c r="G574" s="22" t="str">
        <f>IFERROR(__xludf.DUMMYFUNCTION("""COMPUTED_VALUE"""),"TX")</f>
        <v>TX</v>
      </c>
      <c r="H574" s="22" t="str">
        <f>IFERROR(__xludf.DUMMYFUNCTION("""COMPUTED_VALUE"""),"78768-2246")</f>
        <v>78768-2246</v>
      </c>
      <c r="I574" s="22"/>
      <c r="J574" s="22"/>
      <c r="K574" s="22"/>
      <c r="L574" s="22"/>
      <c r="M574" s="22"/>
      <c r="N574" s="22"/>
      <c r="O574" s="22"/>
      <c r="P574" s="22"/>
      <c r="Q574" s="22"/>
      <c r="R574" s="22"/>
      <c r="S574" s="22"/>
      <c r="T574" s="22"/>
      <c r="U574" s="24" t="str">
        <f>IFERROR(__xludf.DUMMYFUNCTION("SPLIT(E574,""01234567890"")"),"Box")</f>
        <v>Box</v>
      </c>
      <c r="V574" s="24" t="str">
        <f>IFERROR(__xludf.DUMMYFUNCTION("SPLIT(D574,"","")"),"TREPAC
PO")</f>
        <v>TREPAC
PO</v>
      </c>
      <c r="W574" s="25" t="str">
        <f t="shared" si="1"/>
        <v>BOX TREPAC
PO</v>
      </c>
      <c r="X574" s="25" t="s">
        <v>1553</v>
      </c>
      <c r="Y574" s="25" t="s">
        <v>1554</v>
      </c>
      <c r="Z574" s="25" t="str">
        <f>IFERROR(__xludf.DUMMYFUNCTION("SPLIT(C574,""
"")"),"TREPAC")</f>
        <v>TREPAC</v>
      </c>
      <c r="AA574" s="25" t="str">
        <f>IFERROR(__xludf.DUMMYFUNCTION("""COMPUTED_VALUE"""),"PO Box 2246")</f>
        <v>PO Box 2246</v>
      </c>
      <c r="AB574" s="25" t="str">
        <f>IFERROR(__xludf.DUMMYFUNCTION("""COMPUTED_VALUE"""),"Austin, TX 78768-2246")</f>
        <v>Austin, TX 78768-2246</v>
      </c>
      <c r="AC574" s="24" t="s">
        <v>739</v>
      </c>
      <c r="AD574" s="25"/>
      <c r="AE574" s="25"/>
      <c r="AF574" s="25"/>
      <c r="AG574" s="22" t="s">
        <v>60</v>
      </c>
      <c r="AH574" s="54">
        <v>2448.0</v>
      </c>
      <c r="AI574" s="22" t="s">
        <v>61</v>
      </c>
      <c r="AJ574" s="27">
        <v>2500.0</v>
      </c>
      <c r="AK574" s="31" t="s">
        <v>24</v>
      </c>
      <c r="AL574" s="28">
        <v>44719.0</v>
      </c>
      <c r="AM574" s="29">
        <v>44757.44018518519</v>
      </c>
      <c r="AN574" s="30">
        <v>2.0</v>
      </c>
      <c r="AO574" s="22"/>
      <c r="AP574" s="22"/>
      <c r="AQ574" s="22"/>
      <c r="AR574" s="22"/>
      <c r="AS574" s="22"/>
      <c r="AT574" s="70"/>
      <c r="AU574" s="22"/>
      <c r="AV574" s="57" t="str">
        <f>IFERROR(__xludf.DUMMYFUNCTION("""COMPUTED_VALUE"""),"Fowler")</f>
        <v>Fowler</v>
      </c>
      <c r="AW574" s="46">
        <f t="shared" si="7"/>
        <v>1000</v>
      </c>
      <c r="AX574" s="47">
        <f t="shared" ref="AX574:BQ574" si="1832">SUMIFS($AJ:$AJ,$V:$V,$AV574,$AK:$AK,AX$2)</f>
        <v>0</v>
      </c>
      <c r="AY574" s="48">
        <f t="shared" si="1832"/>
        <v>0</v>
      </c>
      <c r="AZ574" s="48">
        <f t="shared" si="1832"/>
        <v>0</v>
      </c>
      <c r="BA574" s="48">
        <f t="shared" si="1832"/>
        <v>0</v>
      </c>
      <c r="BB574" s="48">
        <f t="shared" si="1832"/>
        <v>1000</v>
      </c>
      <c r="BC574" s="48">
        <f t="shared" si="1832"/>
        <v>0</v>
      </c>
      <c r="BD574" s="48">
        <f t="shared" si="1832"/>
        <v>0</v>
      </c>
      <c r="BE574" s="48">
        <f t="shared" si="1832"/>
        <v>0</v>
      </c>
      <c r="BF574" s="48">
        <f t="shared" si="1832"/>
        <v>0</v>
      </c>
      <c r="BG574" s="48">
        <f t="shared" si="1832"/>
        <v>0</v>
      </c>
      <c r="BH574" s="48">
        <f t="shared" si="1832"/>
        <v>0</v>
      </c>
      <c r="BI574" s="48">
        <f t="shared" si="1832"/>
        <v>0</v>
      </c>
      <c r="BJ574" s="48">
        <f t="shared" si="1832"/>
        <v>0</v>
      </c>
      <c r="BK574" s="48">
        <f t="shared" si="1832"/>
        <v>0</v>
      </c>
      <c r="BL574" s="48">
        <f t="shared" si="1832"/>
        <v>0</v>
      </c>
      <c r="BM574" s="48">
        <f t="shared" si="1832"/>
        <v>0</v>
      </c>
      <c r="BN574" s="48">
        <f t="shared" si="1832"/>
        <v>0</v>
      </c>
      <c r="BO574" s="48">
        <f t="shared" si="1832"/>
        <v>0</v>
      </c>
      <c r="BP574" s="48">
        <f t="shared" si="1832"/>
        <v>0</v>
      </c>
      <c r="BQ574" s="48">
        <f t="shared" si="1832"/>
        <v>0</v>
      </c>
      <c r="BR574" s="36">
        <f t="shared" si="9"/>
        <v>0</v>
      </c>
      <c r="BS574" s="38">
        <f t="shared" si="10"/>
        <v>1</v>
      </c>
      <c r="BT574" s="49">
        <f t="shared" si="11"/>
        <v>0</v>
      </c>
      <c r="BU574" s="38">
        <f t="shared" si="12"/>
        <v>1000</v>
      </c>
      <c r="BV574" s="57" t="str">
        <f>IFERROR(__xludf.DUMMYFUNCTION("""COMPUTED_VALUE"""),"Fowler")</f>
        <v>Fowler</v>
      </c>
      <c r="BW574" s="46">
        <f t="shared" si="13"/>
        <v>1000</v>
      </c>
      <c r="BX574" s="47">
        <f t="shared" ref="BX574:CA574" si="1833">AX574-$BU574</f>
        <v>-1000</v>
      </c>
      <c r="BY574" s="47">
        <f t="shared" si="1833"/>
        <v>-1000</v>
      </c>
      <c r="BZ574" s="47">
        <f t="shared" si="1833"/>
        <v>-1000</v>
      </c>
      <c r="CA574" s="47">
        <f t="shared" si="1833"/>
        <v>-1000</v>
      </c>
      <c r="CB574" s="47">
        <f t="shared" si="15"/>
        <v>-9000</v>
      </c>
      <c r="CC574" s="47">
        <f t="shared" ref="CC574:CQ574" si="1834">BC574-$BU574</f>
        <v>-1000</v>
      </c>
      <c r="CD574" s="47">
        <f t="shared" si="1834"/>
        <v>-1000</v>
      </c>
      <c r="CE574" s="47">
        <f t="shared" si="1834"/>
        <v>-1000</v>
      </c>
      <c r="CF574" s="47">
        <f t="shared" si="1834"/>
        <v>-1000</v>
      </c>
      <c r="CG574" s="47">
        <f t="shared" si="1834"/>
        <v>-1000</v>
      </c>
      <c r="CH574" s="47">
        <f t="shared" si="1834"/>
        <v>-1000</v>
      </c>
      <c r="CI574" s="47">
        <f t="shared" si="1834"/>
        <v>-1000</v>
      </c>
      <c r="CJ574" s="47">
        <f t="shared" si="1834"/>
        <v>-1000</v>
      </c>
      <c r="CK574" s="47">
        <f t="shared" si="1834"/>
        <v>-1000</v>
      </c>
      <c r="CL574" s="47">
        <f t="shared" si="1834"/>
        <v>-1000</v>
      </c>
      <c r="CM574" s="47">
        <f t="shared" si="1834"/>
        <v>-1000</v>
      </c>
      <c r="CN574" s="47">
        <f t="shared" si="1834"/>
        <v>-1000</v>
      </c>
      <c r="CO574" s="47">
        <f t="shared" si="1834"/>
        <v>-1000</v>
      </c>
      <c r="CP574" s="47">
        <f t="shared" si="1834"/>
        <v>-1000</v>
      </c>
      <c r="CQ574" s="47">
        <f t="shared" si="1834"/>
        <v>-1000</v>
      </c>
      <c r="CR574" s="47"/>
      <c r="CS574" s="47"/>
      <c r="CT574" s="47"/>
      <c r="CU574" s="50" t="str">
        <f>IFERROR(__xludf.DUMMYFUNCTION("""COMPUTED_VALUE"""),"9525 Milltrail
Dallas, TX 75238           ")</f>
        <v>9525 Milltrail
Dallas, TX 75238           </v>
      </c>
      <c r="CV574" s="51">
        <f>IFERROR(__xludf.DUMMYFUNCTION("IF(REGEXMATCH(UPPER(CU574), ""TX""),0,1)"),0.0)</f>
        <v>0</v>
      </c>
      <c r="CW574" s="51">
        <f>IFERROR(__xludf.DUMMYFUNCTION("IF(REGEXMATCH(UPPER(CU574), ""DALLAS""),0,1)"),0.0)</f>
        <v>0</v>
      </c>
      <c r="CX574" s="51">
        <f t="shared" si="17"/>
        <v>0</v>
      </c>
      <c r="CY574" s="51">
        <f t="shared" si="18"/>
        <v>0</v>
      </c>
      <c r="CZ574" s="52" t="str">
        <f t="shared" si="19"/>
        <v/>
      </c>
      <c r="DA574" s="58"/>
      <c r="DB574" s="52"/>
      <c r="DC574" s="52"/>
      <c r="DD574" s="52"/>
      <c r="DE574" s="52"/>
      <c r="DF574" s="52"/>
      <c r="DG574" s="52"/>
      <c r="DH574" s="52"/>
      <c r="DI574" s="52"/>
      <c r="DJ574" s="52"/>
      <c r="DK574" s="52"/>
      <c r="DL574" s="52"/>
      <c r="DM574" s="52"/>
      <c r="DN574" s="52"/>
      <c r="DO574" s="52"/>
      <c r="DP574" s="52"/>
      <c r="DQ574" s="52"/>
      <c r="DR574" s="52"/>
      <c r="DS574" s="52"/>
      <c r="DT574" s="52"/>
      <c r="DU574" s="52"/>
      <c r="DV574" s="52"/>
      <c r="DW574" s="52"/>
    </row>
    <row r="575">
      <c r="A575" s="40" t="s">
        <v>55</v>
      </c>
      <c r="B575" s="41" t="s">
        <v>56</v>
      </c>
      <c r="C575" s="31" t="s">
        <v>1555</v>
      </c>
      <c r="D575" s="25" t="str">
        <f>IFERROR(__xludf.DUMMYFUNCTION("SPLIT(C575,"" "")"),"Rybczyk,")</f>
        <v>Rybczyk,</v>
      </c>
      <c r="E575" s="40" t="str">
        <f>IFERROR(__xludf.DUMMYFUNCTION("""COMPUTED_VALUE"""),"Mark
1507")</f>
        <v>Mark
1507</v>
      </c>
      <c r="F575" s="40" t="str">
        <f>IFERROR(__xludf.DUMMYFUNCTION("""COMPUTED_VALUE"""),"Tranquilla")</f>
        <v>Tranquilla</v>
      </c>
      <c r="G575" s="40" t="str">
        <f>IFERROR(__xludf.DUMMYFUNCTION("""COMPUTED_VALUE"""),"Dr.
Dallas,")</f>
        <v>Dr.
Dallas,</v>
      </c>
      <c r="H575" s="40" t="str">
        <f>IFERROR(__xludf.DUMMYFUNCTION("""COMPUTED_VALUE"""),"TX")</f>
        <v>TX</v>
      </c>
      <c r="I575" s="40">
        <f>IFERROR(__xludf.DUMMYFUNCTION("""COMPUTED_VALUE"""),75218.0)</f>
        <v>75218</v>
      </c>
      <c r="J575" s="40"/>
      <c r="K575" s="40"/>
      <c r="L575" s="40"/>
      <c r="M575" s="40"/>
      <c r="N575" s="40"/>
      <c r="O575" s="40"/>
      <c r="P575" s="40"/>
      <c r="Q575" s="40"/>
      <c r="R575" s="40"/>
      <c r="S575" s="40"/>
      <c r="T575" s="40"/>
      <c r="U575" s="24" t="str">
        <f>IFERROR(__xludf.DUMMYFUNCTION("SPLIT(E575,""01234567890"")"),"Mark
")</f>
        <v>Mark
</v>
      </c>
      <c r="V575" s="24" t="str">
        <f>IFERROR(__xludf.DUMMYFUNCTION("SPLIT(D575,"","")"),"Rybczyk")</f>
        <v>Rybczyk</v>
      </c>
      <c r="W575" s="25" t="str">
        <f t="shared" si="1"/>
        <v>MARK
 RYBCZYK</v>
      </c>
      <c r="X575" s="25" t="s">
        <v>1556</v>
      </c>
      <c r="Y575" s="25">
        <v>75218.0</v>
      </c>
      <c r="Z575" s="25" t="str">
        <f>IFERROR(__xludf.DUMMYFUNCTION("SPLIT(C575,""
"")"),"Rybczyk, Mark")</f>
        <v>Rybczyk, Mark</v>
      </c>
      <c r="AA575" s="25" t="str">
        <f>IFERROR(__xludf.DUMMYFUNCTION("""COMPUTED_VALUE"""),"1507 Tranquilla Dr.")</f>
        <v>1507 Tranquilla Dr.</v>
      </c>
      <c r="AB575" s="25" t="str">
        <f>IFERROR(__xludf.DUMMYFUNCTION("""COMPUTED_VALUE"""),"Dallas, TX 75218")</f>
        <v>Dallas, TX 75218</v>
      </c>
      <c r="AC575" s="24" t="s">
        <v>1557</v>
      </c>
      <c r="AD575" s="25"/>
      <c r="AE575" s="25"/>
      <c r="AF575" s="25"/>
      <c r="AG575" s="40" t="s">
        <v>60</v>
      </c>
      <c r="AH575" s="42">
        <v>2448.0</v>
      </c>
      <c r="AI575" s="40" t="s">
        <v>61</v>
      </c>
      <c r="AJ575" s="27">
        <v>50.0</v>
      </c>
      <c r="AK575" s="31" t="s">
        <v>24</v>
      </c>
      <c r="AL575" s="43">
        <v>44720.0</v>
      </c>
      <c r="AM575" s="44">
        <v>44757.44018518519</v>
      </c>
      <c r="AN575" s="30">
        <v>2.0</v>
      </c>
      <c r="AO575" s="40"/>
      <c r="AP575" s="40"/>
      <c r="AQ575" s="40"/>
      <c r="AR575" s="40"/>
      <c r="AS575" s="40"/>
      <c r="AT575" s="47"/>
      <c r="AU575" s="40"/>
      <c r="AV575" s="46" t="str">
        <f>IFERROR(__xludf.DUMMYFUNCTION("""COMPUTED_VALUE"""),"Clark")</f>
        <v>Clark</v>
      </c>
      <c r="AW575" s="46">
        <f t="shared" si="7"/>
        <v>1100</v>
      </c>
      <c r="AX575" s="47">
        <f t="shared" ref="AX575:BQ575" si="1835">SUMIFS($AJ:$AJ,$V:$V,$AV575,$AK:$AK,AX$2)</f>
        <v>1000</v>
      </c>
      <c r="AY575" s="48">
        <f t="shared" si="1835"/>
        <v>0</v>
      </c>
      <c r="AZ575" s="48">
        <f t="shared" si="1835"/>
        <v>0</v>
      </c>
      <c r="BA575" s="48">
        <f t="shared" si="1835"/>
        <v>0</v>
      </c>
      <c r="BB575" s="48">
        <f t="shared" si="1835"/>
        <v>100</v>
      </c>
      <c r="BC575" s="48">
        <f t="shared" si="1835"/>
        <v>0</v>
      </c>
      <c r="BD575" s="48">
        <f t="shared" si="1835"/>
        <v>0</v>
      </c>
      <c r="BE575" s="48">
        <f t="shared" si="1835"/>
        <v>0</v>
      </c>
      <c r="BF575" s="48">
        <f t="shared" si="1835"/>
        <v>0</v>
      </c>
      <c r="BG575" s="48">
        <f t="shared" si="1835"/>
        <v>0</v>
      </c>
      <c r="BH575" s="48">
        <f t="shared" si="1835"/>
        <v>0</v>
      </c>
      <c r="BI575" s="48">
        <f t="shared" si="1835"/>
        <v>0</v>
      </c>
      <c r="BJ575" s="48">
        <f t="shared" si="1835"/>
        <v>0</v>
      </c>
      <c r="BK575" s="48">
        <f t="shared" si="1835"/>
        <v>0</v>
      </c>
      <c r="BL575" s="48">
        <f t="shared" si="1835"/>
        <v>0</v>
      </c>
      <c r="BM575" s="48">
        <f t="shared" si="1835"/>
        <v>0</v>
      </c>
      <c r="BN575" s="48">
        <f t="shared" si="1835"/>
        <v>0</v>
      </c>
      <c r="BO575" s="48">
        <f t="shared" si="1835"/>
        <v>0</v>
      </c>
      <c r="BP575" s="48">
        <f t="shared" si="1835"/>
        <v>0</v>
      </c>
      <c r="BQ575" s="48">
        <f t="shared" si="1835"/>
        <v>0</v>
      </c>
      <c r="BR575" s="36">
        <f t="shared" si="9"/>
        <v>1</v>
      </c>
      <c r="BS575" s="38">
        <f t="shared" si="10"/>
        <v>2</v>
      </c>
      <c r="BT575" s="49">
        <f t="shared" si="11"/>
        <v>0</v>
      </c>
      <c r="BU575" s="38">
        <f t="shared" si="12"/>
        <v>2000</v>
      </c>
      <c r="BV575" s="46" t="str">
        <f>IFERROR(__xludf.DUMMYFUNCTION("""COMPUTED_VALUE"""),"Clark")</f>
        <v>Clark</v>
      </c>
      <c r="BW575" s="46">
        <f t="shared" si="13"/>
        <v>1100</v>
      </c>
      <c r="BX575" s="47">
        <f t="shared" ref="BX575:CA575" si="1836">AX575-$BU575</f>
        <v>-1000</v>
      </c>
      <c r="BY575" s="47">
        <f t="shared" si="1836"/>
        <v>-2000</v>
      </c>
      <c r="BZ575" s="47">
        <f t="shared" si="1836"/>
        <v>-2000</v>
      </c>
      <c r="CA575" s="47">
        <f t="shared" si="1836"/>
        <v>-2000</v>
      </c>
      <c r="CB575" s="47">
        <f t="shared" si="15"/>
        <v>-19900</v>
      </c>
      <c r="CC575" s="47">
        <f t="shared" ref="CC575:CQ575" si="1837">BC575-$BU575</f>
        <v>-2000</v>
      </c>
      <c r="CD575" s="47">
        <f t="shared" si="1837"/>
        <v>-2000</v>
      </c>
      <c r="CE575" s="47">
        <f t="shared" si="1837"/>
        <v>-2000</v>
      </c>
      <c r="CF575" s="47">
        <f t="shared" si="1837"/>
        <v>-2000</v>
      </c>
      <c r="CG575" s="47">
        <f t="shared" si="1837"/>
        <v>-2000</v>
      </c>
      <c r="CH575" s="47">
        <f t="shared" si="1837"/>
        <v>-2000</v>
      </c>
      <c r="CI575" s="47">
        <f t="shared" si="1837"/>
        <v>-2000</v>
      </c>
      <c r="CJ575" s="47">
        <f t="shared" si="1837"/>
        <v>-2000</v>
      </c>
      <c r="CK575" s="47">
        <f t="shared" si="1837"/>
        <v>-2000</v>
      </c>
      <c r="CL575" s="47">
        <f t="shared" si="1837"/>
        <v>-2000</v>
      </c>
      <c r="CM575" s="47">
        <f t="shared" si="1837"/>
        <v>-2000</v>
      </c>
      <c r="CN575" s="47">
        <f t="shared" si="1837"/>
        <v>-2000</v>
      </c>
      <c r="CO575" s="47">
        <f t="shared" si="1837"/>
        <v>-2000</v>
      </c>
      <c r="CP575" s="47">
        <f t="shared" si="1837"/>
        <v>-2000</v>
      </c>
      <c r="CQ575" s="47">
        <f t="shared" si="1837"/>
        <v>-2000</v>
      </c>
      <c r="CR575" s="47"/>
      <c r="CS575" s="47"/>
      <c r="CT575" s="47"/>
      <c r="CU575" s="50" t="str">
        <f>IFERROR(__xludf.DUMMYFUNCTION("""COMPUTED_VALUE"""),"9759 Edgepine
Dallas, TX 75238           ")</f>
        <v>9759 Edgepine
Dallas, TX 75238           </v>
      </c>
      <c r="CV575" s="51">
        <f>IFERROR(__xludf.DUMMYFUNCTION("IF(REGEXMATCH(UPPER(CU575), ""TX""),0,1)"),0.0)</f>
        <v>0</v>
      </c>
      <c r="CW575" s="51">
        <f>IFERROR(__xludf.DUMMYFUNCTION("IF(REGEXMATCH(UPPER(CU575), ""DALLAS""),0,1)"),0.0)</f>
        <v>0</v>
      </c>
      <c r="CX575" s="51">
        <f t="shared" si="17"/>
        <v>0</v>
      </c>
      <c r="CY575" s="51">
        <f t="shared" si="18"/>
        <v>0</v>
      </c>
      <c r="CZ575" s="52" t="str">
        <f t="shared" si="19"/>
        <v/>
      </c>
      <c r="DA575" s="58"/>
      <c r="DB575" s="52"/>
      <c r="DC575" s="52"/>
      <c r="DD575" s="52"/>
      <c r="DE575" s="52"/>
      <c r="DF575" s="52"/>
      <c r="DG575" s="52"/>
      <c r="DH575" s="52"/>
      <c r="DI575" s="52"/>
      <c r="DJ575" s="52"/>
      <c r="DK575" s="52"/>
      <c r="DL575" s="52"/>
      <c r="DM575" s="52"/>
      <c r="DN575" s="52"/>
      <c r="DO575" s="52"/>
      <c r="DP575" s="52"/>
      <c r="DQ575" s="52"/>
      <c r="DR575" s="52"/>
      <c r="DS575" s="52"/>
      <c r="DT575" s="52"/>
      <c r="DU575" s="52"/>
      <c r="DV575" s="52"/>
      <c r="DW575" s="52"/>
    </row>
    <row r="576">
      <c r="A576" s="22" t="s">
        <v>55</v>
      </c>
      <c r="B576" s="23" t="s">
        <v>56</v>
      </c>
      <c r="C576" s="31" t="s">
        <v>1558</v>
      </c>
      <c r="D576" s="25" t="str">
        <f>IFERROR(__xludf.DUMMYFUNCTION("SPLIT(C576,"" "")"),"Rybczyk,")</f>
        <v>Rybczyk,</v>
      </c>
      <c r="E576" s="22" t="str">
        <f>IFERROR(__xludf.DUMMYFUNCTION("""COMPUTED_VALUE"""),"Madelyn
1507")</f>
        <v>Madelyn
1507</v>
      </c>
      <c r="F576" s="22" t="str">
        <f>IFERROR(__xludf.DUMMYFUNCTION("""COMPUTED_VALUE"""),"Tranquilla
Dallas,")</f>
        <v>Tranquilla
Dallas,</v>
      </c>
      <c r="G576" s="22" t="str">
        <f>IFERROR(__xludf.DUMMYFUNCTION("""COMPUTED_VALUE"""),"TX")</f>
        <v>TX</v>
      </c>
      <c r="H576" s="22">
        <f>IFERROR(__xludf.DUMMYFUNCTION("""COMPUTED_VALUE"""),75218.0)</f>
        <v>75218</v>
      </c>
      <c r="I576" s="22"/>
      <c r="J576" s="22"/>
      <c r="K576" s="22"/>
      <c r="L576" s="22"/>
      <c r="M576" s="22"/>
      <c r="N576" s="22"/>
      <c r="O576" s="22"/>
      <c r="P576" s="22"/>
      <c r="Q576" s="22"/>
      <c r="R576" s="22"/>
      <c r="S576" s="22"/>
      <c r="T576" s="22"/>
      <c r="U576" s="24" t="str">
        <f>IFERROR(__xludf.DUMMYFUNCTION("SPLIT(E576,""01234567890"")"),"Madelyn
")</f>
        <v>Madelyn
</v>
      </c>
      <c r="V576" s="24" t="str">
        <f>IFERROR(__xludf.DUMMYFUNCTION("SPLIT(D576,"","")"),"Rybczyk")</f>
        <v>Rybczyk</v>
      </c>
      <c r="W576" s="25" t="str">
        <f t="shared" si="1"/>
        <v>MADELYN
 RYBCZYK</v>
      </c>
      <c r="X576" s="25" t="s">
        <v>1559</v>
      </c>
      <c r="Y576" s="25">
        <v>75218.0</v>
      </c>
      <c r="Z576" s="25" t="str">
        <f>IFERROR(__xludf.DUMMYFUNCTION("SPLIT(C576,""
"")"),"Rybczyk, Madelyn")</f>
        <v>Rybczyk, Madelyn</v>
      </c>
      <c r="AA576" s="25" t="str">
        <f>IFERROR(__xludf.DUMMYFUNCTION("""COMPUTED_VALUE"""),"1507 Tranquilla")</f>
        <v>1507 Tranquilla</v>
      </c>
      <c r="AB576" s="25" t="str">
        <f>IFERROR(__xludf.DUMMYFUNCTION("""COMPUTED_VALUE"""),"Dallas, TX 75218")</f>
        <v>Dallas, TX 75218</v>
      </c>
      <c r="AC576" s="24" t="s">
        <v>1430</v>
      </c>
      <c r="AD576" s="25"/>
      <c r="AE576" s="25"/>
      <c r="AF576" s="25"/>
      <c r="AG576" s="22" t="s">
        <v>60</v>
      </c>
      <c r="AH576" s="54">
        <v>2448.0</v>
      </c>
      <c r="AI576" s="22" t="s">
        <v>61</v>
      </c>
      <c r="AJ576" s="27">
        <v>100.0</v>
      </c>
      <c r="AK576" s="31" t="s">
        <v>24</v>
      </c>
      <c r="AL576" s="28">
        <v>44720.0</v>
      </c>
      <c r="AM576" s="29">
        <v>44757.44018518519</v>
      </c>
      <c r="AN576" s="30">
        <v>2.0</v>
      </c>
      <c r="AO576" s="22"/>
      <c r="AP576" s="22"/>
      <c r="AQ576" s="22"/>
      <c r="AR576" s="22"/>
      <c r="AS576" s="22"/>
      <c r="AT576" s="70"/>
      <c r="AU576" s="22"/>
      <c r="AV576" s="57" t="str">
        <f>IFERROR(__xludf.DUMMYFUNCTION("""COMPUTED_VALUE"""),"Hurst")</f>
        <v>Hurst</v>
      </c>
      <c r="AW576" s="46">
        <f t="shared" si="7"/>
        <v>100</v>
      </c>
      <c r="AX576" s="47">
        <f t="shared" ref="AX576:BQ576" si="1838">SUMIFS($AJ:$AJ,$V:$V,$AV576,$AK:$AK,AX$2)</f>
        <v>0</v>
      </c>
      <c r="AY576" s="48">
        <f t="shared" si="1838"/>
        <v>0</v>
      </c>
      <c r="AZ576" s="48">
        <f t="shared" si="1838"/>
        <v>0</v>
      </c>
      <c r="BA576" s="48">
        <f t="shared" si="1838"/>
        <v>0</v>
      </c>
      <c r="BB576" s="48">
        <f t="shared" si="1838"/>
        <v>100</v>
      </c>
      <c r="BC576" s="48">
        <f t="shared" si="1838"/>
        <v>0</v>
      </c>
      <c r="BD576" s="48">
        <f t="shared" si="1838"/>
        <v>0</v>
      </c>
      <c r="BE576" s="48">
        <f t="shared" si="1838"/>
        <v>0</v>
      </c>
      <c r="BF576" s="48">
        <f t="shared" si="1838"/>
        <v>0</v>
      </c>
      <c r="BG576" s="48">
        <f t="shared" si="1838"/>
        <v>0</v>
      </c>
      <c r="BH576" s="48">
        <f t="shared" si="1838"/>
        <v>0</v>
      </c>
      <c r="BI576" s="48">
        <f t="shared" si="1838"/>
        <v>0</v>
      </c>
      <c r="BJ576" s="48">
        <f t="shared" si="1838"/>
        <v>0</v>
      </c>
      <c r="BK576" s="48">
        <f t="shared" si="1838"/>
        <v>0</v>
      </c>
      <c r="BL576" s="48">
        <f t="shared" si="1838"/>
        <v>0</v>
      </c>
      <c r="BM576" s="48">
        <f t="shared" si="1838"/>
        <v>0</v>
      </c>
      <c r="BN576" s="48">
        <f t="shared" si="1838"/>
        <v>0</v>
      </c>
      <c r="BO576" s="48">
        <f t="shared" si="1838"/>
        <v>0</v>
      </c>
      <c r="BP576" s="48">
        <f t="shared" si="1838"/>
        <v>0</v>
      </c>
      <c r="BQ576" s="48">
        <f t="shared" si="1838"/>
        <v>0</v>
      </c>
      <c r="BR576" s="36">
        <f t="shared" si="9"/>
        <v>0</v>
      </c>
      <c r="BS576" s="38">
        <f t="shared" si="10"/>
        <v>1</v>
      </c>
      <c r="BT576" s="49">
        <f t="shared" si="11"/>
        <v>0</v>
      </c>
      <c r="BU576" s="38">
        <f t="shared" si="12"/>
        <v>1000</v>
      </c>
      <c r="BV576" s="57" t="str">
        <f>IFERROR(__xludf.DUMMYFUNCTION("""COMPUTED_VALUE"""),"Hurst")</f>
        <v>Hurst</v>
      </c>
      <c r="BW576" s="46">
        <f t="shared" si="13"/>
        <v>100</v>
      </c>
      <c r="BX576" s="47">
        <f t="shared" ref="BX576:CA576" si="1839">AX576-$BU576</f>
        <v>-1000</v>
      </c>
      <c r="BY576" s="47">
        <f t="shared" si="1839"/>
        <v>-1000</v>
      </c>
      <c r="BZ576" s="47">
        <f t="shared" si="1839"/>
        <v>-1000</v>
      </c>
      <c r="CA576" s="47">
        <f t="shared" si="1839"/>
        <v>-1000</v>
      </c>
      <c r="CB576" s="47">
        <f t="shared" si="15"/>
        <v>-9900</v>
      </c>
      <c r="CC576" s="47">
        <f t="shared" ref="CC576:CQ576" si="1840">BC576-$BU576</f>
        <v>-1000</v>
      </c>
      <c r="CD576" s="47">
        <f t="shared" si="1840"/>
        <v>-1000</v>
      </c>
      <c r="CE576" s="47">
        <f t="shared" si="1840"/>
        <v>-1000</v>
      </c>
      <c r="CF576" s="47">
        <f t="shared" si="1840"/>
        <v>-1000</v>
      </c>
      <c r="CG576" s="47">
        <f t="shared" si="1840"/>
        <v>-1000</v>
      </c>
      <c r="CH576" s="47">
        <f t="shared" si="1840"/>
        <v>-1000</v>
      </c>
      <c r="CI576" s="47">
        <f t="shared" si="1840"/>
        <v>-1000</v>
      </c>
      <c r="CJ576" s="47">
        <f t="shared" si="1840"/>
        <v>-1000</v>
      </c>
      <c r="CK576" s="47">
        <f t="shared" si="1840"/>
        <v>-1000</v>
      </c>
      <c r="CL576" s="47">
        <f t="shared" si="1840"/>
        <v>-1000</v>
      </c>
      <c r="CM576" s="47">
        <f t="shared" si="1840"/>
        <v>-1000</v>
      </c>
      <c r="CN576" s="47">
        <f t="shared" si="1840"/>
        <v>-1000</v>
      </c>
      <c r="CO576" s="47">
        <f t="shared" si="1840"/>
        <v>-1000</v>
      </c>
      <c r="CP576" s="47">
        <f t="shared" si="1840"/>
        <v>-1000</v>
      </c>
      <c r="CQ576" s="47">
        <f t="shared" si="1840"/>
        <v>-1000</v>
      </c>
      <c r="CR576" s="47"/>
      <c r="CS576" s="47"/>
      <c r="CT576" s="47"/>
      <c r="CU576" s="50" t="str">
        <f>IFERROR(__xludf.DUMMYFUNCTION("""COMPUTED_VALUE"""),"11310 Goddard Ct.
Dallas, TX 75218          ")</f>
        <v>11310 Goddard Ct.
Dallas, TX 75218          </v>
      </c>
      <c r="CV576" s="51">
        <f>IFERROR(__xludf.DUMMYFUNCTION("IF(REGEXMATCH(UPPER(CU576), ""TX""),0,1)"),0.0)</f>
        <v>0</v>
      </c>
      <c r="CW576" s="51">
        <f>IFERROR(__xludf.DUMMYFUNCTION("IF(REGEXMATCH(UPPER(CU576), ""DALLAS""),0,1)"),0.0)</f>
        <v>0</v>
      </c>
      <c r="CX576" s="51">
        <f t="shared" si="17"/>
        <v>0</v>
      </c>
      <c r="CY576" s="51">
        <f t="shared" si="18"/>
        <v>0</v>
      </c>
      <c r="CZ576" s="52" t="str">
        <f t="shared" si="19"/>
        <v/>
      </c>
      <c r="DA576" s="58"/>
      <c r="DB576" s="52"/>
      <c r="DC576" s="52"/>
      <c r="DD576" s="52"/>
      <c r="DE576" s="52"/>
      <c r="DF576" s="52"/>
      <c r="DG576" s="52"/>
      <c r="DH576" s="52"/>
      <c r="DI576" s="52"/>
      <c r="DJ576" s="52"/>
      <c r="DK576" s="52"/>
      <c r="DL576" s="52"/>
      <c r="DM576" s="52"/>
      <c r="DN576" s="52"/>
      <c r="DO576" s="52"/>
      <c r="DP576" s="52"/>
      <c r="DQ576" s="52"/>
      <c r="DR576" s="52"/>
      <c r="DS576" s="52"/>
      <c r="DT576" s="52"/>
      <c r="DU576" s="52"/>
      <c r="DV576" s="52"/>
      <c r="DW576" s="52"/>
    </row>
    <row r="577">
      <c r="A577" s="40" t="s">
        <v>55</v>
      </c>
      <c r="B577" s="41" t="s">
        <v>56</v>
      </c>
      <c r="C577" s="31" t="s">
        <v>213</v>
      </c>
      <c r="D577" s="25" t="str">
        <f>IFERROR(__xludf.DUMMYFUNCTION("SPLIT(C577,"" "")"),"Applequist,")</f>
        <v>Applequist,</v>
      </c>
      <c r="E577" s="40" t="str">
        <f>IFERROR(__xludf.DUMMYFUNCTION("""COMPUTED_VALUE"""),"Chris
17440")</f>
        <v>Chris
17440</v>
      </c>
      <c r="F577" s="40" t="str">
        <f>IFERROR(__xludf.DUMMYFUNCTION("""COMPUTED_VALUE"""),"Dallas")</f>
        <v>Dallas</v>
      </c>
      <c r="G577" s="40" t="str">
        <f>IFERROR(__xludf.DUMMYFUNCTION("""COMPUTED_VALUE"""),"Pkwy
Dallas,")</f>
        <v>Pkwy
Dallas,</v>
      </c>
      <c r="H577" s="40" t="str">
        <f>IFERROR(__xludf.DUMMYFUNCTION("""COMPUTED_VALUE"""),"TX")</f>
        <v>TX</v>
      </c>
      <c r="I577" s="40">
        <f>IFERROR(__xludf.DUMMYFUNCTION("""COMPUTED_VALUE"""),75287.0)</f>
        <v>75287</v>
      </c>
      <c r="J577" s="40"/>
      <c r="K577" s="40"/>
      <c r="L577" s="40"/>
      <c r="M577" s="40"/>
      <c r="N577" s="40"/>
      <c r="O577" s="40"/>
      <c r="P577" s="40"/>
      <c r="Q577" s="40"/>
      <c r="R577" s="40"/>
      <c r="S577" s="40"/>
      <c r="T577" s="40"/>
      <c r="U577" s="24" t="str">
        <f>IFERROR(__xludf.DUMMYFUNCTION("SPLIT(E577,""01234567890"")"),"Chris
")</f>
        <v>Chris
</v>
      </c>
      <c r="V577" s="24" t="str">
        <f>IFERROR(__xludf.DUMMYFUNCTION("SPLIT(D577,"","")"),"Applequist")</f>
        <v>Applequist</v>
      </c>
      <c r="W577" s="25" t="str">
        <f t="shared" si="1"/>
        <v>CHRIS
 APPLEQUIST</v>
      </c>
      <c r="X577" s="25" t="s">
        <v>214</v>
      </c>
      <c r="Y577" s="25">
        <v>75287.0</v>
      </c>
      <c r="Z577" s="25" t="str">
        <f>IFERROR(__xludf.DUMMYFUNCTION("SPLIT(C577,""
"")"),"Applequist, Chris")</f>
        <v>Applequist, Chris</v>
      </c>
      <c r="AA577" s="25" t="str">
        <f>IFERROR(__xludf.DUMMYFUNCTION("""COMPUTED_VALUE"""),"17440 Dallas Pkwy")</f>
        <v>17440 Dallas Pkwy</v>
      </c>
      <c r="AB577" s="25" t="str">
        <f>IFERROR(__xludf.DUMMYFUNCTION("""COMPUTED_VALUE"""),"Dallas, TX 75287")</f>
        <v>Dallas, TX 75287</v>
      </c>
      <c r="AC577" s="24" t="s">
        <v>215</v>
      </c>
      <c r="AD577" s="25"/>
      <c r="AE577" s="25"/>
      <c r="AF577" s="25"/>
      <c r="AG577" s="40" t="s">
        <v>60</v>
      </c>
      <c r="AH577" s="42">
        <v>2448.0</v>
      </c>
      <c r="AI577" s="40" t="s">
        <v>61</v>
      </c>
      <c r="AJ577" s="27">
        <v>1000.0</v>
      </c>
      <c r="AK577" s="31" t="s">
        <v>24</v>
      </c>
      <c r="AL577" s="43">
        <v>44721.0</v>
      </c>
      <c r="AM577" s="44">
        <v>44757.44018518519</v>
      </c>
      <c r="AN577" s="30">
        <v>2.0</v>
      </c>
      <c r="AO577" s="40"/>
      <c r="AP577" s="40"/>
      <c r="AQ577" s="40"/>
      <c r="AR577" s="40"/>
      <c r="AS577" s="40"/>
      <c r="AT577" s="47"/>
      <c r="AU577" s="40"/>
      <c r="AV577" s="46" t="str">
        <f>IFERROR(__xludf.DUMMYFUNCTION("""COMPUTED_VALUE"""),"Tony")</f>
        <v>Tony</v>
      </c>
      <c r="AW577" s="46">
        <f t="shared" si="7"/>
        <v>50</v>
      </c>
      <c r="AX577" s="47">
        <f t="shared" ref="AX577:BQ577" si="1841">SUMIFS($AJ:$AJ,$V:$V,$AV577,$AK:$AK,AX$2)</f>
        <v>0</v>
      </c>
      <c r="AY577" s="48">
        <f t="shared" si="1841"/>
        <v>0</v>
      </c>
      <c r="AZ577" s="48">
        <f t="shared" si="1841"/>
        <v>0</v>
      </c>
      <c r="BA577" s="48">
        <f t="shared" si="1841"/>
        <v>0</v>
      </c>
      <c r="BB577" s="48">
        <f t="shared" si="1841"/>
        <v>50</v>
      </c>
      <c r="BC577" s="48">
        <f t="shared" si="1841"/>
        <v>0</v>
      </c>
      <c r="BD577" s="48">
        <f t="shared" si="1841"/>
        <v>0</v>
      </c>
      <c r="BE577" s="48">
        <f t="shared" si="1841"/>
        <v>0</v>
      </c>
      <c r="BF577" s="48">
        <f t="shared" si="1841"/>
        <v>0</v>
      </c>
      <c r="BG577" s="48">
        <f t="shared" si="1841"/>
        <v>0</v>
      </c>
      <c r="BH577" s="48">
        <f t="shared" si="1841"/>
        <v>0</v>
      </c>
      <c r="BI577" s="48">
        <f t="shared" si="1841"/>
        <v>0</v>
      </c>
      <c r="BJ577" s="48">
        <f t="shared" si="1841"/>
        <v>0</v>
      </c>
      <c r="BK577" s="48">
        <f t="shared" si="1841"/>
        <v>0</v>
      </c>
      <c r="BL577" s="48">
        <f t="shared" si="1841"/>
        <v>0</v>
      </c>
      <c r="BM577" s="48">
        <f t="shared" si="1841"/>
        <v>0</v>
      </c>
      <c r="BN577" s="48">
        <f t="shared" si="1841"/>
        <v>0</v>
      </c>
      <c r="BO577" s="48">
        <f t="shared" si="1841"/>
        <v>0</v>
      </c>
      <c r="BP577" s="48">
        <f t="shared" si="1841"/>
        <v>0</v>
      </c>
      <c r="BQ577" s="48">
        <f t="shared" si="1841"/>
        <v>0</v>
      </c>
      <c r="BR577" s="36">
        <f t="shared" si="9"/>
        <v>0</v>
      </c>
      <c r="BS577" s="38">
        <f t="shared" si="10"/>
        <v>1</v>
      </c>
      <c r="BT577" s="49">
        <f t="shared" si="11"/>
        <v>0</v>
      </c>
      <c r="BU577" s="38">
        <f t="shared" si="12"/>
        <v>1000</v>
      </c>
      <c r="BV577" s="46" t="str">
        <f>IFERROR(__xludf.DUMMYFUNCTION("""COMPUTED_VALUE"""),"Tony")</f>
        <v>Tony</v>
      </c>
      <c r="BW577" s="46">
        <f t="shared" si="13"/>
        <v>50</v>
      </c>
      <c r="BX577" s="47">
        <f t="shared" ref="BX577:CA577" si="1842">AX577-$BU577</f>
        <v>-1000</v>
      </c>
      <c r="BY577" s="47">
        <f t="shared" si="1842"/>
        <v>-1000</v>
      </c>
      <c r="BZ577" s="47">
        <f t="shared" si="1842"/>
        <v>-1000</v>
      </c>
      <c r="CA577" s="47">
        <f t="shared" si="1842"/>
        <v>-1000</v>
      </c>
      <c r="CB577" s="47">
        <f t="shared" si="15"/>
        <v>-9950</v>
      </c>
      <c r="CC577" s="47">
        <f t="shared" ref="CC577:CQ577" si="1843">BC577-$BU577</f>
        <v>-1000</v>
      </c>
      <c r="CD577" s="47">
        <f t="shared" si="1843"/>
        <v>-1000</v>
      </c>
      <c r="CE577" s="47">
        <f t="shared" si="1843"/>
        <v>-1000</v>
      </c>
      <c r="CF577" s="47">
        <f t="shared" si="1843"/>
        <v>-1000</v>
      </c>
      <c r="CG577" s="47">
        <f t="shared" si="1843"/>
        <v>-1000</v>
      </c>
      <c r="CH577" s="47">
        <f t="shared" si="1843"/>
        <v>-1000</v>
      </c>
      <c r="CI577" s="47">
        <f t="shared" si="1843"/>
        <v>-1000</v>
      </c>
      <c r="CJ577" s="47">
        <f t="shared" si="1843"/>
        <v>-1000</v>
      </c>
      <c r="CK577" s="47">
        <f t="shared" si="1843"/>
        <v>-1000</v>
      </c>
      <c r="CL577" s="47">
        <f t="shared" si="1843"/>
        <v>-1000</v>
      </c>
      <c r="CM577" s="47">
        <f t="shared" si="1843"/>
        <v>-1000</v>
      </c>
      <c r="CN577" s="47">
        <f t="shared" si="1843"/>
        <v>-1000</v>
      </c>
      <c r="CO577" s="47">
        <f t="shared" si="1843"/>
        <v>-1000</v>
      </c>
      <c r="CP577" s="47">
        <f t="shared" si="1843"/>
        <v>-1000</v>
      </c>
      <c r="CQ577" s="47">
        <f t="shared" si="1843"/>
        <v>-1000</v>
      </c>
      <c r="CR577" s="47"/>
      <c r="CS577" s="47"/>
      <c r="CT577" s="47"/>
      <c r="CU577" s="50" t="str">
        <f>IFERROR(__xludf.DUMMYFUNCTION("""COMPUTED_VALUE"""),"9318 Clearhurst
Dallas, TX 75238           ")</f>
        <v>9318 Clearhurst
Dallas, TX 75238           </v>
      </c>
      <c r="CV577" s="51">
        <f>IFERROR(__xludf.DUMMYFUNCTION("IF(REGEXMATCH(UPPER(CU577), ""TX""),0,1)"),0.0)</f>
        <v>0</v>
      </c>
      <c r="CW577" s="51">
        <f>IFERROR(__xludf.DUMMYFUNCTION("IF(REGEXMATCH(UPPER(CU577), ""DALLAS""),0,1)"),0.0)</f>
        <v>0</v>
      </c>
      <c r="CX577" s="51">
        <f t="shared" si="17"/>
        <v>0</v>
      </c>
      <c r="CY577" s="51">
        <f t="shared" si="18"/>
        <v>0</v>
      </c>
      <c r="CZ577" s="52" t="str">
        <f t="shared" si="19"/>
        <v/>
      </c>
      <c r="DA577" s="58"/>
      <c r="DB577" s="52"/>
      <c r="DC577" s="52"/>
      <c r="DD577" s="52"/>
      <c r="DE577" s="52"/>
      <c r="DF577" s="52"/>
      <c r="DG577" s="52"/>
      <c r="DH577" s="52"/>
      <c r="DI577" s="52"/>
      <c r="DJ577" s="52"/>
      <c r="DK577" s="52"/>
      <c r="DL577" s="52"/>
      <c r="DM577" s="52"/>
      <c r="DN577" s="52"/>
      <c r="DO577" s="52"/>
      <c r="DP577" s="52"/>
      <c r="DQ577" s="52"/>
      <c r="DR577" s="52"/>
      <c r="DS577" s="52"/>
      <c r="DT577" s="52"/>
      <c r="DU577" s="52"/>
      <c r="DV577" s="52"/>
      <c r="DW577" s="52"/>
    </row>
    <row r="578">
      <c r="A578" s="22" t="s">
        <v>55</v>
      </c>
      <c r="B578" s="23" t="s">
        <v>56</v>
      </c>
      <c r="C578" s="31" t="s">
        <v>1560</v>
      </c>
      <c r="D578" s="25" t="str">
        <f>IFERROR(__xludf.DUMMYFUNCTION("SPLIT(C578,"" "")"),"Fossey,")</f>
        <v>Fossey,</v>
      </c>
      <c r="E578" s="22" t="str">
        <f>IFERROR(__xludf.DUMMYFUNCTION("""COMPUTED_VALUE"""),"Graham
9360")</f>
        <v>Graham
9360</v>
      </c>
      <c r="F578" s="22" t="str">
        <f>IFERROR(__xludf.DUMMYFUNCTION("""COMPUTED_VALUE"""),"Creel")</f>
        <v>Creel</v>
      </c>
      <c r="G578" s="22" t="str">
        <f>IFERROR(__xludf.DUMMYFUNCTION("""COMPUTED_VALUE"""),"Creek
Dallas,")</f>
        <v>Creek
Dallas,</v>
      </c>
      <c r="H578" s="22" t="str">
        <f>IFERROR(__xludf.DUMMYFUNCTION("""COMPUTED_VALUE"""),"TX")</f>
        <v>TX</v>
      </c>
      <c r="I578" s="22">
        <f>IFERROR(__xludf.DUMMYFUNCTION("""COMPUTED_VALUE"""),75228.0)</f>
        <v>75228</v>
      </c>
      <c r="J578" s="22"/>
      <c r="K578" s="22"/>
      <c r="L578" s="22"/>
      <c r="M578" s="22"/>
      <c r="N578" s="22"/>
      <c r="O578" s="22"/>
      <c r="P578" s="22"/>
      <c r="Q578" s="22"/>
      <c r="R578" s="22"/>
      <c r="S578" s="22"/>
      <c r="T578" s="22"/>
      <c r="U578" s="24" t="str">
        <f>IFERROR(__xludf.DUMMYFUNCTION("SPLIT(E578,""01234567890"")"),"Graham
")</f>
        <v>Graham
</v>
      </c>
      <c r="V578" s="24" t="str">
        <f>IFERROR(__xludf.DUMMYFUNCTION("SPLIT(D578,"","")"),"Fossey")</f>
        <v>Fossey</v>
      </c>
      <c r="W578" s="25" t="str">
        <f t="shared" si="1"/>
        <v>GRAHAM
 FOSSEY</v>
      </c>
      <c r="X578" s="25" t="s">
        <v>1561</v>
      </c>
      <c r="Y578" s="25">
        <v>75228.0</v>
      </c>
      <c r="Z578" s="25" t="str">
        <f>IFERROR(__xludf.DUMMYFUNCTION("SPLIT(C578,""
"")"),"Fossey, Graham")</f>
        <v>Fossey, Graham</v>
      </c>
      <c r="AA578" s="25" t="str">
        <f>IFERROR(__xludf.DUMMYFUNCTION("""COMPUTED_VALUE"""),"9360 Creel Creek")</f>
        <v>9360 Creel Creek</v>
      </c>
      <c r="AB578" s="25" t="str">
        <f>IFERROR(__xludf.DUMMYFUNCTION("""COMPUTED_VALUE"""),"Dallas, TX 75228")</f>
        <v>Dallas, TX 75228</v>
      </c>
      <c r="AC578" s="24" t="s">
        <v>1562</v>
      </c>
      <c r="AD578" s="25"/>
      <c r="AE578" s="25"/>
      <c r="AF578" s="25"/>
      <c r="AG578" s="22" t="s">
        <v>60</v>
      </c>
      <c r="AH578" s="54">
        <v>2448.0</v>
      </c>
      <c r="AI578" s="22" t="s">
        <v>61</v>
      </c>
      <c r="AJ578" s="27">
        <v>50.0</v>
      </c>
      <c r="AK578" s="31" t="s">
        <v>24</v>
      </c>
      <c r="AL578" s="28">
        <v>44721.0</v>
      </c>
      <c r="AM578" s="29">
        <v>44757.44018518519</v>
      </c>
      <c r="AN578" s="30">
        <v>2.0</v>
      </c>
      <c r="AO578" s="22"/>
      <c r="AP578" s="22"/>
      <c r="AQ578" s="22"/>
      <c r="AR578" s="22"/>
      <c r="AS578" s="22"/>
      <c r="AT578" s="70"/>
      <c r="AU578" s="22"/>
      <c r="AV578" s="57" t="str">
        <f>IFERROR(__xludf.DUMMYFUNCTION("""COMPUTED_VALUE"""),"Luallen")</f>
        <v>Luallen</v>
      </c>
      <c r="AW578" s="46">
        <f t="shared" si="7"/>
        <v>500</v>
      </c>
      <c r="AX578" s="47">
        <f t="shared" ref="AX578:BQ578" si="1844">SUMIFS($AJ:$AJ,$V:$V,$AV578,$AK:$AK,AX$2)</f>
        <v>0</v>
      </c>
      <c r="AY578" s="48">
        <f t="shared" si="1844"/>
        <v>0</v>
      </c>
      <c r="AZ578" s="48">
        <f t="shared" si="1844"/>
        <v>250</v>
      </c>
      <c r="BA578" s="48">
        <f t="shared" si="1844"/>
        <v>0</v>
      </c>
      <c r="BB578" s="48">
        <f t="shared" si="1844"/>
        <v>250</v>
      </c>
      <c r="BC578" s="48">
        <f t="shared" si="1844"/>
        <v>0</v>
      </c>
      <c r="BD578" s="48">
        <f t="shared" si="1844"/>
        <v>0</v>
      </c>
      <c r="BE578" s="48">
        <f t="shared" si="1844"/>
        <v>0</v>
      </c>
      <c r="BF578" s="48">
        <f t="shared" si="1844"/>
        <v>0</v>
      </c>
      <c r="BG578" s="48">
        <f t="shared" si="1844"/>
        <v>0</v>
      </c>
      <c r="BH578" s="48">
        <f t="shared" si="1844"/>
        <v>0</v>
      </c>
      <c r="BI578" s="48">
        <f t="shared" si="1844"/>
        <v>0</v>
      </c>
      <c r="BJ578" s="48">
        <f t="shared" si="1844"/>
        <v>0</v>
      </c>
      <c r="BK578" s="48">
        <f t="shared" si="1844"/>
        <v>0</v>
      </c>
      <c r="BL578" s="48">
        <f t="shared" si="1844"/>
        <v>0</v>
      </c>
      <c r="BM578" s="48">
        <f t="shared" si="1844"/>
        <v>0</v>
      </c>
      <c r="BN578" s="48">
        <f t="shared" si="1844"/>
        <v>0</v>
      </c>
      <c r="BO578" s="48">
        <f t="shared" si="1844"/>
        <v>0</v>
      </c>
      <c r="BP578" s="48">
        <f t="shared" si="1844"/>
        <v>0</v>
      </c>
      <c r="BQ578" s="48">
        <f t="shared" si="1844"/>
        <v>0</v>
      </c>
      <c r="BR578" s="36">
        <f t="shared" si="9"/>
        <v>0</v>
      </c>
      <c r="BS578" s="38">
        <f t="shared" si="10"/>
        <v>1</v>
      </c>
      <c r="BT578" s="49">
        <f t="shared" si="11"/>
        <v>0</v>
      </c>
      <c r="BU578" s="38">
        <f t="shared" si="12"/>
        <v>1000</v>
      </c>
      <c r="BV578" s="57" t="str">
        <f>IFERROR(__xludf.DUMMYFUNCTION("""COMPUTED_VALUE"""),"Luallen")</f>
        <v>Luallen</v>
      </c>
      <c r="BW578" s="46">
        <f t="shared" si="13"/>
        <v>500</v>
      </c>
      <c r="BX578" s="47">
        <f t="shared" ref="BX578:CA578" si="1845">AX578-$BU578</f>
        <v>-1000</v>
      </c>
      <c r="BY578" s="47">
        <f t="shared" si="1845"/>
        <v>-1000</v>
      </c>
      <c r="BZ578" s="47">
        <f t="shared" si="1845"/>
        <v>-750</v>
      </c>
      <c r="CA578" s="47">
        <f t="shared" si="1845"/>
        <v>-1000</v>
      </c>
      <c r="CB578" s="47">
        <f t="shared" si="15"/>
        <v>-9750</v>
      </c>
      <c r="CC578" s="47">
        <f t="shared" ref="CC578:CQ578" si="1846">BC578-$BU578</f>
        <v>-1000</v>
      </c>
      <c r="CD578" s="47">
        <f t="shared" si="1846"/>
        <v>-1000</v>
      </c>
      <c r="CE578" s="47">
        <f t="shared" si="1846"/>
        <v>-1000</v>
      </c>
      <c r="CF578" s="47">
        <f t="shared" si="1846"/>
        <v>-1000</v>
      </c>
      <c r="CG578" s="47">
        <f t="shared" si="1846"/>
        <v>-1000</v>
      </c>
      <c r="CH578" s="47">
        <f t="shared" si="1846"/>
        <v>-1000</v>
      </c>
      <c r="CI578" s="47">
        <f t="shared" si="1846"/>
        <v>-1000</v>
      </c>
      <c r="CJ578" s="47">
        <f t="shared" si="1846"/>
        <v>-1000</v>
      </c>
      <c r="CK578" s="47">
        <f t="shared" si="1846"/>
        <v>-1000</v>
      </c>
      <c r="CL578" s="47">
        <f t="shared" si="1846"/>
        <v>-1000</v>
      </c>
      <c r="CM578" s="47">
        <f t="shared" si="1846"/>
        <v>-1000</v>
      </c>
      <c r="CN578" s="47">
        <f t="shared" si="1846"/>
        <v>-1000</v>
      </c>
      <c r="CO578" s="47">
        <f t="shared" si="1846"/>
        <v>-1000</v>
      </c>
      <c r="CP578" s="47">
        <f t="shared" si="1846"/>
        <v>-1000</v>
      </c>
      <c r="CQ578" s="47">
        <f t="shared" si="1846"/>
        <v>-1000</v>
      </c>
      <c r="CR578" s="47"/>
      <c r="CS578" s="47"/>
      <c r="CT578" s="47"/>
      <c r="CU578" s="50" t="str">
        <f>IFERROR(__xludf.DUMMYFUNCTION("""COMPUTED_VALUE"""),"6920 Midcrest Dr.
Dallas, TX 75254          ")</f>
        <v>6920 Midcrest Dr.
Dallas, TX 75254          </v>
      </c>
      <c r="CV578" s="51">
        <f>IFERROR(__xludf.DUMMYFUNCTION("IF(REGEXMATCH(UPPER(CU578), ""TX""),0,1)"),0.0)</f>
        <v>0</v>
      </c>
      <c r="CW578" s="51">
        <f>IFERROR(__xludf.DUMMYFUNCTION("IF(REGEXMATCH(UPPER(CU578), ""DALLAS""),0,1)"),0.0)</f>
        <v>0</v>
      </c>
      <c r="CX578" s="51">
        <f t="shared" si="17"/>
        <v>0</v>
      </c>
      <c r="CY578" s="51">
        <f t="shared" si="18"/>
        <v>0</v>
      </c>
      <c r="CZ578" s="52" t="str">
        <f t="shared" si="19"/>
        <v/>
      </c>
      <c r="DA578" s="58"/>
      <c r="DB578" s="52"/>
      <c r="DC578" s="52"/>
      <c r="DD578" s="52"/>
      <c r="DE578" s="52"/>
      <c r="DF578" s="52"/>
      <c r="DG578" s="52"/>
      <c r="DH578" s="52"/>
      <c r="DI578" s="52"/>
      <c r="DJ578" s="52"/>
      <c r="DK578" s="52"/>
      <c r="DL578" s="52"/>
      <c r="DM578" s="52"/>
      <c r="DN578" s="52"/>
      <c r="DO578" s="52"/>
      <c r="DP578" s="52"/>
      <c r="DQ578" s="52"/>
      <c r="DR578" s="52"/>
      <c r="DS578" s="52"/>
      <c r="DT578" s="52"/>
      <c r="DU578" s="52"/>
      <c r="DV578" s="52"/>
      <c r="DW578" s="52"/>
    </row>
    <row r="579">
      <c r="A579" s="40" t="s">
        <v>55</v>
      </c>
      <c r="B579" s="41" t="s">
        <v>56</v>
      </c>
      <c r="C579" s="31" t="s">
        <v>1560</v>
      </c>
      <c r="D579" s="25" t="str">
        <f>IFERROR(__xludf.DUMMYFUNCTION("SPLIT(C579,"" "")"),"Fossey,")</f>
        <v>Fossey,</v>
      </c>
      <c r="E579" s="40" t="str">
        <f>IFERROR(__xludf.DUMMYFUNCTION("""COMPUTED_VALUE"""),"Graham
9360")</f>
        <v>Graham
9360</v>
      </c>
      <c r="F579" s="40" t="str">
        <f>IFERROR(__xludf.DUMMYFUNCTION("""COMPUTED_VALUE"""),"Creel")</f>
        <v>Creel</v>
      </c>
      <c r="G579" s="40" t="str">
        <f>IFERROR(__xludf.DUMMYFUNCTION("""COMPUTED_VALUE"""),"Creek
Dallas,")</f>
        <v>Creek
Dallas,</v>
      </c>
      <c r="H579" s="40" t="str">
        <f>IFERROR(__xludf.DUMMYFUNCTION("""COMPUTED_VALUE"""),"TX")</f>
        <v>TX</v>
      </c>
      <c r="I579" s="40">
        <f>IFERROR(__xludf.DUMMYFUNCTION("""COMPUTED_VALUE"""),75228.0)</f>
        <v>75228</v>
      </c>
      <c r="J579" s="40"/>
      <c r="K579" s="40"/>
      <c r="L579" s="40"/>
      <c r="M579" s="40"/>
      <c r="N579" s="40"/>
      <c r="O579" s="40"/>
      <c r="P579" s="40"/>
      <c r="Q579" s="40"/>
      <c r="R579" s="40"/>
      <c r="S579" s="40"/>
      <c r="T579" s="40"/>
      <c r="U579" s="24" t="str">
        <f>IFERROR(__xludf.DUMMYFUNCTION("SPLIT(E579,""01234567890"")"),"Graham
")</f>
        <v>Graham
</v>
      </c>
      <c r="V579" s="24" t="str">
        <f>IFERROR(__xludf.DUMMYFUNCTION("SPLIT(D579,"","")"),"Fossey")</f>
        <v>Fossey</v>
      </c>
      <c r="W579" s="25" t="str">
        <f t="shared" si="1"/>
        <v>GRAHAM
 FOSSEY</v>
      </c>
      <c r="X579" s="25" t="s">
        <v>1561</v>
      </c>
      <c r="Y579" s="25">
        <v>75228.0</v>
      </c>
      <c r="Z579" s="25" t="str">
        <f>IFERROR(__xludf.DUMMYFUNCTION("SPLIT(C579,""
"")"),"Fossey, Graham")</f>
        <v>Fossey, Graham</v>
      </c>
      <c r="AA579" s="25" t="str">
        <f>IFERROR(__xludf.DUMMYFUNCTION("""COMPUTED_VALUE"""),"9360 Creel Creek")</f>
        <v>9360 Creel Creek</v>
      </c>
      <c r="AB579" s="25" t="str">
        <f>IFERROR(__xludf.DUMMYFUNCTION("""COMPUTED_VALUE"""),"Dallas, TX 75228")</f>
        <v>Dallas, TX 75228</v>
      </c>
      <c r="AC579" s="24" t="s">
        <v>1562</v>
      </c>
      <c r="AD579" s="25"/>
      <c r="AE579" s="25"/>
      <c r="AF579" s="25"/>
      <c r="AG579" s="40" t="s">
        <v>60</v>
      </c>
      <c r="AH579" s="42">
        <v>2448.0</v>
      </c>
      <c r="AI579" s="40" t="s">
        <v>61</v>
      </c>
      <c r="AJ579" s="27">
        <v>50.0</v>
      </c>
      <c r="AK579" s="31" t="s">
        <v>24</v>
      </c>
      <c r="AL579" s="43">
        <v>44721.0</v>
      </c>
      <c r="AM579" s="44">
        <v>44757.44018518519</v>
      </c>
      <c r="AN579" s="30">
        <v>2.0</v>
      </c>
      <c r="AO579" s="40"/>
      <c r="AP579" s="40"/>
      <c r="AQ579" s="40"/>
      <c r="AR579" s="40"/>
      <c r="AS579" s="40"/>
      <c r="AT579" s="47"/>
      <c r="AU579" s="40"/>
      <c r="AV579" s="46" t="str">
        <f>IFERROR(__xludf.DUMMYFUNCTION("""COMPUTED_VALUE"""),"Davenport")</f>
        <v>Davenport</v>
      </c>
      <c r="AW579" s="46">
        <f t="shared" si="7"/>
        <v>100</v>
      </c>
      <c r="AX579" s="47">
        <f t="shared" ref="AX579:BQ579" si="1847">SUMIFS($AJ:$AJ,$V:$V,$AV579,$AK:$AK,AX$2)</f>
        <v>0</v>
      </c>
      <c r="AY579" s="48">
        <f t="shared" si="1847"/>
        <v>0</v>
      </c>
      <c r="AZ579" s="48">
        <f t="shared" si="1847"/>
        <v>0</v>
      </c>
      <c r="BA579" s="48">
        <f t="shared" si="1847"/>
        <v>0</v>
      </c>
      <c r="BB579" s="48">
        <f t="shared" si="1847"/>
        <v>100</v>
      </c>
      <c r="BC579" s="48">
        <f t="shared" si="1847"/>
        <v>0</v>
      </c>
      <c r="BD579" s="48">
        <f t="shared" si="1847"/>
        <v>0</v>
      </c>
      <c r="BE579" s="48">
        <f t="shared" si="1847"/>
        <v>0</v>
      </c>
      <c r="BF579" s="48">
        <f t="shared" si="1847"/>
        <v>0</v>
      </c>
      <c r="BG579" s="48">
        <f t="shared" si="1847"/>
        <v>0</v>
      </c>
      <c r="BH579" s="48">
        <f t="shared" si="1847"/>
        <v>0</v>
      </c>
      <c r="BI579" s="48">
        <f t="shared" si="1847"/>
        <v>0</v>
      </c>
      <c r="BJ579" s="48">
        <f t="shared" si="1847"/>
        <v>0</v>
      </c>
      <c r="BK579" s="48">
        <f t="shared" si="1847"/>
        <v>0</v>
      </c>
      <c r="BL579" s="48">
        <f t="shared" si="1847"/>
        <v>0</v>
      </c>
      <c r="BM579" s="48">
        <f t="shared" si="1847"/>
        <v>0</v>
      </c>
      <c r="BN579" s="48">
        <f t="shared" si="1847"/>
        <v>0</v>
      </c>
      <c r="BO579" s="48">
        <f t="shared" si="1847"/>
        <v>0</v>
      </c>
      <c r="BP579" s="48">
        <f t="shared" si="1847"/>
        <v>0</v>
      </c>
      <c r="BQ579" s="48">
        <f t="shared" si="1847"/>
        <v>0</v>
      </c>
      <c r="BR579" s="36">
        <f t="shared" si="9"/>
        <v>0</v>
      </c>
      <c r="BS579" s="38">
        <f t="shared" si="10"/>
        <v>1</v>
      </c>
      <c r="BT579" s="49">
        <f t="shared" si="11"/>
        <v>0</v>
      </c>
      <c r="BU579" s="38">
        <f t="shared" si="12"/>
        <v>1000</v>
      </c>
      <c r="BV579" s="46" t="str">
        <f>IFERROR(__xludf.DUMMYFUNCTION("""COMPUTED_VALUE"""),"Davenport")</f>
        <v>Davenport</v>
      </c>
      <c r="BW579" s="46">
        <f t="shared" si="13"/>
        <v>100</v>
      </c>
      <c r="BX579" s="47">
        <f t="shared" ref="BX579:CA579" si="1848">AX579-$BU579</f>
        <v>-1000</v>
      </c>
      <c r="BY579" s="47">
        <f t="shared" si="1848"/>
        <v>-1000</v>
      </c>
      <c r="BZ579" s="47">
        <f t="shared" si="1848"/>
        <v>-1000</v>
      </c>
      <c r="CA579" s="47">
        <f t="shared" si="1848"/>
        <v>-1000</v>
      </c>
      <c r="CB579" s="47">
        <f t="shared" si="15"/>
        <v>-9900</v>
      </c>
      <c r="CC579" s="47">
        <f t="shared" ref="CC579:CQ579" si="1849">BC579-$BU579</f>
        <v>-1000</v>
      </c>
      <c r="CD579" s="47">
        <f t="shared" si="1849"/>
        <v>-1000</v>
      </c>
      <c r="CE579" s="47">
        <f t="shared" si="1849"/>
        <v>-1000</v>
      </c>
      <c r="CF579" s="47">
        <f t="shared" si="1849"/>
        <v>-1000</v>
      </c>
      <c r="CG579" s="47">
        <f t="shared" si="1849"/>
        <v>-1000</v>
      </c>
      <c r="CH579" s="47">
        <f t="shared" si="1849"/>
        <v>-1000</v>
      </c>
      <c r="CI579" s="47">
        <f t="shared" si="1849"/>
        <v>-1000</v>
      </c>
      <c r="CJ579" s="47">
        <f t="shared" si="1849"/>
        <v>-1000</v>
      </c>
      <c r="CK579" s="47">
        <f t="shared" si="1849"/>
        <v>-1000</v>
      </c>
      <c r="CL579" s="47">
        <f t="shared" si="1849"/>
        <v>-1000</v>
      </c>
      <c r="CM579" s="47">
        <f t="shared" si="1849"/>
        <v>-1000</v>
      </c>
      <c r="CN579" s="47">
        <f t="shared" si="1849"/>
        <v>-1000</v>
      </c>
      <c r="CO579" s="47">
        <f t="shared" si="1849"/>
        <v>-1000</v>
      </c>
      <c r="CP579" s="47">
        <f t="shared" si="1849"/>
        <v>-1000</v>
      </c>
      <c r="CQ579" s="47">
        <f t="shared" si="1849"/>
        <v>-1000</v>
      </c>
      <c r="CR579" s="47"/>
      <c r="CS579" s="47"/>
      <c r="CT579" s="47"/>
      <c r="CU579" s="50" t="str">
        <f>IFERROR(__xludf.DUMMYFUNCTION("""COMPUTED_VALUE"""),"11210 Bellafonte Dr.
Dallas, TX 75243          ")</f>
        <v>11210 Bellafonte Dr.
Dallas, TX 75243          </v>
      </c>
      <c r="CV579" s="51">
        <f>IFERROR(__xludf.DUMMYFUNCTION("IF(REGEXMATCH(UPPER(CU579), ""TX""),0,1)"),0.0)</f>
        <v>0</v>
      </c>
      <c r="CW579" s="51">
        <f>IFERROR(__xludf.DUMMYFUNCTION("IF(REGEXMATCH(UPPER(CU579), ""DALLAS""),0,1)"),0.0)</f>
        <v>0</v>
      </c>
      <c r="CX579" s="51">
        <f t="shared" si="17"/>
        <v>0</v>
      </c>
      <c r="CY579" s="51">
        <f t="shared" si="18"/>
        <v>0</v>
      </c>
      <c r="CZ579" s="52" t="str">
        <f t="shared" si="19"/>
        <v/>
      </c>
      <c r="DA579" s="58"/>
      <c r="DB579" s="52"/>
      <c r="DC579" s="52"/>
      <c r="DD579" s="52"/>
      <c r="DE579" s="52"/>
      <c r="DF579" s="52"/>
      <c r="DG579" s="52"/>
      <c r="DH579" s="52"/>
      <c r="DI579" s="52"/>
      <c r="DJ579" s="52"/>
      <c r="DK579" s="52"/>
      <c r="DL579" s="52"/>
      <c r="DM579" s="52"/>
      <c r="DN579" s="52"/>
      <c r="DO579" s="52"/>
      <c r="DP579" s="52"/>
      <c r="DQ579" s="52"/>
      <c r="DR579" s="52"/>
      <c r="DS579" s="52"/>
      <c r="DT579" s="52"/>
      <c r="DU579" s="52"/>
      <c r="DV579" s="52"/>
      <c r="DW579" s="52"/>
    </row>
    <row r="580">
      <c r="A580" s="22" t="s">
        <v>55</v>
      </c>
      <c r="B580" s="23" t="s">
        <v>56</v>
      </c>
      <c r="C580" s="31" t="s">
        <v>1563</v>
      </c>
      <c r="D580" s="25" t="str">
        <f>IFERROR(__xludf.DUMMYFUNCTION("SPLIT(C580,"" "")"),"Sandoval,")</f>
        <v>Sandoval,</v>
      </c>
      <c r="E580" s="22" t="str">
        <f>IFERROR(__xludf.DUMMYFUNCTION("""COMPUTED_VALUE"""),"Stephanie
2307")</f>
        <v>Stephanie
2307</v>
      </c>
      <c r="F580" s="22" t="str">
        <f>IFERROR(__xludf.DUMMYFUNCTION("""COMPUTED_VALUE"""),"Wilma")</f>
        <v>Wilma</v>
      </c>
      <c r="G580" s="22" t="str">
        <f>IFERROR(__xludf.DUMMYFUNCTION("""COMPUTED_VALUE"""),"Rodolph")</f>
        <v>Rodolph</v>
      </c>
      <c r="H580" s="22" t="str">
        <f>IFERROR(__xludf.DUMMYFUNCTION("""COMPUTED_VALUE"""),"Rd.
Austin,")</f>
        <v>Rd.
Austin,</v>
      </c>
      <c r="I580" s="22" t="str">
        <f>IFERROR(__xludf.DUMMYFUNCTION("""COMPUTED_VALUE"""),"TX")</f>
        <v>TX</v>
      </c>
      <c r="J580" s="22">
        <f>IFERROR(__xludf.DUMMYFUNCTION("""COMPUTED_VALUE"""),78748.0)</f>
        <v>78748</v>
      </c>
      <c r="K580" s="22"/>
      <c r="L580" s="22"/>
      <c r="M580" s="22"/>
      <c r="N580" s="22"/>
      <c r="O580" s="22"/>
      <c r="P580" s="22"/>
      <c r="Q580" s="22"/>
      <c r="R580" s="22"/>
      <c r="S580" s="22"/>
      <c r="T580" s="22"/>
      <c r="U580" s="24" t="str">
        <f>IFERROR(__xludf.DUMMYFUNCTION("SPLIT(E580,""01234567890"")"),"Stephanie
")</f>
        <v>Stephanie
</v>
      </c>
      <c r="V580" s="24" t="str">
        <f>IFERROR(__xludf.DUMMYFUNCTION("SPLIT(D580,"","")"),"Sandoval")</f>
        <v>Sandoval</v>
      </c>
      <c r="W580" s="25" t="str">
        <f t="shared" si="1"/>
        <v>STEPHANIE
 SANDOVAL</v>
      </c>
      <c r="X580" s="25" t="s">
        <v>1564</v>
      </c>
      <c r="Y580" s="25">
        <v>78748.0</v>
      </c>
      <c r="Z580" s="25" t="str">
        <f>IFERROR(__xludf.DUMMYFUNCTION("SPLIT(C580,""
"")"),"Sandoval, Stephanie")</f>
        <v>Sandoval, Stephanie</v>
      </c>
      <c r="AA580" s="25" t="str">
        <f>IFERROR(__xludf.DUMMYFUNCTION("""COMPUTED_VALUE"""),"2307 Wilma Rodolph Rd.")</f>
        <v>2307 Wilma Rodolph Rd.</v>
      </c>
      <c r="AB580" s="25" t="str">
        <f>IFERROR(__xludf.DUMMYFUNCTION("""COMPUTED_VALUE"""),"Austin, TX 78748")</f>
        <v>Austin, TX 78748</v>
      </c>
      <c r="AC580" s="24" t="s">
        <v>1565</v>
      </c>
      <c r="AD580" s="25"/>
      <c r="AE580" s="25"/>
      <c r="AF580" s="25"/>
      <c r="AG580" s="22" t="s">
        <v>60</v>
      </c>
      <c r="AH580" s="54">
        <v>2448.0</v>
      </c>
      <c r="AI580" s="22" t="s">
        <v>61</v>
      </c>
      <c r="AJ580" s="27">
        <v>100.0</v>
      </c>
      <c r="AK580" s="31" t="s">
        <v>24</v>
      </c>
      <c r="AL580" s="28">
        <v>44721.0</v>
      </c>
      <c r="AM580" s="29">
        <v>44757.44018518519</v>
      </c>
      <c r="AN580" s="30">
        <v>2.0</v>
      </c>
      <c r="AO580" s="22"/>
      <c r="AP580" s="22"/>
      <c r="AQ580" s="22"/>
      <c r="AR580" s="22"/>
      <c r="AS580" s="22"/>
      <c r="AT580" s="70"/>
      <c r="AU580" s="22"/>
      <c r="AV580" s="57" t="str">
        <f>IFERROR(__xludf.DUMMYFUNCTION("""COMPUTED_VALUE"""),"Mueller")</f>
        <v>Mueller</v>
      </c>
      <c r="AW580" s="46">
        <f t="shared" si="7"/>
        <v>50</v>
      </c>
      <c r="AX580" s="47">
        <f t="shared" ref="AX580:BQ580" si="1850">SUMIFS($AJ:$AJ,$V:$V,$AV580,$AK:$AK,AX$2)</f>
        <v>0</v>
      </c>
      <c r="AY580" s="48">
        <f t="shared" si="1850"/>
        <v>0</v>
      </c>
      <c r="AZ580" s="48">
        <f t="shared" si="1850"/>
        <v>0</v>
      </c>
      <c r="BA580" s="48">
        <f t="shared" si="1850"/>
        <v>0</v>
      </c>
      <c r="BB580" s="48">
        <f t="shared" si="1850"/>
        <v>50</v>
      </c>
      <c r="BC580" s="48">
        <f t="shared" si="1850"/>
        <v>0</v>
      </c>
      <c r="BD580" s="48">
        <f t="shared" si="1850"/>
        <v>0</v>
      </c>
      <c r="BE580" s="48">
        <f t="shared" si="1850"/>
        <v>0</v>
      </c>
      <c r="BF580" s="48">
        <f t="shared" si="1850"/>
        <v>0</v>
      </c>
      <c r="BG580" s="48">
        <f t="shared" si="1850"/>
        <v>0</v>
      </c>
      <c r="BH580" s="48">
        <f t="shared" si="1850"/>
        <v>0</v>
      </c>
      <c r="BI580" s="48">
        <f t="shared" si="1850"/>
        <v>0</v>
      </c>
      <c r="BJ580" s="48">
        <f t="shared" si="1850"/>
        <v>0</v>
      </c>
      <c r="BK580" s="48">
        <f t="shared" si="1850"/>
        <v>0</v>
      </c>
      <c r="BL580" s="48">
        <f t="shared" si="1850"/>
        <v>0</v>
      </c>
      <c r="BM580" s="48">
        <f t="shared" si="1850"/>
        <v>0</v>
      </c>
      <c r="BN580" s="48">
        <f t="shared" si="1850"/>
        <v>0</v>
      </c>
      <c r="BO580" s="48">
        <f t="shared" si="1850"/>
        <v>0</v>
      </c>
      <c r="BP580" s="48">
        <f t="shared" si="1850"/>
        <v>0</v>
      </c>
      <c r="BQ580" s="48">
        <f t="shared" si="1850"/>
        <v>0</v>
      </c>
      <c r="BR580" s="36">
        <f t="shared" si="9"/>
        <v>0</v>
      </c>
      <c r="BS580" s="38">
        <f t="shared" si="10"/>
        <v>1</v>
      </c>
      <c r="BT580" s="49">
        <f t="shared" si="11"/>
        <v>0</v>
      </c>
      <c r="BU580" s="38">
        <f t="shared" si="12"/>
        <v>1000</v>
      </c>
      <c r="BV580" s="57" t="str">
        <f>IFERROR(__xludf.DUMMYFUNCTION("""COMPUTED_VALUE"""),"Mueller")</f>
        <v>Mueller</v>
      </c>
      <c r="BW580" s="46">
        <f t="shared" si="13"/>
        <v>50</v>
      </c>
      <c r="BX580" s="47">
        <f t="shared" ref="BX580:CA580" si="1851">AX580-$BU580</f>
        <v>-1000</v>
      </c>
      <c r="BY580" s="47">
        <f t="shared" si="1851"/>
        <v>-1000</v>
      </c>
      <c r="BZ580" s="47">
        <f t="shared" si="1851"/>
        <v>-1000</v>
      </c>
      <c r="CA580" s="47">
        <f t="shared" si="1851"/>
        <v>-1000</v>
      </c>
      <c r="CB580" s="47">
        <f t="shared" si="15"/>
        <v>-9950</v>
      </c>
      <c r="CC580" s="47">
        <f t="shared" ref="CC580:CQ580" si="1852">BC580-$BU580</f>
        <v>-1000</v>
      </c>
      <c r="CD580" s="47">
        <f t="shared" si="1852"/>
        <v>-1000</v>
      </c>
      <c r="CE580" s="47">
        <f t="shared" si="1852"/>
        <v>-1000</v>
      </c>
      <c r="CF580" s="47">
        <f t="shared" si="1852"/>
        <v>-1000</v>
      </c>
      <c r="CG580" s="47">
        <f t="shared" si="1852"/>
        <v>-1000</v>
      </c>
      <c r="CH580" s="47">
        <f t="shared" si="1852"/>
        <v>-1000</v>
      </c>
      <c r="CI580" s="47">
        <f t="shared" si="1852"/>
        <v>-1000</v>
      </c>
      <c r="CJ580" s="47">
        <f t="shared" si="1852"/>
        <v>-1000</v>
      </c>
      <c r="CK580" s="47">
        <f t="shared" si="1852"/>
        <v>-1000</v>
      </c>
      <c r="CL580" s="47">
        <f t="shared" si="1852"/>
        <v>-1000</v>
      </c>
      <c r="CM580" s="47">
        <f t="shared" si="1852"/>
        <v>-1000</v>
      </c>
      <c r="CN580" s="47">
        <f t="shared" si="1852"/>
        <v>-1000</v>
      </c>
      <c r="CO580" s="47">
        <f t="shared" si="1852"/>
        <v>-1000</v>
      </c>
      <c r="CP580" s="47">
        <f t="shared" si="1852"/>
        <v>-1000</v>
      </c>
      <c r="CQ580" s="47">
        <f t="shared" si="1852"/>
        <v>-1000</v>
      </c>
      <c r="CR580" s="47"/>
      <c r="CS580" s="47"/>
      <c r="CT580" s="47"/>
      <c r="CU580" s="50" t="str">
        <f>IFERROR(__xludf.DUMMYFUNCTION("""COMPUTED_VALUE"""),"6801 Valburn Dr.
Austin, TX 78731          ")</f>
        <v>6801 Valburn Dr.
Austin, TX 78731          </v>
      </c>
      <c r="CV580" s="51">
        <f>IFERROR(__xludf.DUMMYFUNCTION("IF(REGEXMATCH(UPPER(CU580), ""TX""),0,1)"),0.0)</f>
        <v>0</v>
      </c>
      <c r="CW580" s="51">
        <f>IFERROR(__xludf.DUMMYFUNCTION("IF(REGEXMATCH(UPPER(CU580), ""DALLAS""),0,1)"),1.0)</f>
        <v>1</v>
      </c>
      <c r="CX580" s="51">
        <f t="shared" si="17"/>
        <v>0</v>
      </c>
      <c r="CY580" s="51">
        <f t="shared" si="18"/>
        <v>1000</v>
      </c>
      <c r="CZ580" s="52" t="str">
        <f t="shared" si="19"/>
        <v>6801 Valburn Dr.
Austin, TX 78731          </v>
      </c>
      <c r="DA580" s="58"/>
      <c r="DB580" s="52"/>
      <c r="DC580" s="52"/>
      <c r="DD580" s="52"/>
      <c r="DE580" s="52"/>
      <c r="DF580" s="52"/>
      <c r="DG580" s="52"/>
      <c r="DH580" s="52"/>
      <c r="DI580" s="52"/>
      <c r="DJ580" s="52"/>
      <c r="DK580" s="52"/>
      <c r="DL580" s="52"/>
      <c r="DM580" s="52"/>
      <c r="DN580" s="52"/>
      <c r="DO580" s="52"/>
      <c r="DP580" s="52"/>
      <c r="DQ580" s="52"/>
      <c r="DR580" s="52"/>
      <c r="DS580" s="52"/>
      <c r="DT580" s="52"/>
      <c r="DU580" s="52"/>
      <c r="DV580" s="52"/>
      <c r="DW580" s="52"/>
    </row>
    <row r="581">
      <c r="A581" s="40" t="s">
        <v>55</v>
      </c>
      <c r="B581" s="41" t="s">
        <v>56</v>
      </c>
      <c r="C581" s="31" t="s">
        <v>345</v>
      </c>
      <c r="D581" s="25" t="str">
        <f>IFERROR(__xludf.DUMMYFUNCTION("SPLIT(C581,"" "")"),"Beane,")</f>
        <v>Beane,</v>
      </c>
      <c r="E581" s="40" t="str">
        <f>IFERROR(__xludf.DUMMYFUNCTION("""COMPUTED_VALUE"""),"Alan
12596")</f>
        <v>Alan
12596</v>
      </c>
      <c r="F581" s="40" t="str">
        <f>IFERROR(__xludf.DUMMYFUNCTION("""COMPUTED_VALUE"""),"Montego")</f>
        <v>Montego</v>
      </c>
      <c r="G581" s="40" t="str">
        <f>IFERROR(__xludf.DUMMYFUNCTION("""COMPUTED_VALUE"""),"Plaza
Dallas,")</f>
        <v>Plaza
Dallas,</v>
      </c>
      <c r="H581" s="40" t="str">
        <f>IFERROR(__xludf.DUMMYFUNCTION("""COMPUTED_VALUE"""),"TX")</f>
        <v>TX</v>
      </c>
      <c r="I581" s="40">
        <f>IFERROR(__xludf.DUMMYFUNCTION("""COMPUTED_VALUE"""),75230.0)</f>
        <v>75230</v>
      </c>
      <c r="J581" s="40"/>
      <c r="K581" s="40"/>
      <c r="L581" s="40"/>
      <c r="M581" s="40"/>
      <c r="N581" s="40"/>
      <c r="O581" s="40"/>
      <c r="P581" s="40"/>
      <c r="Q581" s="40"/>
      <c r="R581" s="40"/>
      <c r="S581" s="40"/>
      <c r="T581" s="40"/>
      <c r="U581" s="24" t="str">
        <f>IFERROR(__xludf.DUMMYFUNCTION("SPLIT(E581,""01234567890"")"),"Alan
")</f>
        <v>Alan
</v>
      </c>
      <c r="V581" s="24" t="str">
        <f>IFERROR(__xludf.DUMMYFUNCTION("SPLIT(D581,"","")"),"Beane")</f>
        <v>Beane</v>
      </c>
      <c r="W581" s="25" t="str">
        <f t="shared" si="1"/>
        <v>ALAN
 BEANE</v>
      </c>
      <c r="X581" s="25" t="s">
        <v>346</v>
      </c>
      <c r="Y581" s="25">
        <v>75230.0</v>
      </c>
      <c r="Z581" s="25" t="str">
        <f>IFERROR(__xludf.DUMMYFUNCTION("SPLIT(C581,""
"")"),"Beane, Alan")</f>
        <v>Beane, Alan</v>
      </c>
      <c r="AA581" s="25" t="str">
        <f>IFERROR(__xludf.DUMMYFUNCTION("""COMPUTED_VALUE"""),"12596 Montego Plaza")</f>
        <v>12596 Montego Plaza</v>
      </c>
      <c r="AB581" s="25" t="str">
        <f>IFERROR(__xludf.DUMMYFUNCTION("""COMPUTED_VALUE"""),"Dallas, TX 75230")</f>
        <v>Dallas, TX 75230</v>
      </c>
      <c r="AC581" s="24" t="s">
        <v>347</v>
      </c>
      <c r="AD581" s="25"/>
      <c r="AE581" s="25"/>
      <c r="AF581" s="25"/>
      <c r="AG581" s="40" t="s">
        <v>60</v>
      </c>
      <c r="AH581" s="42">
        <v>2448.0</v>
      </c>
      <c r="AI581" s="40" t="s">
        <v>61</v>
      </c>
      <c r="AJ581" s="27">
        <v>100.0</v>
      </c>
      <c r="AK581" s="31" t="s">
        <v>24</v>
      </c>
      <c r="AL581" s="43">
        <v>44722.0</v>
      </c>
      <c r="AM581" s="44">
        <v>44757.44018518519</v>
      </c>
      <c r="AN581" s="30">
        <v>2.0</v>
      </c>
      <c r="AO581" s="40"/>
      <c r="AP581" s="40"/>
      <c r="AQ581" s="40"/>
      <c r="AR581" s="40"/>
      <c r="AS581" s="40"/>
      <c r="AT581" s="47"/>
      <c r="AU581" s="40"/>
      <c r="AV581" s="46" t="str">
        <f>IFERROR(__xludf.DUMMYFUNCTION("""COMPUTED_VALUE"""),"Shirejian")</f>
        <v>Shirejian</v>
      </c>
      <c r="AW581" s="46">
        <f t="shared" si="7"/>
        <v>100</v>
      </c>
      <c r="AX581" s="47">
        <f t="shared" ref="AX581:BQ581" si="1853">SUMIFS($AJ:$AJ,$V:$V,$AV581,$AK:$AK,AX$2)</f>
        <v>0</v>
      </c>
      <c r="AY581" s="48">
        <f t="shared" si="1853"/>
        <v>0</v>
      </c>
      <c r="AZ581" s="48">
        <f t="shared" si="1853"/>
        <v>0</v>
      </c>
      <c r="BA581" s="48">
        <f t="shared" si="1853"/>
        <v>0</v>
      </c>
      <c r="BB581" s="48">
        <f t="shared" si="1853"/>
        <v>100</v>
      </c>
      <c r="BC581" s="48">
        <f t="shared" si="1853"/>
        <v>0</v>
      </c>
      <c r="BD581" s="48">
        <f t="shared" si="1853"/>
        <v>0</v>
      </c>
      <c r="BE581" s="48">
        <f t="shared" si="1853"/>
        <v>0</v>
      </c>
      <c r="BF581" s="48">
        <f t="shared" si="1853"/>
        <v>0</v>
      </c>
      <c r="BG581" s="48">
        <f t="shared" si="1853"/>
        <v>0</v>
      </c>
      <c r="BH581" s="48">
        <f t="shared" si="1853"/>
        <v>0</v>
      </c>
      <c r="BI581" s="48">
        <f t="shared" si="1853"/>
        <v>0</v>
      </c>
      <c r="BJ581" s="48">
        <f t="shared" si="1853"/>
        <v>0</v>
      </c>
      <c r="BK581" s="48">
        <f t="shared" si="1853"/>
        <v>0</v>
      </c>
      <c r="BL581" s="48">
        <f t="shared" si="1853"/>
        <v>0</v>
      </c>
      <c r="BM581" s="48">
        <f t="shared" si="1853"/>
        <v>0</v>
      </c>
      <c r="BN581" s="48">
        <f t="shared" si="1853"/>
        <v>0</v>
      </c>
      <c r="BO581" s="48">
        <f t="shared" si="1853"/>
        <v>0</v>
      </c>
      <c r="BP581" s="48">
        <f t="shared" si="1853"/>
        <v>0</v>
      </c>
      <c r="BQ581" s="48">
        <f t="shared" si="1853"/>
        <v>0</v>
      </c>
      <c r="BR581" s="36">
        <f t="shared" si="9"/>
        <v>0</v>
      </c>
      <c r="BS581" s="38">
        <f t="shared" si="10"/>
        <v>1</v>
      </c>
      <c r="BT581" s="49">
        <f t="shared" si="11"/>
        <v>0</v>
      </c>
      <c r="BU581" s="38">
        <f t="shared" si="12"/>
        <v>1000</v>
      </c>
      <c r="BV581" s="46" t="str">
        <f>IFERROR(__xludf.DUMMYFUNCTION("""COMPUTED_VALUE"""),"Shirejian")</f>
        <v>Shirejian</v>
      </c>
      <c r="BW581" s="46">
        <f t="shared" si="13"/>
        <v>100</v>
      </c>
      <c r="BX581" s="47">
        <f t="shared" ref="BX581:CA581" si="1854">AX581-$BU581</f>
        <v>-1000</v>
      </c>
      <c r="BY581" s="47">
        <f t="shared" si="1854"/>
        <v>-1000</v>
      </c>
      <c r="BZ581" s="47">
        <f t="shared" si="1854"/>
        <v>-1000</v>
      </c>
      <c r="CA581" s="47">
        <f t="shared" si="1854"/>
        <v>-1000</v>
      </c>
      <c r="CB581" s="47">
        <f t="shared" si="15"/>
        <v>-9900</v>
      </c>
      <c r="CC581" s="47">
        <f t="shared" ref="CC581:CQ581" si="1855">BC581-$BU581</f>
        <v>-1000</v>
      </c>
      <c r="CD581" s="47">
        <f t="shared" si="1855"/>
        <v>-1000</v>
      </c>
      <c r="CE581" s="47">
        <f t="shared" si="1855"/>
        <v>-1000</v>
      </c>
      <c r="CF581" s="47">
        <f t="shared" si="1855"/>
        <v>-1000</v>
      </c>
      <c r="CG581" s="47">
        <f t="shared" si="1855"/>
        <v>-1000</v>
      </c>
      <c r="CH581" s="47">
        <f t="shared" si="1855"/>
        <v>-1000</v>
      </c>
      <c r="CI581" s="47">
        <f t="shared" si="1855"/>
        <v>-1000</v>
      </c>
      <c r="CJ581" s="47">
        <f t="shared" si="1855"/>
        <v>-1000</v>
      </c>
      <c r="CK581" s="47">
        <f t="shared" si="1855"/>
        <v>-1000</v>
      </c>
      <c r="CL581" s="47">
        <f t="shared" si="1855"/>
        <v>-1000</v>
      </c>
      <c r="CM581" s="47">
        <f t="shared" si="1855"/>
        <v>-1000</v>
      </c>
      <c r="CN581" s="47">
        <f t="shared" si="1855"/>
        <v>-1000</v>
      </c>
      <c r="CO581" s="47">
        <f t="shared" si="1855"/>
        <v>-1000</v>
      </c>
      <c r="CP581" s="47">
        <f t="shared" si="1855"/>
        <v>-1000</v>
      </c>
      <c r="CQ581" s="47">
        <f t="shared" si="1855"/>
        <v>-1000</v>
      </c>
      <c r="CR581" s="47"/>
      <c r="CS581" s="47"/>
      <c r="CT581" s="47"/>
      <c r="CU581" s="50" t="str">
        <f>IFERROR(__xludf.DUMMYFUNCTION("""COMPUTED_VALUE"""),"2200 Ross Avenue
Dallas, TX 75201          ")</f>
        <v>2200 Ross Avenue
Dallas, TX 75201          </v>
      </c>
      <c r="CV581" s="51">
        <f>IFERROR(__xludf.DUMMYFUNCTION("IF(REGEXMATCH(UPPER(CU581), ""TX""),0,1)"),0.0)</f>
        <v>0</v>
      </c>
      <c r="CW581" s="51">
        <f>IFERROR(__xludf.DUMMYFUNCTION("IF(REGEXMATCH(UPPER(CU581), ""DALLAS""),0,1)"),0.0)</f>
        <v>0</v>
      </c>
      <c r="CX581" s="51">
        <f t="shared" si="17"/>
        <v>0</v>
      </c>
      <c r="CY581" s="51">
        <f t="shared" si="18"/>
        <v>0</v>
      </c>
      <c r="CZ581" s="52" t="str">
        <f t="shared" si="19"/>
        <v/>
      </c>
      <c r="DA581" s="58"/>
      <c r="DB581" s="52"/>
      <c r="DC581" s="52"/>
      <c r="DD581" s="52"/>
      <c r="DE581" s="52"/>
      <c r="DF581" s="52"/>
      <c r="DG581" s="52"/>
      <c r="DH581" s="52"/>
      <c r="DI581" s="52"/>
      <c r="DJ581" s="52"/>
      <c r="DK581" s="52"/>
      <c r="DL581" s="52"/>
      <c r="DM581" s="52"/>
      <c r="DN581" s="52"/>
      <c r="DO581" s="52"/>
      <c r="DP581" s="52"/>
      <c r="DQ581" s="52"/>
      <c r="DR581" s="52"/>
      <c r="DS581" s="52"/>
      <c r="DT581" s="52"/>
      <c r="DU581" s="52"/>
      <c r="DV581" s="52"/>
      <c r="DW581" s="52"/>
    </row>
    <row r="582">
      <c r="A582" s="22" t="s">
        <v>55</v>
      </c>
      <c r="B582" s="23" t="s">
        <v>56</v>
      </c>
      <c r="C582" s="31" t="s">
        <v>1566</v>
      </c>
      <c r="D582" s="25" t="str">
        <f>IFERROR(__xludf.DUMMYFUNCTION("SPLIT(C582,"" "")"),"Hawkins,")</f>
        <v>Hawkins,</v>
      </c>
      <c r="E582" s="22" t="str">
        <f>IFERROR(__xludf.DUMMYFUNCTION("""COMPUTED_VALUE"""),"Marquis
123")</f>
        <v>Marquis
123</v>
      </c>
      <c r="F582" s="22" t="str">
        <f>IFERROR(__xludf.DUMMYFUNCTION("""COMPUTED_VALUE"""),"E.")</f>
        <v>E.</v>
      </c>
      <c r="G582" s="22" t="str">
        <f>IFERROR(__xludf.DUMMYFUNCTION("""COMPUTED_VALUE"""),"Woodin")</f>
        <v>Woodin</v>
      </c>
      <c r="H582" s="22" t="str">
        <f>IFERROR(__xludf.DUMMYFUNCTION("""COMPUTED_VALUE"""),"Blvd
Dallas,")</f>
        <v>Blvd
Dallas,</v>
      </c>
      <c r="I582" s="22" t="str">
        <f>IFERROR(__xludf.DUMMYFUNCTION("""COMPUTED_VALUE"""),"TX")</f>
        <v>TX</v>
      </c>
      <c r="J582" s="22">
        <f>IFERROR(__xludf.DUMMYFUNCTION("""COMPUTED_VALUE"""),75216.0)</f>
        <v>75216</v>
      </c>
      <c r="K582" s="22"/>
      <c r="L582" s="22"/>
      <c r="M582" s="22"/>
      <c r="N582" s="22"/>
      <c r="O582" s="22"/>
      <c r="P582" s="22"/>
      <c r="Q582" s="22"/>
      <c r="R582" s="22"/>
      <c r="S582" s="22"/>
      <c r="T582" s="22"/>
      <c r="U582" s="24" t="str">
        <f>IFERROR(__xludf.DUMMYFUNCTION("SPLIT(E582,""01234567890"")"),"Marquis
")</f>
        <v>Marquis
</v>
      </c>
      <c r="V582" s="24" t="str">
        <f>IFERROR(__xludf.DUMMYFUNCTION("SPLIT(D582,"","")"),"Hawkins")</f>
        <v>Hawkins</v>
      </c>
      <c r="W582" s="25" t="str">
        <f t="shared" si="1"/>
        <v>MARQUIS
 HAWKINS</v>
      </c>
      <c r="X582" s="25" t="s">
        <v>1567</v>
      </c>
      <c r="Y582" s="25">
        <v>75216.0</v>
      </c>
      <c r="Z582" s="25" t="str">
        <f>IFERROR(__xludf.DUMMYFUNCTION("SPLIT(C582,""
"")"),"Hawkins, Marquis")</f>
        <v>Hawkins, Marquis</v>
      </c>
      <c r="AA582" s="25" t="str">
        <f>IFERROR(__xludf.DUMMYFUNCTION("""COMPUTED_VALUE"""),"123 E. Woodin Blvd")</f>
        <v>123 E. Woodin Blvd</v>
      </c>
      <c r="AB582" s="25" t="str">
        <f>IFERROR(__xludf.DUMMYFUNCTION("""COMPUTED_VALUE"""),"Dallas, TX 75216")</f>
        <v>Dallas, TX 75216</v>
      </c>
      <c r="AC582" s="24" t="s">
        <v>1568</v>
      </c>
      <c r="AD582" s="25"/>
      <c r="AE582" s="25"/>
      <c r="AF582" s="25"/>
      <c r="AG582" s="22" t="s">
        <v>60</v>
      </c>
      <c r="AH582" s="54">
        <v>2448.0</v>
      </c>
      <c r="AI582" s="22" t="s">
        <v>61</v>
      </c>
      <c r="AJ582" s="27">
        <v>100.0</v>
      </c>
      <c r="AK582" s="31" t="s">
        <v>24</v>
      </c>
      <c r="AL582" s="28">
        <v>44722.0</v>
      </c>
      <c r="AM582" s="29">
        <v>44757.44018518519</v>
      </c>
      <c r="AN582" s="30">
        <v>2.0</v>
      </c>
      <c r="AO582" s="22"/>
      <c r="AP582" s="22"/>
      <c r="AQ582" s="22"/>
      <c r="AR582" s="22"/>
      <c r="AS582" s="22"/>
      <c r="AT582" s="70"/>
      <c r="AU582" s="22"/>
      <c r="AV582" s="57" t="str">
        <f>IFERROR(__xludf.DUMMYFUNCTION("""COMPUTED_VALUE"""),"Toney")</f>
        <v>Toney</v>
      </c>
      <c r="AW582" s="46">
        <f t="shared" si="7"/>
        <v>250</v>
      </c>
      <c r="AX582" s="47">
        <f t="shared" ref="AX582:BQ582" si="1856">SUMIFS($AJ:$AJ,$V:$V,$AV582,$AK:$AK,AX$2)</f>
        <v>0</v>
      </c>
      <c r="AY582" s="48">
        <f t="shared" si="1856"/>
        <v>0</v>
      </c>
      <c r="AZ582" s="48">
        <f t="shared" si="1856"/>
        <v>0</v>
      </c>
      <c r="BA582" s="48">
        <f t="shared" si="1856"/>
        <v>0</v>
      </c>
      <c r="BB582" s="48">
        <f t="shared" si="1856"/>
        <v>250</v>
      </c>
      <c r="BC582" s="48">
        <f t="shared" si="1856"/>
        <v>0</v>
      </c>
      <c r="BD582" s="48">
        <f t="shared" si="1856"/>
        <v>0</v>
      </c>
      <c r="BE582" s="48">
        <f t="shared" si="1856"/>
        <v>0</v>
      </c>
      <c r="BF582" s="48">
        <f t="shared" si="1856"/>
        <v>0</v>
      </c>
      <c r="BG582" s="48">
        <f t="shared" si="1856"/>
        <v>0</v>
      </c>
      <c r="BH582" s="48">
        <f t="shared" si="1856"/>
        <v>0</v>
      </c>
      <c r="BI582" s="48">
        <f t="shared" si="1856"/>
        <v>0</v>
      </c>
      <c r="BJ582" s="48">
        <f t="shared" si="1856"/>
        <v>0</v>
      </c>
      <c r="BK582" s="48">
        <f t="shared" si="1856"/>
        <v>0</v>
      </c>
      <c r="BL582" s="48">
        <f t="shared" si="1856"/>
        <v>0</v>
      </c>
      <c r="BM582" s="48">
        <f t="shared" si="1856"/>
        <v>0</v>
      </c>
      <c r="BN582" s="48">
        <f t="shared" si="1856"/>
        <v>0</v>
      </c>
      <c r="BO582" s="48">
        <f t="shared" si="1856"/>
        <v>0</v>
      </c>
      <c r="BP582" s="48">
        <f t="shared" si="1856"/>
        <v>0</v>
      </c>
      <c r="BQ582" s="48">
        <f t="shared" si="1856"/>
        <v>0</v>
      </c>
      <c r="BR582" s="36">
        <f t="shared" si="9"/>
        <v>0</v>
      </c>
      <c r="BS582" s="38">
        <f t="shared" si="10"/>
        <v>1</v>
      </c>
      <c r="BT582" s="49">
        <f t="shared" si="11"/>
        <v>0</v>
      </c>
      <c r="BU582" s="38">
        <f t="shared" si="12"/>
        <v>1000</v>
      </c>
      <c r="BV582" s="57" t="str">
        <f>IFERROR(__xludf.DUMMYFUNCTION("""COMPUTED_VALUE"""),"Toney")</f>
        <v>Toney</v>
      </c>
      <c r="BW582" s="46">
        <f t="shared" si="13"/>
        <v>250</v>
      </c>
      <c r="BX582" s="47">
        <f t="shared" ref="BX582:CA582" si="1857">AX582-$BU582</f>
        <v>-1000</v>
      </c>
      <c r="BY582" s="47">
        <f t="shared" si="1857"/>
        <v>-1000</v>
      </c>
      <c r="BZ582" s="47">
        <f t="shared" si="1857"/>
        <v>-1000</v>
      </c>
      <c r="CA582" s="47">
        <f t="shared" si="1857"/>
        <v>-1000</v>
      </c>
      <c r="CB582" s="47">
        <f t="shared" si="15"/>
        <v>-9750</v>
      </c>
      <c r="CC582" s="47">
        <f t="shared" ref="CC582:CQ582" si="1858">BC582-$BU582</f>
        <v>-1000</v>
      </c>
      <c r="CD582" s="47">
        <f t="shared" si="1858"/>
        <v>-1000</v>
      </c>
      <c r="CE582" s="47">
        <f t="shared" si="1858"/>
        <v>-1000</v>
      </c>
      <c r="CF582" s="47">
        <f t="shared" si="1858"/>
        <v>-1000</v>
      </c>
      <c r="CG582" s="47">
        <f t="shared" si="1858"/>
        <v>-1000</v>
      </c>
      <c r="CH582" s="47">
        <f t="shared" si="1858"/>
        <v>-1000</v>
      </c>
      <c r="CI582" s="47">
        <f t="shared" si="1858"/>
        <v>-1000</v>
      </c>
      <c r="CJ582" s="47">
        <f t="shared" si="1858"/>
        <v>-1000</v>
      </c>
      <c r="CK582" s="47">
        <f t="shared" si="1858"/>
        <v>-1000</v>
      </c>
      <c r="CL582" s="47">
        <f t="shared" si="1858"/>
        <v>-1000</v>
      </c>
      <c r="CM582" s="47">
        <f t="shared" si="1858"/>
        <v>-1000</v>
      </c>
      <c r="CN582" s="47">
        <f t="shared" si="1858"/>
        <v>-1000</v>
      </c>
      <c r="CO582" s="47">
        <f t="shared" si="1858"/>
        <v>-1000</v>
      </c>
      <c r="CP582" s="47">
        <f t="shared" si="1858"/>
        <v>-1000</v>
      </c>
      <c r="CQ582" s="47">
        <f t="shared" si="1858"/>
        <v>-1000</v>
      </c>
      <c r="CR582" s="47"/>
      <c r="CS582" s="47"/>
      <c r="CT582" s="47"/>
      <c r="CU582" s="50" t="str">
        <f>IFERROR(__xludf.DUMMYFUNCTION("""COMPUTED_VALUE"""),"9432 Brentgate
Dallas, TX 75238           ")</f>
        <v>9432 Brentgate
Dallas, TX 75238           </v>
      </c>
      <c r="CV582" s="51">
        <f>IFERROR(__xludf.DUMMYFUNCTION("IF(REGEXMATCH(UPPER(CU582), ""TX""),0,1)"),0.0)</f>
        <v>0</v>
      </c>
      <c r="CW582" s="51">
        <f>IFERROR(__xludf.DUMMYFUNCTION("IF(REGEXMATCH(UPPER(CU582), ""DALLAS""),0,1)"),0.0)</f>
        <v>0</v>
      </c>
      <c r="CX582" s="51">
        <f t="shared" si="17"/>
        <v>0</v>
      </c>
      <c r="CY582" s="51">
        <f t="shared" si="18"/>
        <v>0</v>
      </c>
      <c r="CZ582" s="52" t="str">
        <f t="shared" si="19"/>
        <v/>
      </c>
      <c r="DA582" s="58"/>
      <c r="DB582" s="52"/>
      <c r="DC582" s="52"/>
      <c r="DD582" s="52"/>
      <c r="DE582" s="52"/>
      <c r="DF582" s="52"/>
      <c r="DG582" s="52"/>
      <c r="DH582" s="52"/>
      <c r="DI582" s="52"/>
      <c r="DJ582" s="52"/>
      <c r="DK582" s="52"/>
      <c r="DL582" s="52"/>
      <c r="DM582" s="52"/>
      <c r="DN582" s="52"/>
      <c r="DO582" s="52"/>
      <c r="DP582" s="52"/>
      <c r="DQ582" s="52"/>
      <c r="DR582" s="52"/>
      <c r="DS582" s="52"/>
      <c r="DT582" s="52"/>
      <c r="DU582" s="52"/>
      <c r="DV582" s="52"/>
      <c r="DW582" s="52"/>
    </row>
    <row r="583">
      <c r="A583" s="40" t="s">
        <v>55</v>
      </c>
      <c r="B583" s="41" t="s">
        <v>56</v>
      </c>
      <c r="C583" s="31" t="s">
        <v>1569</v>
      </c>
      <c r="D583" s="25" t="str">
        <f>IFERROR(__xludf.DUMMYFUNCTION("SPLIT(C583,"" "")"),"Kirk,")</f>
        <v>Kirk,</v>
      </c>
      <c r="E583" s="40" t="str">
        <f>IFERROR(__xludf.DUMMYFUNCTION("""COMPUTED_VALUE"""),"Ronald
6342")</f>
        <v>Ronald
6342</v>
      </c>
      <c r="F583" s="40" t="str">
        <f>IFERROR(__xludf.DUMMYFUNCTION("""COMPUTED_VALUE"""),"Mercedes")</f>
        <v>Mercedes</v>
      </c>
      <c r="G583" s="40" t="str">
        <f>IFERROR(__xludf.DUMMYFUNCTION("""COMPUTED_VALUE"""),"Ave
Dallas,")</f>
        <v>Ave
Dallas,</v>
      </c>
      <c r="H583" s="40" t="str">
        <f>IFERROR(__xludf.DUMMYFUNCTION("""COMPUTED_VALUE"""),"TX")</f>
        <v>TX</v>
      </c>
      <c r="I583" s="40">
        <f>IFERROR(__xludf.DUMMYFUNCTION("""COMPUTED_VALUE"""),75214.0)</f>
        <v>75214</v>
      </c>
      <c r="J583" s="40"/>
      <c r="K583" s="40"/>
      <c r="L583" s="40"/>
      <c r="M583" s="40"/>
      <c r="N583" s="40"/>
      <c r="O583" s="40"/>
      <c r="P583" s="40"/>
      <c r="Q583" s="40"/>
      <c r="R583" s="40"/>
      <c r="S583" s="40"/>
      <c r="T583" s="40"/>
      <c r="U583" s="24" t="str">
        <f>IFERROR(__xludf.DUMMYFUNCTION("SPLIT(E583,""01234567890"")"),"Ronald
")</f>
        <v>Ronald
</v>
      </c>
      <c r="V583" s="24" t="str">
        <f>IFERROR(__xludf.DUMMYFUNCTION("SPLIT(D583,"","")"),"Kirk")</f>
        <v>Kirk</v>
      </c>
      <c r="W583" s="25" t="str">
        <f t="shared" si="1"/>
        <v>RONALD
 KIRK</v>
      </c>
      <c r="X583" s="25" t="s">
        <v>1570</v>
      </c>
      <c r="Y583" s="25">
        <v>75214.0</v>
      </c>
      <c r="Z583" s="25" t="str">
        <f>IFERROR(__xludf.DUMMYFUNCTION("SPLIT(C583,""
"")"),"Kirk, Ronald")</f>
        <v>Kirk, Ronald</v>
      </c>
      <c r="AA583" s="25" t="str">
        <f>IFERROR(__xludf.DUMMYFUNCTION("""COMPUTED_VALUE"""),"6342 Mercedes Ave")</f>
        <v>6342 Mercedes Ave</v>
      </c>
      <c r="AB583" s="25" t="str">
        <f>IFERROR(__xludf.DUMMYFUNCTION("""COMPUTED_VALUE"""),"Dallas, TX 75214")</f>
        <v>Dallas, TX 75214</v>
      </c>
      <c r="AC583" s="24" t="s">
        <v>1571</v>
      </c>
      <c r="AD583" s="25"/>
      <c r="AE583" s="25"/>
      <c r="AF583" s="25"/>
      <c r="AG583" s="40" t="s">
        <v>60</v>
      </c>
      <c r="AH583" s="42">
        <v>2448.0</v>
      </c>
      <c r="AI583" s="40" t="s">
        <v>61</v>
      </c>
      <c r="AJ583" s="27">
        <v>250.0</v>
      </c>
      <c r="AK583" s="31" t="s">
        <v>24</v>
      </c>
      <c r="AL583" s="43">
        <v>44722.0</v>
      </c>
      <c r="AM583" s="44">
        <v>44757.44018518519</v>
      </c>
      <c r="AN583" s="30">
        <v>2.0</v>
      </c>
      <c r="AO583" s="40"/>
      <c r="AP583" s="40"/>
      <c r="AQ583" s="40"/>
      <c r="AR583" s="40"/>
      <c r="AS583" s="40"/>
      <c r="AT583" s="47"/>
      <c r="AU583" s="40"/>
      <c r="AV583" s="46" t="str">
        <f>IFERROR(__xludf.DUMMYFUNCTION("""COMPUTED_VALUE"""),"Starling")</f>
        <v>Starling</v>
      </c>
      <c r="AW583" s="46">
        <f t="shared" si="7"/>
        <v>10</v>
      </c>
      <c r="AX583" s="47">
        <f t="shared" ref="AX583:BQ583" si="1859">SUMIFS($AJ:$AJ,$V:$V,$AV583,$AK:$AK,AX$2)</f>
        <v>0</v>
      </c>
      <c r="AY583" s="48">
        <f t="shared" si="1859"/>
        <v>0</v>
      </c>
      <c r="AZ583" s="48">
        <f t="shared" si="1859"/>
        <v>0</v>
      </c>
      <c r="BA583" s="48">
        <f t="shared" si="1859"/>
        <v>0</v>
      </c>
      <c r="BB583" s="48">
        <f t="shared" si="1859"/>
        <v>10</v>
      </c>
      <c r="BC583" s="48">
        <f t="shared" si="1859"/>
        <v>0</v>
      </c>
      <c r="BD583" s="48">
        <f t="shared" si="1859"/>
        <v>0</v>
      </c>
      <c r="BE583" s="48">
        <f t="shared" si="1859"/>
        <v>0</v>
      </c>
      <c r="BF583" s="48">
        <f t="shared" si="1859"/>
        <v>0</v>
      </c>
      <c r="BG583" s="48">
        <f t="shared" si="1859"/>
        <v>0</v>
      </c>
      <c r="BH583" s="48">
        <f t="shared" si="1859"/>
        <v>0</v>
      </c>
      <c r="BI583" s="48">
        <f t="shared" si="1859"/>
        <v>0</v>
      </c>
      <c r="BJ583" s="48">
        <f t="shared" si="1859"/>
        <v>0</v>
      </c>
      <c r="BK583" s="48">
        <f t="shared" si="1859"/>
        <v>0</v>
      </c>
      <c r="BL583" s="48">
        <f t="shared" si="1859"/>
        <v>0</v>
      </c>
      <c r="BM583" s="48">
        <f t="shared" si="1859"/>
        <v>0</v>
      </c>
      <c r="BN583" s="48">
        <f t="shared" si="1859"/>
        <v>0</v>
      </c>
      <c r="BO583" s="48">
        <f t="shared" si="1859"/>
        <v>0</v>
      </c>
      <c r="BP583" s="48">
        <f t="shared" si="1859"/>
        <v>0</v>
      </c>
      <c r="BQ583" s="48">
        <f t="shared" si="1859"/>
        <v>0</v>
      </c>
      <c r="BR583" s="36">
        <f t="shared" si="9"/>
        <v>0</v>
      </c>
      <c r="BS583" s="38">
        <f t="shared" si="10"/>
        <v>1</v>
      </c>
      <c r="BT583" s="49">
        <f t="shared" si="11"/>
        <v>0</v>
      </c>
      <c r="BU583" s="38">
        <f t="shared" si="12"/>
        <v>1000</v>
      </c>
      <c r="BV583" s="46" t="str">
        <f>IFERROR(__xludf.DUMMYFUNCTION("""COMPUTED_VALUE"""),"Starling")</f>
        <v>Starling</v>
      </c>
      <c r="BW583" s="46">
        <f t="shared" si="13"/>
        <v>10</v>
      </c>
      <c r="BX583" s="47">
        <f t="shared" ref="BX583:CA583" si="1860">AX583-$BU583</f>
        <v>-1000</v>
      </c>
      <c r="BY583" s="47">
        <f t="shared" si="1860"/>
        <v>-1000</v>
      </c>
      <c r="BZ583" s="47">
        <f t="shared" si="1860"/>
        <v>-1000</v>
      </c>
      <c r="CA583" s="47">
        <f t="shared" si="1860"/>
        <v>-1000</v>
      </c>
      <c r="CB583" s="47">
        <f t="shared" si="15"/>
        <v>-9990</v>
      </c>
      <c r="CC583" s="47">
        <f t="shared" ref="CC583:CQ583" si="1861">BC583-$BU583</f>
        <v>-1000</v>
      </c>
      <c r="CD583" s="47">
        <f t="shared" si="1861"/>
        <v>-1000</v>
      </c>
      <c r="CE583" s="47">
        <f t="shared" si="1861"/>
        <v>-1000</v>
      </c>
      <c r="CF583" s="47">
        <f t="shared" si="1861"/>
        <v>-1000</v>
      </c>
      <c r="CG583" s="47">
        <f t="shared" si="1861"/>
        <v>-1000</v>
      </c>
      <c r="CH583" s="47">
        <f t="shared" si="1861"/>
        <v>-1000</v>
      </c>
      <c r="CI583" s="47">
        <f t="shared" si="1861"/>
        <v>-1000</v>
      </c>
      <c r="CJ583" s="47">
        <f t="shared" si="1861"/>
        <v>-1000</v>
      </c>
      <c r="CK583" s="47">
        <f t="shared" si="1861"/>
        <v>-1000</v>
      </c>
      <c r="CL583" s="47">
        <f t="shared" si="1861"/>
        <v>-1000</v>
      </c>
      <c r="CM583" s="47">
        <f t="shared" si="1861"/>
        <v>-1000</v>
      </c>
      <c r="CN583" s="47">
        <f t="shared" si="1861"/>
        <v>-1000</v>
      </c>
      <c r="CO583" s="47">
        <f t="shared" si="1861"/>
        <v>-1000</v>
      </c>
      <c r="CP583" s="47">
        <f t="shared" si="1861"/>
        <v>-1000</v>
      </c>
      <c r="CQ583" s="47">
        <f t="shared" si="1861"/>
        <v>-1000</v>
      </c>
      <c r="CR583" s="47"/>
      <c r="CS583" s="47"/>
      <c r="CT583" s="47"/>
      <c r="CU583" s="50" t="str">
        <f>IFERROR(__xludf.DUMMYFUNCTION("""COMPUTED_VALUE"""),"10140 Ferndale
Dallas, TX 75238           ")</f>
        <v>10140 Ferndale
Dallas, TX 75238           </v>
      </c>
      <c r="CV583" s="51">
        <f>IFERROR(__xludf.DUMMYFUNCTION("IF(REGEXMATCH(UPPER(CU583), ""TX""),0,1)"),0.0)</f>
        <v>0</v>
      </c>
      <c r="CW583" s="51">
        <f>IFERROR(__xludf.DUMMYFUNCTION("IF(REGEXMATCH(UPPER(CU583), ""DALLAS""),0,1)"),0.0)</f>
        <v>0</v>
      </c>
      <c r="CX583" s="51">
        <f t="shared" si="17"/>
        <v>0</v>
      </c>
      <c r="CY583" s="51">
        <f t="shared" si="18"/>
        <v>0</v>
      </c>
      <c r="CZ583" s="52" t="str">
        <f t="shared" si="19"/>
        <v/>
      </c>
      <c r="DA583" s="58"/>
      <c r="DB583" s="52"/>
      <c r="DC583" s="52"/>
      <c r="DD583" s="52"/>
      <c r="DE583" s="52"/>
      <c r="DF583" s="52"/>
      <c r="DG583" s="52"/>
      <c r="DH583" s="52"/>
      <c r="DI583" s="52"/>
      <c r="DJ583" s="52"/>
      <c r="DK583" s="52"/>
      <c r="DL583" s="52"/>
      <c r="DM583" s="52"/>
      <c r="DN583" s="52"/>
      <c r="DO583" s="52"/>
      <c r="DP583" s="52"/>
      <c r="DQ583" s="52"/>
      <c r="DR583" s="52"/>
      <c r="DS583" s="52"/>
      <c r="DT583" s="52"/>
      <c r="DU583" s="52"/>
      <c r="DV583" s="52"/>
      <c r="DW583" s="52"/>
    </row>
    <row r="584">
      <c r="A584" s="22" t="s">
        <v>55</v>
      </c>
      <c r="B584" s="23" t="s">
        <v>56</v>
      </c>
      <c r="C584" s="31" t="s">
        <v>1572</v>
      </c>
      <c r="D584" s="25" t="str">
        <f>IFERROR(__xludf.DUMMYFUNCTION("SPLIT(C584,"" "")"),"Montgomery,")</f>
        <v>Montgomery,</v>
      </c>
      <c r="E584" s="22" t="str">
        <f>IFERROR(__xludf.DUMMYFUNCTION("""COMPUTED_VALUE"""),"Ken
6951")</f>
        <v>Ken
6951</v>
      </c>
      <c r="F584" s="22" t="str">
        <f>IFERROR(__xludf.DUMMYFUNCTION("""COMPUTED_VALUE"""),"Wakefield")</f>
        <v>Wakefield</v>
      </c>
      <c r="G584" s="22" t="str">
        <f>IFERROR(__xludf.DUMMYFUNCTION("""COMPUTED_VALUE"""),"St.
Dallas,")</f>
        <v>St.
Dallas,</v>
      </c>
      <c r="H584" s="22" t="str">
        <f>IFERROR(__xludf.DUMMYFUNCTION("""COMPUTED_VALUE"""),"TX")</f>
        <v>TX</v>
      </c>
      <c r="I584" s="22">
        <f>IFERROR(__xludf.DUMMYFUNCTION("""COMPUTED_VALUE"""),75231.0)</f>
        <v>75231</v>
      </c>
      <c r="J584" s="22"/>
      <c r="K584" s="22"/>
      <c r="L584" s="22"/>
      <c r="M584" s="22"/>
      <c r="N584" s="22"/>
      <c r="O584" s="22"/>
      <c r="P584" s="22"/>
      <c r="Q584" s="22"/>
      <c r="R584" s="22"/>
      <c r="S584" s="22"/>
      <c r="T584" s="22"/>
      <c r="U584" s="24" t="str">
        <f>IFERROR(__xludf.DUMMYFUNCTION("SPLIT(E584,""01234567890"")"),"Ken
")</f>
        <v>Ken
</v>
      </c>
      <c r="V584" s="24" t="str">
        <f>IFERROR(__xludf.DUMMYFUNCTION("SPLIT(D584,"","")"),"Montgomery")</f>
        <v>Montgomery</v>
      </c>
      <c r="W584" s="25" t="str">
        <f t="shared" si="1"/>
        <v>KEN
 MONTGOMERY</v>
      </c>
      <c r="X584" s="25" t="s">
        <v>1573</v>
      </c>
      <c r="Y584" s="25">
        <v>75231.0</v>
      </c>
      <c r="Z584" s="25" t="str">
        <f>IFERROR(__xludf.DUMMYFUNCTION("SPLIT(C584,""
"")"),"Montgomery, Ken")</f>
        <v>Montgomery, Ken</v>
      </c>
      <c r="AA584" s="25" t="str">
        <f>IFERROR(__xludf.DUMMYFUNCTION("""COMPUTED_VALUE"""),"6951 Wakefield St.")</f>
        <v>6951 Wakefield St.</v>
      </c>
      <c r="AB584" s="25" t="str">
        <f>IFERROR(__xludf.DUMMYFUNCTION("""COMPUTED_VALUE"""),"Dallas, TX 75231")</f>
        <v>Dallas, TX 75231</v>
      </c>
      <c r="AC584" s="24" t="s">
        <v>1574</v>
      </c>
      <c r="AD584" s="25"/>
      <c r="AE584" s="25"/>
      <c r="AF584" s="25"/>
      <c r="AG584" s="22" t="s">
        <v>60</v>
      </c>
      <c r="AH584" s="54">
        <v>2448.0</v>
      </c>
      <c r="AI584" s="22" t="s">
        <v>61</v>
      </c>
      <c r="AJ584" s="27">
        <v>100.0</v>
      </c>
      <c r="AK584" s="31" t="s">
        <v>24</v>
      </c>
      <c r="AL584" s="28">
        <v>44722.0</v>
      </c>
      <c r="AM584" s="29">
        <v>44757.44018518519</v>
      </c>
      <c r="AN584" s="30">
        <v>2.0</v>
      </c>
      <c r="AO584" s="22"/>
      <c r="AP584" s="22"/>
      <c r="AQ584" s="22"/>
      <c r="AR584" s="22"/>
      <c r="AS584" s="22"/>
      <c r="AT584" s="70"/>
      <c r="AU584" s="22"/>
      <c r="AV584" s="57" t="str">
        <f>IFERROR(__xludf.DUMMYFUNCTION("""COMPUTED_VALUE"""),"Kazora")</f>
        <v>Kazora</v>
      </c>
      <c r="AW584" s="46">
        <f t="shared" si="7"/>
        <v>1000</v>
      </c>
      <c r="AX584" s="47">
        <f t="shared" ref="AX584:BQ584" si="1862">SUMIFS($AJ:$AJ,$V:$V,$AV584,$AK:$AK,AX$2)</f>
        <v>0</v>
      </c>
      <c r="AY584" s="48">
        <f t="shared" si="1862"/>
        <v>0</v>
      </c>
      <c r="AZ584" s="48">
        <f t="shared" si="1862"/>
        <v>0</v>
      </c>
      <c r="BA584" s="48">
        <f t="shared" si="1862"/>
        <v>0</v>
      </c>
      <c r="BB584" s="48">
        <f t="shared" si="1862"/>
        <v>1000</v>
      </c>
      <c r="BC584" s="48">
        <f t="shared" si="1862"/>
        <v>0</v>
      </c>
      <c r="BD584" s="48">
        <f t="shared" si="1862"/>
        <v>0</v>
      </c>
      <c r="BE584" s="48">
        <f t="shared" si="1862"/>
        <v>0</v>
      </c>
      <c r="BF584" s="48">
        <f t="shared" si="1862"/>
        <v>0</v>
      </c>
      <c r="BG584" s="48">
        <f t="shared" si="1862"/>
        <v>0</v>
      </c>
      <c r="BH584" s="48">
        <f t="shared" si="1862"/>
        <v>0</v>
      </c>
      <c r="BI584" s="48">
        <f t="shared" si="1862"/>
        <v>0</v>
      </c>
      <c r="BJ584" s="48">
        <f t="shared" si="1862"/>
        <v>0</v>
      </c>
      <c r="BK584" s="48">
        <f t="shared" si="1862"/>
        <v>0</v>
      </c>
      <c r="BL584" s="48">
        <f t="shared" si="1862"/>
        <v>0</v>
      </c>
      <c r="BM584" s="48">
        <f t="shared" si="1862"/>
        <v>0</v>
      </c>
      <c r="BN584" s="48">
        <f t="shared" si="1862"/>
        <v>0</v>
      </c>
      <c r="BO584" s="48">
        <f t="shared" si="1862"/>
        <v>0</v>
      </c>
      <c r="BP584" s="48">
        <f t="shared" si="1862"/>
        <v>0</v>
      </c>
      <c r="BQ584" s="48">
        <f t="shared" si="1862"/>
        <v>0</v>
      </c>
      <c r="BR584" s="36">
        <f t="shared" si="9"/>
        <v>0</v>
      </c>
      <c r="BS584" s="38">
        <f t="shared" si="10"/>
        <v>1</v>
      </c>
      <c r="BT584" s="49">
        <f t="shared" si="11"/>
        <v>0</v>
      </c>
      <c r="BU584" s="38">
        <f t="shared" si="12"/>
        <v>1000</v>
      </c>
      <c r="BV584" s="57" t="str">
        <f>IFERROR(__xludf.DUMMYFUNCTION("""COMPUTED_VALUE"""),"Kazora")</f>
        <v>Kazora</v>
      </c>
      <c r="BW584" s="46">
        <f t="shared" si="13"/>
        <v>1000</v>
      </c>
      <c r="BX584" s="47">
        <f t="shared" ref="BX584:CA584" si="1863">AX584-$BU584</f>
        <v>-1000</v>
      </c>
      <c r="BY584" s="47">
        <f t="shared" si="1863"/>
        <v>-1000</v>
      </c>
      <c r="BZ584" s="47">
        <f t="shared" si="1863"/>
        <v>-1000</v>
      </c>
      <c r="CA584" s="47">
        <f t="shared" si="1863"/>
        <v>-1000</v>
      </c>
      <c r="CB584" s="47">
        <f t="shared" si="15"/>
        <v>-9000</v>
      </c>
      <c r="CC584" s="47">
        <f t="shared" ref="CC584:CQ584" si="1864">BC584-$BU584</f>
        <v>-1000</v>
      </c>
      <c r="CD584" s="47">
        <f t="shared" si="1864"/>
        <v>-1000</v>
      </c>
      <c r="CE584" s="47">
        <f t="shared" si="1864"/>
        <v>-1000</v>
      </c>
      <c r="CF584" s="47">
        <f t="shared" si="1864"/>
        <v>-1000</v>
      </c>
      <c r="CG584" s="47">
        <f t="shared" si="1864"/>
        <v>-1000</v>
      </c>
      <c r="CH584" s="47">
        <f t="shared" si="1864"/>
        <v>-1000</v>
      </c>
      <c r="CI584" s="47">
        <f t="shared" si="1864"/>
        <v>-1000</v>
      </c>
      <c r="CJ584" s="47">
        <f t="shared" si="1864"/>
        <v>-1000</v>
      </c>
      <c r="CK584" s="47">
        <f t="shared" si="1864"/>
        <v>-1000</v>
      </c>
      <c r="CL584" s="47">
        <f t="shared" si="1864"/>
        <v>-1000</v>
      </c>
      <c r="CM584" s="47">
        <f t="shared" si="1864"/>
        <v>-1000</v>
      </c>
      <c r="CN584" s="47">
        <f t="shared" si="1864"/>
        <v>-1000</v>
      </c>
      <c r="CO584" s="47">
        <f t="shared" si="1864"/>
        <v>-1000</v>
      </c>
      <c r="CP584" s="47">
        <f t="shared" si="1864"/>
        <v>-1000</v>
      </c>
      <c r="CQ584" s="47">
        <f t="shared" si="1864"/>
        <v>-1000</v>
      </c>
      <c r="CR584" s="47"/>
      <c r="CS584" s="47"/>
      <c r="CT584" s="47"/>
      <c r="CU584" s="50" t="str">
        <f>IFERROR(__xludf.DUMMYFUNCTION("""COMPUTED_VALUE"""),"9206 Canter Dr.
Dallas, TX 75231          ")</f>
        <v>9206 Canter Dr.
Dallas, TX 75231          </v>
      </c>
      <c r="CV584" s="51">
        <f>IFERROR(__xludf.DUMMYFUNCTION("IF(REGEXMATCH(UPPER(CU584), ""TX""),0,1)"),0.0)</f>
        <v>0</v>
      </c>
      <c r="CW584" s="51">
        <f>IFERROR(__xludf.DUMMYFUNCTION("IF(REGEXMATCH(UPPER(CU584), ""DALLAS""),0,1)"),0.0)</f>
        <v>0</v>
      </c>
      <c r="CX584" s="51">
        <f t="shared" si="17"/>
        <v>0</v>
      </c>
      <c r="CY584" s="51">
        <f t="shared" si="18"/>
        <v>0</v>
      </c>
      <c r="CZ584" s="52" t="str">
        <f t="shared" si="19"/>
        <v/>
      </c>
      <c r="DA584" s="58"/>
      <c r="DB584" s="52"/>
      <c r="DC584" s="52"/>
      <c r="DD584" s="52"/>
      <c r="DE584" s="52"/>
      <c r="DF584" s="52"/>
      <c r="DG584" s="52"/>
      <c r="DH584" s="52"/>
      <c r="DI584" s="52"/>
      <c r="DJ584" s="52"/>
      <c r="DK584" s="52"/>
      <c r="DL584" s="52"/>
      <c r="DM584" s="52"/>
      <c r="DN584" s="52"/>
      <c r="DO584" s="52"/>
      <c r="DP584" s="52"/>
      <c r="DQ584" s="52"/>
      <c r="DR584" s="52"/>
      <c r="DS584" s="52"/>
      <c r="DT584" s="52"/>
      <c r="DU584" s="52"/>
      <c r="DV584" s="52"/>
      <c r="DW584" s="52"/>
    </row>
    <row r="585">
      <c r="A585" s="40" t="s">
        <v>55</v>
      </c>
      <c r="B585" s="41" t="s">
        <v>56</v>
      </c>
      <c r="C585" s="31" t="s">
        <v>1575</v>
      </c>
      <c r="D585" s="25" t="str">
        <f>IFERROR(__xludf.DUMMYFUNCTION("SPLIT(C585,"" "")"),"Snoyer,")</f>
        <v>Snoyer,</v>
      </c>
      <c r="E585" s="40" t="str">
        <f>IFERROR(__xludf.DUMMYFUNCTION("""COMPUTED_VALUE"""),"Jeff
3639")</f>
        <v>Jeff
3639</v>
      </c>
      <c r="F585" s="40" t="str">
        <f>IFERROR(__xludf.DUMMYFUNCTION("""COMPUTED_VALUE"""),"Overbrook")</f>
        <v>Overbrook</v>
      </c>
      <c r="G585" s="40" t="str">
        <f>IFERROR(__xludf.DUMMYFUNCTION("""COMPUTED_VALUE"""),"Dr.
Dallas,")</f>
        <v>Dr.
Dallas,</v>
      </c>
      <c r="H585" s="40" t="str">
        <f>IFERROR(__xludf.DUMMYFUNCTION("""COMPUTED_VALUE"""),"TX")</f>
        <v>TX</v>
      </c>
      <c r="I585" s="40">
        <f>IFERROR(__xludf.DUMMYFUNCTION("""COMPUTED_VALUE"""),75205.0)</f>
        <v>75205</v>
      </c>
      <c r="J585" s="40"/>
      <c r="K585" s="40"/>
      <c r="L585" s="40"/>
      <c r="M585" s="40"/>
      <c r="N585" s="40"/>
      <c r="O585" s="40"/>
      <c r="P585" s="40"/>
      <c r="Q585" s="40"/>
      <c r="R585" s="40"/>
      <c r="S585" s="40"/>
      <c r="T585" s="40"/>
      <c r="U585" s="24" t="str">
        <f>IFERROR(__xludf.DUMMYFUNCTION("SPLIT(E585,""01234567890"")"),"Jeff
")</f>
        <v>Jeff
</v>
      </c>
      <c r="V585" s="24" t="str">
        <f>IFERROR(__xludf.DUMMYFUNCTION("SPLIT(D585,"","")"),"Snoyer")</f>
        <v>Snoyer</v>
      </c>
      <c r="W585" s="25" t="str">
        <f t="shared" si="1"/>
        <v>JEFF
 SNOYER</v>
      </c>
      <c r="X585" s="25" t="s">
        <v>1576</v>
      </c>
      <c r="Y585" s="25">
        <v>75205.0</v>
      </c>
      <c r="Z585" s="25" t="str">
        <f>IFERROR(__xludf.DUMMYFUNCTION("SPLIT(C585,""
"")"),"Snoyer, Jeff")</f>
        <v>Snoyer, Jeff</v>
      </c>
      <c r="AA585" s="25" t="str">
        <f>IFERROR(__xludf.DUMMYFUNCTION("""COMPUTED_VALUE"""),"3639 Overbrook Dr.")</f>
        <v>3639 Overbrook Dr.</v>
      </c>
      <c r="AB585" s="25" t="str">
        <f>IFERROR(__xludf.DUMMYFUNCTION("""COMPUTED_VALUE"""),"Dallas, TX 75205")</f>
        <v>Dallas, TX 75205</v>
      </c>
      <c r="AC585" s="24" t="s">
        <v>1577</v>
      </c>
      <c r="AD585" s="25"/>
      <c r="AE585" s="25"/>
      <c r="AF585" s="25"/>
      <c r="AG585" s="40" t="s">
        <v>60</v>
      </c>
      <c r="AH585" s="42">
        <v>2448.0</v>
      </c>
      <c r="AI585" s="40" t="s">
        <v>61</v>
      </c>
      <c r="AJ585" s="27">
        <v>1000.0</v>
      </c>
      <c r="AK585" s="31" t="s">
        <v>24</v>
      </c>
      <c r="AL585" s="43">
        <v>44722.0</v>
      </c>
      <c r="AM585" s="44">
        <v>44757.44018518519</v>
      </c>
      <c r="AN585" s="30">
        <v>2.0</v>
      </c>
      <c r="AO585" s="40"/>
      <c r="AP585" s="40"/>
      <c r="AQ585" s="40"/>
      <c r="AR585" s="40"/>
      <c r="AS585" s="40"/>
      <c r="AT585" s="47"/>
      <c r="AU585" s="40"/>
      <c r="AV585" s="46" t="str">
        <f>IFERROR(__xludf.DUMMYFUNCTION("""COMPUTED_VALUE"""),"Cager")</f>
        <v>Cager</v>
      </c>
      <c r="AW585" s="46">
        <f t="shared" si="7"/>
        <v>20</v>
      </c>
      <c r="AX585" s="47">
        <f t="shared" ref="AX585:BQ585" si="1865">SUMIFS($AJ:$AJ,$V:$V,$AV585,$AK:$AK,AX$2)</f>
        <v>0</v>
      </c>
      <c r="AY585" s="48">
        <f t="shared" si="1865"/>
        <v>0</v>
      </c>
      <c r="AZ585" s="48">
        <f t="shared" si="1865"/>
        <v>0</v>
      </c>
      <c r="BA585" s="48">
        <f t="shared" si="1865"/>
        <v>0</v>
      </c>
      <c r="BB585" s="48">
        <f t="shared" si="1865"/>
        <v>20</v>
      </c>
      <c r="BC585" s="48">
        <f t="shared" si="1865"/>
        <v>0</v>
      </c>
      <c r="BD585" s="48">
        <f t="shared" si="1865"/>
        <v>0</v>
      </c>
      <c r="BE585" s="48">
        <f t="shared" si="1865"/>
        <v>0</v>
      </c>
      <c r="BF585" s="48">
        <f t="shared" si="1865"/>
        <v>0</v>
      </c>
      <c r="BG585" s="48">
        <f t="shared" si="1865"/>
        <v>0</v>
      </c>
      <c r="BH585" s="48">
        <f t="shared" si="1865"/>
        <v>0</v>
      </c>
      <c r="BI585" s="48">
        <f t="shared" si="1865"/>
        <v>0</v>
      </c>
      <c r="BJ585" s="48">
        <f t="shared" si="1865"/>
        <v>0</v>
      </c>
      <c r="BK585" s="48">
        <f t="shared" si="1865"/>
        <v>0</v>
      </c>
      <c r="BL585" s="48">
        <f t="shared" si="1865"/>
        <v>0</v>
      </c>
      <c r="BM585" s="48">
        <f t="shared" si="1865"/>
        <v>0</v>
      </c>
      <c r="BN585" s="48">
        <f t="shared" si="1865"/>
        <v>0</v>
      </c>
      <c r="BO585" s="48">
        <f t="shared" si="1865"/>
        <v>0</v>
      </c>
      <c r="BP585" s="48">
        <f t="shared" si="1865"/>
        <v>0</v>
      </c>
      <c r="BQ585" s="48">
        <f t="shared" si="1865"/>
        <v>0</v>
      </c>
      <c r="BR585" s="36">
        <f t="shared" si="9"/>
        <v>0</v>
      </c>
      <c r="BS585" s="38">
        <f t="shared" si="10"/>
        <v>1</v>
      </c>
      <c r="BT585" s="49">
        <f t="shared" si="11"/>
        <v>0</v>
      </c>
      <c r="BU585" s="38">
        <f t="shared" si="12"/>
        <v>1000</v>
      </c>
      <c r="BV585" s="46" t="str">
        <f>IFERROR(__xludf.DUMMYFUNCTION("""COMPUTED_VALUE"""),"Cager")</f>
        <v>Cager</v>
      </c>
      <c r="BW585" s="46">
        <f t="shared" si="13"/>
        <v>20</v>
      </c>
      <c r="BX585" s="47">
        <f t="shared" ref="BX585:CA585" si="1866">AX585-$BU585</f>
        <v>-1000</v>
      </c>
      <c r="BY585" s="47">
        <f t="shared" si="1866"/>
        <v>-1000</v>
      </c>
      <c r="BZ585" s="47">
        <f t="shared" si="1866"/>
        <v>-1000</v>
      </c>
      <c r="CA585" s="47">
        <f t="shared" si="1866"/>
        <v>-1000</v>
      </c>
      <c r="CB585" s="47">
        <f t="shared" si="15"/>
        <v>-9980</v>
      </c>
      <c r="CC585" s="47">
        <f t="shared" ref="CC585:CQ585" si="1867">BC585-$BU585</f>
        <v>-1000</v>
      </c>
      <c r="CD585" s="47">
        <f t="shared" si="1867"/>
        <v>-1000</v>
      </c>
      <c r="CE585" s="47">
        <f t="shared" si="1867"/>
        <v>-1000</v>
      </c>
      <c r="CF585" s="47">
        <f t="shared" si="1867"/>
        <v>-1000</v>
      </c>
      <c r="CG585" s="47">
        <f t="shared" si="1867"/>
        <v>-1000</v>
      </c>
      <c r="CH585" s="47">
        <f t="shared" si="1867"/>
        <v>-1000</v>
      </c>
      <c r="CI585" s="47">
        <f t="shared" si="1867"/>
        <v>-1000</v>
      </c>
      <c r="CJ585" s="47">
        <f t="shared" si="1867"/>
        <v>-1000</v>
      </c>
      <c r="CK585" s="47">
        <f t="shared" si="1867"/>
        <v>-1000</v>
      </c>
      <c r="CL585" s="47">
        <f t="shared" si="1867"/>
        <v>-1000</v>
      </c>
      <c r="CM585" s="47">
        <f t="shared" si="1867"/>
        <v>-1000</v>
      </c>
      <c r="CN585" s="47">
        <f t="shared" si="1867"/>
        <v>-1000</v>
      </c>
      <c r="CO585" s="47">
        <f t="shared" si="1867"/>
        <v>-1000</v>
      </c>
      <c r="CP585" s="47">
        <f t="shared" si="1867"/>
        <v>-1000</v>
      </c>
      <c r="CQ585" s="47">
        <f t="shared" si="1867"/>
        <v>-1000</v>
      </c>
      <c r="CR585" s="47"/>
      <c r="CS585" s="47"/>
      <c r="CT585" s="47"/>
      <c r="CU585" s="50" t="str">
        <f>IFERROR(__xludf.DUMMYFUNCTION("""COMPUTED_VALUE"""),"9114 Arborside
Dallas, TX 75243           ")</f>
        <v>9114 Arborside
Dallas, TX 75243           </v>
      </c>
      <c r="CV585" s="51">
        <f>IFERROR(__xludf.DUMMYFUNCTION("IF(REGEXMATCH(UPPER(CU585), ""TX""),0,1)"),0.0)</f>
        <v>0</v>
      </c>
      <c r="CW585" s="51">
        <f>IFERROR(__xludf.DUMMYFUNCTION("IF(REGEXMATCH(UPPER(CU585), ""DALLAS""),0,1)"),0.0)</f>
        <v>0</v>
      </c>
      <c r="CX585" s="51">
        <f t="shared" si="17"/>
        <v>0</v>
      </c>
      <c r="CY585" s="51">
        <f t="shared" si="18"/>
        <v>0</v>
      </c>
      <c r="CZ585" s="52" t="str">
        <f t="shared" si="19"/>
        <v/>
      </c>
      <c r="DA585" s="58"/>
      <c r="DB585" s="52"/>
      <c r="DC585" s="52"/>
      <c r="DD585" s="52"/>
      <c r="DE585" s="52"/>
      <c r="DF585" s="52"/>
      <c r="DG585" s="52"/>
      <c r="DH585" s="52"/>
      <c r="DI585" s="52"/>
      <c r="DJ585" s="52"/>
      <c r="DK585" s="52"/>
      <c r="DL585" s="52"/>
      <c r="DM585" s="52"/>
      <c r="DN585" s="52"/>
      <c r="DO585" s="52"/>
      <c r="DP585" s="52"/>
      <c r="DQ585" s="52"/>
      <c r="DR585" s="52"/>
      <c r="DS585" s="52"/>
      <c r="DT585" s="52"/>
      <c r="DU585" s="52"/>
      <c r="DV585" s="52"/>
      <c r="DW585" s="52"/>
    </row>
    <row r="586">
      <c r="A586" s="22" t="s">
        <v>55</v>
      </c>
      <c r="B586" s="23" t="s">
        <v>56</v>
      </c>
      <c r="C586" s="31" t="s">
        <v>1578</v>
      </c>
      <c r="D586" s="25" t="str">
        <f>IFERROR(__xludf.DUMMYFUNCTION("SPLIT(C586,"" "")"),"Sampson,")</f>
        <v>Sampson,</v>
      </c>
      <c r="E586" s="22" t="str">
        <f>IFERROR(__xludf.DUMMYFUNCTION("""COMPUTED_VALUE"""),"DeMetris
PO")</f>
        <v>DeMetris
PO</v>
      </c>
      <c r="F586" s="22" t="str">
        <f>IFERROR(__xludf.DUMMYFUNCTION("""COMPUTED_VALUE"""),"Box")</f>
        <v>Box</v>
      </c>
      <c r="G586" s="22" t="str">
        <f>IFERROR(__xludf.DUMMYFUNCTION("""COMPUTED_VALUE"""),"76383
Dallas,")</f>
        <v>76383
Dallas,</v>
      </c>
      <c r="H586" s="22" t="str">
        <f>IFERROR(__xludf.DUMMYFUNCTION("""COMPUTED_VALUE"""),"TX")</f>
        <v>TX</v>
      </c>
      <c r="I586" s="22" t="str">
        <f>IFERROR(__xludf.DUMMYFUNCTION("""COMPUTED_VALUE"""),"75376-3834")</f>
        <v>75376-3834</v>
      </c>
      <c r="J586" s="22"/>
      <c r="K586" s="22"/>
      <c r="L586" s="22"/>
      <c r="M586" s="22"/>
      <c r="N586" s="22"/>
      <c r="O586" s="22"/>
      <c r="P586" s="22"/>
      <c r="Q586" s="22"/>
      <c r="R586" s="22"/>
      <c r="S586" s="22"/>
      <c r="T586" s="22"/>
      <c r="U586" s="24" t="str">
        <f>IFERROR(__xludf.DUMMYFUNCTION("SPLIT(E586,""01234567890"")"),"DeMetris
PO")</f>
        <v>DeMetris
PO</v>
      </c>
      <c r="V586" s="24" t="str">
        <f>IFERROR(__xludf.DUMMYFUNCTION("SPLIT(D586,"","")"),"Sampson")</f>
        <v>Sampson</v>
      </c>
      <c r="W586" s="25" t="str">
        <f t="shared" si="1"/>
        <v>DEMETRIS
PO SAMPSON</v>
      </c>
      <c r="X586" s="25" t="s">
        <v>1579</v>
      </c>
      <c r="Y586" s="25" t="s">
        <v>1580</v>
      </c>
      <c r="Z586" s="25" t="str">
        <f>IFERROR(__xludf.DUMMYFUNCTION("SPLIT(C586,""
"")"),"Sampson, DeMetris")</f>
        <v>Sampson, DeMetris</v>
      </c>
      <c r="AA586" s="25" t="str">
        <f>IFERROR(__xludf.DUMMYFUNCTION("""COMPUTED_VALUE"""),"PO Box 76383")</f>
        <v>PO Box 76383</v>
      </c>
      <c r="AB586" s="25" t="str">
        <f>IFERROR(__xludf.DUMMYFUNCTION("""COMPUTED_VALUE"""),"Dallas, TX 75376-3834")</f>
        <v>Dallas, TX 75376-3834</v>
      </c>
      <c r="AC586" s="24" t="s">
        <v>1581</v>
      </c>
      <c r="AD586" s="25"/>
      <c r="AE586" s="25"/>
      <c r="AF586" s="25"/>
      <c r="AG586" s="22" t="s">
        <v>60</v>
      </c>
      <c r="AH586" s="54">
        <v>2448.0</v>
      </c>
      <c r="AI586" s="22" t="s">
        <v>61</v>
      </c>
      <c r="AJ586" s="27">
        <v>250.0</v>
      </c>
      <c r="AK586" s="31" t="s">
        <v>24</v>
      </c>
      <c r="AL586" s="28">
        <v>44723.0</v>
      </c>
      <c r="AM586" s="29">
        <v>44757.44018518519</v>
      </c>
      <c r="AN586" s="30">
        <v>2.0</v>
      </c>
      <c r="AO586" s="22"/>
      <c r="AP586" s="22"/>
      <c r="AQ586" s="22"/>
      <c r="AR586" s="22"/>
      <c r="AS586" s="22"/>
      <c r="AT586" s="70"/>
      <c r="AU586" s="22"/>
      <c r="AV586" s="57" t="str">
        <f>IFERROR(__xludf.DUMMYFUNCTION("""COMPUTED_VALUE"""),"Twining")</f>
        <v>Twining</v>
      </c>
      <c r="AW586" s="46">
        <f t="shared" si="7"/>
        <v>100</v>
      </c>
      <c r="AX586" s="47">
        <f t="shared" ref="AX586:BQ586" si="1868">SUMIFS($AJ:$AJ,$V:$V,$AV586,$AK:$AK,AX$2)</f>
        <v>0</v>
      </c>
      <c r="AY586" s="48">
        <f t="shared" si="1868"/>
        <v>0</v>
      </c>
      <c r="AZ586" s="48">
        <f t="shared" si="1868"/>
        <v>0</v>
      </c>
      <c r="BA586" s="48">
        <f t="shared" si="1868"/>
        <v>0</v>
      </c>
      <c r="BB586" s="48">
        <f t="shared" si="1868"/>
        <v>100</v>
      </c>
      <c r="BC586" s="48">
        <f t="shared" si="1868"/>
        <v>0</v>
      </c>
      <c r="BD586" s="48">
        <f t="shared" si="1868"/>
        <v>0</v>
      </c>
      <c r="BE586" s="48">
        <f t="shared" si="1868"/>
        <v>0</v>
      </c>
      <c r="BF586" s="48">
        <f t="shared" si="1868"/>
        <v>0</v>
      </c>
      <c r="BG586" s="48">
        <f t="shared" si="1868"/>
        <v>0</v>
      </c>
      <c r="BH586" s="48">
        <f t="shared" si="1868"/>
        <v>0</v>
      </c>
      <c r="BI586" s="48">
        <f t="shared" si="1868"/>
        <v>0</v>
      </c>
      <c r="BJ586" s="48">
        <f t="shared" si="1868"/>
        <v>0</v>
      </c>
      <c r="BK586" s="48">
        <f t="shared" si="1868"/>
        <v>0</v>
      </c>
      <c r="BL586" s="48">
        <f t="shared" si="1868"/>
        <v>0</v>
      </c>
      <c r="BM586" s="48">
        <f t="shared" si="1868"/>
        <v>0</v>
      </c>
      <c r="BN586" s="48">
        <f t="shared" si="1868"/>
        <v>0</v>
      </c>
      <c r="BO586" s="48">
        <f t="shared" si="1868"/>
        <v>0</v>
      </c>
      <c r="BP586" s="48">
        <f t="shared" si="1868"/>
        <v>0</v>
      </c>
      <c r="BQ586" s="48">
        <f t="shared" si="1868"/>
        <v>0</v>
      </c>
      <c r="BR586" s="36">
        <f t="shared" si="9"/>
        <v>0</v>
      </c>
      <c r="BS586" s="38">
        <f t="shared" si="10"/>
        <v>1</v>
      </c>
      <c r="BT586" s="49">
        <f t="shared" si="11"/>
        <v>0</v>
      </c>
      <c r="BU586" s="38">
        <f t="shared" si="12"/>
        <v>1000</v>
      </c>
      <c r="BV586" s="57" t="str">
        <f>IFERROR(__xludf.DUMMYFUNCTION("""COMPUTED_VALUE"""),"Twining")</f>
        <v>Twining</v>
      </c>
      <c r="BW586" s="46">
        <f t="shared" si="13"/>
        <v>100</v>
      </c>
      <c r="BX586" s="47">
        <f t="shared" ref="BX586:CA586" si="1869">AX586-$BU586</f>
        <v>-1000</v>
      </c>
      <c r="BY586" s="47">
        <f t="shared" si="1869"/>
        <v>-1000</v>
      </c>
      <c r="BZ586" s="47">
        <f t="shared" si="1869"/>
        <v>-1000</v>
      </c>
      <c r="CA586" s="47">
        <f t="shared" si="1869"/>
        <v>-1000</v>
      </c>
      <c r="CB586" s="47">
        <f t="shared" si="15"/>
        <v>-9900</v>
      </c>
      <c r="CC586" s="47">
        <f t="shared" ref="CC586:CQ586" si="1870">BC586-$BU586</f>
        <v>-1000</v>
      </c>
      <c r="CD586" s="47">
        <f t="shared" si="1870"/>
        <v>-1000</v>
      </c>
      <c r="CE586" s="47">
        <f t="shared" si="1870"/>
        <v>-1000</v>
      </c>
      <c r="CF586" s="47">
        <f t="shared" si="1870"/>
        <v>-1000</v>
      </c>
      <c r="CG586" s="47">
        <f t="shared" si="1870"/>
        <v>-1000</v>
      </c>
      <c r="CH586" s="47">
        <f t="shared" si="1870"/>
        <v>-1000</v>
      </c>
      <c r="CI586" s="47">
        <f t="shared" si="1870"/>
        <v>-1000</v>
      </c>
      <c r="CJ586" s="47">
        <f t="shared" si="1870"/>
        <v>-1000</v>
      </c>
      <c r="CK586" s="47">
        <f t="shared" si="1870"/>
        <v>-1000</v>
      </c>
      <c r="CL586" s="47">
        <f t="shared" si="1870"/>
        <v>-1000</v>
      </c>
      <c r="CM586" s="47">
        <f t="shared" si="1870"/>
        <v>-1000</v>
      </c>
      <c r="CN586" s="47">
        <f t="shared" si="1870"/>
        <v>-1000</v>
      </c>
      <c r="CO586" s="47">
        <f t="shared" si="1870"/>
        <v>-1000</v>
      </c>
      <c r="CP586" s="47">
        <f t="shared" si="1870"/>
        <v>-1000</v>
      </c>
      <c r="CQ586" s="47">
        <f t="shared" si="1870"/>
        <v>-1000</v>
      </c>
      <c r="CR586" s="47"/>
      <c r="CS586" s="47"/>
      <c r="CT586" s="47"/>
      <c r="CU586" s="50" t="str">
        <f>IFERROR(__xludf.DUMMYFUNCTION("""COMPUTED_VALUE"""),"10529 Estate Lane
Dallas, TX 75238          ")</f>
        <v>10529 Estate Lane
Dallas, TX 75238          </v>
      </c>
      <c r="CV586" s="51">
        <f>IFERROR(__xludf.DUMMYFUNCTION("IF(REGEXMATCH(UPPER(CU586), ""TX""),0,1)"),0.0)</f>
        <v>0</v>
      </c>
      <c r="CW586" s="51">
        <f>IFERROR(__xludf.DUMMYFUNCTION("IF(REGEXMATCH(UPPER(CU586), ""DALLAS""),0,1)"),0.0)</f>
        <v>0</v>
      </c>
      <c r="CX586" s="51">
        <f t="shared" si="17"/>
        <v>0</v>
      </c>
      <c r="CY586" s="51">
        <f t="shared" si="18"/>
        <v>0</v>
      </c>
      <c r="CZ586" s="52" t="str">
        <f t="shared" si="19"/>
        <v/>
      </c>
      <c r="DA586" s="58"/>
      <c r="DB586" s="52"/>
      <c r="DC586" s="52"/>
      <c r="DD586" s="52"/>
      <c r="DE586" s="52"/>
      <c r="DF586" s="52"/>
      <c r="DG586" s="52"/>
      <c r="DH586" s="52"/>
      <c r="DI586" s="52"/>
      <c r="DJ586" s="52"/>
      <c r="DK586" s="52"/>
      <c r="DL586" s="52"/>
      <c r="DM586" s="52"/>
      <c r="DN586" s="52"/>
      <c r="DO586" s="52"/>
      <c r="DP586" s="52"/>
      <c r="DQ586" s="52"/>
      <c r="DR586" s="52"/>
      <c r="DS586" s="52"/>
      <c r="DT586" s="52"/>
      <c r="DU586" s="52"/>
      <c r="DV586" s="52"/>
      <c r="DW586" s="52"/>
    </row>
    <row r="587">
      <c r="A587" s="40" t="s">
        <v>55</v>
      </c>
      <c r="B587" s="41" t="s">
        <v>56</v>
      </c>
      <c r="C587" s="31" t="s">
        <v>1582</v>
      </c>
      <c r="D587" s="25" t="str">
        <f>IFERROR(__xludf.DUMMYFUNCTION("SPLIT(C587,"" "")"),"Bryant,")</f>
        <v>Bryant,</v>
      </c>
      <c r="E587" s="40" t="str">
        <f>IFERROR(__xludf.DUMMYFUNCTION("""COMPUTED_VALUE"""),"Randall
1910")</f>
        <v>Randall
1910</v>
      </c>
      <c r="F587" s="40" t="str">
        <f>IFERROR(__xludf.DUMMYFUNCTION("""COMPUTED_VALUE"""),"Pacific")</f>
        <v>Pacific</v>
      </c>
      <c r="G587" s="40" t="str">
        <f>IFERROR(__xludf.DUMMYFUNCTION("""COMPUTED_VALUE"""),"Ave
Dallas,")</f>
        <v>Ave
Dallas,</v>
      </c>
      <c r="H587" s="40" t="str">
        <f>IFERROR(__xludf.DUMMYFUNCTION("""COMPUTED_VALUE"""),"TX")</f>
        <v>TX</v>
      </c>
      <c r="I587" s="40">
        <f>IFERROR(__xludf.DUMMYFUNCTION("""COMPUTED_VALUE"""),75201.0)</f>
        <v>75201</v>
      </c>
      <c r="J587" s="40"/>
      <c r="K587" s="40"/>
      <c r="L587" s="40"/>
      <c r="M587" s="40"/>
      <c r="N587" s="40"/>
      <c r="O587" s="40"/>
      <c r="P587" s="40"/>
      <c r="Q587" s="40"/>
      <c r="R587" s="40"/>
      <c r="S587" s="40"/>
      <c r="T587" s="40"/>
      <c r="U587" s="24" t="str">
        <f>IFERROR(__xludf.DUMMYFUNCTION("SPLIT(E587,""01234567890"")"),"Randall
")</f>
        <v>Randall
</v>
      </c>
      <c r="V587" s="24" t="str">
        <f>IFERROR(__xludf.DUMMYFUNCTION("SPLIT(D587,"","")"),"Bryant")</f>
        <v>Bryant</v>
      </c>
      <c r="W587" s="25" t="str">
        <f t="shared" si="1"/>
        <v>RANDALL
 BRYANT</v>
      </c>
      <c r="X587" s="25" t="s">
        <v>905</v>
      </c>
      <c r="Y587" s="25">
        <v>75201.0</v>
      </c>
      <c r="Z587" s="25" t="str">
        <f>IFERROR(__xludf.DUMMYFUNCTION("SPLIT(C587,""
"")"),"Bryant, Randall")</f>
        <v>Bryant, Randall</v>
      </c>
      <c r="AA587" s="25" t="str">
        <f>IFERROR(__xludf.DUMMYFUNCTION("""COMPUTED_VALUE"""),"1910 Pacific Ave")</f>
        <v>1910 Pacific Ave</v>
      </c>
      <c r="AB587" s="25" t="str">
        <f>IFERROR(__xludf.DUMMYFUNCTION("""COMPUTED_VALUE"""),"Dallas, TX 75201")</f>
        <v>Dallas, TX 75201</v>
      </c>
      <c r="AC587" s="24" t="s">
        <v>1583</v>
      </c>
      <c r="AD587" s="25"/>
      <c r="AE587" s="25"/>
      <c r="AF587" s="25"/>
      <c r="AG587" s="40" t="s">
        <v>60</v>
      </c>
      <c r="AH587" s="42">
        <v>2448.0</v>
      </c>
      <c r="AI587" s="40" t="s">
        <v>61</v>
      </c>
      <c r="AJ587" s="27">
        <v>100.0</v>
      </c>
      <c r="AK587" s="31" t="s">
        <v>24</v>
      </c>
      <c r="AL587" s="43">
        <v>44725.0</v>
      </c>
      <c r="AM587" s="44">
        <v>44757.44018518519</v>
      </c>
      <c r="AN587" s="30">
        <v>2.0</v>
      </c>
      <c r="AO587" s="40"/>
      <c r="AP587" s="40"/>
      <c r="AQ587" s="40"/>
      <c r="AR587" s="40"/>
      <c r="AS587" s="40"/>
      <c r="AT587" s="47"/>
      <c r="AU587" s="40"/>
      <c r="AV587" s="46" t="str">
        <f>IFERROR(__xludf.DUMMYFUNCTION("""COMPUTED_VALUE"""),"Vaca")</f>
        <v>Vaca</v>
      </c>
      <c r="AW587" s="46">
        <f t="shared" si="7"/>
        <v>5000</v>
      </c>
      <c r="AX587" s="47">
        <f t="shared" ref="AX587:BQ587" si="1871">SUMIFS($AJ:$AJ,$V:$V,$AV587,$AK:$AK,AX$2)</f>
        <v>0</v>
      </c>
      <c r="AY587" s="48">
        <f t="shared" si="1871"/>
        <v>0</v>
      </c>
      <c r="AZ587" s="48">
        <f t="shared" si="1871"/>
        <v>0</v>
      </c>
      <c r="BA587" s="48">
        <f t="shared" si="1871"/>
        <v>0</v>
      </c>
      <c r="BB587" s="48">
        <f t="shared" si="1871"/>
        <v>5000</v>
      </c>
      <c r="BC587" s="48">
        <f t="shared" si="1871"/>
        <v>0</v>
      </c>
      <c r="BD587" s="48">
        <f t="shared" si="1871"/>
        <v>0</v>
      </c>
      <c r="BE587" s="48">
        <f t="shared" si="1871"/>
        <v>0</v>
      </c>
      <c r="BF587" s="48">
        <f t="shared" si="1871"/>
        <v>0</v>
      </c>
      <c r="BG587" s="48">
        <f t="shared" si="1871"/>
        <v>0</v>
      </c>
      <c r="BH587" s="48">
        <f t="shared" si="1871"/>
        <v>0</v>
      </c>
      <c r="BI587" s="48">
        <f t="shared" si="1871"/>
        <v>0</v>
      </c>
      <c r="BJ587" s="48">
        <f t="shared" si="1871"/>
        <v>0</v>
      </c>
      <c r="BK587" s="48">
        <f t="shared" si="1871"/>
        <v>0</v>
      </c>
      <c r="BL587" s="48">
        <f t="shared" si="1871"/>
        <v>0</v>
      </c>
      <c r="BM587" s="48">
        <f t="shared" si="1871"/>
        <v>0</v>
      </c>
      <c r="BN587" s="48">
        <f t="shared" si="1871"/>
        <v>0</v>
      </c>
      <c r="BO587" s="48">
        <f t="shared" si="1871"/>
        <v>0</v>
      </c>
      <c r="BP587" s="48">
        <f t="shared" si="1871"/>
        <v>0</v>
      </c>
      <c r="BQ587" s="48">
        <f t="shared" si="1871"/>
        <v>0</v>
      </c>
      <c r="BR587" s="36">
        <f t="shared" si="9"/>
        <v>0</v>
      </c>
      <c r="BS587" s="38">
        <f t="shared" si="10"/>
        <v>1</v>
      </c>
      <c r="BT587" s="49">
        <f t="shared" si="11"/>
        <v>0</v>
      </c>
      <c r="BU587" s="38">
        <f t="shared" si="12"/>
        <v>1000</v>
      </c>
      <c r="BV587" s="46" t="str">
        <f>IFERROR(__xludf.DUMMYFUNCTION("""COMPUTED_VALUE"""),"Vaca")</f>
        <v>Vaca</v>
      </c>
      <c r="BW587" s="46">
        <f t="shared" si="13"/>
        <v>5000</v>
      </c>
      <c r="BX587" s="47">
        <f t="shared" ref="BX587:CA587" si="1872">AX587-$BU587</f>
        <v>-1000</v>
      </c>
      <c r="BY587" s="47">
        <f t="shared" si="1872"/>
        <v>-1000</v>
      </c>
      <c r="BZ587" s="47">
        <f t="shared" si="1872"/>
        <v>-1000</v>
      </c>
      <c r="CA587" s="47">
        <f t="shared" si="1872"/>
        <v>-1000</v>
      </c>
      <c r="CB587" s="47">
        <f t="shared" si="15"/>
        <v>-5000</v>
      </c>
      <c r="CC587" s="47">
        <f t="shared" ref="CC587:CQ587" si="1873">BC587-$BU587</f>
        <v>-1000</v>
      </c>
      <c r="CD587" s="47">
        <f t="shared" si="1873"/>
        <v>-1000</v>
      </c>
      <c r="CE587" s="47">
        <f t="shared" si="1873"/>
        <v>-1000</v>
      </c>
      <c r="CF587" s="47">
        <f t="shared" si="1873"/>
        <v>-1000</v>
      </c>
      <c r="CG587" s="47">
        <f t="shared" si="1873"/>
        <v>-1000</v>
      </c>
      <c r="CH587" s="47">
        <f t="shared" si="1873"/>
        <v>-1000</v>
      </c>
      <c r="CI587" s="47">
        <f t="shared" si="1873"/>
        <v>-1000</v>
      </c>
      <c r="CJ587" s="47">
        <f t="shared" si="1873"/>
        <v>-1000</v>
      </c>
      <c r="CK587" s="47">
        <f t="shared" si="1873"/>
        <v>-1000</v>
      </c>
      <c r="CL587" s="47">
        <f t="shared" si="1873"/>
        <v>-1000</v>
      </c>
      <c r="CM587" s="47">
        <f t="shared" si="1873"/>
        <v>-1000</v>
      </c>
      <c r="CN587" s="47">
        <f t="shared" si="1873"/>
        <v>-1000</v>
      </c>
      <c r="CO587" s="47">
        <f t="shared" si="1873"/>
        <v>-1000</v>
      </c>
      <c r="CP587" s="47">
        <f t="shared" si="1873"/>
        <v>-1000</v>
      </c>
      <c r="CQ587" s="47">
        <f t="shared" si="1873"/>
        <v>-1000</v>
      </c>
      <c r="CR587" s="47"/>
      <c r="CS587" s="47"/>
      <c r="CT587" s="47"/>
      <c r="CU587" s="50" t="str">
        <f>IFERROR(__xludf.DUMMYFUNCTION("""COMPUTED_VALUE"""),"9924 Edgecove
Dallas, TX 75238           ")</f>
        <v>9924 Edgecove
Dallas, TX 75238           </v>
      </c>
      <c r="CV587" s="51">
        <f>IFERROR(__xludf.DUMMYFUNCTION("IF(REGEXMATCH(UPPER(CU587), ""TX""),0,1)"),0.0)</f>
        <v>0</v>
      </c>
      <c r="CW587" s="51">
        <f>IFERROR(__xludf.DUMMYFUNCTION("IF(REGEXMATCH(UPPER(CU587), ""DALLAS""),0,1)"),0.0)</f>
        <v>0</v>
      </c>
      <c r="CX587" s="51">
        <f t="shared" si="17"/>
        <v>0</v>
      </c>
      <c r="CY587" s="51">
        <f t="shared" si="18"/>
        <v>0</v>
      </c>
      <c r="CZ587" s="52" t="str">
        <f t="shared" si="19"/>
        <v/>
      </c>
      <c r="DA587" s="58"/>
      <c r="DB587" s="52"/>
      <c r="DC587" s="52"/>
      <c r="DD587" s="52"/>
      <c r="DE587" s="52"/>
      <c r="DF587" s="52"/>
      <c r="DG587" s="52"/>
      <c r="DH587" s="52"/>
      <c r="DI587" s="52"/>
      <c r="DJ587" s="52"/>
      <c r="DK587" s="52"/>
      <c r="DL587" s="52"/>
      <c r="DM587" s="52"/>
      <c r="DN587" s="52"/>
      <c r="DO587" s="52"/>
      <c r="DP587" s="52"/>
      <c r="DQ587" s="52"/>
      <c r="DR587" s="52"/>
      <c r="DS587" s="52"/>
      <c r="DT587" s="52"/>
      <c r="DU587" s="52"/>
      <c r="DV587" s="52"/>
      <c r="DW587" s="52"/>
    </row>
    <row r="588">
      <c r="A588" s="22" t="s">
        <v>55</v>
      </c>
      <c r="B588" s="23" t="s">
        <v>56</v>
      </c>
      <c r="C588" s="31" t="s">
        <v>1584</v>
      </c>
      <c r="D588" s="25" t="str">
        <f>IFERROR(__xludf.DUMMYFUNCTION("SPLIT(C588,"" "")"),"Casey,")</f>
        <v>Casey,</v>
      </c>
      <c r="E588" s="22" t="str">
        <f>IFERROR(__xludf.DUMMYFUNCTION("""COMPUTED_VALUE"""),"Karen
6100")</f>
        <v>Karen
6100</v>
      </c>
      <c r="F588" s="22" t="str">
        <f>IFERROR(__xludf.DUMMYFUNCTION("""COMPUTED_VALUE"""),"Tremont")</f>
        <v>Tremont</v>
      </c>
      <c r="G588" s="22" t="str">
        <f>IFERROR(__xludf.DUMMYFUNCTION("""COMPUTED_VALUE"""),"St.
Dallas,")</f>
        <v>St.
Dallas,</v>
      </c>
      <c r="H588" s="22" t="str">
        <f>IFERROR(__xludf.DUMMYFUNCTION("""COMPUTED_VALUE"""),"TX")</f>
        <v>TX</v>
      </c>
      <c r="I588" s="22">
        <f>IFERROR(__xludf.DUMMYFUNCTION("""COMPUTED_VALUE"""),75214.0)</f>
        <v>75214</v>
      </c>
      <c r="J588" s="22"/>
      <c r="K588" s="22"/>
      <c r="L588" s="22"/>
      <c r="M588" s="22"/>
      <c r="N588" s="22"/>
      <c r="O588" s="22"/>
      <c r="P588" s="22"/>
      <c r="Q588" s="22"/>
      <c r="R588" s="22"/>
      <c r="S588" s="22"/>
      <c r="T588" s="22"/>
      <c r="U588" s="24" t="str">
        <f>IFERROR(__xludf.DUMMYFUNCTION("SPLIT(E588,""01234567890"")"),"Karen
")</f>
        <v>Karen
</v>
      </c>
      <c r="V588" s="24" t="str">
        <f>IFERROR(__xludf.DUMMYFUNCTION("SPLIT(D588,"","")"),"Casey")</f>
        <v>Casey</v>
      </c>
      <c r="W588" s="25" t="str">
        <f t="shared" si="1"/>
        <v>KAREN
 CASEY</v>
      </c>
      <c r="X588" s="25" t="s">
        <v>1585</v>
      </c>
      <c r="Y588" s="25">
        <v>75214.0</v>
      </c>
      <c r="Z588" s="25" t="str">
        <f>IFERROR(__xludf.DUMMYFUNCTION("SPLIT(C588,""
"")"),"Casey, Karen")</f>
        <v>Casey, Karen</v>
      </c>
      <c r="AA588" s="25" t="str">
        <f>IFERROR(__xludf.DUMMYFUNCTION("""COMPUTED_VALUE"""),"6100 Tremont St.")</f>
        <v>6100 Tremont St.</v>
      </c>
      <c r="AB588" s="25" t="str">
        <f>IFERROR(__xludf.DUMMYFUNCTION("""COMPUTED_VALUE"""),"Dallas, TX 75214")</f>
        <v>Dallas, TX 75214</v>
      </c>
      <c r="AC588" s="24" t="s">
        <v>1586</v>
      </c>
      <c r="AD588" s="25"/>
      <c r="AE588" s="25"/>
      <c r="AF588" s="25"/>
      <c r="AG588" s="22" t="s">
        <v>60</v>
      </c>
      <c r="AH588" s="54">
        <v>2448.0</v>
      </c>
      <c r="AI588" s="22" t="s">
        <v>61</v>
      </c>
      <c r="AJ588" s="27">
        <v>50.0</v>
      </c>
      <c r="AK588" s="31" t="s">
        <v>24</v>
      </c>
      <c r="AL588" s="28">
        <v>44725.0</v>
      </c>
      <c r="AM588" s="29">
        <v>44757.44018518519</v>
      </c>
      <c r="AN588" s="30">
        <v>2.0</v>
      </c>
      <c r="AO588" s="22"/>
      <c r="AP588" s="22"/>
      <c r="AQ588" s="22"/>
      <c r="AR588" s="22"/>
      <c r="AS588" s="22"/>
      <c r="AT588" s="70"/>
      <c r="AU588" s="22"/>
      <c r="AV588" s="57" t="str">
        <f>IFERROR(__xludf.DUMMYFUNCTION("""COMPUTED_VALUE"""),"Hinojosa")</f>
        <v>Hinojosa</v>
      </c>
      <c r="AW588" s="46">
        <f t="shared" si="7"/>
        <v>100</v>
      </c>
      <c r="AX588" s="47">
        <f t="shared" ref="AX588:BQ588" si="1874">SUMIFS($AJ:$AJ,$V:$V,$AV588,$AK:$AK,AX$2)</f>
        <v>0</v>
      </c>
      <c r="AY588" s="48">
        <f t="shared" si="1874"/>
        <v>0</v>
      </c>
      <c r="AZ588" s="48">
        <f t="shared" si="1874"/>
        <v>0</v>
      </c>
      <c r="BA588" s="48">
        <f t="shared" si="1874"/>
        <v>0</v>
      </c>
      <c r="BB588" s="48">
        <f t="shared" si="1874"/>
        <v>100</v>
      </c>
      <c r="BC588" s="48">
        <f t="shared" si="1874"/>
        <v>0</v>
      </c>
      <c r="BD588" s="48">
        <f t="shared" si="1874"/>
        <v>0</v>
      </c>
      <c r="BE588" s="48">
        <f t="shared" si="1874"/>
        <v>0</v>
      </c>
      <c r="BF588" s="48">
        <f t="shared" si="1874"/>
        <v>0</v>
      </c>
      <c r="BG588" s="48">
        <f t="shared" si="1874"/>
        <v>0</v>
      </c>
      <c r="BH588" s="48">
        <f t="shared" si="1874"/>
        <v>0</v>
      </c>
      <c r="BI588" s="48">
        <f t="shared" si="1874"/>
        <v>0</v>
      </c>
      <c r="BJ588" s="48">
        <f t="shared" si="1874"/>
        <v>0</v>
      </c>
      <c r="BK588" s="48">
        <f t="shared" si="1874"/>
        <v>0</v>
      </c>
      <c r="BL588" s="48">
        <f t="shared" si="1874"/>
        <v>0</v>
      </c>
      <c r="BM588" s="48">
        <f t="shared" si="1874"/>
        <v>0</v>
      </c>
      <c r="BN588" s="48">
        <f t="shared" si="1874"/>
        <v>0</v>
      </c>
      <c r="BO588" s="48">
        <f t="shared" si="1874"/>
        <v>0</v>
      </c>
      <c r="BP588" s="48">
        <f t="shared" si="1874"/>
        <v>0</v>
      </c>
      <c r="BQ588" s="48">
        <f t="shared" si="1874"/>
        <v>0</v>
      </c>
      <c r="BR588" s="36">
        <f t="shared" si="9"/>
        <v>0</v>
      </c>
      <c r="BS588" s="38">
        <f t="shared" si="10"/>
        <v>1</v>
      </c>
      <c r="BT588" s="49">
        <f t="shared" si="11"/>
        <v>0</v>
      </c>
      <c r="BU588" s="38">
        <f t="shared" si="12"/>
        <v>1000</v>
      </c>
      <c r="BV588" s="57" t="str">
        <f>IFERROR(__xludf.DUMMYFUNCTION("""COMPUTED_VALUE"""),"Hinojosa")</f>
        <v>Hinojosa</v>
      </c>
      <c r="BW588" s="46">
        <f t="shared" si="13"/>
        <v>100</v>
      </c>
      <c r="BX588" s="47">
        <f t="shared" ref="BX588:CA588" si="1875">AX588-$BU588</f>
        <v>-1000</v>
      </c>
      <c r="BY588" s="47">
        <f t="shared" si="1875"/>
        <v>-1000</v>
      </c>
      <c r="BZ588" s="47">
        <f t="shared" si="1875"/>
        <v>-1000</v>
      </c>
      <c r="CA588" s="47">
        <f t="shared" si="1875"/>
        <v>-1000</v>
      </c>
      <c r="CB588" s="47">
        <f t="shared" si="15"/>
        <v>-9900</v>
      </c>
      <c r="CC588" s="47">
        <f t="shared" ref="CC588:CQ588" si="1876">BC588-$BU588</f>
        <v>-1000</v>
      </c>
      <c r="CD588" s="47">
        <f t="shared" si="1876"/>
        <v>-1000</v>
      </c>
      <c r="CE588" s="47">
        <f t="shared" si="1876"/>
        <v>-1000</v>
      </c>
      <c r="CF588" s="47">
        <f t="shared" si="1876"/>
        <v>-1000</v>
      </c>
      <c r="CG588" s="47">
        <f t="shared" si="1876"/>
        <v>-1000</v>
      </c>
      <c r="CH588" s="47">
        <f t="shared" si="1876"/>
        <v>-1000</v>
      </c>
      <c r="CI588" s="47">
        <f t="shared" si="1876"/>
        <v>-1000</v>
      </c>
      <c r="CJ588" s="47">
        <f t="shared" si="1876"/>
        <v>-1000</v>
      </c>
      <c r="CK588" s="47">
        <f t="shared" si="1876"/>
        <v>-1000</v>
      </c>
      <c r="CL588" s="47">
        <f t="shared" si="1876"/>
        <v>-1000</v>
      </c>
      <c r="CM588" s="47">
        <f t="shared" si="1876"/>
        <v>-1000</v>
      </c>
      <c r="CN588" s="47">
        <f t="shared" si="1876"/>
        <v>-1000</v>
      </c>
      <c r="CO588" s="47">
        <f t="shared" si="1876"/>
        <v>-1000</v>
      </c>
      <c r="CP588" s="47">
        <f t="shared" si="1876"/>
        <v>-1000</v>
      </c>
      <c r="CQ588" s="47">
        <f t="shared" si="1876"/>
        <v>-1000</v>
      </c>
      <c r="CR588" s="47"/>
      <c r="CS588" s="47"/>
      <c r="CT588" s="47"/>
      <c r="CU588" s="50" t="str">
        <f>IFERROR(__xludf.DUMMYFUNCTION("""COMPUTED_VALUE"""),"6829 Blackwood
Dallas, TX 75231           ")</f>
        <v>6829 Blackwood
Dallas, TX 75231           </v>
      </c>
      <c r="CV588" s="51">
        <f>IFERROR(__xludf.DUMMYFUNCTION("IF(REGEXMATCH(UPPER(CU588), ""TX""),0,1)"),0.0)</f>
        <v>0</v>
      </c>
      <c r="CW588" s="51">
        <f>IFERROR(__xludf.DUMMYFUNCTION("IF(REGEXMATCH(UPPER(CU588), ""DALLAS""),0,1)"),0.0)</f>
        <v>0</v>
      </c>
      <c r="CX588" s="51">
        <f t="shared" si="17"/>
        <v>0</v>
      </c>
      <c r="CY588" s="51">
        <f t="shared" si="18"/>
        <v>0</v>
      </c>
      <c r="CZ588" s="52" t="str">
        <f t="shared" si="19"/>
        <v/>
      </c>
      <c r="DA588" s="58"/>
      <c r="DB588" s="52"/>
      <c r="DC588" s="52"/>
      <c r="DD588" s="52"/>
      <c r="DE588" s="52"/>
      <c r="DF588" s="52"/>
      <c r="DG588" s="52"/>
      <c r="DH588" s="52"/>
      <c r="DI588" s="52"/>
      <c r="DJ588" s="52"/>
      <c r="DK588" s="52"/>
      <c r="DL588" s="52"/>
      <c r="DM588" s="52"/>
      <c r="DN588" s="52"/>
      <c r="DO588" s="52"/>
      <c r="DP588" s="52"/>
      <c r="DQ588" s="52"/>
      <c r="DR588" s="52"/>
      <c r="DS588" s="52"/>
      <c r="DT588" s="52"/>
      <c r="DU588" s="52"/>
      <c r="DV588" s="52"/>
      <c r="DW588" s="52"/>
    </row>
    <row r="589">
      <c r="A589" s="40" t="s">
        <v>55</v>
      </c>
      <c r="B589" s="41" t="s">
        <v>56</v>
      </c>
      <c r="C589" s="31" t="s">
        <v>1587</v>
      </c>
      <c r="D589" s="25" t="str">
        <f>IFERROR(__xludf.DUMMYFUNCTION("SPLIT(C589,"" "")"),"Crone,")</f>
        <v>Crone,</v>
      </c>
      <c r="E589" s="40" t="str">
        <f>IFERROR(__xludf.DUMMYFUNCTION("""COMPUTED_VALUE"""),"Phil
6518")</f>
        <v>Phil
6518</v>
      </c>
      <c r="F589" s="40" t="str">
        <f>IFERROR(__xludf.DUMMYFUNCTION("""COMPUTED_VALUE"""),"Trammel")</f>
        <v>Trammel</v>
      </c>
      <c r="G589" s="40" t="str">
        <f>IFERROR(__xludf.DUMMYFUNCTION("""COMPUTED_VALUE"""),"Dr.
Dallas,")</f>
        <v>Dr.
Dallas,</v>
      </c>
      <c r="H589" s="40" t="str">
        <f>IFERROR(__xludf.DUMMYFUNCTION("""COMPUTED_VALUE"""),"TX")</f>
        <v>TX</v>
      </c>
      <c r="I589" s="40">
        <f>IFERROR(__xludf.DUMMYFUNCTION("""COMPUTED_VALUE"""),75214.0)</f>
        <v>75214</v>
      </c>
      <c r="J589" s="40"/>
      <c r="K589" s="40"/>
      <c r="L589" s="40"/>
      <c r="M589" s="40"/>
      <c r="N589" s="40"/>
      <c r="O589" s="40"/>
      <c r="P589" s="40"/>
      <c r="Q589" s="40"/>
      <c r="R589" s="40"/>
      <c r="S589" s="40"/>
      <c r="T589" s="40"/>
      <c r="U589" s="24" t="str">
        <f>IFERROR(__xludf.DUMMYFUNCTION("SPLIT(E589,""01234567890"")"),"Phil
")</f>
        <v>Phil
</v>
      </c>
      <c r="V589" s="24" t="str">
        <f>IFERROR(__xludf.DUMMYFUNCTION("SPLIT(D589,"","")"),"Crone")</f>
        <v>Crone</v>
      </c>
      <c r="W589" s="25" t="str">
        <f t="shared" si="1"/>
        <v>PHIL
 CRONE</v>
      </c>
      <c r="X589" s="25" t="s">
        <v>1588</v>
      </c>
      <c r="Y589" s="25">
        <v>75214.0</v>
      </c>
      <c r="Z589" s="25" t="str">
        <f>IFERROR(__xludf.DUMMYFUNCTION("SPLIT(C589,""
"")"),"Crone, Phil")</f>
        <v>Crone, Phil</v>
      </c>
      <c r="AA589" s="25" t="str">
        <f>IFERROR(__xludf.DUMMYFUNCTION("""COMPUTED_VALUE"""),"6518 Trammel Dr.")</f>
        <v>6518 Trammel Dr.</v>
      </c>
      <c r="AB589" s="25" t="str">
        <f>IFERROR(__xludf.DUMMYFUNCTION("""COMPUTED_VALUE"""),"Dallas, TX 75214")</f>
        <v>Dallas, TX 75214</v>
      </c>
      <c r="AC589" s="24" t="s">
        <v>1589</v>
      </c>
      <c r="AD589" s="25"/>
      <c r="AE589" s="25"/>
      <c r="AF589" s="25"/>
      <c r="AG589" s="40" t="s">
        <v>60</v>
      </c>
      <c r="AH589" s="42">
        <v>2448.0</v>
      </c>
      <c r="AI589" s="40" t="s">
        <v>61</v>
      </c>
      <c r="AJ589" s="27">
        <v>1000.0</v>
      </c>
      <c r="AK589" s="31" t="s">
        <v>24</v>
      </c>
      <c r="AL589" s="43">
        <v>44725.0</v>
      </c>
      <c r="AM589" s="44">
        <v>44757.44018518519</v>
      </c>
      <c r="AN589" s="30">
        <v>2.0</v>
      </c>
      <c r="AO589" s="40"/>
      <c r="AP589" s="40"/>
      <c r="AQ589" s="40"/>
      <c r="AR589" s="40"/>
      <c r="AS589" s="40"/>
      <c r="AT589" s="47"/>
      <c r="AU589" s="40"/>
      <c r="AV589" s="46" t="str">
        <f>IFERROR(__xludf.DUMMYFUNCTION("""COMPUTED_VALUE"""),"Meade")</f>
        <v>Meade</v>
      </c>
      <c r="AW589" s="46">
        <f t="shared" si="7"/>
        <v>5000</v>
      </c>
      <c r="AX589" s="47">
        <f t="shared" ref="AX589:BQ589" si="1877">SUMIFS($AJ:$AJ,$V:$V,$AV589,$AK:$AK,AX$2)</f>
        <v>0</v>
      </c>
      <c r="AY589" s="48">
        <f t="shared" si="1877"/>
        <v>0</v>
      </c>
      <c r="AZ589" s="48">
        <f t="shared" si="1877"/>
        <v>0</v>
      </c>
      <c r="BA589" s="48">
        <f t="shared" si="1877"/>
        <v>0</v>
      </c>
      <c r="BB589" s="48">
        <f t="shared" si="1877"/>
        <v>5000</v>
      </c>
      <c r="BC589" s="48">
        <f t="shared" si="1877"/>
        <v>0</v>
      </c>
      <c r="BD589" s="48">
        <f t="shared" si="1877"/>
        <v>0</v>
      </c>
      <c r="BE589" s="48">
        <f t="shared" si="1877"/>
        <v>0</v>
      </c>
      <c r="BF589" s="48">
        <f t="shared" si="1877"/>
        <v>0</v>
      </c>
      <c r="BG589" s="48">
        <f t="shared" si="1877"/>
        <v>0</v>
      </c>
      <c r="BH589" s="48">
        <f t="shared" si="1877"/>
        <v>0</v>
      </c>
      <c r="BI589" s="48">
        <f t="shared" si="1877"/>
        <v>0</v>
      </c>
      <c r="BJ589" s="48">
        <f t="shared" si="1877"/>
        <v>0</v>
      </c>
      <c r="BK589" s="48">
        <f t="shared" si="1877"/>
        <v>0</v>
      </c>
      <c r="BL589" s="48">
        <f t="shared" si="1877"/>
        <v>0</v>
      </c>
      <c r="BM589" s="48">
        <f t="shared" si="1877"/>
        <v>0</v>
      </c>
      <c r="BN589" s="48">
        <f t="shared" si="1877"/>
        <v>0</v>
      </c>
      <c r="BO589" s="48">
        <f t="shared" si="1877"/>
        <v>0</v>
      </c>
      <c r="BP589" s="48">
        <f t="shared" si="1877"/>
        <v>0</v>
      </c>
      <c r="BQ589" s="48">
        <f t="shared" si="1877"/>
        <v>0</v>
      </c>
      <c r="BR589" s="36">
        <f t="shared" si="9"/>
        <v>0</v>
      </c>
      <c r="BS589" s="38">
        <f t="shared" si="10"/>
        <v>1</v>
      </c>
      <c r="BT589" s="49">
        <f t="shared" si="11"/>
        <v>0</v>
      </c>
      <c r="BU589" s="38">
        <f t="shared" si="12"/>
        <v>1000</v>
      </c>
      <c r="BV589" s="46" t="str">
        <f>IFERROR(__xludf.DUMMYFUNCTION("""COMPUTED_VALUE"""),"Meade")</f>
        <v>Meade</v>
      </c>
      <c r="BW589" s="46">
        <f t="shared" si="13"/>
        <v>5000</v>
      </c>
      <c r="BX589" s="47">
        <f t="shared" ref="BX589:CA589" si="1878">AX589-$BU589</f>
        <v>-1000</v>
      </c>
      <c r="BY589" s="47">
        <f t="shared" si="1878"/>
        <v>-1000</v>
      </c>
      <c r="BZ589" s="47">
        <f t="shared" si="1878"/>
        <v>-1000</v>
      </c>
      <c r="CA589" s="47">
        <f t="shared" si="1878"/>
        <v>-1000</v>
      </c>
      <c r="CB589" s="47">
        <f t="shared" si="15"/>
        <v>-5000</v>
      </c>
      <c r="CC589" s="47">
        <f t="shared" ref="CC589:CQ589" si="1879">BC589-$BU589</f>
        <v>-1000</v>
      </c>
      <c r="CD589" s="47">
        <f t="shared" si="1879"/>
        <v>-1000</v>
      </c>
      <c r="CE589" s="47">
        <f t="shared" si="1879"/>
        <v>-1000</v>
      </c>
      <c r="CF589" s="47">
        <f t="shared" si="1879"/>
        <v>-1000</v>
      </c>
      <c r="CG589" s="47">
        <f t="shared" si="1879"/>
        <v>-1000</v>
      </c>
      <c r="CH589" s="47">
        <f t="shared" si="1879"/>
        <v>-1000</v>
      </c>
      <c r="CI589" s="47">
        <f t="shared" si="1879"/>
        <v>-1000</v>
      </c>
      <c r="CJ589" s="47">
        <f t="shared" si="1879"/>
        <v>-1000</v>
      </c>
      <c r="CK589" s="47">
        <f t="shared" si="1879"/>
        <v>-1000</v>
      </c>
      <c r="CL589" s="47">
        <f t="shared" si="1879"/>
        <v>-1000</v>
      </c>
      <c r="CM589" s="47">
        <f t="shared" si="1879"/>
        <v>-1000</v>
      </c>
      <c r="CN589" s="47">
        <f t="shared" si="1879"/>
        <v>-1000</v>
      </c>
      <c r="CO589" s="47">
        <f t="shared" si="1879"/>
        <v>-1000</v>
      </c>
      <c r="CP589" s="47">
        <f t="shared" si="1879"/>
        <v>-1000</v>
      </c>
      <c r="CQ589" s="47">
        <f t="shared" si="1879"/>
        <v>-1000</v>
      </c>
      <c r="CR589" s="47"/>
      <c r="CS589" s="47"/>
      <c r="CT589" s="47"/>
      <c r="CU589" s="50" t="str">
        <f>IFERROR(__xludf.DUMMYFUNCTION("""COMPUTED_VALUE"""),"9624 Spring Branch
Dallas, TX 75238          ")</f>
        <v>9624 Spring Branch
Dallas, TX 75238          </v>
      </c>
      <c r="CV589" s="51">
        <f>IFERROR(__xludf.DUMMYFUNCTION("IF(REGEXMATCH(UPPER(CU589), ""TX""),0,1)"),0.0)</f>
        <v>0</v>
      </c>
      <c r="CW589" s="51">
        <f>IFERROR(__xludf.DUMMYFUNCTION("IF(REGEXMATCH(UPPER(CU589), ""DALLAS""),0,1)"),0.0)</f>
        <v>0</v>
      </c>
      <c r="CX589" s="51">
        <f t="shared" si="17"/>
        <v>0</v>
      </c>
      <c r="CY589" s="51">
        <f t="shared" si="18"/>
        <v>0</v>
      </c>
      <c r="CZ589" s="52" t="str">
        <f t="shared" si="19"/>
        <v/>
      </c>
      <c r="DA589" s="58"/>
      <c r="DB589" s="52"/>
      <c r="DC589" s="52"/>
      <c r="DD589" s="52"/>
      <c r="DE589" s="52"/>
      <c r="DF589" s="52"/>
      <c r="DG589" s="52"/>
      <c r="DH589" s="52"/>
      <c r="DI589" s="52"/>
      <c r="DJ589" s="52"/>
      <c r="DK589" s="52"/>
      <c r="DL589" s="52"/>
      <c r="DM589" s="52"/>
      <c r="DN589" s="52"/>
      <c r="DO589" s="52"/>
      <c r="DP589" s="52"/>
      <c r="DQ589" s="52"/>
      <c r="DR589" s="52"/>
      <c r="DS589" s="52"/>
      <c r="DT589" s="52"/>
      <c r="DU589" s="52"/>
      <c r="DV589" s="52"/>
      <c r="DW589" s="52"/>
    </row>
    <row r="590">
      <c r="A590" s="22" t="s">
        <v>55</v>
      </c>
      <c r="B590" s="23" t="s">
        <v>56</v>
      </c>
      <c r="C590" s="31" t="s">
        <v>1590</v>
      </c>
      <c r="D590" s="25" t="str">
        <f>IFERROR(__xludf.DUMMYFUNCTION("SPLIT(C590,"" "")"),"Garcia,")</f>
        <v>Garcia,</v>
      </c>
      <c r="E590" s="22" t="str">
        <f>IFERROR(__xludf.DUMMYFUNCTION("""COMPUTED_VALUE"""),"Ryan
3901")</f>
        <v>Ryan
3901</v>
      </c>
      <c r="F590" s="22" t="str">
        <f>IFERROR(__xludf.DUMMYFUNCTION("""COMPUTED_VALUE"""),"Travis")</f>
        <v>Travis</v>
      </c>
      <c r="G590" s="22" t="str">
        <f>IFERROR(__xludf.DUMMYFUNCTION("""COMPUTED_VALUE"""),"St.
Dallas,")</f>
        <v>St.
Dallas,</v>
      </c>
      <c r="H590" s="22" t="str">
        <f>IFERROR(__xludf.DUMMYFUNCTION("""COMPUTED_VALUE"""),"TX")</f>
        <v>TX</v>
      </c>
      <c r="I590" s="22">
        <f>IFERROR(__xludf.DUMMYFUNCTION("""COMPUTED_VALUE"""),75204.0)</f>
        <v>75204</v>
      </c>
      <c r="J590" s="22"/>
      <c r="K590" s="22"/>
      <c r="L590" s="22"/>
      <c r="M590" s="22"/>
      <c r="N590" s="22"/>
      <c r="O590" s="22"/>
      <c r="P590" s="22"/>
      <c r="Q590" s="22"/>
      <c r="R590" s="22"/>
      <c r="S590" s="22"/>
      <c r="T590" s="22"/>
      <c r="U590" s="24" t="str">
        <f>IFERROR(__xludf.DUMMYFUNCTION("SPLIT(E590,""01234567890"")"),"Ryan
")</f>
        <v>Ryan
</v>
      </c>
      <c r="V590" s="24" t="str">
        <f>IFERROR(__xludf.DUMMYFUNCTION("SPLIT(D590,"","")"),"Garcia")</f>
        <v>Garcia</v>
      </c>
      <c r="W590" s="25" t="str">
        <f t="shared" si="1"/>
        <v>RYAN
 GARCIA</v>
      </c>
      <c r="X590" s="25" t="s">
        <v>1591</v>
      </c>
      <c r="Y590" s="25">
        <v>75204.0</v>
      </c>
      <c r="Z590" s="25" t="str">
        <f>IFERROR(__xludf.DUMMYFUNCTION("SPLIT(C590,""
"")"),"Garcia, Ryan")</f>
        <v>Garcia, Ryan</v>
      </c>
      <c r="AA590" s="25" t="str">
        <f>IFERROR(__xludf.DUMMYFUNCTION("""COMPUTED_VALUE"""),"3901 Travis St.")</f>
        <v>3901 Travis St.</v>
      </c>
      <c r="AB590" s="25" t="str">
        <f>IFERROR(__xludf.DUMMYFUNCTION("""COMPUTED_VALUE"""),"Dallas, TX 75204")</f>
        <v>Dallas, TX 75204</v>
      </c>
      <c r="AC590" s="24" t="s">
        <v>1592</v>
      </c>
      <c r="AD590" s="25"/>
      <c r="AE590" s="25"/>
      <c r="AF590" s="25"/>
      <c r="AG590" s="22" t="s">
        <v>60</v>
      </c>
      <c r="AH590" s="54">
        <v>2448.0</v>
      </c>
      <c r="AI590" s="22" t="s">
        <v>61</v>
      </c>
      <c r="AJ590" s="27">
        <v>50.0</v>
      </c>
      <c r="AK590" s="31" t="s">
        <v>24</v>
      </c>
      <c r="AL590" s="28">
        <v>44725.0</v>
      </c>
      <c r="AM590" s="29">
        <v>44757.44018518519</v>
      </c>
      <c r="AN590" s="30">
        <v>2.0</v>
      </c>
      <c r="AO590" s="22"/>
      <c r="AP590" s="22"/>
      <c r="AQ590" s="22"/>
      <c r="AR590" s="22"/>
      <c r="AS590" s="22"/>
      <c r="AT590" s="70"/>
      <c r="AU590" s="22"/>
      <c r="AV590" s="57" t="str">
        <f>IFERROR(__xludf.DUMMYFUNCTION("""COMPUTED_VALUE"""),"Satterthwaite")</f>
        <v>Satterthwaite</v>
      </c>
      <c r="AW590" s="46">
        <f t="shared" si="7"/>
        <v>100</v>
      </c>
      <c r="AX590" s="47">
        <f t="shared" ref="AX590:BQ590" si="1880">SUMIFS($AJ:$AJ,$V:$V,$AV590,$AK:$AK,AX$2)</f>
        <v>0</v>
      </c>
      <c r="AY590" s="48">
        <f t="shared" si="1880"/>
        <v>0</v>
      </c>
      <c r="AZ590" s="48">
        <f t="shared" si="1880"/>
        <v>0</v>
      </c>
      <c r="BA590" s="48">
        <f t="shared" si="1880"/>
        <v>0</v>
      </c>
      <c r="BB590" s="48">
        <f t="shared" si="1880"/>
        <v>100</v>
      </c>
      <c r="BC590" s="48">
        <f t="shared" si="1880"/>
        <v>0</v>
      </c>
      <c r="BD590" s="48">
        <f t="shared" si="1880"/>
        <v>0</v>
      </c>
      <c r="BE590" s="48">
        <f t="shared" si="1880"/>
        <v>0</v>
      </c>
      <c r="BF590" s="48">
        <f t="shared" si="1880"/>
        <v>0</v>
      </c>
      <c r="BG590" s="48">
        <f t="shared" si="1880"/>
        <v>0</v>
      </c>
      <c r="BH590" s="48">
        <f t="shared" si="1880"/>
        <v>0</v>
      </c>
      <c r="BI590" s="48">
        <f t="shared" si="1880"/>
        <v>0</v>
      </c>
      <c r="BJ590" s="48">
        <f t="shared" si="1880"/>
        <v>0</v>
      </c>
      <c r="BK590" s="48">
        <f t="shared" si="1880"/>
        <v>0</v>
      </c>
      <c r="BL590" s="48">
        <f t="shared" si="1880"/>
        <v>0</v>
      </c>
      <c r="BM590" s="48">
        <f t="shared" si="1880"/>
        <v>0</v>
      </c>
      <c r="BN590" s="48">
        <f t="shared" si="1880"/>
        <v>0</v>
      </c>
      <c r="BO590" s="48">
        <f t="shared" si="1880"/>
        <v>0</v>
      </c>
      <c r="BP590" s="48">
        <f t="shared" si="1880"/>
        <v>0</v>
      </c>
      <c r="BQ590" s="48">
        <f t="shared" si="1880"/>
        <v>0</v>
      </c>
      <c r="BR590" s="36">
        <f t="shared" si="9"/>
        <v>0</v>
      </c>
      <c r="BS590" s="38">
        <f t="shared" si="10"/>
        <v>1</v>
      </c>
      <c r="BT590" s="49">
        <f t="shared" si="11"/>
        <v>0</v>
      </c>
      <c r="BU590" s="38">
        <f t="shared" si="12"/>
        <v>1000</v>
      </c>
      <c r="BV590" s="57" t="str">
        <f>IFERROR(__xludf.DUMMYFUNCTION("""COMPUTED_VALUE"""),"Satterthwaite")</f>
        <v>Satterthwaite</v>
      </c>
      <c r="BW590" s="46">
        <f t="shared" si="13"/>
        <v>100</v>
      </c>
      <c r="BX590" s="47">
        <f t="shared" ref="BX590:CA590" si="1881">AX590-$BU590</f>
        <v>-1000</v>
      </c>
      <c r="BY590" s="47">
        <f t="shared" si="1881"/>
        <v>-1000</v>
      </c>
      <c r="BZ590" s="47">
        <f t="shared" si="1881"/>
        <v>-1000</v>
      </c>
      <c r="CA590" s="47">
        <f t="shared" si="1881"/>
        <v>-1000</v>
      </c>
      <c r="CB590" s="47">
        <f t="shared" si="15"/>
        <v>-9900</v>
      </c>
      <c r="CC590" s="47">
        <f t="shared" ref="CC590:CQ590" si="1882">BC590-$BU590</f>
        <v>-1000</v>
      </c>
      <c r="CD590" s="47">
        <f t="shared" si="1882"/>
        <v>-1000</v>
      </c>
      <c r="CE590" s="47">
        <f t="shared" si="1882"/>
        <v>-1000</v>
      </c>
      <c r="CF590" s="47">
        <f t="shared" si="1882"/>
        <v>-1000</v>
      </c>
      <c r="CG590" s="47">
        <f t="shared" si="1882"/>
        <v>-1000</v>
      </c>
      <c r="CH590" s="47">
        <f t="shared" si="1882"/>
        <v>-1000</v>
      </c>
      <c r="CI590" s="47">
        <f t="shared" si="1882"/>
        <v>-1000</v>
      </c>
      <c r="CJ590" s="47">
        <f t="shared" si="1882"/>
        <v>-1000</v>
      </c>
      <c r="CK590" s="47">
        <f t="shared" si="1882"/>
        <v>-1000</v>
      </c>
      <c r="CL590" s="47">
        <f t="shared" si="1882"/>
        <v>-1000</v>
      </c>
      <c r="CM590" s="47">
        <f t="shared" si="1882"/>
        <v>-1000</v>
      </c>
      <c r="CN590" s="47">
        <f t="shared" si="1882"/>
        <v>-1000</v>
      </c>
      <c r="CO590" s="47">
        <f t="shared" si="1882"/>
        <v>-1000</v>
      </c>
      <c r="CP590" s="47">
        <f t="shared" si="1882"/>
        <v>-1000</v>
      </c>
      <c r="CQ590" s="47">
        <f t="shared" si="1882"/>
        <v>-1000</v>
      </c>
      <c r="CR590" s="47"/>
      <c r="CS590" s="47"/>
      <c r="CT590" s="47"/>
      <c r="CU590" s="50" t="str">
        <f>IFERROR(__xludf.DUMMYFUNCTION("""COMPUTED_VALUE"""),"3221 Clubview Dr
Argyle, TX 76226          ")</f>
        <v>3221 Clubview Dr
Argyle, TX 76226          </v>
      </c>
      <c r="CV590" s="51">
        <f>IFERROR(__xludf.DUMMYFUNCTION("IF(REGEXMATCH(UPPER(CU590), ""TX""),0,1)"),0.0)</f>
        <v>0</v>
      </c>
      <c r="CW590" s="51">
        <f>IFERROR(__xludf.DUMMYFUNCTION("IF(REGEXMATCH(UPPER(CU590), ""DALLAS""),0,1)"),1.0)</f>
        <v>1</v>
      </c>
      <c r="CX590" s="51">
        <f t="shared" si="17"/>
        <v>0</v>
      </c>
      <c r="CY590" s="51">
        <f t="shared" si="18"/>
        <v>100</v>
      </c>
      <c r="CZ590" s="52" t="str">
        <f t="shared" si="19"/>
        <v>3221 Clubview Dr
Argyle, TX 76226          </v>
      </c>
      <c r="DA590" s="58"/>
      <c r="DB590" s="52"/>
      <c r="DC590" s="52"/>
      <c r="DD590" s="52"/>
      <c r="DE590" s="52"/>
      <c r="DF590" s="52"/>
      <c r="DG590" s="52"/>
      <c r="DH590" s="52"/>
      <c r="DI590" s="52"/>
      <c r="DJ590" s="52"/>
      <c r="DK590" s="52"/>
      <c r="DL590" s="52"/>
      <c r="DM590" s="52"/>
      <c r="DN590" s="52"/>
      <c r="DO590" s="52"/>
      <c r="DP590" s="52"/>
      <c r="DQ590" s="52"/>
      <c r="DR590" s="52"/>
      <c r="DS590" s="52"/>
      <c r="DT590" s="52"/>
      <c r="DU590" s="52"/>
      <c r="DV590" s="52"/>
      <c r="DW590" s="52"/>
    </row>
    <row r="591">
      <c r="A591" s="40" t="s">
        <v>55</v>
      </c>
      <c r="B591" s="41" t="s">
        <v>56</v>
      </c>
      <c r="C591" s="31" t="s">
        <v>1593</v>
      </c>
      <c r="D591" s="25" t="str">
        <f>IFERROR(__xludf.DUMMYFUNCTION("SPLIT(C591,"" "")"),"Griggs,")</f>
        <v>Griggs,</v>
      </c>
      <c r="E591" s="40" t="str">
        <f>IFERROR(__xludf.DUMMYFUNCTION("""COMPUTED_VALUE"""),"David
13214")</f>
        <v>David
13214</v>
      </c>
      <c r="F591" s="40" t="str">
        <f>IFERROR(__xludf.DUMMYFUNCTION("""COMPUTED_VALUE"""),"Glad")</f>
        <v>Glad</v>
      </c>
      <c r="G591" s="40" t="str">
        <f>IFERROR(__xludf.DUMMYFUNCTION("""COMPUTED_VALUE"""),"Acres
Dallas,")</f>
        <v>Acres
Dallas,</v>
      </c>
      <c r="H591" s="40" t="str">
        <f>IFERROR(__xludf.DUMMYFUNCTION("""COMPUTED_VALUE"""),"TX")</f>
        <v>TX</v>
      </c>
      <c r="I591" s="40">
        <f>IFERROR(__xludf.DUMMYFUNCTION("""COMPUTED_VALUE"""),75234.0)</f>
        <v>75234</v>
      </c>
      <c r="J591" s="40"/>
      <c r="K591" s="40"/>
      <c r="L591" s="40"/>
      <c r="M591" s="40"/>
      <c r="N591" s="40"/>
      <c r="O591" s="40"/>
      <c r="P591" s="40"/>
      <c r="Q591" s="40"/>
      <c r="R591" s="40"/>
      <c r="S591" s="40"/>
      <c r="T591" s="40"/>
      <c r="U591" s="24" t="str">
        <f>IFERROR(__xludf.DUMMYFUNCTION("SPLIT(E591,""01234567890"")"),"David
")</f>
        <v>David
</v>
      </c>
      <c r="V591" s="24" t="str">
        <f>IFERROR(__xludf.DUMMYFUNCTION("SPLIT(D591,"","")"),"Griggs")</f>
        <v>Griggs</v>
      </c>
      <c r="W591" s="25" t="str">
        <f t="shared" si="1"/>
        <v>DAVID
 GRIGGS</v>
      </c>
      <c r="X591" s="25" t="s">
        <v>1594</v>
      </c>
      <c r="Y591" s="25">
        <v>75234.0</v>
      </c>
      <c r="Z591" s="25" t="str">
        <f>IFERROR(__xludf.DUMMYFUNCTION("SPLIT(C591,""
"")"),"Griggs, David")</f>
        <v>Griggs, David</v>
      </c>
      <c r="AA591" s="25" t="str">
        <f>IFERROR(__xludf.DUMMYFUNCTION("""COMPUTED_VALUE"""),"13214 Glad Acres")</f>
        <v>13214 Glad Acres</v>
      </c>
      <c r="AB591" s="25" t="str">
        <f>IFERROR(__xludf.DUMMYFUNCTION("""COMPUTED_VALUE"""),"Dallas, TX 75234")</f>
        <v>Dallas, TX 75234</v>
      </c>
      <c r="AC591" s="24" t="s">
        <v>1595</v>
      </c>
      <c r="AD591" s="25"/>
      <c r="AE591" s="25"/>
      <c r="AF591" s="25"/>
      <c r="AG591" s="40" t="s">
        <v>60</v>
      </c>
      <c r="AH591" s="42">
        <v>2448.0</v>
      </c>
      <c r="AI591" s="40" t="s">
        <v>61</v>
      </c>
      <c r="AJ591" s="27">
        <v>50.0</v>
      </c>
      <c r="AK591" s="31" t="s">
        <v>24</v>
      </c>
      <c r="AL591" s="43">
        <v>44725.0</v>
      </c>
      <c r="AM591" s="44">
        <v>44757.44018518519</v>
      </c>
      <c r="AN591" s="30">
        <v>2.0</v>
      </c>
      <c r="AO591" s="40"/>
      <c r="AP591" s="40"/>
      <c r="AQ591" s="40"/>
      <c r="AR591" s="40"/>
      <c r="AS591" s="40"/>
      <c r="AT591" s="47"/>
      <c r="AU591" s="40"/>
      <c r="AV591" s="46" t="str">
        <f>IFERROR(__xludf.DUMMYFUNCTION("""COMPUTED_VALUE"""),"Kutac")</f>
        <v>Kutac</v>
      </c>
      <c r="AW591" s="46">
        <f t="shared" si="7"/>
        <v>100</v>
      </c>
      <c r="AX591" s="47">
        <f t="shared" ref="AX591:BQ591" si="1883">SUMIFS($AJ:$AJ,$V:$V,$AV591,$AK:$AK,AX$2)</f>
        <v>0</v>
      </c>
      <c r="AY591" s="48">
        <f t="shared" si="1883"/>
        <v>0</v>
      </c>
      <c r="AZ591" s="48">
        <f t="shared" si="1883"/>
        <v>0</v>
      </c>
      <c r="BA591" s="48">
        <f t="shared" si="1883"/>
        <v>0</v>
      </c>
      <c r="BB591" s="48">
        <f t="shared" si="1883"/>
        <v>100</v>
      </c>
      <c r="BC591" s="48">
        <f t="shared" si="1883"/>
        <v>0</v>
      </c>
      <c r="BD591" s="48">
        <f t="shared" si="1883"/>
        <v>0</v>
      </c>
      <c r="BE591" s="48">
        <f t="shared" si="1883"/>
        <v>0</v>
      </c>
      <c r="BF591" s="48">
        <f t="shared" si="1883"/>
        <v>0</v>
      </c>
      <c r="BG591" s="48">
        <f t="shared" si="1883"/>
        <v>0</v>
      </c>
      <c r="BH591" s="48">
        <f t="shared" si="1883"/>
        <v>0</v>
      </c>
      <c r="BI591" s="48">
        <f t="shared" si="1883"/>
        <v>0</v>
      </c>
      <c r="BJ591" s="48">
        <f t="shared" si="1883"/>
        <v>0</v>
      </c>
      <c r="BK591" s="48">
        <f t="shared" si="1883"/>
        <v>0</v>
      </c>
      <c r="BL591" s="48">
        <f t="shared" si="1883"/>
        <v>0</v>
      </c>
      <c r="BM591" s="48">
        <f t="shared" si="1883"/>
        <v>0</v>
      </c>
      <c r="BN591" s="48">
        <f t="shared" si="1883"/>
        <v>0</v>
      </c>
      <c r="BO591" s="48">
        <f t="shared" si="1883"/>
        <v>0</v>
      </c>
      <c r="BP591" s="48">
        <f t="shared" si="1883"/>
        <v>0</v>
      </c>
      <c r="BQ591" s="48">
        <f t="shared" si="1883"/>
        <v>0</v>
      </c>
      <c r="BR591" s="36">
        <f t="shared" si="9"/>
        <v>0</v>
      </c>
      <c r="BS591" s="38">
        <f t="shared" si="10"/>
        <v>1</v>
      </c>
      <c r="BT591" s="49">
        <f t="shared" si="11"/>
        <v>0</v>
      </c>
      <c r="BU591" s="38">
        <f t="shared" si="12"/>
        <v>1000</v>
      </c>
      <c r="BV591" s="46" t="str">
        <f>IFERROR(__xludf.DUMMYFUNCTION("""COMPUTED_VALUE"""),"Kutac")</f>
        <v>Kutac</v>
      </c>
      <c r="BW591" s="46">
        <f t="shared" si="13"/>
        <v>100</v>
      </c>
      <c r="BX591" s="47">
        <f t="shared" ref="BX591:CA591" si="1884">AX591-$BU591</f>
        <v>-1000</v>
      </c>
      <c r="BY591" s="47">
        <f t="shared" si="1884"/>
        <v>-1000</v>
      </c>
      <c r="BZ591" s="47">
        <f t="shared" si="1884"/>
        <v>-1000</v>
      </c>
      <c r="CA591" s="47">
        <f t="shared" si="1884"/>
        <v>-1000</v>
      </c>
      <c r="CB591" s="47">
        <f t="shared" si="15"/>
        <v>-9900</v>
      </c>
      <c r="CC591" s="47">
        <f t="shared" ref="CC591:CQ591" si="1885">BC591-$BU591</f>
        <v>-1000</v>
      </c>
      <c r="CD591" s="47">
        <f t="shared" si="1885"/>
        <v>-1000</v>
      </c>
      <c r="CE591" s="47">
        <f t="shared" si="1885"/>
        <v>-1000</v>
      </c>
      <c r="CF591" s="47">
        <f t="shared" si="1885"/>
        <v>-1000</v>
      </c>
      <c r="CG591" s="47">
        <f t="shared" si="1885"/>
        <v>-1000</v>
      </c>
      <c r="CH591" s="47">
        <f t="shared" si="1885"/>
        <v>-1000</v>
      </c>
      <c r="CI591" s="47">
        <f t="shared" si="1885"/>
        <v>-1000</v>
      </c>
      <c r="CJ591" s="47">
        <f t="shared" si="1885"/>
        <v>-1000</v>
      </c>
      <c r="CK591" s="47">
        <f t="shared" si="1885"/>
        <v>-1000</v>
      </c>
      <c r="CL591" s="47">
        <f t="shared" si="1885"/>
        <v>-1000</v>
      </c>
      <c r="CM591" s="47">
        <f t="shared" si="1885"/>
        <v>-1000</v>
      </c>
      <c r="CN591" s="47">
        <f t="shared" si="1885"/>
        <v>-1000</v>
      </c>
      <c r="CO591" s="47">
        <f t="shared" si="1885"/>
        <v>-1000</v>
      </c>
      <c r="CP591" s="47">
        <f t="shared" si="1885"/>
        <v>-1000</v>
      </c>
      <c r="CQ591" s="47">
        <f t="shared" si="1885"/>
        <v>-1000</v>
      </c>
      <c r="CR591" s="47"/>
      <c r="CS591" s="47"/>
      <c r="CT591" s="47"/>
      <c r="CU591" s="50" t="str">
        <f>IFERROR(__xludf.DUMMYFUNCTION("""COMPUTED_VALUE"""),"9728 Windledge
Dallas, TX 75238           ")</f>
        <v>9728 Windledge
Dallas, TX 75238           </v>
      </c>
      <c r="CV591" s="51">
        <f>IFERROR(__xludf.DUMMYFUNCTION("IF(REGEXMATCH(UPPER(CU591), ""TX""),0,1)"),0.0)</f>
        <v>0</v>
      </c>
      <c r="CW591" s="51">
        <f>IFERROR(__xludf.DUMMYFUNCTION("IF(REGEXMATCH(UPPER(CU591), ""DALLAS""),0,1)"),0.0)</f>
        <v>0</v>
      </c>
      <c r="CX591" s="51">
        <f t="shared" si="17"/>
        <v>0</v>
      </c>
      <c r="CY591" s="51">
        <f t="shared" si="18"/>
        <v>0</v>
      </c>
      <c r="CZ591" s="52" t="str">
        <f t="shared" si="19"/>
        <v/>
      </c>
      <c r="DA591" s="58"/>
      <c r="DB591" s="52"/>
      <c r="DC591" s="52"/>
      <c r="DD591" s="52"/>
      <c r="DE591" s="52"/>
      <c r="DF591" s="52"/>
      <c r="DG591" s="52"/>
      <c r="DH591" s="52"/>
      <c r="DI591" s="52"/>
      <c r="DJ591" s="52"/>
      <c r="DK591" s="52"/>
      <c r="DL591" s="52"/>
      <c r="DM591" s="52"/>
      <c r="DN591" s="52"/>
      <c r="DO591" s="52"/>
      <c r="DP591" s="52"/>
      <c r="DQ591" s="52"/>
      <c r="DR591" s="52"/>
      <c r="DS591" s="52"/>
      <c r="DT591" s="52"/>
      <c r="DU591" s="52"/>
      <c r="DV591" s="52"/>
      <c r="DW591" s="52"/>
    </row>
    <row r="592">
      <c r="A592" s="22" t="s">
        <v>55</v>
      </c>
      <c r="B592" s="23" t="s">
        <v>56</v>
      </c>
      <c r="C592" s="31" t="s">
        <v>1596</v>
      </c>
      <c r="D592" s="25" t="str">
        <f>IFERROR(__xludf.DUMMYFUNCTION("SPLIT(C592,"" "")"),"Kemp,")</f>
        <v>Kemp,</v>
      </c>
      <c r="E592" s="22" t="str">
        <f>IFERROR(__xludf.DUMMYFUNCTION("""COMPUTED_VALUE"""),"Eric
8380")</f>
        <v>Eric
8380</v>
      </c>
      <c r="F592" s="22" t="str">
        <f>IFERROR(__xludf.DUMMYFUNCTION("""COMPUTED_VALUE"""),"San")</f>
        <v>San</v>
      </c>
      <c r="G592" s="22" t="str">
        <f>IFERROR(__xludf.DUMMYFUNCTION("""COMPUTED_VALUE"""),"Leandro")</f>
        <v>Leandro</v>
      </c>
      <c r="H592" s="22" t="str">
        <f>IFERROR(__xludf.DUMMYFUNCTION("""COMPUTED_VALUE"""),"Dr.
Dallas,")</f>
        <v>Dr.
Dallas,</v>
      </c>
      <c r="I592" s="22" t="str">
        <f>IFERROR(__xludf.DUMMYFUNCTION("""COMPUTED_VALUE"""),"TX")</f>
        <v>TX</v>
      </c>
      <c r="J592" s="22">
        <f>IFERROR(__xludf.DUMMYFUNCTION("""COMPUTED_VALUE"""),75218.0)</f>
        <v>75218</v>
      </c>
      <c r="K592" s="22"/>
      <c r="L592" s="22"/>
      <c r="M592" s="22"/>
      <c r="N592" s="22"/>
      <c r="O592" s="22"/>
      <c r="P592" s="22"/>
      <c r="Q592" s="22"/>
      <c r="R592" s="22"/>
      <c r="S592" s="22"/>
      <c r="T592" s="22"/>
      <c r="U592" s="24" t="str">
        <f>IFERROR(__xludf.DUMMYFUNCTION("SPLIT(E592,""01234567890"")"),"Eric
")</f>
        <v>Eric
</v>
      </c>
      <c r="V592" s="24" t="str">
        <f>IFERROR(__xludf.DUMMYFUNCTION("SPLIT(D592,"","")"),"Kemp")</f>
        <v>Kemp</v>
      </c>
      <c r="W592" s="25" t="str">
        <f t="shared" si="1"/>
        <v>ERIC
 KEMP</v>
      </c>
      <c r="X592" s="25" t="s">
        <v>1597</v>
      </c>
      <c r="Y592" s="25">
        <v>75218.0</v>
      </c>
      <c r="Z592" s="25" t="str">
        <f>IFERROR(__xludf.DUMMYFUNCTION("SPLIT(C592,""
"")"),"Kemp, Eric")</f>
        <v>Kemp, Eric</v>
      </c>
      <c r="AA592" s="25" t="str">
        <f>IFERROR(__xludf.DUMMYFUNCTION("""COMPUTED_VALUE"""),"8380 San Leandro Dr.")</f>
        <v>8380 San Leandro Dr.</v>
      </c>
      <c r="AB592" s="25" t="str">
        <f>IFERROR(__xludf.DUMMYFUNCTION("""COMPUTED_VALUE"""),"Dallas, TX 75218")</f>
        <v>Dallas, TX 75218</v>
      </c>
      <c r="AC592" s="24" t="s">
        <v>1598</v>
      </c>
      <c r="AD592" s="25"/>
      <c r="AE592" s="25"/>
      <c r="AF592" s="25"/>
      <c r="AG592" s="22" t="s">
        <v>60</v>
      </c>
      <c r="AH592" s="54">
        <v>2448.0</v>
      </c>
      <c r="AI592" s="22" t="s">
        <v>61</v>
      </c>
      <c r="AJ592" s="27">
        <v>200.0</v>
      </c>
      <c r="AK592" s="31" t="s">
        <v>24</v>
      </c>
      <c r="AL592" s="28">
        <v>44725.0</v>
      </c>
      <c r="AM592" s="29">
        <v>44757.44018518519</v>
      </c>
      <c r="AN592" s="30">
        <v>2.0</v>
      </c>
      <c r="AO592" s="22"/>
      <c r="AP592" s="22"/>
      <c r="AQ592" s="22"/>
      <c r="AR592" s="22"/>
      <c r="AS592" s="22"/>
      <c r="AT592" s="70"/>
      <c r="AU592" s="22"/>
      <c r="AV592" s="57" t="str">
        <f>IFERROR(__xludf.DUMMYFUNCTION("""COMPUTED_VALUE"""),"Sandler")</f>
        <v>Sandler</v>
      </c>
      <c r="AW592" s="46">
        <f t="shared" si="7"/>
        <v>100</v>
      </c>
      <c r="AX592" s="47">
        <f t="shared" ref="AX592:BQ592" si="1886">SUMIFS($AJ:$AJ,$V:$V,$AV592,$AK:$AK,AX$2)</f>
        <v>0</v>
      </c>
      <c r="AY592" s="48">
        <f t="shared" si="1886"/>
        <v>0</v>
      </c>
      <c r="AZ592" s="48">
        <f t="shared" si="1886"/>
        <v>0</v>
      </c>
      <c r="BA592" s="48">
        <f t="shared" si="1886"/>
        <v>0</v>
      </c>
      <c r="BB592" s="48">
        <f t="shared" si="1886"/>
        <v>100</v>
      </c>
      <c r="BC592" s="48">
        <f t="shared" si="1886"/>
        <v>0</v>
      </c>
      <c r="BD592" s="48">
        <f t="shared" si="1886"/>
        <v>0</v>
      </c>
      <c r="BE592" s="48">
        <f t="shared" si="1886"/>
        <v>0</v>
      </c>
      <c r="BF592" s="48">
        <f t="shared" si="1886"/>
        <v>0</v>
      </c>
      <c r="BG592" s="48">
        <f t="shared" si="1886"/>
        <v>0</v>
      </c>
      <c r="BH592" s="48">
        <f t="shared" si="1886"/>
        <v>0</v>
      </c>
      <c r="BI592" s="48">
        <f t="shared" si="1886"/>
        <v>0</v>
      </c>
      <c r="BJ592" s="48">
        <f t="shared" si="1886"/>
        <v>0</v>
      </c>
      <c r="BK592" s="48">
        <f t="shared" si="1886"/>
        <v>0</v>
      </c>
      <c r="BL592" s="48">
        <f t="shared" si="1886"/>
        <v>0</v>
      </c>
      <c r="BM592" s="48">
        <f t="shared" si="1886"/>
        <v>0</v>
      </c>
      <c r="BN592" s="48">
        <f t="shared" si="1886"/>
        <v>0</v>
      </c>
      <c r="BO592" s="48">
        <f t="shared" si="1886"/>
        <v>0</v>
      </c>
      <c r="BP592" s="48">
        <f t="shared" si="1886"/>
        <v>0</v>
      </c>
      <c r="BQ592" s="48">
        <f t="shared" si="1886"/>
        <v>0</v>
      </c>
      <c r="BR592" s="36">
        <f t="shared" si="9"/>
        <v>0</v>
      </c>
      <c r="BS592" s="38">
        <f t="shared" si="10"/>
        <v>1</v>
      </c>
      <c r="BT592" s="49">
        <f t="shared" si="11"/>
        <v>0</v>
      </c>
      <c r="BU592" s="38">
        <f t="shared" si="12"/>
        <v>1000</v>
      </c>
      <c r="BV592" s="57" t="str">
        <f>IFERROR(__xludf.DUMMYFUNCTION("""COMPUTED_VALUE"""),"Sandler")</f>
        <v>Sandler</v>
      </c>
      <c r="BW592" s="46">
        <f t="shared" si="13"/>
        <v>100</v>
      </c>
      <c r="BX592" s="47">
        <f t="shared" ref="BX592:CA592" si="1887">AX592-$BU592</f>
        <v>-1000</v>
      </c>
      <c r="BY592" s="47">
        <f t="shared" si="1887"/>
        <v>-1000</v>
      </c>
      <c r="BZ592" s="47">
        <f t="shared" si="1887"/>
        <v>-1000</v>
      </c>
      <c r="CA592" s="47">
        <f t="shared" si="1887"/>
        <v>-1000</v>
      </c>
      <c r="CB592" s="47">
        <f t="shared" si="15"/>
        <v>-9900</v>
      </c>
      <c r="CC592" s="47">
        <f t="shared" ref="CC592:CQ592" si="1888">BC592-$BU592</f>
        <v>-1000</v>
      </c>
      <c r="CD592" s="47">
        <f t="shared" si="1888"/>
        <v>-1000</v>
      </c>
      <c r="CE592" s="47">
        <f t="shared" si="1888"/>
        <v>-1000</v>
      </c>
      <c r="CF592" s="47">
        <f t="shared" si="1888"/>
        <v>-1000</v>
      </c>
      <c r="CG592" s="47">
        <f t="shared" si="1888"/>
        <v>-1000</v>
      </c>
      <c r="CH592" s="47">
        <f t="shared" si="1888"/>
        <v>-1000</v>
      </c>
      <c r="CI592" s="47">
        <f t="shared" si="1888"/>
        <v>-1000</v>
      </c>
      <c r="CJ592" s="47">
        <f t="shared" si="1888"/>
        <v>-1000</v>
      </c>
      <c r="CK592" s="47">
        <f t="shared" si="1888"/>
        <v>-1000</v>
      </c>
      <c r="CL592" s="47">
        <f t="shared" si="1888"/>
        <v>-1000</v>
      </c>
      <c r="CM592" s="47">
        <f t="shared" si="1888"/>
        <v>-1000</v>
      </c>
      <c r="CN592" s="47">
        <f t="shared" si="1888"/>
        <v>-1000</v>
      </c>
      <c r="CO592" s="47">
        <f t="shared" si="1888"/>
        <v>-1000</v>
      </c>
      <c r="CP592" s="47">
        <f t="shared" si="1888"/>
        <v>-1000</v>
      </c>
      <c r="CQ592" s="47">
        <f t="shared" si="1888"/>
        <v>-1000</v>
      </c>
      <c r="CR592" s="47"/>
      <c r="CS592" s="47"/>
      <c r="CT592" s="47"/>
      <c r="CU592" s="50" t="str">
        <f>IFERROR(__xludf.DUMMYFUNCTION("""COMPUTED_VALUE"""),"8750 Westminister Terrace
Dallas, TX 75243          ")</f>
        <v>8750 Westminister Terrace
Dallas, TX 75243          </v>
      </c>
      <c r="CV592" s="51">
        <f>IFERROR(__xludf.DUMMYFUNCTION("IF(REGEXMATCH(UPPER(CU592), ""TX""),0,1)"),0.0)</f>
        <v>0</v>
      </c>
      <c r="CW592" s="51">
        <f>IFERROR(__xludf.DUMMYFUNCTION("IF(REGEXMATCH(UPPER(CU592), ""DALLAS""),0,1)"),0.0)</f>
        <v>0</v>
      </c>
      <c r="CX592" s="51">
        <f t="shared" si="17"/>
        <v>0</v>
      </c>
      <c r="CY592" s="51">
        <f t="shared" si="18"/>
        <v>0</v>
      </c>
      <c r="CZ592" s="52" t="str">
        <f t="shared" si="19"/>
        <v/>
      </c>
      <c r="DA592" s="58"/>
      <c r="DB592" s="52"/>
      <c r="DC592" s="52"/>
      <c r="DD592" s="52"/>
      <c r="DE592" s="52"/>
      <c r="DF592" s="52"/>
      <c r="DG592" s="52"/>
      <c r="DH592" s="52"/>
      <c r="DI592" s="52"/>
      <c r="DJ592" s="52"/>
      <c r="DK592" s="52"/>
      <c r="DL592" s="52"/>
      <c r="DM592" s="52"/>
      <c r="DN592" s="52"/>
      <c r="DO592" s="52"/>
      <c r="DP592" s="52"/>
      <c r="DQ592" s="52"/>
      <c r="DR592" s="52"/>
      <c r="DS592" s="52"/>
      <c r="DT592" s="52"/>
      <c r="DU592" s="52"/>
      <c r="DV592" s="52"/>
      <c r="DW592" s="52"/>
    </row>
    <row r="593">
      <c r="A593" s="40" t="s">
        <v>55</v>
      </c>
      <c r="B593" s="41" t="s">
        <v>56</v>
      </c>
      <c r="C593" s="31" t="s">
        <v>1599</v>
      </c>
      <c r="D593" s="25" t="str">
        <f>IFERROR(__xludf.DUMMYFUNCTION("SPLIT(C593,"" "")"),"Rice,")</f>
        <v>Rice,</v>
      </c>
      <c r="E593" s="40" t="str">
        <f>IFERROR(__xludf.DUMMYFUNCTION("""COMPUTED_VALUE"""),"Betty
2611")</f>
        <v>Betty
2611</v>
      </c>
      <c r="F593" s="40" t="str">
        <f>IFERROR(__xludf.DUMMYFUNCTION("""COMPUTED_VALUE"""),"Millmar")</f>
        <v>Millmar</v>
      </c>
      <c r="G593" s="40" t="str">
        <f>IFERROR(__xludf.DUMMYFUNCTION("""COMPUTED_VALUE"""),"Dr.
Dallas,")</f>
        <v>Dr.
Dallas,</v>
      </c>
      <c r="H593" s="40" t="str">
        <f>IFERROR(__xludf.DUMMYFUNCTION("""COMPUTED_VALUE"""),"TX")</f>
        <v>TX</v>
      </c>
      <c r="I593" s="40">
        <f>IFERROR(__xludf.DUMMYFUNCTION("""COMPUTED_VALUE"""),75228.0)</f>
        <v>75228</v>
      </c>
      <c r="J593" s="40"/>
      <c r="K593" s="40"/>
      <c r="L593" s="40"/>
      <c r="M593" s="40"/>
      <c r="N593" s="40"/>
      <c r="O593" s="40"/>
      <c r="P593" s="40"/>
      <c r="Q593" s="40"/>
      <c r="R593" s="40"/>
      <c r="S593" s="40"/>
      <c r="T593" s="40"/>
      <c r="U593" s="24" t="str">
        <f>IFERROR(__xludf.DUMMYFUNCTION("SPLIT(E593,""01234567890"")"),"Betty
")</f>
        <v>Betty
</v>
      </c>
      <c r="V593" s="24" t="str">
        <f>IFERROR(__xludf.DUMMYFUNCTION("SPLIT(D593,"","")"),"Rice")</f>
        <v>Rice</v>
      </c>
      <c r="W593" s="25" t="str">
        <f t="shared" si="1"/>
        <v>BETTY
 RICE</v>
      </c>
      <c r="X593" s="25" t="s">
        <v>1600</v>
      </c>
      <c r="Y593" s="25">
        <v>75228.0</v>
      </c>
      <c r="Z593" s="25" t="str">
        <f>IFERROR(__xludf.DUMMYFUNCTION("SPLIT(C593,""
"")"),"Rice, Betty")</f>
        <v>Rice, Betty</v>
      </c>
      <c r="AA593" s="25" t="str">
        <f>IFERROR(__xludf.DUMMYFUNCTION("""COMPUTED_VALUE"""),"2611 Millmar Dr.")</f>
        <v>2611 Millmar Dr.</v>
      </c>
      <c r="AB593" s="25" t="str">
        <f>IFERROR(__xludf.DUMMYFUNCTION("""COMPUTED_VALUE"""),"Dallas, TX 75228")</f>
        <v>Dallas, TX 75228</v>
      </c>
      <c r="AC593" s="24" t="s">
        <v>1601</v>
      </c>
      <c r="AD593" s="25"/>
      <c r="AE593" s="25"/>
      <c r="AF593" s="25"/>
      <c r="AG593" s="40" t="s">
        <v>60</v>
      </c>
      <c r="AH593" s="42">
        <v>2448.0</v>
      </c>
      <c r="AI593" s="40" t="s">
        <v>61</v>
      </c>
      <c r="AJ593" s="27">
        <v>100.0</v>
      </c>
      <c r="AK593" s="31" t="s">
        <v>24</v>
      </c>
      <c r="AL593" s="43">
        <v>44725.0</v>
      </c>
      <c r="AM593" s="44">
        <v>44757.44018518519</v>
      </c>
      <c r="AN593" s="30">
        <v>2.0</v>
      </c>
      <c r="AO593" s="40"/>
      <c r="AP593" s="40"/>
      <c r="AQ593" s="40"/>
      <c r="AR593" s="40"/>
      <c r="AS593" s="40"/>
      <c r="AT593" s="47"/>
      <c r="AU593" s="40"/>
      <c r="AV593" s="46" t="str">
        <f>IFERROR(__xludf.DUMMYFUNCTION("""COMPUTED_VALUE"""),"McCullough")</f>
        <v>McCullough</v>
      </c>
      <c r="AW593" s="46">
        <f t="shared" si="7"/>
        <v>25</v>
      </c>
      <c r="AX593" s="47">
        <f t="shared" ref="AX593:BQ593" si="1889">SUMIFS($AJ:$AJ,$V:$V,$AV593,$AK:$AK,AX$2)</f>
        <v>0</v>
      </c>
      <c r="AY593" s="48">
        <f t="shared" si="1889"/>
        <v>0</v>
      </c>
      <c r="AZ593" s="48">
        <f t="shared" si="1889"/>
        <v>0</v>
      </c>
      <c r="BA593" s="48">
        <f t="shared" si="1889"/>
        <v>0</v>
      </c>
      <c r="BB593" s="48">
        <f t="shared" si="1889"/>
        <v>25</v>
      </c>
      <c r="BC593" s="48">
        <f t="shared" si="1889"/>
        <v>0</v>
      </c>
      <c r="BD593" s="48">
        <f t="shared" si="1889"/>
        <v>0</v>
      </c>
      <c r="BE593" s="48">
        <f t="shared" si="1889"/>
        <v>0</v>
      </c>
      <c r="BF593" s="48">
        <f t="shared" si="1889"/>
        <v>0</v>
      </c>
      <c r="BG593" s="48">
        <f t="shared" si="1889"/>
        <v>0</v>
      </c>
      <c r="BH593" s="48">
        <f t="shared" si="1889"/>
        <v>0</v>
      </c>
      <c r="BI593" s="48">
        <f t="shared" si="1889"/>
        <v>0</v>
      </c>
      <c r="BJ593" s="48">
        <f t="shared" si="1889"/>
        <v>0</v>
      </c>
      <c r="BK593" s="48">
        <f t="shared" si="1889"/>
        <v>0</v>
      </c>
      <c r="BL593" s="48">
        <f t="shared" si="1889"/>
        <v>0</v>
      </c>
      <c r="BM593" s="48">
        <f t="shared" si="1889"/>
        <v>0</v>
      </c>
      <c r="BN593" s="48">
        <f t="shared" si="1889"/>
        <v>0</v>
      </c>
      <c r="BO593" s="48">
        <f t="shared" si="1889"/>
        <v>0</v>
      </c>
      <c r="BP593" s="48">
        <f t="shared" si="1889"/>
        <v>0</v>
      </c>
      <c r="BQ593" s="48">
        <f t="shared" si="1889"/>
        <v>0</v>
      </c>
      <c r="BR593" s="36">
        <f t="shared" si="9"/>
        <v>0</v>
      </c>
      <c r="BS593" s="38">
        <f t="shared" si="10"/>
        <v>1</v>
      </c>
      <c r="BT593" s="49">
        <f t="shared" si="11"/>
        <v>0</v>
      </c>
      <c r="BU593" s="38">
        <f t="shared" si="12"/>
        <v>1000</v>
      </c>
      <c r="BV593" s="46" t="str">
        <f>IFERROR(__xludf.DUMMYFUNCTION("""COMPUTED_VALUE"""),"McCullough")</f>
        <v>McCullough</v>
      </c>
      <c r="BW593" s="46">
        <f t="shared" si="13"/>
        <v>25</v>
      </c>
      <c r="BX593" s="47">
        <f t="shared" ref="BX593:CA593" si="1890">AX593-$BU593</f>
        <v>-1000</v>
      </c>
      <c r="BY593" s="47">
        <f t="shared" si="1890"/>
        <v>-1000</v>
      </c>
      <c r="BZ593" s="47">
        <f t="shared" si="1890"/>
        <v>-1000</v>
      </c>
      <c r="CA593" s="47">
        <f t="shared" si="1890"/>
        <v>-1000</v>
      </c>
      <c r="CB593" s="47">
        <f t="shared" si="15"/>
        <v>-9975</v>
      </c>
      <c r="CC593" s="47">
        <f t="shared" ref="CC593:CQ593" si="1891">BC593-$BU593</f>
        <v>-1000</v>
      </c>
      <c r="CD593" s="47">
        <f t="shared" si="1891"/>
        <v>-1000</v>
      </c>
      <c r="CE593" s="47">
        <f t="shared" si="1891"/>
        <v>-1000</v>
      </c>
      <c r="CF593" s="47">
        <f t="shared" si="1891"/>
        <v>-1000</v>
      </c>
      <c r="CG593" s="47">
        <f t="shared" si="1891"/>
        <v>-1000</v>
      </c>
      <c r="CH593" s="47">
        <f t="shared" si="1891"/>
        <v>-1000</v>
      </c>
      <c r="CI593" s="47">
        <f t="shared" si="1891"/>
        <v>-1000</v>
      </c>
      <c r="CJ593" s="47">
        <f t="shared" si="1891"/>
        <v>-1000</v>
      </c>
      <c r="CK593" s="47">
        <f t="shared" si="1891"/>
        <v>-1000</v>
      </c>
      <c r="CL593" s="47">
        <f t="shared" si="1891"/>
        <v>-1000</v>
      </c>
      <c r="CM593" s="47">
        <f t="shared" si="1891"/>
        <v>-1000</v>
      </c>
      <c r="CN593" s="47">
        <f t="shared" si="1891"/>
        <v>-1000</v>
      </c>
      <c r="CO593" s="47">
        <f t="shared" si="1891"/>
        <v>-1000</v>
      </c>
      <c r="CP593" s="47">
        <f t="shared" si="1891"/>
        <v>-1000</v>
      </c>
      <c r="CQ593" s="47">
        <f t="shared" si="1891"/>
        <v>-1000</v>
      </c>
      <c r="CR593" s="47"/>
      <c r="CS593" s="47"/>
      <c r="CT593" s="47"/>
      <c r="CU593" s="50" t="str">
        <f>IFERROR(__xludf.DUMMYFUNCTION("""COMPUTED_VALUE"""),"9077 Fairglen Dr.
Dallas, TX 75231          ")</f>
        <v>9077 Fairglen Dr.
Dallas, TX 75231          </v>
      </c>
      <c r="CV593" s="51">
        <f>IFERROR(__xludf.DUMMYFUNCTION("IF(REGEXMATCH(UPPER(CU593), ""TX""),0,1)"),0.0)</f>
        <v>0</v>
      </c>
      <c r="CW593" s="51">
        <f>IFERROR(__xludf.DUMMYFUNCTION("IF(REGEXMATCH(UPPER(CU593), ""DALLAS""),0,1)"),0.0)</f>
        <v>0</v>
      </c>
      <c r="CX593" s="51">
        <f t="shared" si="17"/>
        <v>0</v>
      </c>
      <c r="CY593" s="51">
        <f t="shared" si="18"/>
        <v>0</v>
      </c>
      <c r="CZ593" s="52" t="str">
        <f t="shared" si="19"/>
        <v/>
      </c>
      <c r="DA593" s="58"/>
      <c r="DB593" s="52"/>
      <c r="DC593" s="52"/>
      <c r="DD593" s="52"/>
      <c r="DE593" s="52"/>
      <c r="DF593" s="52"/>
      <c r="DG593" s="52"/>
      <c r="DH593" s="52"/>
      <c r="DI593" s="52"/>
      <c r="DJ593" s="52"/>
      <c r="DK593" s="52"/>
      <c r="DL593" s="52"/>
      <c r="DM593" s="52"/>
      <c r="DN593" s="52"/>
      <c r="DO593" s="52"/>
      <c r="DP593" s="52"/>
      <c r="DQ593" s="52"/>
      <c r="DR593" s="52"/>
      <c r="DS593" s="52"/>
      <c r="DT593" s="52"/>
      <c r="DU593" s="52"/>
      <c r="DV593" s="52"/>
      <c r="DW593" s="52"/>
    </row>
    <row r="594">
      <c r="A594" s="22" t="s">
        <v>55</v>
      </c>
      <c r="B594" s="23" t="s">
        <v>56</v>
      </c>
      <c r="C594" s="31" t="s">
        <v>239</v>
      </c>
      <c r="D594" s="25" t="str">
        <f>IFERROR(__xludf.DUMMYFUNCTION("SPLIT(C594,"" "")"),"Argarwal,")</f>
        <v>Argarwal,</v>
      </c>
      <c r="E594" s="22" t="str">
        <f>IFERROR(__xludf.DUMMYFUNCTION("""COMPUTED_VALUE"""),"Arun
123")</f>
        <v>Arun
123</v>
      </c>
      <c r="F594" s="22" t="str">
        <f>IFERROR(__xludf.DUMMYFUNCTION("""COMPUTED_VALUE"""),"Oak")</f>
        <v>Oak</v>
      </c>
      <c r="G594" s="22" t="str">
        <f>IFERROR(__xludf.DUMMYFUNCTION("""COMPUTED_VALUE"""),"Lawn")</f>
        <v>Lawn</v>
      </c>
      <c r="H594" s="22" t="str">
        <f>IFERROR(__xludf.DUMMYFUNCTION("""COMPUTED_VALUE"""),"Ave
Dallas,")</f>
        <v>Ave
Dallas,</v>
      </c>
      <c r="I594" s="22" t="str">
        <f>IFERROR(__xludf.DUMMYFUNCTION("""COMPUTED_VALUE"""),"TX")</f>
        <v>TX</v>
      </c>
      <c r="J594" s="22">
        <f>IFERROR(__xludf.DUMMYFUNCTION("""COMPUTED_VALUE"""),75207.0)</f>
        <v>75207</v>
      </c>
      <c r="K594" s="22"/>
      <c r="L594" s="22"/>
      <c r="M594" s="22"/>
      <c r="N594" s="22"/>
      <c r="O594" s="22"/>
      <c r="P594" s="22"/>
      <c r="Q594" s="22"/>
      <c r="R594" s="22"/>
      <c r="S594" s="22"/>
      <c r="T594" s="22"/>
      <c r="U594" s="24" t="str">
        <f>IFERROR(__xludf.DUMMYFUNCTION("SPLIT(E594,""01234567890"")"),"Arun
")</f>
        <v>Arun
</v>
      </c>
      <c r="V594" s="24" t="str">
        <f>IFERROR(__xludf.DUMMYFUNCTION("SPLIT(D594,"","")"),"Argarwal")</f>
        <v>Argarwal</v>
      </c>
      <c r="W594" s="25" t="str">
        <f t="shared" si="1"/>
        <v>ARUN
 ARGARWAL</v>
      </c>
      <c r="X594" s="25" t="s">
        <v>119</v>
      </c>
      <c r="Y594" s="25">
        <v>75207.0</v>
      </c>
      <c r="Z594" s="25" t="str">
        <f>IFERROR(__xludf.DUMMYFUNCTION("SPLIT(C594,""
"")"),"Argarwal, Arun")</f>
        <v>Argarwal, Arun</v>
      </c>
      <c r="AA594" s="25" t="str">
        <f>IFERROR(__xludf.DUMMYFUNCTION("""COMPUTED_VALUE"""),"123 Oak Lawn Ave")</f>
        <v>123 Oak Lawn Ave</v>
      </c>
      <c r="AB594" s="25" t="str">
        <f>IFERROR(__xludf.DUMMYFUNCTION("""COMPUTED_VALUE"""),"Dallas, TX 75207")</f>
        <v>Dallas, TX 75207</v>
      </c>
      <c r="AC594" s="24" t="s">
        <v>240</v>
      </c>
      <c r="AD594" s="25"/>
      <c r="AE594" s="25"/>
      <c r="AF594" s="25"/>
      <c r="AG594" s="22" t="s">
        <v>60</v>
      </c>
      <c r="AH594" s="54">
        <v>2448.0</v>
      </c>
      <c r="AI594" s="22" t="s">
        <v>61</v>
      </c>
      <c r="AJ594" s="27">
        <v>1000.0</v>
      </c>
      <c r="AK594" s="31" t="s">
        <v>24</v>
      </c>
      <c r="AL594" s="28">
        <v>44726.0</v>
      </c>
      <c r="AM594" s="29">
        <v>44757.44018518519</v>
      </c>
      <c r="AN594" s="30">
        <v>2.0</v>
      </c>
      <c r="AO594" s="22"/>
      <c r="AP594" s="22"/>
      <c r="AQ594" s="22"/>
      <c r="AR594" s="22"/>
      <c r="AS594" s="22"/>
      <c r="AT594" s="70"/>
      <c r="AU594" s="22"/>
      <c r="AV594" s="57" t="str">
        <f>IFERROR(__xludf.DUMMYFUNCTION("""COMPUTED_VALUE"""),"Kazee")</f>
        <v>Kazee</v>
      </c>
      <c r="AW594" s="46">
        <f t="shared" si="7"/>
        <v>500</v>
      </c>
      <c r="AX594" s="47">
        <f t="shared" ref="AX594:BQ594" si="1892">SUMIFS($AJ:$AJ,$V:$V,$AV594,$AK:$AK,AX$2)</f>
        <v>0</v>
      </c>
      <c r="AY594" s="48">
        <f t="shared" si="1892"/>
        <v>0</v>
      </c>
      <c r="AZ594" s="48">
        <f t="shared" si="1892"/>
        <v>0</v>
      </c>
      <c r="BA594" s="48">
        <f t="shared" si="1892"/>
        <v>0</v>
      </c>
      <c r="BB594" s="48">
        <f t="shared" si="1892"/>
        <v>500</v>
      </c>
      <c r="BC594" s="48">
        <f t="shared" si="1892"/>
        <v>0</v>
      </c>
      <c r="BD594" s="48">
        <f t="shared" si="1892"/>
        <v>0</v>
      </c>
      <c r="BE594" s="48">
        <f t="shared" si="1892"/>
        <v>0</v>
      </c>
      <c r="BF594" s="48">
        <f t="shared" si="1892"/>
        <v>0</v>
      </c>
      <c r="BG594" s="48">
        <f t="shared" si="1892"/>
        <v>0</v>
      </c>
      <c r="BH594" s="48">
        <f t="shared" si="1892"/>
        <v>0</v>
      </c>
      <c r="BI594" s="48">
        <f t="shared" si="1892"/>
        <v>0</v>
      </c>
      <c r="BJ594" s="48">
        <f t="shared" si="1892"/>
        <v>0</v>
      </c>
      <c r="BK594" s="48">
        <f t="shared" si="1892"/>
        <v>0</v>
      </c>
      <c r="BL594" s="48">
        <f t="shared" si="1892"/>
        <v>0</v>
      </c>
      <c r="BM594" s="48">
        <f t="shared" si="1892"/>
        <v>0</v>
      </c>
      <c r="BN594" s="48">
        <f t="shared" si="1892"/>
        <v>0</v>
      </c>
      <c r="BO594" s="48">
        <f t="shared" si="1892"/>
        <v>0</v>
      </c>
      <c r="BP594" s="48">
        <f t="shared" si="1892"/>
        <v>0</v>
      </c>
      <c r="BQ594" s="48">
        <f t="shared" si="1892"/>
        <v>0</v>
      </c>
      <c r="BR594" s="36">
        <f t="shared" si="9"/>
        <v>0</v>
      </c>
      <c r="BS594" s="38">
        <f t="shared" si="10"/>
        <v>1</v>
      </c>
      <c r="BT594" s="49">
        <f t="shared" si="11"/>
        <v>0</v>
      </c>
      <c r="BU594" s="38">
        <f t="shared" si="12"/>
        <v>1000</v>
      </c>
      <c r="BV594" s="57" t="str">
        <f>IFERROR(__xludf.DUMMYFUNCTION("""COMPUTED_VALUE"""),"Kazee")</f>
        <v>Kazee</v>
      </c>
      <c r="BW594" s="46">
        <f t="shared" si="13"/>
        <v>500</v>
      </c>
      <c r="BX594" s="47">
        <f t="shared" ref="BX594:CA594" si="1893">AX594-$BU594</f>
        <v>-1000</v>
      </c>
      <c r="BY594" s="47">
        <f t="shared" si="1893"/>
        <v>-1000</v>
      </c>
      <c r="BZ594" s="47">
        <f t="shared" si="1893"/>
        <v>-1000</v>
      </c>
      <c r="CA594" s="47">
        <f t="shared" si="1893"/>
        <v>-1000</v>
      </c>
      <c r="CB594" s="47">
        <f t="shared" si="15"/>
        <v>-9500</v>
      </c>
      <c r="CC594" s="47">
        <f t="shared" ref="CC594:CQ594" si="1894">BC594-$BU594</f>
        <v>-1000</v>
      </c>
      <c r="CD594" s="47">
        <f t="shared" si="1894"/>
        <v>-1000</v>
      </c>
      <c r="CE594" s="47">
        <f t="shared" si="1894"/>
        <v>-1000</v>
      </c>
      <c r="CF594" s="47">
        <f t="shared" si="1894"/>
        <v>-1000</v>
      </c>
      <c r="CG594" s="47">
        <f t="shared" si="1894"/>
        <v>-1000</v>
      </c>
      <c r="CH594" s="47">
        <f t="shared" si="1894"/>
        <v>-1000</v>
      </c>
      <c r="CI594" s="47">
        <f t="shared" si="1894"/>
        <v>-1000</v>
      </c>
      <c r="CJ594" s="47">
        <f t="shared" si="1894"/>
        <v>-1000</v>
      </c>
      <c r="CK594" s="47">
        <f t="shared" si="1894"/>
        <v>-1000</v>
      </c>
      <c r="CL594" s="47">
        <f t="shared" si="1894"/>
        <v>-1000</v>
      </c>
      <c r="CM594" s="47">
        <f t="shared" si="1894"/>
        <v>-1000</v>
      </c>
      <c r="CN594" s="47">
        <f t="shared" si="1894"/>
        <v>-1000</v>
      </c>
      <c r="CO594" s="47">
        <f t="shared" si="1894"/>
        <v>-1000</v>
      </c>
      <c r="CP594" s="47">
        <f t="shared" si="1894"/>
        <v>-1000</v>
      </c>
      <c r="CQ594" s="47">
        <f t="shared" si="1894"/>
        <v>-1000</v>
      </c>
      <c r="CR594" s="47"/>
      <c r="CS594" s="47"/>
      <c r="CT594" s="47"/>
      <c r="CU594" s="50" t="str">
        <f>IFERROR(__xludf.DUMMYFUNCTION("""COMPUTED_VALUE"""),"9617 Windy Hill
Dallas, TX 75238          ")</f>
        <v>9617 Windy Hill
Dallas, TX 75238          </v>
      </c>
      <c r="CV594" s="51">
        <f>IFERROR(__xludf.DUMMYFUNCTION("IF(REGEXMATCH(UPPER(CU594), ""TX""),0,1)"),0.0)</f>
        <v>0</v>
      </c>
      <c r="CW594" s="51">
        <f>IFERROR(__xludf.DUMMYFUNCTION("IF(REGEXMATCH(UPPER(CU594), ""DALLAS""),0,1)"),0.0)</f>
        <v>0</v>
      </c>
      <c r="CX594" s="51">
        <f t="shared" si="17"/>
        <v>0</v>
      </c>
      <c r="CY594" s="51">
        <f t="shared" si="18"/>
        <v>0</v>
      </c>
      <c r="CZ594" s="52" t="str">
        <f t="shared" si="19"/>
        <v/>
      </c>
      <c r="DA594" s="58"/>
      <c r="DB594" s="52"/>
      <c r="DC594" s="52"/>
      <c r="DD594" s="52"/>
      <c r="DE594" s="52"/>
      <c r="DF594" s="52"/>
      <c r="DG594" s="52"/>
      <c r="DH594" s="52"/>
      <c r="DI594" s="52"/>
      <c r="DJ594" s="52"/>
      <c r="DK594" s="52"/>
      <c r="DL594" s="52"/>
      <c r="DM594" s="52"/>
      <c r="DN594" s="52"/>
      <c r="DO594" s="52"/>
      <c r="DP594" s="52"/>
      <c r="DQ594" s="52"/>
      <c r="DR594" s="52"/>
      <c r="DS594" s="52"/>
      <c r="DT594" s="52"/>
      <c r="DU594" s="52"/>
      <c r="DV594" s="52"/>
      <c r="DW594" s="52"/>
    </row>
    <row r="595">
      <c r="A595" s="40" t="s">
        <v>55</v>
      </c>
      <c r="B595" s="41" t="s">
        <v>56</v>
      </c>
      <c r="C595" s="31" t="s">
        <v>139</v>
      </c>
      <c r="D595" s="25" t="str">
        <f>IFERROR(__xludf.DUMMYFUNCTION("SPLIT(C595,"" "")"),"Alcantar,")</f>
        <v>Alcantar,</v>
      </c>
      <c r="E595" s="40" t="str">
        <f>IFERROR(__xludf.DUMMYFUNCTION("""COMPUTED_VALUE"""),"Joe
7304")</f>
        <v>Joe
7304</v>
      </c>
      <c r="F595" s="40" t="str">
        <f>IFERROR(__xludf.DUMMYFUNCTION("""COMPUTED_VALUE"""),"Lane")</f>
        <v>Lane</v>
      </c>
      <c r="G595" s="40" t="str">
        <f>IFERROR(__xludf.DUMMYFUNCTION("""COMPUTED_VALUE"""),"Park")</f>
        <v>Park</v>
      </c>
      <c r="H595" s="40" t="str">
        <f>IFERROR(__xludf.DUMMYFUNCTION("""COMPUTED_VALUE"""),"Ct.
Dallas,")</f>
        <v>Ct.
Dallas,</v>
      </c>
      <c r="I595" s="40" t="str">
        <f>IFERROR(__xludf.DUMMYFUNCTION("""COMPUTED_VALUE"""),"TX")</f>
        <v>TX</v>
      </c>
      <c r="J595" s="40">
        <f>IFERROR(__xludf.DUMMYFUNCTION("""COMPUTED_VALUE"""),75225.0)</f>
        <v>75225</v>
      </c>
      <c r="K595" s="40"/>
      <c r="L595" s="40"/>
      <c r="M595" s="40"/>
      <c r="N595" s="40"/>
      <c r="O595" s="40"/>
      <c r="P595" s="40"/>
      <c r="Q595" s="40"/>
      <c r="R595" s="40"/>
      <c r="S595" s="40"/>
      <c r="T595" s="40"/>
      <c r="U595" s="24" t="str">
        <f>IFERROR(__xludf.DUMMYFUNCTION("SPLIT(E595,""01234567890"")"),"Joe
")</f>
        <v>Joe
</v>
      </c>
      <c r="V595" s="24" t="str">
        <f>IFERROR(__xludf.DUMMYFUNCTION("SPLIT(D595,"","")"),"Alcantar")</f>
        <v>Alcantar</v>
      </c>
      <c r="W595" s="25" t="str">
        <f t="shared" si="1"/>
        <v>JOE
 ALCANTAR</v>
      </c>
      <c r="X595" s="25" t="s">
        <v>140</v>
      </c>
      <c r="Y595" s="25">
        <v>75225.0</v>
      </c>
      <c r="Z595" s="25" t="str">
        <f>IFERROR(__xludf.DUMMYFUNCTION("SPLIT(C595,""
"")"),"Alcantar, Joe")</f>
        <v>Alcantar, Joe</v>
      </c>
      <c r="AA595" s="25" t="str">
        <f>IFERROR(__xludf.DUMMYFUNCTION("""COMPUTED_VALUE"""),"7304 Lane Park Ct.")</f>
        <v>7304 Lane Park Ct.</v>
      </c>
      <c r="AB595" s="25" t="str">
        <f>IFERROR(__xludf.DUMMYFUNCTION("""COMPUTED_VALUE"""),"Dallas, TX 75225")</f>
        <v>Dallas, TX 75225</v>
      </c>
      <c r="AC595" s="24" t="s">
        <v>138</v>
      </c>
      <c r="AD595" s="25"/>
      <c r="AE595" s="25"/>
      <c r="AF595" s="25"/>
      <c r="AG595" s="40" t="s">
        <v>60</v>
      </c>
      <c r="AH595" s="42">
        <v>2448.0</v>
      </c>
      <c r="AI595" s="40" t="s">
        <v>61</v>
      </c>
      <c r="AJ595" s="27">
        <v>500.0</v>
      </c>
      <c r="AK595" s="31" t="s">
        <v>24</v>
      </c>
      <c r="AL595" s="43">
        <v>44726.0</v>
      </c>
      <c r="AM595" s="44">
        <v>44757.44018518519</v>
      </c>
      <c r="AN595" s="30">
        <v>2.0</v>
      </c>
      <c r="AO595" s="40"/>
      <c r="AP595" s="40"/>
      <c r="AQ595" s="40"/>
      <c r="AR595" s="40"/>
      <c r="AS595" s="40"/>
      <c r="AT595" s="47"/>
      <c r="AU595" s="40"/>
      <c r="AV595" s="46" t="str">
        <f>IFERROR(__xludf.DUMMYFUNCTION("""COMPUTED_VALUE"""),"Champion")</f>
        <v>Champion</v>
      </c>
      <c r="AW595" s="46">
        <f t="shared" si="7"/>
        <v>50</v>
      </c>
      <c r="AX595" s="47">
        <f t="shared" ref="AX595:BQ595" si="1895">SUMIFS($AJ:$AJ,$V:$V,$AV595,$AK:$AK,AX$2)</f>
        <v>0</v>
      </c>
      <c r="AY595" s="48">
        <f t="shared" si="1895"/>
        <v>0</v>
      </c>
      <c r="AZ595" s="48">
        <f t="shared" si="1895"/>
        <v>0</v>
      </c>
      <c r="BA595" s="48">
        <f t="shared" si="1895"/>
        <v>0</v>
      </c>
      <c r="BB595" s="48">
        <f t="shared" si="1895"/>
        <v>50</v>
      </c>
      <c r="BC595" s="48">
        <f t="shared" si="1895"/>
        <v>0</v>
      </c>
      <c r="BD595" s="48">
        <f t="shared" si="1895"/>
        <v>0</v>
      </c>
      <c r="BE595" s="48">
        <f t="shared" si="1895"/>
        <v>0</v>
      </c>
      <c r="BF595" s="48">
        <f t="shared" si="1895"/>
        <v>0</v>
      </c>
      <c r="BG595" s="48">
        <f t="shared" si="1895"/>
        <v>0</v>
      </c>
      <c r="BH595" s="48">
        <f t="shared" si="1895"/>
        <v>0</v>
      </c>
      <c r="BI595" s="48">
        <f t="shared" si="1895"/>
        <v>0</v>
      </c>
      <c r="BJ595" s="48">
        <f t="shared" si="1895"/>
        <v>0</v>
      </c>
      <c r="BK595" s="48">
        <f t="shared" si="1895"/>
        <v>0</v>
      </c>
      <c r="BL595" s="48">
        <f t="shared" si="1895"/>
        <v>0</v>
      </c>
      <c r="BM595" s="48">
        <f t="shared" si="1895"/>
        <v>0</v>
      </c>
      <c r="BN595" s="48">
        <f t="shared" si="1895"/>
        <v>0</v>
      </c>
      <c r="BO595" s="48">
        <f t="shared" si="1895"/>
        <v>0</v>
      </c>
      <c r="BP595" s="48">
        <f t="shared" si="1895"/>
        <v>0</v>
      </c>
      <c r="BQ595" s="48">
        <f t="shared" si="1895"/>
        <v>0</v>
      </c>
      <c r="BR595" s="36">
        <f t="shared" si="9"/>
        <v>0</v>
      </c>
      <c r="BS595" s="38">
        <f t="shared" si="10"/>
        <v>1</v>
      </c>
      <c r="BT595" s="49">
        <f t="shared" si="11"/>
        <v>0</v>
      </c>
      <c r="BU595" s="38">
        <f t="shared" si="12"/>
        <v>1000</v>
      </c>
      <c r="BV595" s="46" t="str">
        <f>IFERROR(__xludf.DUMMYFUNCTION("""COMPUTED_VALUE"""),"Champion")</f>
        <v>Champion</v>
      </c>
      <c r="BW595" s="46">
        <f t="shared" si="13"/>
        <v>50</v>
      </c>
      <c r="BX595" s="47">
        <f t="shared" ref="BX595:CA595" si="1896">AX595-$BU595</f>
        <v>-1000</v>
      </c>
      <c r="BY595" s="47">
        <f t="shared" si="1896"/>
        <v>-1000</v>
      </c>
      <c r="BZ595" s="47">
        <f t="shared" si="1896"/>
        <v>-1000</v>
      </c>
      <c r="CA595" s="47">
        <f t="shared" si="1896"/>
        <v>-1000</v>
      </c>
      <c r="CB595" s="47">
        <f t="shared" si="15"/>
        <v>-9950</v>
      </c>
      <c r="CC595" s="47">
        <f t="shared" ref="CC595:CQ595" si="1897">BC595-$BU595</f>
        <v>-1000</v>
      </c>
      <c r="CD595" s="47">
        <f t="shared" si="1897"/>
        <v>-1000</v>
      </c>
      <c r="CE595" s="47">
        <f t="shared" si="1897"/>
        <v>-1000</v>
      </c>
      <c r="CF595" s="47">
        <f t="shared" si="1897"/>
        <v>-1000</v>
      </c>
      <c r="CG595" s="47">
        <f t="shared" si="1897"/>
        <v>-1000</v>
      </c>
      <c r="CH595" s="47">
        <f t="shared" si="1897"/>
        <v>-1000</v>
      </c>
      <c r="CI595" s="47">
        <f t="shared" si="1897"/>
        <v>-1000</v>
      </c>
      <c r="CJ595" s="47">
        <f t="shared" si="1897"/>
        <v>-1000</v>
      </c>
      <c r="CK595" s="47">
        <f t="shared" si="1897"/>
        <v>-1000</v>
      </c>
      <c r="CL595" s="47">
        <f t="shared" si="1897"/>
        <v>-1000</v>
      </c>
      <c r="CM595" s="47">
        <f t="shared" si="1897"/>
        <v>-1000</v>
      </c>
      <c r="CN595" s="47">
        <f t="shared" si="1897"/>
        <v>-1000</v>
      </c>
      <c r="CO595" s="47">
        <f t="shared" si="1897"/>
        <v>-1000</v>
      </c>
      <c r="CP595" s="47">
        <f t="shared" si="1897"/>
        <v>-1000</v>
      </c>
      <c r="CQ595" s="47">
        <f t="shared" si="1897"/>
        <v>-1000</v>
      </c>
      <c r="CR595" s="47"/>
      <c r="CS595" s="47"/>
      <c r="CT595" s="47"/>
      <c r="CU595" s="50" t="str">
        <f>IFERROR(__xludf.DUMMYFUNCTION("""COMPUTED_VALUE"""),"3202 Winged Elm Dr
Cedar Park, TX 78616        ")</f>
        <v>3202 Winged Elm Dr
Cedar Park, TX 78616        </v>
      </c>
      <c r="CV595" s="51">
        <f>IFERROR(__xludf.DUMMYFUNCTION("IF(REGEXMATCH(UPPER(CU595), ""TX""),0,1)"),0.0)</f>
        <v>0</v>
      </c>
      <c r="CW595" s="51">
        <f>IFERROR(__xludf.DUMMYFUNCTION("IF(REGEXMATCH(UPPER(CU595), ""DALLAS""),0,1)"),1.0)</f>
        <v>1</v>
      </c>
      <c r="CX595" s="51">
        <f t="shared" si="17"/>
        <v>0</v>
      </c>
      <c r="CY595" s="51">
        <f t="shared" si="18"/>
        <v>100</v>
      </c>
      <c r="CZ595" s="52" t="str">
        <f t="shared" si="19"/>
        <v>3202 Winged Elm Dr
Cedar Park, TX 78616        </v>
      </c>
      <c r="DA595" s="58"/>
      <c r="DB595" s="52"/>
      <c r="DC595" s="52"/>
      <c r="DD595" s="52"/>
      <c r="DE595" s="52"/>
      <c r="DF595" s="52"/>
      <c r="DG595" s="52"/>
      <c r="DH595" s="52"/>
      <c r="DI595" s="52"/>
      <c r="DJ595" s="52"/>
      <c r="DK595" s="52"/>
      <c r="DL595" s="52"/>
      <c r="DM595" s="52"/>
      <c r="DN595" s="52"/>
      <c r="DO595" s="52"/>
      <c r="DP595" s="52"/>
      <c r="DQ595" s="52"/>
      <c r="DR595" s="52"/>
      <c r="DS595" s="52"/>
      <c r="DT595" s="52"/>
      <c r="DU595" s="52"/>
      <c r="DV595" s="52"/>
      <c r="DW595" s="52"/>
    </row>
    <row r="596">
      <c r="A596" s="22" t="s">
        <v>55</v>
      </c>
      <c r="B596" s="23" t="s">
        <v>56</v>
      </c>
      <c r="C596" s="31" t="s">
        <v>333</v>
      </c>
      <c r="D596" s="25" t="str">
        <f>IFERROR(__xludf.DUMMYFUNCTION("SPLIT(C596,"" "")"),"Bazaldua,")</f>
        <v>Bazaldua,</v>
      </c>
      <c r="E596" s="22" t="str">
        <f>IFERROR(__xludf.DUMMYFUNCTION("""COMPUTED_VALUE"""),"Adam
6926")</f>
        <v>Adam
6926</v>
      </c>
      <c r="F596" s="22" t="str">
        <f>IFERROR(__xludf.DUMMYFUNCTION("""COMPUTED_VALUE"""),"Belteau")</f>
        <v>Belteau</v>
      </c>
      <c r="G596" s="22" t="str">
        <f>IFERROR(__xludf.DUMMYFUNCTION("""COMPUTED_VALUE"""),"Lane
Dallas,")</f>
        <v>Lane
Dallas,</v>
      </c>
      <c r="H596" s="22" t="str">
        <f>IFERROR(__xludf.DUMMYFUNCTION("""COMPUTED_VALUE"""),"TX")</f>
        <v>TX</v>
      </c>
      <c r="I596" s="22">
        <f>IFERROR(__xludf.DUMMYFUNCTION("""COMPUTED_VALUE"""),75227.0)</f>
        <v>75227</v>
      </c>
      <c r="J596" s="22"/>
      <c r="K596" s="22"/>
      <c r="L596" s="22"/>
      <c r="M596" s="22"/>
      <c r="N596" s="22"/>
      <c r="O596" s="22"/>
      <c r="P596" s="22"/>
      <c r="Q596" s="22"/>
      <c r="R596" s="22"/>
      <c r="S596" s="22"/>
      <c r="T596" s="22"/>
      <c r="U596" s="24" t="str">
        <f>IFERROR(__xludf.DUMMYFUNCTION("SPLIT(E596,""01234567890"")"),"Adam
")</f>
        <v>Adam
</v>
      </c>
      <c r="V596" s="24" t="str">
        <f>IFERROR(__xludf.DUMMYFUNCTION("SPLIT(D596,"","")"),"Bazaldua")</f>
        <v>Bazaldua</v>
      </c>
      <c r="W596" s="25" t="str">
        <f t="shared" si="1"/>
        <v>ADAM
 BAZALDUA</v>
      </c>
      <c r="X596" s="25" t="s">
        <v>334</v>
      </c>
      <c r="Y596" s="25">
        <v>75227.0</v>
      </c>
      <c r="Z596" s="25" t="str">
        <f>IFERROR(__xludf.DUMMYFUNCTION("SPLIT(C596,""
"")"),"Bazaldua, Adam")</f>
        <v>Bazaldua, Adam</v>
      </c>
      <c r="AA596" s="25" t="str">
        <f>IFERROR(__xludf.DUMMYFUNCTION("""COMPUTED_VALUE"""),"6926 Belteau Lane")</f>
        <v>6926 Belteau Lane</v>
      </c>
      <c r="AB596" s="25" t="str">
        <f>IFERROR(__xludf.DUMMYFUNCTION("""COMPUTED_VALUE"""),"Dallas, TX 75227")</f>
        <v>Dallas, TX 75227</v>
      </c>
      <c r="AC596" s="24" t="s">
        <v>335</v>
      </c>
      <c r="AD596" s="25"/>
      <c r="AE596" s="25"/>
      <c r="AF596" s="25"/>
      <c r="AG596" s="22" t="s">
        <v>60</v>
      </c>
      <c r="AH596" s="54">
        <v>2448.0</v>
      </c>
      <c r="AI596" s="22" t="s">
        <v>61</v>
      </c>
      <c r="AJ596" s="27">
        <v>100.0</v>
      </c>
      <c r="AK596" s="31" t="s">
        <v>24</v>
      </c>
      <c r="AL596" s="28">
        <v>44726.0</v>
      </c>
      <c r="AM596" s="29">
        <v>44757.44018518519</v>
      </c>
      <c r="AN596" s="30">
        <v>2.0</v>
      </c>
      <c r="AO596" s="22"/>
      <c r="AP596" s="22"/>
      <c r="AQ596" s="22"/>
      <c r="AR596" s="22"/>
      <c r="AS596" s="22"/>
      <c r="AT596" s="70"/>
      <c r="AU596" s="22"/>
      <c r="AV596" s="57" t="str">
        <f>IFERROR(__xludf.DUMMYFUNCTION("""COMPUTED_VALUE"""),"Burrell")</f>
        <v>Burrell</v>
      </c>
      <c r="AW596" s="46">
        <f t="shared" si="7"/>
        <v>50</v>
      </c>
      <c r="AX596" s="47">
        <f t="shared" ref="AX596:BQ596" si="1898">SUMIFS($AJ:$AJ,$V:$V,$AV596,$AK:$AK,AX$2)</f>
        <v>0</v>
      </c>
      <c r="AY596" s="48">
        <f t="shared" si="1898"/>
        <v>0</v>
      </c>
      <c r="AZ596" s="48">
        <f t="shared" si="1898"/>
        <v>0</v>
      </c>
      <c r="BA596" s="48">
        <f t="shared" si="1898"/>
        <v>0</v>
      </c>
      <c r="BB596" s="48">
        <f t="shared" si="1898"/>
        <v>50</v>
      </c>
      <c r="BC596" s="48">
        <f t="shared" si="1898"/>
        <v>0</v>
      </c>
      <c r="BD596" s="48">
        <f t="shared" si="1898"/>
        <v>0</v>
      </c>
      <c r="BE596" s="48">
        <f t="shared" si="1898"/>
        <v>0</v>
      </c>
      <c r="BF596" s="48">
        <f t="shared" si="1898"/>
        <v>0</v>
      </c>
      <c r="BG596" s="48">
        <f t="shared" si="1898"/>
        <v>0</v>
      </c>
      <c r="BH596" s="48">
        <f t="shared" si="1898"/>
        <v>0</v>
      </c>
      <c r="BI596" s="48">
        <f t="shared" si="1898"/>
        <v>0</v>
      </c>
      <c r="BJ596" s="48">
        <f t="shared" si="1898"/>
        <v>0</v>
      </c>
      <c r="BK596" s="48">
        <f t="shared" si="1898"/>
        <v>0</v>
      </c>
      <c r="BL596" s="48">
        <f t="shared" si="1898"/>
        <v>0</v>
      </c>
      <c r="BM596" s="48">
        <f t="shared" si="1898"/>
        <v>0</v>
      </c>
      <c r="BN596" s="48">
        <f t="shared" si="1898"/>
        <v>0</v>
      </c>
      <c r="BO596" s="48">
        <f t="shared" si="1898"/>
        <v>0</v>
      </c>
      <c r="BP596" s="48">
        <f t="shared" si="1898"/>
        <v>0</v>
      </c>
      <c r="BQ596" s="48">
        <f t="shared" si="1898"/>
        <v>0</v>
      </c>
      <c r="BR596" s="36">
        <f t="shared" si="9"/>
        <v>0</v>
      </c>
      <c r="BS596" s="38">
        <f t="shared" si="10"/>
        <v>1</v>
      </c>
      <c r="BT596" s="49">
        <f t="shared" si="11"/>
        <v>0</v>
      </c>
      <c r="BU596" s="38">
        <f t="shared" si="12"/>
        <v>1000</v>
      </c>
      <c r="BV596" s="57" t="str">
        <f>IFERROR(__xludf.DUMMYFUNCTION("""COMPUTED_VALUE"""),"Burrell")</f>
        <v>Burrell</v>
      </c>
      <c r="BW596" s="46">
        <f t="shared" si="13"/>
        <v>50</v>
      </c>
      <c r="BX596" s="47">
        <f t="shared" ref="BX596:CA596" si="1899">AX596-$BU596</f>
        <v>-1000</v>
      </c>
      <c r="BY596" s="47">
        <f t="shared" si="1899"/>
        <v>-1000</v>
      </c>
      <c r="BZ596" s="47">
        <f t="shared" si="1899"/>
        <v>-1000</v>
      </c>
      <c r="CA596" s="47">
        <f t="shared" si="1899"/>
        <v>-1000</v>
      </c>
      <c r="CB596" s="47">
        <f t="shared" si="15"/>
        <v>-9950</v>
      </c>
      <c r="CC596" s="47">
        <f t="shared" ref="CC596:CQ596" si="1900">BC596-$BU596</f>
        <v>-1000</v>
      </c>
      <c r="CD596" s="47">
        <f t="shared" si="1900"/>
        <v>-1000</v>
      </c>
      <c r="CE596" s="47">
        <f t="shared" si="1900"/>
        <v>-1000</v>
      </c>
      <c r="CF596" s="47">
        <f t="shared" si="1900"/>
        <v>-1000</v>
      </c>
      <c r="CG596" s="47">
        <f t="shared" si="1900"/>
        <v>-1000</v>
      </c>
      <c r="CH596" s="47">
        <f t="shared" si="1900"/>
        <v>-1000</v>
      </c>
      <c r="CI596" s="47">
        <f t="shared" si="1900"/>
        <v>-1000</v>
      </c>
      <c r="CJ596" s="47">
        <f t="shared" si="1900"/>
        <v>-1000</v>
      </c>
      <c r="CK596" s="47">
        <f t="shared" si="1900"/>
        <v>-1000</v>
      </c>
      <c r="CL596" s="47">
        <f t="shared" si="1900"/>
        <v>-1000</v>
      </c>
      <c r="CM596" s="47">
        <f t="shared" si="1900"/>
        <v>-1000</v>
      </c>
      <c r="CN596" s="47">
        <f t="shared" si="1900"/>
        <v>-1000</v>
      </c>
      <c r="CO596" s="47">
        <f t="shared" si="1900"/>
        <v>-1000</v>
      </c>
      <c r="CP596" s="47">
        <f t="shared" si="1900"/>
        <v>-1000</v>
      </c>
      <c r="CQ596" s="47">
        <f t="shared" si="1900"/>
        <v>-1000</v>
      </c>
      <c r="CR596" s="47"/>
      <c r="CS596" s="47"/>
      <c r="CT596" s="47"/>
      <c r="CU596" s="50" t="str">
        <f>IFERROR(__xludf.DUMMYFUNCTION("""COMPUTED_VALUE"""),"7302 Danashire
Dallas, TX 75231           ")</f>
        <v>7302 Danashire
Dallas, TX 75231           </v>
      </c>
      <c r="CV596" s="51">
        <f>IFERROR(__xludf.DUMMYFUNCTION("IF(REGEXMATCH(UPPER(CU596), ""TX""),0,1)"),0.0)</f>
        <v>0</v>
      </c>
      <c r="CW596" s="51">
        <f>IFERROR(__xludf.DUMMYFUNCTION("IF(REGEXMATCH(UPPER(CU596), ""DALLAS""),0,1)"),0.0)</f>
        <v>0</v>
      </c>
      <c r="CX596" s="51">
        <f t="shared" si="17"/>
        <v>0</v>
      </c>
      <c r="CY596" s="51">
        <f t="shared" si="18"/>
        <v>0</v>
      </c>
      <c r="CZ596" s="52" t="str">
        <f t="shared" si="19"/>
        <v/>
      </c>
      <c r="DA596" s="58"/>
      <c r="DB596" s="52"/>
      <c r="DC596" s="52"/>
      <c r="DD596" s="52"/>
      <c r="DE596" s="52"/>
      <c r="DF596" s="52"/>
      <c r="DG596" s="52"/>
      <c r="DH596" s="52"/>
      <c r="DI596" s="52"/>
      <c r="DJ596" s="52"/>
      <c r="DK596" s="52"/>
      <c r="DL596" s="52"/>
      <c r="DM596" s="52"/>
      <c r="DN596" s="52"/>
      <c r="DO596" s="52"/>
      <c r="DP596" s="52"/>
      <c r="DQ596" s="52"/>
      <c r="DR596" s="52"/>
      <c r="DS596" s="52"/>
      <c r="DT596" s="52"/>
      <c r="DU596" s="52"/>
      <c r="DV596" s="52"/>
      <c r="DW596" s="52"/>
    </row>
    <row r="597">
      <c r="A597" s="40" t="s">
        <v>55</v>
      </c>
      <c r="B597" s="41" t="s">
        <v>56</v>
      </c>
      <c r="C597" s="31" t="s">
        <v>384</v>
      </c>
      <c r="D597" s="25" t="str">
        <f>IFERROR(__xludf.DUMMYFUNCTION("SPLIT(C597,"" "")"),"Benson,")</f>
        <v>Benson,</v>
      </c>
      <c r="E597" s="40" t="str">
        <f>IFERROR(__xludf.DUMMYFUNCTION("""COMPUTED_VALUE"""),"Kenneth
1527")</f>
        <v>Kenneth
1527</v>
      </c>
      <c r="F597" s="40" t="str">
        <f>IFERROR(__xludf.DUMMYFUNCTION("""COMPUTED_VALUE"""),"Waterside")</f>
        <v>Waterside</v>
      </c>
      <c r="G597" s="40" t="str">
        <f>IFERROR(__xludf.DUMMYFUNCTION("""COMPUTED_VALUE"""),"Ct.
Dallas,")</f>
        <v>Ct.
Dallas,</v>
      </c>
      <c r="H597" s="40" t="str">
        <f>IFERROR(__xludf.DUMMYFUNCTION("""COMPUTED_VALUE"""),"TX")</f>
        <v>TX</v>
      </c>
      <c r="I597" s="40">
        <f>IFERROR(__xludf.DUMMYFUNCTION("""COMPUTED_VALUE"""),75218.0)</f>
        <v>75218</v>
      </c>
      <c r="J597" s="40"/>
      <c r="K597" s="40"/>
      <c r="L597" s="40"/>
      <c r="M597" s="40"/>
      <c r="N597" s="40"/>
      <c r="O597" s="40"/>
      <c r="P597" s="40"/>
      <c r="Q597" s="40"/>
      <c r="R597" s="40"/>
      <c r="S597" s="40"/>
      <c r="T597" s="40"/>
      <c r="U597" s="24" t="str">
        <f>IFERROR(__xludf.DUMMYFUNCTION("SPLIT(E597,""01234567890"")"),"Kenneth
")</f>
        <v>Kenneth
</v>
      </c>
      <c r="V597" s="24" t="str">
        <f>IFERROR(__xludf.DUMMYFUNCTION("SPLIT(D597,"","")"),"Benson")</f>
        <v>Benson</v>
      </c>
      <c r="W597" s="25" t="str">
        <f t="shared" si="1"/>
        <v>KENNETH
 BENSON</v>
      </c>
      <c r="X597" s="25" t="s">
        <v>385</v>
      </c>
      <c r="Y597" s="25">
        <v>75218.0</v>
      </c>
      <c r="Z597" s="25" t="str">
        <f>IFERROR(__xludf.DUMMYFUNCTION("SPLIT(C597,""
"")"),"Benson, Kenneth")</f>
        <v>Benson, Kenneth</v>
      </c>
      <c r="AA597" s="25" t="str">
        <f>IFERROR(__xludf.DUMMYFUNCTION("""COMPUTED_VALUE"""),"1527 Waterside Ct.")</f>
        <v>1527 Waterside Ct.</v>
      </c>
      <c r="AB597" s="25" t="str">
        <f>IFERROR(__xludf.DUMMYFUNCTION("""COMPUTED_VALUE"""),"Dallas, TX 75218")</f>
        <v>Dallas, TX 75218</v>
      </c>
      <c r="AC597" s="24" t="s">
        <v>386</v>
      </c>
      <c r="AD597" s="25"/>
      <c r="AE597" s="25"/>
      <c r="AF597" s="25"/>
      <c r="AG597" s="40" t="s">
        <v>60</v>
      </c>
      <c r="AH597" s="42">
        <v>2448.0</v>
      </c>
      <c r="AI597" s="40" t="s">
        <v>61</v>
      </c>
      <c r="AJ597" s="27">
        <v>500.0</v>
      </c>
      <c r="AK597" s="31" t="s">
        <v>24</v>
      </c>
      <c r="AL597" s="43">
        <v>44726.0</v>
      </c>
      <c r="AM597" s="44">
        <v>44757.44018518519</v>
      </c>
      <c r="AN597" s="30">
        <v>2.0</v>
      </c>
      <c r="AO597" s="40"/>
      <c r="AP597" s="40"/>
      <c r="AQ597" s="40"/>
      <c r="AR597" s="40"/>
      <c r="AS597" s="40"/>
      <c r="AT597" s="47"/>
      <c r="AU597" s="40"/>
      <c r="AV597" s="46" t="str">
        <f>IFERROR(__xludf.DUMMYFUNCTION("""COMPUTED_VALUE"""),"Lester")</f>
        <v>Lester</v>
      </c>
      <c r="AW597" s="46">
        <f t="shared" si="7"/>
        <v>150</v>
      </c>
      <c r="AX597" s="47">
        <f t="shared" ref="AX597:BQ597" si="1901">SUMIFS($AJ:$AJ,$V:$V,$AV597,$AK:$AK,AX$2)</f>
        <v>0</v>
      </c>
      <c r="AY597" s="48">
        <f t="shared" si="1901"/>
        <v>0</v>
      </c>
      <c r="AZ597" s="48">
        <f t="shared" si="1901"/>
        <v>0</v>
      </c>
      <c r="BA597" s="48">
        <f t="shared" si="1901"/>
        <v>0</v>
      </c>
      <c r="BB597" s="48">
        <f t="shared" si="1901"/>
        <v>150</v>
      </c>
      <c r="BC597" s="48">
        <f t="shared" si="1901"/>
        <v>0</v>
      </c>
      <c r="BD597" s="48">
        <f t="shared" si="1901"/>
        <v>0</v>
      </c>
      <c r="BE597" s="48">
        <f t="shared" si="1901"/>
        <v>0</v>
      </c>
      <c r="BF597" s="48">
        <f t="shared" si="1901"/>
        <v>0</v>
      </c>
      <c r="BG597" s="48">
        <f t="shared" si="1901"/>
        <v>0</v>
      </c>
      <c r="BH597" s="48">
        <f t="shared" si="1901"/>
        <v>0</v>
      </c>
      <c r="BI597" s="48">
        <f t="shared" si="1901"/>
        <v>0</v>
      </c>
      <c r="BJ597" s="48">
        <f t="shared" si="1901"/>
        <v>0</v>
      </c>
      <c r="BK597" s="48">
        <f t="shared" si="1901"/>
        <v>0</v>
      </c>
      <c r="BL597" s="48">
        <f t="shared" si="1901"/>
        <v>0</v>
      </c>
      <c r="BM597" s="48">
        <f t="shared" si="1901"/>
        <v>0</v>
      </c>
      <c r="BN597" s="48">
        <f t="shared" si="1901"/>
        <v>0</v>
      </c>
      <c r="BO597" s="48">
        <f t="shared" si="1901"/>
        <v>0</v>
      </c>
      <c r="BP597" s="48">
        <f t="shared" si="1901"/>
        <v>0</v>
      </c>
      <c r="BQ597" s="48">
        <f t="shared" si="1901"/>
        <v>0</v>
      </c>
      <c r="BR597" s="36">
        <f t="shared" si="9"/>
        <v>1</v>
      </c>
      <c r="BS597" s="38">
        <f t="shared" si="10"/>
        <v>2</v>
      </c>
      <c r="BT597" s="49">
        <f t="shared" si="11"/>
        <v>0</v>
      </c>
      <c r="BU597" s="38">
        <f t="shared" si="12"/>
        <v>2000</v>
      </c>
      <c r="BV597" s="46" t="str">
        <f>IFERROR(__xludf.DUMMYFUNCTION("""COMPUTED_VALUE"""),"Lester")</f>
        <v>Lester</v>
      </c>
      <c r="BW597" s="46">
        <f t="shared" si="13"/>
        <v>150</v>
      </c>
      <c r="BX597" s="47">
        <f t="shared" ref="BX597:CA597" si="1902">AX597-$BU597</f>
        <v>-2000</v>
      </c>
      <c r="BY597" s="47">
        <f t="shared" si="1902"/>
        <v>-2000</v>
      </c>
      <c r="BZ597" s="47">
        <f t="shared" si="1902"/>
        <v>-2000</v>
      </c>
      <c r="CA597" s="47">
        <f t="shared" si="1902"/>
        <v>-2000</v>
      </c>
      <c r="CB597" s="47">
        <f t="shared" si="15"/>
        <v>-19850</v>
      </c>
      <c r="CC597" s="47">
        <f t="shared" ref="CC597:CQ597" si="1903">BC597-$BU597</f>
        <v>-2000</v>
      </c>
      <c r="CD597" s="47">
        <f t="shared" si="1903"/>
        <v>-2000</v>
      </c>
      <c r="CE597" s="47">
        <f t="shared" si="1903"/>
        <v>-2000</v>
      </c>
      <c r="CF597" s="47">
        <f t="shared" si="1903"/>
        <v>-2000</v>
      </c>
      <c r="CG597" s="47">
        <f t="shared" si="1903"/>
        <v>-2000</v>
      </c>
      <c r="CH597" s="47">
        <f t="shared" si="1903"/>
        <v>-2000</v>
      </c>
      <c r="CI597" s="47">
        <f t="shared" si="1903"/>
        <v>-2000</v>
      </c>
      <c r="CJ597" s="47">
        <f t="shared" si="1903"/>
        <v>-2000</v>
      </c>
      <c r="CK597" s="47">
        <f t="shared" si="1903"/>
        <v>-2000</v>
      </c>
      <c r="CL597" s="47">
        <f t="shared" si="1903"/>
        <v>-2000</v>
      </c>
      <c r="CM597" s="47">
        <f t="shared" si="1903"/>
        <v>-2000</v>
      </c>
      <c r="CN597" s="47">
        <f t="shared" si="1903"/>
        <v>-2000</v>
      </c>
      <c r="CO597" s="47">
        <f t="shared" si="1903"/>
        <v>-2000</v>
      </c>
      <c r="CP597" s="47">
        <f t="shared" si="1903"/>
        <v>-2000</v>
      </c>
      <c r="CQ597" s="47">
        <f t="shared" si="1903"/>
        <v>-2000</v>
      </c>
      <c r="CR597" s="47"/>
      <c r="CS597" s="47"/>
      <c r="CT597" s="47"/>
      <c r="CU597" s="50" t="str">
        <f>IFERROR(__xludf.DUMMYFUNCTION("""COMPUTED_VALUE"""),"4515 Belfort Pl
Dallas, TX 75205          ")</f>
        <v>4515 Belfort Pl
Dallas, TX 75205          </v>
      </c>
      <c r="CV597" s="51">
        <f>IFERROR(__xludf.DUMMYFUNCTION("IF(REGEXMATCH(UPPER(CU597), ""TX""),0,1)"),0.0)</f>
        <v>0</v>
      </c>
      <c r="CW597" s="51">
        <f>IFERROR(__xludf.DUMMYFUNCTION("IF(REGEXMATCH(UPPER(CU597), ""DALLAS""),0,1)"),0.0)</f>
        <v>0</v>
      </c>
      <c r="CX597" s="51">
        <f t="shared" si="17"/>
        <v>0</v>
      </c>
      <c r="CY597" s="51">
        <f t="shared" si="18"/>
        <v>0</v>
      </c>
      <c r="CZ597" s="52" t="str">
        <f t="shared" si="19"/>
        <v/>
      </c>
      <c r="DA597" s="58"/>
      <c r="DB597" s="52"/>
      <c r="DC597" s="52"/>
      <c r="DD597" s="52"/>
      <c r="DE597" s="52"/>
      <c r="DF597" s="52"/>
      <c r="DG597" s="52"/>
      <c r="DH597" s="52"/>
      <c r="DI597" s="52"/>
      <c r="DJ597" s="52"/>
      <c r="DK597" s="52"/>
      <c r="DL597" s="52"/>
      <c r="DM597" s="52"/>
      <c r="DN597" s="52"/>
      <c r="DO597" s="52"/>
      <c r="DP597" s="52"/>
      <c r="DQ597" s="52"/>
      <c r="DR597" s="52"/>
      <c r="DS597" s="52"/>
      <c r="DT597" s="52"/>
      <c r="DU597" s="52"/>
      <c r="DV597" s="52"/>
      <c r="DW597" s="52"/>
    </row>
    <row r="598">
      <c r="A598" s="22" t="s">
        <v>55</v>
      </c>
      <c r="B598" s="23" t="s">
        <v>56</v>
      </c>
      <c r="C598" s="31" t="s">
        <v>480</v>
      </c>
      <c r="D598" s="25" t="str">
        <f>IFERROR(__xludf.DUMMYFUNCTION("SPLIT(C598,"" "")"),"Bobosky,")</f>
        <v>Bobosky,</v>
      </c>
      <c r="E598" s="22" t="str">
        <f>IFERROR(__xludf.DUMMYFUNCTION("""COMPUTED_VALUE"""),"Shelby
6823")</f>
        <v>Shelby
6823</v>
      </c>
      <c r="F598" s="22" t="str">
        <f>IFERROR(__xludf.DUMMYFUNCTION("""COMPUTED_VALUE"""),"La")</f>
        <v>La</v>
      </c>
      <c r="G598" s="22" t="str">
        <f>IFERROR(__xludf.DUMMYFUNCTION("""COMPUTED_VALUE"""),"Vista")</f>
        <v>Vista</v>
      </c>
      <c r="H598" s="22" t="str">
        <f>IFERROR(__xludf.DUMMYFUNCTION("""COMPUTED_VALUE"""),"Dr.
Dallas,")</f>
        <v>Dr.
Dallas,</v>
      </c>
      <c r="I598" s="22" t="str">
        <f>IFERROR(__xludf.DUMMYFUNCTION("""COMPUTED_VALUE"""),"TX")</f>
        <v>TX</v>
      </c>
      <c r="J598" s="22">
        <f>IFERROR(__xludf.DUMMYFUNCTION("""COMPUTED_VALUE"""),75214.0)</f>
        <v>75214</v>
      </c>
      <c r="K598" s="22"/>
      <c r="L598" s="22"/>
      <c r="M598" s="22"/>
      <c r="N598" s="22"/>
      <c r="O598" s="22"/>
      <c r="P598" s="22"/>
      <c r="Q598" s="22"/>
      <c r="R598" s="22"/>
      <c r="S598" s="22"/>
      <c r="T598" s="22"/>
      <c r="U598" s="24" t="str">
        <f>IFERROR(__xludf.DUMMYFUNCTION("SPLIT(E598,""01234567890"")"),"Shelby
")</f>
        <v>Shelby
</v>
      </c>
      <c r="V598" s="24" t="str">
        <f>IFERROR(__xludf.DUMMYFUNCTION("SPLIT(D598,"","")"),"Bobosky")</f>
        <v>Bobosky</v>
      </c>
      <c r="W598" s="25" t="str">
        <f t="shared" si="1"/>
        <v>SHELBY
 BOBOSKY</v>
      </c>
      <c r="X598" s="25" t="s">
        <v>481</v>
      </c>
      <c r="Y598" s="25">
        <v>75214.0</v>
      </c>
      <c r="Z598" s="25" t="str">
        <f>IFERROR(__xludf.DUMMYFUNCTION("SPLIT(C598,""
"")"),"Bobosky, Shelby")</f>
        <v>Bobosky, Shelby</v>
      </c>
      <c r="AA598" s="25" t="str">
        <f>IFERROR(__xludf.DUMMYFUNCTION("""COMPUTED_VALUE"""),"6823 La Vista Dr.")</f>
        <v>6823 La Vista Dr.</v>
      </c>
      <c r="AB598" s="25" t="str">
        <f>IFERROR(__xludf.DUMMYFUNCTION("""COMPUTED_VALUE"""),"Dallas, TX 75214")</f>
        <v>Dallas, TX 75214</v>
      </c>
      <c r="AC598" s="24" t="s">
        <v>482</v>
      </c>
      <c r="AD598" s="25"/>
      <c r="AE598" s="25"/>
      <c r="AF598" s="25"/>
      <c r="AG598" s="22" t="s">
        <v>60</v>
      </c>
      <c r="AH598" s="54">
        <v>2448.0</v>
      </c>
      <c r="AI598" s="22" t="s">
        <v>61</v>
      </c>
      <c r="AJ598" s="27">
        <v>500.0</v>
      </c>
      <c r="AK598" s="31" t="s">
        <v>24</v>
      </c>
      <c r="AL598" s="28">
        <v>44726.0</v>
      </c>
      <c r="AM598" s="29">
        <v>44757.44018518519</v>
      </c>
      <c r="AN598" s="30">
        <v>2.0</v>
      </c>
      <c r="AO598" s="22"/>
      <c r="AP598" s="22"/>
      <c r="AQ598" s="22"/>
      <c r="AR598" s="22"/>
      <c r="AS598" s="22"/>
      <c r="AT598" s="70"/>
      <c r="AU598" s="22"/>
      <c r="AV598" s="57" t="str">
        <f>IFERROR(__xludf.DUMMYFUNCTION("""COMPUTED_VALUE"""),"Tran")</f>
        <v>Tran</v>
      </c>
      <c r="AW598" s="46">
        <f t="shared" si="7"/>
        <v>100</v>
      </c>
      <c r="AX598" s="47">
        <f t="shared" ref="AX598:BQ598" si="1904">SUMIFS($AJ:$AJ,$V:$V,$AV598,$AK:$AK,AX$2)</f>
        <v>0</v>
      </c>
      <c r="AY598" s="48">
        <f t="shared" si="1904"/>
        <v>0</v>
      </c>
      <c r="AZ598" s="48">
        <f t="shared" si="1904"/>
        <v>0</v>
      </c>
      <c r="BA598" s="48">
        <f t="shared" si="1904"/>
        <v>0</v>
      </c>
      <c r="BB598" s="48">
        <f t="shared" si="1904"/>
        <v>50</v>
      </c>
      <c r="BC598" s="48">
        <f t="shared" si="1904"/>
        <v>0</v>
      </c>
      <c r="BD598" s="48">
        <f t="shared" si="1904"/>
        <v>50</v>
      </c>
      <c r="BE598" s="48">
        <f t="shared" si="1904"/>
        <v>0</v>
      </c>
      <c r="BF598" s="48">
        <f t="shared" si="1904"/>
        <v>0</v>
      </c>
      <c r="BG598" s="48">
        <f t="shared" si="1904"/>
        <v>0</v>
      </c>
      <c r="BH598" s="48">
        <f t="shared" si="1904"/>
        <v>0</v>
      </c>
      <c r="BI598" s="48">
        <f t="shared" si="1904"/>
        <v>0</v>
      </c>
      <c r="BJ598" s="48">
        <f t="shared" si="1904"/>
        <v>0</v>
      </c>
      <c r="BK598" s="48">
        <f t="shared" si="1904"/>
        <v>0</v>
      </c>
      <c r="BL598" s="48">
        <f t="shared" si="1904"/>
        <v>0</v>
      </c>
      <c r="BM598" s="48">
        <f t="shared" si="1904"/>
        <v>0</v>
      </c>
      <c r="BN598" s="48">
        <f t="shared" si="1904"/>
        <v>0</v>
      </c>
      <c r="BO598" s="48">
        <f t="shared" si="1904"/>
        <v>0</v>
      </c>
      <c r="BP598" s="48">
        <f t="shared" si="1904"/>
        <v>0</v>
      </c>
      <c r="BQ598" s="48">
        <f t="shared" si="1904"/>
        <v>0</v>
      </c>
      <c r="BR598" s="36">
        <f t="shared" si="9"/>
        <v>0</v>
      </c>
      <c r="BS598" s="38">
        <f t="shared" si="10"/>
        <v>1</v>
      </c>
      <c r="BT598" s="49">
        <f t="shared" si="11"/>
        <v>0</v>
      </c>
      <c r="BU598" s="38">
        <f t="shared" si="12"/>
        <v>1000</v>
      </c>
      <c r="BV598" s="57" t="str">
        <f>IFERROR(__xludf.DUMMYFUNCTION("""COMPUTED_VALUE"""),"Tran")</f>
        <v>Tran</v>
      </c>
      <c r="BW598" s="46">
        <f t="shared" si="13"/>
        <v>100</v>
      </c>
      <c r="BX598" s="47">
        <f t="shared" ref="BX598:CA598" si="1905">AX598-$BU598</f>
        <v>-1000</v>
      </c>
      <c r="BY598" s="47">
        <f t="shared" si="1905"/>
        <v>-1000</v>
      </c>
      <c r="BZ598" s="47">
        <f t="shared" si="1905"/>
        <v>-1000</v>
      </c>
      <c r="CA598" s="47">
        <f t="shared" si="1905"/>
        <v>-1000</v>
      </c>
      <c r="CB598" s="47">
        <f t="shared" si="15"/>
        <v>-9950</v>
      </c>
      <c r="CC598" s="47">
        <f t="shared" ref="CC598:CQ598" si="1906">BC598-$BU598</f>
        <v>-1000</v>
      </c>
      <c r="CD598" s="47">
        <f t="shared" si="1906"/>
        <v>-950</v>
      </c>
      <c r="CE598" s="47">
        <f t="shared" si="1906"/>
        <v>-1000</v>
      </c>
      <c r="CF598" s="47">
        <f t="shared" si="1906"/>
        <v>-1000</v>
      </c>
      <c r="CG598" s="47">
        <f t="shared" si="1906"/>
        <v>-1000</v>
      </c>
      <c r="CH598" s="47">
        <f t="shared" si="1906"/>
        <v>-1000</v>
      </c>
      <c r="CI598" s="47">
        <f t="shared" si="1906"/>
        <v>-1000</v>
      </c>
      <c r="CJ598" s="47">
        <f t="shared" si="1906"/>
        <v>-1000</v>
      </c>
      <c r="CK598" s="47">
        <f t="shared" si="1906"/>
        <v>-1000</v>
      </c>
      <c r="CL598" s="47">
        <f t="shared" si="1906"/>
        <v>-1000</v>
      </c>
      <c r="CM598" s="47">
        <f t="shared" si="1906"/>
        <v>-1000</v>
      </c>
      <c r="CN598" s="47">
        <f t="shared" si="1906"/>
        <v>-1000</v>
      </c>
      <c r="CO598" s="47">
        <f t="shared" si="1906"/>
        <v>-1000</v>
      </c>
      <c r="CP598" s="47">
        <f t="shared" si="1906"/>
        <v>-1000</v>
      </c>
      <c r="CQ598" s="47">
        <f t="shared" si="1906"/>
        <v>-1000</v>
      </c>
      <c r="CR598" s="47"/>
      <c r="CS598" s="47"/>
      <c r="CT598" s="47"/>
      <c r="CU598" s="50" t="str">
        <f>IFERROR(__xludf.DUMMYFUNCTION("""COMPUTED_VALUE"""),"10050 Caribou Trail
Dallas, TX 75238          ")</f>
        <v>10050 Caribou Trail
Dallas, TX 75238          </v>
      </c>
      <c r="CV598" s="51">
        <f>IFERROR(__xludf.DUMMYFUNCTION("IF(REGEXMATCH(UPPER(CU598), ""TX""),0,1)"),0.0)</f>
        <v>0</v>
      </c>
      <c r="CW598" s="51">
        <f>IFERROR(__xludf.DUMMYFUNCTION("IF(REGEXMATCH(UPPER(CU598), ""DALLAS""),0,1)"),0.0)</f>
        <v>0</v>
      </c>
      <c r="CX598" s="51">
        <f t="shared" si="17"/>
        <v>0</v>
      </c>
      <c r="CY598" s="51">
        <f t="shared" si="18"/>
        <v>0</v>
      </c>
      <c r="CZ598" s="52" t="str">
        <f t="shared" si="19"/>
        <v/>
      </c>
      <c r="DA598" s="58"/>
      <c r="DB598" s="52"/>
      <c r="DC598" s="52"/>
      <c r="DD598" s="52"/>
      <c r="DE598" s="52"/>
      <c r="DF598" s="52"/>
      <c r="DG598" s="52"/>
      <c r="DH598" s="52"/>
      <c r="DI598" s="52"/>
      <c r="DJ598" s="52"/>
      <c r="DK598" s="52"/>
      <c r="DL598" s="52"/>
      <c r="DM598" s="52"/>
      <c r="DN598" s="52"/>
      <c r="DO598" s="52"/>
      <c r="DP598" s="52"/>
      <c r="DQ598" s="52"/>
      <c r="DR598" s="52"/>
      <c r="DS598" s="52"/>
      <c r="DT598" s="52"/>
      <c r="DU598" s="52"/>
      <c r="DV598" s="52"/>
      <c r="DW598" s="52"/>
    </row>
    <row r="599">
      <c r="A599" s="40" t="s">
        <v>55</v>
      </c>
      <c r="B599" s="41" t="s">
        <v>56</v>
      </c>
      <c r="C599" s="31" t="s">
        <v>1602</v>
      </c>
      <c r="D599" s="25" t="str">
        <f>IFERROR(__xludf.DUMMYFUNCTION("SPLIT(C599,"" "")"),"Cain,")</f>
        <v>Cain,</v>
      </c>
      <c r="E599" s="40" t="str">
        <f>IFERROR(__xludf.DUMMYFUNCTION("""COMPUTED_VALUE"""),"David
6307")</f>
        <v>David
6307</v>
      </c>
      <c r="F599" s="40" t="str">
        <f>IFERROR(__xludf.DUMMYFUNCTION("""COMPUTED_VALUE"""),"Club")</f>
        <v>Club</v>
      </c>
      <c r="G599" s="40" t="str">
        <f>IFERROR(__xludf.DUMMYFUNCTION("""COMPUTED_VALUE"""),"Lake")</f>
        <v>Lake</v>
      </c>
      <c r="H599" s="40" t="str">
        <f>IFERROR(__xludf.DUMMYFUNCTION("""COMPUTED_VALUE"""),"Ct.
Dallas,")</f>
        <v>Ct.
Dallas,</v>
      </c>
      <c r="I599" s="40" t="str">
        <f>IFERROR(__xludf.DUMMYFUNCTION("""COMPUTED_VALUE"""),"TX")</f>
        <v>TX</v>
      </c>
      <c r="J599" s="40">
        <f>IFERROR(__xludf.DUMMYFUNCTION("""COMPUTED_VALUE"""),75214.0)</f>
        <v>75214</v>
      </c>
      <c r="K599" s="40"/>
      <c r="L599" s="40"/>
      <c r="M599" s="40"/>
      <c r="N599" s="40"/>
      <c r="O599" s="40"/>
      <c r="P599" s="40"/>
      <c r="Q599" s="40"/>
      <c r="R599" s="40"/>
      <c r="S599" s="40"/>
      <c r="T599" s="40"/>
      <c r="U599" s="24" t="str">
        <f>IFERROR(__xludf.DUMMYFUNCTION("SPLIT(E599,""01234567890"")"),"David
")</f>
        <v>David
</v>
      </c>
      <c r="V599" s="24" t="str">
        <f>IFERROR(__xludf.DUMMYFUNCTION("SPLIT(D599,"","")"),"Cain")</f>
        <v>Cain</v>
      </c>
      <c r="W599" s="25" t="str">
        <f t="shared" si="1"/>
        <v>DAVID
 CAIN</v>
      </c>
      <c r="X599" s="25" t="s">
        <v>1603</v>
      </c>
      <c r="Y599" s="25">
        <v>75214.0</v>
      </c>
      <c r="Z599" s="25" t="str">
        <f>IFERROR(__xludf.DUMMYFUNCTION("SPLIT(C599,""
"")"),"Cain, David")</f>
        <v>Cain, David</v>
      </c>
      <c r="AA599" s="25" t="str">
        <f>IFERROR(__xludf.DUMMYFUNCTION("""COMPUTED_VALUE"""),"6307 Club Lake Ct.")</f>
        <v>6307 Club Lake Ct.</v>
      </c>
      <c r="AB599" s="25" t="str">
        <f>IFERROR(__xludf.DUMMYFUNCTION("""COMPUTED_VALUE"""),"Dallas, TX 75214")</f>
        <v>Dallas, TX 75214</v>
      </c>
      <c r="AC599" s="24" t="s">
        <v>1604</v>
      </c>
      <c r="AD599" s="25"/>
      <c r="AE599" s="25"/>
      <c r="AF599" s="25"/>
      <c r="AG599" s="40" t="s">
        <v>60</v>
      </c>
      <c r="AH599" s="42">
        <v>2448.0</v>
      </c>
      <c r="AI599" s="40" t="s">
        <v>61</v>
      </c>
      <c r="AJ599" s="27">
        <v>200.0</v>
      </c>
      <c r="AK599" s="31" t="s">
        <v>24</v>
      </c>
      <c r="AL599" s="43">
        <v>44726.0</v>
      </c>
      <c r="AM599" s="44">
        <v>44757.44018518519</v>
      </c>
      <c r="AN599" s="30">
        <v>2.0</v>
      </c>
      <c r="AO599" s="40"/>
      <c r="AP599" s="40"/>
      <c r="AQ599" s="40"/>
      <c r="AR599" s="40"/>
      <c r="AS599" s="40"/>
      <c r="AT599" s="47"/>
      <c r="AU599" s="40"/>
      <c r="AV599" s="46" t="str">
        <f>IFERROR(__xludf.DUMMYFUNCTION("""COMPUTED_VALUE"""),"Egan")</f>
        <v>Egan</v>
      </c>
      <c r="AW599" s="46">
        <f t="shared" si="7"/>
        <v>200</v>
      </c>
      <c r="AX599" s="47">
        <f t="shared" ref="AX599:BQ599" si="1907">SUMIFS($AJ:$AJ,$V:$V,$AV599,$AK:$AK,AX$2)</f>
        <v>0</v>
      </c>
      <c r="AY599" s="48">
        <f t="shared" si="1907"/>
        <v>0</v>
      </c>
      <c r="AZ599" s="48">
        <f t="shared" si="1907"/>
        <v>0</v>
      </c>
      <c r="BA599" s="48">
        <f t="shared" si="1907"/>
        <v>0</v>
      </c>
      <c r="BB599" s="48">
        <f t="shared" si="1907"/>
        <v>200</v>
      </c>
      <c r="BC599" s="48">
        <f t="shared" si="1907"/>
        <v>0</v>
      </c>
      <c r="BD599" s="48">
        <f t="shared" si="1907"/>
        <v>0</v>
      </c>
      <c r="BE599" s="48">
        <f t="shared" si="1907"/>
        <v>0</v>
      </c>
      <c r="BF599" s="48">
        <f t="shared" si="1907"/>
        <v>0</v>
      </c>
      <c r="BG599" s="48">
        <f t="shared" si="1907"/>
        <v>0</v>
      </c>
      <c r="BH599" s="48">
        <f t="shared" si="1907"/>
        <v>0</v>
      </c>
      <c r="BI599" s="48">
        <f t="shared" si="1907"/>
        <v>0</v>
      </c>
      <c r="BJ599" s="48">
        <f t="shared" si="1907"/>
        <v>0</v>
      </c>
      <c r="BK599" s="48">
        <f t="shared" si="1907"/>
        <v>0</v>
      </c>
      <c r="BL599" s="48">
        <f t="shared" si="1907"/>
        <v>0</v>
      </c>
      <c r="BM599" s="48">
        <f t="shared" si="1907"/>
        <v>0</v>
      </c>
      <c r="BN599" s="48">
        <f t="shared" si="1907"/>
        <v>0</v>
      </c>
      <c r="BO599" s="48">
        <f t="shared" si="1907"/>
        <v>0</v>
      </c>
      <c r="BP599" s="48">
        <f t="shared" si="1907"/>
        <v>0</v>
      </c>
      <c r="BQ599" s="48">
        <f t="shared" si="1907"/>
        <v>0</v>
      </c>
      <c r="BR599" s="36">
        <f t="shared" si="9"/>
        <v>0</v>
      </c>
      <c r="BS599" s="38">
        <f t="shared" si="10"/>
        <v>1</v>
      </c>
      <c r="BT599" s="49">
        <f t="shared" si="11"/>
        <v>0</v>
      </c>
      <c r="BU599" s="38">
        <f t="shared" si="12"/>
        <v>1000</v>
      </c>
      <c r="BV599" s="46" t="str">
        <f>IFERROR(__xludf.DUMMYFUNCTION("""COMPUTED_VALUE"""),"Egan")</f>
        <v>Egan</v>
      </c>
      <c r="BW599" s="46">
        <f t="shared" si="13"/>
        <v>200</v>
      </c>
      <c r="BX599" s="47">
        <f t="shared" ref="BX599:CA599" si="1908">AX599-$BU599</f>
        <v>-1000</v>
      </c>
      <c r="BY599" s="47">
        <f t="shared" si="1908"/>
        <v>-1000</v>
      </c>
      <c r="BZ599" s="47">
        <f t="shared" si="1908"/>
        <v>-1000</v>
      </c>
      <c r="CA599" s="47">
        <f t="shared" si="1908"/>
        <v>-1000</v>
      </c>
      <c r="CB599" s="47">
        <f t="shared" si="15"/>
        <v>-9800</v>
      </c>
      <c r="CC599" s="47">
        <f t="shared" ref="CC599:CQ599" si="1909">BC599-$BU599</f>
        <v>-1000</v>
      </c>
      <c r="CD599" s="47">
        <f t="shared" si="1909"/>
        <v>-1000</v>
      </c>
      <c r="CE599" s="47">
        <f t="shared" si="1909"/>
        <v>-1000</v>
      </c>
      <c r="CF599" s="47">
        <f t="shared" si="1909"/>
        <v>-1000</v>
      </c>
      <c r="CG599" s="47">
        <f t="shared" si="1909"/>
        <v>-1000</v>
      </c>
      <c r="CH599" s="47">
        <f t="shared" si="1909"/>
        <v>-1000</v>
      </c>
      <c r="CI599" s="47">
        <f t="shared" si="1909"/>
        <v>-1000</v>
      </c>
      <c r="CJ599" s="47">
        <f t="shared" si="1909"/>
        <v>-1000</v>
      </c>
      <c r="CK599" s="47">
        <f t="shared" si="1909"/>
        <v>-1000</v>
      </c>
      <c r="CL599" s="47">
        <f t="shared" si="1909"/>
        <v>-1000</v>
      </c>
      <c r="CM599" s="47">
        <f t="shared" si="1909"/>
        <v>-1000</v>
      </c>
      <c r="CN599" s="47">
        <f t="shared" si="1909"/>
        <v>-1000</v>
      </c>
      <c r="CO599" s="47">
        <f t="shared" si="1909"/>
        <v>-1000</v>
      </c>
      <c r="CP599" s="47">
        <f t="shared" si="1909"/>
        <v>-1000</v>
      </c>
      <c r="CQ599" s="47">
        <f t="shared" si="1909"/>
        <v>-1000</v>
      </c>
      <c r="CR599" s="47"/>
      <c r="CS599" s="47"/>
      <c r="CT599" s="47"/>
      <c r="CU599" s="50" t="str">
        <f>IFERROR(__xludf.DUMMYFUNCTION("""COMPUTED_VALUE"""),"6875 Carolyncrest Dr
Dallas, TX 75214          ")</f>
        <v>6875 Carolyncrest Dr
Dallas, TX 75214          </v>
      </c>
      <c r="CV599" s="51">
        <f>IFERROR(__xludf.DUMMYFUNCTION("IF(REGEXMATCH(UPPER(CU599), ""TX""),0,1)"),0.0)</f>
        <v>0</v>
      </c>
      <c r="CW599" s="51">
        <f>IFERROR(__xludf.DUMMYFUNCTION("IF(REGEXMATCH(UPPER(CU599), ""DALLAS""),0,1)"),0.0)</f>
        <v>0</v>
      </c>
      <c r="CX599" s="51">
        <f t="shared" si="17"/>
        <v>0</v>
      </c>
      <c r="CY599" s="51">
        <f t="shared" si="18"/>
        <v>0</v>
      </c>
      <c r="CZ599" s="52" t="str">
        <f t="shared" si="19"/>
        <v/>
      </c>
      <c r="DA599" s="58"/>
      <c r="DB599" s="52"/>
      <c r="DC599" s="52"/>
      <c r="DD599" s="52"/>
      <c r="DE599" s="52"/>
      <c r="DF599" s="52"/>
      <c r="DG599" s="52"/>
      <c r="DH599" s="52"/>
      <c r="DI599" s="52"/>
      <c r="DJ599" s="52"/>
      <c r="DK599" s="52"/>
      <c r="DL599" s="52"/>
      <c r="DM599" s="52"/>
      <c r="DN599" s="52"/>
      <c r="DO599" s="52"/>
      <c r="DP599" s="52"/>
      <c r="DQ599" s="52"/>
      <c r="DR599" s="52"/>
      <c r="DS599" s="52"/>
      <c r="DT599" s="52"/>
      <c r="DU599" s="52"/>
      <c r="DV599" s="52"/>
      <c r="DW599" s="52"/>
    </row>
    <row r="600">
      <c r="A600" s="22" t="s">
        <v>55</v>
      </c>
      <c r="B600" s="23" t="s">
        <v>56</v>
      </c>
      <c r="C600" s="31" t="s">
        <v>1605</v>
      </c>
      <c r="D600" s="25" t="str">
        <f>IFERROR(__xludf.DUMMYFUNCTION("SPLIT(C600,"" "")"),"Creuzot,")</f>
        <v>Creuzot,</v>
      </c>
      <c r="E600" s="22" t="str">
        <f>IFERROR(__xludf.DUMMYFUNCTION("""COMPUTED_VALUE"""),"John
8185")</f>
        <v>John
8185</v>
      </c>
      <c r="F600" s="22" t="str">
        <f>IFERROR(__xludf.DUMMYFUNCTION("""COMPUTED_VALUE"""),"San")</f>
        <v>San</v>
      </c>
      <c r="G600" s="22" t="str">
        <f>IFERROR(__xludf.DUMMYFUNCTION("""COMPUTED_VALUE"""),"Leandro
Dallas,")</f>
        <v>Leandro
Dallas,</v>
      </c>
      <c r="H600" s="22" t="str">
        <f>IFERROR(__xludf.DUMMYFUNCTION("""COMPUTED_VALUE"""),"TX")</f>
        <v>TX</v>
      </c>
      <c r="I600" s="22">
        <f>IFERROR(__xludf.DUMMYFUNCTION("""COMPUTED_VALUE"""),75218.0)</f>
        <v>75218</v>
      </c>
      <c r="J600" s="22"/>
      <c r="K600" s="22"/>
      <c r="L600" s="22"/>
      <c r="M600" s="22"/>
      <c r="N600" s="22"/>
      <c r="O600" s="22"/>
      <c r="P600" s="22"/>
      <c r="Q600" s="22"/>
      <c r="R600" s="22"/>
      <c r="S600" s="22"/>
      <c r="T600" s="22"/>
      <c r="U600" s="24" t="str">
        <f>IFERROR(__xludf.DUMMYFUNCTION("SPLIT(E600,""01234567890"")"),"John
")</f>
        <v>John
</v>
      </c>
      <c r="V600" s="24" t="str">
        <f>IFERROR(__xludf.DUMMYFUNCTION("SPLIT(D600,"","")"),"Creuzot")</f>
        <v>Creuzot</v>
      </c>
      <c r="W600" s="25" t="str">
        <f t="shared" si="1"/>
        <v>JOHN
 CREUZOT</v>
      </c>
      <c r="X600" s="25" t="s">
        <v>1606</v>
      </c>
      <c r="Y600" s="25">
        <v>75218.0</v>
      </c>
      <c r="Z600" s="25" t="str">
        <f>IFERROR(__xludf.DUMMYFUNCTION("SPLIT(C600,""
"")"),"Creuzot, John")</f>
        <v>Creuzot, John</v>
      </c>
      <c r="AA600" s="25" t="str">
        <f>IFERROR(__xludf.DUMMYFUNCTION("""COMPUTED_VALUE"""),"8185 San Leandro")</f>
        <v>8185 San Leandro</v>
      </c>
      <c r="AB600" s="25" t="str">
        <f>IFERROR(__xludf.DUMMYFUNCTION("""COMPUTED_VALUE"""),"Dallas, TX 75218")</f>
        <v>Dallas, TX 75218</v>
      </c>
      <c r="AC600" s="24" t="s">
        <v>1607</v>
      </c>
      <c r="AD600" s="25"/>
      <c r="AE600" s="25"/>
      <c r="AF600" s="25"/>
      <c r="AG600" s="22" t="s">
        <v>60</v>
      </c>
      <c r="AH600" s="54">
        <v>2448.0</v>
      </c>
      <c r="AI600" s="22" t="s">
        <v>61</v>
      </c>
      <c r="AJ600" s="27">
        <v>500.0</v>
      </c>
      <c r="AK600" s="31" t="s">
        <v>24</v>
      </c>
      <c r="AL600" s="28">
        <v>44726.0</v>
      </c>
      <c r="AM600" s="29">
        <v>44757.44018518519</v>
      </c>
      <c r="AN600" s="30">
        <v>2.0</v>
      </c>
      <c r="AO600" s="22"/>
      <c r="AP600" s="22"/>
      <c r="AQ600" s="22"/>
      <c r="AR600" s="22"/>
      <c r="AS600" s="22"/>
      <c r="AT600" s="70"/>
      <c r="AU600" s="22"/>
      <c r="AV600" s="57" t="str">
        <f>IFERROR(__xludf.DUMMYFUNCTION("""COMPUTED_VALUE"""),"Borick")</f>
        <v>Borick</v>
      </c>
      <c r="AW600" s="46">
        <f t="shared" si="7"/>
        <v>2500</v>
      </c>
      <c r="AX600" s="47">
        <f t="shared" ref="AX600:BQ600" si="1910">SUMIFS($AJ:$AJ,$V:$V,$AV600,$AK:$AK,AX$2)</f>
        <v>0</v>
      </c>
      <c r="AY600" s="48">
        <f t="shared" si="1910"/>
        <v>0</v>
      </c>
      <c r="AZ600" s="48">
        <f t="shared" si="1910"/>
        <v>0</v>
      </c>
      <c r="BA600" s="48">
        <f t="shared" si="1910"/>
        <v>0</v>
      </c>
      <c r="BB600" s="48">
        <f t="shared" si="1910"/>
        <v>2500</v>
      </c>
      <c r="BC600" s="48">
        <f t="shared" si="1910"/>
        <v>0</v>
      </c>
      <c r="BD600" s="48">
        <f t="shared" si="1910"/>
        <v>0</v>
      </c>
      <c r="BE600" s="48">
        <f t="shared" si="1910"/>
        <v>0</v>
      </c>
      <c r="BF600" s="48">
        <f t="shared" si="1910"/>
        <v>0</v>
      </c>
      <c r="BG600" s="48">
        <f t="shared" si="1910"/>
        <v>0</v>
      </c>
      <c r="BH600" s="48">
        <f t="shared" si="1910"/>
        <v>0</v>
      </c>
      <c r="BI600" s="48">
        <f t="shared" si="1910"/>
        <v>0</v>
      </c>
      <c r="BJ600" s="48">
        <f t="shared" si="1910"/>
        <v>0</v>
      </c>
      <c r="BK600" s="48">
        <f t="shared" si="1910"/>
        <v>0</v>
      </c>
      <c r="BL600" s="48">
        <f t="shared" si="1910"/>
        <v>0</v>
      </c>
      <c r="BM600" s="48">
        <f t="shared" si="1910"/>
        <v>0</v>
      </c>
      <c r="BN600" s="48">
        <f t="shared" si="1910"/>
        <v>0</v>
      </c>
      <c r="BO600" s="48">
        <f t="shared" si="1910"/>
        <v>0</v>
      </c>
      <c r="BP600" s="48">
        <f t="shared" si="1910"/>
        <v>0</v>
      </c>
      <c r="BQ600" s="48">
        <f t="shared" si="1910"/>
        <v>0</v>
      </c>
      <c r="BR600" s="36">
        <f t="shared" si="9"/>
        <v>0</v>
      </c>
      <c r="BS600" s="38">
        <f t="shared" si="10"/>
        <v>1</v>
      </c>
      <c r="BT600" s="49">
        <f t="shared" si="11"/>
        <v>0</v>
      </c>
      <c r="BU600" s="38">
        <f t="shared" si="12"/>
        <v>1000</v>
      </c>
      <c r="BV600" s="57" t="str">
        <f>IFERROR(__xludf.DUMMYFUNCTION("""COMPUTED_VALUE"""),"Borick")</f>
        <v>Borick</v>
      </c>
      <c r="BW600" s="46">
        <f t="shared" si="13"/>
        <v>2500</v>
      </c>
      <c r="BX600" s="47">
        <f t="shared" ref="BX600:CA600" si="1911">AX600-$BU600</f>
        <v>-1000</v>
      </c>
      <c r="BY600" s="47">
        <f t="shared" si="1911"/>
        <v>-1000</v>
      </c>
      <c r="BZ600" s="47">
        <f t="shared" si="1911"/>
        <v>-1000</v>
      </c>
      <c r="CA600" s="47">
        <f t="shared" si="1911"/>
        <v>-1000</v>
      </c>
      <c r="CB600" s="47">
        <f t="shared" si="15"/>
        <v>-7500</v>
      </c>
      <c r="CC600" s="47">
        <f t="shared" ref="CC600:CQ600" si="1912">BC600-$BU600</f>
        <v>-1000</v>
      </c>
      <c r="CD600" s="47">
        <f t="shared" si="1912"/>
        <v>-1000</v>
      </c>
      <c r="CE600" s="47">
        <f t="shared" si="1912"/>
        <v>-1000</v>
      </c>
      <c r="CF600" s="47">
        <f t="shared" si="1912"/>
        <v>-1000</v>
      </c>
      <c r="CG600" s="47">
        <f t="shared" si="1912"/>
        <v>-1000</v>
      </c>
      <c r="CH600" s="47">
        <f t="shared" si="1912"/>
        <v>-1000</v>
      </c>
      <c r="CI600" s="47">
        <f t="shared" si="1912"/>
        <v>-1000</v>
      </c>
      <c r="CJ600" s="47">
        <f t="shared" si="1912"/>
        <v>-1000</v>
      </c>
      <c r="CK600" s="47">
        <f t="shared" si="1912"/>
        <v>-1000</v>
      </c>
      <c r="CL600" s="47">
        <f t="shared" si="1912"/>
        <v>-1000</v>
      </c>
      <c r="CM600" s="47">
        <f t="shared" si="1912"/>
        <v>-1000</v>
      </c>
      <c r="CN600" s="47">
        <f t="shared" si="1912"/>
        <v>-1000</v>
      </c>
      <c r="CO600" s="47">
        <f t="shared" si="1912"/>
        <v>-1000</v>
      </c>
      <c r="CP600" s="47">
        <f t="shared" si="1912"/>
        <v>-1000</v>
      </c>
      <c r="CQ600" s="47">
        <f t="shared" si="1912"/>
        <v>-1000</v>
      </c>
      <c r="CR600" s="47"/>
      <c r="CS600" s="47"/>
      <c r="CT600" s="47"/>
      <c r="CU600" s="50" t="str">
        <f>IFERROR(__xludf.DUMMYFUNCTION("""COMPUTED_VALUE"""),"9227 Dove Meadow
Dallas, TX 75243          ")</f>
        <v>9227 Dove Meadow
Dallas, TX 75243          </v>
      </c>
      <c r="CV600" s="51">
        <f>IFERROR(__xludf.DUMMYFUNCTION("IF(REGEXMATCH(UPPER(CU600), ""TX""),0,1)"),0.0)</f>
        <v>0</v>
      </c>
      <c r="CW600" s="51">
        <f>IFERROR(__xludf.DUMMYFUNCTION("IF(REGEXMATCH(UPPER(CU600), ""DALLAS""),0,1)"),0.0)</f>
        <v>0</v>
      </c>
      <c r="CX600" s="51">
        <f t="shared" si="17"/>
        <v>0</v>
      </c>
      <c r="CY600" s="51">
        <f t="shared" si="18"/>
        <v>0</v>
      </c>
      <c r="CZ600" s="52" t="str">
        <f t="shared" si="19"/>
        <v/>
      </c>
      <c r="DA600" s="58"/>
      <c r="DB600" s="52"/>
      <c r="DC600" s="52"/>
      <c r="DD600" s="52"/>
      <c r="DE600" s="52"/>
      <c r="DF600" s="52"/>
      <c r="DG600" s="52"/>
      <c r="DH600" s="52"/>
      <c r="DI600" s="52"/>
      <c r="DJ600" s="52"/>
      <c r="DK600" s="52"/>
      <c r="DL600" s="52"/>
      <c r="DM600" s="52"/>
      <c r="DN600" s="52"/>
      <c r="DO600" s="52"/>
      <c r="DP600" s="52"/>
      <c r="DQ600" s="52"/>
      <c r="DR600" s="52"/>
      <c r="DS600" s="52"/>
      <c r="DT600" s="52"/>
      <c r="DU600" s="52"/>
      <c r="DV600" s="52"/>
      <c r="DW600" s="52"/>
    </row>
    <row r="601">
      <c r="A601" s="40" t="s">
        <v>55</v>
      </c>
      <c r="B601" s="41" t="s">
        <v>56</v>
      </c>
      <c r="C601" s="31" t="s">
        <v>1608</v>
      </c>
      <c r="D601" s="25" t="str">
        <f>IFERROR(__xludf.DUMMYFUNCTION("SPLIT(C601,"" "")"),"Gearing,")</f>
        <v>Gearing,</v>
      </c>
      <c r="E601" s="40" t="str">
        <f>IFERROR(__xludf.DUMMYFUNCTION("""COMPUTED_VALUE"""),"Charles
9322")</f>
        <v>Charles
9322</v>
      </c>
      <c r="F601" s="40" t="str">
        <f>IFERROR(__xludf.DUMMYFUNCTION("""COMPUTED_VALUE"""),"Mercer")</f>
        <v>Mercer</v>
      </c>
      <c r="G601" s="40" t="str">
        <f>IFERROR(__xludf.DUMMYFUNCTION("""COMPUTED_VALUE"""),"Dr.
Dallas,")</f>
        <v>Dr.
Dallas,</v>
      </c>
      <c r="H601" s="40" t="str">
        <f>IFERROR(__xludf.DUMMYFUNCTION("""COMPUTED_VALUE"""),"TX")</f>
        <v>TX</v>
      </c>
      <c r="I601" s="40">
        <f>IFERROR(__xludf.DUMMYFUNCTION("""COMPUTED_VALUE"""),75228.0)</f>
        <v>75228</v>
      </c>
      <c r="J601" s="40"/>
      <c r="K601" s="40"/>
      <c r="L601" s="40"/>
      <c r="M601" s="40"/>
      <c r="N601" s="40"/>
      <c r="O601" s="40"/>
      <c r="P601" s="40"/>
      <c r="Q601" s="40"/>
      <c r="R601" s="40"/>
      <c r="S601" s="40"/>
      <c r="T601" s="40"/>
      <c r="U601" s="24" t="str">
        <f>IFERROR(__xludf.DUMMYFUNCTION("SPLIT(E601,""01234567890"")"),"Charles
")</f>
        <v>Charles
</v>
      </c>
      <c r="V601" s="24" t="str">
        <f>IFERROR(__xludf.DUMMYFUNCTION("SPLIT(D601,"","")"),"Gearing")</f>
        <v>Gearing</v>
      </c>
      <c r="W601" s="25" t="str">
        <f t="shared" si="1"/>
        <v>CHARLES
 GEARING</v>
      </c>
      <c r="X601" s="25" t="s">
        <v>1609</v>
      </c>
      <c r="Y601" s="25">
        <v>75228.0</v>
      </c>
      <c r="Z601" s="25" t="str">
        <f>IFERROR(__xludf.DUMMYFUNCTION("SPLIT(C601,""
"")"),"Gearing, Charles")</f>
        <v>Gearing, Charles</v>
      </c>
      <c r="AA601" s="25" t="str">
        <f>IFERROR(__xludf.DUMMYFUNCTION("""COMPUTED_VALUE"""),"9322 Mercer Dr.")</f>
        <v>9322 Mercer Dr.</v>
      </c>
      <c r="AB601" s="25" t="str">
        <f>IFERROR(__xludf.DUMMYFUNCTION("""COMPUTED_VALUE"""),"Dallas, TX 75228")</f>
        <v>Dallas, TX 75228</v>
      </c>
      <c r="AC601" s="24" t="s">
        <v>490</v>
      </c>
      <c r="AD601" s="25"/>
      <c r="AE601" s="25"/>
      <c r="AF601" s="25"/>
      <c r="AG601" s="40" t="s">
        <v>60</v>
      </c>
      <c r="AH601" s="42">
        <v>2448.0</v>
      </c>
      <c r="AI601" s="40" t="s">
        <v>61</v>
      </c>
      <c r="AJ601" s="27">
        <v>100.0</v>
      </c>
      <c r="AK601" s="31" t="s">
        <v>24</v>
      </c>
      <c r="AL601" s="43">
        <v>44726.0</v>
      </c>
      <c r="AM601" s="44">
        <v>44757.44018518519</v>
      </c>
      <c r="AN601" s="30">
        <v>2.0</v>
      </c>
      <c r="AO601" s="40"/>
      <c r="AP601" s="40"/>
      <c r="AQ601" s="40"/>
      <c r="AR601" s="40"/>
      <c r="AS601" s="40"/>
      <c r="AT601" s="47"/>
      <c r="AU601" s="40"/>
      <c r="AV601" s="46" t="str">
        <f>IFERROR(__xludf.DUMMYFUNCTION("""COMPUTED_VALUE"""),"Kelly")</f>
        <v>Kelly</v>
      </c>
      <c r="AW601" s="46">
        <f t="shared" si="7"/>
        <v>1050</v>
      </c>
      <c r="AX601" s="47">
        <f t="shared" ref="AX601:BQ601" si="1913">SUMIFS($AJ:$AJ,$V:$V,$AV601,$AK:$AK,AX$2)</f>
        <v>0</v>
      </c>
      <c r="AY601" s="48">
        <f t="shared" si="1913"/>
        <v>0</v>
      </c>
      <c r="AZ601" s="48">
        <f t="shared" si="1913"/>
        <v>0</v>
      </c>
      <c r="BA601" s="48">
        <f t="shared" si="1913"/>
        <v>0</v>
      </c>
      <c r="BB601" s="48">
        <f t="shared" si="1913"/>
        <v>1050</v>
      </c>
      <c r="BC601" s="48">
        <f t="shared" si="1913"/>
        <v>0</v>
      </c>
      <c r="BD601" s="48">
        <f t="shared" si="1913"/>
        <v>0</v>
      </c>
      <c r="BE601" s="48">
        <f t="shared" si="1913"/>
        <v>0</v>
      </c>
      <c r="BF601" s="48">
        <f t="shared" si="1913"/>
        <v>0</v>
      </c>
      <c r="BG601" s="48">
        <f t="shared" si="1913"/>
        <v>0</v>
      </c>
      <c r="BH601" s="48">
        <f t="shared" si="1913"/>
        <v>0</v>
      </c>
      <c r="BI601" s="48">
        <f t="shared" si="1913"/>
        <v>0</v>
      </c>
      <c r="BJ601" s="48">
        <f t="shared" si="1913"/>
        <v>0</v>
      </c>
      <c r="BK601" s="48">
        <f t="shared" si="1913"/>
        <v>0</v>
      </c>
      <c r="BL601" s="48">
        <f t="shared" si="1913"/>
        <v>0</v>
      </c>
      <c r="BM601" s="48">
        <f t="shared" si="1913"/>
        <v>0</v>
      </c>
      <c r="BN601" s="48">
        <f t="shared" si="1913"/>
        <v>0</v>
      </c>
      <c r="BO601" s="48">
        <f t="shared" si="1913"/>
        <v>0</v>
      </c>
      <c r="BP601" s="48">
        <f t="shared" si="1913"/>
        <v>0</v>
      </c>
      <c r="BQ601" s="48">
        <f t="shared" si="1913"/>
        <v>0</v>
      </c>
      <c r="BR601" s="36">
        <f t="shared" si="9"/>
        <v>1</v>
      </c>
      <c r="BS601" s="38">
        <f t="shared" si="10"/>
        <v>2</v>
      </c>
      <c r="BT601" s="49">
        <f t="shared" si="11"/>
        <v>0</v>
      </c>
      <c r="BU601" s="38">
        <f t="shared" si="12"/>
        <v>2000</v>
      </c>
      <c r="BV601" s="46" t="str">
        <f>IFERROR(__xludf.DUMMYFUNCTION("""COMPUTED_VALUE"""),"Kelly")</f>
        <v>Kelly</v>
      </c>
      <c r="BW601" s="46">
        <f t="shared" si="13"/>
        <v>1050</v>
      </c>
      <c r="BX601" s="47">
        <f t="shared" ref="BX601:CA601" si="1914">AX601-$BU601</f>
        <v>-2000</v>
      </c>
      <c r="BY601" s="47">
        <f t="shared" si="1914"/>
        <v>-2000</v>
      </c>
      <c r="BZ601" s="47">
        <f t="shared" si="1914"/>
        <v>-2000</v>
      </c>
      <c r="CA601" s="47">
        <f t="shared" si="1914"/>
        <v>-2000</v>
      </c>
      <c r="CB601" s="47">
        <f t="shared" si="15"/>
        <v>-18950</v>
      </c>
      <c r="CC601" s="47">
        <f t="shared" ref="CC601:CQ601" si="1915">BC601-$BU601</f>
        <v>-2000</v>
      </c>
      <c r="CD601" s="47">
        <f t="shared" si="1915"/>
        <v>-2000</v>
      </c>
      <c r="CE601" s="47">
        <f t="shared" si="1915"/>
        <v>-2000</v>
      </c>
      <c r="CF601" s="47">
        <f t="shared" si="1915"/>
        <v>-2000</v>
      </c>
      <c r="CG601" s="47">
        <f t="shared" si="1915"/>
        <v>-2000</v>
      </c>
      <c r="CH601" s="47">
        <f t="shared" si="1915"/>
        <v>-2000</v>
      </c>
      <c r="CI601" s="47">
        <f t="shared" si="1915"/>
        <v>-2000</v>
      </c>
      <c r="CJ601" s="47">
        <f t="shared" si="1915"/>
        <v>-2000</v>
      </c>
      <c r="CK601" s="47">
        <f t="shared" si="1915"/>
        <v>-2000</v>
      </c>
      <c r="CL601" s="47">
        <f t="shared" si="1915"/>
        <v>-2000</v>
      </c>
      <c r="CM601" s="47">
        <f t="shared" si="1915"/>
        <v>-2000</v>
      </c>
      <c r="CN601" s="47">
        <f t="shared" si="1915"/>
        <v>-2000</v>
      </c>
      <c r="CO601" s="47">
        <f t="shared" si="1915"/>
        <v>-2000</v>
      </c>
      <c r="CP601" s="47">
        <f t="shared" si="1915"/>
        <v>-2000</v>
      </c>
      <c r="CQ601" s="47">
        <f t="shared" si="1915"/>
        <v>-2000</v>
      </c>
      <c r="CR601" s="47"/>
      <c r="CS601" s="47"/>
      <c r="CT601" s="47"/>
      <c r="CU601" s="50" t="str">
        <f>IFERROR(__xludf.DUMMYFUNCTION("""COMPUTED_VALUE"""),"9109 Clearhurst
Dallas, TX 75238           ")</f>
        <v>9109 Clearhurst
Dallas, TX 75238           </v>
      </c>
      <c r="CV601" s="51">
        <f>IFERROR(__xludf.DUMMYFUNCTION("IF(REGEXMATCH(UPPER(CU601), ""TX""),0,1)"),0.0)</f>
        <v>0</v>
      </c>
      <c r="CW601" s="51">
        <f>IFERROR(__xludf.DUMMYFUNCTION("IF(REGEXMATCH(UPPER(CU601), ""DALLAS""),0,1)"),0.0)</f>
        <v>0</v>
      </c>
      <c r="CX601" s="51">
        <f t="shared" si="17"/>
        <v>0</v>
      </c>
      <c r="CY601" s="51">
        <f t="shared" si="18"/>
        <v>0</v>
      </c>
      <c r="CZ601" s="52" t="str">
        <f t="shared" si="19"/>
        <v/>
      </c>
      <c r="DA601" s="58"/>
      <c r="DB601" s="52"/>
      <c r="DC601" s="52"/>
      <c r="DD601" s="52"/>
      <c r="DE601" s="52"/>
      <c r="DF601" s="52"/>
      <c r="DG601" s="52"/>
      <c r="DH601" s="52"/>
      <c r="DI601" s="52"/>
      <c r="DJ601" s="52"/>
      <c r="DK601" s="52"/>
      <c r="DL601" s="52"/>
      <c r="DM601" s="52"/>
      <c r="DN601" s="52"/>
      <c r="DO601" s="52"/>
      <c r="DP601" s="52"/>
      <c r="DQ601" s="52"/>
      <c r="DR601" s="52"/>
      <c r="DS601" s="52"/>
      <c r="DT601" s="52"/>
      <c r="DU601" s="52"/>
      <c r="DV601" s="52"/>
      <c r="DW601" s="52"/>
    </row>
    <row r="602">
      <c r="A602" s="22" t="s">
        <v>55</v>
      </c>
      <c r="B602" s="23" t="s">
        <v>56</v>
      </c>
      <c r="C602" s="31" t="s">
        <v>1610</v>
      </c>
      <c r="D602" s="25" t="str">
        <f>IFERROR(__xludf.DUMMYFUNCTION("SPLIT(C602,"" "")"),"Givens,")</f>
        <v>Givens,</v>
      </c>
      <c r="E602" s="22" t="str">
        <f>IFERROR(__xludf.DUMMYFUNCTION("""COMPUTED_VALUE"""),"Rod
6200")</f>
        <v>Rod
6200</v>
      </c>
      <c r="F602" s="22" t="str">
        <f>IFERROR(__xludf.DUMMYFUNCTION("""COMPUTED_VALUE"""),"Los")</f>
        <v>Los</v>
      </c>
      <c r="G602" s="22" t="str">
        <f>IFERROR(__xludf.DUMMYFUNCTION("""COMPUTED_VALUE"""),"Robles")</f>
        <v>Robles</v>
      </c>
      <c r="H602" s="22" t="str">
        <f>IFERROR(__xludf.DUMMYFUNCTION("""COMPUTED_VALUE"""),"Ln
MEsquite,")</f>
        <v>Ln
MEsquite,</v>
      </c>
      <c r="I602" s="22" t="str">
        <f>IFERROR(__xludf.DUMMYFUNCTION("""COMPUTED_VALUE"""),"TX")</f>
        <v>TX</v>
      </c>
      <c r="J602" s="22">
        <f>IFERROR(__xludf.DUMMYFUNCTION("""COMPUTED_VALUE"""),75215.0)</f>
        <v>75215</v>
      </c>
      <c r="K602" s="22"/>
      <c r="L602" s="22"/>
      <c r="M602" s="22"/>
      <c r="N602" s="22"/>
      <c r="O602" s="22"/>
      <c r="P602" s="22"/>
      <c r="Q602" s="22"/>
      <c r="R602" s="22"/>
      <c r="S602" s="22"/>
      <c r="T602" s="22"/>
      <c r="U602" s="24" t="str">
        <f>IFERROR(__xludf.DUMMYFUNCTION("SPLIT(E602,""01234567890"")"),"Rod
")</f>
        <v>Rod
</v>
      </c>
      <c r="V602" s="24" t="str">
        <f>IFERROR(__xludf.DUMMYFUNCTION("SPLIT(D602,"","")"),"Givens")</f>
        <v>Givens</v>
      </c>
      <c r="W602" s="25" t="str">
        <f t="shared" si="1"/>
        <v>ROD
 GIVENS</v>
      </c>
      <c r="X602" s="25" t="s">
        <v>1611</v>
      </c>
      <c r="Y602" s="25">
        <v>75215.0</v>
      </c>
      <c r="Z602" s="25" t="str">
        <f>IFERROR(__xludf.DUMMYFUNCTION("SPLIT(C602,""
"")"),"Givens, Rod")</f>
        <v>Givens, Rod</v>
      </c>
      <c r="AA602" s="25" t="str">
        <f>IFERROR(__xludf.DUMMYFUNCTION("""COMPUTED_VALUE"""),"6200 Los Robles Ln")</f>
        <v>6200 Los Robles Ln</v>
      </c>
      <c r="AB602" s="25" t="str">
        <f>IFERROR(__xludf.DUMMYFUNCTION("""COMPUTED_VALUE"""),"MEsquite, TX 75215")</f>
        <v>MEsquite, TX 75215</v>
      </c>
      <c r="AC602" s="24" t="s">
        <v>1612</v>
      </c>
      <c r="AD602" s="25"/>
      <c r="AE602" s="25"/>
      <c r="AF602" s="25"/>
      <c r="AG602" s="22" t="s">
        <v>60</v>
      </c>
      <c r="AH602" s="54">
        <v>2448.0</v>
      </c>
      <c r="AI602" s="22" t="s">
        <v>61</v>
      </c>
      <c r="AJ602" s="27">
        <v>100.0</v>
      </c>
      <c r="AK602" s="31" t="s">
        <v>24</v>
      </c>
      <c r="AL602" s="28">
        <v>44726.0</v>
      </c>
      <c r="AM602" s="29">
        <v>44757.44018518519</v>
      </c>
      <c r="AN602" s="30">
        <v>2.0</v>
      </c>
      <c r="AO602" s="22"/>
      <c r="AP602" s="22"/>
      <c r="AQ602" s="22"/>
      <c r="AR602" s="22"/>
      <c r="AS602" s="22"/>
      <c r="AT602" s="70"/>
      <c r="AU602" s="22"/>
      <c r="AV602" s="57" t="str">
        <f>IFERROR(__xludf.DUMMYFUNCTION("""COMPUTED_VALUE"""),"Frazier")</f>
        <v>Frazier</v>
      </c>
      <c r="AW602" s="46">
        <f t="shared" si="7"/>
        <v>50</v>
      </c>
      <c r="AX602" s="47">
        <f t="shared" ref="AX602:BQ602" si="1916">SUMIFS($AJ:$AJ,$V:$V,$AV602,$AK:$AK,AX$2)</f>
        <v>0</v>
      </c>
      <c r="AY602" s="48">
        <f t="shared" si="1916"/>
        <v>0</v>
      </c>
      <c r="AZ602" s="48">
        <f t="shared" si="1916"/>
        <v>0</v>
      </c>
      <c r="BA602" s="48">
        <f t="shared" si="1916"/>
        <v>0</v>
      </c>
      <c r="BB602" s="48">
        <f t="shared" si="1916"/>
        <v>50</v>
      </c>
      <c r="BC602" s="48">
        <f t="shared" si="1916"/>
        <v>0</v>
      </c>
      <c r="BD602" s="48">
        <f t="shared" si="1916"/>
        <v>0</v>
      </c>
      <c r="BE602" s="48">
        <f t="shared" si="1916"/>
        <v>0</v>
      </c>
      <c r="BF602" s="48">
        <f t="shared" si="1916"/>
        <v>0</v>
      </c>
      <c r="BG602" s="48">
        <f t="shared" si="1916"/>
        <v>0</v>
      </c>
      <c r="BH602" s="48">
        <f t="shared" si="1916"/>
        <v>0</v>
      </c>
      <c r="BI602" s="48">
        <f t="shared" si="1916"/>
        <v>0</v>
      </c>
      <c r="BJ602" s="48">
        <f t="shared" si="1916"/>
        <v>0</v>
      </c>
      <c r="BK602" s="48">
        <f t="shared" si="1916"/>
        <v>0</v>
      </c>
      <c r="BL602" s="48">
        <f t="shared" si="1916"/>
        <v>0</v>
      </c>
      <c r="BM602" s="48">
        <f t="shared" si="1916"/>
        <v>0</v>
      </c>
      <c r="BN602" s="48">
        <f t="shared" si="1916"/>
        <v>0</v>
      </c>
      <c r="BO602" s="48">
        <f t="shared" si="1916"/>
        <v>0</v>
      </c>
      <c r="BP602" s="48">
        <f t="shared" si="1916"/>
        <v>0</v>
      </c>
      <c r="BQ602" s="48">
        <f t="shared" si="1916"/>
        <v>0</v>
      </c>
      <c r="BR602" s="36">
        <f t="shared" si="9"/>
        <v>0</v>
      </c>
      <c r="BS602" s="38">
        <f t="shared" si="10"/>
        <v>1</v>
      </c>
      <c r="BT602" s="49">
        <f t="shared" si="11"/>
        <v>0</v>
      </c>
      <c r="BU602" s="38">
        <f t="shared" si="12"/>
        <v>1000</v>
      </c>
      <c r="BV602" s="57" t="str">
        <f>IFERROR(__xludf.DUMMYFUNCTION("""COMPUTED_VALUE"""),"Frazier")</f>
        <v>Frazier</v>
      </c>
      <c r="BW602" s="46">
        <f t="shared" si="13"/>
        <v>50</v>
      </c>
      <c r="BX602" s="47">
        <f t="shared" ref="BX602:CA602" si="1917">AX602-$BU602</f>
        <v>-1000</v>
      </c>
      <c r="BY602" s="47">
        <f t="shared" si="1917"/>
        <v>-1000</v>
      </c>
      <c r="BZ602" s="47">
        <f t="shared" si="1917"/>
        <v>-1000</v>
      </c>
      <c r="CA602" s="47">
        <f t="shared" si="1917"/>
        <v>-1000</v>
      </c>
      <c r="CB602" s="47">
        <f t="shared" si="15"/>
        <v>-9950</v>
      </c>
      <c r="CC602" s="47">
        <f t="shared" ref="CC602:CQ602" si="1918">BC602-$BU602</f>
        <v>-1000</v>
      </c>
      <c r="CD602" s="47">
        <f t="shared" si="1918"/>
        <v>-1000</v>
      </c>
      <c r="CE602" s="47">
        <f t="shared" si="1918"/>
        <v>-1000</v>
      </c>
      <c r="CF602" s="47">
        <f t="shared" si="1918"/>
        <v>-1000</v>
      </c>
      <c r="CG602" s="47">
        <f t="shared" si="1918"/>
        <v>-1000</v>
      </c>
      <c r="CH602" s="47">
        <f t="shared" si="1918"/>
        <v>-1000</v>
      </c>
      <c r="CI602" s="47">
        <f t="shared" si="1918"/>
        <v>-1000</v>
      </c>
      <c r="CJ602" s="47">
        <f t="shared" si="1918"/>
        <v>-1000</v>
      </c>
      <c r="CK602" s="47">
        <f t="shared" si="1918"/>
        <v>-1000</v>
      </c>
      <c r="CL602" s="47">
        <f t="shared" si="1918"/>
        <v>-1000</v>
      </c>
      <c r="CM602" s="47">
        <f t="shared" si="1918"/>
        <v>-1000</v>
      </c>
      <c r="CN602" s="47">
        <f t="shared" si="1918"/>
        <v>-1000</v>
      </c>
      <c r="CO602" s="47">
        <f t="shared" si="1918"/>
        <v>-1000</v>
      </c>
      <c r="CP602" s="47">
        <f t="shared" si="1918"/>
        <v>-1000</v>
      </c>
      <c r="CQ602" s="47">
        <f t="shared" si="1918"/>
        <v>-1000</v>
      </c>
      <c r="CR602" s="47"/>
      <c r="CS602" s="47"/>
      <c r="CT602" s="47"/>
      <c r="CU602" s="50" t="str">
        <f>IFERROR(__xludf.DUMMYFUNCTION("""COMPUTED_VALUE"""),"10011 Caribou Trail
Dallas, TX 75238          ")</f>
        <v>10011 Caribou Trail
Dallas, TX 75238          </v>
      </c>
      <c r="CV602" s="51">
        <f>IFERROR(__xludf.DUMMYFUNCTION("IF(REGEXMATCH(UPPER(CU602), ""TX""),0,1)"),0.0)</f>
        <v>0</v>
      </c>
      <c r="CW602" s="51">
        <f>IFERROR(__xludf.DUMMYFUNCTION("IF(REGEXMATCH(UPPER(CU602), ""DALLAS""),0,1)"),0.0)</f>
        <v>0</v>
      </c>
      <c r="CX602" s="51">
        <f t="shared" si="17"/>
        <v>0</v>
      </c>
      <c r="CY602" s="51">
        <f t="shared" si="18"/>
        <v>0</v>
      </c>
      <c r="CZ602" s="52" t="str">
        <f t="shared" si="19"/>
        <v/>
      </c>
      <c r="DA602" s="58"/>
      <c r="DB602" s="52"/>
      <c r="DC602" s="52"/>
      <c r="DD602" s="52"/>
      <c r="DE602" s="52"/>
      <c r="DF602" s="52"/>
      <c r="DG602" s="52"/>
      <c r="DH602" s="52"/>
      <c r="DI602" s="52"/>
      <c r="DJ602" s="52"/>
      <c r="DK602" s="52"/>
      <c r="DL602" s="52"/>
      <c r="DM602" s="52"/>
      <c r="DN602" s="52"/>
      <c r="DO602" s="52"/>
      <c r="DP602" s="52"/>
      <c r="DQ602" s="52"/>
      <c r="DR602" s="52"/>
      <c r="DS602" s="52"/>
      <c r="DT602" s="52"/>
      <c r="DU602" s="52"/>
      <c r="DV602" s="52"/>
      <c r="DW602" s="52"/>
    </row>
    <row r="603">
      <c r="A603" s="40" t="s">
        <v>55</v>
      </c>
      <c r="B603" s="41" t="s">
        <v>56</v>
      </c>
      <c r="C603" s="31" t="s">
        <v>1613</v>
      </c>
      <c r="D603" s="25" t="str">
        <f>IFERROR(__xludf.DUMMYFUNCTION("SPLIT(C603,"" "")"),"Givens,")</f>
        <v>Givens,</v>
      </c>
      <c r="E603" s="40" t="str">
        <f>IFERROR(__xludf.DUMMYFUNCTION("""COMPUTED_VALUE"""),"Rod
6200")</f>
        <v>Rod
6200</v>
      </c>
      <c r="F603" s="40" t="str">
        <f>IFERROR(__xludf.DUMMYFUNCTION("""COMPUTED_VALUE"""),"Los")</f>
        <v>Los</v>
      </c>
      <c r="G603" s="40" t="str">
        <f>IFERROR(__xludf.DUMMYFUNCTION("""COMPUTED_VALUE"""),"Robles")</f>
        <v>Robles</v>
      </c>
      <c r="H603" s="40" t="str">
        <f>IFERROR(__xludf.DUMMYFUNCTION("""COMPUTED_VALUE"""),"Drive
Mesquite,")</f>
        <v>Drive
Mesquite,</v>
      </c>
      <c r="I603" s="40" t="str">
        <f>IFERROR(__xludf.DUMMYFUNCTION("""COMPUTED_VALUE"""),"TX")</f>
        <v>TX</v>
      </c>
      <c r="J603" s="40">
        <f>IFERROR(__xludf.DUMMYFUNCTION("""COMPUTED_VALUE"""),75215.0)</f>
        <v>75215</v>
      </c>
      <c r="K603" s="40"/>
      <c r="L603" s="40"/>
      <c r="M603" s="40"/>
      <c r="N603" s="40"/>
      <c r="O603" s="40"/>
      <c r="P603" s="40"/>
      <c r="Q603" s="40"/>
      <c r="R603" s="40"/>
      <c r="S603" s="40"/>
      <c r="T603" s="40"/>
      <c r="U603" s="24" t="str">
        <f>IFERROR(__xludf.DUMMYFUNCTION("SPLIT(E603,""01234567890"")"),"Rod
")</f>
        <v>Rod
</v>
      </c>
      <c r="V603" s="24" t="str">
        <f>IFERROR(__xludf.DUMMYFUNCTION("SPLIT(D603,"","")"),"Givens")</f>
        <v>Givens</v>
      </c>
      <c r="W603" s="25" t="str">
        <f t="shared" si="1"/>
        <v>ROD
 GIVENS</v>
      </c>
      <c r="X603" s="25" t="s">
        <v>1614</v>
      </c>
      <c r="Y603" s="25">
        <v>75215.0</v>
      </c>
      <c r="Z603" s="25" t="str">
        <f>IFERROR(__xludf.DUMMYFUNCTION("SPLIT(C603,""
"")"),"Givens, Rod")</f>
        <v>Givens, Rod</v>
      </c>
      <c r="AA603" s="25" t="str">
        <f>IFERROR(__xludf.DUMMYFUNCTION("""COMPUTED_VALUE"""),"6200 Los Robles Drive")</f>
        <v>6200 Los Robles Drive</v>
      </c>
      <c r="AB603" s="25" t="str">
        <f>IFERROR(__xludf.DUMMYFUNCTION("""COMPUTED_VALUE"""),"Mesquite, TX 75215")</f>
        <v>Mesquite, TX 75215</v>
      </c>
      <c r="AC603" s="24" t="s">
        <v>1612</v>
      </c>
      <c r="AD603" s="25"/>
      <c r="AE603" s="25"/>
      <c r="AF603" s="25"/>
      <c r="AG603" s="40" t="s">
        <v>60</v>
      </c>
      <c r="AH603" s="42">
        <v>2448.0</v>
      </c>
      <c r="AI603" s="40" t="s">
        <v>61</v>
      </c>
      <c r="AJ603" s="27">
        <v>100.0</v>
      </c>
      <c r="AK603" s="31" t="s">
        <v>24</v>
      </c>
      <c r="AL603" s="43">
        <v>44726.0</v>
      </c>
      <c r="AM603" s="44">
        <v>44757.44018518519</v>
      </c>
      <c r="AN603" s="30">
        <v>2.0</v>
      </c>
      <c r="AO603" s="40"/>
      <c r="AP603" s="40"/>
      <c r="AQ603" s="40"/>
      <c r="AR603" s="40"/>
      <c r="AS603" s="40"/>
      <c r="AT603" s="47"/>
      <c r="AU603" s="40"/>
      <c r="AV603" s="46" t="str">
        <f>IFERROR(__xludf.DUMMYFUNCTION("""COMPUTED_VALUE"""),"Setnick")</f>
        <v>Setnick</v>
      </c>
      <c r="AW603" s="46">
        <f t="shared" si="7"/>
        <v>500</v>
      </c>
      <c r="AX603" s="47">
        <f t="shared" ref="AX603:BQ603" si="1919">SUMIFS($AJ:$AJ,$V:$V,$AV603,$AK:$AK,AX$2)</f>
        <v>0</v>
      </c>
      <c r="AY603" s="48">
        <f t="shared" si="1919"/>
        <v>0</v>
      </c>
      <c r="AZ603" s="48">
        <f t="shared" si="1919"/>
        <v>0</v>
      </c>
      <c r="BA603" s="48">
        <f t="shared" si="1919"/>
        <v>0</v>
      </c>
      <c r="BB603" s="48">
        <f t="shared" si="1919"/>
        <v>500</v>
      </c>
      <c r="BC603" s="48">
        <f t="shared" si="1919"/>
        <v>0</v>
      </c>
      <c r="BD603" s="48">
        <f t="shared" si="1919"/>
        <v>0</v>
      </c>
      <c r="BE603" s="48">
        <f t="shared" si="1919"/>
        <v>0</v>
      </c>
      <c r="BF603" s="48">
        <f t="shared" si="1919"/>
        <v>0</v>
      </c>
      <c r="BG603" s="48">
        <f t="shared" si="1919"/>
        <v>0</v>
      </c>
      <c r="BH603" s="48">
        <f t="shared" si="1919"/>
        <v>0</v>
      </c>
      <c r="BI603" s="48">
        <f t="shared" si="1919"/>
        <v>0</v>
      </c>
      <c r="BJ603" s="48">
        <f t="shared" si="1919"/>
        <v>0</v>
      </c>
      <c r="BK603" s="48">
        <f t="shared" si="1919"/>
        <v>0</v>
      </c>
      <c r="BL603" s="48">
        <f t="shared" si="1919"/>
        <v>0</v>
      </c>
      <c r="BM603" s="48">
        <f t="shared" si="1919"/>
        <v>0</v>
      </c>
      <c r="BN603" s="48">
        <f t="shared" si="1919"/>
        <v>0</v>
      </c>
      <c r="BO603" s="48">
        <f t="shared" si="1919"/>
        <v>0</v>
      </c>
      <c r="BP603" s="48">
        <f t="shared" si="1919"/>
        <v>0</v>
      </c>
      <c r="BQ603" s="48">
        <f t="shared" si="1919"/>
        <v>0</v>
      </c>
      <c r="BR603" s="36">
        <f t="shared" si="9"/>
        <v>0</v>
      </c>
      <c r="BS603" s="38">
        <f t="shared" si="10"/>
        <v>1</v>
      </c>
      <c r="BT603" s="49">
        <f t="shared" si="11"/>
        <v>0</v>
      </c>
      <c r="BU603" s="38">
        <f t="shared" si="12"/>
        <v>1000</v>
      </c>
      <c r="BV603" s="46" t="str">
        <f>IFERROR(__xludf.DUMMYFUNCTION("""COMPUTED_VALUE"""),"Setnick")</f>
        <v>Setnick</v>
      </c>
      <c r="BW603" s="46">
        <f t="shared" si="13"/>
        <v>500</v>
      </c>
      <c r="BX603" s="47">
        <f t="shared" ref="BX603:CA603" si="1920">AX603-$BU603</f>
        <v>-1000</v>
      </c>
      <c r="BY603" s="47">
        <f t="shared" si="1920"/>
        <v>-1000</v>
      </c>
      <c r="BZ603" s="47">
        <f t="shared" si="1920"/>
        <v>-1000</v>
      </c>
      <c r="CA603" s="47">
        <f t="shared" si="1920"/>
        <v>-1000</v>
      </c>
      <c r="CB603" s="47">
        <f t="shared" si="15"/>
        <v>-9500</v>
      </c>
      <c r="CC603" s="47">
        <f t="shared" ref="CC603:CQ603" si="1921">BC603-$BU603</f>
        <v>-1000</v>
      </c>
      <c r="CD603" s="47">
        <f t="shared" si="1921"/>
        <v>-1000</v>
      </c>
      <c r="CE603" s="47">
        <f t="shared" si="1921"/>
        <v>-1000</v>
      </c>
      <c r="CF603" s="47">
        <f t="shared" si="1921"/>
        <v>-1000</v>
      </c>
      <c r="CG603" s="47">
        <f t="shared" si="1921"/>
        <v>-1000</v>
      </c>
      <c r="CH603" s="47">
        <f t="shared" si="1921"/>
        <v>-1000</v>
      </c>
      <c r="CI603" s="47">
        <f t="shared" si="1921"/>
        <v>-1000</v>
      </c>
      <c r="CJ603" s="47">
        <f t="shared" si="1921"/>
        <v>-1000</v>
      </c>
      <c r="CK603" s="47">
        <f t="shared" si="1921"/>
        <v>-1000</v>
      </c>
      <c r="CL603" s="47">
        <f t="shared" si="1921"/>
        <v>-1000</v>
      </c>
      <c r="CM603" s="47">
        <f t="shared" si="1921"/>
        <v>-1000</v>
      </c>
      <c r="CN603" s="47">
        <f t="shared" si="1921"/>
        <v>-1000</v>
      </c>
      <c r="CO603" s="47">
        <f t="shared" si="1921"/>
        <v>-1000</v>
      </c>
      <c r="CP603" s="47">
        <f t="shared" si="1921"/>
        <v>-1000</v>
      </c>
      <c r="CQ603" s="47">
        <f t="shared" si="1921"/>
        <v>-1000</v>
      </c>
      <c r="CR603" s="47"/>
      <c r="CS603" s="47"/>
      <c r="CT603" s="47"/>
      <c r="CU603" s="50" t="str">
        <f>IFERROR(__xludf.DUMMYFUNCTION("""COMPUTED_VALUE"""),"9215 Meadowglen
Dallas, TX 75238           ")</f>
        <v>9215 Meadowglen
Dallas, TX 75238           </v>
      </c>
      <c r="CV603" s="51">
        <f>IFERROR(__xludf.DUMMYFUNCTION("IF(REGEXMATCH(UPPER(CU603), ""TX""),0,1)"),0.0)</f>
        <v>0</v>
      </c>
      <c r="CW603" s="51">
        <f>IFERROR(__xludf.DUMMYFUNCTION("IF(REGEXMATCH(UPPER(CU603), ""DALLAS""),0,1)"),0.0)</f>
        <v>0</v>
      </c>
      <c r="CX603" s="51">
        <f t="shared" si="17"/>
        <v>0</v>
      </c>
      <c r="CY603" s="51">
        <f t="shared" si="18"/>
        <v>0</v>
      </c>
      <c r="CZ603" s="52" t="str">
        <f t="shared" si="19"/>
        <v/>
      </c>
      <c r="DA603" s="58"/>
      <c r="DB603" s="52"/>
      <c r="DC603" s="52"/>
      <c r="DD603" s="52"/>
      <c r="DE603" s="52"/>
      <c r="DF603" s="52"/>
      <c r="DG603" s="52"/>
      <c r="DH603" s="52"/>
      <c r="DI603" s="52"/>
      <c r="DJ603" s="52"/>
      <c r="DK603" s="52"/>
      <c r="DL603" s="52"/>
      <c r="DM603" s="52"/>
      <c r="DN603" s="52"/>
      <c r="DO603" s="52"/>
      <c r="DP603" s="52"/>
      <c r="DQ603" s="52"/>
      <c r="DR603" s="52"/>
      <c r="DS603" s="52"/>
      <c r="DT603" s="52"/>
      <c r="DU603" s="52"/>
      <c r="DV603" s="52"/>
      <c r="DW603" s="52"/>
    </row>
    <row r="604">
      <c r="A604" s="22" t="s">
        <v>55</v>
      </c>
      <c r="B604" s="23" t="s">
        <v>56</v>
      </c>
      <c r="C604" s="31" t="s">
        <v>1615</v>
      </c>
      <c r="D604" s="25" t="str">
        <f>IFERROR(__xludf.DUMMYFUNCTION("SPLIT(C604,"" "")"),"Jasso,")</f>
        <v>Jasso,</v>
      </c>
      <c r="E604" s="22" t="str">
        <f>IFERROR(__xludf.DUMMYFUNCTION("""COMPUTED_VALUE"""),"Juan
821")</f>
        <v>Juan
821</v>
      </c>
      <c r="F604" s="22" t="str">
        <f>IFERROR(__xludf.DUMMYFUNCTION("""COMPUTED_VALUE"""),"Haines")</f>
        <v>Haines</v>
      </c>
      <c r="G604" s="22" t="str">
        <f>IFERROR(__xludf.DUMMYFUNCTION("""COMPUTED_VALUE"""),"Ave.
Dallas,")</f>
        <v>Ave.
Dallas,</v>
      </c>
      <c r="H604" s="22" t="str">
        <f>IFERROR(__xludf.DUMMYFUNCTION("""COMPUTED_VALUE"""),"TX")</f>
        <v>TX</v>
      </c>
      <c r="I604" s="22">
        <f>IFERROR(__xludf.DUMMYFUNCTION("""COMPUTED_VALUE"""),75208.0)</f>
        <v>75208</v>
      </c>
      <c r="J604" s="22"/>
      <c r="K604" s="22"/>
      <c r="L604" s="22"/>
      <c r="M604" s="22"/>
      <c r="N604" s="22"/>
      <c r="O604" s="22"/>
      <c r="P604" s="22"/>
      <c r="Q604" s="22"/>
      <c r="R604" s="22"/>
      <c r="S604" s="22"/>
      <c r="T604" s="22"/>
      <c r="U604" s="24" t="str">
        <f>IFERROR(__xludf.DUMMYFUNCTION("SPLIT(E604,""01234567890"")"),"Juan
")</f>
        <v>Juan
</v>
      </c>
      <c r="V604" s="24" t="str">
        <f>IFERROR(__xludf.DUMMYFUNCTION("SPLIT(D604,"","")"),"Jasso")</f>
        <v>Jasso</v>
      </c>
      <c r="W604" s="25" t="str">
        <f t="shared" si="1"/>
        <v>JUAN
 JASSO</v>
      </c>
      <c r="X604" s="25" t="s">
        <v>1616</v>
      </c>
      <c r="Y604" s="25">
        <v>75208.0</v>
      </c>
      <c r="Z604" s="25" t="str">
        <f>IFERROR(__xludf.DUMMYFUNCTION("SPLIT(C604,""
"")"),"Jasso, Juan")</f>
        <v>Jasso, Juan</v>
      </c>
      <c r="AA604" s="25" t="str">
        <f>IFERROR(__xludf.DUMMYFUNCTION("""COMPUTED_VALUE"""),"821 Haines Ave.")</f>
        <v>821 Haines Ave.</v>
      </c>
      <c r="AB604" s="25" t="str">
        <f>IFERROR(__xludf.DUMMYFUNCTION("""COMPUTED_VALUE"""),"Dallas, TX 75208")</f>
        <v>Dallas, TX 75208</v>
      </c>
      <c r="AC604" s="24" t="s">
        <v>1617</v>
      </c>
      <c r="AD604" s="25"/>
      <c r="AE604" s="25"/>
      <c r="AF604" s="25"/>
      <c r="AG604" s="22" t="s">
        <v>60</v>
      </c>
      <c r="AH604" s="54">
        <v>2448.0</v>
      </c>
      <c r="AI604" s="22" t="s">
        <v>61</v>
      </c>
      <c r="AJ604" s="27">
        <v>100.0</v>
      </c>
      <c r="AK604" s="31" t="s">
        <v>24</v>
      </c>
      <c r="AL604" s="28">
        <v>44726.0</v>
      </c>
      <c r="AM604" s="29">
        <v>44757.44018518519</v>
      </c>
      <c r="AN604" s="30">
        <v>2.0</v>
      </c>
      <c r="AO604" s="22"/>
      <c r="AP604" s="22"/>
      <c r="AQ604" s="22"/>
      <c r="AR604" s="22"/>
      <c r="AS604" s="22"/>
      <c r="AT604" s="70"/>
      <c r="AU604" s="22"/>
      <c r="AV604" s="57" t="str">
        <f>IFERROR(__xludf.DUMMYFUNCTION("""COMPUTED_VALUE"""),"Townsend")</f>
        <v>Townsend</v>
      </c>
      <c r="AW604" s="46">
        <f t="shared" si="7"/>
        <v>150</v>
      </c>
      <c r="AX604" s="47">
        <f t="shared" ref="AX604:BQ604" si="1922">SUMIFS($AJ:$AJ,$V:$V,$AV604,$AK:$AK,AX$2)</f>
        <v>0</v>
      </c>
      <c r="AY604" s="48">
        <f t="shared" si="1922"/>
        <v>0</v>
      </c>
      <c r="AZ604" s="48">
        <f t="shared" si="1922"/>
        <v>0</v>
      </c>
      <c r="BA604" s="48">
        <f t="shared" si="1922"/>
        <v>0</v>
      </c>
      <c r="BB604" s="48">
        <f t="shared" si="1922"/>
        <v>150</v>
      </c>
      <c r="BC604" s="48">
        <f t="shared" si="1922"/>
        <v>0</v>
      </c>
      <c r="BD604" s="48">
        <f t="shared" si="1922"/>
        <v>0</v>
      </c>
      <c r="BE604" s="48">
        <f t="shared" si="1922"/>
        <v>0</v>
      </c>
      <c r="BF604" s="48">
        <f t="shared" si="1922"/>
        <v>0</v>
      </c>
      <c r="BG604" s="48">
        <f t="shared" si="1922"/>
        <v>0</v>
      </c>
      <c r="BH604" s="48">
        <f t="shared" si="1922"/>
        <v>0</v>
      </c>
      <c r="BI604" s="48">
        <f t="shared" si="1922"/>
        <v>0</v>
      </c>
      <c r="BJ604" s="48">
        <f t="shared" si="1922"/>
        <v>0</v>
      </c>
      <c r="BK604" s="48">
        <f t="shared" si="1922"/>
        <v>0</v>
      </c>
      <c r="BL604" s="48">
        <f t="shared" si="1922"/>
        <v>0</v>
      </c>
      <c r="BM604" s="48">
        <f t="shared" si="1922"/>
        <v>0</v>
      </c>
      <c r="BN604" s="48">
        <f t="shared" si="1922"/>
        <v>0</v>
      </c>
      <c r="BO604" s="48">
        <f t="shared" si="1922"/>
        <v>0</v>
      </c>
      <c r="BP604" s="48">
        <f t="shared" si="1922"/>
        <v>0</v>
      </c>
      <c r="BQ604" s="48">
        <f t="shared" si="1922"/>
        <v>0</v>
      </c>
      <c r="BR604" s="36">
        <f t="shared" si="9"/>
        <v>0</v>
      </c>
      <c r="BS604" s="38">
        <f t="shared" si="10"/>
        <v>1</v>
      </c>
      <c r="BT604" s="49">
        <f t="shared" si="11"/>
        <v>0</v>
      </c>
      <c r="BU604" s="38">
        <f t="shared" si="12"/>
        <v>1000</v>
      </c>
      <c r="BV604" s="57" t="str">
        <f>IFERROR(__xludf.DUMMYFUNCTION("""COMPUTED_VALUE"""),"Townsend")</f>
        <v>Townsend</v>
      </c>
      <c r="BW604" s="46">
        <f t="shared" si="13"/>
        <v>150</v>
      </c>
      <c r="BX604" s="47">
        <f t="shared" ref="BX604:CA604" si="1923">AX604-$BU604</f>
        <v>-1000</v>
      </c>
      <c r="BY604" s="47">
        <f t="shared" si="1923"/>
        <v>-1000</v>
      </c>
      <c r="BZ604" s="47">
        <f t="shared" si="1923"/>
        <v>-1000</v>
      </c>
      <c r="CA604" s="47">
        <f t="shared" si="1923"/>
        <v>-1000</v>
      </c>
      <c r="CB604" s="47">
        <f t="shared" si="15"/>
        <v>-9850</v>
      </c>
      <c r="CC604" s="47">
        <f t="shared" ref="CC604:CQ604" si="1924">BC604-$BU604</f>
        <v>-1000</v>
      </c>
      <c r="CD604" s="47">
        <f t="shared" si="1924"/>
        <v>-1000</v>
      </c>
      <c r="CE604" s="47">
        <f t="shared" si="1924"/>
        <v>-1000</v>
      </c>
      <c r="CF604" s="47">
        <f t="shared" si="1924"/>
        <v>-1000</v>
      </c>
      <c r="CG604" s="47">
        <f t="shared" si="1924"/>
        <v>-1000</v>
      </c>
      <c r="CH604" s="47">
        <f t="shared" si="1924"/>
        <v>-1000</v>
      </c>
      <c r="CI604" s="47">
        <f t="shared" si="1924"/>
        <v>-1000</v>
      </c>
      <c r="CJ604" s="47">
        <f t="shared" si="1924"/>
        <v>-1000</v>
      </c>
      <c r="CK604" s="47">
        <f t="shared" si="1924"/>
        <v>-1000</v>
      </c>
      <c r="CL604" s="47">
        <f t="shared" si="1924"/>
        <v>-1000</v>
      </c>
      <c r="CM604" s="47">
        <f t="shared" si="1924"/>
        <v>-1000</v>
      </c>
      <c r="CN604" s="47">
        <f t="shared" si="1924"/>
        <v>-1000</v>
      </c>
      <c r="CO604" s="47">
        <f t="shared" si="1924"/>
        <v>-1000</v>
      </c>
      <c r="CP604" s="47">
        <f t="shared" si="1924"/>
        <v>-1000</v>
      </c>
      <c r="CQ604" s="47">
        <f t="shared" si="1924"/>
        <v>-1000</v>
      </c>
      <c r="CR604" s="47"/>
      <c r="CS604" s="47"/>
      <c r="CT604" s="47"/>
      <c r="CU604" s="50" t="str">
        <f>IFERROR(__xludf.DUMMYFUNCTION("""COMPUTED_VALUE"""),"7746 Eagle Trail
Dallas, TX 75238          ")</f>
        <v>7746 Eagle Trail
Dallas, TX 75238          </v>
      </c>
      <c r="CV604" s="51">
        <f>IFERROR(__xludf.DUMMYFUNCTION("IF(REGEXMATCH(UPPER(CU604), ""TX""),0,1)"),0.0)</f>
        <v>0</v>
      </c>
      <c r="CW604" s="51">
        <f>IFERROR(__xludf.DUMMYFUNCTION("IF(REGEXMATCH(UPPER(CU604), ""DALLAS""),0,1)"),0.0)</f>
        <v>0</v>
      </c>
      <c r="CX604" s="51">
        <f t="shared" si="17"/>
        <v>0</v>
      </c>
      <c r="CY604" s="51">
        <f t="shared" si="18"/>
        <v>0</v>
      </c>
      <c r="CZ604" s="52" t="str">
        <f t="shared" si="19"/>
        <v/>
      </c>
      <c r="DA604" s="58"/>
      <c r="DB604" s="52"/>
      <c r="DC604" s="52"/>
      <c r="DD604" s="52"/>
      <c r="DE604" s="52"/>
      <c r="DF604" s="52"/>
      <c r="DG604" s="52"/>
      <c r="DH604" s="52"/>
      <c r="DI604" s="52"/>
      <c r="DJ604" s="52"/>
      <c r="DK604" s="52"/>
      <c r="DL604" s="52"/>
      <c r="DM604" s="52"/>
      <c r="DN604" s="52"/>
      <c r="DO604" s="52"/>
      <c r="DP604" s="52"/>
      <c r="DQ604" s="52"/>
      <c r="DR604" s="52"/>
      <c r="DS604" s="52"/>
      <c r="DT604" s="52"/>
      <c r="DU604" s="52"/>
      <c r="DV604" s="52"/>
      <c r="DW604" s="52"/>
    </row>
    <row r="605">
      <c r="A605" s="40" t="s">
        <v>55</v>
      </c>
      <c r="B605" s="41" t="s">
        <v>56</v>
      </c>
      <c r="C605" s="31" t="s">
        <v>1618</v>
      </c>
      <c r="D605" s="25" t="str">
        <f>IFERROR(__xludf.DUMMYFUNCTION("SPLIT(C605,"" "")"),"Malone,")</f>
        <v>Malone,</v>
      </c>
      <c r="E605" s="40" t="str">
        <f>IFERROR(__xludf.DUMMYFUNCTION("""COMPUTED_VALUE"""),"Kimberly
8824")</f>
        <v>Kimberly
8824</v>
      </c>
      <c r="F605" s="40" t="str">
        <f>IFERROR(__xludf.DUMMYFUNCTION("""COMPUTED_VALUE"""),"Diceman")</f>
        <v>Diceman</v>
      </c>
      <c r="G605" s="40" t="str">
        <f>IFERROR(__xludf.DUMMYFUNCTION("""COMPUTED_VALUE"""),"Dr.
Dallas,")</f>
        <v>Dr.
Dallas,</v>
      </c>
      <c r="H605" s="40" t="str">
        <f>IFERROR(__xludf.DUMMYFUNCTION("""COMPUTED_VALUE"""),"TX")</f>
        <v>TX</v>
      </c>
      <c r="I605" s="40">
        <f>IFERROR(__xludf.DUMMYFUNCTION("""COMPUTED_VALUE"""),75218.0)</f>
        <v>75218</v>
      </c>
      <c r="J605" s="40"/>
      <c r="K605" s="40"/>
      <c r="L605" s="40"/>
      <c r="M605" s="40"/>
      <c r="N605" s="40"/>
      <c r="O605" s="40"/>
      <c r="P605" s="40"/>
      <c r="Q605" s="40"/>
      <c r="R605" s="40"/>
      <c r="S605" s="40"/>
      <c r="T605" s="40"/>
      <c r="U605" s="24" t="str">
        <f>IFERROR(__xludf.DUMMYFUNCTION("SPLIT(E605,""01234567890"")"),"Kimberly
")</f>
        <v>Kimberly
</v>
      </c>
      <c r="V605" s="24" t="str">
        <f>IFERROR(__xludf.DUMMYFUNCTION("SPLIT(D605,"","")"),"Malone")</f>
        <v>Malone</v>
      </c>
      <c r="W605" s="25" t="str">
        <f t="shared" si="1"/>
        <v>KIMBERLY
 MALONE</v>
      </c>
      <c r="X605" s="25" t="s">
        <v>1619</v>
      </c>
      <c r="Y605" s="25">
        <v>75218.0</v>
      </c>
      <c r="Z605" s="25" t="str">
        <f>IFERROR(__xludf.DUMMYFUNCTION("SPLIT(C605,""
"")"),"Malone, Kimberly")</f>
        <v>Malone, Kimberly</v>
      </c>
      <c r="AA605" s="25" t="str">
        <f>IFERROR(__xludf.DUMMYFUNCTION("""COMPUTED_VALUE"""),"8824 Diceman Dr.")</f>
        <v>8824 Diceman Dr.</v>
      </c>
      <c r="AB605" s="25" t="str">
        <f>IFERROR(__xludf.DUMMYFUNCTION("""COMPUTED_VALUE"""),"Dallas, TX 75218")</f>
        <v>Dallas, TX 75218</v>
      </c>
      <c r="AC605" s="24" t="s">
        <v>1620</v>
      </c>
      <c r="AD605" s="25"/>
      <c r="AE605" s="25"/>
      <c r="AF605" s="25"/>
      <c r="AG605" s="40" t="s">
        <v>60</v>
      </c>
      <c r="AH605" s="42">
        <v>2448.0</v>
      </c>
      <c r="AI605" s="40" t="s">
        <v>61</v>
      </c>
      <c r="AJ605" s="27">
        <v>500.0</v>
      </c>
      <c r="AK605" s="31" t="s">
        <v>24</v>
      </c>
      <c r="AL605" s="43">
        <v>44726.0</v>
      </c>
      <c r="AM605" s="44">
        <v>44757.44018518519</v>
      </c>
      <c r="AN605" s="30">
        <v>2.0</v>
      </c>
      <c r="AO605" s="40"/>
      <c r="AP605" s="40"/>
      <c r="AQ605" s="40"/>
      <c r="AR605" s="40"/>
      <c r="AS605" s="40"/>
      <c r="AT605" s="47"/>
      <c r="AU605" s="40"/>
      <c r="AV605" s="46" t="str">
        <f>IFERROR(__xludf.DUMMYFUNCTION("""COMPUTED_VALUE"""),"Haggerty")</f>
        <v>Haggerty</v>
      </c>
      <c r="AW605" s="46">
        <f t="shared" si="7"/>
        <v>100</v>
      </c>
      <c r="AX605" s="47">
        <f t="shared" ref="AX605:BQ605" si="1925">SUMIFS($AJ:$AJ,$V:$V,$AV605,$AK:$AK,AX$2)</f>
        <v>0</v>
      </c>
      <c r="AY605" s="48">
        <f t="shared" si="1925"/>
        <v>0</v>
      </c>
      <c r="AZ605" s="48">
        <f t="shared" si="1925"/>
        <v>0</v>
      </c>
      <c r="BA605" s="48">
        <f t="shared" si="1925"/>
        <v>0</v>
      </c>
      <c r="BB605" s="48">
        <f t="shared" si="1925"/>
        <v>100</v>
      </c>
      <c r="BC605" s="48">
        <f t="shared" si="1925"/>
        <v>0</v>
      </c>
      <c r="BD605" s="48">
        <f t="shared" si="1925"/>
        <v>0</v>
      </c>
      <c r="BE605" s="48">
        <f t="shared" si="1925"/>
        <v>0</v>
      </c>
      <c r="BF605" s="48">
        <f t="shared" si="1925"/>
        <v>0</v>
      </c>
      <c r="BG605" s="48">
        <f t="shared" si="1925"/>
        <v>0</v>
      </c>
      <c r="BH605" s="48">
        <f t="shared" si="1925"/>
        <v>0</v>
      </c>
      <c r="BI605" s="48">
        <f t="shared" si="1925"/>
        <v>0</v>
      </c>
      <c r="BJ605" s="48">
        <f t="shared" si="1925"/>
        <v>0</v>
      </c>
      <c r="BK605" s="48">
        <f t="shared" si="1925"/>
        <v>0</v>
      </c>
      <c r="BL605" s="48">
        <f t="shared" si="1925"/>
        <v>0</v>
      </c>
      <c r="BM605" s="48">
        <f t="shared" si="1925"/>
        <v>0</v>
      </c>
      <c r="BN605" s="48">
        <f t="shared" si="1925"/>
        <v>0</v>
      </c>
      <c r="BO605" s="48">
        <f t="shared" si="1925"/>
        <v>0</v>
      </c>
      <c r="BP605" s="48">
        <f t="shared" si="1925"/>
        <v>0</v>
      </c>
      <c r="BQ605" s="48">
        <f t="shared" si="1925"/>
        <v>0</v>
      </c>
      <c r="BR605" s="36">
        <f t="shared" si="9"/>
        <v>0</v>
      </c>
      <c r="BS605" s="38">
        <f t="shared" si="10"/>
        <v>1</v>
      </c>
      <c r="BT605" s="49">
        <f t="shared" si="11"/>
        <v>0</v>
      </c>
      <c r="BU605" s="38">
        <f t="shared" si="12"/>
        <v>1000</v>
      </c>
      <c r="BV605" s="46" t="str">
        <f>IFERROR(__xludf.DUMMYFUNCTION("""COMPUTED_VALUE"""),"Haggerty")</f>
        <v>Haggerty</v>
      </c>
      <c r="BW605" s="46">
        <f t="shared" si="13"/>
        <v>100</v>
      </c>
      <c r="BX605" s="47">
        <f t="shared" ref="BX605:CA605" si="1926">AX605-$BU605</f>
        <v>-1000</v>
      </c>
      <c r="BY605" s="47">
        <f t="shared" si="1926"/>
        <v>-1000</v>
      </c>
      <c r="BZ605" s="47">
        <f t="shared" si="1926"/>
        <v>-1000</v>
      </c>
      <c r="CA605" s="47">
        <f t="shared" si="1926"/>
        <v>-1000</v>
      </c>
      <c r="CB605" s="47">
        <f t="shared" si="15"/>
        <v>-9900</v>
      </c>
      <c r="CC605" s="47">
        <f t="shared" ref="CC605:CQ605" si="1927">BC605-$BU605</f>
        <v>-1000</v>
      </c>
      <c r="CD605" s="47">
        <f t="shared" si="1927"/>
        <v>-1000</v>
      </c>
      <c r="CE605" s="47">
        <f t="shared" si="1927"/>
        <v>-1000</v>
      </c>
      <c r="CF605" s="47">
        <f t="shared" si="1927"/>
        <v>-1000</v>
      </c>
      <c r="CG605" s="47">
        <f t="shared" si="1927"/>
        <v>-1000</v>
      </c>
      <c r="CH605" s="47">
        <f t="shared" si="1927"/>
        <v>-1000</v>
      </c>
      <c r="CI605" s="47">
        <f t="shared" si="1927"/>
        <v>-1000</v>
      </c>
      <c r="CJ605" s="47">
        <f t="shared" si="1927"/>
        <v>-1000</v>
      </c>
      <c r="CK605" s="47">
        <f t="shared" si="1927"/>
        <v>-1000</v>
      </c>
      <c r="CL605" s="47">
        <f t="shared" si="1927"/>
        <v>-1000</v>
      </c>
      <c r="CM605" s="47">
        <f t="shared" si="1927"/>
        <v>-1000</v>
      </c>
      <c r="CN605" s="47">
        <f t="shared" si="1927"/>
        <v>-1000</v>
      </c>
      <c r="CO605" s="47">
        <f t="shared" si="1927"/>
        <v>-1000</v>
      </c>
      <c r="CP605" s="47">
        <f t="shared" si="1927"/>
        <v>-1000</v>
      </c>
      <c r="CQ605" s="47">
        <f t="shared" si="1927"/>
        <v>-1000</v>
      </c>
      <c r="CR605" s="47"/>
      <c r="CS605" s="47"/>
      <c r="CT605" s="47"/>
      <c r="CU605" s="50" t="str">
        <f>IFERROR(__xludf.DUMMYFUNCTION("""COMPUTED_VALUE"""),"9531 Windy Hill Road
Dallas, TX 75238         ")</f>
        <v>9531 Windy Hill Road
Dallas, TX 75238         </v>
      </c>
      <c r="CV605" s="51">
        <f>IFERROR(__xludf.DUMMYFUNCTION("IF(REGEXMATCH(UPPER(CU605), ""TX""),0,1)"),0.0)</f>
        <v>0</v>
      </c>
      <c r="CW605" s="51">
        <f>IFERROR(__xludf.DUMMYFUNCTION("IF(REGEXMATCH(UPPER(CU605), ""DALLAS""),0,1)"),0.0)</f>
        <v>0</v>
      </c>
      <c r="CX605" s="51">
        <f t="shared" si="17"/>
        <v>0</v>
      </c>
      <c r="CY605" s="51">
        <f t="shared" si="18"/>
        <v>0</v>
      </c>
      <c r="CZ605" s="52" t="str">
        <f t="shared" si="19"/>
        <v/>
      </c>
      <c r="DA605" s="58"/>
      <c r="DB605" s="52"/>
      <c r="DC605" s="52"/>
      <c r="DD605" s="52"/>
      <c r="DE605" s="52"/>
      <c r="DF605" s="52"/>
      <c r="DG605" s="52"/>
      <c r="DH605" s="52"/>
      <c r="DI605" s="52"/>
      <c r="DJ605" s="52"/>
      <c r="DK605" s="52"/>
      <c r="DL605" s="52"/>
      <c r="DM605" s="52"/>
      <c r="DN605" s="52"/>
      <c r="DO605" s="52"/>
      <c r="DP605" s="52"/>
      <c r="DQ605" s="52"/>
      <c r="DR605" s="52"/>
      <c r="DS605" s="52"/>
      <c r="DT605" s="52"/>
      <c r="DU605" s="52"/>
      <c r="DV605" s="52"/>
      <c r="DW605" s="52"/>
    </row>
    <row r="606">
      <c r="A606" s="22" t="s">
        <v>55</v>
      </c>
      <c r="B606" s="23" t="s">
        <v>56</v>
      </c>
      <c r="C606" s="31" t="s">
        <v>1621</v>
      </c>
      <c r="D606" s="25" t="str">
        <f>IFERROR(__xludf.DUMMYFUNCTION("SPLIT(C606,"" "")"),"Melton,")</f>
        <v>Melton,</v>
      </c>
      <c r="E606" s="22" t="str">
        <f>IFERROR(__xludf.DUMMYFUNCTION("""COMPUTED_VALUE"""),"WJ
613")</f>
        <v>WJ
613</v>
      </c>
      <c r="F606" s="22" t="str">
        <f>IFERROR(__xludf.DUMMYFUNCTION("""COMPUTED_VALUE"""),"Mount")</f>
        <v>Mount</v>
      </c>
      <c r="G606" s="22" t="str">
        <f>IFERROR(__xludf.DUMMYFUNCTION("""COMPUTED_VALUE"""),"Auburn")</f>
        <v>Auburn</v>
      </c>
      <c r="H606" s="22" t="str">
        <f>IFERROR(__xludf.DUMMYFUNCTION("""COMPUTED_VALUE"""),"Ave.
Dallas,")</f>
        <v>Ave.
Dallas,</v>
      </c>
      <c r="I606" s="22" t="str">
        <f>IFERROR(__xludf.DUMMYFUNCTION("""COMPUTED_VALUE"""),"TX")</f>
        <v>TX</v>
      </c>
      <c r="J606" s="22">
        <f>IFERROR(__xludf.DUMMYFUNCTION("""COMPUTED_VALUE"""),75223.0)</f>
        <v>75223</v>
      </c>
      <c r="K606" s="22"/>
      <c r="L606" s="22"/>
      <c r="M606" s="22"/>
      <c r="N606" s="22"/>
      <c r="O606" s="22"/>
      <c r="P606" s="22"/>
      <c r="Q606" s="22"/>
      <c r="R606" s="22"/>
      <c r="S606" s="22"/>
      <c r="T606" s="22"/>
      <c r="U606" s="24" t="str">
        <f>IFERROR(__xludf.DUMMYFUNCTION("SPLIT(E606,""01234567890"")"),"WJ
")</f>
        <v>WJ
</v>
      </c>
      <c r="V606" s="24" t="str">
        <f>IFERROR(__xludf.DUMMYFUNCTION("SPLIT(D606,"","")"),"Melton")</f>
        <v>Melton</v>
      </c>
      <c r="W606" s="25" t="str">
        <f t="shared" si="1"/>
        <v>WJ
 MELTON</v>
      </c>
      <c r="X606" s="25" t="s">
        <v>1622</v>
      </c>
      <c r="Y606" s="25">
        <v>75223.0</v>
      </c>
      <c r="Z606" s="25" t="str">
        <f>IFERROR(__xludf.DUMMYFUNCTION("SPLIT(C606,""
"")"),"Melton, WJ")</f>
        <v>Melton, WJ</v>
      </c>
      <c r="AA606" s="25" t="str">
        <f>IFERROR(__xludf.DUMMYFUNCTION("""COMPUTED_VALUE"""),"613 Mount Auburn Ave.")</f>
        <v>613 Mount Auburn Ave.</v>
      </c>
      <c r="AB606" s="25" t="str">
        <f>IFERROR(__xludf.DUMMYFUNCTION("""COMPUTED_VALUE"""),"Dallas, TX 75223")</f>
        <v>Dallas, TX 75223</v>
      </c>
      <c r="AC606" s="24" t="s">
        <v>1623</v>
      </c>
      <c r="AD606" s="25"/>
      <c r="AE606" s="25"/>
      <c r="AF606" s="25"/>
      <c r="AG606" s="22" t="s">
        <v>60</v>
      </c>
      <c r="AH606" s="54">
        <v>2448.0</v>
      </c>
      <c r="AI606" s="22" t="s">
        <v>61</v>
      </c>
      <c r="AJ606" s="27">
        <v>50.0</v>
      </c>
      <c r="AK606" s="31" t="s">
        <v>24</v>
      </c>
      <c r="AL606" s="28">
        <v>44726.0</v>
      </c>
      <c r="AM606" s="29">
        <v>44757.44018518519</v>
      </c>
      <c r="AN606" s="30">
        <v>2.0</v>
      </c>
      <c r="AO606" s="22"/>
      <c r="AP606" s="22"/>
      <c r="AQ606" s="22"/>
      <c r="AR606" s="22"/>
      <c r="AS606" s="22"/>
      <c r="AT606" s="70"/>
      <c r="AU606" s="22"/>
      <c r="AV606" s="57" t="str">
        <f>IFERROR(__xludf.DUMMYFUNCTION("""COMPUTED_VALUE"""),"Koop")</f>
        <v>Koop</v>
      </c>
      <c r="AW606" s="46">
        <f t="shared" si="7"/>
        <v>200</v>
      </c>
      <c r="AX606" s="47">
        <f t="shared" ref="AX606:BQ606" si="1928">SUMIFS($AJ:$AJ,$V:$V,$AV606,$AK:$AK,AX$2)</f>
        <v>0</v>
      </c>
      <c r="AY606" s="48">
        <f t="shared" si="1928"/>
        <v>0</v>
      </c>
      <c r="AZ606" s="48">
        <f t="shared" si="1928"/>
        <v>0</v>
      </c>
      <c r="BA606" s="48">
        <f t="shared" si="1928"/>
        <v>0</v>
      </c>
      <c r="BB606" s="48">
        <f t="shared" si="1928"/>
        <v>200</v>
      </c>
      <c r="BC606" s="48">
        <f t="shared" si="1928"/>
        <v>0</v>
      </c>
      <c r="BD606" s="48">
        <f t="shared" si="1928"/>
        <v>0</v>
      </c>
      <c r="BE606" s="48">
        <f t="shared" si="1928"/>
        <v>0</v>
      </c>
      <c r="BF606" s="48">
        <f t="shared" si="1928"/>
        <v>0</v>
      </c>
      <c r="BG606" s="48">
        <f t="shared" si="1928"/>
        <v>0</v>
      </c>
      <c r="BH606" s="48">
        <f t="shared" si="1928"/>
        <v>0</v>
      </c>
      <c r="BI606" s="48">
        <f t="shared" si="1928"/>
        <v>0</v>
      </c>
      <c r="BJ606" s="48">
        <f t="shared" si="1928"/>
        <v>0</v>
      </c>
      <c r="BK606" s="48">
        <f t="shared" si="1928"/>
        <v>0</v>
      </c>
      <c r="BL606" s="48">
        <f t="shared" si="1928"/>
        <v>0</v>
      </c>
      <c r="BM606" s="48">
        <f t="shared" si="1928"/>
        <v>0</v>
      </c>
      <c r="BN606" s="48">
        <f t="shared" si="1928"/>
        <v>0</v>
      </c>
      <c r="BO606" s="48">
        <f t="shared" si="1928"/>
        <v>0</v>
      </c>
      <c r="BP606" s="48">
        <f t="shared" si="1928"/>
        <v>0</v>
      </c>
      <c r="BQ606" s="48">
        <f t="shared" si="1928"/>
        <v>0</v>
      </c>
      <c r="BR606" s="36">
        <f t="shared" si="9"/>
        <v>0</v>
      </c>
      <c r="BS606" s="38">
        <f t="shared" si="10"/>
        <v>1</v>
      </c>
      <c r="BT606" s="49">
        <f t="shared" si="11"/>
        <v>0</v>
      </c>
      <c r="BU606" s="38">
        <f t="shared" si="12"/>
        <v>1000</v>
      </c>
      <c r="BV606" s="57" t="str">
        <f>IFERROR(__xludf.DUMMYFUNCTION("""COMPUTED_VALUE"""),"Koop")</f>
        <v>Koop</v>
      </c>
      <c r="BW606" s="46">
        <f t="shared" si="13"/>
        <v>200</v>
      </c>
      <c r="BX606" s="47">
        <f t="shared" ref="BX606:CA606" si="1929">AX606-$BU606</f>
        <v>-1000</v>
      </c>
      <c r="BY606" s="47">
        <f t="shared" si="1929"/>
        <v>-1000</v>
      </c>
      <c r="BZ606" s="47">
        <f t="shared" si="1929"/>
        <v>-1000</v>
      </c>
      <c r="CA606" s="47">
        <f t="shared" si="1929"/>
        <v>-1000</v>
      </c>
      <c r="CB606" s="47">
        <f t="shared" si="15"/>
        <v>-9800</v>
      </c>
      <c r="CC606" s="47">
        <f t="shared" ref="CC606:CQ606" si="1930">BC606-$BU606</f>
        <v>-1000</v>
      </c>
      <c r="CD606" s="47">
        <f t="shared" si="1930"/>
        <v>-1000</v>
      </c>
      <c r="CE606" s="47">
        <f t="shared" si="1930"/>
        <v>-1000</v>
      </c>
      <c r="CF606" s="47">
        <f t="shared" si="1930"/>
        <v>-1000</v>
      </c>
      <c r="CG606" s="47">
        <f t="shared" si="1930"/>
        <v>-1000</v>
      </c>
      <c r="CH606" s="47">
        <f t="shared" si="1930"/>
        <v>-1000</v>
      </c>
      <c r="CI606" s="47">
        <f t="shared" si="1930"/>
        <v>-1000</v>
      </c>
      <c r="CJ606" s="47">
        <f t="shared" si="1930"/>
        <v>-1000</v>
      </c>
      <c r="CK606" s="47">
        <f t="shared" si="1930"/>
        <v>-1000</v>
      </c>
      <c r="CL606" s="47">
        <f t="shared" si="1930"/>
        <v>-1000</v>
      </c>
      <c r="CM606" s="47">
        <f t="shared" si="1930"/>
        <v>-1000</v>
      </c>
      <c r="CN606" s="47">
        <f t="shared" si="1930"/>
        <v>-1000</v>
      </c>
      <c r="CO606" s="47">
        <f t="shared" si="1930"/>
        <v>-1000</v>
      </c>
      <c r="CP606" s="47">
        <f t="shared" si="1930"/>
        <v>-1000</v>
      </c>
      <c r="CQ606" s="47">
        <f t="shared" si="1930"/>
        <v>-1000</v>
      </c>
      <c r="CR606" s="47"/>
      <c r="CS606" s="47"/>
      <c r="CT606" s="47"/>
      <c r="CU606" s="50" t="str">
        <f>IFERROR(__xludf.DUMMYFUNCTION("""COMPUTED_VALUE"""),"8928 Fairglen
Dallas, TX 75231           ")</f>
        <v>8928 Fairglen
Dallas, TX 75231           </v>
      </c>
      <c r="CV606" s="51">
        <f>IFERROR(__xludf.DUMMYFUNCTION("IF(REGEXMATCH(UPPER(CU606), ""TX""),0,1)"),0.0)</f>
        <v>0</v>
      </c>
      <c r="CW606" s="51">
        <f>IFERROR(__xludf.DUMMYFUNCTION("IF(REGEXMATCH(UPPER(CU606), ""DALLAS""),0,1)"),0.0)</f>
        <v>0</v>
      </c>
      <c r="CX606" s="51">
        <f t="shared" si="17"/>
        <v>0</v>
      </c>
      <c r="CY606" s="51">
        <f t="shared" si="18"/>
        <v>0</v>
      </c>
      <c r="CZ606" s="52" t="str">
        <f t="shared" si="19"/>
        <v/>
      </c>
      <c r="DA606" s="58"/>
      <c r="DB606" s="52"/>
      <c r="DC606" s="52"/>
      <c r="DD606" s="52"/>
      <c r="DE606" s="52"/>
      <c r="DF606" s="52"/>
      <c r="DG606" s="52"/>
      <c r="DH606" s="52"/>
      <c r="DI606" s="52"/>
      <c r="DJ606" s="52"/>
      <c r="DK606" s="52"/>
      <c r="DL606" s="52"/>
      <c r="DM606" s="52"/>
      <c r="DN606" s="52"/>
      <c r="DO606" s="52"/>
      <c r="DP606" s="52"/>
      <c r="DQ606" s="52"/>
      <c r="DR606" s="52"/>
      <c r="DS606" s="52"/>
      <c r="DT606" s="52"/>
      <c r="DU606" s="52"/>
      <c r="DV606" s="52"/>
      <c r="DW606" s="52"/>
    </row>
    <row r="607">
      <c r="A607" s="40" t="s">
        <v>55</v>
      </c>
      <c r="B607" s="41" t="s">
        <v>56</v>
      </c>
      <c r="C607" s="31" t="s">
        <v>1624</v>
      </c>
      <c r="D607" s="25" t="str">
        <f>IFERROR(__xludf.DUMMYFUNCTION("SPLIT(C607,"" "")"),"Paluso,")</f>
        <v>Paluso,</v>
      </c>
      <c r="E607" s="40" t="str">
        <f>IFERROR(__xludf.DUMMYFUNCTION("""COMPUTED_VALUE"""),"Angela
6535")</f>
        <v>Angela
6535</v>
      </c>
      <c r="F607" s="40" t="str">
        <f>IFERROR(__xludf.DUMMYFUNCTION("""COMPUTED_VALUE"""),"Bob")</f>
        <v>Bob</v>
      </c>
      <c r="G607" s="40" t="str">
        <f>IFERROR(__xludf.DUMMYFUNCTION("""COMPUTED_VALUE"""),"O")</f>
        <v>O</v>
      </c>
      <c r="H607" s="40" t="str">
        <f>IFERROR(__xludf.DUMMYFUNCTION("""COMPUTED_VALUE"""),"Link
Dallas,")</f>
        <v>Link
Dallas,</v>
      </c>
      <c r="I607" s="40" t="str">
        <f>IFERROR(__xludf.DUMMYFUNCTION("""COMPUTED_VALUE"""),"TX")</f>
        <v>TX</v>
      </c>
      <c r="J607" s="40">
        <f>IFERROR(__xludf.DUMMYFUNCTION("""COMPUTED_VALUE"""),75214.0)</f>
        <v>75214</v>
      </c>
      <c r="K607" s="40"/>
      <c r="L607" s="40"/>
      <c r="M607" s="40"/>
      <c r="N607" s="40"/>
      <c r="O607" s="40"/>
      <c r="P607" s="40"/>
      <c r="Q607" s="40"/>
      <c r="R607" s="40"/>
      <c r="S607" s="40"/>
      <c r="T607" s="40"/>
      <c r="U607" s="24" t="str">
        <f>IFERROR(__xludf.DUMMYFUNCTION("SPLIT(E607,""01234567890"")"),"Angela
")</f>
        <v>Angela
</v>
      </c>
      <c r="V607" s="24" t="str">
        <f>IFERROR(__xludf.DUMMYFUNCTION("SPLIT(D607,"","")"),"Paluso")</f>
        <v>Paluso</v>
      </c>
      <c r="W607" s="25" t="str">
        <f t="shared" si="1"/>
        <v>ANGELA
 PALUSO</v>
      </c>
      <c r="X607" s="25" t="s">
        <v>1625</v>
      </c>
      <c r="Y607" s="25">
        <v>75214.0</v>
      </c>
      <c r="Z607" s="25" t="str">
        <f>IFERROR(__xludf.DUMMYFUNCTION("SPLIT(C607,""
"")"),"Paluso, Angela")</f>
        <v>Paluso, Angela</v>
      </c>
      <c r="AA607" s="25" t="str">
        <f>IFERROR(__xludf.DUMMYFUNCTION("""COMPUTED_VALUE"""),"6535 Bob O Link")</f>
        <v>6535 Bob O Link</v>
      </c>
      <c r="AB607" s="25" t="str">
        <f>IFERROR(__xludf.DUMMYFUNCTION("""COMPUTED_VALUE"""),"Dallas, TX 75214")</f>
        <v>Dallas, TX 75214</v>
      </c>
      <c r="AC607" s="24" t="s">
        <v>1626</v>
      </c>
      <c r="AD607" s="25"/>
      <c r="AE607" s="25"/>
      <c r="AF607" s="25"/>
      <c r="AG607" s="40" t="s">
        <v>60</v>
      </c>
      <c r="AH607" s="42">
        <v>2448.0</v>
      </c>
      <c r="AI607" s="40" t="s">
        <v>61</v>
      </c>
      <c r="AJ607" s="27">
        <v>100.0</v>
      </c>
      <c r="AK607" s="31" t="s">
        <v>24</v>
      </c>
      <c r="AL607" s="43">
        <v>44726.0</v>
      </c>
      <c r="AM607" s="44">
        <v>44757.44018518519</v>
      </c>
      <c r="AN607" s="30">
        <v>2.0</v>
      </c>
      <c r="AO607" s="40"/>
      <c r="AP607" s="40"/>
      <c r="AQ607" s="40"/>
      <c r="AR607" s="40"/>
      <c r="AS607" s="40"/>
      <c r="AT607" s="47"/>
      <c r="AU607" s="40"/>
      <c r="AV607" s="46" t="str">
        <f>IFERROR(__xludf.DUMMYFUNCTION("""COMPUTED_VALUE"""),"Feuer")</f>
        <v>Feuer</v>
      </c>
      <c r="AW607" s="46">
        <f t="shared" si="7"/>
        <v>50</v>
      </c>
      <c r="AX607" s="47">
        <f t="shared" ref="AX607:BQ607" si="1931">SUMIFS($AJ:$AJ,$V:$V,$AV607,$AK:$AK,AX$2)</f>
        <v>0</v>
      </c>
      <c r="AY607" s="48">
        <f t="shared" si="1931"/>
        <v>0</v>
      </c>
      <c r="AZ607" s="48">
        <f t="shared" si="1931"/>
        <v>0</v>
      </c>
      <c r="BA607" s="48">
        <f t="shared" si="1931"/>
        <v>0</v>
      </c>
      <c r="BB607" s="48">
        <f t="shared" si="1931"/>
        <v>50</v>
      </c>
      <c r="BC607" s="48">
        <f t="shared" si="1931"/>
        <v>0</v>
      </c>
      <c r="BD607" s="48">
        <f t="shared" si="1931"/>
        <v>0</v>
      </c>
      <c r="BE607" s="48">
        <f t="shared" si="1931"/>
        <v>0</v>
      </c>
      <c r="BF607" s="48">
        <f t="shared" si="1931"/>
        <v>0</v>
      </c>
      <c r="BG607" s="48">
        <f t="shared" si="1931"/>
        <v>0</v>
      </c>
      <c r="BH607" s="48">
        <f t="shared" si="1931"/>
        <v>0</v>
      </c>
      <c r="BI607" s="48">
        <f t="shared" si="1931"/>
        <v>0</v>
      </c>
      <c r="BJ607" s="48">
        <f t="shared" si="1931"/>
        <v>0</v>
      </c>
      <c r="BK607" s="48">
        <f t="shared" si="1931"/>
        <v>0</v>
      </c>
      <c r="BL607" s="48">
        <f t="shared" si="1931"/>
        <v>0</v>
      </c>
      <c r="BM607" s="48">
        <f t="shared" si="1931"/>
        <v>0</v>
      </c>
      <c r="BN607" s="48">
        <f t="shared" si="1931"/>
        <v>0</v>
      </c>
      <c r="BO607" s="48">
        <f t="shared" si="1931"/>
        <v>0</v>
      </c>
      <c r="BP607" s="48">
        <f t="shared" si="1931"/>
        <v>0</v>
      </c>
      <c r="BQ607" s="48">
        <f t="shared" si="1931"/>
        <v>0</v>
      </c>
      <c r="BR607" s="36">
        <f t="shared" si="9"/>
        <v>0</v>
      </c>
      <c r="BS607" s="38">
        <f t="shared" si="10"/>
        <v>1</v>
      </c>
      <c r="BT607" s="49">
        <f t="shared" si="11"/>
        <v>0</v>
      </c>
      <c r="BU607" s="38">
        <f t="shared" si="12"/>
        <v>1000</v>
      </c>
      <c r="BV607" s="46" t="str">
        <f>IFERROR(__xludf.DUMMYFUNCTION("""COMPUTED_VALUE"""),"Feuer")</f>
        <v>Feuer</v>
      </c>
      <c r="BW607" s="46">
        <f t="shared" si="13"/>
        <v>50</v>
      </c>
      <c r="BX607" s="47">
        <f t="shared" ref="BX607:CA607" si="1932">AX607-$BU607</f>
        <v>-1000</v>
      </c>
      <c r="BY607" s="47">
        <f t="shared" si="1932"/>
        <v>-1000</v>
      </c>
      <c r="BZ607" s="47">
        <f t="shared" si="1932"/>
        <v>-1000</v>
      </c>
      <c r="CA607" s="47">
        <f t="shared" si="1932"/>
        <v>-1000</v>
      </c>
      <c r="CB607" s="47">
        <f t="shared" si="15"/>
        <v>-9950</v>
      </c>
      <c r="CC607" s="47">
        <f t="shared" ref="CC607:CQ607" si="1933">BC607-$BU607</f>
        <v>-1000</v>
      </c>
      <c r="CD607" s="47">
        <f t="shared" si="1933"/>
        <v>-1000</v>
      </c>
      <c r="CE607" s="47">
        <f t="shared" si="1933"/>
        <v>-1000</v>
      </c>
      <c r="CF607" s="47">
        <f t="shared" si="1933"/>
        <v>-1000</v>
      </c>
      <c r="CG607" s="47">
        <f t="shared" si="1933"/>
        <v>-1000</v>
      </c>
      <c r="CH607" s="47">
        <f t="shared" si="1933"/>
        <v>-1000</v>
      </c>
      <c r="CI607" s="47">
        <f t="shared" si="1933"/>
        <v>-1000</v>
      </c>
      <c r="CJ607" s="47">
        <f t="shared" si="1933"/>
        <v>-1000</v>
      </c>
      <c r="CK607" s="47">
        <f t="shared" si="1933"/>
        <v>-1000</v>
      </c>
      <c r="CL607" s="47">
        <f t="shared" si="1933"/>
        <v>-1000</v>
      </c>
      <c r="CM607" s="47">
        <f t="shared" si="1933"/>
        <v>-1000</v>
      </c>
      <c r="CN607" s="47">
        <f t="shared" si="1933"/>
        <v>-1000</v>
      </c>
      <c r="CO607" s="47">
        <f t="shared" si="1933"/>
        <v>-1000</v>
      </c>
      <c r="CP607" s="47">
        <f t="shared" si="1933"/>
        <v>-1000</v>
      </c>
      <c r="CQ607" s="47">
        <f t="shared" si="1933"/>
        <v>-1000</v>
      </c>
      <c r="CR607" s="47"/>
      <c r="CS607" s="47"/>
      <c r="CT607" s="47"/>
      <c r="CU607" s="50" t="str">
        <f>IFERROR(__xludf.DUMMYFUNCTION("""COMPUTED_VALUE"""),"9949 Caribou Trail
Dallas, TX 75238          ")</f>
        <v>9949 Caribou Trail
Dallas, TX 75238          </v>
      </c>
      <c r="CV607" s="51">
        <f>IFERROR(__xludf.DUMMYFUNCTION("IF(REGEXMATCH(UPPER(CU607), ""TX""),0,1)"),0.0)</f>
        <v>0</v>
      </c>
      <c r="CW607" s="51">
        <f>IFERROR(__xludf.DUMMYFUNCTION("IF(REGEXMATCH(UPPER(CU607), ""DALLAS""),0,1)"),0.0)</f>
        <v>0</v>
      </c>
      <c r="CX607" s="51">
        <f t="shared" si="17"/>
        <v>0</v>
      </c>
      <c r="CY607" s="51">
        <f t="shared" si="18"/>
        <v>0</v>
      </c>
      <c r="CZ607" s="52" t="str">
        <f t="shared" si="19"/>
        <v/>
      </c>
      <c r="DA607" s="58"/>
      <c r="DB607" s="52"/>
      <c r="DC607" s="52"/>
      <c r="DD607" s="52"/>
      <c r="DE607" s="52"/>
      <c r="DF607" s="52"/>
      <c r="DG607" s="52"/>
      <c r="DH607" s="52"/>
      <c r="DI607" s="52"/>
      <c r="DJ607" s="52"/>
      <c r="DK607" s="52"/>
      <c r="DL607" s="52"/>
      <c r="DM607" s="52"/>
      <c r="DN607" s="52"/>
      <c r="DO607" s="52"/>
      <c r="DP607" s="52"/>
      <c r="DQ607" s="52"/>
      <c r="DR607" s="52"/>
      <c r="DS607" s="52"/>
      <c r="DT607" s="52"/>
      <c r="DU607" s="52"/>
      <c r="DV607" s="52"/>
      <c r="DW607" s="52"/>
    </row>
    <row r="608">
      <c r="A608" s="22" t="s">
        <v>55</v>
      </c>
      <c r="B608" s="23" t="s">
        <v>56</v>
      </c>
      <c r="C608" s="31" t="s">
        <v>1627</v>
      </c>
      <c r="D608" s="25" t="str">
        <f>IFERROR(__xludf.DUMMYFUNCTION("SPLIT(C608,"" "")"),"Rivas,")</f>
        <v>Rivas,</v>
      </c>
      <c r="E608" s="22" t="str">
        <f>IFERROR(__xludf.DUMMYFUNCTION("""COMPUTED_VALUE"""),"Jose
6145")</f>
        <v>Jose
6145</v>
      </c>
      <c r="F608" s="22" t="str">
        <f>IFERROR(__xludf.DUMMYFUNCTION("""COMPUTED_VALUE"""),"Park")</f>
        <v>Park</v>
      </c>
      <c r="G608" s="22" t="str">
        <f>IFERROR(__xludf.DUMMYFUNCTION("""COMPUTED_VALUE"""),"Dale")</f>
        <v>Dale</v>
      </c>
      <c r="H608" s="22" t="str">
        <f>IFERROR(__xludf.DUMMYFUNCTION("""COMPUTED_VALUE"""),"Dr
Dallas,")</f>
        <v>Dr
Dallas,</v>
      </c>
      <c r="I608" s="22" t="str">
        <f>IFERROR(__xludf.DUMMYFUNCTION("""COMPUTED_VALUE"""),"TX")</f>
        <v>TX</v>
      </c>
      <c r="J608" s="22">
        <f>IFERROR(__xludf.DUMMYFUNCTION("""COMPUTED_VALUE"""),75227.0)</f>
        <v>75227</v>
      </c>
      <c r="K608" s="22"/>
      <c r="L608" s="22"/>
      <c r="M608" s="22"/>
      <c r="N608" s="22"/>
      <c r="O608" s="22"/>
      <c r="P608" s="22"/>
      <c r="Q608" s="22"/>
      <c r="R608" s="22"/>
      <c r="S608" s="22"/>
      <c r="T608" s="22"/>
      <c r="U608" s="24" t="str">
        <f>IFERROR(__xludf.DUMMYFUNCTION("SPLIT(E608,""01234567890"")"),"Jose
")</f>
        <v>Jose
</v>
      </c>
      <c r="V608" s="24" t="str">
        <f>IFERROR(__xludf.DUMMYFUNCTION("SPLIT(D608,"","")"),"Rivas")</f>
        <v>Rivas</v>
      </c>
      <c r="W608" s="25" t="str">
        <f t="shared" si="1"/>
        <v>JOSE
 RIVAS</v>
      </c>
      <c r="X608" s="25" t="s">
        <v>1628</v>
      </c>
      <c r="Y608" s="25">
        <v>75227.0</v>
      </c>
      <c r="Z608" s="25" t="str">
        <f>IFERROR(__xludf.DUMMYFUNCTION("SPLIT(C608,""
"")"),"Rivas, Jose")</f>
        <v>Rivas, Jose</v>
      </c>
      <c r="AA608" s="25" t="str">
        <f>IFERROR(__xludf.DUMMYFUNCTION("""COMPUTED_VALUE"""),"6145 Park Dale Dr")</f>
        <v>6145 Park Dale Dr</v>
      </c>
      <c r="AB608" s="25" t="str">
        <f>IFERROR(__xludf.DUMMYFUNCTION("""COMPUTED_VALUE"""),"Dallas, TX 75227")</f>
        <v>Dallas, TX 75227</v>
      </c>
      <c r="AC608" s="24" t="s">
        <v>1629</v>
      </c>
      <c r="AD608" s="25"/>
      <c r="AE608" s="25"/>
      <c r="AF608" s="25"/>
      <c r="AG608" s="22" t="s">
        <v>60</v>
      </c>
      <c r="AH608" s="54">
        <v>2448.0</v>
      </c>
      <c r="AI608" s="22" t="s">
        <v>61</v>
      </c>
      <c r="AJ608" s="27">
        <v>100.0</v>
      </c>
      <c r="AK608" s="31" t="s">
        <v>24</v>
      </c>
      <c r="AL608" s="28">
        <v>44726.0</v>
      </c>
      <c r="AM608" s="29">
        <v>44757.44018518519</v>
      </c>
      <c r="AN608" s="30">
        <v>2.0</v>
      </c>
      <c r="AO608" s="22"/>
      <c r="AP608" s="22"/>
      <c r="AQ608" s="22"/>
      <c r="AR608" s="22"/>
      <c r="AS608" s="22"/>
      <c r="AT608" s="70"/>
      <c r="AU608" s="22"/>
      <c r="AV608" s="57" t="str">
        <f>IFERROR(__xludf.DUMMYFUNCTION("""COMPUTED_VALUE"""),"Dorantes")</f>
        <v>Dorantes</v>
      </c>
      <c r="AW608" s="46">
        <f t="shared" si="7"/>
        <v>100</v>
      </c>
      <c r="AX608" s="47">
        <f t="shared" ref="AX608:BQ608" si="1934">SUMIFS($AJ:$AJ,$V:$V,$AV608,$AK:$AK,AX$2)</f>
        <v>0</v>
      </c>
      <c r="AY608" s="48">
        <f t="shared" si="1934"/>
        <v>0</v>
      </c>
      <c r="AZ608" s="48">
        <f t="shared" si="1934"/>
        <v>0</v>
      </c>
      <c r="BA608" s="48">
        <f t="shared" si="1934"/>
        <v>0</v>
      </c>
      <c r="BB608" s="48">
        <f t="shared" si="1934"/>
        <v>100</v>
      </c>
      <c r="BC608" s="48">
        <f t="shared" si="1934"/>
        <v>0</v>
      </c>
      <c r="BD608" s="48">
        <f t="shared" si="1934"/>
        <v>0</v>
      </c>
      <c r="BE608" s="48">
        <f t="shared" si="1934"/>
        <v>0</v>
      </c>
      <c r="BF608" s="48">
        <f t="shared" si="1934"/>
        <v>0</v>
      </c>
      <c r="BG608" s="48">
        <f t="shared" si="1934"/>
        <v>0</v>
      </c>
      <c r="BH608" s="48">
        <f t="shared" si="1934"/>
        <v>0</v>
      </c>
      <c r="BI608" s="48">
        <f t="shared" si="1934"/>
        <v>0</v>
      </c>
      <c r="BJ608" s="48">
        <f t="shared" si="1934"/>
        <v>0</v>
      </c>
      <c r="BK608" s="48">
        <f t="shared" si="1934"/>
        <v>0</v>
      </c>
      <c r="BL608" s="48">
        <f t="shared" si="1934"/>
        <v>0</v>
      </c>
      <c r="BM608" s="48">
        <f t="shared" si="1934"/>
        <v>0</v>
      </c>
      <c r="BN608" s="48">
        <f t="shared" si="1934"/>
        <v>0</v>
      </c>
      <c r="BO608" s="48">
        <f t="shared" si="1934"/>
        <v>0</v>
      </c>
      <c r="BP608" s="48">
        <f t="shared" si="1934"/>
        <v>0</v>
      </c>
      <c r="BQ608" s="48">
        <f t="shared" si="1934"/>
        <v>0</v>
      </c>
      <c r="BR608" s="36">
        <f t="shared" si="9"/>
        <v>0</v>
      </c>
      <c r="BS608" s="38">
        <f t="shared" si="10"/>
        <v>1</v>
      </c>
      <c r="BT608" s="49">
        <f t="shared" si="11"/>
        <v>0</v>
      </c>
      <c r="BU608" s="38">
        <f t="shared" si="12"/>
        <v>1000</v>
      </c>
      <c r="BV608" s="57" t="str">
        <f>IFERROR(__xludf.DUMMYFUNCTION("""COMPUTED_VALUE"""),"Dorantes")</f>
        <v>Dorantes</v>
      </c>
      <c r="BW608" s="46">
        <f t="shared" si="13"/>
        <v>100</v>
      </c>
      <c r="BX608" s="47">
        <f t="shared" ref="BX608:CA608" si="1935">AX608-$BU608</f>
        <v>-1000</v>
      </c>
      <c r="BY608" s="47">
        <f t="shared" si="1935"/>
        <v>-1000</v>
      </c>
      <c r="BZ608" s="47">
        <f t="shared" si="1935"/>
        <v>-1000</v>
      </c>
      <c r="CA608" s="47">
        <f t="shared" si="1935"/>
        <v>-1000</v>
      </c>
      <c r="CB608" s="47">
        <f t="shared" si="15"/>
        <v>-9900</v>
      </c>
      <c r="CC608" s="47">
        <f t="shared" ref="CC608:CQ608" si="1936">BC608-$BU608</f>
        <v>-1000</v>
      </c>
      <c r="CD608" s="47">
        <f t="shared" si="1936"/>
        <v>-1000</v>
      </c>
      <c r="CE608" s="47">
        <f t="shared" si="1936"/>
        <v>-1000</v>
      </c>
      <c r="CF608" s="47">
        <f t="shared" si="1936"/>
        <v>-1000</v>
      </c>
      <c r="CG608" s="47">
        <f t="shared" si="1936"/>
        <v>-1000</v>
      </c>
      <c r="CH608" s="47">
        <f t="shared" si="1936"/>
        <v>-1000</v>
      </c>
      <c r="CI608" s="47">
        <f t="shared" si="1936"/>
        <v>-1000</v>
      </c>
      <c r="CJ608" s="47">
        <f t="shared" si="1936"/>
        <v>-1000</v>
      </c>
      <c r="CK608" s="47">
        <f t="shared" si="1936"/>
        <v>-1000</v>
      </c>
      <c r="CL608" s="47">
        <f t="shared" si="1936"/>
        <v>-1000</v>
      </c>
      <c r="CM608" s="47">
        <f t="shared" si="1936"/>
        <v>-1000</v>
      </c>
      <c r="CN608" s="47">
        <f t="shared" si="1936"/>
        <v>-1000</v>
      </c>
      <c r="CO608" s="47">
        <f t="shared" si="1936"/>
        <v>-1000</v>
      </c>
      <c r="CP608" s="47">
        <f t="shared" si="1936"/>
        <v>-1000</v>
      </c>
      <c r="CQ608" s="47">
        <f t="shared" si="1936"/>
        <v>-1000</v>
      </c>
      <c r="CR608" s="47"/>
      <c r="CS608" s="47"/>
      <c r="CT608" s="47"/>
      <c r="CU608" s="50" t="str">
        <f>IFERROR(__xludf.DUMMYFUNCTION("""COMPUTED_VALUE"""),"9931 Wood Forest Dr
Dallas, TX 75243         ")</f>
        <v>9931 Wood Forest Dr
Dallas, TX 75243         </v>
      </c>
      <c r="CV608" s="51">
        <f>IFERROR(__xludf.DUMMYFUNCTION("IF(REGEXMATCH(UPPER(CU608), ""TX""),0,1)"),0.0)</f>
        <v>0</v>
      </c>
      <c r="CW608" s="51">
        <f>IFERROR(__xludf.DUMMYFUNCTION("IF(REGEXMATCH(UPPER(CU608), ""DALLAS""),0,1)"),0.0)</f>
        <v>0</v>
      </c>
      <c r="CX608" s="51">
        <f t="shared" si="17"/>
        <v>0</v>
      </c>
      <c r="CY608" s="51">
        <f t="shared" si="18"/>
        <v>0</v>
      </c>
      <c r="CZ608" s="52" t="str">
        <f t="shared" si="19"/>
        <v/>
      </c>
      <c r="DA608" s="58"/>
      <c r="DB608" s="52"/>
      <c r="DC608" s="52"/>
      <c r="DD608" s="52"/>
      <c r="DE608" s="52"/>
      <c r="DF608" s="52"/>
      <c r="DG608" s="52"/>
      <c r="DH608" s="52"/>
      <c r="DI608" s="52"/>
      <c r="DJ608" s="52"/>
      <c r="DK608" s="52"/>
      <c r="DL608" s="52"/>
      <c r="DM608" s="52"/>
      <c r="DN608" s="52"/>
      <c r="DO608" s="52"/>
      <c r="DP608" s="52"/>
      <c r="DQ608" s="52"/>
      <c r="DR608" s="52"/>
      <c r="DS608" s="52"/>
      <c r="DT608" s="52"/>
      <c r="DU608" s="52"/>
      <c r="DV608" s="52"/>
      <c r="DW608" s="52"/>
    </row>
    <row r="609">
      <c r="A609" s="40" t="s">
        <v>55</v>
      </c>
      <c r="B609" s="41" t="s">
        <v>56</v>
      </c>
      <c r="C609" s="31" t="s">
        <v>1630</v>
      </c>
      <c r="D609" s="25" t="str">
        <f>IFERROR(__xludf.DUMMYFUNCTION("SPLIT(C609,"" "")"),"Simon,")</f>
        <v>Simon,</v>
      </c>
      <c r="E609" s="40" t="str">
        <f>IFERROR(__xludf.DUMMYFUNCTION("""COMPUTED_VALUE"""),"Jason
1917")</f>
        <v>Jason
1917</v>
      </c>
      <c r="F609" s="40" t="str">
        <f>IFERROR(__xludf.DUMMYFUNCTION("""COMPUTED_VALUE"""),"Valley")</f>
        <v>Valley</v>
      </c>
      <c r="G609" s="40" t="str">
        <f>IFERROR(__xludf.DUMMYFUNCTION("""COMPUTED_VALUE"""),"Oaks")</f>
        <v>Oaks</v>
      </c>
      <c r="H609" s="40" t="str">
        <f>IFERROR(__xludf.DUMMYFUNCTION("""COMPUTED_VALUE"""),"Ct
Irving,")</f>
        <v>Ct
Irving,</v>
      </c>
      <c r="I609" s="40" t="str">
        <f>IFERROR(__xludf.DUMMYFUNCTION("""COMPUTED_VALUE"""),"TX")</f>
        <v>TX</v>
      </c>
      <c r="J609" s="40">
        <f>IFERROR(__xludf.DUMMYFUNCTION("""COMPUTED_VALUE"""),75016.0)</f>
        <v>75016</v>
      </c>
      <c r="K609" s="40"/>
      <c r="L609" s="40"/>
      <c r="M609" s="40"/>
      <c r="N609" s="40"/>
      <c r="O609" s="40"/>
      <c r="P609" s="40"/>
      <c r="Q609" s="40"/>
      <c r="R609" s="40"/>
      <c r="S609" s="40"/>
      <c r="T609" s="40"/>
      <c r="U609" s="24" t="str">
        <f>IFERROR(__xludf.DUMMYFUNCTION("SPLIT(E609,""01234567890"")"),"Jason
")</f>
        <v>Jason
</v>
      </c>
      <c r="V609" s="24" t="str">
        <f>IFERROR(__xludf.DUMMYFUNCTION("SPLIT(D609,"","")"),"Simon")</f>
        <v>Simon</v>
      </c>
      <c r="W609" s="25" t="str">
        <f t="shared" si="1"/>
        <v>JASON
 SIMON</v>
      </c>
      <c r="X609" s="25" t="s">
        <v>1631</v>
      </c>
      <c r="Y609" s="25">
        <v>75016.0</v>
      </c>
      <c r="Z609" s="25" t="str">
        <f>IFERROR(__xludf.DUMMYFUNCTION("SPLIT(C609,""
"")"),"Simon, Jason")</f>
        <v>Simon, Jason</v>
      </c>
      <c r="AA609" s="25" t="str">
        <f>IFERROR(__xludf.DUMMYFUNCTION("""COMPUTED_VALUE"""),"1917 Valley Oaks Ct")</f>
        <v>1917 Valley Oaks Ct</v>
      </c>
      <c r="AB609" s="25" t="str">
        <f>IFERROR(__xludf.DUMMYFUNCTION("""COMPUTED_VALUE"""),"Irving, TX 75016")</f>
        <v>Irving, TX 75016</v>
      </c>
      <c r="AC609" s="24" t="s">
        <v>1632</v>
      </c>
      <c r="AD609" s="25"/>
      <c r="AE609" s="25"/>
      <c r="AF609" s="25"/>
      <c r="AG609" s="40" t="s">
        <v>60</v>
      </c>
      <c r="AH609" s="42">
        <v>2448.0</v>
      </c>
      <c r="AI609" s="40" t="s">
        <v>61</v>
      </c>
      <c r="AJ609" s="27">
        <v>250.0</v>
      </c>
      <c r="AK609" s="31" t="s">
        <v>24</v>
      </c>
      <c r="AL609" s="43">
        <v>44726.0</v>
      </c>
      <c r="AM609" s="44">
        <v>44757.44018518519</v>
      </c>
      <c r="AN609" s="30">
        <v>2.0</v>
      </c>
      <c r="AO609" s="40"/>
      <c r="AP609" s="40"/>
      <c r="AQ609" s="40"/>
      <c r="AR609" s="40"/>
      <c r="AS609" s="40"/>
      <c r="AT609" s="47"/>
      <c r="AU609" s="40"/>
      <c r="AV609" s="46" t="str">
        <f>IFERROR(__xludf.DUMMYFUNCTION("""COMPUTED_VALUE"""),"Conley")</f>
        <v>Conley</v>
      </c>
      <c r="AW609" s="46">
        <f t="shared" si="7"/>
        <v>15</v>
      </c>
      <c r="AX609" s="47">
        <f t="shared" ref="AX609:BQ609" si="1937">SUMIFS($AJ:$AJ,$V:$V,$AV609,$AK:$AK,AX$2)</f>
        <v>0</v>
      </c>
      <c r="AY609" s="48">
        <f t="shared" si="1937"/>
        <v>0</v>
      </c>
      <c r="AZ609" s="48">
        <f t="shared" si="1937"/>
        <v>0</v>
      </c>
      <c r="BA609" s="48">
        <f t="shared" si="1937"/>
        <v>0</v>
      </c>
      <c r="BB609" s="48">
        <f t="shared" si="1937"/>
        <v>15</v>
      </c>
      <c r="BC609" s="48">
        <f t="shared" si="1937"/>
        <v>0</v>
      </c>
      <c r="BD609" s="48">
        <f t="shared" si="1937"/>
        <v>0</v>
      </c>
      <c r="BE609" s="48">
        <f t="shared" si="1937"/>
        <v>0</v>
      </c>
      <c r="BF609" s="48">
        <f t="shared" si="1937"/>
        <v>0</v>
      </c>
      <c r="BG609" s="48">
        <f t="shared" si="1937"/>
        <v>0</v>
      </c>
      <c r="BH609" s="48">
        <f t="shared" si="1937"/>
        <v>0</v>
      </c>
      <c r="BI609" s="48">
        <f t="shared" si="1937"/>
        <v>0</v>
      </c>
      <c r="BJ609" s="48">
        <f t="shared" si="1937"/>
        <v>0</v>
      </c>
      <c r="BK609" s="48">
        <f t="shared" si="1937"/>
        <v>0</v>
      </c>
      <c r="BL609" s="48">
        <f t="shared" si="1937"/>
        <v>0</v>
      </c>
      <c r="BM609" s="48">
        <f t="shared" si="1937"/>
        <v>0</v>
      </c>
      <c r="BN609" s="48">
        <f t="shared" si="1937"/>
        <v>0</v>
      </c>
      <c r="BO609" s="48">
        <f t="shared" si="1937"/>
        <v>0</v>
      </c>
      <c r="BP609" s="48">
        <f t="shared" si="1937"/>
        <v>0</v>
      </c>
      <c r="BQ609" s="48">
        <f t="shared" si="1937"/>
        <v>0</v>
      </c>
      <c r="BR609" s="36">
        <f t="shared" si="9"/>
        <v>0</v>
      </c>
      <c r="BS609" s="38">
        <f t="shared" si="10"/>
        <v>1</v>
      </c>
      <c r="BT609" s="49">
        <f t="shared" si="11"/>
        <v>0</v>
      </c>
      <c r="BU609" s="38">
        <f t="shared" si="12"/>
        <v>1000</v>
      </c>
      <c r="BV609" s="46" t="str">
        <f>IFERROR(__xludf.DUMMYFUNCTION("""COMPUTED_VALUE"""),"Conley")</f>
        <v>Conley</v>
      </c>
      <c r="BW609" s="46">
        <f t="shared" si="13"/>
        <v>15</v>
      </c>
      <c r="BX609" s="47">
        <f t="shared" ref="BX609:CA609" si="1938">AX609-$BU609</f>
        <v>-1000</v>
      </c>
      <c r="BY609" s="47">
        <f t="shared" si="1938"/>
        <v>-1000</v>
      </c>
      <c r="BZ609" s="47">
        <f t="shared" si="1938"/>
        <v>-1000</v>
      </c>
      <c r="CA609" s="47">
        <f t="shared" si="1938"/>
        <v>-1000</v>
      </c>
      <c r="CB609" s="47">
        <f t="shared" si="15"/>
        <v>-9985</v>
      </c>
      <c r="CC609" s="47">
        <f t="shared" ref="CC609:CQ609" si="1939">BC609-$BU609</f>
        <v>-1000</v>
      </c>
      <c r="CD609" s="47">
        <f t="shared" si="1939"/>
        <v>-1000</v>
      </c>
      <c r="CE609" s="47">
        <f t="shared" si="1939"/>
        <v>-1000</v>
      </c>
      <c r="CF609" s="47">
        <f t="shared" si="1939"/>
        <v>-1000</v>
      </c>
      <c r="CG609" s="47">
        <f t="shared" si="1939"/>
        <v>-1000</v>
      </c>
      <c r="CH609" s="47">
        <f t="shared" si="1939"/>
        <v>-1000</v>
      </c>
      <c r="CI609" s="47">
        <f t="shared" si="1939"/>
        <v>-1000</v>
      </c>
      <c r="CJ609" s="47">
        <f t="shared" si="1939"/>
        <v>-1000</v>
      </c>
      <c r="CK609" s="47">
        <f t="shared" si="1939"/>
        <v>-1000</v>
      </c>
      <c r="CL609" s="47">
        <f t="shared" si="1939"/>
        <v>-1000</v>
      </c>
      <c r="CM609" s="47">
        <f t="shared" si="1939"/>
        <v>-1000</v>
      </c>
      <c r="CN609" s="47">
        <f t="shared" si="1939"/>
        <v>-1000</v>
      </c>
      <c r="CO609" s="47">
        <f t="shared" si="1939"/>
        <v>-1000</v>
      </c>
      <c r="CP609" s="47">
        <f t="shared" si="1939"/>
        <v>-1000</v>
      </c>
      <c r="CQ609" s="47">
        <f t="shared" si="1939"/>
        <v>-1000</v>
      </c>
      <c r="CR609" s="47"/>
      <c r="CS609" s="47"/>
      <c r="CT609" s="47"/>
      <c r="CU609" s="50" t="str">
        <f>IFERROR(__xludf.DUMMYFUNCTION("""COMPUTED_VALUE"""),"3601 Turtle Creek Blvd
Dallas, TX 75219         ")</f>
        <v>3601 Turtle Creek Blvd
Dallas, TX 75219         </v>
      </c>
      <c r="CV609" s="51">
        <f>IFERROR(__xludf.DUMMYFUNCTION("IF(REGEXMATCH(UPPER(CU609), ""TX""),0,1)"),0.0)</f>
        <v>0</v>
      </c>
      <c r="CW609" s="51">
        <f>IFERROR(__xludf.DUMMYFUNCTION("IF(REGEXMATCH(UPPER(CU609), ""DALLAS""),0,1)"),0.0)</f>
        <v>0</v>
      </c>
      <c r="CX609" s="51">
        <f t="shared" si="17"/>
        <v>0</v>
      </c>
      <c r="CY609" s="51">
        <f t="shared" si="18"/>
        <v>0</v>
      </c>
      <c r="CZ609" s="52" t="str">
        <f t="shared" si="19"/>
        <v/>
      </c>
      <c r="DA609" s="58"/>
      <c r="DB609" s="52"/>
      <c r="DC609" s="52"/>
      <c r="DD609" s="52"/>
      <c r="DE609" s="52"/>
      <c r="DF609" s="52"/>
      <c r="DG609" s="52"/>
      <c r="DH609" s="52"/>
      <c r="DI609" s="52"/>
      <c r="DJ609" s="52"/>
      <c r="DK609" s="52"/>
      <c r="DL609" s="52"/>
      <c r="DM609" s="52"/>
      <c r="DN609" s="52"/>
      <c r="DO609" s="52"/>
      <c r="DP609" s="52"/>
      <c r="DQ609" s="52"/>
      <c r="DR609" s="52"/>
      <c r="DS609" s="52"/>
      <c r="DT609" s="52"/>
      <c r="DU609" s="52"/>
      <c r="DV609" s="52"/>
      <c r="DW609" s="52"/>
    </row>
    <row r="610">
      <c r="A610" s="22" t="s">
        <v>55</v>
      </c>
      <c r="B610" s="23" t="s">
        <v>56</v>
      </c>
      <c r="C610" s="31" t="s">
        <v>1633</v>
      </c>
      <c r="D610" s="25" t="str">
        <f>IFERROR(__xludf.DUMMYFUNCTION("SPLIT(C610,"" "")"),"Sleeper,")</f>
        <v>Sleeper,</v>
      </c>
      <c r="E610" s="22" t="str">
        <f>IFERROR(__xludf.DUMMYFUNCTION("""COMPUTED_VALUE"""),"Neal
3374")</f>
        <v>Neal
3374</v>
      </c>
      <c r="F610" s="22" t="str">
        <f>IFERROR(__xludf.DUMMYFUNCTION("""COMPUTED_VALUE"""),"Blackburn
Dallas,")</f>
        <v>Blackburn
Dallas,</v>
      </c>
      <c r="G610" s="22" t="str">
        <f>IFERROR(__xludf.DUMMYFUNCTION("""COMPUTED_VALUE"""),"TX")</f>
        <v>TX</v>
      </c>
      <c r="H610" s="22">
        <f>IFERROR(__xludf.DUMMYFUNCTION("""COMPUTED_VALUE"""),75204.0)</f>
        <v>75204</v>
      </c>
      <c r="I610" s="22"/>
      <c r="J610" s="22"/>
      <c r="K610" s="22"/>
      <c r="L610" s="22"/>
      <c r="M610" s="22"/>
      <c r="N610" s="22"/>
      <c r="O610" s="22"/>
      <c r="P610" s="22"/>
      <c r="Q610" s="22"/>
      <c r="R610" s="22"/>
      <c r="S610" s="22"/>
      <c r="T610" s="22"/>
      <c r="U610" s="24" t="str">
        <f>IFERROR(__xludf.DUMMYFUNCTION("SPLIT(E610,""01234567890"")"),"Neal
")</f>
        <v>Neal
</v>
      </c>
      <c r="V610" s="24" t="str">
        <f>IFERROR(__xludf.DUMMYFUNCTION("SPLIT(D610,"","")"),"Sleeper")</f>
        <v>Sleeper</v>
      </c>
      <c r="W610" s="25" t="str">
        <f t="shared" si="1"/>
        <v>NEAL
 SLEEPER</v>
      </c>
      <c r="X610" s="25" t="s">
        <v>1634</v>
      </c>
      <c r="Y610" s="25">
        <v>75204.0</v>
      </c>
      <c r="Z610" s="25" t="str">
        <f>IFERROR(__xludf.DUMMYFUNCTION("SPLIT(C610,""
"")"),"Sleeper, Neal")</f>
        <v>Sleeper, Neal</v>
      </c>
      <c r="AA610" s="25" t="str">
        <f>IFERROR(__xludf.DUMMYFUNCTION("""COMPUTED_VALUE"""),"3374 Blackburn")</f>
        <v>3374 Blackburn</v>
      </c>
      <c r="AB610" s="25" t="str">
        <f>IFERROR(__xludf.DUMMYFUNCTION("""COMPUTED_VALUE"""),"Dallas, TX 75204")</f>
        <v>Dallas, TX 75204</v>
      </c>
      <c r="AC610" s="24" t="s">
        <v>1635</v>
      </c>
      <c r="AD610" s="25"/>
      <c r="AE610" s="25"/>
      <c r="AF610" s="25"/>
      <c r="AG610" s="22" t="s">
        <v>60</v>
      </c>
      <c r="AH610" s="54">
        <v>2448.0</v>
      </c>
      <c r="AI610" s="22" t="s">
        <v>61</v>
      </c>
      <c r="AJ610" s="27">
        <v>500.0</v>
      </c>
      <c r="AK610" s="31" t="s">
        <v>24</v>
      </c>
      <c r="AL610" s="28">
        <v>44726.0</v>
      </c>
      <c r="AM610" s="29">
        <v>44757.44018518519</v>
      </c>
      <c r="AN610" s="30">
        <v>2.0</v>
      </c>
      <c r="AO610" s="22"/>
      <c r="AP610" s="22"/>
      <c r="AQ610" s="22"/>
      <c r="AR610" s="22"/>
      <c r="AS610" s="22"/>
      <c r="AT610" s="70"/>
      <c r="AU610" s="22"/>
      <c r="AV610" s="57" t="str">
        <f>IFERROR(__xludf.DUMMYFUNCTION("""COMPUTED_VALUE"""),"Larosiliere")</f>
        <v>Larosiliere</v>
      </c>
      <c r="AW610" s="46">
        <f t="shared" si="7"/>
        <v>500</v>
      </c>
      <c r="AX610" s="47">
        <f t="shared" ref="AX610:BQ610" si="1940">SUMIFS($AJ:$AJ,$V:$V,$AV610,$AK:$AK,AX$2)</f>
        <v>0</v>
      </c>
      <c r="AY610" s="48">
        <f t="shared" si="1940"/>
        <v>0</v>
      </c>
      <c r="AZ610" s="48">
        <f t="shared" si="1940"/>
        <v>0</v>
      </c>
      <c r="BA610" s="48">
        <f t="shared" si="1940"/>
        <v>0</v>
      </c>
      <c r="BB610" s="48">
        <f t="shared" si="1940"/>
        <v>500</v>
      </c>
      <c r="BC610" s="48">
        <f t="shared" si="1940"/>
        <v>0</v>
      </c>
      <c r="BD610" s="48">
        <f t="shared" si="1940"/>
        <v>0</v>
      </c>
      <c r="BE610" s="48">
        <f t="shared" si="1940"/>
        <v>0</v>
      </c>
      <c r="BF610" s="48">
        <f t="shared" si="1940"/>
        <v>0</v>
      </c>
      <c r="BG610" s="48">
        <f t="shared" si="1940"/>
        <v>0</v>
      </c>
      <c r="BH610" s="48">
        <f t="shared" si="1940"/>
        <v>0</v>
      </c>
      <c r="BI610" s="48">
        <f t="shared" si="1940"/>
        <v>0</v>
      </c>
      <c r="BJ610" s="48">
        <f t="shared" si="1940"/>
        <v>0</v>
      </c>
      <c r="BK610" s="48">
        <f t="shared" si="1940"/>
        <v>0</v>
      </c>
      <c r="BL610" s="48">
        <f t="shared" si="1940"/>
        <v>0</v>
      </c>
      <c r="BM610" s="48">
        <f t="shared" si="1940"/>
        <v>0</v>
      </c>
      <c r="BN610" s="48">
        <f t="shared" si="1940"/>
        <v>0</v>
      </c>
      <c r="BO610" s="48">
        <f t="shared" si="1940"/>
        <v>0</v>
      </c>
      <c r="BP610" s="48">
        <f t="shared" si="1940"/>
        <v>0</v>
      </c>
      <c r="BQ610" s="48">
        <f t="shared" si="1940"/>
        <v>0</v>
      </c>
      <c r="BR610" s="36">
        <f t="shared" si="9"/>
        <v>0</v>
      </c>
      <c r="BS610" s="38">
        <f t="shared" si="10"/>
        <v>1</v>
      </c>
      <c r="BT610" s="49">
        <f t="shared" si="11"/>
        <v>0</v>
      </c>
      <c r="BU610" s="38">
        <f t="shared" si="12"/>
        <v>1000</v>
      </c>
      <c r="BV610" s="57" t="str">
        <f>IFERROR(__xludf.DUMMYFUNCTION("""COMPUTED_VALUE"""),"Larosiliere")</f>
        <v>Larosiliere</v>
      </c>
      <c r="BW610" s="46">
        <f t="shared" si="13"/>
        <v>500</v>
      </c>
      <c r="BX610" s="47">
        <f t="shared" ref="BX610:CA610" si="1941">AX610-$BU610</f>
        <v>-1000</v>
      </c>
      <c r="BY610" s="47">
        <f t="shared" si="1941"/>
        <v>-1000</v>
      </c>
      <c r="BZ610" s="47">
        <f t="shared" si="1941"/>
        <v>-1000</v>
      </c>
      <c r="CA610" s="47">
        <f t="shared" si="1941"/>
        <v>-1000</v>
      </c>
      <c r="CB610" s="47">
        <f t="shared" si="15"/>
        <v>-9500</v>
      </c>
      <c r="CC610" s="47">
        <f t="shared" ref="CC610:CQ610" si="1942">BC610-$BU610</f>
        <v>-1000</v>
      </c>
      <c r="CD610" s="47">
        <f t="shared" si="1942"/>
        <v>-1000</v>
      </c>
      <c r="CE610" s="47">
        <f t="shared" si="1942"/>
        <v>-1000</v>
      </c>
      <c r="CF610" s="47">
        <f t="shared" si="1942"/>
        <v>-1000</v>
      </c>
      <c r="CG610" s="47">
        <f t="shared" si="1942"/>
        <v>-1000</v>
      </c>
      <c r="CH610" s="47">
        <f t="shared" si="1942"/>
        <v>-1000</v>
      </c>
      <c r="CI610" s="47">
        <f t="shared" si="1942"/>
        <v>-1000</v>
      </c>
      <c r="CJ610" s="47">
        <f t="shared" si="1942"/>
        <v>-1000</v>
      </c>
      <c r="CK610" s="47">
        <f t="shared" si="1942"/>
        <v>-1000</v>
      </c>
      <c r="CL610" s="47">
        <f t="shared" si="1942"/>
        <v>-1000</v>
      </c>
      <c r="CM610" s="47">
        <f t="shared" si="1942"/>
        <v>-1000</v>
      </c>
      <c r="CN610" s="47">
        <f t="shared" si="1942"/>
        <v>-1000</v>
      </c>
      <c r="CO610" s="47">
        <f t="shared" si="1942"/>
        <v>-1000</v>
      </c>
      <c r="CP610" s="47">
        <f t="shared" si="1942"/>
        <v>-1000</v>
      </c>
      <c r="CQ610" s="47">
        <f t="shared" si="1942"/>
        <v>-1000</v>
      </c>
      <c r="CR610" s="47"/>
      <c r="CS610" s="47"/>
      <c r="CT610" s="47"/>
      <c r="CU610" s="50" t="str">
        <f>IFERROR(__xludf.DUMMYFUNCTION("""COMPUTED_VALUE"""),"9218 Loma Vista
Dallas, TX 75243          ")</f>
        <v>9218 Loma Vista
Dallas, TX 75243          </v>
      </c>
      <c r="CV610" s="51">
        <f>IFERROR(__xludf.DUMMYFUNCTION("IF(REGEXMATCH(UPPER(CU610), ""TX""),0,1)"),0.0)</f>
        <v>0</v>
      </c>
      <c r="CW610" s="51">
        <f>IFERROR(__xludf.DUMMYFUNCTION("IF(REGEXMATCH(UPPER(CU610), ""DALLAS""),0,1)"),0.0)</f>
        <v>0</v>
      </c>
      <c r="CX610" s="51">
        <f t="shared" si="17"/>
        <v>0</v>
      </c>
      <c r="CY610" s="51">
        <f t="shared" si="18"/>
        <v>0</v>
      </c>
      <c r="CZ610" s="52" t="str">
        <f t="shared" si="19"/>
        <v/>
      </c>
      <c r="DA610" s="58"/>
      <c r="DB610" s="52"/>
      <c r="DC610" s="52"/>
      <c r="DD610" s="52"/>
      <c r="DE610" s="52"/>
      <c r="DF610" s="52"/>
      <c r="DG610" s="52"/>
      <c r="DH610" s="52"/>
      <c r="DI610" s="52"/>
      <c r="DJ610" s="52"/>
      <c r="DK610" s="52"/>
      <c r="DL610" s="52"/>
      <c r="DM610" s="52"/>
      <c r="DN610" s="52"/>
      <c r="DO610" s="52"/>
      <c r="DP610" s="52"/>
      <c r="DQ610" s="52"/>
      <c r="DR610" s="52"/>
      <c r="DS610" s="52"/>
      <c r="DT610" s="52"/>
      <c r="DU610" s="52"/>
      <c r="DV610" s="52"/>
      <c r="DW610" s="52"/>
    </row>
    <row r="611">
      <c r="A611" s="40" t="s">
        <v>55</v>
      </c>
      <c r="B611" s="41" t="s">
        <v>56</v>
      </c>
      <c r="C611" s="31" t="s">
        <v>1636</v>
      </c>
      <c r="D611" s="25" t="str">
        <f>IFERROR(__xludf.DUMMYFUNCTION("SPLIT(C611,"" "")"),"Tiller,")</f>
        <v>Tiller,</v>
      </c>
      <c r="E611" s="40" t="str">
        <f>IFERROR(__xludf.DUMMYFUNCTION("""COMPUTED_VALUE"""),"Martha
5909")</f>
        <v>Martha
5909</v>
      </c>
      <c r="F611" s="40" t="str">
        <f>IFERROR(__xludf.DUMMYFUNCTION("""COMPUTED_VALUE"""),"Luther")</f>
        <v>Luther</v>
      </c>
      <c r="G611" s="40" t="str">
        <f>IFERROR(__xludf.DUMMYFUNCTION("""COMPUTED_VALUE"""),"Lake
Dallas,")</f>
        <v>Lake
Dallas,</v>
      </c>
      <c r="H611" s="40" t="str">
        <f>IFERROR(__xludf.DUMMYFUNCTION("""COMPUTED_VALUE"""),"TX")</f>
        <v>TX</v>
      </c>
      <c r="I611" s="40">
        <f>IFERROR(__xludf.DUMMYFUNCTION("""COMPUTED_VALUE"""),75225.0)</f>
        <v>75225</v>
      </c>
      <c r="J611" s="40"/>
      <c r="K611" s="40"/>
      <c r="L611" s="40"/>
      <c r="M611" s="40"/>
      <c r="N611" s="40"/>
      <c r="O611" s="40"/>
      <c r="P611" s="40"/>
      <c r="Q611" s="40"/>
      <c r="R611" s="40"/>
      <c r="S611" s="40"/>
      <c r="T611" s="40"/>
      <c r="U611" s="24" t="str">
        <f>IFERROR(__xludf.DUMMYFUNCTION("SPLIT(E611,""01234567890"")"),"Martha
")</f>
        <v>Martha
</v>
      </c>
      <c r="V611" s="24" t="str">
        <f>IFERROR(__xludf.DUMMYFUNCTION("SPLIT(D611,"","")"),"Tiller")</f>
        <v>Tiller</v>
      </c>
      <c r="W611" s="25" t="str">
        <f t="shared" si="1"/>
        <v>MARTHA
 TILLER</v>
      </c>
      <c r="X611" s="25" t="s">
        <v>1637</v>
      </c>
      <c r="Y611" s="25">
        <v>75225.0</v>
      </c>
      <c r="Z611" s="25" t="str">
        <f>IFERROR(__xludf.DUMMYFUNCTION("SPLIT(C611,""
"")"),"Tiller, Martha")</f>
        <v>Tiller, Martha</v>
      </c>
      <c r="AA611" s="25" t="str">
        <f>IFERROR(__xludf.DUMMYFUNCTION("""COMPUTED_VALUE"""),"5909 Luther Lake")</f>
        <v>5909 Luther Lake</v>
      </c>
      <c r="AB611" s="25" t="str">
        <f>IFERROR(__xludf.DUMMYFUNCTION("""COMPUTED_VALUE"""),"Dallas, TX 75225")</f>
        <v>Dallas, TX 75225</v>
      </c>
      <c r="AC611" s="24" t="s">
        <v>1638</v>
      </c>
      <c r="AD611" s="25"/>
      <c r="AE611" s="25"/>
      <c r="AF611" s="25"/>
      <c r="AG611" s="40" t="s">
        <v>60</v>
      </c>
      <c r="AH611" s="42">
        <v>2448.0</v>
      </c>
      <c r="AI611" s="40" t="s">
        <v>61</v>
      </c>
      <c r="AJ611" s="27">
        <v>50.0</v>
      </c>
      <c r="AK611" s="31" t="s">
        <v>24</v>
      </c>
      <c r="AL611" s="43">
        <v>44726.0</v>
      </c>
      <c r="AM611" s="44">
        <v>44757.44018518519</v>
      </c>
      <c r="AN611" s="30">
        <v>2.0</v>
      </c>
      <c r="AO611" s="40"/>
      <c r="AP611" s="40"/>
      <c r="AQ611" s="40"/>
      <c r="AR611" s="40"/>
      <c r="AS611" s="40"/>
      <c r="AT611" s="47"/>
      <c r="AU611" s="40"/>
      <c r="AV611" s="46" t="str">
        <f>IFERROR(__xludf.DUMMYFUNCTION("""COMPUTED_VALUE"""),"Starnes")</f>
        <v>Starnes</v>
      </c>
      <c r="AW611" s="46">
        <f t="shared" si="7"/>
        <v>700</v>
      </c>
      <c r="AX611" s="47">
        <f t="shared" ref="AX611:BQ611" si="1943">SUMIFS($AJ:$AJ,$V:$V,$AV611,$AK:$AK,AX$2)</f>
        <v>0</v>
      </c>
      <c r="AY611" s="48">
        <f t="shared" si="1943"/>
        <v>0</v>
      </c>
      <c r="AZ611" s="48">
        <f t="shared" si="1943"/>
        <v>0</v>
      </c>
      <c r="BA611" s="48">
        <f t="shared" si="1943"/>
        <v>0</v>
      </c>
      <c r="BB611" s="48">
        <f t="shared" si="1943"/>
        <v>700</v>
      </c>
      <c r="BC611" s="48">
        <f t="shared" si="1943"/>
        <v>0</v>
      </c>
      <c r="BD611" s="48">
        <f t="shared" si="1943"/>
        <v>0</v>
      </c>
      <c r="BE611" s="48">
        <f t="shared" si="1943"/>
        <v>0</v>
      </c>
      <c r="BF611" s="48">
        <f t="shared" si="1943"/>
        <v>0</v>
      </c>
      <c r="BG611" s="48">
        <f t="shared" si="1943"/>
        <v>0</v>
      </c>
      <c r="BH611" s="48">
        <f t="shared" si="1943"/>
        <v>0</v>
      </c>
      <c r="BI611" s="48">
        <f t="shared" si="1943"/>
        <v>0</v>
      </c>
      <c r="BJ611" s="48">
        <f t="shared" si="1943"/>
        <v>0</v>
      </c>
      <c r="BK611" s="48">
        <f t="shared" si="1943"/>
        <v>0</v>
      </c>
      <c r="BL611" s="48">
        <f t="shared" si="1943"/>
        <v>0</v>
      </c>
      <c r="BM611" s="48">
        <f t="shared" si="1943"/>
        <v>0</v>
      </c>
      <c r="BN611" s="48">
        <f t="shared" si="1943"/>
        <v>0</v>
      </c>
      <c r="BO611" s="48">
        <f t="shared" si="1943"/>
        <v>0</v>
      </c>
      <c r="BP611" s="48">
        <f t="shared" si="1943"/>
        <v>0</v>
      </c>
      <c r="BQ611" s="48">
        <f t="shared" si="1943"/>
        <v>0</v>
      </c>
      <c r="BR611" s="36">
        <f t="shared" si="9"/>
        <v>0</v>
      </c>
      <c r="BS611" s="38">
        <f t="shared" si="10"/>
        <v>1</v>
      </c>
      <c r="BT611" s="49">
        <f t="shared" si="11"/>
        <v>0</v>
      </c>
      <c r="BU611" s="38">
        <f t="shared" si="12"/>
        <v>1000</v>
      </c>
      <c r="BV611" s="46" t="str">
        <f>IFERROR(__xludf.DUMMYFUNCTION("""COMPUTED_VALUE"""),"Starnes")</f>
        <v>Starnes</v>
      </c>
      <c r="BW611" s="46">
        <f t="shared" si="13"/>
        <v>700</v>
      </c>
      <c r="BX611" s="47">
        <f t="shared" ref="BX611:CA611" si="1944">AX611-$BU611</f>
        <v>-1000</v>
      </c>
      <c r="BY611" s="47">
        <f t="shared" si="1944"/>
        <v>-1000</v>
      </c>
      <c r="BZ611" s="47">
        <f t="shared" si="1944"/>
        <v>-1000</v>
      </c>
      <c r="CA611" s="47">
        <f t="shared" si="1944"/>
        <v>-1000</v>
      </c>
      <c r="CB611" s="47">
        <f t="shared" si="15"/>
        <v>-9300</v>
      </c>
      <c r="CC611" s="47">
        <f t="shared" ref="CC611:CQ611" si="1945">BC611-$BU611</f>
        <v>-1000</v>
      </c>
      <c r="CD611" s="47">
        <f t="shared" si="1945"/>
        <v>-1000</v>
      </c>
      <c r="CE611" s="47">
        <f t="shared" si="1945"/>
        <v>-1000</v>
      </c>
      <c r="CF611" s="47">
        <f t="shared" si="1945"/>
        <v>-1000</v>
      </c>
      <c r="CG611" s="47">
        <f t="shared" si="1945"/>
        <v>-1000</v>
      </c>
      <c r="CH611" s="47">
        <f t="shared" si="1945"/>
        <v>-1000</v>
      </c>
      <c r="CI611" s="47">
        <f t="shared" si="1945"/>
        <v>-1000</v>
      </c>
      <c r="CJ611" s="47">
        <f t="shared" si="1945"/>
        <v>-1000</v>
      </c>
      <c r="CK611" s="47">
        <f t="shared" si="1945"/>
        <v>-1000</v>
      </c>
      <c r="CL611" s="47">
        <f t="shared" si="1945"/>
        <v>-1000</v>
      </c>
      <c r="CM611" s="47">
        <f t="shared" si="1945"/>
        <v>-1000</v>
      </c>
      <c r="CN611" s="47">
        <f t="shared" si="1945"/>
        <v>-1000</v>
      </c>
      <c r="CO611" s="47">
        <f t="shared" si="1945"/>
        <v>-1000</v>
      </c>
      <c r="CP611" s="47">
        <f t="shared" si="1945"/>
        <v>-1000</v>
      </c>
      <c r="CQ611" s="47">
        <f t="shared" si="1945"/>
        <v>-1000</v>
      </c>
      <c r="CR611" s="47"/>
      <c r="CS611" s="47"/>
      <c r="CT611" s="47"/>
      <c r="CU611" s="50" t="str">
        <f>IFERROR(__xludf.DUMMYFUNCTION("""COMPUTED_VALUE"""),"9205 Clover Valley
Dallas, TX 75243          ")</f>
        <v>9205 Clover Valley
Dallas, TX 75243          </v>
      </c>
      <c r="CV611" s="51">
        <f>IFERROR(__xludf.DUMMYFUNCTION("IF(REGEXMATCH(UPPER(CU611), ""TX""),0,1)"),0.0)</f>
        <v>0</v>
      </c>
      <c r="CW611" s="51">
        <f>IFERROR(__xludf.DUMMYFUNCTION("IF(REGEXMATCH(UPPER(CU611), ""DALLAS""),0,1)"),0.0)</f>
        <v>0</v>
      </c>
      <c r="CX611" s="51">
        <f t="shared" si="17"/>
        <v>0</v>
      </c>
      <c r="CY611" s="51">
        <f t="shared" si="18"/>
        <v>0</v>
      </c>
      <c r="CZ611" s="52" t="str">
        <f t="shared" si="19"/>
        <v/>
      </c>
      <c r="DA611" s="58"/>
      <c r="DB611" s="52"/>
      <c r="DC611" s="52"/>
      <c r="DD611" s="52"/>
      <c r="DE611" s="52"/>
      <c r="DF611" s="52"/>
      <c r="DG611" s="52"/>
      <c r="DH611" s="52"/>
      <c r="DI611" s="52"/>
      <c r="DJ611" s="52"/>
      <c r="DK611" s="52"/>
      <c r="DL611" s="52"/>
      <c r="DM611" s="52"/>
      <c r="DN611" s="52"/>
      <c r="DO611" s="52"/>
      <c r="DP611" s="52"/>
      <c r="DQ611" s="52"/>
      <c r="DR611" s="52"/>
      <c r="DS611" s="52"/>
      <c r="DT611" s="52"/>
      <c r="DU611" s="52"/>
      <c r="DV611" s="52"/>
      <c r="DW611" s="52"/>
    </row>
    <row r="612">
      <c r="A612" s="22" t="s">
        <v>55</v>
      </c>
      <c r="B612" s="23" t="s">
        <v>56</v>
      </c>
      <c r="C612" s="31" t="s">
        <v>1639</v>
      </c>
      <c r="D612" s="25" t="str">
        <f>IFERROR(__xludf.DUMMYFUNCTION("SPLIT(C612,"" "")"),"Bragalone,")</f>
        <v>Bragalone,</v>
      </c>
      <c r="E612" s="22" t="str">
        <f>IFERROR(__xludf.DUMMYFUNCTION("""COMPUTED_VALUE"""),"Mickie
4105")</f>
        <v>Mickie
4105</v>
      </c>
      <c r="F612" s="22" t="str">
        <f>IFERROR(__xludf.DUMMYFUNCTION("""COMPUTED_VALUE"""),"W.")</f>
        <v>W.</v>
      </c>
      <c r="G612" s="22" t="str">
        <f>IFERROR(__xludf.DUMMYFUNCTION("""COMPUTED_VALUE"""),"Lanther")</f>
        <v>Lanther</v>
      </c>
      <c r="H612" s="22" t="str">
        <f>IFERROR(__xludf.DUMMYFUNCTION("""COMPUTED_VALUE"""),"Drive
Dallas,")</f>
        <v>Drive
Dallas,</v>
      </c>
      <c r="I612" s="22" t="str">
        <f>IFERROR(__xludf.DUMMYFUNCTION("""COMPUTED_VALUE"""),"TX")</f>
        <v>TX</v>
      </c>
      <c r="J612" s="22">
        <f>IFERROR(__xludf.DUMMYFUNCTION("""COMPUTED_VALUE"""),75214.0)</f>
        <v>75214</v>
      </c>
      <c r="K612" s="22"/>
      <c r="L612" s="22"/>
      <c r="M612" s="22"/>
      <c r="N612" s="22"/>
      <c r="O612" s="22"/>
      <c r="P612" s="22"/>
      <c r="Q612" s="22"/>
      <c r="R612" s="22"/>
      <c r="S612" s="22"/>
      <c r="T612" s="22"/>
      <c r="U612" s="24" t="str">
        <f>IFERROR(__xludf.DUMMYFUNCTION("SPLIT(E612,""01234567890"")"),"Mickie
")</f>
        <v>Mickie
</v>
      </c>
      <c r="V612" s="24" t="str">
        <f>IFERROR(__xludf.DUMMYFUNCTION("SPLIT(D612,"","")"),"Bragalone")</f>
        <v>Bragalone</v>
      </c>
      <c r="W612" s="25" t="str">
        <f t="shared" si="1"/>
        <v>MICKIE
 BRAGALONE</v>
      </c>
      <c r="X612" s="25" t="s">
        <v>1640</v>
      </c>
      <c r="Y612" s="25">
        <v>75214.0</v>
      </c>
      <c r="Z612" s="25" t="str">
        <f>IFERROR(__xludf.DUMMYFUNCTION("SPLIT(C612,""
"")"),"Bragalone, Mickie")</f>
        <v>Bragalone, Mickie</v>
      </c>
      <c r="AA612" s="25" t="str">
        <f>IFERROR(__xludf.DUMMYFUNCTION("""COMPUTED_VALUE"""),"4105 W. Lanther Drive")</f>
        <v>4105 W. Lanther Drive</v>
      </c>
      <c r="AB612" s="25" t="str">
        <f>IFERROR(__xludf.DUMMYFUNCTION("""COMPUTED_VALUE"""),"Dallas, TX 75214")</f>
        <v>Dallas, TX 75214</v>
      </c>
      <c r="AC612" s="24" t="s">
        <v>1641</v>
      </c>
      <c r="AD612" s="25"/>
      <c r="AE612" s="25"/>
      <c r="AF612" s="25"/>
      <c r="AG612" s="22" t="s">
        <v>60</v>
      </c>
      <c r="AH612" s="54">
        <v>2448.0</v>
      </c>
      <c r="AI612" s="22" t="s">
        <v>61</v>
      </c>
      <c r="AJ612" s="27">
        <v>1000.0</v>
      </c>
      <c r="AK612" s="31" t="s">
        <v>24</v>
      </c>
      <c r="AL612" s="28">
        <v>44727.0</v>
      </c>
      <c r="AM612" s="29">
        <v>44757.44018518519</v>
      </c>
      <c r="AN612" s="30">
        <v>2.0</v>
      </c>
      <c r="AO612" s="22"/>
      <c r="AP612" s="22"/>
      <c r="AQ612" s="22"/>
      <c r="AR612" s="22"/>
      <c r="AS612" s="22"/>
      <c r="AT612" s="70"/>
      <c r="AU612" s="22"/>
      <c r="AV612" s="57" t="str">
        <f>IFERROR(__xludf.DUMMYFUNCTION("""COMPUTED_VALUE"""),"Joyner")</f>
        <v>Joyner</v>
      </c>
      <c r="AW612" s="46">
        <f t="shared" si="7"/>
        <v>500</v>
      </c>
      <c r="AX612" s="47">
        <f t="shared" ref="AX612:BQ612" si="1946">SUMIFS($AJ:$AJ,$V:$V,$AV612,$AK:$AK,AX$2)</f>
        <v>0</v>
      </c>
      <c r="AY612" s="48">
        <f t="shared" si="1946"/>
        <v>0</v>
      </c>
      <c r="AZ612" s="48">
        <f t="shared" si="1946"/>
        <v>0</v>
      </c>
      <c r="BA612" s="48">
        <f t="shared" si="1946"/>
        <v>0</v>
      </c>
      <c r="BB612" s="48">
        <f t="shared" si="1946"/>
        <v>500</v>
      </c>
      <c r="BC612" s="48">
        <f t="shared" si="1946"/>
        <v>0</v>
      </c>
      <c r="BD612" s="48">
        <f t="shared" si="1946"/>
        <v>0</v>
      </c>
      <c r="BE612" s="48">
        <f t="shared" si="1946"/>
        <v>0</v>
      </c>
      <c r="BF612" s="48">
        <f t="shared" si="1946"/>
        <v>0</v>
      </c>
      <c r="BG612" s="48">
        <f t="shared" si="1946"/>
        <v>0</v>
      </c>
      <c r="BH612" s="48">
        <f t="shared" si="1946"/>
        <v>0</v>
      </c>
      <c r="BI612" s="48">
        <f t="shared" si="1946"/>
        <v>0</v>
      </c>
      <c r="BJ612" s="48">
        <f t="shared" si="1946"/>
        <v>0</v>
      </c>
      <c r="BK612" s="48">
        <f t="shared" si="1946"/>
        <v>0</v>
      </c>
      <c r="BL612" s="48">
        <f t="shared" si="1946"/>
        <v>0</v>
      </c>
      <c r="BM612" s="48">
        <f t="shared" si="1946"/>
        <v>0</v>
      </c>
      <c r="BN612" s="48">
        <f t="shared" si="1946"/>
        <v>0</v>
      </c>
      <c r="BO612" s="48">
        <f t="shared" si="1946"/>
        <v>0</v>
      </c>
      <c r="BP612" s="48">
        <f t="shared" si="1946"/>
        <v>0</v>
      </c>
      <c r="BQ612" s="48">
        <f t="shared" si="1946"/>
        <v>0</v>
      </c>
      <c r="BR612" s="36">
        <f t="shared" si="9"/>
        <v>0</v>
      </c>
      <c r="BS612" s="38">
        <f t="shared" si="10"/>
        <v>1</v>
      </c>
      <c r="BT612" s="49">
        <f t="shared" si="11"/>
        <v>0</v>
      </c>
      <c r="BU612" s="38">
        <f t="shared" si="12"/>
        <v>1000</v>
      </c>
      <c r="BV612" s="57" t="str">
        <f>IFERROR(__xludf.DUMMYFUNCTION("""COMPUTED_VALUE"""),"Joyner")</f>
        <v>Joyner</v>
      </c>
      <c r="BW612" s="46">
        <f t="shared" si="13"/>
        <v>500</v>
      </c>
      <c r="BX612" s="47">
        <f t="shared" ref="BX612:CA612" si="1947">AX612-$BU612</f>
        <v>-1000</v>
      </c>
      <c r="BY612" s="47">
        <f t="shared" si="1947"/>
        <v>-1000</v>
      </c>
      <c r="BZ612" s="47">
        <f t="shared" si="1947"/>
        <v>-1000</v>
      </c>
      <c r="CA612" s="47">
        <f t="shared" si="1947"/>
        <v>-1000</v>
      </c>
      <c r="CB612" s="47">
        <f t="shared" si="15"/>
        <v>-9500</v>
      </c>
      <c r="CC612" s="47">
        <f t="shared" ref="CC612:CQ612" si="1948">BC612-$BU612</f>
        <v>-1000</v>
      </c>
      <c r="CD612" s="47">
        <f t="shared" si="1948"/>
        <v>-1000</v>
      </c>
      <c r="CE612" s="47">
        <f t="shared" si="1948"/>
        <v>-1000</v>
      </c>
      <c r="CF612" s="47">
        <f t="shared" si="1948"/>
        <v>-1000</v>
      </c>
      <c r="CG612" s="47">
        <f t="shared" si="1948"/>
        <v>-1000</v>
      </c>
      <c r="CH612" s="47">
        <f t="shared" si="1948"/>
        <v>-1000</v>
      </c>
      <c r="CI612" s="47">
        <f t="shared" si="1948"/>
        <v>-1000</v>
      </c>
      <c r="CJ612" s="47">
        <f t="shared" si="1948"/>
        <v>-1000</v>
      </c>
      <c r="CK612" s="47">
        <f t="shared" si="1948"/>
        <v>-1000</v>
      </c>
      <c r="CL612" s="47">
        <f t="shared" si="1948"/>
        <v>-1000</v>
      </c>
      <c r="CM612" s="47">
        <f t="shared" si="1948"/>
        <v>-1000</v>
      </c>
      <c r="CN612" s="47">
        <f t="shared" si="1948"/>
        <v>-1000</v>
      </c>
      <c r="CO612" s="47">
        <f t="shared" si="1948"/>
        <v>-1000</v>
      </c>
      <c r="CP612" s="47">
        <f t="shared" si="1948"/>
        <v>-1000</v>
      </c>
      <c r="CQ612" s="47">
        <f t="shared" si="1948"/>
        <v>-1000</v>
      </c>
      <c r="CR612" s="47"/>
      <c r="CS612" s="47"/>
      <c r="CT612" s="47"/>
      <c r="CU612" s="50" t="str">
        <f>IFERROR(__xludf.DUMMYFUNCTION("""COMPUTED_VALUE"""),"8046 Nimrod Trail
Dallas, TX 75238          ")</f>
        <v>8046 Nimrod Trail
Dallas, TX 75238          </v>
      </c>
      <c r="CV612" s="51">
        <f>IFERROR(__xludf.DUMMYFUNCTION("IF(REGEXMATCH(UPPER(CU612), ""TX""),0,1)"),0.0)</f>
        <v>0</v>
      </c>
      <c r="CW612" s="51">
        <f>IFERROR(__xludf.DUMMYFUNCTION("IF(REGEXMATCH(UPPER(CU612), ""DALLAS""),0,1)"),0.0)</f>
        <v>0</v>
      </c>
      <c r="CX612" s="51">
        <f t="shared" si="17"/>
        <v>0</v>
      </c>
      <c r="CY612" s="51">
        <f t="shared" si="18"/>
        <v>0</v>
      </c>
      <c r="CZ612" s="52" t="str">
        <f t="shared" si="19"/>
        <v/>
      </c>
      <c r="DA612" s="58"/>
      <c r="DB612" s="52"/>
      <c r="DC612" s="52"/>
      <c r="DD612" s="52"/>
      <c r="DE612" s="52"/>
      <c r="DF612" s="52"/>
      <c r="DG612" s="52"/>
      <c r="DH612" s="52"/>
      <c r="DI612" s="52"/>
      <c r="DJ612" s="52"/>
      <c r="DK612" s="52"/>
      <c r="DL612" s="52"/>
      <c r="DM612" s="52"/>
      <c r="DN612" s="52"/>
      <c r="DO612" s="52"/>
      <c r="DP612" s="52"/>
      <c r="DQ612" s="52"/>
      <c r="DR612" s="52"/>
      <c r="DS612" s="52"/>
      <c r="DT612" s="52"/>
      <c r="DU612" s="52"/>
      <c r="DV612" s="52"/>
      <c r="DW612" s="52"/>
    </row>
    <row r="613">
      <c r="A613" s="40" t="s">
        <v>55</v>
      </c>
      <c r="B613" s="41" t="s">
        <v>56</v>
      </c>
      <c r="C613" s="31" t="s">
        <v>1642</v>
      </c>
      <c r="D613" s="25" t="str">
        <f>IFERROR(__xludf.DUMMYFUNCTION("SPLIT(C613,"" "")"),"Fuentes,")</f>
        <v>Fuentes,</v>
      </c>
      <c r="E613" s="40" t="str">
        <f>IFERROR(__xludf.DUMMYFUNCTION("""COMPUTED_VALUE"""),"Mark
10811")</f>
        <v>Mark
10811</v>
      </c>
      <c r="F613" s="40" t="str">
        <f>IFERROR(__xludf.DUMMYFUNCTION("""COMPUTED_VALUE"""),"Fernald")</f>
        <v>Fernald</v>
      </c>
      <c r="G613" s="40" t="str">
        <f>IFERROR(__xludf.DUMMYFUNCTION("""COMPUTED_VALUE"""),"Ave
Dallas,")</f>
        <v>Ave
Dallas,</v>
      </c>
      <c r="H613" s="40" t="str">
        <f>IFERROR(__xludf.DUMMYFUNCTION("""COMPUTED_VALUE"""),"TX")</f>
        <v>TX</v>
      </c>
      <c r="I613" s="40">
        <f>IFERROR(__xludf.DUMMYFUNCTION("""COMPUTED_VALUE"""),75218.0)</f>
        <v>75218</v>
      </c>
      <c r="J613" s="40"/>
      <c r="K613" s="40"/>
      <c r="L613" s="40"/>
      <c r="M613" s="40"/>
      <c r="N613" s="40"/>
      <c r="O613" s="40"/>
      <c r="P613" s="40"/>
      <c r="Q613" s="40"/>
      <c r="R613" s="40"/>
      <c r="S613" s="40"/>
      <c r="T613" s="40"/>
      <c r="U613" s="24" t="str">
        <f>IFERROR(__xludf.DUMMYFUNCTION("SPLIT(E613,""01234567890"")"),"Mark
")</f>
        <v>Mark
</v>
      </c>
      <c r="V613" s="24" t="str">
        <f>IFERROR(__xludf.DUMMYFUNCTION("SPLIT(D613,"","")"),"Fuentes")</f>
        <v>Fuentes</v>
      </c>
      <c r="W613" s="25" t="str">
        <f t="shared" si="1"/>
        <v>MARK
 FUENTES</v>
      </c>
      <c r="X613" s="25" t="s">
        <v>1643</v>
      </c>
      <c r="Y613" s="25">
        <v>75218.0</v>
      </c>
      <c r="Z613" s="25" t="str">
        <f>IFERROR(__xludf.DUMMYFUNCTION("SPLIT(C613,""
"")"),"Fuentes, Mark")</f>
        <v>Fuentes, Mark</v>
      </c>
      <c r="AA613" s="25" t="str">
        <f>IFERROR(__xludf.DUMMYFUNCTION("""COMPUTED_VALUE"""),"10811 Fernald Ave")</f>
        <v>10811 Fernald Ave</v>
      </c>
      <c r="AB613" s="25" t="str">
        <f>IFERROR(__xludf.DUMMYFUNCTION("""COMPUTED_VALUE"""),"Dallas, TX 75218")</f>
        <v>Dallas, TX 75218</v>
      </c>
      <c r="AC613" s="24" t="s">
        <v>1644</v>
      </c>
      <c r="AD613" s="25"/>
      <c r="AE613" s="25"/>
      <c r="AF613" s="25"/>
      <c r="AG613" s="40" t="s">
        <v>60</v>
      </c>
      <c r="AH613" s="42">
        <v>2448.0</v>
      </c>
      <c r="AI613" s="40" t="s">
        <v>61</v>
      </c>
      <c r="AJ613" s="27">
        <v>50.0</v>
      </c>
      <c r="AK613" s="31" t="s">
        <v>24</v>
      </c>
      <c r="AL613" s="43">
        <v>44727.0</v>
      </c>
      <c r="AM613" s="44">
        <v>44757.44018518519</v>
      </c>
      <c r="AN613" s="30">
        <v>2.0</v>
      </c>
      <c r="AO613" s="40"/>
      <c r="AP613" s="40"/>
      <c r="AQ613" s="40"/>
      <c r="AR613" s="40"/>
      <c r="AS613" s="40"/>
      <c r="AT613" s="47"/>
      <c r="AU613" s="40"/>
      <c r="AV613" s="46" t="str">
        <f>IFERROR(__xludf.DUMMYFUNCTION("""COMPUTED_VALUE"""),"Robinson")</f>
        <v>Robinson</v>
      </c>
      <c r="AW613" s="46">
        <f t="shared" si="7"/>
        <v>25</v>
      </c>
      <c r="AX613" s="47">
        <f t="shared" ref="AX613:BQ613" si="1949">SUMIFS($AJ:$AJ,$V:$V,$AV613,$AK:$AK,AX$2)</f>
        <v>0</v>
      </c>
      <c r="AY613" s="48">
        <f t="shared" si="1949"/>
        <v>0</v>
      </c>
      <c r="AZ613" s="48">
        <f t="shared" si="1949"/>
        <v>0</v>
      </c>
      <c r="BA613" s="48">
        <f t="shared" si="1949"/>
        <v>0</v>
      </c>
      <c r="BB613" s="48">
        <f t="shared" si="1949"/>
        <v>25</v>
      </c>
      <c r="BC613" s="48">
        <f t="shared" si="1949"/>
        <v>0</v>
      </c>
      <c r="BD613" s="48">
        <f t="shared" si="1949"/>
        <v>0</v>
      </c>
      <c r="BE613" s="48">
        <f t="shared" si="1949"/>
        <v>0</v>
      </c>
      <c r="BF613" s="48">
        <f t="shared" si="1949"/>
        <v>0</v>
      </c>
      <c r="BG613" s="48">
        <f t="shared" si="1949"/>
        <v>0</v>
      </c>
      <c r="BH613" s="48">
        <f t="shared" si="1949"/>
        <v>0</v>
      </c>
      <c r="BI613" s="48">
        <f t="shared" si="1949"/>
        <v>0</v>
      </c>
      <c r="BJ613" s="48">
        <f t="shared" si="1949"/>
        <v>0</v>
      </c>
      <c r="BK613" s="48">
        <f t="shared" si="1949"/>
        <v>0</v>
      </c>
      <c r="BL613" s="48">
        <f t="shared" si="1949"/>
        <v>0</v>
      </c>
      <c r="BM613" s="48">
        <f t="shared" si="1949"/>
        <v>0</v>
      </c>
      <c r="BN613" s="48">
        <f t="shared" si="1949"/>
        <v>0</v>
      </c>
      <c r="BO613" s="48">
        <f t="shared" si="1949"/>
        <v>0</v>
      </c>
      <c r="BP613" s="48">
        <f t="shared" si="1949"/>
        <v>0</v>
      </c>
      <c r="BQ613" s="48">
        <f t="shared" si="1949"/>
        <v>0</v>
      </c>
      <c r="BR613" s="36">
        <f t="shared" si="9"/>
        <v>0</v>
      </c>
      <c r="BS613" s="38">
        <f t="shared" si="10"/>
        <v>1</v>
      </c>
      <c r="BT613" s="49">
        <f t="shared" si="11"/>
        <v>0</v>
      </c>
      <c r="BU613" s="38">
        <f t="shared" si="12"/>
        <v>1000</v>
      </c>
      <c r="BV613" s="46" t="str">
        <f>IFERROR(__xludf.DUMMYFUNCTION("""COMPUTED_VALUE"""),"Robinson")</f>
        <v>Robinson</v>
      </c>
      <c r="BW613" s="46">
        <f t="shared" si="13"/>
        <v>25</v>
      </c>
      <c r="BX613" s="47">
        <f t="shared" ref="BX613:CA613" si="1950">AX613-$BU613</f>
        <v>-1000</v>
      </c>
      <c r="BY613" s="47">
        <f t="shared" si="1950"/>
        <v>-1000</v>
      </c>
      <c r="BZ613" s="47">
        <f t="shared" si="1950"/>
        <v>-1000</v>
      </c>
      <c r="CA613" s="47">
        <f t="shared" si="1950"/>
        <v>-1000</v>
      </c>
      <c r="CB613" s="47">
        <f t="shared" si="15"/>
        <v>-9975</v>
      </c>
      <c r="CC613" s="47">
        <f t="shared" ref="CC613:CQ613" si="1951">BC613-$BU613</f>
        <v>-1000</v>
      </c>
      <c r="CD613" s="47">
        <f t="shared" si="1951"/>
        <v>-1000</v>
      </c>
      <c r="CE613" s="47">
        <f t="shared" si="1951"/>
        <v>-1000</v>
      </c>
      <c r="CF613" s="47">
        <f t="shared" si="1951"/>
        <v>-1000</v>
      </c>
      <c r="CG613" s="47">
        <f t="shared" si="1951"/>
        <v>-1000</v>
      </c>
      <c r="CH613" s="47">
        <f t="shared" si="1951"/>
        <v>-1000</v>
      </c>
      <c r="CI613" s="47">
        <f t="shared" si="1951"/>
        <v>-1000</v>
      </c>
      <c r="CJ613" s="47">
        <f t="shared" si="1951"/>
        <v>-1000</v>
      </c>
      <c r="CK613" s="47">
        <f t="shared" si="1951"/>
        <v>-1000</v>
      </c>
      <c r="CL613" s="47">
        <f t="shared" si="1951"/>
        <v>-1000</v>
      </c>
      <c r="CM613" s="47">
        <f t="shared" si="1951"/>
        <v>-1000</v>
      </c>
      <c r="CN613" s="47">
        <f t="shared" si="1951"/>
        <v>-1000</v>
      </c>
      <c r="CO613" s="47">
        <f t="shared" si="1951"/>
        <v>-1000</v>
      </c>
      <c r="CP613" s="47">
        <f t="shared" si="1951"/>
        <v>-1000</v>
      </c>
      <c r="CQ613" s="47">
        <f t="shared" si="1951"/>
        <v>-1000</v>
      </c>
      <c r="CR613" s="47"/>
      <c r="CS613" s="47"/>
      <c r="CT613" s="47"/>
      <c r="CU613" s="50" t="str">
        <f>IFERROR(__xludf.DUMMYFUNCTION("""COMPUTED_VALUE"""),"9617 Windy Terrace
Dallas, TX 75231          ")</f>
        <v>9617 Windy Terrace
Dallas, TX 75231          </v>
      </c>
      <c r="CV613" s="51">
        <f>IFERROR(__xludf.DUMMYFUNCTION("IF(REGEXMATCH(UPPER(CU613), ""TX""),0,1)"),0.0)</f>
        <v>0</v>
      </c>
      <c r="CW613" s="51">
        <f>IFERROR(__xludf.DUMMYFUNCTION("IF(REGEXMATCH(UPPER(CU613), ""DALLAS""),0,1)"),0.0)</f>
        <v>0</v>
      </c>
      <c r="CX613" s="51">
        <f t="shared" si="17"/>
        <v>0</v>
      </c>
      <c r="CY613" s="51">
        <f t="shared" si="18"/>
        <v>0</v>
      </c>
      <c r="CZ613" s="52" t="str">
        <f t="shared" si="19"/>
        <v/>
      </c>
      <c r="DA613" s="58"/>
      <c r="DB613" s="52"/>
      <c r="DC613" s="52"/>
      <c r="DD613" s="52"/>
      <c r="DE613" s="52"/>
      <c r="DF613" s="52"/>
      <c r="DG613" s="52"/>
      <c r="DH613" s="52"/>
      <c r="DI613" s="52"/>
      <c r="DJ613" s="52"/>
      <c r="DK613" s="52"/>
      <c r="DL613" s="52"/>
      <c r="DM613" s="52"/>
      <c r="DN613" s="52"/>
      <c r="DO613" s="52"/>
      <c r="DP613" s="52"/>
      <c r="DQ613" s="52"/>
      <c r="DR613" s="52"/>
      <c r="DS613" s="52"/>
      <c r="DT613" s="52"/>
      <c r="DU613" s="52"/>
      <c r="DV613" s="52"/>
      <c r="DW613" s="52"/>
    </row>
    <row r="614">
      <c r="A614" s="22" t="s">
        <v>55</v>
      </c>
      <c r="B614" s="23" t="s">
        <v>56</v>
      </c>
      <c r="C614" s="31" t="s">
        <v>1645</v>
      </c>
      <c r="D614" s="25" t="str">
        <f>IFERROR(__xludf.DUMMYFUNCTION("SPLIT(C614,"" "")"),"Platt,")</f>
        <v>Platt,</v>
      </c>
      <c r="E614" s="22" t="str">
        <f>IFERROR(__xludf.DUMMYFUNCTION("""COMPUTED_VALUE"""),"Mark
6956")</f>
        <v>Mark
6956</v>
      </c>
      <c r="F614" s="22" t="str">
        <f>IFERROR(__xludf.DUMMYFUNCTION("""COMPUTED_VALUE"""),"Dalhart")</f>
        <v>Dalhart</v>
      </c>
      <c r="G614" s="22" t="str">
        <f>IFERROR(__xludf.DUMMYFUNCTION("""COMPUTED_VALUE"""),"Ln
Dallas,")</f>
        <v>Ln
Dallas,</v>
      </c>
      <c r="H614" s="22" t="str">
        <f>IFERROR(__xludf.DUMMYFUNCTION("""COMPUTED_VALUE"""),"TX")</f>
        <v>TX</v>
      </c>
      <c r="I614" s="22">
        <f>IFERROR(__xludf.DUMMYFUNCTION("""COMPUTED_VALUE"""),75214.0)</f>
        <v>75214</v>
      </c>
      <c r="J614" s="22"/>
      <c r="K614" s="22"/>
      <c r="L614" s="22"/>
      <c r="M614" s="22"/>
      <c r="N614" s="22"/>
      <c r="O614" s="22"/>
      <c r="P614" s="22"/>
      <c r="Q614" s="22"/>
      <c r="R614" s="22"/>
      <c r="S614" s="22"/>
      <c r="T614" s="22"/>
      <c r="U614" s="24" t="str">
        <f>IFERROR(__xludf.DUMMYFUNCTION("SPLIT(E614,""01234567890"")"),"Mark
")</f>
        <v>Mark
</v>
      </c>
      <c r="V614" s="24" t="str">
        <f>IFERROR(__xludf.DUMMYFUNCTION("SPLIT(D614,"","")"),"Platt")</f>
        <v>Platt</v>
      </c>
      <c r="W614" s="25" t="str">
        <f t="shared" si="1"/>
        <v>MARK
 PLATT</v>
      </c>
      <c r="X614" s="25" t="s">
        <v>1646</v>
      </c>
      <c r="Y614" s="25">
        <v>75214.0</v>
      </c>
      <c r="Z614" s="25" t="str">
        <f>IFERROR(__xludf.DUMMYFUNCTION("SPLIT(C614,""
"")"),"Platt, Mark")</f>
        <v>Platt, Mark</v>
      </c>
      <c r="AA614" s="25" t="str">
        <f>IFERROR(__xludf.DUMMYFUNCTION("""COMPUTED_VALUE"""),"6956 Dalhart Ln")</f>
        <v>6956 Dalhart Ln</v>
      </c>
      <c r="AB614" s="25" t="str">
        <f>IFERROR(__xludf.DUMMYFUNCTION("""COMPUTED_VALUE"""),"Dallas, TX 75214")</f>
        <v>Dallas, TX 75214</v>
      </c>
      <c r="AC614" s="24" t="s">
        <v>1647</v>
      </c>
      <c r="AD614" s="25"/>
      <c r="AE614" s="25"/>
      <c r="AF614" s="25"/>
      <c r="AG614" s="22" t="s">
        <v>60</v>
      </c>
      <c r="AH614" s="54">
        <v>2448.0</v>
      </c>
      <c r="AI614" s="22" t="s">
        <v>61</v>
      </c>
      <c r="AJ614" s="27">
        <v>250.0</v>
      </c>
      <c r="AK614" s="31" t="s">
        <v>24</v>
      </c>
      <c r="AL614" s="28">
        <v>44727.0</v>
      </c>
      <c r="AM614" s="29">
        <v>44757.44018518519</v>
      </c>
      <c r="AN614" s="30">
        <v>2.0</v>
      </c>
      <c r="AO614" s="22"/>
      <c r="AP614" s="22"/>
      <c r="AQ614" s="22"/>
      <c r="AR614" s="22"/>
      <c r="AS614" s="22"/>
      <c r="AT614" s="70"/>
      <c r="AU614" s="22"/>
      <c r="AV614" s="57" t="str">
        <f>IFERROR(__xludf.DUMMYFUNCTION("""COMPUTED_VALUE"""),"Vindas")</f>
        <v>Vindas</v>
      </c>
      <c r="AW614" s="46">
        <f t="shared" si="7"/>
        <v>50</v>
      </c>
      <c r="AX614" s="47">
        <f t="shared" ref="AX614:BQ614" si="1952">SUMIFS($AJ:$AJ,$V:$V,$AV614,$AK:$AK,AX$2)</f>
        <v>0</v>
      </c>
      <c r="AY614" s="48">
        <f t="shared" si="1952"/>
        <v>0</v>
      </c>
      <c r="AZ614" s="48">
        <f t="shared" si="1952"/>
        <v>0</v>
      </c>
      <c r="BA614" s="48">
        <f t="shared" si="1952"/>
        <v>0</v>
      </c>
      <c r="BB614" s="48">
        <f t="shared" si="1952"/>
        <v>50</v>
      </c>
      <c r="BC614" s="48">
        <f t="shared" si="1952"/>
        <v>0</v>
      </c>
      <c r="BD614" s="48">
        <f t="shared" si="1952"/>
        <v>0</v>
      </c>
      <c r="BE614" s="48">
        <f t="shared" si="1952"/>
        <v>0</v>
      </c>
      <c r="BF614" s="48">
        <f t="shared" si="1952"/>
        <v>0</v>
      </c>
      <c r="BG614" s="48">
        <f t="shared" si="1952"/>
        <v>0</v>
      </c>
      <c r="BH614" s="48">
        <f t="shared" si="1952"/>
        <v>0</v>
      </c>
      <c r="BI614" s="48">
        <f t="shared" si="1952"/>
        <v>0</v>
      </c>
      <c r="BJ614" s="48">
        <f t="shared" si="1952"/>
        <v>0</v>
      </c>
      <c r="BK614" s="48">
        <f t="shared" si="1952"/>
        <v>0</v>
      </c>
      <c r="BL614" s="48">
        <f t="shared" si="1952"/>
        <v>0</v>
      </c>
      <c r="BM614" s="48">
        <f t="shared" si="1952"/>
        <v>0</v>
      </c>
      <c r="BN614" s="48">
        <f t="shared" si="1952"/>
        <v>0</v>
      </c>
      <c r="BO614" s="48">
        <f t="shared" si="1952"/>
        <v>0</v>
      </c>
      <c r="BP614" s="48">
        <f t="shared" si="1952"/>
        <v>0</v>
      </c>
      <c r="BQ614" s="48">
        <f t="shared" si="1952"/>
        <v>0</v>
      </c>
      <c r="BR614" s="36">
        <f t="shared" si="9"/>
        <v>0</v>
      </c>
      <c r="BS614" s="38">
        <f t="shared" si="10"/>
        <v>1</v>
      </c>
      <c r="BT614" s="49">
        <f t="shared" si="11"/>
        <v>0</v>
      </c>
      <c r="BU614" s="38">
        <f t="shared" si="12"/>
        <v>1000</v>
      </c>
      <c r="BV614" s="57" t="str">
        <f>IFERROR(__xludf.DUMMYFUNCTION("""COMPUTED_VALUE"""),"Vindas")</f>
        <v>Vindas</v>
      </c>
      <c r="BW614" s="46">
        <f t="shared" si="13"/>
        <v>50</v>
      </c>
      <c r="BX614" s="47">
        <f t="shared" ref="BX614:CA614" si="1953">AX614-$BU614</f>
        <v>-1000</v>
      </c>
      <c r="BY614" s="47">
        <f t="shared" si="1953"/>
        <v>-1000</v>
      </c>
      <c r="BZ614" s="47">
        <f t="shared" si="1953"/>
        <v>-1000</v>
      </c>
      <c r="CA614" s="47">
        <f t="shared" si="1953"/>
        <v>-1000</v>
      </c>
      <c r="CB614" s="47">
        <f t="shared" si="15"/>
        <v>-9950</v>
      </c>
      <c r="CC614" s="47">
        <f t="shared" ref="CC614:CQ614" si="1954">BC614-$BU614</f>
        <v>-1000</v>
      </c>
      <c r="CD614" s="47">
        <f t="shared" si="1954"/>
        <v>-1000</v>
      </c>
      <c r="CE614" s="47">
        <f t="shared" si="1954"/>
        <v>-1000</v>
      </c>
      <c r="CF614" s="47">
        <f t="shared" si="1954"/>
        <v>-1000</v>
      </c>
      <c r="CG614" s="47">
        <f t="shared" si="1954"/>
        <v>-1000</v>
      </c>
      <c r="CH614" s="47">
        <f t="shared" si="1954"/>
        <v>-1000</v>
      </c>
      <c r="CI614" s="47">
        <f t="shared" si="1954"/>
        <v>-1000</v>
      </c>
      <c r="CJ614" s="47">
        <f t="shared" si="1954"/>
        <v>-1000</v>
      </c>
      <c r="CK614" s="47">
        <f t="shared" si="1954"/>
        <v>-1000</v>
      </c>
      <c r="CL614" s="47">
        <f t="shared" si="1954"/>
        <v>-1000</v>
      </c>
      <c r="CM614" s="47">
        <f t="shared" si="1954"/>
        <v>-1000</v>
      </c>
      <c r="CN614" s="47">
        <f t="shared" si="1954"/>
        <v>-1000</v>
      </c>
      <c r="CO614" s="47">
        <f t="shared" si="1954"/>
        <v>-1000</v>
      </c>
      <c r="CP614" s="47">
        <f t="shared" si="1954"/>
        <v>-1000</v>
      </c>
      <c r="CQ614" s="47">
        <f t="shared" si="1954"/>
        <v>-1000</v>
      </c>
      <c r="CR614" s="47"/>
      <c r="CS614" s="47"/>
      <c r="CT614" s="47"/>
      <c r="CU614" s="50" t="str">
        <f>IFERROR(__xludf.DUMMYFUNCTION("""COMPUTED_VALUE"""),"9474 Dartridge
Dallas, TX 75238           ")</f>
        <v>9474 Dartridge
Dallas, TX 75238           </v>
      </c>
      <c r="CV614" s="51">
        <f>IFERROR(__xludf.DUMMYFUNCTION("IF(REGEXMATCH(UPPER(CU614), ""TX""),0,1)"),0.0)</f>
        <v>0</v>
      </c>
      <c r="CW614" s="51">
        <f>IFERROR(__xludf.DUMMYFUNCTION("IF(REGEXMATCH(UPPER(CU614), ""DALLAS""),0,1)"),0.0)</f>
        <v>0</v>
      </c>
      <c r="CX614" s="51">
        <f t="shared" si="17"/>
        <v>0</v>
      </c>
      <c r="CY614" s="51">
        <f t="shared" si="18"/>
        <v>0</v>
      </c>
      <c r="CZ614" s="52" t="str">
        <f t="shared" si="19"/>
        <v/>
      </c>
      <c r="DA614" s="58"/>
      <c r="DB614" s="52"/>
      <c r="DC614" s="52"/>
      <c r="DD614" s="52"/>
      <c r="DE614" s="52"/>
      <c r="DF614" s="52"/>
      <c r="DG614" s="52"/>
      <c r="DH614" s="52"/>
      <c r="DI614" s="52"/>
      <c r="DJ614" s="52"/>
      <c r="DK614" s="52"/>
      <c r="DL614" s="52"/>
      <c r="DM614" s="52"/>
      <c r="DN614" s="52"/>
      <c r="DO614" s="52"/>
      <c r="DP614" s="52"/>
      <c r="DQ614" s="52"/>
      <c r="DR614" s="52"/>
      <c r="DS614" s="52"/>
      <c r="DT614" s="52"/>
      <c r="DU614" s="52"/>
      <c r="DV614" s="52"/>
      <c r="DW614" s="52"/>
    </row>
    <row r="615">
      <c r="A615" s="40" t="s">
        <v>55</v>
      </c>
      <c r="B615" s="41" t="s">
        <v>56</v>
      </c>
      <c r="C615" s="31" t="s">
        <v>1648</v>
      </c>
      <c r="D615" s="25" t="str">
        <f>IFERROR(__xludf.DUMMYFUNCTION("SPLIT(C615,"" "")"),"Starr,")</f>
        <v>Starr,</v>
      </c>
      <c r="E615" s="40" t="str">
        <f>IFERROR(__xludf.DUMMYFUNCTION("""COMPUTED_VALUE"""),"Heidi
6713")</f>
        <v>Heidi
6713</v>
      </c>
      <c r="F615" s="40" t="str">
        <f>IFERROR(__xludf.DUMMYFUNCTION("""COMPUTED_VALUE"""),"Avalon")</f>
        <v>Avalon</v>
      </c>
      <c r="G615" s="40" t="str">
        <f>IFERROR(__xludf.DUMMYFUNCTION("""COMPUTED_VALUE"""),"Ave
Dallas,")</f>
        <v>Ave
Dallas,</v>
      </c>
      <c r="H615" s="40" t="str">
        <f>IFERROR(__xludf.DUMMYFUNCTION("""COMPUTED_VALUE"""),"TX")</f>
        <v>TX</v>
      </c>
      <c r="I615" s="40">
        <f>IFERROR(__xludf.DUMMYFUNCTION("""COMPUTED_VALUE"""),75214.0)</f>
        <v>75214</v>
      </c>
      <c r="J615" s="40"/>
      <c r="K615" s="40"/>
      <c r="L615" s="40"/>
      <c r="M615" s="40"/>
      <c r="N615" s="40"/>
      <c r="O615" s="40"/>
      <c r="P615" s="40"/>
      <c r="Q615" s="40"/>
      <c r="R615" s="40"/>
      <c r="S615" s="40"/>
      <c r="T615" s="40"/>
      <c r="U615" s="24" t="str">
        <f>IFERROR(__xludf.DUMMYFUNCTION("SPLIT(E615,""01234567890"")"),"Heidi
")</f>
        <v>Heidi
</v>
      </c>
      <c r="V615" s="24" t="str">
        <f>IFERROR(__xludf.DUMMYFUNCTION("SPLIT(D615,"","")"),"Starr")</f>
        <v>Starr</v>
      </c>
      <c r="W615" s="25" t="str">
        <f t="shared" si="1"/>
        <v>HEIDI
 STARR</v>
      </c>
      <c r="X615" s="25" t="s">
        <v>1649</v>
      </c>
      <c r="Y615" s="25">
        <v>75214.0</v>
      </c>
      <c r="Z615" s="25" t="str">
        <f>IFERROR(__xludf.DUMMYFUNCTION("SPLIT(C615,""
"")"),"Starr, Heidi")</f>
        <v>Starr, Heidi</v>
      </c>
      <c r="AA615" s="25" t="str">
        <f>IFERROR(__xludf.DUMMYFUNCTION("""COMPUTED_VALUE"""),"6713 Avalon Ave")</f>
        <v>6713 Avalon Ave</v>
      </c>
      <c r="AB615" s="25" t="str">
        <f>IFERROR(__xludf.DUMMYFUNCTION("""COMPUTED_VALUE"""),"Dallas, TX 75214")</f>
        <v>Dallas, TX 75214</v>
      </c>
      <c r="AC615" s="24" t="s">
        <v>1650</v>
      </c>
      <c r="AD615" s="25"/>
      <c r="AE615" s="25"/>
      <c r="AF615" s="25"/>
      <c r="AG615" s="40" t="s">
        <v>60</v>
      </c>
      <c r="AH615" s="42">
        <v>2448.0</v>
      </c>
      <c r="AI615" s="40" t="s">
        <v>61</v>
      </c>
      <c r="AJ615" s="27">
        <v>250.0</v>
      </c>
      <c r="AK615" s="31" t="s">
        <v>24</v>
      </c>
      <c r="AL615" s="43">
        <v>44727.0</v>
      </c>
      <c r="AM615" s="44">
        <v>44757.44018518519</v>
      </c>
      <c r="AN615" s="30">
        <v>2.0</v>
      </c>
      <c r="AO615" s="40"/>
      <c r="AP615" s="40"/>
      <c r="AQ615" s="40"/>
      <c r="AR615" s="40"/>
      <c r="AS615" s="40"/>
      <c r="AT615" s="47"/>
      <c r="AU615" s="40"/>
      <c r="AV615" s="46" t="str">
        <f>IFERROR(__xludf.DUMMYFUNCTION("""COMPUTED_VALUE"""),"Silva")</f>
        <v>Silva</v>
      </c>
      <c r="AW615" s="46">
        <f t="shared" si="7"/>
        <v>50</v>
      </c>
      <c r="AX615" s="47">
        <f t="shared" ref="AX615:BQ615" si="1955">SUMIFS($AJ:$AJ,$V:$V,$AV615,$AK:$AK,AX$2)</f>
        <v>0</v>
      </c>
      <c r="AY615" s="48">
        <f t="shared" si="1955"/>
        <v>0</v>
      </c>
      <c r="AZ615" s="48">
        <f t="shared" si="1955"/>
        <v>0</v>
      </c>
      <c r="BA615" s="48">
        <f t="shared" si="1955"/>
        <v>0</v>
      </c>
      <c r="BB615" s="48">
        <f t="shared" si="1955"/>
        <v>50</v>
      </c>
      <c r="BC615" s="48">
        <f t="shared" si="1955"/>
        <v>0</v>
      </c>
      <c r="BD615" s="48">
        <f t="shared" si="1955"/>
        <v>0</v>
      </c>
      <c r="BE615" s="48">
        <f t="shared" si="1955"/>
        <v>0</v>
      </c>
      <c r="BF615" s="48">
        <f t="shared" si="1955"/>
        <v>0</v>
      </c>
      <c r="BG615" s="48">
        <f t="shared" si="1955"/>
        <v>0</v>
      </c>
      <c r="BH615" s="48">
        <f t="shared" si="1955"/>
        <v>0</v>
      </c>
      <c r="BI615" s="48">
        <f t="shared" si="1955"/>
        <v>0</v>
      </c>
      <c r="BJ615" s="48">
        <f t="shared" si="1955"/>
        <v>0</v>
      </c>
      <c r="BK615" s="48">
        <f t="shared" si="1955"/>
        <v>0</v>
      </c>
      <c r="BL615" s="48">
        <f t="shared" si="1955"/>
        <v>0</v>
      </c>
      <c r="BM615" s="48">
        <f t="shared" si="1955"/>
        <v>0</v>
      </c>
      <c r="BN615" s="48">
        <f t="shared" si="1955"/>
        <v>0</v>
      </c>
      <c r="BO615" s="48">
        <f t="shared" si="1955"/>
        <v>0</v>
      </c>
      <c r="BP615" s="48">
        <f t="shared" si="1955"/>
        <v>0</v>
      </c>
      <c r="BQ615" s="48">
        <f t="shared" si="1955"/>
        <v>0</v>
      </c>
      <c r="BR615" s="36">
        <f t="shared" si="9"/>
        <v>0</v>
      </c>
      <c r="BS615" s="38">
        <f t="shared" si="10"/>
        <v>1</v>
      </c>
      <c r="BT615" s="49">
        <f t="shared" si="11"/>
        <v>0</v>
      </c>
      <c r="BU615" s="38">
        <f t="shared" si="12"/>
        <v>1000</v>
      </c>
      <c r="BV615" s="46" t="str">
        <f>IFERROR(__xludf.DUMMYFUNCTION("""COMPUTED_VALUE"""),"Silva")</f>
        <v>Silva</v>
      </c>
      <c r="BW615" s="46">
        <f t="shared" si="13"/>
        <v>50</v>
      </c>
      <c r="BX615" s="47">
        <f t="shared" ref="BX615:CA615" si="1956">AX615-$BU615</f>
        <v>-1000</v>
      </c>
      <c r="BY615" s="47">
        <f t="shared" si="1956"/>
        <v>-1000</v>
      </c>
      <c r="BZ615" s="47">
        <f t="shared" si="1956"/>
        <v>-1000</v>
      </c>
      <c r="CA615" s="47">
        <f t="shared" si="1956"/>
        <v>-1000</v>
      </c>
      <c r="CB615" s="47">
        <f t="shared" si="15"/>
        <v>-9950</v>
      </c>
      <c r="CC615" s="47">
        <f t="shared" ref="CC615:CQ615" si="1957">BC615-$BU615</f>
        <v>-1000</v>
      </c>
      <c r="CD615" s="47">
        <f t="shared" si="1957"/>
        <v>-1000</v>
      </c>
      <c r="CE615" s="47">
        <f t="shared" si="1957"/>
        <v>-1000</v>
      </c>
      <c r="CF615" s="47">
        <f t="shared" si="1957"/>
        <v>-1000</v>
      </c>
      <c r="CG615" s="47">
        <f t="shared" si="1957"/>
        <v>-1000</v>
      </c>
      <c r="CH615" s="47">
        <f t="shared" si="1957"/>
        <v>-1000</v>
      </c>
      <c r="CI615" s="47">
        <f t="shared" si="1957"/>
        <v>-1000</v>
      </c>
      <c r="CJ615" s="47">
        <f t="shared" si="1957"/>
        <v>-1000</v>
      </c>
      <c r="CK615" s="47">
        <f t="shared" si="1957"/>
        <v>-1000</v>
      </c>
      <c r="CL615" s="47">
        <f t="shared" si="1957"/>
        <v>-1000</v>
      </c>
      <c r="CM615" s="47">
        <f t="shared" si="1957"/>
        <v>-1000</v>
      </c>
      <c r="CN615" s="47">
        <f t="shared" si="1957"/>
        <v>-1000</v>
      </c>
      <c r="CO615" s="47">
        <f t="shared" si="1957"/>
        <v>-1000</v>
      </c>
      <c r="CP615" s="47">
        <f t="shared" si="1957"/>
        <v>-1000</v>
      </c>
      <c r="CQ615" s="47">
        <f t="shared" si="1957"/>
        <v>-1000</v>
      </c>
      <c r="CR615" s="47"/>
      <c r="CS615" s="47"/>
      <c r="CT615" s="47"/>
      <c r="CU615" s="50" t="str">
        <f>IFERROR(__xludf.DUMMYFUNCTION("""COMPUTED_VALUE"""),"9225 Royalpine Dr,
Dallas, TX 75238          ")</f>
        <v>9225 Royalpine Dr,
Dallas, TX 75238          </v>
      </c>
      <c r="CV615" s="51">
        <f>IFERROR(__xludf.DUMMYFUNCTION("IF(REGEXMATCH(UPPER(CU615), ""TX""),0,1)"),0.0)</f>
        <v>0</v>
      </c>
      <c r="CW615" s="51">
        <f>IFERROR(__xludf.DUMMYFUNCTION("IF(REGEXMATCH(UPPER(CU615), ""DALLAS""),0,1)"),0.0)</f>
        <v>0</v>
      </c>
      <c r="CX615" s="51">
        <f t="shared" si="17"/>
        <v>0</v>
      </c>
      <c r="CY615" s="51">
        <f t="shared" si="18"/>
        <v>0</v>
      </c>
      <c r="CZ615" s="52" t="str">
        <f t="shared" si="19"/>
        <v/>
      </c>
      <c r="DA615" s="58"/>
      <c r="DB615" s="52"/>
      <c r="DC615" s="52"/>
      <c r="DD615" s="52"/>
      <c r="DE615" s="52"/>
      <c r="DF615" s="52"/>
      <c r="DG615" s="52"/>
      <c r="DH615" s="52"/>
      <c r="DI615" s="52"/>
      <c r="DJ615" s="52"/>
      <c r="DK615" s="52"/>
      <c r="DL615" s="52"/>
      <c r="DM615" s="52"/>
      <c r="DN615" s="52"/>
      <c r="DO615" s="52"/>
      <c r="DP615" s="52"/>
      <c r="DQ615" s="52"/>
      <c r="DR615" s="52"/>
      <c r="DS615" s="52"/>
      <c r="DT615" s="52"/>
      <c r="DU615" s="52"/>
      <c r="DV615" s="52"/>
      <c r="DW615" s="52"/>
    </row>
    <row r="616">
      <c r="A616" s="22" t="s">
        <v>55</v>
      </c>
      <c r="B616" s="23" t="s">
        <v>56</v>
      </c>
      <c r="C616" s="31" t="s">
        <v>1651</v>
      </c>
      <c r="D616" s="25" t="str">
        <f>IFERROR(__xludf.DUMMYFUNCTION("SPLIT(C616,"" "")"),"Kotvis,")</f>
        <v>Kotvis,</v>
      </c>
      <c r="E616" s="22" t="str">
        <f>IFERROR(__xludf.DUMMYFUNCTION("""COMPUTED_VALUE"""),"Jill
6620")</f>
        <v>Jill
6620</v>
      </c>
      <c r="F616" s="22" t="str">
        <f>IFERROR(__xludf.DUMMYFUNCTION("""COMPUTED_VALUE"""),"Yosemite
Dallas,")</f>
        <v>Yosemite
Dallas,</v>
      </c>
      <c r="G616" s="22" t="str">
        <f>IFERROR(__xludf.DUMMYFUNCTION("""COMPUTED_VALUE"""),"TX")</f>
        <v>TX</v>
      </c>
      <c r="H616" s="22">
        <f>IFERROR(__xludf.DUMMYFUNCTION("""COMPUTED_VALUE"""),75214.0)</f>
        <v>75214</v>
      </c>
      <c r="I616" s="22"/>
      <c r="J616" s="22"/>
      <c r="K616" s="22"/>
      <c r="L616" s="22"/>
      <c r="M616" s="22"/>
      <c r="N616" s="22"/>
      <c r="O616" s="22"/>
      <c r="P616" s="22"/>
      <c r="Q616" s="22"/>
      <c r="R616" s="22"/>
      <c r="S616" s="22"/>
      <c r="T616" s="22"/>
      <c r="U616" s="24" t="str">
        <f>IFERROR(__xludf.DUMMYFUNCTION("SPLIT(E616,""01234567890"")"),"Jill
")</f>
        <v>Jill
</v>
      </c>
      <c r="V616" s="24" t="str">
        <f>IFERROR(__xludf.DUMMYFUNCTION("SPLIT(D616,"","")"),"Kotvis")</f>
        <v>Kotvis</v>
      </c>
      <c r="W616" s="25" t="str">
        <f t="shared" si="1"/>
        <v>JILL
 KOTVIS</v>
      </c>
      <c r="X616" s="25" t="s">
        <v>1652</v>
      </c>
      <c r="Y616" s="25">
        <v>75214.0</v>
      </c>
      <c r="Z616" s="25" t="str">
        <f>IFERROR(__xludf.DUMMYFUNCTION("SPLIT(C616,""
"")"),"Kotvis, Jill")</f>
        <v>Kotvis, Jill</v>
      </c>
      <c r="AA616" s="25" t="str">
        <f>IFERROR(__xludf.DUMMYFUNCTION("""COMPUTED_VALUE"""),"6620 Yosemite")</f>
        <v>6620 Yosemite</v>
      </c>
      <c r="AB616" s="25" t="str">
        <f>IFERROR(__xludf.DUMMYFUNCTION("""COMPUTED_VALUE"""),"Dallas, TX 75214")</f>
        <v>Dallas, TX 75214</v>
      </c>
      <c r="AC616" s="24" t="s">
        <v>1653</v>
      </c>
      <c r="AD616" s="25"/>
      <c r="AE616" s="25"/>
      <c r="AF616" s="25"/>
      <c r="AG616" s="22" t="s">
        <v>60</v>
      </c>
      <c r="AH616" s="54">
        <v>2448.0</v>
      </c>
      <c r="AI616" s="22" t="s">
        <v>61</v>
      </c>
      <c r="AJ616" s="27">
        <v>500.0</v>
      </c>
      <c r="AK616" s="31" t="s">
        <v>24</v>
      </c>
      <c r="AL616" s="28">
        <v>44733.0</v>
      </c>
      <c r="AM616" s="29">
        <v>44757.44018518519</v>
      </c>
      <c r="AN616" s="30">
        <v>2.0</v>
      </c>
      <c r="AO616" s="22"/>
      <c r="AP616" s="22"/>
      <c r="AQ616" s="22"/>
      <c r="AR616" s="22"/>
      <c r="AS616" s="22"/>
      <c r="AT616" s="70"/>
      <c r="AU616" s="22"/>
      <c r="AV616" s="57" t="str">
        <f>IFERROR(__xludf.DUMMYFUNCTION("""COMPUTED_VALUE"""),"Syed")</f>
        <v>Syed</v>
      </c>
      <c r="AW616" s="46">
        <f t="shared" si="7"/>
        <v>100</v>
      </c>
      <c r="AX616" s="47">
        <f t="shared" ref="AX616:BQ616" si="1958">SUMIFS($AJ:$AJ,$V:$V,$AV616,$AK:$AK,AX$2)</f>
        <v>0</v>
      </c>
      <c r="AY616" s="48">
        <f t="shared" si="1958"/>
        <v>0</v>
      </c>
      <c r="AZ616" s="48">
        <f t="shared" si="1958"/>
        <v>0</v>
      </c>
      <c r="BA616" s="48">
        <f t="shared" si="1958"/>
        <v>0</v>
      </c>
      <c r="BB616" s="48">
        <f t="shared" si="1958"/>
        <v>100</v>
      </c>
      <c r="BC616" s="48">
        <f t="shared" si="1958"/>
        <v>0</v>
      </c>
      <c r="BD616" s="48">
        <f t="shared" si="1958"/>
        <v>0</v>
      </c>
      <c r="BE616" s="48">
        <f t="shared" si="1958"/>
        <v>0</v>
      </c>
      <c r="BF616" s="48">
        <f t="shared" si="1958"/>
        <v>0</v>
      </c>
      <c r="BG616" s="48">
        <f t="shared" si="1958"/>
        <v>0</v>
      </c>
      <c r="BH616" s="48">
        <f t="shared" si="1958"/>
        <v>0</v>
      </c>
      <c r="BI616" s="48">
        <f t="shared" si="1958"/>
        <v>0</v>
      </c>
      <c r="BJ616" s="48">
        <f t="shared" si="1958"/>
        <v>0</v>
      </c>
      <c r="BK616" s="48">
        <f t="shared" si="1958"/>
        <v>0</v>
      </c>
      <c r="BL616" s="48">
        <f t="shared" si="1958"/>
        <v>0</v>
      </c>
      <c r="BM616" s="48">
        <f t="shared" si="1958"/>
        <v>0</v>
      </c>
      <c r="BN616" s="48">
        <f t="shared" si="1958"/>
        <v>0</v>
      </c>
      <c r="BO616" s="48">
        <f t="shared" si="1958"/>
        <v>0</v>
      </c>
      <c r="BP616" s="48">
        <f t="shared" si="1958"/>
        <v>0</v>
      </c>
      <c r="BQ616" s="48">
        <f t="shared" si="1958"/>
        <v>0</v>
      </c>
      <c r="BR616" s="36">
        <f t="shared" si="9"/>
        <v>0</v>
      </c>
      <c r="BS616" s="38">
        <f t="shared" si="10"/>
        <v>1</v>
      </c>
      <c r="BT616" s="49">
        <f t="shared" si="11"/>
        <v>0</v>
      </c>
      <c r="BU616" s="38">
        <f t="shared" si="12"/>
        <v>1000</v>
      </c>
      <c r="BV616" s="57" t="str">
        <f>IFERROR(__xludf.DUMMYFUNCTION("""COMPUTED_VALUE"""),"Syed")</f>
        <v>Syed</v>
      </c>
      <c r="BW616" s="46">
        <f t="shared" si="13"/>
        <v>100</v>
      </c>
      <c r="BX616" s="47">
        <f t="shared" ref="BX616:CA616" si="1959">AX616-$BU616</f>
        <v>-1000</v>
      </c>
      <c r="BY616" s="47">
        <f t="shared" si="1959"/>
        <v>-1000</v>
      </c>
      <c r="BZ616" s="47">
        <f t="shared" si="1959"/>
        <v>-1000</v>
      </c>
      <c r="CA616" s="47">
        <f t="shared" si="1959"/>
        <v>-1000</v>
      </c>
      <c r="CB616" s="47">
        <f t="shared" si="15"/>
        <v>-9900</v>
      </c>
      <c r="CC616" s="47">
        <f t="shared" ref="CC616:CQ616" si="1960">BC616-$BU616</f>
        <v>-1000</v>
      </c>
      <c r="CD616" s="47">
        <f t="shared" si="1960"/>
        <v>-1000</v>
      </c>
      <c r="CE616" s="47">
        <f t="shared" si="1960"/>
        <v>-1000</v>
      </c>
      <c r="CF616" s="47">
        <f t="shared" si="1960"/>
        <v>-1000</v>
      </c>
      <c r="CG616" s="47">
        <f t="shared" si="1960"/>
        <v>-1000</v>
      </c>
      <c r="CH616" s="47">
        <f t="shared" si="1960"/>
        <v>-1000</v>
      </c>
      <c r="CI616" s="47">
        <f t="shared" si="1960"/>
        <v>-1000</v>
      </c>
      <c r="CJ616" s="47">
        <f t="shared" si="1960"/>
        <v>-1000</v>
      </c>
      <c r="CK616" s="47">
        <f t="shared" si="1960"/>
        <v>-1000</v>
      </c>
      <c r="CL616" s="47">
        <f t="shared" si="1960"/>
        <v>-1000</v>
      </c>
      <c r="CM616" s="47">
        <f t="shared" si="1960"/>
        <v>-1000</v>
      </c>
      <c r="CN616" s="47">
        <f t="shared" si="1960"/>
        <v>-1000</v>
      </c>
      <c r="CO616" s="47">
        <f t="shared" si="1960"/>
        <v>-1000</v>
      </c>
      <c r="CP616" s="47">
        <f t="shared" si="1960"/>
        <v>-1000</v>
      </c>
      <c r="CQ616" s="47">
        <f t="shared" si="1960"/>
        <v>-1000</v>
      </c>
      <c r="CR616" s="47"/>
      <c r="CS616" s="47"/>
      <c r="CT616" s="47"/>
      <c r="CU616" s="50" t="str">
        <f>IFERROR(__xludf.DUMMYFUNCTION("""COMPUTED_VALUE"""),"
 Box 38298
Dallas, TX 75238          ")</f>
        <v>
 Box 38298
Dallas, TX 75238          </v>
      </c>
      <c r="CV616" s="51">
        <f>IFERROR(__xludf.DUMMYFUNCTION("IF(REGEXMATCH(UPPER(CU616), ""TX""),0,1)"),0.0)</f>
        <v>0</v>
      </c>
      <c r="CW616" s="51">
        <f>IFERROR(__xludf.DUMMYFUNCTION("IF(REGEXMATCH(UPPER(CU616), ""DALLAS""),0,1)"),0.0)</f>
        <v>0</v>
      </c>
      <c r="CX616" s="51">
        <f t="shared" si="17"/>
        <v>0</v>
      </c>
      <c r="CY616" s="51">
        <f t="shared" si="18"/>
        <v>0</v>
      </c>
      <c r="CZ616" s="52" t="str">
        <f t="shared" si="19"/>
        <v/>
      </c>
      <c r="DA616" s="58"/>
      <c r="DB616" s="52"/>
      <c r="DC616" s="52"/>
      <c r="DD616" s="52"/>
      <c r="DE616" s="52"/>
      <c r="DF616" s="52"/>
      <c r="DG616" s="52"/>
      <c r="DH616" s="52"/>
      <c r="DI616" s="52"/>
      <c r="DJ616" s="52"/>
      <c r="DK616" s="52"/>
      <c r="DL616" s="52"/>
      <c r="DM616" s="52"/>
      <c r="DN616" s="52"/>
      <c r="DO616" s="52"/>
      <c r="DP616" s="52"/>
      <c r="DQ616" s="52"/>
      <c r="DR616" s="52"/>
      <c r="DS616" s="52"/>
      <c r="DT616" s="52"/>
      <c r="DU616" s="52"/>
      <c r="DV616" s="52"/>
      <c r="DW616" s="52"/>
    </row>
    <row r="617">
      <c r="A617" s="40" t="s">
        <v>55</v>
      </c>
      <c r="B617" s="41" t="s">
        <v>56</v>
      </c>
      <c r="C617" s="31" t="s">
        <v>1654</v>
      </c>
      <c r="D617" s="25" t="str">
        <f>IFERROR(__xludf.DUMMYFUNCTION("SPLIT(C617,"" "")"),"Rawlings,")</f>
        <v>Rawlings,</v>
      </c>
      <c r="E617" s="40" t="str">
        <f>IFERROR(__xludf.DUMMYFUNCTION("""COMPUTED_VALUE"""),"Margaret
10434")</f>
        <v>Margaret
10434</v>
      </c>
      <c r="F617" s="40" t="str">
        <f>IFERROR(__xludf.DUMMYFUNCTION("""COMPUTED_VALUE"""),"Lennox")</f>
        <v>Lennox</v>
      </c>
      <c r="G617" s="40" t="str">
        <f>IFERROR(__xludf.DUMMYFUNCTION("""COMPUTED_VALUE"""),"Lane
Dallas,")</f>
        <v>Lane
Dallas,</v>
      </c>
      <c r="H617" s="40" t="str">
        <f>IFERROR(__xludf.DUMMYFUNCTION("""COMPUTED_VALUE"""),"TX")</f>
        <v>TX</v>
      </c>
      <c r="I617" s="40">
        <f>IFERROR(__xludf.DUMMYFUNCTION("""COMPUTED_VALUE"""),75229.0)</f>
        <v>75229</v>
      </c>
      <c r="J617" s="40"/>
      <c r="K617" s="40"/>
      <c r="L617" s="40"/>
      <c r="M617" s="40"/>
      <c r="N617" s="40"/>
      <c r="O617" s="40"/>
      <c r="P617" s="40"/>
      <c r="Q617" s="40"/>
      <c r="R617" s="40"/>
      <c r="S617" s="40"/>
      <c r="T617" s="40"/>
      <c r="U617" s="24" t="str">
        <f>IFERROR(__xludf.DUMMYFUNCTION("SPLIT(E617,""01234567890"")"),"Margaret
")</f>
        <v>Margaret
</v>
      </c>
      <c r="V617" s="24" t="str">
        <f>IFERROR(__xludf.DUMMYFUNCTION("SPLIT(D617,"","")"),"Rawlings")</f>
        <v>Rawlings</v>
      </c>
      <c r="W617" s="25" t="str">
        <f t="shared" si="1"/>
        <v>MARGARET
 RAWLINGS</v>
      </c>
      <c r="X617" s="25" t="s">
        <v>1655</v>
      </c>
      <c r="Y617" s="25">
        <v>75229.0</v>
      </c>
      <c r="Z617" s="25" t="str">
        <f>IFERROR(__xludf.DUMMYFUNCTION("SPLIT(C617,""
"")"),"Rawlings, Margaret")</f>
        <v>Rawlings, Margaret</v>
      </c>
      <c r="AA617" s="25" t="str">
        <f>IFERROR(__xludf.DUMMYFUNCTION("""COMPUTED_VALUE"""),"10434 Lennox Lane")</f>
        <v>10434 Lennox Lane</v>
      </c>
      <c r="AB617" s="25" t="str">
        <f>IFERROR(__xludf.DUMMYFUNCTION("""COMPUTED_VALUE"""),"Dallas, TX 75229")</f>
        <v>Dallas, TX 75229</v>
      </c>
      <c r="AC617" s="24" t="s">
        <v>1656</v>
      </c>
      <c r="AD617" s="25"/>
      <c r="AE617" s="25"/>
      <c r="AF617" s="25"/>
      <c r="AG617" s="40" t="s">
        <v>60</v>
      </c>
      <c r="AH617" s="42">
        <v>2448.0</v>
      </c>
      <c r="AI617" s="40" t="s">
        <v>61</v>
      </c>
      <c r="AJ617" s="27">
        <v>1000.0</v>
      </c>
      <c r="AK617" s="31" t="s">
        <v>24</v>
      </c>
      <c r="AL617" s="43">
        <v>44733.0</v>
      </c>
      <c r="AM617" s="44">
        <v>44757.44018518519</v>
      </c>
      <c r="AN617" s="30">
        <v>2.0</v>
      </c>
      <c r="AO617" s="40"/>
      <c r="AP617" s="40"/>
      <c r="AQ617" s="40"/>
      <c r="AR617" s="40"/>
      <c r="AS617" s="40"/>
      <c r="AT617" s="47"/>
      <c r="AU617" s="40"/>
      <c r="AV617" s="46" t="str">
        <f>IFERROR(__xludf.DUMMYFUNCTION("""COMPUTED_VALUE"""),"Ford")</f>
        <v>Ford</v>
      </c>
      <c r="AW617" s="46">
        <f t="shared" si="7"/>
        <v>50</v>
      </c>
      <c r="AX617" s="47">
        <f t="shared" ref="AX617:BQ617" si="1961">SUMIFS($AJ:$AJ,$V:$V,$AV617,$AK:$AK,AX$2)</f>
        <v>0</v>
      </c>
      <c r="AY617" s="48">
        <f t="shared" si="1961"/>
        <v>0</v>
      </c>
      <c r="AZ617" s="48">
        <f t="shared" si="1961"/>
        <v>0</v>
      </c>
      <c r="BA617" s="48">
        <f t="shared" si="1961"/>
        <v>0</v>
      </c>
      <c r="BB617" s="48">
        <f t="shared" si="1961"/>
        <v>50</v>
      </c>
      <c r="BC617" s="48">
        <f t="shared" si="1961"/>
        <v>0</v>
      </c>
      <c r="BD617" s="48">
        <f t="shared" si="1961"/>
        <v>0</v>
      </c>
      <c r="BE617" s="48">
        <f t="shared" si="1961"/>
        <v>0</v>
      </c>
      <c r="BF617" s="48">
        <f t="shared" si="1961"/>
        <v>0</v>
      </c>
      <c r="BG617" s="48">
        <f t="shared" si="1961"/>
        <v>0</v>
      </c>
      <c r="BH617" s="48">
        <f t="shared" si="1961"/>
        <v>0</v>
      </c>
      <c r="BI617" s="48">
        <f t="shared" si="1961"/>
        <v>0</v>
      </c>
      <c r="BJ617" s="48">
        <f t="shared" si="1961"/>
        <v>0</v>
      </c>
      <c r="BK617" s="48">
        <f t="shared" si="1961"/>
        <v>0</v>
      </c>
      <c r="BL617" s="48">
        <f t="shared" si="1961"/>
        <v>0</v>
      </c>
      <c r="BM617" s="48">
        <f t="shared" si="1961"/>
        <v>0</v>
      </c>
      <c r="BN617" s="48">
        <f t="shared" si="1961"/>
        <v>0</v>
      </c>
      <c r="BO617" s="48">
        <f t="shared" si="1961"/>
        <v>0</v>
      </c>
      <c r="BP617" s="48">
        <f t="shared" si="1961"/>
        <v>0</v>
      </c>
      <c r="BQ617" s="48">
        <f t="shared" si="1961"/>
        <v>0</v>
      </c>
      <c r="BR617" s="36">
        <f t="shared" si="9"/>
        <v>0</v>
      </c>
      <c r="BS617" s="38">
        <f t="shared" si="10"/>
        <v>1</v>
      </c>
      <c r="BT617" s="49">
        <f t="shared" si="11"/>
        <v>0</v>
      </c>
      <c r="BU617" s="38">
        <f t="shared" si="12"/>
        <v>1000</v>
      </c>
      <c r="BV617" s="46" t="str">
        <f>IFERROR(__xludf.DUMMYFUNCTION("""COMPUTED_VALUE"""),"Ford")</f>
        <v>Ford</v>
      </c>
      <c r="BW617" s="46">
        <f t="shared" si="13"/>
        <v>50</v>
      </c>
      <c r="BX617" s="47">
        <f t="shared" ref="BX617:CA617" si="1962">AX617-$BU617</f>
        <v>-1000</v>
      </c>
      <c r="BY617" s="47">
        <f t="shared" si="1962"/>
        <v>-1000</v>
      </c>
      <c r="BZ617" s="47">
        <f t="shared" si="1962"/>
        <v>-1000</v>
      </c>
      <c r="CA617" s="47">
        <f t="shared" si="1962"/>
        <v>-1000</v>
      </c>
      <c r="CB617" s="47">
        <f t="shared" si="15"/>
        <v>-9950</v>
      </c>
      <c r="CC617" s="47">
        <f t="shared" ref="CC617:CQ617" si="1963">BC617-$BU617</f>
        <v>-1000</v>
      </c>
      <c r="CD617" s="47">
        <f t="shared" si="1963"/>
        <v>-1000</v>
      </c>
      <c r="CE617" s="47">
        <f t="shared" si="1963"/>
        <v>-1000</v>
      </c>
      <c r="CF617" s="47">
        <f t="shared" si="1963"/>
        <v>-1000</v>
      </c>
      <c r="CG617" s="47">
        <f t="shared" si="1963"/>
        <v>-1000</v>
      </c>
      <c r="CH617" s="47">
        <f t="shared" si="1963"/>
        <v>-1000</v>
      </c>
      <c r="CI617" s="47">
        <f t="shared" si="1963"/>
        <v>-1000</v>
      </c>
      <c r="CJ617" s="47">
        <f t="shared" si="1963"/>
        <v>-1000</v>
      </c>
      <c r="CK617" s="47">
        <f t="shared" si="1963"/>
        <v>-1000</v>
      </c>
      <c r="CL617" s="47">
        <f t="shared" si="1963"/>
        <v>-1000</v>
      </c>
      <c r="CM617" s="47">
        <f t="shared" si="1963"/>
        <v>-1000</v>
      </c>
      <c r="CN617" s="47">
        <f t="shared" si="1963"/>
        <v>-1000</v>
      </c>
      <c r="CO617" s="47">
        <f t="shared" si="1963"/>
        <v>-1000</v>
      </c>
      <c r="CP617" s="47">
        <f t="shared" si="1963"/>
        <v>-1000</v>
      </c>
      <c r="CQ617" s="47">
        <f t="shared" si="1963"/>
        <v>-1000</v>
      </c>
      <c r="CR617" s="47"/>
      <c r="CS617" s="47"/>
      <c r="CT617" s="47"/>
      <c r="CU617" s="50" t="str">
        <f>IFERROR(__xludf.DUMMYFUNCTION("""COMPUTED_VALUE"""),"roofing &amp; Construction LLC
6060 Chevelia Dr
Dallas, TX 75232-4159       ")</f>
        <v>roofing &amp; Construction LLC
6060 Chevelia Dr
Dallas, TX 75232-4159       </v>
      </c>
      <c r="CV617" s="51">
        <f>IFERROR(__xludf.DUMMYFUNCTION("IF(REGEXMATCH(UPPER(CU617), ""TX""),0,1)"),0.0)</f>
        <v>0</v>
      </c>
      <c r="CW617" s="51">
        <f>IFERROR(__xludf.DUMMYFUNCTION("IF(REGEXMATCH(UPPER(CU617), ""DALLAS""),0,1)"),0.0)</f>
        <v>0</v>
      </c>
      <c r="CX617" s="51">
        <f t="shared" si="17"/>
        <v>0</v>
      </c>
      <c r="CY617" s="51">
        <f t="shared" si="18"/>
        <v>0</v>
      </c>
      <c r="CZ617" s="52" t="str">
        <f t="shared" si="19"/>
        <v/>
      </c>
      <c r="DA617" s="58"/>
      <c r="DB617" s="52"/>
      <c r="DC617" s="52"/>
      <c r="DD617" s="52"/>
      <c r="DE617" s="52"/>
      <c r="DF617" s="52"/>
      <c r="DG617" s="52"/>
      <c r="DH617" s="52"/>
      <c r="DI617" s="52"/>
      <c r="DJ617" s="52"/>
      <c r="DK617" s="52"/>
      <c r="DL617" s="52"/>
      <c r="DM617" s="52"/>
      <c r="DN617" s="52"/>
      <c r="DO617" s="52"/>
      <c r="DP617" s="52"/>
      <c r="DQ617" s="52"/>
      <c r="DR617" s="52"/>
      <c r="DS617" s="52"/>
      <c r="DT617" s="52"/>
      <c r="DU617" s="52"/>
      <c r="DV617" s="52"/>
      <c r="DW617" s="52"/>
    </row>
    <row r="618">
      <c r="A618" s="22" t="s">
        <v>55</v>
      </c>
      <c r="B618" s="23" t="s">
        <v>56</v>
      </c>
      <c r="C618" s="31" t="s">
        <v>1657</v>
      </c>
      <c r="D618" s="25" t="str">
        <f>IFERROR(__xludf.DUMMYFUNCTION("SPLIT(C618,"" "")"),"Scovell,")</f>
        <v>Scovell,</v>
      </c>
      <c r="E618" s="22" t="str">
        <f>IFERROR(__xludf.DUMMYFUNCTION("""COMPUTED_VALUE"""),"T.")</f>
        <v>T.</v>
      </c>
      <c r="F618" s="22" t="str">
        <f>IFERROR(__xludf.DUMMYFUNCTION("""COMPUTED_VALUE"""),"Dupree
7034")</f>
        <v>Dupree
7034</v>
      </c>
      <c r="G618" s="22" t="str">
        <f>IFERROR(__xludf.DUMMYFUNCTION("""COMPUTED_VALUE"""),"Alexander")</f>
        <v>Alexander</v>
      </c>
      <c r="H618" s="22" t="str">
        <f>IFERROR(__xludf.DUMMYFUNCTION("""COMPUTED_VALUE"""),"Dr.
Dallas,")</f>
        <v>Dr.
Dallas,</v>
      </c>
      <c r="I618" s="22" t="str">
        <f>IFERROR(__xludf.DUMMYFUNCTION("""COMPUTED_VALUE"""),"TX")</f>
        <v>TX</v>
      </c>
      <c r="J618" s="22">
        <f>IFERROR(__xludf.DUMMYFUNCTION("""COMPUTED_VALUE"""),75214.0)</f>
        <v>75214</v>
      </c>
      <c r="K618" s="22"/>
      <c r="L618" s="22"/>
      <c r="M618" s="22"/>
      <c r="N618" s="22"/>
      <c r="O618" s="22"/>
      <c r="P618" s="22"/>
      <c r="Q618" s="22"/>
      <c r="R618" s="22"/>
      <c r="S618" s="22"/>
      <c r="T618" s="22"/>
      <c r="U618" s="24" t="str">
        <f>IFERROR(__xludf.DUMMYFUNCTION("SPLIT(E618,""01234567890"")"),"T.")</f>
        <v>T.</v>
      </c>
      <c r="V618" s="24" t="str">
        <f>IFERROR(__xludf.DUMMYFUNCTION("SPLIT(D618,"","")"),"Scovell")</f>
        <v>Scovell</v>
      </c>
      <c r="W618" s="25" t="str">
        <f t="shared" si="1"/>
        <v>T. SCOVELL</v>
      </c>
      <c r="X618" s="25" t="s">
        <v>1658</v>
      </c>
      <c r="Y618" s="25">
        <v>75214.0</v>
      </c>
      <c r="Z618" s="25" t="str">
        <f>IFERROR(__xludf.DUMMYFUNCTION("SPLIT(C618,""
"")"),"Scovell, T. Dupree")</f>
        <v>Scovell, T. Dupree</v>
      </c>
      <c r="AA618" s="25" t="str">
        <f>IFERROR(__xludf.DUMMYFUNCTION("""COMPUTED_VALUE"""),"7034 Alexander Dr.")</f>
        <v>7034 Alexander Dr.</v>
      </c>
      <c r="AB618" s="25" t="str">
        <f>IFERROR(__xludf.DUMMYFUNCTION("""COMPUTED_VALUE"""),"Dallas, TX 75214")</f>
        <v>Dallas, TX 75214</v>
      </c>
      <c r="AC618" s="24" t="s">
        <v>1659</v>
      </c>
      <c r="AD618" s="25"/>
      <c r="AE618" s="25"/>
      <c r="AF618" s="25"/>
      <c r="AG618" s="22" t="s">
        <v>60</v>
      </c>
      <c r="AH618" s="54">
        <v>2448.0</v>
      </c>
      <c r="AI618" s="22" t="s">
        <v>61</v>
      </c>
      <c r="AJ618" s="27">
        <v>500.0</v>
      </c>
      <c r="AK618" s="31" t="s">
        <v>24</v>
      </c>
      <c r="AL618" s="28">
        <v>44739.0</v>
      </c>
      <c r="AM618" s="29">
        <v>44757.44018518519</v>
      </c>
      <c r="AN618" s="30">
        <v>2.0</v>
      </c>
      <c r="AO618" s="22"/>
      <c r="AP618" s="22"/>
      <c r="AQ618" s="22"/>
      <c r="AR618" s="22"/>
      <c r="AS618" s="22"/>
      <c r="AT618" s="70"/>
      <c r="AU618" s="22"/>
      <c r="AV618" s="57" t="str">
        <f>IFERROR(__xludf.DUMMYFUNCTION("""COMPUTED_VALUE"""),"Garfield")</f>
        <v>Garfield</v>
      </c>
      <c r="AW618" s="46">
        <f t="shared" si="7"/>
        <v>250</v>
      </c>
      <c r="AX618" s="47">
        <f t="shared" ref="AX618:BQ618" si="1964">SUMIFS($AJ:$AJ,$V:$V,$AV618,$AK:$AK,AX$2)</f>
        <v>0</v>
      </c>
      <c r="AY618" s="48">
        <f t="shared" si="1964"/>
        <v>0</v>
      </c>
      <c r="AZ618" s="48">
        <f t="shared" si="1964"/>
        <v>0</v>
      </c>
      <c r="BA618" s="48">
        <f t="shared" si="1964"/>
        <v>0</v>
      </c>
      <c r="BB618" s="48">
        <f t="shared" si="1964"/>
        <v>250</v>
      </c>
      <c r="BC618" s="48">
        <f t="shared" si="1964"/>
        <v>0</v>
      </c>
      <c r="BD618" s="48">
        <f t="shared" si="1964"/>
        <v>0</v>
      </c>
      <c r="BE618" s="48">
        <f t="shared" si="1964"/>
        <v>0</v>
      </c>
      <c r="BF618" s="48">
        <f t="shared" si="1964"/>
        <v>0</v>
      </c>
      <c r="BG618" s="48">
        <f t="shared" si="1964"/>
        <v>0</v>
      </c>
      <c r="BH618" s="48">
        <f t="shared" si="1964"/>
        <v>0</v>
      </c>
      <c r="BI618" s="48">
        <f t="shared" si="1964"/>
        <v>0</v>
      </c>
      <c r="BJ618" s="48">
        <f t="shared" si="1964"/>
        <v>0</v>
      </c>
      <c r="BK618" s="48">
        <f t="shared" si="1964"/>
        <v>0</v>
      </c>
      <c r="BL618" s="48">
        <f t="shared" si="1964"/>
        <v>0</v>
      </c>
      <c r="BM618" s="48">
        <f t="shared" si="1964"/>
        <v>0</v>
      </c>
      <c r="BN618" s="48">
        <f t="shared" si="1964"/>
        <v>0</v>
      </c>
      <c r="BO618" s="48">
        <f t="shared" si="1964"/>
        <v>0</v>
      </c>
      <c r="BP618" s="48">
        <f t="shared" si="1964"/>
        <v>0</v>
      </c>
      <c r="BQ618" s="48">
        <f t="shared" si="1964"/>
        <v>0</v>
      </c>
      <c r="BR618" s="36">
        <f t="shared" si="9"/>
        <v>0</v>
      </c>
      <c r="BS618" s="38">
        <f t="shared" si="10"/>
        <v>1</v>
      </c>
      <c r="BT618" s="49">
        <f t="shared" si="11"/>
        <v>0</v>
      </c>
      <c r="BU618" s="38">
        <f t="shared" si="12"/>
        <v>1000</v>
      </c>
      <c r="BV618" s="57" t="str">
        <f>IFERROR(__xludf.DUMMYFUNCTION("""COMPUTED_VALUE"""),"Garfield")</f>
        <v>Garfield</v>
      </c>
      <c r="BW618" s="46">
        <f t="shared" si="13"/>
        <v>250</v>
      </c>
      <c r="BX618" s="47">
        <f t="shared" ref="BX618:CA618" si="1965">AX618-$BU618</f>
        <v>-1000</v>
      </c>
      <c r="BY618" s="47">
        <f t="shared" si="1965"/>
        <v>-1000</v>
      </c>
      <c r="BZ618" s="47">
        <f t="shared" si="1965"/>
        <v>-1000</v>
      </c>
      <c r="CA618" s="47">
        <f t="shared" si="1965"/>
        <v>-1000</v>
      </c>
      <c r="CB618" s="47">
        <f t="shared" si="15"/>
        <v>-9750</v>
      </c>
      <c r="CC618" s="47">
        <f t="shared" ref="CC618:CQ618" si="1966">BC618-$BU618</f>
        <v>-1000</v>
      </c>
      <c r="CD618" s="47">
        <f t="shared" si="1966"/>
        <v>-1000</v>
      </c>
      <c r="CE618" s="47">
        <f t="shared" si="1966"/>
        <v>-1000</v>
      </c>
      <c r="CF618" s="47">
        <f t="shared" si="1966"/>
        <v>-1000</v>
      </c>
      <c r="CG618" s="47">
        <f t="shared" si="1966"/>
        <v>-1000</v>
      </c>
      <c r="CH618" s="47">
        <f t="shared" si="1966"/>
        <v>-1000</v>
      </c>
      <c r="CI618" s="47">
        <f t="shared" si="1966"/>
        <v>-1000</v>
      </c>
      <c r="CJ618" s="47">
        <f t="shared" si="1966"/>
        <v>-1000</v>
      </c>
      <c r="CK618" s="47">
        <f t="shared" si="1966"/>
        <v>-1000</v>
      </c>
      <c r="CL618" s="47">
        <f t="shared" si="1966"/>
        <v>-1000</v>
      </c>
      <c r="CM618" s="47">
        <f t="shared" si="1966"/>
        <v>-1000</v>
      </c>
      <c r="CN618" s="47">
        <f t="shared" si="1966"/>
        <v>-1000</v>
      </c>
      <c r="CO618" s="47">
        <f t="shared" si="1966"/>
        <v>-1000</v>
      </c>
      <c r="CP618" s="47">
        <f t="shared" si="1966"/>
        <v>-1000</v>
      </c>
      <c r="CQ618" s="47">
        <f t="shared" si="1966"/>
        <v>-1000</v>
      </c>
      <c r="CR618" s="47"/>
      <c r="CS618" s="47"/>
      <c r="CT618" s="47"/>
      <c r="CU618" s="50" t="str">
        <f>IFERROR(__xludf.DUMMYFUNCTION("""COMPUTED_VALUE"""),"2448 Club Manor Dr
Dallas, TX 75237-2702         ")</f>
        <v>2448 Club Manor Dr
Dallas, TX 75237-2702         </v>
      </c>
      <c r="CV618" s="51">
        <f>IFERROR(__xludf.DUMMYFUNCTION("IF(REGEXMATCH(UPPER(CU618), ""TX""),0,1)"),0.0)</f>
        <v>0</v>
      </c>
      <c r="CW618" s="51">
        <f>IFERROR(__xludf.DUMMYFUNCTION("IF(REGEXMATCH(UPPER(CU618), ""DALLAS""),0,1)"),0.0)</f>
        <v>0</v>
      </c>
      <c r="CX618" s="51">
        <f t="shared" si="17"/>
        <v>0</v>
      </c>
      <c r="CY618" s="51">
        <f t="shared" si="18"/>
        <v>0</v>
      </c>
      <c r="CZ618" s="52" t="str">
        <f t="shared" si="19"/>
        <v/>
      </c>
      <c r="DA618" s="58"/>
      <c r="DB618" s="52"/>
      <c r="DC618" s="52"/>
      <c r="DD618" s="52"/>
      <c r="DE618" s="52"/>
      <c r="DF618" s="52"/>
      <c r="DG618" s="52"/>
      <c r="DH618" s="52"/>
      <c r="DI618" s="52"/>
      <c r="DJ618" s="52"/>
      <c r="DK618" s="52"/>
      <c r="DL618" s="52"/>
      <c r="DM618" s="52"/>
      <c r="DN618" s="52"/>
      <c r="DO618" s="52"/>
      <c r="DP618" s="52"/>
      <c r="DQ618" s="52"/>
      <c r="DR618" s="52"/>
      <c r="DS618" s="52"/>
      <c r="DT618" s="52"/>
      <c r="DU618" s="52"/>
      <c r="DV618" s="52"/>
      <c r="DW618" s="52"/>
    </row>
    <row r="619">
      <c r="A619" s="40" t="s">
        <v>55</v>
      </c>
      <c r="B619" s="41" t="s">
        <v>56</v>
      </c>
      <c r="C619" s="31" t="s">
        <v>1660</v>
      </c>
      <c r="D619" s="25" t="str">
        <f>IFERROR(__xludf.DUMMYFUNCTION("SPLIT(C619,"" "")"),"Brewer,")</f>
        <v>Brewer,</v>
      </c>
      <c r="E619" s="40" t="str">
        <f>IFERROR(__xludf.DUMMYFUNCTION("""COMPUTED_VALUE"""),"Hilda
6429")</f>
        <v>Hilda
6429</v>
      </c>
      <c r="F619" s="40" t="str">
        <f>IFERROR(__xludf.DUMMYFUNCTION("""COMPUTED_VALUE"""),"McCommas")</f>
        <v>McCommas</v>
      </c>
      <c r="G619" s="40" t="str">
        <f>IFERROR(__xludf.DUMMYFUNCTION("""COMPUTED_VALUE"""),"Blvd
Dallas,")</f>
        <v>Blvd
Dallas,</v>
      </c>
      <c r="H619" s="40" t="str">
        <f>IFERROR(__xludf.DUMMYFUNCTION("""COMPUTED_VALUE"""),"TX")</f>
        <v>TX</v>
      </c>
      <c r="I619" s="40">
        <f>IFERROR(__xludf.DUMMYFUNCTION("""COMPUTED_VALUE"""),75214.0)</f>
        <v>75214</v>
      </c>
      <c r="J619" s="40"/>
      <c r="K619" s="40"/>
      <c r="L619" s="40"/>
      <c r="M619" s="40"/>
      <c r="N619" s="40"/>
      <c r="O619" s="40"/>
      <c r="P619" s="40"/>
      <c r="Q619" s="40"/>
      <c r="R619" s="40"/>
      <c r="S619" s="40"/>
      <c r="T619" s="40"/>
      <c r="U619" s="24" t="str">
        <f>IFERROR(__xludf.DUMMYFUNCTION("SPLIT(E619,""01234567890"")"),"Hilda
")</f>
        <v>Hilda
</v>
      </c>
      <c r="V619" s="24" t="str">
        <f>IFERROR(__xludf.DUMMYFUNCTION("SPLIT(D619,"","")"),"Brewer")</f>
        <v>Brewer</v>
      </c>
      <c r="W619" s="25" t="str">
        <f t="shared" si="1"/>
        <v>HILDA
 BREWER</v>
      </c>
      <c r="X619" s="25" t="s">
        <v>1661</v>
      </c>
      <c r="Y619" s="25">
        <v>75214.0</v>
      </c>
      <c r="Z619" s="25" t="str">
        <f>IFERROR(__xludf.DUMMYFUNCTION("SPLIT(C619,""
"")"),"Brewer, Hilda")</f>
        <v>Brewer, Hilda</v>
      </c>
      <c r="AA619" s="25" t="str">
        <f>IFERROR(__xludf.DUMMYFUNCTION("""COMPUTED_VALUE"""),"6429 McCommas Blvd")</f>
        <v>6429 McCommas Blvd</v>
      </c>
      <c r="AB619" s="25" t="str">
        <f>IFERROR(__xludf.DUMMYFUNCTION("""COMPUTED_VALUE"""),"Dallas, TX 75214")</f>
        <v>Dallas, TX 75214</v>
      </c>
      <c r="AC619" s="24" t="s">
        <v>1662</v>
      </c>
      <c r="AD619" s="25"/>
      <c r="AE619" s="25"/>
      <c r="AF619" s="25"/>
      <c r="AG619" s="40" t="s">
        <v>60</v>
      </c>
      <c r="AH619" s="42">
        <v>2448.0</v>
      </c>
      <c r="AI619" s="40" t="s">
        <v>61</v>
      </c>
      <c r="AJ619" s="27">
        <v>100.0</v>
      </c>
      <c r="AK619" s="31" t="s">
        <v>24</v>
      </c>
      <c r="AL619" s="43">
        <v>44740.0</v>
      </c>
      <c r="AM619" s="44">
        <v>44757.44018518519</v>
      </c>
      <c r="AN619" s="30">
        <v>2.0</v>
      </c>
      <c r="AO619" s="40"/>
      <c r="AP619" s="40"/>
      <c r="AQ619" s="40"/>
      <c r="AR619" s="40"/>
      <c r="AS619" s="40"/>
      <c r="AT619" s="47"/>
      <c r="AU619" s="40"/>
      <c r="AV619" s="46" t="str">
        <f>IFERROR(__xludf.DUMMYFUNCTION("""COMPUTED_VALUE"""),"Price")</f>
        <v>Price</v>
      </c>
      <c r="AW619" s="46">
        <f t="shared" si="7"/>
        <v>600</v>
      </c>
      <c r="AX619" s="47">
        <f t="shared" ref="AX619:BQ619" si="1967">SUMIFS($AJ:$AJ,$V:$V,$AV619,$AK:$AK,AX$2)</f>
        <v>0</v>
      </c>
      <c r="AY619" s="48">
        <f t="shared" si="1967"/>
        <v>0</v>
      </c>
      <c r="AZ619" s="48">
        <f t="shared" si="1967"/>
        <v>500</v>
      </c>
      <c r="BA619" s="48">
        <f t="shared" si="1967"/>
        <v>0</v>
      </c>
      <c r="BB619" s="48">
        <f t="shared" si="1967"/>
        <v>100</v>
      </c>
      <c r="BC619" s="48">
        <f t="shared" si="1967"/>
        <v>0</v>
      </c>
      <c r="BD619" s="48">
        <f t="shared" si="1967"/>
        <v>0</v>
      </c>
      <c r="BE619" s="48">
        <f t="shared" si="1967"/>
        <v>0</v>
      </c>
      <c r="BF619" s="48">
        <f t="shared" si="1967"/>
        <v>0</v>
      </c>
      <c r="BG619" s="48">
        <f t="shared" si="1967"/>
        <v>0</v>
      </c>
      <c r="BH619" s="48">
        <f t="shared" si="1967"/>
        <v>0</v>
      </c>
      <c r="BI619" s="48">
        <f t="shared" si="1967"/>
        <v>0</v>
      </c>
      <c r="BJ619" s="48">
        <f t="shared" si="1967"/>
        <v>0</v>
      </c>
      <c r="BK619" s="48">
        <f t="shared" si="1967"/>
        <v>0</v>
      </c>
      <c r="BL619" s="48">
        <f t="shared" si="1967"/>
        <v>0</v>
      </c>
      <c r="BM619" s="48">
        <f t="shared" si="1967"/>
        <v>0</v>
      </c>
      <c r="BN619" s="48">
        <f t="shared" si="1967"/>
        <v>0</v>
      </c>
      <c r="BO619" s="48">
        <f t="shared" si="1967"/>
        <v>0</v>
      </c>
      <c r="BP619" s="48">
        <f t="shared" si="1967"/>
        <v>0</v>
      </c>
      <c r="BQ619" s="48">
        <f t="shared" si="1967"/>
        <v>0</v>
      </c>
      <c r="BR619" s="36">
        <f t="shared" si="9"/>
        <v>1</v>
      </c>
      <c r="BS619" s="38">
        <f t="shared" si="10"/>
        <v>2</v>
      </c>
      <c r="BT619" s="49">
        <f t="shared" si="11"/>
        <v>0</v>
      </c>
      <c r="BU619" s="38">
        <f t="shared" si="12"/>
        <v>2000</v>
      </c>
      <c r="BV619" s="46" t="str">
        <f>IFERROR(__xludf.DUMMYFUNCTION("""COMPUTED_VALUE"""),"Price")</f>
        <v>Price</v>
      </c>
      <c r="BW619" s="46">
        <f t="shared" si="13"/>
        <v>600</v>
      </c>
      <c r="BX619" s="47">
        <f t="shared" ref="BX619:CA619" si="1968">AX619-$BU619</f>
        <v>-2000</v>
      </c>
      <c r="BY619" s="47">
        <f t="shared" si="1968"/>
        <v>-2000</v>
      </c>
      <c r="BZ619" s="47">
        <f t="shared" si="1968"/>
        <v>-1500</v>
      </c>
      <c r="CA619" s="47">
        <f t="shared" si="1968"/>
        <v>-2000</v>
      </c>
      <c r="CB619" s="47">
        <f t="shared" si="15"/>
        <v>-19900</v>
      </c>
      <c r="CC619" s="47">
        <f t="shared" ref="CC619:CQ619" si="1969">BC619-$BU619</f>
        <v>-2000</v>
      </c>
      <c r="CD619" s="47">
        <f t="shared" si="1969"/>
        <v>-2000</v>
      </c>
      <c r="CE619" s="47">
        <f t="shared" si="1969"/>
        <v>-2000</v>
      </c>
      <c r="CF619" s="47">
        <f t="shared" si="1969"/>
        <v>-2000</v>
      </c>
      <c r="CG619" s="47">
        <f t="shared" si="1969"/>
        <v>-2000</v>
      </c>
      <c r="CH619" s="47">
        <f t="shared" si="1969"/>
        <v>-2000</v>
      </c>
      <c r="CI619" s="47">
        <f t="shared" si="1969"/>
        <v>-2000</v>
      </c>
      <c r="CJ619" s="47">
        <f t="shared" si="1969"/>
        <v>-2000</v>
      </c>
      <c r="CK619" s="47">
        <f t="shared" si="1969"/>
        <v>-2000</v>
      </c>
      <c r="CL619" s="47">
        <f t="shared" si="1969"/>
        <v>-2000</v>
      </c>
      <c r="CM619" s="47">
        <f t="shared" si="1969"/>
        <v>-2000</v>
      </c>
      <c r="CN619" s="47">
        <f t="shared" si="1969"/>
        <v>-2000</v>
      </c>
      <c r="CO619" s="47">
        <f t="shared" si="1969"/>
        <v>-2000</v>
      </c>
      <c r="CP619" s="47">
        <f t="shared" si="1969"/>
        <v>-2000</v>
      </c>
      <c r="CQ619" s="47">
        <f t="shared" si="1969"/>
        <v>-2000</v>
      </c>
      <c r="CR619" s="47"/>
      <c r="CS619" s="47"/>
      <c r="CT619" s="47"/>
      <c r="CU619" s="50" t="str">
        <f>IFERROR(__xludf.DUMMYFUNCTION("""COMPUTED_VALUE"""),"airlines CO FREEDOM FUND
PO Box 36611
Dallas, TX 75235       ")</f>
        <v>airlines CO FREEDOM FUND
PO Box 36611
Dallas, TX 75235       </v>
      </c>
      <c r="CV619" s="51">
        <f>IFERROR(__xludf.DUMMYFUNCTION("IF(REGEXMATCH(UPPER(CU619), ""TX""),0,1)"),0.0)</f>
        <v>0</v>
      </c>
      <c r="CW619" s="51">
        <f>IFERROR(__xludf.DUMMYFUNCTION("IF(REGEXMATCH(UPPER(CU619), ""DALLAS""),0,1)"),0.0)</f>
        <v>0</v>
      </c>
      <c r="CX619" s="51">
        <f t="shared" si="17"/>
        <v>0</v>
      </c>
      <c r="CY619" s="51">
        <f t="shared" si="18"/>
        <v>0</v>
      </c>
      <c r="CZ619" s="52" t="str">
        <f t="shared" si="19"/>
        <v/>
      </c>
      <c r="DA619" s="58"/>
      <c r="DB619" s="52"/>
      <c r="DC619" s="52"/>
      <c r="DD619" s="52"/>
      <c r="DE619" s="52"/>
      <c r="DF619" s="52"/>
      <c r="DG619" s="52"/>
      <c r="DH619" s="52"/>
      <c r="DI619" s="52"/>
      <c r="DJ619" s="52"/>
      <c r="DK619" s="52"/>
      <c r="DL619" s="52"/>
      <c r="DM619" s="52"/>
      <c r="DN619" s="52"/>
      <c r="DO619" s="52"/>
      <c r="DP619" s="52"/>
      <c r="DQ619" s="52"/>
      <c r="DR619" s="52"/>
      <c r="DS619" s="52"/>
      <c r="DT619" s="52"/>
      <c r="DU619" s="52"/>
      <c r="DV619" s="52"/>
      <c r="DW619" s="52"/>
    </row>
    <row r="620">
      <c r="A620" s="22" t="s">
        <v>55</v>
      </c>
      <c r="B620" s="23" t="s">
        <v>56</v>
      </c>
      <c r="C620" s="31" t="s">
        <v>1348</v>
      </c>
      <c r="D620" s="25" t="str">
        <f>IFERROR(__xludf.DUMMYFUNCTION("SPLIT(C620,"" "")"),"GERBER,")</f>
        <v>GERBER,</v>
      </c>
      <c r="E620" s="22" t="str">
        <f>IFERROR(__xludf.DUMMYFUNCTION("""COMPUTED_VALUE"""),"PAM
4435")</f>
        <v>PAM
4435</v>
      </c>
      <c r="F620" s="22" t="str">
        <f>IFERROR(__xludf.DUMMYFUNCTION("""COMPUTED_VALUE"""),"HOLLAND")</f>
        <v>HOLLAND</v>
      </c>
      <c r="G620" s="22" t="str">
        <f>IFERROR(__xludf.DUMMYFUNCTION("""COMPUTED_VALUE"""),"AVE
DALLAS,")</f>
        <v>AVE
DALLAS,</v>
      </c>
      <c r="H620" s="22" t="str">
        <f>IFERROR(__xludf.DUMMYFUNCTION("""COMPUTED_VALUE"""),"TX")</f>
        <v>TX</v>
      </c>
      <c r="I620" s="22">
        <f>IFERROR(__xludf.DUMMYFUNCTION("""COMPUTED_VALUE"""),75219.0)</f>
        <v>75219</v>
      </c>
      <c r="J620" s="22"/>
      <c r="K620" s="22"/>
      <c r="L620" s="22"/>
      <c r="M620" s="22"/>
      <c r="N620" s="22"/>
      <c r="O620" s="22"/>
      <c r="P620" s="22"/>
      <c r="Q620" s="22"/>
      <c r="R620" s="22"/>
      <c r="S620" s="22"/>
      <c r="T620" s="22"/>
      <c r="U620" s="24" t="str">
        <f>IFERROR(__xludf.DUMMYFUNCTION("SPLIT(E620,""01234567890"")"),"PAM
")</f>
        <v>PAM
</v>
      </c>
      <c r="V620" s="24" t="str">
        <f>IFERROR(__xludf.DUMMYFUNCTION("SPLIT(D620,"","")"),"GERBER")</f>
        <v>GERBER</v>
      </c>
      <c r="W620" s="25" t="str">
        <f t="shared" si="1"/>
        <v>PAM
 GERBER</v>
      </c>
      <c r="X620" s="25" t="s">
        <v>1349</v>
      </c>
      <c r="Y620" s="25">
        <v>75219.0</v>
      </c>
      <c r="Z620" s="25" t="str">
        <f>IFERROR(__xludf.DUMMYFUNCTION("SPLIT(C620,""
"")"),"GERBER, PAM")</f>
        <v>GERBER, PAM</v>
      </c>
      <c r="AA620" s="25" t="str">
        <f>IFERROR(__xludf.DUMMYFUNCTION("""COMPUTED_VALUE"""),"4435 HOLLAND AVE")</f>
        <v>4435 HOLLAND AVE</v>
      </c>
      <c r="AB620" s="25" t="str">
        <f>IFERROR(__xludf.DUMMYFUNCTION("""COMPUTED_VALUE"""),"DALLAS, TX 75219")</f>
        <v>DALLAS, TX 75219</v>
      </c>
      <c r="AC620" s="24" t="s">
        <v>1350</v>
      </c>
      <c r="AD620" s="25"/>
      <c r="AE620" s="25"/>
      <c r="AF620" s="25"/>
      <c r="AG620" s="22" t="s">
        <v>60</v>
      </c>
      <c r="AH620" s="54">
        <v>2448.0</v>
      </c>
      <c r="AI620" s="22" t="s">
        <v>61</v>
      </c>
      <c r="AJ620" s="27">
        <v>500.0</v>
      </c>
      <c r="AK620" s="31" t="s">
        <v>24</v>
      </c>
      <c r="AL620" s="28">
        <v>44740.0</v>
      </c>
      <c r="AM620" s="29">
        <v>44757.44018518519</v>
      </c>
      <c r="AN620" s="30">
        <v>2.0</v>
      </c>
      <c r="AO620" s="22"/>
      <c r="AP620" s="22"/>
      <c r="AQ620" s="22"/>
      <c r="AR620" s="22"/>
      <c r="AS620" s="22"/>
      <c r="AT620" s="70"/>
      <c r="AU620" s="22"/>
      <c r="AV620" s="57" t="str">
        <f>IFERROR(__xludf.DUMMYFUNCTION("""COMPUTED_VALUE"""),"Coleman")</f>
        <v>Coleman</v>
      </c>
      <c r="AW620" s="46">
        <f t="shared" si="7"/>
        <v>100</v>
      </c>
      <c r="AX620" s="47">
        <f t="shared" ref="AX620:BQ620" si="1970">SUMIFS($AJ:$AJ,$V:$V,$AV620,$AK:$AK,AX$2)</f>
        <v>0</v>
      </c>
      <c r="AY620" s="48">
        <f t="shared" si="1970"/>
        <v>0</v>
      </c>
      <c r="AZ620" s="48">
        <f t="shared" si="1970"/>
        <v>0</v>
      </c>
      <c r="BA620" s="48">
        <f t="shared" si="1970"/>
        <v>0</v>
      </c>
      <c r="BB620" s="48">
        <f t="shared" si="1970"/>
        <v>100</v>
      </c>
      <c r="BC620" s="48">
        <f t="shared" si="1970"/>
        <v>0</v>
      </c>
      <c r="BD620" s="48">
        <f t="shared" si="1970"/>
        <v>0</v>
      </c>
      <c r="BE620" s="48">
        <f t="shared" si="1970"/>
        <v>0</v>
      </c>
      <c r="BF620" s="48">
        <f t="shared" si="1970"/>
        <v>0</v>
      </c>
      <c r="BG620" s="48">
        <f t="shared" si="1970"/>
        <v>0</v>
      </c>
      <c r="BH620" s="48">
        <f t="shared" si="1970"/>
        <v>0</v>
      </c>
      <c r="BI620" s="48">
        <f t="shared" si="1970"/>
        <v>0</v>
      </c>
      <c r="BJ620" s="48">
        <f t="shared" si="1970"/>
        <v>0</v>
      </c>
      <c r="BK620" s="48">
        <f t="shared" si="1970"/>
        <v>0</v>
      </c>
      <c r="BL620" s="48">
        <f t="shared" si="1970"/>
        <v>0</v>
      </c>
      <c r="BM620" s="48">
        <f t="shared" si="1970"/>
        <v>0</v>
      </c>
      <c r="BN620" s="48">
        <f t="shared" si="1970"/>
        <v>0</v>
      </c>
      <c r="BO620" s="48">
        <f t="shared" si="1970"/>
        <v>0</v>
      </c>
      <c r="BP620" s="48">
        <f t="shared" si="1970"/>
        <v>0</v>
      </c>
      <c r="BQ620" s="48">
        <f t="shared" si="1970"/>
        <v>0</v>
      </c>
      <c r="BR620" s="36">
        <f t="shared" si="9"/>
        <v>0</v>
      </c>
      <c r="BS620" s="38">
        <f t="shared" si="10"/>
        <v>1</v>
      </c>
      <c r="BT620" s="49">
        <f t="shared" si="11"/>
        <v>0</v>
      </c>
      <c r="BU620" s="38">
        <f t="shared" si="12"/>
        <v>1000</v>
      </c>
      <c r="BV620" s="57" t="str">
        <f>IFERROR(__xludf.DUMMYFUNCTION("""COMPUTED_VALUE"""),"Coleman")</f>
        <v>Coleman</v>
      </c>
      <c r="BW620" s="46">
        <f t="shared" si="13"/>
        <v>100</v>
      </c>
      <c r="BX620" s="47">
        <f t="shared" ref="BX620:CA620" si="1971">AX620-$BU620</f>
        <v>-1000</v>
      </c>
      <c r="BY620" s="47">
        <f t="shared" si="1971"/>
        <v>-1000</v>
      </c>
      <c r="BZ620" s="47">
        <f t="shared" si="1971"/>
        <v>-1000</v>
      </c>
      <c r="CA620" s="47">
        <f t="shared" si="1971"/>
        <v>-1000</v>
      </c>
      <c r="CB620" s="47">
        <f t="shared" si="15"/>
        <v>-9900</v>
      </c>
      <c r="CC620" s="47">
        <f t="shared" ref="CC620:CQ620" si="1972">BC620-$BU620</f>
        <v>-1000</v>
      </c>
      <c r="CD620" s="47">
        <f t="shared" si="1972"/>
        <v>-1000</v>
      </c>
      <c r="CE620" s="47">
        <f t="shared" si="1972"/>
        <v>-1000</v>
      </c>
      <c r="CF620" s="47">
        <f t="shared" si="1972"/>
        <v>-1000</v>
      </c>
      <c r="CG620" s="47">
        <f t="shared" si="1972"/>
        <v>-1000</v>
      </c>
      <c r="CH620" s="47">
        <f t="shared" si="1972"/>
        <v>-1000</v>
      </c>
      <c r="CI620" s="47">
        <f t="shared" si="1972"/>
        <v>-1000</v>
      </c>
      <c r="CJ620" s="47">
        <f t="shared" si="1972"/>
        <v>-1000</v>
      </c>
      <c r="CK620" s="47">
        <f t="shared" si="1972"/>
        <v>-1000</v>
      </c>
      <c r="CL620" s="47">
        <f t="shared" si="1972"/>
        <v>-1000</v>
      </c>
      <c r="CM620" s="47">
        <f t="shared" si="1972"/>
        <v>-1000</v>
      </c>
      <c r="CN620" s="47">
        <f t="shared" si="1972"/>
        <v>-1000</v>
      </c>
      <c r="CO620" s="47">
        <f t="shared" si="1972"/>
        <v>-1000</v>
      </c>
      <c r="CP620" s="47">
        <f t="shared" si="1972"/>
        <v>-1000</v>
      </c>
      <c r="CQ620" s="47">
        <f t="shared" si="1972"/>
        <v>-1000</v>
      </c>
      <c r="CR620" s="47"/>
      <c r="CS620" s="47"/>
      <c r="CT620" s="47"/>
      <c r="CU620" s="50" t="str">
        <f>IFERROR(__xludf.DUMMYFUNCTION("""COMPUTED_VALUE"""),"
 Box 763837
Dallas, TX 75376          ")</f>
        <v>
 Box 763837
Dallas, TX 75376          </v>
      </c>
      <c r="CV620" s="51">
        <f>IFERROR(__xludf.DUMMYFUNCTION("IF(REGEXMATCH(UPPER(CU620), ""TX""),0,1)"),0.0)</f>
        <v>0</v>
      </c>
      <c r="CW620" s="51">
        <f>IFERROR(__xludf.DUMMYFUNCTION("IF(REGEXMATCH(UPPER(CU620), ""DALLAS""),0,1)"),0.0)</f>
        <v>0</v>
      </c>
      <c r="CX620" s="51">
        <f t="shared" si="17"/>
        <v>0</v>
      </c>
      <c r="CY620" s="51">
        <f t="shared" si="18"/>
        <v>0</v>
      </c>
      <c r="CZ620" s="52" t="str">
        <f t="shared" si="19"/>
        <v/>
      </c>
      <c r="DA620" s="58"/>
      <c r="DB620" s="52"/>
      <c r="DC620" s="52"/>
      <c r="DD620" s="52"/>
      <c r="DE620" s="52"/>
      <c r="DF620" s="52"/>
      <c r="DG620" s="52"/>
      <c r="DH620" s="52"/>
      <c r="DI620" s="52"/>
      <c r="DJ620" s="52"/>
      <c r="DK620" s="52"/>
      <c r="DL620" s="52"/>
      <c r="DM620" s="52"/>
      <c r="DN620" s="52"/>
      <c r="DO620" s="52"/>
      <c r="DP620" s="52"/>
      <c r="DQ620" s="52"/>
      <c r="DR620" s="52"/>
      <c r="DS620" s="52"/>
      <c r="DT620" s="52"/>
      <c r="DU620" s="52"/>
      <c r="DV620" s="52"/>
      <c r="DW620" s="52"/>
    </row>
    <row r="621">
      <c r="A621" s="40" t="s">
        <v>55</v>
      </c>
      <c r="B621" s="41" t="s">
        <v>56</v>
      </c>
      <c r="C621" s="31" t="s">
        <v>1663</v>
      </c>
      <c r="D621" s="25" t="str">
        <f>IFERROR(__xludf.DUMMYFUNCTION("SPLIT(C621,"" "")"),"Hansbany,")</f>
        <v>Hansbany,</v>
      </c>
      <c r="E621" s="40" t="str">
        <f>IFERROR(__xludf.DUMMYFUNCTION("""COMPUTED_VALUE"""),"Maria
3509")</f>
        <v>Maria
3509</v>
      </c>
      <c r="F621" s="40" t="str">
        <f>IFERROR(__xludf.DUMMYFUNCTION("""COMPUTED_VALUE"""),"Hillbrook")</f>
        <v>Hillbrook</v>
      </c>
      <c r="G621" s="40" t="str">
        <f>IFERROR(__xludf.DUMMYFUNCTION("""COMPUTED_VALUE"""),"St
Dallas,")</f>
        <v>St
Dallas,</v>
      </c>
      <c r="H621" s="40" t="str">
        <f>IFERROR(__xludf.DUMMYFUNCTION("""COMPUTED_VALUE"""),"TX")</f>
        <v>TX</v>
      </c>
      <c r="I621" s="40">
        <f>IFERROR(__xludf.DUMMYFUNCTION("""COMPUTED_VALUE"""),75214.0)</f>
        <v>75214</v>
      </c>
      <c r="J621" s="40"/>
      <c r="K621" s="40"/>
      <c r="L621" s="40"/>
      <c r="M621" s="40"/>
      <c r="N621" s="40"/>
      <c r="O621" s="40"/>
      <c r="P621" s="40"/>
      <c r="Q621" s="40"/>
      <c r="R621" s="40"/>
      <c r="S621" s="40"/>
      <c r="T621" s="40"/>
      <c r="U621" s="24" t="str">
        <f>IFERROR(__xludf.DUMMYFUNCTION("SPLIT(E621,""01234567890"")"),"Maria
")</f>
        <v>Maria
</v>
      </c>
      <c r="V621" s="24" t="str">
        <f>IFERROR(__xludf.DUMMYFUNCTION("SPLIT(D621,"","")"),"Hansbany")</f>
        <v>Hansbany</v>
      </c>
      <c r="W621" s="25" t="str">
        <f t="shared" si="1"/>
        <v>MARIA
 HANSBANY</v>
      </c>
      <c r="X621" s="25" t="s">
        <v>1664</v>
      </c>
      <c r="Y621" s="25">
        <v>75214.0</v>
      </c>
      <c r="Z621" s="25" t="str">
        <f>IFERROR(__xludf.DUMMYFUNCTION("SPLIT(C621,""
"")"),"Hansbany, Maria")</f>
        <v>Hansbany, Maria</v>
      </c>
      <c r="AA621" s="25" t="str">
        <f>IFERROR(__xludf.DUMMYFUNCTION("""COMPUTED_VALUE"""),"3509 Hillbrook St")</f>
        <v>3509 Hillbrook St</v>
      </c>
      <c r="AB621" s="25" t="str">
        <f>IFERROR(__xludf.DUMMYFUNCTION("""COMPUTED_VALUE"""),"Dallas, TX 75214")</f>
        <v>Dallas, TX 75214</v>
      </c>
      <c r="AC621" s="24" t="s">
        <v>1665</v>
      </c>
      <c r="AD621" s="25"/>
      <c r="AE621" s="25"/>
      <c r="AF621" s="25"/>
      <c r="AG621" s="40" t="s">
        <v>60</v>
      </c>
      <c r="AH621" s="42">
        <v>2448.0</v>
      </c>
      <c r="AI621" s="40" t="s">
        <v>61</v>
      </c>
      <c r="AJ621" s="27">
        <v>250.0</v>
      </c>
      <c r="AK621" s="31" t="s">
        <v>24</v>
      </c>
      <c r="AL621" s="43">
        <v>44740.0</v>
      </c>
      <c r="AM621" s="44">
        <v>44757.44018518519</v>
      </c>
      <c r="AN621" s="30">
        <v>2.0</v>
      </c>
      <c r="AO621" s="40"/>
      <c r="AP621" s="40"/>
      <c r="AQ621" s="40"/>
      <c r="AR621" s="40"/>
      <c r="AS621" s="40"/>
      <c r="AT621" s="47"/>
      <c r="AU621" s="40"/>
      <c r="AV621" s="46" t="str">
        <f>IFERROR(__xludf.DUMMYFUNCTION("""COMPUTED_VALUE"""),"Perryman")</f>
        <v>Perryman</v>
      </c>
      <c r="AW621" s="46">
        <f t="shared" si="7"/>
        <v>200</v>
      </c>
      <c r="AX621" s="47">
        <f t="shared" ref="AX621:BQ621" si="1973">SUMIFS($AJ:$AJ,$V:$V,$AV621,$AK:$AK,AX$2)</f>
        <v>0</v>
      </c>
      <c r="AY621" s="48">
        <f t="shared" si="1973"/>
        <v>0</v>
      </c>
      <c r="AZ621" s="48">
        <f t="shared" si="1973"/>
        <v>0</v>
      </c>
      <c r="BA621" s="48">
        <f t="shared" si="1973"/>
        <v>0</v>
      </c>
      <c r="BB621" s="48">
        <f t="shared" si="1973"/>
        <v>200</v>
      </c>
      <c r="BC621" s="48">
        <f t="shared" si="1973"/>
        <v>0</v>
      </c>
      <c r="BD621" s="48">
        <f t="shared" si="1973"/>
        <v>0</v>
      </c>
      <c r="BE621" s="48">
        <f t="shared" si="1973"/>
        <v>0</v>
      </c>
      <c r="BF621" s="48">
        <f t="shared" si="1973"/>
        <v>0</v>
      </c>
      <c r="BG621" s="48">
        <f t="shared" si="1973"/>
        <v>0</v>
      </c>
      <c r="BH621" s="48">
        <f t="shared" si="1973"/>
        <v>0</v>
      </c>
      <c r="BI621" s="48">
        <f t="shared" si="1973"/>
        <v>0</v>
      </c>
      <c r="BJ621" s="48">
        <f t="shared" si="1973"/>
        <v>0</v>
      </c>
      <c r="BK621" s="48">
        <f t="shared" si="1973"/>
        <v>0</v>
      </c>
      <c r="BL621" s="48">
        <f t="shared" si="1973"/>
        <v>0</v>
      </c>
      <c r="BM621" s="48">
        <f t="shared" si="1973"/>
        <v>0</v>
      </c>
      <c r="BN621" s="48">
        <f t="shared" si="1973"/>
        <v>0</v>
      </c>
      <c r="BO621" s="48">
        <f t="shared" si="1973"/>
        <v>0</v>
      </c>
      <c r="BP621" s="48">
        <f t="shared" si="1973"/>
        <v>0</v>
      </c>
      <c r="BQ621" s="48">
        <f t="shared" si="1973"/>
        <v>0</v>
      </c>
      <c r="BR621" s="36">
        <f t="shared" si="9"/>
        <v>1</v>
      </c>
      <c r="BS621" s="38">
        <f t="shared" si="10"/>
        <v>2</v>
      </c>
      <c r="BT621" s="49">
        <f t="shared" si="11"/>
        <v>0</v>
      </c>
      <c r="BU621" s="38">
        <f t="shared" si="12"/>
        <v>2000</v>
      </c>
      <c r="BV621" s="46" t="str">
        <f>IFERROR(__xludf.DUMMYFUNCTION("""COMPUTED_VALUE"""),"Perryman")</f>
        <v>Perryman</v>
      </c>
      <c r="BW621" s="46">
        <f t="shared" si="13"/>
        <v>200</v>
      </c>
      <c r="BX621" s="47">
        <f t="shared" ref="BX621:CA621" si="1974">AX621-$BU621</f>
        <v>-2000</v>
      </c>
      <c r="BY621" s="47">
        <f t="shared" si="1974"/>
        <v>-2000</v>
      </c>
      <c r="BZ621" s="47">
        <f t="shared" si="1974"/>
        <v>-2000</v>
      </c>
      <c r="CA621" s="47">
        <f t="shared" si="1974"/>
        <v>-2000</v>
      </c>
      <c r="CB621" s="47">
        <f t="shared" si="15"/>
        <v>-19800</v>
      </c>
      <c r="CC621" s="47">
        <f t="shared" ref="CC621:CQ621" si="1975">BC621-$BU621</f>
        <v>-2000</v>
      </c>
      <c r="CD621" s="47">
        <f t="shared" si="1975"/>
        <v>-2000</v>
      </c>
      <c r="CE621" s="47">
        <f t="shared" si="1975"/>
        <v>-2000</v>
      </c>
      <c r="CF621" s="47">
        <f t="shared" si="1975"/>
        <v>-2000</v>
      </c>
      <c r="CG621" s="47">
        <f t="shared" si="1975"/>
        <v>-2000</v>
      </c>
      <c r="CH621" s="47">
        <f t="shared" si="1975"/>
        <v>-2000</v>
      </c>
      <c r="CI621" s="47">
        <f t="shared" si="1975"/>
        <v>-2000</v>
      </c>
      <c r="CJ621" s="47">
        <f t="shared" si="1975"/>
        <v>-2000</v>
      </c>
      <c r="CK621" s="47">
        <f t="shared" si="1975"/>
        <v>-2000</v>
      </c>
      <c r="CL621" s="47">
        <f t="shared" si="1975"/>
        <v>-2000</v>
      </c>
      <c r="CM621" s="47">
        <f t="shared" si="1975"/>
        <v>-2000</v>
      </c>
      <c r="CN621" s="47">
        <f t="shared" si="1975"/>
        <v>-2000</v>
      </c>
      <c r="CO621" s="47">
        <f t="shared" si="1975"/>
        <v>-2000</v>
      </c>
      <c r="CP621" s="47">
        <f t="shared" si="1975"/>
        <v>-2000</v>
      </c>
      <c r="CQ621" s="47">
        <f t="shared" si="1975"/>
        <v>-2000</v>
      </c>
      <c r="CR621" s="47"/>
      <c r="CS621" s="47"/>
      <c r="CT621" s="47"/>
      <c r="CU621" s="50" t="str">
        <f>IFERROR(__xludf.DUMMYFUNCTION("""COMPUTED_VALUE"""),"74 BUCK TRAIL
SADLER, TX 76264          ")</f>
        <v>74 BUCK TRAIL
SADLER, TX 76264          </v>
      </c>
      <c r="CV621" s="51">
        <f>IFERROR(__xludf.DUMMYFUNCTION("IF(REGEXMATCH(UPPER(CU621), ""TX""),0,1)"),0.0)</f>
        <v>0</v>
      </c>
      <c r="CW621" s="51">
        <f>IFERROR(__xludf.DUMMYFUNCTION("IF(REGEXMATCH(UPPER(CU621), ""DALLAS""),0,1)"),1.0)</f>
        <v>1</v>
      </c>
      <c r="CX621" s="51">
        <f t="shared" si="17"/>
        <v>0</v>
      </c>
      <c r="CY621" s="51">
        <f t="shared" si="18"/>
        <v>1000</v>
      </c>
      <c r="CZ621" s="52" t="str">
        <f t="shared" si="19"/>
        <v>74 BUCK TRAIL
SADLER, TX 76264          </v>
      </c>
      <c r="DA621" s="58"/>
      <c r="DB621" s="52"/>
      <c r="DC621" s="52"/>
      <c r="DD621" s="52"/>
      <c r="DE621" s="52"/>
      <c r="DF621" s="52"/>
      <c r="DG621" s="52"/>
      <c r="DH621" s="52"/>
      <c r="DI621" s="52"/>
      <c r="DJ621" s="52"/>
      <c r="DK621" s="52"/>
      <c r="DL621" s="52"/>
      <c r="DM621" s="52"/>
      <c r="DN621" s="52"/>
      <c r="DO621" s="52"/>
      <c r="DP621" s="52"/>
      <c r="DQ621" s="52"/>
      <c r="DR621" s="52"/>
      <c r="DS621" s="52"/>
      <c r="DT621" s="52"/>
      <c r="DU621" s="52"/>
      <c r="DV621" s="52"/>
      <c r="DW621" s="52"/>
    </row>
    <row r="622">
      <c r="A622" s="22" t="s">
        <v>55</v>
      </c>
      <c r="B622" s="23" t="s">
        <v>56</v>
      </c>
      <c r="C622" s="31" t="s">
        <v>1666</v>
      </c>
      <c r="D622" s="25" t="str">
        <f>IFERROR(__xludf.DUMMYFUNCTION("SPLIT(C622,"" "")"),"Hoffland,")</f>
        <v>Hoffland,</v>
      </c>
      <c r="E622" s="22" t="str">
        <f>IFERROR(__xludf.DUMMYFUNCTION("""COMPUTED_VALUE"""),"Amy
7278")</f>
        <v>Amy
7278</v>
      </c>
      <c r="F622" s="22" t="str">
        <f>IFERROR(__xludf.DUMMYFUNCTION("""COMPUTED_VALUE"""),"Williamson")</f>
        <v>Williamson</v>
      </c>
      <c r="G622" s="22" t="str">
        <f>IFERROR(__xludf.DUMMYFUNCTION("""COMPUTED_VALUE"""),"Cir
Dallas,")</f>
        <v>Cir
Dallas,</v>
      </c>
      <c r="H622" s="22" t="str">
        <f>IFERROR(__xludf.DUMMYFUNCTION("""COMPUTED_VALUE"""),"TX")</f>
        <v>TX</v>
      </c>
      <c r="I622" s="22">
        <f>IFERROR(__xludf.DUMMYFUNCTION("""COMPUTED_VALUE"""),75214.0)</f>
        <v>75214</v>
      </c>
      <c r="J622" s="22"/>
      <c r="K622" s="22"/>
      <c r="L622" s="22"/>
      <c r="M622" s="22"/>
      <c r="N622" s="22"/>
      <c r="O622" s="22"/>
      <c r="P622" s="22"/>
      <c r="Q622" s="22"/>
      <c r="R622" s="22"/>
      <c r="S622" s="22"/>
      <c r="T622" s="22"/>
      <c r="U622" s="24" t="str">
        <f>IFERROR(__xludf.DUMMYFUNCTION("SPLIT(E622,""01234567890"")"),"Amy
")</f>
        <v>Amy
</v>
      </c>
      <c r="V622" s="24" t="str">
        <f>IFERROR(__xludf.DUMMYFUNCTION("SPLIT(D622,"","")"),"Hoffland")</f>
        <v>Hoffland</v>
      </c>
      <c r="W622" s="25" t="str">
        <f t="shared" si="1"/>
        <v>AMY
 HOFFLAND</v>
      </c>
      <c r="X622" s="25" t="s">
        <v>1532</v>
      </c>
      <c r="Y622" s="25">
        <v>75214.0</v>
      </c>
      <c r="Z622" s="25" t="str">
        <f>IFERROR(__xludf.DUMMYFUNCTION("SPLIT(C622,""
"")"),"Hoffland, Amy")</f>
        <v>Hoffland, Amy</v>
      </c>
      <c r="AA622" s="25" t="str">
        <f>IFERROR(__xludf.DUMMYFUNCTION("""COMPUTED_VALUE"""),"7278 Williamson Cir")</f>
        <v>7278 Williamson Cir</v>
      </c>
      <c r="AB622" s="25" t="str">
        <f>IFERROR(__xludf.DUMMYFUNCTION("""COMPUTED_VALUE"""),"Dallas, TX 75214")</f>
        <v>Dallas, TX 75214</v>
      </c>
      <c r="AC622" s="24" t="s">
        <v>1667</v>
      </c>
      <c r="AD622" s="25"/>
      <c r="AE622" s="25"/>
      <c r="AF622" s="25"/>
      <c r="AG622" s="22" t="s">
        <v>60</v>
      </c>
      <c r="AH622" s="54">
        <v>2448.0</v>
      </c>
      <c r="AI622" s="22" t="s">
        <v>61</v>
      </c>
      <c r="AJ622" s="27">
        <v>150.0</v>
      </c>
      <c r="AK622" s="31" t="s">
        <v>24</v>
      </c>
      <c r="AL622" s="28">
        <v>44740.0</v>
      </c>
      <c r="AM622" s="29">
        <v>44757.44018518519</v>
      </c>
      <c r="AN622" s="30">
        <v>2.0</v>
      </c>
      <c r="AO622" s="22"/>
      <c r="AP622" s="22"/>
      <c r="AQ622" s="22"/>
      <c r="AR622" s="22"/>
      <c r="AS622" s="22"/>
      <c r="AT622" s="70"/>
      <c r="AU622" s="22"/>
      <c r="AV622" s="57" t="str">
        <f>IFERROR(__xludf.DUMMYFUNCTION("""COMPUTED_VALUE"""),"Segura")</f>
        <v>Segura</v>
      </c>
      <c r="AW622" s="46">
        <f t="shared" si="7"/>
        <v>50</v>
      </c>
      <c r="AX622" s="47">
        <f t="shared" ref="AX622:BQ622" si="1976">SUMIFS($AJ:$AJ,$V:$V,$AV622,$AK:$AK,AX$2)</f>
        <v>0</v>
      </c>
      <c r="AY622" s="48">
        <f t="shared" si="1976"/>
        <v>0</v>
      </c>
      <c r="AZ622" s="48">
        <f t="shared" si="1976"/>
        <v>0</v>
      </c>
      <c r="BA622" s="48">
        <f t="shared" si="1976"/>
        <v>0</v>
      </c>
      <c r="BB622" s="48">
        <f t="shared" si="1976"/>
        <v>50</v>
      </c>
      <c r="BC622" s="48">
        <f t="shared" si="1976"/>
        <v>0</v>
      </c>
      <c r="BD622" s="48">
        <f t="shared" si="1976"/>
        <v>0</v>
      </c>
      <c r="BE622" s="48">
        <f t="shared" si="1976"/>
        <v>0</v>
      </c>
      <c r="BF622" s="48">
        <f t="shared" si="1976"/>
        <v>0</v>
      </c>
      <c r="BG622" s="48">
        <f t="shared" si="1976"/>
        <v>0</v>
      </c>
      <c r="BH622" s="48">
        <f t="shared" si="1976"/>
        <v>0</v>
      </c>
      <c r="BI622" s="48">
        <f t="shared" si="1976"/>
        <v>0</v>
      </c>
      <c r="BJ622" s="48">
        <f t="shared" si="1976"/>
        <v>0</v>
      </c>
      <c r="BK622" s="48">
        <f t="shared" si="1976"/>
        <v>0</v>
      </c>
      <c r="BL622" s="48">
        <f t="shared" si="1976"/>
        <v>0</v>
      </c>
      <c r="BM622" s="48">
        <f t="shared" si="1976"/>
        <v>0</v>
      </c>
      <c r="BN622" s="48">
        <f t="shared" si="1976"/>
        <v>0</v>
      </c>
      <c r="BO622" s="48">
        <f t="shared" si="1976"/>
        <v>0</v>
      </c>
      <c r="BP622" s="48">
        <f t="shared" si="1976"/>
        <v>0</v>
      </c>
      <c r="BQ622" s="48">
        <f t="shared" si="1976"/>
        <v>0</v>
      </c>
      <c r="BR622" s="36">
        <f t="shared" si="9"/>
        <v>0</v>
      </c>
      <c r="BS622" s="38">
        <f t="shared" si="10"/>
        <v>1</v>
      </c>
      <c r="BT622" s="49">
        <f t="shared" si="11"/>
        <v>0</v>
      </c>
      <c r="BU622" s="38">
        <f t="shared" si="12"/>
        <v>1000</v>
      </c>
      <c r="BV622" s="57" t="str">
        <f>IFERROR(__xludf.DUMMYFUNCTION("""COMPUTED_VALUE"""),"Segura")</f>
        <v>Segura</v>
      </c>
      <c r="BW622" s="46">
        <f t="shared" si="13"/>
        <v>50</v>
      </c>
      <c r="BX622" s="47">
        <f t="shared" ref="BX622:CA622" si="1977">AX622-$BU622</f>
        <v>-1000</v>
      </c>
      <c r="BY622" s="47">
        <f t="shared" si="1977"/>
        <v>-1000</v>
      </c>
      <c r="BZ622" s="47">
        <f t="shared" si="1977"/>
        <v>-1000</v>
      </c>
      <c r="CA622" s="47">
        <f t="shared" si="1977"/>
        <v>-1000</v>
      </c>
      <c r="CB622" s="47">
        <f t="shared" si="15"/>
        <v>-9950</v>
      </c>
      <c r="CC622" s="47">
        <f t="shared" ref="CC622:CQ622" si="1978">BC622-$BU622</f>
        <v>-1000</v>
      </c>
      <c r="CD622" s="47">
        <f t="shared" si="1978"/>
        <v>-1000</v>
      </c>
      <c r="CE622" s="47">
        <f t="shared" si="1978"/>
        <v>-1000</v>
      </c>
      <c r="CF622" s="47">
        <f t="shared" si="1978"/>
        <v>-1000</v>
      </c>
      <c r="CG622" s="47">
        <f t="shared" si="1978"/>
        <v>-1000</v>
      </c>
      <c r="CH622" s="47">
        <f t="shared" si="1978"/>
        <v>-1000</v>
      </c>
      <c r="CI622" s="47">
        <f t="shared" si="1978"/>
        <v>-1000</v>
      </c>
      <c r="CJ622" s="47">
        <f t="shared" si="1978"/>
        <v>-1000</v>
      </c>
      <c r="CK622" s="47">
        <f t="shared" si="1978"/>
        <v>-1000</v>
      </c>
      <c r="CL622" s="47">
        <f t="shared" si="1978"/>
        <v>-1000</v>
      </c>
      <c r="CM622" s="47">
        <f t="shared" si="1978"/>
        <v>-1000</v>
      </c>
      <c r="CN622" s="47">
        <f t="shared" si="1978"/>
        <v>-1000</v>
      </c>
      <c r="CO622" s="47">
        <f t="shared" si="1978"/>
        <v>-1000</v>
      </c>
      <c r="CP622" s="47">
        <f t="shared" si="1978"/>
        <v>-1000</v>
      </c>
      <c r="CQ622" s="47">
        <f t="shared" si="1978"/>
        <v>-1000</v>
      </c>
      <c r="CR622" s="47"/>
      <c r="CS622" s="47"/>
      <c r="CT622" s="47"/>
      <c r="CU622" s="50" t="str">
        <f>IFERROR(__xludf.DUMMYFUNCTION("""COMPUTED_VALUE"""),"12612 Beech Tree Lane
Euless, TX 76040         ")</f>
        <v>12612 Beech Tree Lane
Euless, TX 76040         </v>
      </c>
      <c r="CV622" s="51">
        <f>IFERROR(__xludf.DUMMYFUNCTION("IF(REGEXMATCH(UPPER(CU622), ""TX""),0,1)"),0.0)</f>
        <v>0</v>
      </c>
      <c r="CW622" s="51">
        <f>IFERROR(__xludf.DUMMYFUNCTION("IF(REGEXMATCH(UPPER(CU622), ""DALLAS""),0,1)"),1.0)</f>
        <v>1</v>
      </c>
      <c r="CX622" s="51">
        <f t="shared" si="17"/>
        <v>0</v>
      </c>
      <c r="CY622" s="51">
        <f t="shared" si="18"/>
        <v>750</v>
      </c>
      <c r="CZ622" s="52" t="str">
        <f t="shared" si="19"/>
        <v>12612 Beech Tree Lane
Euless, TX 76040         </v>
      </c>
      <c r="DA622" s="58"/>
      <c r="DB622" s="52"/>
      <c r="DC622" s="52"/>
      <c r="DD622" s="52"/>
      <c r="DE622" s="52"/>
      <c r="DF622" s="52"/>
      <c r="DG622" s="52"/>
      <c r="DH622" s="52"/>
      <c r="DI622" s="52"/>
      <c r="DJ622" s="52"/>
      <c r="DK622" s="52"/>
      <c r="DL622" s="52"/>
      <c r="DM622" s="52"/>
      <c r="DN622" s="52"/>
      <c r="DO622" s="52"/>
      <c r="DP622" s="52"/>
      <c r="DQ622" s="52"/>
      <c r="DR622" s="52"/>
      <c r="DS622" s="52"/>
      <c r="DT622" s="52"/>
      <c r="DU622" s="52"/>
      <c r="DV622" s="52"/>
      <c r="DW622" s="52"/>
    </row>
    <row r="623">
      <c r="A623" s="40" t="s">
        <v>55</v>
      </c>
      <c r="B623" s="41" t="s">
        <v>56</v>
      </c>
      <c r="C623" s="31" t="s">
        <v>1668</v>
      </c>
      <c r="D623" s="25" t="str">
        <f>IFERROR(__xludf.DUMMYFUNCTION("SPLIT(C623,"" "")"),"Hunt,")</f>
        <v>Hunt,</v>
      </c>
      <c r="E623" s="40" t="str">
        <f>IFERROR(__xludf.DUMMYFUNCTION("""COMPUTED_VALUE"""),"Melissa
8231")</f>
        <v>Melissa
8231</v>
      </c>
      <c r="F623" s="40" t="str">
        <f>IFERROR(__xludf.DUMMYFUNCTION("""COMPUTED_VALUE"""),"San")</f>
        <v>San</v>
      </c>
      <c r="G623" s="40" t="str">
        <f>IFERROR(__xludf.DUMMYFUNCTION("""COMPUTED_VALUE"""),"Fernando
Dallas,")</f>
        <v>Fernando
Dallas,</v>
      </c>
      <c r="H623" s="40" t="str">
        <f>IFERROR(__xludf.DUMMYFUNCTION("""COMPUTED_VALUE"""),"TX")</f>
        <v>TX</v>
      </c>
      <c r="I623" s="40">
        <f>IFERROR(__xludf.DUMMYFUNCTION("""COMPUTED_VALUE"""),75218.0)</f>
        <v>75218</v>
      </c>
      <c r="J623" s="40"/>
      <c r="K623" s="40"/>
      <c r="L623" s="40"/>
      <c r="M623" s="40"/>
      <c r="N623" s="40"/>
      <c r="O623" s="40"/>
      <c r="P623" s="40"/>
      <c r="Q623" s="40"/>
      <c r="R623" s="40"/>
      <c r="S623" s="40"/>
      <c r="T623" s="40"/>
      <c r="U623" s="24" t="str">
        <f>IFERROR(__xludf.DUMMYFUNCTION("SPLIT(E623,""01234567890"")"),"Melissa
")</f>
        <v>Melissa
</v>
      </c>
      <c r="V623" s="24" t="str">
        <f>IFERROR(__xludf.DUMMYFUNCTION("SPLIT(D623,"","")"),"Hunt")</f>
        <v>Hunt</v>
      </c>
      <c r="W623" s="25" t="str">
        <f t="shared" si="1"/>
        <v>MELISSA
 HUNT</v>
      </c>
      <c r="X623" s="25" t="s">
        <v>1669</v>
      </c>
      <c r="Y623" s="25">
        <v>75218.0</v>
      </c>
      <c r="Z623" s="25" t="str">
        <f>IFERROR(__xludf.DUMMYFUNCTION("SPLIT(C623,""
"")"),"Hunt, Melissa")</f>
        <v>Hunt, Melissa</v>
      </c>
      <c r="AA623" s="25" t="str">
        <f>IFERROR(__xludf.DUMMYFUNCTION("""COMPUTED_VALUE"""),"8231 San Fernando")</f>
        <v>8231 San Fernando</v>
      </c>
      <c r="AB623" s="25" t="str">
        <f>IFERROR(__xludf.DUMMYFUNCTION("""COMPUTED_VALUE"""),"Dallas, TX 75218")</f>
        <v>Dallas, TX 75218</v>
      </c>
      <c r="AC623" s="24" t="s">
        <v>1670</v>
      </c>
      <c r="AD623" s="25"/>
      <c r="AE623" s="25"/>
      <c r="AF623" s="25"/>
      <c r="AG623" s="40" t="s">
        <v>60</v>
      </c>
      <c r="AH623" s="42">
        <v>2448.0</v>
      </c>
      <c r="AI623" s="40" t="s">
        <v>61</v>
      </c>
      <c r="AJ623" s="27">
        <v>250.0</v>
      </c>
      <c r="AK623" s="31" t="s">
        <v>24</v>
      </c>
      <c r="AL623" s="43">
        <v>44740.0</v>
      </c>
      <c r="AM623" s="44">
        <v>44757.44018518519</v>
      </c>
      <c r="AN623" s="30">
        <v>2.0</v>
      </c>
      <c r="AO623" s="40"/>
      <c r="AP623" s="40"/>
      <c r="AQ623" s="40"/>
      <c r="AR623" s="40"/>
      <c r="AS623" s="40"/>
      <c r="AT623" s="47"/>
      <c r="AU623" s="40"/>
      <c r="AV623" s="46" t="str">
        <f>IFERROR(__xludf.DUMMYFUNCTION("""COMPUTED_VALUE"""),"Hubbard")</f>
        <v>Hubbard</v>
      </c>
      <c r="AW623" s="46">
        <f t="shared" si="7"/>
        <v>50</v>
      </c>
      <c r="AX623" s="47">
        <f t="shared" ref="AX623:BQ623" si="1979">SUMIFS($AJ:$AJ,$V:$V,$AV623,$AK:$AK,AX$2)</f>
        <v>0</v>
      </c>
      <c r="AY623" s="48">
        <f t="shared" si="1979"/>
        <v>0</v>
      </c>
      <c r="AZ623" s="48">
        <f t="shared" si="1979"/>
        <v>0</v>
      </c>
      <c r="BA623" s="48">
        <f t="shared" si="1979"/>
        <v>0</v>
      </c>
      <c r="BB623" s="48">
        <f t="shared" si="1979"/>
        <v>50</v>
      </c>
      <c r="BC623" s="48">
        <f t="shared" si="1979"/>
        <v>0</v>
      </c>
      <c r="BD623" s="48">
        <f t="shared" si="1979"/>
        <v>0</v>
      </c>
      <c r="BE623" s="48">
        <f t="shared" si="1979"/>
        <v>0</v>
      </c>
      <c r="BF623" s="48">
        <f t="shared" si="1979"/>
        <v>0</v>
      </c>
      <c r="BG623" s="48">
        <f t="shared" si="1979"/>
        <v>0</v>
      </c>
      <c r="BH623" s="48">
        <f t="shared" si="1979"/>
        <v>0</v>
      </c>
      <c r="BI623" s="48">
        <f t="shared" si="1979"/>
        <v>0</v>
      </c>
      <c r="BJ623" s="48">
        <f t="shared" si="1979"/>
        <v>0</v>
      </c>
      <c r="BK623" s="48">
        <f t="shared" si="1979"/>
        <v>0</v>
      </c>
      <c r="BL623" s="48">
        <f t="shared" si="1979"/>
        <v>0</v>
      </c>
      <c r="BM623" s="48">
        <f t="shared" si="1979"/>
        <v>0</v>
      </c>
      <c r="BN623" s="48">
        <f t="shared" si="1979"/>
        <v>0</v>
      </c>
      <c r="BO623" s="48">
        <f t="shared" si="1979"/>
        <v>0</v>
      </c>
      <c r="BP623" s="48">
        <f t="shared" si="1979"/>
        <v>0</v>
      </c>
      <c r="BQ623" s="48">
        <f t="shared" si="1979"/>
        <v>0</v>
      </c>
      <c r="BR623" s="36">
        <f t="shared" si="9"/>
        <v>0</v>
      </c>
      <c r="BS623" s="38">
        <f t="shared" si="10"/>
        <v>1</v>
      </c>
      <c r="BT623" s="49">
        <f t="shared" si="11"/>
        <v>0</v>
      </c>
      <c r="BU623" s="38">
        <f t="shared" si="12"/>
        <v>1000</v>
      </c>
      <c r="BV623" s="46" t="str">
        <f>IFERROR(__xludf.DUMMYFUNCTION("""COMPUTED_VALUE"""),"Hubbard")</f>
        <v>Hubbard</v>
      </c>
      <c r="BW623" s="46">
        <f t="shared" si="13"/>
        <v>50</v>
      </c>
      <c r="BX623" s="47">
        <f t="shared" ref="BX623:CA623" si="1980">AX623-$BU623</f>
        <v>-1000</v>
      </c>
      <c r="BY623" s="47">
        <f t="shared" si="1980"/>
        <v>-1000</v>
      </c>
      <c r="BZ623" s="47">
        <f t="shared" si="1980"/>
        <v>-1000</v>
      </c>
      <c r="CA623" s="47">
        <f t="shared" si="1980"/>
        <v>-1000</v>
      </c>
      <c r="CB623" s="47">
        <f t="shared" si="15"/>
        <v>-9950</v>
      </c>
      <c r="CC623" s="47">
        <f t="shared" ref="CC623:CQ623" si="1981">BC623-$BU623</f>
        <v>-1000</v>
      </c>
      <c r="CD623" s="47">
        <f t="shared" si="1981"/>
        <v>-1000</v>
      </c>
      <c r="CE623" s="47">
        <f t="shared" si="1981"/>
        <v>-1000</v>
      </c>
      <c r="CF623" s="47">
        <f t="shared" si="1981"/>
        <v>-1000</v>
      </c>
      <c r="CG623" s="47">
        <f t="shared" si="1981"/>
        <v>-1000</v>
      </c>
      <c r="CH623" s="47">
        <f t="shared" si="1981"/>
        <v>-1000</v>
      </c>
      <c r="CI623" s="47">
        <f t="shared" si="1981"/>
        <v>-1000</v>
      </c>
      <c r="CJ623" s="47">
        <f t="shared" si="1981"/>
        <v>-1000</v>
      </c>
      <c r="CK623" s="47">
        <f t="shared" si="1981"/>
        <v>-1000</v>
      </c>
      <c r="CL623" s="47">
        <f t="shared" si="1981"/>
        <v>-1000</v>
      </c>
      <c r="CM623" s="47">
        <f t="shared" si="1981"/>
        <v>-1000</v>
      </c>
      <c r="CN623" s="47">
        <f t="shared" si="1981"/>
        <v>-1000</v>
      </c>
      <c r="CO623" s="47">
        <f t="shared" si="1981"/>
        <v>-1000</v>
      </c>
      <c r="CP623" s="47">
        <f t="shared" si="1981"/>
        <v>-1000</v>
      </c>
      <c r="CQ623" s="47">
        <f t="shared" si="1981"/>
        <v>-1000</v>
      </c>
      <c r="CR623" s="47"/>
      <c r="CS623" s="47"/>
      <c r="CT623" s="47"/>
      <c r="CU623" s="50" t="str">
        <f>IFERROR(__xludf.DUMMYFUNCTION("""COMPUTED_VALUE"""),"7 Equestrian Trail
Duncanville, TX 75116          ")</f>
        <v>7 Equestrian Trail
Duncanville, TX 75116          </v>
      </c>
      <c r="CV623" s="51">
        <f>IFERROR(__xludf.DUMMYFUNCTION("IF(REGEXMATCH(UPPER(CU623), ""TX""),0,1)"),0.0)</f>
        <v>0</v>
      </c>
      <c r="CW623" s="51">
        <f>IFERROR(__xludf.DUMMYFUNCTION("IF(REGEXMATCH(UPPER(CU623), ""DALLAS""),0,1)"),1.0)</f>
        <v>1</v>
      </c>
      <c r="CX623" s="51">
        <f t="shared" si="17"/>
        <v>0</v>
      </c>
      <c r="CY623" s="51">
        <f t="shared" si="18"/>
        <v>1000</v>
      </c>
      <c r="CZ623" s="52" t="str">
        <f t="shared" si="19"/>
        <v>7 Equestrian Trail
Duncanville, TX 75116          </v>
      </c>
      <c r="DA623" s="58"/>
      <c r="DB623" s="52"/>
      <c r="DC623" s="52"/>
      <c r="DD623" s="52"/>
      <c r="DE623" s="52"/>
      <c r="DF623" s="52"/>
      <c r="DG623" s="52"/>
      <c r="DH623" s="52"/>
      <c r="DI623" s="52"/>
      <c r="DJ623" s="52"/>
      <c r="DK623" s="52"/>
      <c r="DL623" s="52"/>
      <c r="DM623" s="52"/>
      <c r="DN623" s="52"/>
      <c r="DO623" s="52"/>
      <c r="DP623" s="52"/>
      <c r="DQ623" s="52"/>
      <c r="DR623" s="52"/>
      <c r="DS623" s="52"/>
      <c r="DT623" s="52"/>
      <c r="DU623" s="52"/>
      <c r="DV623" s="52"/>
      <c r="DW623" s="52"/>
    </row>
    <row r="624">
      <c r="A624" s="22" t="s">
        <v>55</v>
      </c>
      <c r="B624" s="23" t="s">
        <v>56</v>
      </c>
      <c r="C624" s="31" t="s">
        <v>1671</v>
      </c>
      <c r="D624" s="25" t="str">
        <f>IFERROR(__xludf.DUMMYFUNCTION("SPLIT(C624,"" "")"),"Johnston,")</f>
        <v>Johnston,</v>
      </c>
      <c r="E624" s="22" t="str">
        <f>IFERROR(__xludf.DUMMYFUNCTION("""COMPUTED_VALUE"""),"Erin
6604")</f>
        <v>Erin
6604</v>
      </c>
      <c r="F624" s="22" t="str">
        <f>IFERROR(__xludf.DUMMYFUNCTION("""COMPUTED_VALUE"""),"Northridge
Dallas,")</f>
        <v>Northridge
Dallas,</v>
      </c>
      <c r="G624" s="22" t="str">
        <f>IFERROR(__xludf.DUMMYFUNCTION("""COMPUTED_VALUE"""),"TX")</f>
        <v>TX</v>
      </c>
      <c r="H624" s="22">
        <f>IFERROR(__xludf.DUMMYFUNCTION("""COMPUTED_VALUE"""),75214.0)</f>
        <v>75214</v>
      </c>
      <c r="I624" s="22"/>
      <c r="J624" s="22"/>
      <c r="K624" s="22"/>
      <c r="L624" s="22"/>
      <c r="M624" s="22"/>
      <c r="N624" s="22"/>
      <c r="O624" s="22"/>
      <c r="P624" s="22"/>
      <c r="Q624" s="22"/>
      <c r="R624" s="22"/>
      <c r="S624" s="22"/>
      <c r="T624" s="22"/>
      <c r="U624" s="24" t="str">
        <f>IFERROR(__xludf.DUMMYFUNCTION("SPLIT(E624,""01234567890"")"),"Erin
")</f>
        <v>Erin
</v>
      </c>
      <c r="V624" s="24" t="str">
        <f>IFERROR(__xludf.DUMMYFUNCTION("SPLIT(D624,"","")"),"Johnston")</f>
        <v>Johnston</v>
      </c>
      <c r="W624" s="25" t="str">
        <f t="shared" si="1"/>
        <v>ERIN
 JOHNSTON</v>
      </c>
      <c r="X624" s="25" t="s">
        <v>1672</v>
      </c>
      <c r="Y624" s="25">
        <v>75214.0</v>
      </c>
      <c r="Z624" s="25" t="str">
        <f>IFERROR(__xludf.DUMMYFUNCTION("SPLIT(C624,""
"")"),"Johnston, Erin")</f>
        <v>Johnston, Erin</v>
      </c>
      <c r="AA624" s="25" t="str">
        <f>IFERROR(__xludf.DUMMYFUNCTION("""COMPUTED_VALUE"""),"6604 Northridge")</f>
        <v>6604 Northridge</v>
      </c>
      <c r="AB624" s="25" t="str">
        <f>IFERROR(__xludf.DUMMYFUNCTION("""COMPUTED_VALUE"""),"Dallas, TX 75214")</f>
        <v>Dallas, TX 75214</v>
      </c>
      <c r="AC624" s="24" t="s">
        <v>1673</v>
      </c>
      <c r="AD624" s="25"/>
      <c r="AE624" s="25"/>
      <c r="AF624" s="25"/>
      <c r="AG624" s="22" t="s">
        <v>60</v>
      </c>
      <c r="AH624" s="54">
        <v>2448.0</v>
      </c>
      <c r="AI624" s="22" t="s">
        <v>61</v>
      </c>
      <c r="AJ624" s="27">
        <v>250.0</v>
      </c>
      <c r="AK624" s="31" t="s">
        <v>24</v>
      </c>
      <c r="AL624" s="28">
        <v>44740.0</v>
      </c>
      <c r="AM624" s="29">
        <v>44757.44018518519</v>
      </c>
      <c r="AN624" s="30">
        <v>2.0</v>
      </c>
      <c r="AO624" s="22"/>
      <c r="AP624" s="22"/>
      <c r="AQ624" s="22"/>
      <c r="AR624" s="22"/>
      <c r="AS624" s="22"/>
      <c r="AT624" s="70"/>
      <c r="AU624" s="22"/>
      <c r="AV624" s="57" t="str">
        <f>IFERROR(__xludf.DUMMYFUNCTION("""COMPUTED_VALUE"""),"Webb")</f>
        <v>Webb</v>
      </c>
      <c r="AW624" s="46">
        <f t="shared" si="7"/>
        <v>500</v>
      </c>
      <c r="AX624" s="47">
        <f t="shared" ref="AX624:BQ624" si="1982">SUMIFS($AJ:$AJ,$V:$V,$AV624,$AK:$AK,AX$2)</f>
        <v>0</v>
      </c>
      <c r="AY624" s="48">
        <f t="shared" si="1982"/>
        <v>0</v>
      </c>
      <c r="AZ624" s="48">
        <f t="shared" si="1982"/>
        <v>0</v>
      </c>
      <c r="BA624" s="48">
        <f t="shared" si="1982"/>
        <v>0</v>
      </c>
      <c r="BB624" s="48">
        <f t="shared" si="1982"/>
        <v>500</v>
      </c>
      <c r="BC624" s="48">
        <f t="shared" si="1982"/>
        <v>0</v>
      </c>
      <c r="BD624" s="48">
        <f t="shared" si="1982"/>
        <v>0</v>
      </c>
      <c r="BE624" s="48">
        <f t="shared" si="1982"/>
        <v>0</v>
      </c>
      <c r="BF624" s="48">
        <f t="shared" si="1982"/>
        <v>0</v>
      </c>
      <c r="BG624" s="48">
        <f t="shared" si="1982"/>
        <v>0</v>
      </c>
      <c r="BH624" s="48">
        <f t="shared" si="1982"/>
        <v>0</v>
      </c>
      <c r="BI624" s="48">
        <f t="shared" si="1982"/>
        <v>0</v>
      </c>
      <c r="BJ624" s="48">
        <f t="shared" si="1982"/>
        <v>0</v>
      </c>
      <c r="BK624" s="48">
        <f t="shared" si="1982"/>
        <v>0</v>
      </c>
      <c r="BL624" s="48">
        <f t="shared" si="1982"/>
        <v>0</v>
      </c>
      <c r="BM624" s="48">
        <f t="shared" si="1982"/>
        <v>0</v>
      </c>
      <c r="BN624" s="48">
        <f t="shared" si="1982"/>
        <v>0</v>
      </c>
      <c r="BO624" s="48">
        <f t="shared" si="1982"/>
        <v>0</v>
      </c>
      <c r="BP624" s="48">
        <f t="shared" si="1982"/>
        <v>0</v>
      </c>
      <c r="BQ624" s="48">
        <f t="shared" si="1982"/>
        <v>0</v>
      </c>
      <c r="BR624" s="36">
        <f t="shared" si="9"/>
        <v>0</v>
      </c>
      <c r="BS624" s="38">
        <f t="shared" si="10"/>
        <v>1</v>
      </c>
      <c r="BT624" s="49">
        <f t="shared" si="11"/>
        <v>0</v>
      </c>
      <c r="BU624" s="38">
        <f t="shared" si="12"/>
        <v>1000</v>
      </c>
      <c r="BV624" s="57" t="str">
        <f>IFERROR(__xludf.DUMMYFUNCTION("""COMPUTED_VALUE"""),"Webb")</f>
        <v>Webb</v>
      </c>
      <c r="BW624" s="46">
        <f t="shared" si="13"/>
        <v>500</v>
      </c>
      <c r="BX624" s="47">
        <f t="shared" ref="BX624:CA624" si="1983">AX624-$BU624</f>
        <v>-1000</v>
      </c>
      <c r="BY624" s="47">
        <f t="shared" si="1983"/>
        <v>-1000</v>
      </c>
      <c r="BZ624" s="47">
        <f t="shared" si="1983"/>
        <v>-1000</v>
      </c>
      <c r="CA624" s="47">
        <f t="shared" si="1983"/>
        <v>-1000</v>
      </c>
      <c r="CB624" s="47">
        <f t="shared" si="15"/>
        <v>-9500</v>
      </c>
      <c r="CC624" s="47">
        <f t="shared" ref="CC624:CQ624" si="1984">BC624-$BU624</f>
        <v>-1000</v>
      </c>
      <c r="CD624" s="47">
        <f t="shared" si="1984"/>
        <v>-1000</v>
      </c>
      <c r="CE624" s="47">
        <f t="shared" si="1984"/>
        <v>-1000</v>
      </c>
      <c r="CF624" s="47">
        <f t="shared" si="1984"/>
        <v>-1000</v>
      </c>
      <c r="CG624" s="47">
        <f t="shared" si="1984"/>
        <v>-1000</v>
      </c>
      <c r="CH624" s="47">
        <f t="shared" si="1984"/>
        <v>-1000</v>
      </c>
      <c r="CI624" s="47">
        <f t="shared" si="1984"/>
        <v>-1000</v>
      </c>
      <c r="CJ624" s="47">
        <f t="shared" si="1984"/>
        <v>-1000</v>
      </c>
      <c r="CK624" s="47">
        <f t="shared" si="1984"/>
        <v>-1000</v>
      </c>
      <c r="CL624" s="47">
        <f t="shared" si="1984"/>
        <v>-1000</v>
      </c>
      <c r="CM624" s="47">
        <f t="shared" si="1984"/>
        <v>-1000</v>
      </c>
      <c r="CN624" s="47">
        <f t="shared" si="1984"/>
        <v>-1000</v>
      </c>
      <c r="CO624" s="47">
        <f t="shared" si="1984"/>
        <v>-1000</v>
      </c>
      <c r="CP624" s="47">
        <f t="shared" si="1984"/>
        <v>-1000</v>
      </c>
      <c r="CQ624" s="47">
        <f t="shared" si="1984"/>
        <v>-1000</v>
      </c>
      <c r="CR624" s="47"/>
      <c r="CS624" s="47"/>
      <c r="CT624" s="47"/>
      <c r="CU624" s="50" t="str">
        <f>IFERROR(__xludf.DUMMYFUNCTION("""COMPUTED_VALUE"""),"consulting Group LLC
600 Six Flags Dr
Arlington, TX 76011       ")</f>
        <v>consulting Group LLC
600 Six Flags Dr
Arlington, TX 76011       </v>
      </c>
      <c r="CV624" s="51">
        <f>IFERROR(__xludf.DUMMYFUNCTION("IF(REGEXMATCH(UPPER(CU624), ""TX""),0,1)"),0.0)</f>
        <v>0</v>
      </c>
      <c r="CW624" s="51">
        <f>IFERROR(__xludf.DUMMYFUNCTION("IF(REGEXMATCH(UPPER(CU624), ""DALLAS""),0,1)"),1.0)</f>
        <v>1</v>
      </c>
      <c r="CX624" s="51">
        <f t="shared" si="17"/>
        <v>0</v>
      </c>
      <c r="CY624" s="51">
        <f t="shared" si="18"/>
        <v>1000</v>
      </c>
      <c r="CZ624" s="52" t="str">
        <f t="shared" si="19"/>
        <v>consulting Group LLC
600 Six Flags Dr
Arlington, TX 76011       </v>
      </c>
      <c r="DA624" s="58"/>
      <c r="DB624" s="52"/>
      <c r="DC624" s="52"/>
      <c r="DD624" s="52"/>
      <c r="DE624" s="52"/>
      <c r="DF624" s="52"/>
      <c r="DG624" s="52"/>
      <c r="DH624" s="52"/>
      <c r="DI624" s="52"/>
      <c r="DJ624" s="52"/>
      <c r="DK624" s="52"/>
      <c r="DL624" s="52"/>
      <c r="DM624" s="52"/>
      <c r="DN624" s="52"/>
      <c r="DO624" s="52"/>
      <c r="DP624" s="52"/>
      <c r="DQ624" s="52"/>
      <c r="DR624" s="52"/>
      <c r="DS624" s="52"/>
      <c r="DT624" s="52"/>
      <c r="DU624" s="52"/>
      <c r="DV624" s="52"/>
      <c r="DW624" s="52"/>
    </row>
    <row r="625">
      <c r="A625" s="40" t="s">
        <v>55</v>
      </c>
      <c r="B625" s="41" t="s">
        <v>56</v>
      </c>
      <c r="C625" s="31" t="s">
        <v>1674</v>
      </c>
      <c r="D625" s="25" t="str">
        <f>IFERROR(__xludf.DUMMYFUNCTION("SPLIT(C625,"" "")"),"Page,")</f>
        <v>Page,</v>
      </c>
      <c r="E625" s="40" t="str">
        <f>IFERROR(__xludf.DUMMYFUNCTION("""COMPUTED_VALUE"""),"Anthony
3210")</f>
        <v>Anthony
3210</v>
      </c>
      <c r="F625" s="40" t="str">
        <f>IFERROR(__xludf.DUMMYFUNCTION("""COMPUTED_VALUE"""),"Carlisle
Dallas,")</f>
        <v>Carlisle
Dallas,</v>
      </c>
      <c r="G625" s="40" t="str">
        <f>IFERROR(__xludf.DUMMYFUNCTION("""COMPUTED_VALUE"""),"TX")</f>
        <v>TX</v>
      </c>
      <c r="H625" s="40">
        <f>IFERROR(__xludf.DUMMYFUNCTION("""COMPUTED_VALUE"""),75204.0)</f>
        <v>75204</v>
      </c>
      <c r="I625" s="40"/>
      <c r="J625" s="40"/>
      <c r="K625" s="40"/>
      <c r="L625" s="40"/>
      <c r="M625" s="40"/>
      <c r="N625" s="40"/>
      <c r="O625" s="40"/>
      <c r="P625" s="40"/>
      <c r="Q625" s="40"/>
      <c r="R625" s="40"/>
      <c r="S625" s="40"/>
      <c r="T625" s="40"/>
      <c r="U625" s="24" t="str">
        <f>IFERROR(__xludf.DUMMYFUNCTION("SPLIT(E625,""01234567890"")"),"Anthony
")</f>
        <v>Anthony
</v>
      </c>
      <c r="V625" s="24" t="str">
        <f>IFERROR(__xludf.DUMMYFUNCTION("SPLIT(D625,"","")"),"Page")</f>
        <v>Page</v>
      </c>
      <c r="W625" s="25" t="str">
        <f t="shared" si="1"/>
        <v>ANTHONY
 PAGE</v>
      </c>
      <c r="X625" s="25" t="s">
        <v>1404</v>
      </c>
      <c r="Y625" s="25">
        <v>75204.0</v>
      </c>
      <c r="Z625" s="25" t="str">
        <f>IFERROR(__xludf.DUMMYFUNCTION("SPLIT(C625,""
"")"),"Page, Anthony")</f>
        <v>Page, Anthony</v>
      </c>
      <c r="AA625" s="25" t="str">
        <f>IFERROR(__xludf.DUMMYFUNCTION("""COMPUTED_VALUE"""),"3210 Carlisle")</f>
        <v>3210 Carlisle</v>
      </c>
      <c r="AB625" s="25" t="str">
        <f>IFERROR(__xludf.DUMMYFUNCTION("""COMPUTED_VALUE"""),"Dallas, TX 75204")</f>
        <v>Dallas, TX 75204</v>
      </c>
      <c r="AC625" s="24" t="s">
        <v>676</v>
      </c>
      <c r="AD625" s="25"/>
      <c r="AE625" s="25"/>
      <c r="AF625" s="25"/>
      <c r="AG625" s="40" t="s">
        <v>60</v>
      </c>
      <c r="AH625" s="42">
        <v>2448.0</v>
      </c>
      <c r="AI625" s="40" t="s">
        <v>61</v>
      </c>
      <c r="AJ625" s="27">
        <v>250.0</v>
      </c>
      <c r="AK625" s="31" t="s">
        <v>24</v>
      </c>
      <c r="AL625" s="43">
        <v>44740.0</v>
      </c>
      <c r="AM625" s="44">
        <v>44757.44018518519</v>
      </c>
      <c r="AN625" s="30">
        <v>2.0</v>
      </c>
      <c r="AO625" s="40"/>
      <c r="AP625" s="40"/>
      <c r="AQ625" s="40"/>
      <c r="AR625" s="40"/>
      <c r="AS625" s="40"/>
      <c r="AT625" s="47"/>
      <c r="AU625" s="40"/>
      <c r="AV625" s="46" t="str">
        <f>IFERROR(__xludf.DUMMYFUNCTION("""COMPUTED_VALUE"""),"Dunning")</f>
        <v>Dunning</v>
      </c>
      <c r="AW625" s="46">
        <f t="shared" si="7"/>
        <v>10000</v>
      </c>
      <c r="AX625" s="47">
        <f t="shared" ref="AX625:BQ625" si="1985">SUMIFS($AJ:$AJ,$V:$V,$AV625,$AK:$AK,AX$2)</f>
        <v>0</v>
      </c>
      <c r="AY625" s="48">
        <f t="shared" si="1985"/>
        <v>0</v>
      </c>
      <c r="AZ625" s="48">
        <f t="shared" si="1985"/>
        <v>0</v>
      </c>
      <c r="BA625" s="48">
        <f t="shared" si="1985"/>
        <v>0</v>
      </c>
      <c r="BB625" s="48">
        <f t="shared" si="1985"/>
        <v>10000</v>
      </c>
      <c r="BC625" s="48">
        <f t="shared" si="1985"/>
        <v>0</v>
      </c>
      <c r="BD625" s="48">
        <f t="shared" si="1985"/>
        <v>0</v>
      </c>
      <c r="BE625" s="48">
        <f t="shared" si="1985"/>
        <v>0</v>
      </c>
      <c r="BF625" s="48">
        <f t="shared" si="1985"/>
        <v>0</v>
      </c>
      <c r="BG625" s="48">
        <f t="shared" si="1985"/>
        <v>0</v>
      </c>
      <c r="BH625" s="48">
        <f t="shared" si="1985"/>
        <v>0</v>
      </c>
      <c r="BI625" s="48">
        <f t="shared" si="1985"/>
        <v>0</v>
      </c>
      <c r="BJ625" s="48">
        <f t="shared" si="1985"/>
        <v>0</v>
      </c>
      <c r="BK625" s="48">
        <f t="shared" si="1985"/>
        <v>0</v>
      </c>
      <c r="BL625" s="48">
        <f t="shared" si="1985"/>
        <v>0</v>
      </c>
      <c r="BM625" s="48">
        <f t="shared" si="1985"/>
        <v>0</v>
      </c>
      <c r="BN625" s="48">
        <f t="shared" si="1985"/>
        <v>0</v>
      </c>
      <c r="BO625" s="48">
        <f t="shared" si="1985"/>
        <v>0</v>
      </c>
      <c r="BP625" s="48">
        <f t="shared" si="1985"/>
        <v>0</v>
      </c>
      <c r="BQ625" s="48">
        <f t="shared" si="1985"/>
        <v>0</v>
      </c>
      <c r="BR625" s="36">
        <f t="shared" si="9"/>
        <v>0</v>
      </c>
      <c r="BS625" s="38">
        <f t="shared" si="10"/>
        <v>1</v>
      </c>
      <c r="BT625" s="49">
        <f t="shared" si="11"/>
        <v>0</v>
      </c>
      <c r="BU625" s="38">
        <f t="shared" si="12"/>
        <v>1000</v>
      </c>
      <c r="BV625" s="46" t="str">
        <f>IFERROR(__xludf.DUMMYFUNCTION("""COMPUTED_VALUE"""),"Dunning")</f>
        <v>Dunning</v>
      </c>
      <c r="BW625" s="46">
        <f t="shared" si="13"/>
        <v>10000</v>
      </c>
      <c r="BX625" s="47">
        <f t="shared" ref="BX625:CA625" si="1986">AX625-$BU625</f>
        <v>-1000</v>
      </c>
      <c r="BY625" s="47">
        <f t="shared" si="1986"/>
        <v>-1000</v>
      </c>
      <c r="BZ625" s="47">
        <f t="shared" si="1986"/>
        <v>-1000</v>
      </c>
      <c r="CA625" s="47">
        <f t="shared" si="1986"/>
        <v>-1000</v>
      </c>
      <c r="CB625" s="47">
        <f t="shared" si="15"/>
        <v>0</v>
      </c>
      <c r="CC625" s="47">
        <f t="shared" ref="CC625:CQ625" si="1987">BC625-$BU625</f>
        <v>-1000</v>
      </c>
      <c r="CD625" s="47">
        <f t="shared" si="1987"/>
        <v>-1000</v>
      </c>
      <c r="CE625" s="47">
        <f t="shared" si="1987"/>
        <v>-1000</v>
      </c>
      <c r="CF625" s="47">
        <f t="shared" si="1987"/>
        <v>-1000</v>
      </c>
      <c r="CG625" s="47">
        <f t="shared" si="1987"/>
        <v>-1000</v>
      </c>
      <c r="CH625" s="47">
        <f t="shared" si="1987"/>
        <v>-1000</v>
      </c>
      <c r="CI625" s="47">
        <f t="shared" si="1987"/>
        <v>-1000</v>
      </c>
      <c r="CJ625" s="47">
        <f t="shared" si="1987"/>
        <v>-1000</v>
      </c>
      <c r="CK625" s="47">
        <f t="shared" si="1987"/>
        <v>-1000</v>
      </c>
      <c r="CL625" s="47">
        <f t="shared" si="1987"/>
        <v>-1000</v>
      </c>
      <c r="CM625" s="47">
        <f t="shared" si="1987"/>
        <v>-1000</v>
      </c>
      <c r="CN625" s="47">
        <f t="shared" si="1987"/>
        <v>-1000</v>
      </c>
      <c r="CO625" s="47">
        <f t="shared" si="1987"/>
        <v>-1000</v>
      </c>
      <c r="CP625" s="47">
        <f t="shared" si="1987"/>
        <v>-1000</v>
      </c>
      <c r="CQ625" s="47">
        <f t="shared" si="1987"/>
        <v>-1000</v>
      </c>
      <c r="CR625" s="47"/>
      <c r="CS625" s="47"/>
      <c r="CT625" s="47"/>
      <c r="CU625" s="50" t="str">
        <f>IFERROR(__xludf.DUMMYFUNCTION("""COMPUTED_VALUE"""),"1030 Harvest Hill
Prosper, TX 75078          ")</f>
        <v>1030 Harvest Hill
Prosper, TX 75078          </v>
      </c>
      <c r="CV625" s="51">
        <f>IFERROR(__xludf.DUMMYFUNCTION("IF(REGEXMATCH(UPPER(CU625), ""TX""),0,1)"),0.0)</f>
        <v>0</v>
      </c>
      <c r="CW625" s="51">
        <f>IFERROR(__xludf.DUMMYFUNCTION("IF(REGEXMATCH(UPPER(CU625), ""DALLAS""),0,1)"),1.0)</f>
        <v>1</v>
      </c>
      <c r="CX625" s="51">
        <f t="shared" si="17"/>
        <v>0</v>
      </c>
      <c r="CY625" s="51">
        <f t="shared" si="18"/>
        <v>100</v>
      </c>
      <c r="CZ625" s="52" t="str">
        <f t="shared" si="19"/>
        <v>1030 Harvest Hill
Prosper, TX 75078          </v>
      </c>
      <c r="DA625" s="58"/>
      <c r="DB625" s="52"/>
      <c r="DC625" s="52"/>
      <c r="DD625" s="52"/>
      <c r="DE625" s="52"/>
      <c r="DF625" s="52"/>
      <c r="DG625" s="52"/>
      <c r="DH625" s="52"/>
      <c r="DI625" s="52"/>
      <c r="DJ625" s="52"/>
      <c r="DK625" s="52"/>
      <c r="DL625" s="52"/>
      <c r="DM625" s="52"/>
      <c r="DN625" s="52"/>
      <c r="DO625" s="52"/>
      <c r="DP625" s="52"/>
      <c r="DQ625" s="52"/>
      <c r="DR625" s="52"/>
      <c r="DS625" s="52"/>
      <c r="DT625" s="52"/>
      <c r="DU625" s="52"/>
      <c r="DV625" s="52"/>
      <c r="DW625" s="52"/>
    </row>
    <row r="626">
      <c r="A626" s="22" t="s">
        <v>55</v>
      </c>
      <c r="B626" s="23" t="s">
        <v>56</v>
      </c>
      <c r="C626" s="31" t="s">
        <v>1675</v>
      </c>
      <c r="D626" s="25" t="str">
        <f>IFERROR(__xludf.DUMMYFUNCTION("SPLIT(C626,"" "")"),"Paradise,")</f>
        <v>Paradise,</v>
      </c>
      <c r="E626" s="22" t="str">
        <f>IFERROR(__xludf.DUMMYFUNCTION("""COMPUTED_VALUE"""),"Mitch
8335")</f>
        <v>Mitch
8335</v>
      </c>
      <c r="F626" s="22" t="str">
        <f>IFERROR(__xludf.DUMMYFUNCTION("""COMPUTED_VALUE"""),"San")</f>
        <v>San</v>
      </c>
      <c r="G626" s="22" t="str">
        <f>IFERROR(__xludf.DUMMYFUNCTION("""COMPUTED_VALUE"""),"Fernando")</f>
        <v>Fernando</v>
      </c>
      <c r="H626" s="22" t="str">
        <f>IFERROR(__xludf.DUMMYFUNCTION("""COMPUTED_VALUE"""),"Way
Dallas,")</f>
        <v>Way
Dallas,</v>
      </c>
      <c r="I626" s="22" t="str">
        <f>IFERROR(__xludf.DUMMYFUNCTION("""COMPUTED_VALUE"""),"TX")</f>
        <v>TX</v>
      </c>
      <c r="J626" s="22">
        <f>IFERROR(__xludf.DUMMYFUNCTION("""COMPUTED_VALUE"""),75218.0)</f>
        <v>75218</v>
      </c>
      <c r="K626" s="22"/>
      <c r="L626" s="22"/>
      <c r="M626" s="22"/>
      <c r="N626" s="22"/>
      <c r="O626" s="22"/>
      <c r="P626" s="22"/>
      <c r="Q626" s="22"/>
      <c r="R626" s="22"/>
      <c r="S626" s="22"/>
      <c r="T626" s="22"/>
      <c r="U626" s="24" t="str">
        <f>IFERROR(__xludf.DUMMYFUNCTION("SPLIT(E626,""01234567890"")"),"Mitch
")</f>
        <v>Mitch
</v>
      </c>
      <c r="V626" s="24" t="str">
        <f>IFERROR(__xludf.DUMMYFUNCTION("SPLIT(D626,"","")"),"Paradise")</f>
        <v>Paradise</v>
      </c>
      <c r="W626" s="25" t="str">
        <f t="shared" si="1"/>
        <v>MITCH
 PARADISE</v>
      </c>
      <c r="X626" s="25" t="s">
        <v>1676</v>
      </c>
      <c r="Y626" s="25">
        <v>75218.0</v>
      </c>
      <c r="Z626" s="25" t="str">
        <f>IFERROR(__xludf.DUMMYFUNCTION("SPLIT(C626,""
"")"),"Paradise, Mitch")</f>
        <v>Paradise, Mitch</v>
      </c>
      <c r="AA626" s="25" t="str">
        <f>IFERROR(__xludf.DUMMYFUNCTION("""COMPUTED_VALUE"""),"8335 San Fernando Way")</f>
        <v>8335 San Fernando Way</v>
      </c>
      <c r="AB626" s="25" t="str">
        <f>IFERROR(__xludf.DUMMYFUNCTION("""COMPUTED_VALUE"""),"Dallas, TX 75218")</f>
        <v>Dallas, TX 75218</v>
      </c>
      <c r="AC626" s="24" t="s">
        <v>1677</v>
      </c>
      <c r="AD626" s="25"/>
      <c r="AE626" s="25"/>
      <c r="AF626" s="25"/>
      <c r="AG626" s="22" t="s">
        <v>60</v>
      </c>
      <c r="AH626" s="54">
        <v>2448.0</v>
      </c>
      <c r="AI626" s="22" t="s">
        <v>61</v>
      </c>
      <c r="AJ626" s="27">
        <v>100.0</v>
      </c>
      <c r="AK626" s="31" t="s">
        <v>24</v>
      </c>
      <c r="AL626" s="28">
        <v>44740.0</v>
      </c>
      <c r="AM626" s="29">
        <v>44757.44018518519</v>
      </c>
      <c r="AN626" s="30">
        <v>2.0</v>
      </c>
      <c r="AO626" s="22"/>
      <c r="AP626" s="22"/>
      <c r="AQ626" s="22"/>
      <c r="AR626" s="22"/>
      <c r="AS626" s="22"/>
      <c r="AT626" s="70"/>
      <c r="AU626" s="22"/>
      <c r="AV626" s="57" t="str">
        <f>IFERROR(__xludf.DUMMYFUNCTION("""COMPUTED_VALUE"""),"Sadler")</f>
        <v>Sadler</v>
      </c>
      <c r="AW626" s="46">
        <f t="shared" si="7"/>
        <v>50</v>
      </c>
      <c r="AX626" s="47">
        <f t="shared" ref="AX626:BQ626" si="1988">SUMIFS($AJ:$AJ,$V:$V,$AV626,$AK:$AK,AX$2)</f>
        <v>0</v>
      </c>
      <c r="AY626" s="48">
        <f t="shared" si="1988"/>
        <v>0</v>
      </c>
      <c r="AZ626" s="48">
        <f t="shared" si="1988"/>
        <v>0</v>
      </c>
      <c r="BA626" s="48">
        <f t="shared" si="1988"/>
        <v>0</v>
      </c>
      <c r="BB626" s="48">
        <f t="shared" si="1988"/>
        <v>50</v>
      </c>
      <c r="BC626" s="48">
        <f t="shared" si="1988"/>
        <v>0</v>
      </c>
      <c r="BD626" s="48">
        <f t="shared" si="1988"/>
        <v>0</v>
      </c>
      <c r="BE626" s="48">
        <f t="shared" si="1988"/>
        <v>0</v>
      </c>
      <c r="BF626" s="48">
        <f t="shared" si="1988"/>
        <v>0</v>
      </c>
      <c r="BG626" s="48">
        <f t="shared" si="1988"/>
        <v>0</v>
      </c>
      <c r="BH626" s="48">
        <f t="shared" si="1988"/>
        <v>0</v>
      </c>
      <c r="BI626" s="48">
        <f t="shared" si="1988"/>
        <v>0</v>
      </c>
      <c r="BJ626" s="48">
        <f t="shared" si="1988"/>
        <v>0</v>
      </c>
      <c r="BK626" s="48">
        <f t="shared" si="1988"/>
        <v>0</v>
      </c>
      <c r="BL626" s="48">
        <f t="shared" si="1988"/>
        <v>0</v>
      </c>
      <c r="BM626" s="48">
        <f t="shared" si="1988"/>
        <v>0</v>
      </c>
      <c r="BN626" s="48">
        <f t="shared" si="1988"/>
        <v>0</v>
      </c>
      <c r="BO626" s="48">
        <f t="shared" si="1988"/>
        <v>0</v>
      </c>
      <c r="BP626" s="48">
        <f t="shared" si="1988"/>
        <v>0</v>
      </c>
      <c r="BQ626" s="48">
        <f t="shared" si="1988"/>
        <v>0</v>
      </c>
      <c r="BR626" s="36">
        <f t="shared" si="9"/>
        <v>0</v>
      </c>
      <c r="BS626" s="38">
        <f t="shared" si="10"/>
        <v>1</v>
      </c>
      <c r="BT626" s="49">
        <f t="shared" si="11"/>
        <v>0</v>
      </c>
      <c r="BU626" s="38">
        <f t="shared" si="12"/>
        <v>1000</v>
      </c>
      <c r="BV626" s="57" t="str">
        <f>IFERROR(__xludf.DUMMYFUNCTION("""COMPUTED_VALUE"""),"Sadler")</f>
        <v>Sadler</v>
      </c>
      <c r="BW626" s="46">
        <f t="shared" si="13"/>
        <v>50</v>
      </c>
      <c r="BX626" s="47">
        <f t="shared" ref="BX626:CA626" si="1989">AX626-$BU626</f>
        <v>-1000</v>
      </c>
      <c r="BY626" s="47">
        <f t="shared" si="1989"/>
        <v>-1000</v>
      </c>
      <c r="BZ626" s="47">
        <f t="shared" si="1989"/>
        <v>-1000</v>
      </c>
      <c r="CA626" s="47">
        <f t="shared" si="1989"/>
        <v>-1000</v>
      </c>
      <c r="CB626" s="47">
        <f t="shared" si="15"/>
        <v>-9950</v>
      </c>
      <c r="CC626" s="47">
        <f t="shared" ref="CC626:CQ626" si="1990">BC626-$BU626</f>
        <v>-1000</v>
      </c>
      <c r="CD626" s="47">
        <f t="shared" si="1990"/>
        <v>-1000</v>
      </c>
      <c r="CE626" s="47">
        <f t="shared" si="1990"/>
        <v>-1000</v>
      </c>
      <c r="CF626" s="47">
        <f t="shared" si="1990"/>
        <v>-1000</v>
      </c>
      <c r="CG626" s="47">
        <f t="shared" si="1990"/>
        <v>-1000</v>
      </c>
      <c r="CH626" s="47">
        <f t="shared" si="1990"/>
        <v>-1000</v>
      </c>
      <c r="CI626" s="47">
        <f t="shared" si="1990"/>
        <v>-1000</v>
      </c>
      <c r="CJ626" s="47">
        <f t="shared" si="1990"/>
        <v>-1000</v>
      </c>
      <c r="CK626" s="47">
        <f t="shared" si="1990"/>
        <v>-1000</v>
      </c>
      <c r="CL626" s="47">
        <f t="shared" si="1990"/>
        <v>-1000</v>
      </c>
      <c r="CM626" s="47">
        <f t="shared" si="1990"/>
        <v>-1000</v>
      </c>
      <c r="CN626" s="47">
        <f t="shared" si="1990"/>
        <v>-1000</v>
      </c>
      <c r="CO626" s="47">
        <f t="shared" si="1990"/>
        <v>-1000</v>
      </c>
      <c r="CP626" s="47">
        <f t="shared" si="1990"/>
        <v>-1000</v>
      </c>
      <c r="CQ626" s="47">
        <f t="shared" si="1990"/>
        <v>-1000</v>
      </c>
      <c r="CR626" s="47"/>
      <c r="CS626" s="47"/>
      <c r="CT626" s="47"/>
      <c r="CU626" s="50" t="str">
        <f>IFERROR(__xludf.DUMMYFUNCTION("""COMPUTED_VALUE"""),"1900 North Akard St
Dallas, TX 75201         ")</f>
        <v>1900 North Akard St
Dallas, TX 75201         </v>
      </c>
      <c r="CV626" s="51">
        <f>IFERROR(__xludf.DUMMYFUNCTION("IF(REGEXMATCH(UPPER(CU626), ""TX""),0,1)"),0.0)</f>
        <v>0</v>
      </c>
      <c r="CW626" s="51">
        <f>IFERROR(__xludf.DUMMYFUNCTION("IF(REGEXMATCH(UPPER(CU626), ""DALLAS""),0,1)"),0.0)</f>
        <v>0</v>
      </c>
      <c r="CX626" s="51">
        <f t="shared" si="17"/>
        <v>0</v>
      </c>
      <c r="CY626" s="51">
        <f t="shared" si="18"/>
        <v>0</v>
      </c>
      <c r="CZ626" s="52" t="str">
        <f t="shared" si="19"/>
        <v/>
      </c>
      <c r="DA626" s="58"/>
      <c r="DB626" s="52"/>
      <c r="DC626" s="52"/>
      <c r="DD626" s="52"/>
      <c r="DE626" s="52"/>
      <c r="DF626" s="52"/>
      <c r="DG626" s="52"/>
      <c r="DH626" s="52"/>
      <c r="DI626" s="52"/>
      <c r="DJ626" s="52"/>
      <c r="DK626" s="52"/>
      <c r="DL626" s="52"/>
      <c r="DM626" s="52"/>
      <c r="DN626" s="52"/>
      <c r="DO626" s="52"/>
      <c r="DP626" s="52"/>
      <c r="DQ626" s="52"/>
      <c r="DR626" s="52"/>
      <c r="DS626" s="52"/>
      <c r="DT626" s="52"/>
      <c r="DU626" s="52"/>
      <c r="DV626" s="52"/>
      <c r="DW626" s="52"/>
    </row>
    <row r="627">
      <c r="A627" s="40" t="s">
        <v>55</v>
      </c>
      <c r="B627" s="41" t="s">
        <v>56</v>
      </c>
      <c r="C627" s="31" t="s">
        <v>1678</v>
      </c>
      <c r="D627" s="25" t="str">
        <f>IFERROR(__xludf.DUMMYFUNCTION("SPLIT(C627,"" "")"),"Perdue,")</f>
        <v>Perdue,</v>
      </c>
      <c r="E627" s="40" t="str">
        <f>IFERROR(__xludf.DUMMYFUNCTION("""COMPUTED_VALUE"""),"Rick
7712")</f>
        <v>Rick
7712</v>
      </c>
      <c r="F627" s="40" t="str">
        <f>IFERROR(__xludf.DUMMYFUNCTION("""COMPUTED_VALUE"""),"Southwestern")</f>
        <v>Southwestern</v>
      </c>
      <c r="G627" s="40" t="str">
        <f>IFERROR(__xludf.DUMMYFUNCTION("""COMPUTED_VALUE"""),"Blvd
Dallas,")</f>
        <v>Blvd
Dallas,</v>
      </c>
      <c r="H627" s="40" t="str">
        <f>IFERROR(__xludf.DUMMYFUNCTION("""COMPUTED_VALUE"""),"TX")</f>
        <v>TX</v>
      </c>
      <c r="I627" s="40">
        <f>IFERROR(__xludf.DUMMYFUNCTION("""COMPUTED_VALUE"""),75225.0)</f>
        <v>75225</v>
      </c>
      <c r="J627" s="40"/>
      <c r="K627" s="40"/>
      <c r="L627" s="40"/>
      <c r="M627" s="40"/>
      <c r="N627" s="40"/>
      <c r="O627" s="40"/>
      <c r="P627" s="40"/>
      <c r="Q627" s="40"/>
      <c r="R627" s="40"/>
      <c r="S627" s="40"/>
      <c r="T627" s="40"/>
      <c r="U627" s="24" t="str">
        <f>IFERROR(__xludf.DUMMYFUNCTION("SPLIT(E627,""01234567890"")"),"Rick
")</f>
        <v>Rick
</v>
      </c>
      <c r="V627" s="24" t="str">
        <f>IFERROR(__xludf.DUMMYFUNCTION("SPLIT(D627,"","")"),"Perdue")</f>
        <v>Perdue</v>
      </c>
      <c r="W627" s="25" t="str">
        <f t="shared" si="1"/>
        <v>RICK
 PERDUE</v>
      </c>
      <c r="X627" s="25" t="s">
        <v>1679</v>
      </c>
      <c r="Y627" s="25">
        <v>75225.0</v>
      </c>
      <c r="Z627" s="25" t="str">
        <f>IFERROR(__xludf.DUMMYFUNCTION("SPLIT(C627,""
"")"),"Perdue, Rick")</f>
        <v>Perdue, Rick</v>
      </c>
      <c r="AA627" s="25" t="str">
        <f>IFERROR(__xludf.DUMMYFUNCTION("""COMPUTED_VALUE"""),"7712 Southwestern Blvd")</f>
        <v>7712 Southwestern Blvd</v>
      </c>
      <c r="AB627" s="25" t="str">
        <f>IFERROR(__xludf.DUMMYFUNCTION("""COMPUTED_VALUE"""),"Dallas, TX 75225")</f>
        <v>Dallas, TX 75225</v>
      </c>
      <c r="AC627" s="24" t="s">
        <v>1215</v>
      </c>
      <c r="AD627" s="25"/>
      <c r="AE627" s="25"/>
      <c r="AF627" s="25"/>
      <c r="AG627" s="40" t="s">
        <v>60</v>
      </c>
      <c r="AH627" s="42">
        <v>2448.0</v>
      </c>
      <c r="AI627" s="40" t="s">
        <v>61</v>
      </c>
      <c r="AJ627" s="27">
        <v>1000.0</v>
      </c>
      <c r="AK627" s="31" t="s">
        <v>24</v>
      </c>
      <c r="AL627" s="43">
        <v>44740.0</v>
      </c>
      <c r="AM627" s="44">
        <v>44757.44018518519</v>
      </c>
      <c r="AN627" s="30">
        <v>2.0</v>
      </c>
      <c r="AO627" s="40"/>
      <c r="AP627" s="40"/>
      <c r="AQ627" s="40"/>
      <c r="AR627" s="40"/>
      <c r="AS627" s="40"/>
      <c r="AT627" s="47"/>
      <c r="AU627" s="40"/>
      <c r="AV627" s="46" t="str">
        <f>IFERROR(__xludf.DUMMYFUNCTION("""COMPUTED_VALUE"""),"Walters")</f>
        <v>Walters</v>
      </c>
      <c r="AW627" s="46">
        <f t="shared" si="7"/>
        <v>1000</v>
      </c>
      <c r="AX627" s="47">
        <f t="shared" ref="AX627:BQ627" si="1991">SUMIFS($AJ:$AJ,$V:$V,$AV627,$AK:$AK,AX$2)</f>
        <v>0</v>
      </c>
      <c r="AY627" s="48">
        <f t="shared" si="1991"/>
        <v>0</v>
      </c>
      <c r="AZ627" s="48">
        <f t="shared" si="1991"/>
        <v>0</v>
      </c>
      <c r="BA627" s="48">
        <f t="shared" si="1991"/>
        <v>0</v>
      </c>
      <c r="BB627" s="48">
        <f t="shared" si="1991"/>
        <v>1000</v>
      </c>
      <c r="BC627" s="48">
        <f t="shared" si="1991"/>
        <v>0</v>
      </c>
      <c r="BD627" s="48">
        <f t="shared" si="1991"/>
        <v>0</v>
      </c>
      <c r="BE627" s="48">
        <f t="shared" si="1991"/>
        <v>0</v>
      </c>
      <c r="BF627" s="48">
        <f t="shared" si="1991"/>
        <v>0</v>
      </c>
      <c r="BG627" s="48">
        <f t="shared" si="1991"/>
        <v>0</v>
      </c>
      <c r="BH627" s="48">
        <f t="shared" si="1991"/>
        <v>0</v>
      </c>
      <c r="BI627" s="48">
        <f t="shared" si="1991"/>
        <v>0</v>
      </c>
      <c r="BJ627" s="48">
        <f t="shared" si="1991"/>
        <v>0</v>
      </c>
      <c r="BK627" s="48">
        <f t="shared" si="1991"/>
        <v>0</v>
      </c>
      <c r="BL627" s="48">
        <f t="shared" si="1991"/>
        <v>0</v>
      </c>
      <c r="BM627" s="48">
        <f t="shared" si="1991"/>
        <v>0</v>
      </c>
      <c r="BN627" s="48">
        <f t="shared" si="1991"/>
        <v>0</v>
      </c>
      <c r="BO627" s="48">
        <f t="shared" si="1991"/>
        <v>0</v>
      </c>
      <c r="BP627" s="48">
        <f t="shared" si="1991"/>
        <v>0</v>
      </c>
      <c r="BQ627" s="48">
        <f t="shared" si="1991"/>
        <v>0</v>
      </c>
      <c r="BR627" s="36">
        <f t="shared" si="9"/>
        <v>0</v>
      </c>
      <c r="BS627" s="38">
        <f t="shared" si="10"/>
        <v>1</v>
      </c>
      <c r="BT627" s="49">
        <f t="shared" si="11"/>
        <v>0</v>
      </c>
      <c r="BU627" s="38">
        <f t="shared" si="12"/>
        <v>1000</v>
      </c>
      <c r="BV627" s="46" t="str">
        <f>IFERROR(__xludf.DUMMYFUNCTION("""COMPUTED_VALUE"""),"Walters")</f>
        <v>Walters</v>
      </c>
      <c r="BW627" s="46">
        <f t="shared" si="13"/>
        <v>1000</v>
      </c>
      <c r="BX627" s="47">
        <f t="shared" ref="BX627:CA627" si="1992">AX627-$BU627</f>
        <v>-1000</v>
      </c>
      <c r="BY627" s="47">
        <f t="shared" si="1992"/>
        <v>-1000</v>
      </c>
      <c r="BZ627" s="47">
        <f t="shared" si="1992"/>
        <v>-1000</v>
      </c>
      <c r="CA627" s="47">
        <f t="shared" si="1992"/>
        <v>-1000</v>
      </c>
      <c r="CB627" s="47">
        <f t="shared" si="15"/>
        <v>-9000</v>
      </c>
      <c r="CC627" s="47">
        <f t="shared" ref="CC627:CQ627" si="1993">BC627-$BU627</f>
        <v>-1000</v>
      </c>
      <c r="CD627" s="47">
        <f t="shared" si="1993"/>
        <v>-1000</v>
      </c>
      <c r="CE627" s="47">
        <f t="shared" si="1993"/>
        <v>-1000</v>
      </c>
      <c r="CF627" s="47">
        <f t="shared" si="1993"/>
        <v>-1000</v>
      </c>
      <c r="CG627" s="47">
        <f t="shared" si="1993"/>
        <v>-1000</v>
      </c>
      <c r="CH627" s="47">
        <f t="shared" si="1993"/>
        <v>-1000</v>
      </c>
      <c r="CI627" s="47">
        <f t="shared" si="1993"/>
        <v>-1000</v>
      </c>
      <c r="CJ627" s="47">
        <f t="shared" si="1993"/>
        <v>-1000</v>
      </c>
      <c r="CK627" s="47">
        <f t="shared" si="1993"/>
        <v>-1000</v>
      </c>
      <c r="CL627" s="47">
        <f t="shared" si="1993"/>
        <v>-1000</v>
      </c>
      <c r="CM627" s="47">
        <f t="shared" si="1993"/>
        <v>-1000</v>
      </c>
      <c r="CN627" s="47">
        <f t="shared" si="1993"/>
        <v>-1000</v>
      </c>
      <c r="CO627" s="47">
        <f t="shared" si="1993"/>
        <v>-1000</v>
      </c>
      <c r="CP627" s="47">
        <f t="shared" si="1993"/>
        <v>-1000</v>
      </c>
      <c r="CQ627" s="47">
        <f t="shared" si="1993"/>
        <v>-1000</v>
      </c>
      <c r="CR627" s="47"/>
      <c r="CS627" s="47"/>
      <c r="CT627" s="47"/>
      <c r="CU627" s="50" t="str">
        <f>IFERROR(__xludf.DUMMYFUNCTION("""COMPUTED_VALUE"""),"9314 Bill Browne Lane
Dallas, TX 75243         ")</f>
        <v>9314 Bill Browne Lane
Dallas, TX 75243         </v>
      </c>
      <c r="CV627" s="51">
        <f>IFERROR(__xludf.DUMMYFUNCTION("IF(REGEXMATCH(UPPER(CU627), ""TX""),0,1)"),0.0)</f>
        <v>0</v>
      </c>
      <c r="CW627" s="51">
        <f>IFERROR(__xludf.DUMMYFUNCTION("IF(REGEXMATCH(UPPER(CU627), ""DALLAS""),0,1)"),0.0)</f>
        <v>0</v>
      </c>
      <c r="CX627" s="51">
        <f t="shared" si="17"/>
        <v>0</v>
      </c>
      <c r="CY627" s="51">
        <f t="shared" si="18"/>
        <v>0</v>
      </c>
      <c r="CZ627" s="52" t="str">
        <f t="shared" si="19"/>
        <v/>
      </c>
      <c r="DA627" s="58"/>
      <c r="DB627" s="52"/>
      <c r="DC627" s="52"/>
      <c r="DD627" s="52"/>
      <c r="DE627" s="52"/>
      <c r="DF627" s="52"/>
      <c r="DG627" s="52"/>
      <c r="DH627" s="52"/>
      <c r="DI627" s="52"/>
      <c r="DJ627" s="52"/>
      <c r="DK627" s="52"/>
      <c r="DL627" s="52"/>
      <c r="DM627" s="52"/>
      <c r="DN627" s="52"/>
      <c r="DO627" s="52"/>
      <c r="DP627" s="52"/>
      <c r="DQ627" s="52"/>
      <c r="DR627" s="52"/>
      <c r="DS627" s="52"/>
      <c r="DT627" s="52"/>
      <c r="DU627" s="52"/>
      <c r="DV627" s="52"/>
      <c r="DW627" s="52"/>
    </row>
    <row r="628">
      <c r="A628" s="22" t="s">
        <v>55</v>
      </c>
      <c r="B628" s="23" t="s">
        <v>56</v>
      </c>
      <c r="C628" s="31" t="s">
        <v>1680</v>
      </c>
      <c r="D628" s="25" t="str">
        <f>IFERROR(__xludf.DUMMYFUNCTION("SPLIT(C628,"" "")"),"Pittman,")</f>
        <v>Pittman,</v>
      </c>
      <c r="E628" s="22" t="str">
        <f>IFERROR(__xludf.DUMMYFUNCTION("""COMPUTED_VALUE"""),"David
6232")</f>
        <v>David
6232</v>
      </c>
      <c r="F628" s="22" t="str">
        <f>IFERROR(__xludf.DUMMYFUNCTION("""COMPUTED_VALUE"""),"Highgate")</f>
        <v>Highgate</v>
      </c>
      <c r="G628" s="22" t="str">
        <f>IFERROR(__xludf.DUMMYFUNCTION("""COMPUTED_VALUE"""),"Ln
Dallas,")</f>
        <v>Ln
Dallas,</v>
      </c>
      <c r="H628" s="22" t="str">
        <f>IFERROR(__xludf.DUMMYFUNCTION("""COMPUTED_VALUE"""),"TX")</f>
        <v>TX</v>
      </c>
      <c r="I628" s="22">
        <f>IFERROR(__xludf.DUMMYFUNCTION("""COMPUTED_VALUE"""),75214.0)</f>
        <v>75214</v>
      </c>
      <c r="J628" s="22"/>
      <c r="K628" s="22"/>
      <c r="L628" s="22"/>
      <c r="M628" s="22"/>
      <c r="N628" s="22"/>
      <c r="O628" s="22"/>
      <c r="P628" s="22"/>
      <c r="Q628" s="22"/>
      <c r="R628" s="22"/>
      <c r="S628" s="22"/>
      <c r="T628" s="22"/>
      <c r="U628" s="24" t="str">
        <f>IFERROR(__xludf.DUMMYFUNCTION("SPLIT(E628,""01234567890"")"),"David
")</f>
        <v>David
</v>
      </c>
      <c r="V628" s="24" t="str">
        <f>IFERROR(__xludf.DUMMYFUNCTION("SPLIT(D628,"","")"),"Pittman")</f>
        <v>Pittman</v>
      </c>
      <c r="W628" s="25" t="str">
        <f t="shared" si="1"/>
        <v>DAVID
 PITTMAN</v>
      </c>
      <c r="X628" s="25" t="s">
        <v>1681</v>
      </c>
      <c r="Y628" s="25">
        <v>75214.0</v>
      </c>
      <c r="Z628" s="25" t="str">
        <f>IFERROR(__xludf.DUMMYFUNCTION("SPLIT(C628,""
"")"),"Pittman, David")</f>
        <v>Pittman, David</v>
      </c>
      <c r="AA628" s="25" t="str">
        <f>IFERROR(__xludf.DUMMYFUNCTION("""COMPUTED_VALUE"""),"6232 Highgate Ln")</f>
        <v>6232 Highgate Ln</v>
      </c>
      <c r="AB628" s="25" t="str">
        <f>IFERROR(__xludf.DUMMYFUNCTION("""COMPUTED_VALUE"""),"Dallas, TX 75214")</f>
        <v>Dallas, TX 75214</v>
      </c>
      <c r="AC628" s="24" t="s">
        <v>1682</v>
      </c>
      <c r="AD628" s="25"/>
      <c r="AE628" s="25"/>
      <c r="AF628" s="25"/>
      <c r="AG628" s="22" t="s">
        <v>60</v>
      </c>
      <c r="AH628" s="54">
        <v>2448.0</v>
      </c>
      <c r="AI628" s="22" t="s">
        <v>61</v>
      </c>
      <c r="AJ628" s="27">
        <v>100.0</v>
      </c>
      <c r="AK628" s="31" t="s">
        <v>24</v>
      </c>
      <c r="AL628" s="28">
        <v>44740.0</v>
      </c>
      <c r="AM628" s="29">
        <v>44757.44018518519</v>
      </c>
      <c r="AN628" s="30">
        <v>2.0</v>
      </c>
      <c r="AO628" s="22"/>
      <c r="AP628" s="22"/>
      <c r="AQ628" s="22"/>
      <c r="AR628" s="22"/>
      <c r="AS628" s="22"/>
      <c r="AT628" s="70"/>
      <c r="AU628" s="22"/>
      <c r="AV628" s="57" t="str">
        <f>IFERROR(__xludf.DUMMYFUNCTION("""COMPUTED_VALUE"""),"Malveaux")</f>
        <v>Malveaux</v>
      </c>
      <c r="AW628" s="46">
        <f t="shared" si="7"/>
        <v>5000</v>
      </c>
      <c r="AX628" s="47">
        <f t="shared" ref="AX628:BQ628" si="1994">SUMIFS($AJ:$AJ,$V:$V,$AV628,$AK:$AK,AX$2)</f>
        <v>0</v>
      </c>
      <c r="AY628" s="48">
        <f t="shared" si="1994"/>
        <v>0</v>
      </c>
      <c r="AZ628" s="48">
        <f t="shared" si="1994"/>
        <v>0</v>
      </c>
      <c r="BA628" s="48">
        <f t="shared" si="1994"/>
        <v>0</v>
      </c>
      <c r="BB628" s="48">
        <f t="shared" si="1994"/>
        <v>5000</v>
      </c>
      <c r="BC628" s="48">
        <f t="shared" si="1994"/>
        <v>0</v>
      </c>
      <c r="BD628" s="48">
        <f t="shared" si="1994"/>
        <v>0</v>
      </c>
      <c r="BE628" s="48">
        <f t="shared" si="1994"/>
        <v>0</v>
      </c>
      <c r="BF628" s="48">
        <f t="shared" si="1994"/>
        <v>0</v>
      </c>
      <c r="BG628" s="48">
        <f t="shared" si="1994"/>
        <v>0</v>
      </c>
      <c r="BH628" s="48">
        <f t="shared" si="1994"/>
        <v>0</v>
      </c>
      <c r="BI628" s="48">
        <f t="shared" si="1994"/>
        <v>0</v>
      </c>
      <c r="BJ628" s="48">
        <f t="shared" si="1994"/>
        <v>0</v>
      </c>
      <c r="BK628" s="48">
        <f t="shared" si="1994"/>
        <v>0</v>
      </c>
      <c r="BL628" s="48">
        <f t="shared" si="1994"/>
        <v>0</v>
      </c>
      <c r="BM628" s="48">
        <f t="shared" si="1994"/>
        <v>0</v>
      </c>
      <c r="BN628" s="48">
        <f t="shared" si="1994"/>
        <v>0</v>
      </c>
      <c r="BO628" s="48">
        <f t="shared" si="1994"/>
        <v>0</v>
      </c>
      <c r="BP628" s="48">
        <f t="shared" si="1994"/>
        <v>0</v>
      </c>
      <c r="BQ628" s="48">
        <f t="shared" si="1994"/>
        <v>0</v>
      </c>
      <c r="BR628" s="36">
        <f t="shared" si="9"/>
        <v>0</v>
      </c>
      <c r="BS628" s="38">
        <f t="shared" si="10"/>
        <v>1</v>
      </c>
      <c r="BT628" s="49">
        <f t="shared" si="11"/>
        <v>0</v>
      </c>
      <c r="BU628" s="38">
        <f t="shared" si="12"/>
        <v>1000</v>
      </c>
      <c r="BV628" s="57" t="str">
        <f>IFERROR(__xludf.DUMMYFUNCTION("""COMPUTED_VALUE"""),"Malveaux")</f>
        <v>Malveaux</v>
      </c>
      <c r="BW628" s="46">
        <f t="shared" si="13"/>
        <v>5000</v>
      </c>
      <c r="BX628" s="47">
        <f t="shared" ref="BX628:CA628" si="1995">AX628-$BU628</f>
        <v>-1000</v>
      </c>
      <c r="BY628" s="47">
        <f t="shared" si="1995"/>
        <v>-1000</v>
      </c>
      <c r="BZ628" s="47">
        <f t="shared" si="1995"/>
        <v>-1000</v>
      </c>
      <c r="CA628" s="47">
        <f t="shared" si="1995"/>
        <v>-1000</v>
      </c>
      <c r="CB628" s="47">
        <f t="shared" si="15"/>
        <v>-5000</v>
      </c>
      <c r="CC628" s="47">
        <f t="shared" ref="CC628:CQ628" si="1996">BC628-$BU628</f>
        <v>-1000</v>
      </c>
      <c r="CD628" s="47">
        <f t="shared" si="1996"/>
        <v>-1000</v>
      </c>
      <c r="CE628" s="47">
        <f t="shared" si="1996"/>
        <v>-1000</v>
      </c>
      <c r="CF628" s="47">
        <f t="shared" si="1996"/>
        <v>-1000</v>
      </c>
      <c r="CG628" s="47">
        <f t="shared" si="1996"/>
        <v>-1000</v>
      </c>
      <c r="CH628" s="47">
        <f t="shared" si="1996"/>
        <v>-1000</v>
      </c>
      <c r="CI628" s="47">
        <f t="shared" si="1996"/>
        <v>-1000</v>
      </c>
      <c r="CJ628" s="47">
        <f t="shared" si="1996"/>
        <v>-1000</v>
      </c>
      <c r="CK628" s="47">
        <f t="shared" si="1996"/>
        <v>-1000</v>
      </c>
      <c r="CL628" s="47">
        <f t="shared" si="1996"/>
        <v>-1000</v>
      </c>
      <c r="CM628" s="47">
        <f t="shared" si="1996"/>
        <v>-1000</v>
      </c>
      <c r="CN628" s="47">
        <f t="shared" si="1996"/>
        <v>-1000</v>
      </c>
      <c r="CO628" s="47">
        <f t="shared" si="1996"/>
        <v>-1000</v>
      </c>
      <c r="CP628" s="47">
        <f t="shared" si="1996"/>
        <v>-1000</v>
      </c>
      <c r="CQ628" s="47">
        <f t="shared" si="1996"/>
        <v>-1000</v>
      </c>
      <c r="CR628" s="47"/>
      <c r="CS628" s="47"/>
      <c r="CT628" s="47"/>
      <c r="CU628" s="50" t="str">
        <f>IFERROR(__xludf.DUMMYFUNCTION("""COMPUTED_VALUE"""),"10102 Candlebrook Dr.
Dallas, TX 75243          ")</f>
        <v>10102 Candlebrook Dr.
Dallas, TX 75243          </v>
      </c>
      <c r="CV628" s="51">
        <f>IFERROR(__xludf.DUMMYFUNCTION("IF(REGEXMATCH(UPPER(CU628), ""TX""),0,1)"),0.0)</f>
        <v>0</v>
      </c>
      <c r="CW628" s="51">
        <f>IFERROR(__xludf.DUMMYFUNCTION("IF(REGEXMATCH(UPPER(CU628), ""DALLAS""),0,1)"),0.0)</f>
        <v>0</v>
      </c>
      <c r="CX628" s="51">
        <f t="shared" si="17"/>
        <v>0</v>
      </c>
      <c r="CY628" s="51">
        <f t="shared" si="18"/>
        <v>0</v>
      </c>
      <c r="CZ628" s="52" t="str">
        <f t="shared" si="19"/>
        <v/>
      </c>
      <c r="DA628" s="58"/>
      <c r="DB628" s="52"/>
      <c r="DC628" s="52"/>
      <c r="DD628" s="52"/>
      <c r="DE628" s="52"/>
      <c r="DF628" s="52"/>
      <c r="DG628" s="52"/>
      <c r="DH628" s="52"/>
      <c r="DI628" s="52"/>
      <c r="DJ628" s="52"/>
      <c r="DK628" s="52"/>
      <c r="DL628" s="52"/>
      <c r="DM628" s="52"/>
      <c r="DN628" s="52"/>
      <c r="DO628" s="52"/>
      <c r="DP628" s="52"/>
      <c r="DQ628" s="52"/>
      <c r="DR628" s="52"/>
      <c r="DS628" s="52"/>
      <c r="DT628" s="52"/>
      <c r="DU628" s="52"/>
      <c r="DV628" s="52"/>
      <c r="DW628" s="52"/>
    </row>
    <row r="629">
      <c r="A629" s="40" t="s">
        <v>55</v>
      </c>
      <c r="B629" s="41" t="s">
        <v>56</v>
      </c>
      <c r="C629" s="31" t="s">
        <v>1683</v>
      </c>
      <c r="D629" s="25" t="str">
        <f>IFERROR(__xludf.DUMMYFUNCTION("SPLIT(C629,"" "")"),"Spellicy,")</f>
        <v>Spellicy,</v>
      </c>
      <c r="E629" s="40" t="str">
        <f>IFERROR(__xludf.DUMMYFUNCTION("""COMPUTED_VALUE"""),"Courtney
7117")</f>
        <v>Courtney
7117</v>
      </c>
      <c r="F629" s="40" t="str">
        <f>IFERROR(__xludf.DUMMYFUNCTION("""COMPUTED_VALUE"""),"Wake")</f>
        <v>Wake</v>
      </c>
      <c r="G629" s="40" t="str">
        <f>IFERROR(__xludf.DUMMYFUNCTION("""COMPUTED_VALUE"""),"Forest")</f>
        <v>Forest</v>
      </c>
      <c r="H629" s="40" t="str">
        <f>IFERROR(__xludf.DUMMYFUNCTION("""COMPUTED_VALUE"""),"Dr
Dallas,")</f>
        <v>Dr
Dallas,</v>
      </c>
      <c r="I629" s="40" t="str">
        <f>IFERROR(__xludf.DUMMYFUNCTION("""COMPUTED_VALUE"""),"TX")</f>
        <v>TX</v>
      </c>
      <c r="J629" s="40">
        <f>IFERROR(__xludf.DUMMYFUNCTION("""COMPUTED_VALUE"""),75214.0)</f>
        <v>75214</v>
      </c>
      <c r="K629" s="40"/>
      <c r="L629" s="40"/>
      <c r="M629" s="40"/>
      <c r="N629" s="40"/>
      <c r="O629" s="40"/>
      <c r="P629" s="40"/>
      <c r="Q629" s="40"/>
      <c r="R629" s="40"/>
      <c r="S629" s="40"/>
      <c r="T629" s="40"/>
      <c r="U629" s="24" t="str">
        <f>IFERROR(__xludf.DUMMYFUNCTION("SPLIT(E629,""01234567890"")"),"Courtney
")</f>
        <v>Courtney
</v>
      </c>
      <c r="V629" s="24" t="str">
        <f>IFERROR(__xludf.DUMMYFUNCTION("SPLIT(D629,"","")"),"Spellicy")</f>
        <v>Spellicy</v>
      </c>
      <c r="W629" s="25" t="str">
        <f t="shared" si="1"/>
        <v>COURTNEY
 SPELLICY</v>
      </c>
      <c r="X629" s="25" t="s">
        <v>1684</v>
      </c>
      <c r="Y629" s="25">
        <v>75214.0</v>
      </c>
      <c r="Z629" s="25" t="str">
        <f>IFERROR(__xludf.DUMMYFUNCTION("SPLIT(C629,""
"")"),"Spellicy, Courtney")</f>
        <v>Spellicy, Courtney</v>
      </c>
      <c r="AA629" s="25" t="str">
        <f>IFERROR(__xludf.DUMMYFUNCTION("""COMPUTED_VALUE"""),"7117 Wake Forest Dr")</f>
        <v>7117 Wake Forest Dr</v>
      </c>
      <c r="AB629" s="25" t="str">
        <f>IFERROR(__xludf.DUMMYFUNCTION("""COMPUTED_VALUE"""),"Dallas, TX 75214")</f>
        <v>Dallas, TX 75214</v>
      </c>
      <c r="AC629" s="24" t="s">
        <v>1685</v>
      </c>
      <c r="AD629" s="25"/>
      <c r="AE629" s="25"/>
      <c r="AF629" s="25"/>
      <c r="AG629" s="40" t="s">
        <v>60</v>
      </c>
      <c r="AH629" s="42">
        <v>2448.0</v>
      </c>
      <c r="AI629" s="40" t="s">
        <v>61</v>
      </c>
      <c r="AJ629" s="27">
        <v>100.0</v>
      </c>
      <c r="AK629" s="31" t="s">
        <v>24</v>
      </c>
      <c r="AL629" s="43">
        <v>44740.0</v>
      </c>
      <c r="AM629" s="44">
        <v>44757.44018518519</v>
      </c>
      <c r="AN629" s="30">
        <v>2.0</v>
      </c>
      <c r="AO629" s="40"/>
      <c r="AP629" s="40"/>
      <c r="AQ629" s="40"/>
      <c r="AR629" s="40"/>
      <c r="AS629" s="40"/>
      <c r="AT629" s="47"/>
      <c r="AU629" s="40"/>
      <c r="AV629" s="46" t="str">
        <f>IFERROR(__xludf.DUMMYFUNCTION("""COMPUTED_VALUE"""),"Enobakhare")</f>
        <v>Enobakhare</v>
      </c>
      <c r="AW629" s="46">
        <f t="shared" si="7"/>
        <v>100</v>
      </c>
      <c r="AX629" s="47">
        <f t="shared" ref="AX629:BQ629" si="1997">SUMIFS($AJ:$AJ,$V:$V,$AV629,$AK:$AK,AX$2)</f>
        <v>0</v>
      </c>
      <c r="AY629" s="48">
        <f t="shared" si="1997"/>
        <v>0</v>
      </c>
      <c r="AZ629" s="48">
        <f t="shared" si="1997"/>
        <v>0</v>
      </c>
      <c r="BA629" s="48">
        <f t="shared" si="1997"/>
        <v>0</v>
      </c>
      <c r="BB629" s="48">
        <f t="shared" si="1997"/>
        <v>100</v>
      </c>
      <c r="BC629" s="48">
        <f t="shared" si="1997"/>
        <v>0</v>
      </c>
      <c r="BD629" s="48">
        <f t="shared" si="1997"/>
        <v>0</v>
      </c>
      <c r="BE629" s="48">
        <f t="shared" si="1997"/>
        <v>0</v>
      </c>
      <c r="BF629" s="48">
        <f t="shared" si="1997"/>
        <v>0</v>
      </c>
      <c r="BG629" s="48">
        <f t="shared" si="1997"/>
        <v>0</v>
      </c>
      <c r="BH629" s="48">
        <f t="shared" si="1997"/>
        <v>0</v>
      </c>
      <c r="BI629" s="48">
        <f t="shared" si="1997"/>
        <v>0</v>
      </c>
      <c r="BJ629" s="48">
        <f t="shared" si="1997"/>
        <v>0</v>
      </c>
      <c r="BK629" s="48">
        <f t="shared" si="1997"/>
        <v>0</v>
      </c>
      <c r="BL629" s="48">
        <f t="shared" si="1997"/>
        <v>0</v>
      </c>
      <c r="BM629" s="48">
        <f t="shared" si="1997"/>
        <v>0</v>
      </c>
      <c r="BN629" s="48">
        <f t="shared" si="1997"/>
        <v>0</v>
      </c>
      <c r="BO629" s="48">
        <f t="shared" si="1997"/>
        <v>0</v>
      </c>
      <c r="BP629" s="48">
        <f t="shared" si="1997"/>
        <v>0</v>
      </c>
      <c r="BQ629" s="48">
        <f t="shared" si="1997"/>
        <v>0</v>
      </c>
      <c r="BR629" s="36">
        <f t="shared" si="9"/>
        <v>0</v>
      </c>
      <c r="BS629" s="38">
        <f t="shared" si="10"/>
        <v>1</v>
      </c>
      <c r="BT629" s="49">
        <f t="shared" si="11"/>
        <v>0</v>
      </c>
      <c r="BU629" s="38">
        <f t="shared" si="12"/>
        <v>1000</v>
      </c>
      <c r="BV629" s="46" t="str">
        <f>IFERROR(__xludf.DUMMYFUNCTION("""COMPUTED_VALUE"""),"Enobakhare")</f>
        <v>Enobakhare</v>
      </c>
      <c r="BW629" s="46">
        <f t="shared" si="13"/>
        <v>100</v>
      </c>
      <c r="BX629" s="47">
        <f t="shared" ref="BX629:CA629" si="1998">AX629-$BU629</f>
        <v>-1000</v>
      </c>
      <c r="BY629" s="47">
        <f t="shared" si="1998"/>
        <v>-1000</v>
      </c>
      <c r="BZ629" s="47">
        <f t="shared" si="1998"/>
        <v>-1000</v>
      </c>
      <c r="CA629" s="47">
        <f t="shared" si="1998"/>
        <v>-1000</v>
      </c>
      <c r="CB629" s="47">
        <f t="shared" si="15"/>
        <v>-9900</v>
      </c>
      <c r="CC629" s="47">
        <f t="shared" ref="CC629:CQ629" si="1999">BC629-$BU629</f>
        <v>-1000</v>
      </c>
      <c r="CD629" s="47">
        <f t="shared" si="1999"/>
        <v>-1000</v>
      </c>
      <c r="CE629" s="47">
        <f t="shared" si="1999"/>
        <v>-1000</v>
      </c>
      <c r="CF629" s="47">
        <f t="shared" si="1999"/>
        <v>-1000</v>
      </c>
      <c r="CG629" s="47">
        <f t="shared" si="1999"/>
        <v>-1000</v>
      </c>
      <c r="CH629" s="47">
        <f t="shared" si="1999"/>
        <v>-1000</v>
      </c>
      <c r="CI629" s="47">
        <f t="shared" si="1999"/>
        <v>-1000</v>
      </c>
      <c r="CJ629" s="47">
        <f t="shared" si="1999"/>
        <v>-1000</v>
      </c>
      <c r="CK629" s="47">
        <f t="shared" si="1999"/>
        <v>-1000</v>
      </c>
      <c r="CL629" s="47">
        <f t="shared" si="1999"/>
        <v>-1000</v>
      </c>
      <c r="CM629" s="47">
        <f t="shared" si="1999"/>
        <v>-1000</v>
      </c>
      <c r="CN629" s="47">
        <f t="shared" si="1999"/>
        <v>-1000</v>
      </c>
      <c r="CO629" s="47">
        <f t="shared" si="1999"/>
        <v>-1000</v>
      </c>
      <c r="CP629" s="47">
        <f t="shared" si="1999"/>
        <v>-1000</v>
      </c>
      <c r="CQ629" s="47">
        <f t="shared" si="1999"/>
        <v>-1000</v>
      </c>
      <c r="CR629" s="47"/>
      <c r="CS629" s="47"/>
      <c r="CT629" s="47"/>
      <c r="CU629" s="50" t="str">
        <f>IFERROR(__xludf.DUMMYFUNCTION("""COMPUTED_VALUE"""),"9210 Westview Cr
Dallas, TX 75231          ")</f>
        <v>9210 Westview Cr
Dallas, TX 75231          </v>
      </c>
      <c r="CV629" s="51">
        <f>IFERROR(__xludf.DUMMYFUNCTION("IF(REGEXMATCH(UPPER(CU629), ""TX""),0,1)"),0.0)</f>
        <v>0</v>
      </c>
      <c r="CW629" s="51">
        <f>IFERROR(__xludf.DUMMYFUNCTION("IF(REGEXMATCH(UPPER(CU629), ""DALLAS""),0,1)"),0.0)</f>
        <v>0</v>
      </c>
      <c r="CX629" s="51">
        <f t="shared" si="17"/>
        <v>0</v>
      </c>
      <c r="CY629" s="51">
        <f t="shared" si="18"/>
        <v>0</v>
      </c>
      <c r="CZ629" s="52" t="str">
        <f t="shared" si="19"/>
        <v/>
      </c>
      <c r="DA629" s="58"/>
      <c r="DB629" s="52"/>
      <c r="DC629" s="52"/>
      <c r="DD629" s="52"/>
      <c r="DE629" s="52"/>
      <c r="DF629" s="52"/>
      <c r="DG629" s="52"/>
      <c r="DH629" s="52"/>
      <c r="DI629" s="52"/>
      <c r="DJ629" s="52"/>
      <c r="DK629" s="52"/>
      <c r="DL629" s="52"/>
      <c r="DM629" s="52"/>
      <c r="DN629" s="52"/>
      <c r="DO629" s="52"/>
      <c r="DP629" s="52"/>
      <c r="DQ629" s="52"/>
      <c r="DR629" s="52"/>
      <c r="DS629" s="52"/>
      <c r="DT629" s="52"/>
      <c r="DU629" s="52"/>
      <c r="DV629" s="52"/>
      <c r="DW629" s="52"/>
    </row>
    <row r="630">
      <c r="A630" s="22" t="s">
        <v>55</v>
      </c>
      <c r="B630" s="23" t="s">
        <v>56</v>
      </c>
      <c r="C630" s="31" t="s">
        <v>1686</v>
      </c>
      <c r="D630" s="25" t="str">
        <f>IFERROR(__xludf.DUMMYFUNCTION("SPLIT(C630,"" "")"),"Sullivan,")</f>
        <v>Sullivan,</v>
      </c>
      <c r="E630" s="22" t="str">
        <f>IFERROR(__xludf.DUMMYFUNCTION("""COMPUTED_VALUE"""),"Joseph
6759")</f>
        <v>Joseph
6759</v>
      </c>
      <c r="F630" s="22" t="str">
        <f>IFERROR(__xludf.DUMMYFUNCTION("""COMPUTED_VALUE"""),"Avalon
Dallas,")</f>
        <v>Avalon
Dallas,</v>
      </c>
      <c r="G630" s="22" t="str">
        <f>IFERROR(__xludf.DUMMYFUNCTION("""COMPUTED_VALUE"""),"TX")</f>
        <v>TX</v>
      </c>
      <c r="H630" s="22">
        <f>IFERROR(__xludf.DUMMYFUNCTION("""COMPUTED_VALUE"""),75214.0)</f>
        <v>75214</v>
      </c>
      <c r="I630" s="22"/>
      <c r="J630" s="22"/>
      <c r="K630" s="22"/>
      <c r="L630" s="22"/>
      <c r="M630" s="22"/>
      <c r="N630" s="22"/>
      <c r="O630" s="22"/>
      <c r="P630" s="22"/>
      <c r="Q630" s="22"/>
      <c r="R630" s="22"/>
      <c r="S630" s="22"/>
      <c r="T630" s="22"/>
      <c r="U630" s="24" t="str">
        <f>IFERROR(__xludf.DUMMYFUNCTION("SPLIT(E630,""01234567890"")"),"Joseph
")</f>
        <v>Joseph
</v>
      </c>
      <c r="V630" s="24" t="str">
        <f>IFERROR(__xludf.DUMMYFUNCTION("SPLIT(D630,"","")"),"Sullivan")</f>
        <v>Sullivan</v>
      </c>
      <c r="W630" s="25" t="str">
        <f t="shared" si="1"/>
        <v>JOSEPH
 SULLIVAN</v>
      </c>
      <c r="X630" s="25" t="s">
        <v>1687</v>
      </c>
      <c r="Y630" s="25">
        <v>75214.0</v>
      </c>
      <c r="Z630" s="25" t="str">
        <f>IFERROR(__xludf.DUMMYFUNCTION("SPLIT(C630,""
"")"),"Sullivan, Joseph")</f>
        <v>Sullivan, Joseph</v>
      </c>
      <c r="AA630" s="25" t="str">
        <f>IFERROR(__xludf.DUMMYFUNCTION("""COMPUTED_VALUE"""),"6759 Avalon")</f>
        <v>6759 Avalon</v>
      </c>
      <c r="AB630" s="25" t="str">
        <f>IFERROR(__xludf.DUMMYFUNCTION("""COMPUTED_VALUE"""),"Dallas, TX 75214")</f>
        <v>Dallas, TX 75214</v>
      </c>
      <c r="AC630" s="24" t="s">
        <v>1688</v>
      </c>
      <c r="AD630" s="25"/>
      <c r="AE630" s="25"/>
      <c r="AF630" s="25"/>
      <c r="AG630" s="22" t="s">
        <v>60</v>
      </c>
      <c r="AH630" s="54">
        <v>2448.0</v>
      </c>
      <c r="AI630" s="22" t="s">
        <v>61</v>
      </c>
      <c r="AJ630" s="27">
        <v>100.0</v>
      </c>
      <c r="AK630" s="31" t="s">
        <v>24</v>
      </c>
      <c r="AL630" s="28">
        <v>44740.0</v>
      </c>
      <c r="AM630" s="29">
        <v>44757.44018518519</v>
      </c>
      <c r="AN630" s="30">
        <v>2.0</v>
      </c>
      <c r="AO630" s="22"/>
      <c r="AP630" s="22"/>
      <c r="AQ630" s="22"/>
      <c r="AR630" s="22"/>
      <c r="AS630" s="22"/>
      <c r="AT630" s="70"/>
      <c r="AU630" s="22"/>
      <c r="AV630" s="57" t="str">
        <f>IFERROR(__xludf.DUMMYFUNCTION("""COMPUTED_VALUE"""),"Cabrales")</f>
        <v>Cabrales</v>
      </c>
      <c r="AW630" s="46">
        <f t="shared" si="7"/>
        <v>250</v>
      </c>
      <c r="AX630" s="47">
        <f t="shared" ref="AX630:BQ630" si="2000">SUMIFS($AJ:$AJ,$V:$V,$AV630,$AK:$AK,AX$2)</f>
        <v>0</v>
      </c>
      <c r="AY630" s="48">
        <f t="shared" si="2000"/>
        <v>0</v>
      </c>
      <c r="AZ630" s="48">
        <f t="shared" si="2000"/>
        <v>0</v>
      </c>
      <c r="BA630" s="48">
        <f t="shared" si="2000"/>
        <v>0</v>
      </c>
      <c r="BB630" s="48">
        <f t="shared" si="2000"/>
        <v>250</v>
      </c>
      <c r="BC630" s="48">
        <f t="shared" si="2000"/>
        <v>0</v>
      </c>
      <c r="BD630" s="48">
        <f t="shared" si="2000"/>
        <v>0</v>
      </c>
      <c r="BE630" s="48">
        <f t="shared" si="2000"/>
        <v>0</v>
      </c>
      <c r="BF630" s="48">
        <f t="shared" si="2000"/>
        <v>0</v>
      </c>
      <c r="BG630" s="48">
        <f t="shared" si="2000"/>
        <v>0</v>
      </c>
      <c r="BH630" s="48">
        <f t="shared" si="2000"/>
        <v>0</v>
      </c>
      <c r="BI630" s="48">
        <f t="shared" si="2000"/>
        <v>0</v>
      </c>
      <c r="BJ630" s="48">
        <f t="shared" si="2000"/>
        <v>0</v>
      </c>
      <c r="BK630" s="48">
        <f t="shared" si="2000"/>
        <v>0</v>
      </c>
      <c r="BL630" s="48">
        <f t="shared" si="2000"/>
        <v>0</v>
      </c>
      <c r="BM630" s="48">
        <f t="shared" si="2000"/>
        <v>0</v>
      </c>
      <c r="BN630" s="48">
        <f t="shared" si="2000"/>
        <v>0</v>
      </c>
      <c r="BO630" s="48">
        <f t="shared" si="2000"/>
        <v>0</v>
      </c>
      <c r="BP630" s="48">
        <f t="shared" si="2000"/>
        <v>0</v>
      </c>
      <c r="BQ630" s="48">
        <f t="shared" si="2000"/>
        <v>0</v>
      </c>
      <c r="BR630" s="36">
        <f t="shared" si="9"/>
        <v>0</v>
      </c>
      <c r="BS630" s="38">
        <f t="shared" si="10"/>
        <v>1</v>
      </c>
      <c r="BT630" s="49">
        <f t="shared" si="11"/>
        <v>0</v>
      </c>
      <c r="BU630" s="38">
        <f t="shared" si="12"/>
        <v>1000</v>
      </c>
      <c r="BV630" s="57" t="str">
        <f>IFERROR(__xludf.DUMMYFUNCTION("""COMPUTED_VALUE"""),"Cabrales")</f>
        <v>Cabrales</v>
      </c>
      <c r="BW630" s="46">
        <f t="shared" si="13"/>
        <v>250</v>
      </c>
      <c r="BX630" s="47">
        <f t="shared" ref="BX630:CA630" si="2001">AX630-$BU630</f>
        <v>-1000</v>
      </c>
      <c r="BY630" s="47">
        <f t="shared" si="2001"/>
        <v>-1000</v>
      </c>
      <c r="BZ630" s="47">
        <f t="shared" si="2001"/>
        <v>-1000</v>
      </c>
      <c r="CA630" s="47">
        <f t="shared" si="2001"/>
        <v>-1000</v>
      </c>
      <c r="CB630" s="47">
        <f t="shared" si="15"/>
        <v>-9750</v>
      </c>
      <c r="CC630" s="47">
        <f t="shared" ref="CC630:CQ630" si="2002">BC630-$BU630</f>
        <v>-1000</v>
      </c>
      <c r="CD630" s="47">
        <f t="shared" si="2002"/>
        <v>-1000</v>
      </c>
      <c r="CE630" s="47">
        <f t="shared" si="2002"/>
        <v>-1000</v>
      </c>
      <c r="CF630" s="47">
        <f t="shared" si="2002"/>
        <v>-1000</v>
      </c>
      <c r="CG630" s="47">
        <f t="shared" si="2002"/>
        <v>-1000</v>
      </c>
      <c r="CH630" s="47">
        <f t="shared" si="2002"/>
        <v>-1000</v>
      </c>
      <c r="CI630" s="47">
        <f t="shared" si="2002"/>
        <v>-1000</v>
      </c>
      <c r="CJ630" s="47">
        <f t="shared" si="2002"/>
        <v>-1000</v>
      </c>
      <c r="CK630" s="47">
        <f t="shared" si="2002"/>
        <v>-1000</v>
      </c>
      <c r="CL630" s="47">
        <f t="shared" si="2002"/>
        <v>-1000</v>
      </c>
      <c r="CM630" s="47">
        <f t="shared" si="2002"/>
        <v>-1000</v>
      </c>
      <c r="CN630" s="47">
        <f t="shared" si="2002"/>
        <v>-1000</v>
      </c>
      <c r="CO630" s="47">
        <f t="shared" si="2002"/>
        <v>-1000</v>
      </c>
      <c r="CP630" s="47">
        <f t="shared" si="2002"/>
        <v>-1000</v>
      </c>
      <c r="CQ630" s="47">
        <f t="shared" si="2002"/>
        <v>-1000</v>
      </c>
      <c r="CR630" s="47"/>
      <c r="CS630" s="47"/>
      <c r="CT630" s="47"/>
      <c r="CU630" s="50" t="str">
        <f>IFERROR(__xludf.DUMMYFUNCTION("""COMPUTED_VALUE"""),"77 Eagle Trail
Dallas, TX 75238          ")</f>
        <v>77 Eagle Trail
Dallas, TX 75238          </v>
      </c>
      <c r="CV630" s="51">
        <f>IFERROR(__xludf.DUMMYFUNCTION("IF(REGEXMATCH(UPPER(CU630), ""TX""),0,1)"),0.0)</f>
        <v>0</v>
      </c>
      <c r="CW630" s="51">
        <f>IFERROR(__xludf.DUMMYFUNCTION("IF(REGEXMATCH(UPPER(CU630), ""DALLAS""),0,1)"),0.0)</f>
        <v>0</v>
      </c>
      <c r="CX630" s="51">
        <f t="shared" si="17"/>
        <v>0</v>
      </c>
      <c r="CY630" s="51">
        <f t="shared" si="18"/>
        <v>0</v>
      </c>
      <c r="CZ630" s="52" t="str">
        <f t="shared" si="19"/>
        <v/>
      </c>
      <c r="DA630" s="58"/>
      <c r="DB630" s="52"/>
      <c r="DC630" s="52"/>
      <c r="DD630" s="52"/>
      <c r="DE630" s="52"/>
      <c r="DF630" s="52"/>
      <c r="DG630" s="52"/>
      <c r="DH630" s="52"/>
      <c r="DI630" s="52"/>
      <c r="DJ630" s="52"/>
      <c r="DK630" s="52"/>
      <c r="DL630" s="52"/>
      <c r="DM630" s="52"/>
      <c r="DN630" s="52"/>
      <c r="DO630" s="52"/>
      <c r="DP630" s="52"/>
      <c r="DQ630" s="52"/>
      <c r="DR630" s="52"/>
      <c r="DS630" s="52"/>
      <c r="DT630" s="52"/>
      <c r="DU630" s="52"/>
      <c r="DV630" s="52"/>
      <c r="DW630" s="52"/>
    </row>
    <row r="631">
      <c r="A631" s="40" t="s">
        <v>55</v>
      </c>
      <c r="B631" s="41" t="s">
        <v>56</v>
      </c>
      <c r="C631" s="31" t="s">
        <v>1689</v>
      </c>
      <c r="D631" s="25" t="str">
        <f>IFERROR(__xludf.DUMMYFUNCTION("SPLIT(C631,"" "")"),"Tarpley,")</f>
        <v>Tarpley,</v>
      </c>
      <c r="E631" s="40" t="str">
        <f>IFERROR(__xludf.DUMMYFUNCTION("""COMPUTED_VALUE"""),"Gloria
8378")</f>
        <v>Gloria
8378</v>
      </c>
      <c r="F631" s="40" t="str">
        <f>IFERROR(__xludf.DUMMYFUNCTION("""COMPUTED_VALUE"""),"Forest")</f>
        <v>Forest</v>
      </c>
      <c r="G631" s="40" t="str">
        <f>IFERROR(__xludf.DUMMYFUNCTION("""COMPUTED_VALUE"""),"Hills")</f>
        <v>Hills</v>
      </c>
      <c r="H631" s="40" t="str">
        <f>IFERROR(__xludf.DUMMYFUNCTION("""COMPUTED_VALUE"""),"Blvd
Dallas,")</f>
        <v>Blvd
Dallas,</v>
      </c>
      <c r="I631" s="40" t="str">
        <f>IFERROR(__xludf.DUMMYFUNCTION("""COMPUTED_VALUE"""),"TX")</f>
        <v>TX</v>
      </c>
      <c r="J631" s="40">
        <f>IFERROR(__xludf.DUMMYFUNCTION("""COMPUTED_VALUE"""),75218.0)</f>
        <v>75218</v>
      </c>
      <c r="K631" s="40"/>
      <c r="L631" s="40"/>
      <c r="M631" s="40"/>
      <c r="N631" s="40"/>
      <c r="O631" s="40"/>
      <c r="P631" s="40"/>
      <c r="Q631" s="40"/>
      <c r="R631" s="40"/>
      <c r="S631" s="40"/>
      <c r="T631" s="40"/>
      <c r="U631" s="24" t="str">
        <f>IFERROR(__xludf.DUMMYFUNCTION("SPLIT(E631,""01234567890"")"),"Gloria
")</f>
        <v>Gloria
</v>
      </c>
      <c r="V631" s="24" t="str">
        <f>IFERROR(__xludf.DUMMYFUNCTION("SPLIT(D631,"","")"),"Tarpley")</f>
        <v>Tarpley</v>
      </c>
      <c r="W631" s="25" t="str">
        <f t="shared" si="1"/>
        <v>GLORIA
 TARPLEY</v>
      </c>
      <c r="X631" s="25" t="s">
        <v>1690</v>
      </c>
      <c r="Y631" s="25">
        <v>75218.0</v>
      </c>
      <c r="Z631" s="25" t="str">
        <f>IFERROR(__xludf.DUMMYFUNCTION("SPLIT(C631,""
"")"),"Tarpley, Gloria")</f>
        <v>Tarpley, Gloria</v>
      </c>
      <c r="AA631" s="25" t="str">
        <f>IFERROR(__xludf.DUMMYFUNCTION("""COMPUTED_VALUE"""),"8378 Forest Hills Blvd")</f>
        <v>8378 Forest Hills Blvd</v>
      </c>
      <c r="AB631" s="25" t="str">
        <f>IFERROR(__xludf.DUMMYFUNCTION("""COMPUTED_VALUE"""),"Dallas, TX 75218")</f>
        <v>Dallas, TX 75218</v>
      </c>
      <c r="AC631" s="24" t="s">
        <v>1341</v>
      </c>
      <c r="AD631" s="25"/>
      <c r="AE631" s="25"/>
      <c r="AF631" s="25"/>
      <c r="AG631" s="40" t="s">
        <v>60</v>
      </c>
      <c r="AH631" s="42">
        <v>2448.0</v>
      </c>
      <c r="AI631" s="40" t="s">
        <v>61</v>
      </c>
      <c r="AJ631" s="27">
        <v>250.0</v>
      </c>
      <c r="AK631" s="31" t="s">
        <v>24</v>
      </c>
      <c r="AL631" s="43">
        <v>44740.0</v>
      </c>
      <c r="AM631" s="44">
        <v>44757.44018518519</v>
      </c>
      <c r="AN631" s="30">
        <v>2.0</v>
      </c>
      <c r="AO631" s="40"/>
      <c r="AP631" s="40"/>
      <c r="AQ631" s="40"/>
      <c r="AR631" s="40"/>
      <c r="AS631" s="40"/>
      <c r="AT631" s="47"/>
      <c r="AU631" s="40"/>
      <c r="AV631" s="46" t="str">
        <f>IFERROR(__xludf.DUMMYFUNCTION("""COMPUTED_VALUE"""),"Tsao")</f>
        <v>Tsao</v>
      </c>
      <c r="AW631" s="46">
        <f t="shared" si="7"/>
        <v>1750</v>
      </c>
      <c r="AX631" s="47">
        <f t="shared" ref="AX631:BQ631" si="2003">SUMIFS($AJ:$AJ,$V:$V,$AV631,$AK:$AK,AX$2)</f>
        <v>0</v>
      </c>
      <c r="AY631" s="48">
        <f t="shared" si="2003"/>
        <v>0</v>
      </c>
      <c r="AZ631" s="48">
        <f t="shared" si="2003"/>
        <v>0</v>
      </c>
      <c r="BA631" s="48">
        <f t="shared" si="2003"/>
        <v>0</v>
      </c>
      <c r="BB631" s="48">
        <f t="shared" si="2003"/>
        <v>1500</v>
      </c>
      <c r="BC631" s="48">
        <f t="shared" si="2003"/>
        <v>0</v>
      </c>
      <c r="BD631" s="48">
        <f t="shared" si="2003"/>
        <v>0</v>
      </c>
      <c r="BE631" s="48">
        <f t="shared" si="2003"/>
        <v>0</v>
      </c>
      <c r="BF631" s="48">
        <f t="shared" si="2003"/>
        <v>0</v>
      </c>
      <c r="BG631" s="48">
        <f t="shared" si="2003"/>
        <v>0</v>
      </c>
      <c r="BH631" s="48">
        <f t="shared" si="2003"/>
        <v>250</v>
      </c>
      <c r="BI631" s="48">
        <f t="shared" si="2003"/>
        <v>0</v>
      </c>
      <c r="BJ631" s="48">
        <f t="shared" si="2003"/>
        <v>0</v>
      </c>
      <c r="BK631" s="48">
        <f t="shared" si="2003"/>
        <v>0</v>
      </c>
      <c r="BL631" s="48">
        <f t="shared" si="2003"/>
        <v>0</v>
      </c>
      <c r="BM631" s="48">
        <f t="shared" si="2003"/>
        <v>0</v>
      </c>
      <c r="BN631" s="48">
        <f t="shared" si="2003"/>
        <v>0</v>
      </c>
      <c r="BO631" s="48">
        <f t="shared" si="2003"/>
        <v>0</v>
      </c>
      <c r="BP631" s="48">
        <f t="shared" si="2003"/>
        <v>0</v>
      </c>
      <c r="BQ631" s="48">
        <f t="shared" si="2003"/>
        <v>0</v>
      </c>
      <c r="BR631" s="36">
        <f t="shared" si="9"/>
        <v>1</v>
      </c>
      <c r="BS631" s="38">
        <f t="shared" si="10"/>
        <v>2</v>
      </c>
      <c r="BT631" s="49">
        <f t="shared" si="11"/>
        <v>0</v>
      </c>
      <c r="BU631" s="38">
        <f t="shared" si="12"/>
        <v>2000</v>
      </c>
      <c r="BV631" s="46" t="str">
        <f>IFERROR(__xludf.DUMMYFUNCTION("""COMPUTED_VALUE"""),"Tsao")</f>
        <v>Tsao</v>
      </c>
      <c r="BW631" s="46">
        <f t="shared" si="13"/>
        <v>1750</v>
      </c>
      <c r="BX631" s="47">
        <f t="shared" ref="BX631:CA631" si="2004">AX631-$BU631</f>
        <v>-2000</v>
      </c>
      <c r="BY631" s="47">
        <f t="shared" si="2004"/>
        <v>-2000</v>
      </c>
      <c r="BZ631" s="47">
        <f t="shared" si="2004"/>
        <v>-2000</v>
      </c>
      <c r="CA631" s="47">
        <f t="shared" si="2004"/>
        <v>-2000</v>
      </c>
      <c r="CB631" s="47">
        <f t="shared" si="15"/>
        <v>-18500</v>
      </c>
      <c r="CC631" s="47">
        <f t="shared" ref="CC631:CQ631" si="2005">BC631-$BU631</f>
        <v>-2000</v>
      </c>
      <c r="CD631" s="47">
        <f t="shared" si="2005"/>
        <v>-2000</v>
      </c>
      <c r="CE631" s="47">
        <f t="shared" si="2005"/>
        <v>-2000</v>
      </c>
      <c r="CF631" s="47">
        <f t="shared" si="2005"/>
        <v>-2000</v>
      </c>
      <c r="CG631" s="47">
        <f t="shared" si="2005"/>
        <v>-2000</v>
      </c>
      <c r="CH631" s="47">
        <f t="shared" si="2005"/>
        <v>-1750</v>
      </c>
      <c r="CI631" s="47">
        <f t="shared" si="2005"/>
        <v>-2000</v>
      </c>
      <c r="CJ631" s="47">
        <f t="shared" si="2005"/>
        <v>-2000</v>
      </c>
      <c r="CK631" s="47">
        <f t="shared" si="2005"/>
        <v>-2000</v>
      </c>
      <c r="CL631" s="47">
        <f t="shared" si="2005"/>
        <v>-2000</v>
      </c>
      <c r="CM631" s="47">
        <f t="shared" si="2005"/>
        <v>-2000</v>
      </c>
      <c r="CN631" s="47">
        <f t="shared" si="2005"/>
        <v>-2000</v>
      </c>
      <c r="CO631" s="47">
        <f t="shared" si="2005"/>
        <v>-2000</v>
      </c>
      <c r="CP631" s="47">
        <f t="shared" si="2005"/>
        <v>-2000</v>
      </c>
      <c r="CQ631" s="47">
        <f t="shared" si="2005"/>
        <v>-2000</v>
      </c>
      <c r="CR631" s="47"/>
      <c r="CS631" s="47"/>
      <c r="CT631" s="47"/>
      <c r="CU631" s="50" t="str">
        <f>IFERROR(__xludf.DUMMYFUNCTION("""COMPUTED_VALUE"""),"9736 Broken Bow
Dallas, TX 75238          ")</f>
        <v>9736 Broken Bow
Dallas, TX 75238          </v>
      </c>
      <c r="CV631" s="51">
        <f>IFERROR(__xludf.DUMMYFUNCTION("IF(REGEXMATCH(UPPER(CU631), ""TX""),0,1)"),0.0)</f>
        <v>0</v>
      </c>
      <c r="CW631" s="51">
        <f>IFERROR(__xludf.DUMMYFUNCTION("IF(REGEXMATCH(UPPER(CU631), ""DALLAS""),0,1)"),0.0)</f>
        <v>0</v>
      </c>
      <c r="CX631" s="51">
        <f t="shared" si="17"/>
        <v>0</v>
      </c>
      <c r="CY631" s="51">
        <f t="shared" si="18"/>
        <v>0</v>
      </c>
      <c r="CZ631" s="52" t="str">
        <f t="shared" si="19"/>
        <v/>
      </c>
      <c r="DA631" s="58"/>
      <c r="DB631" s="52"/>
      <c r="DC631" s="52"/>
      <c r="DD631" s="52"/>
      <c r="DE631" s="52"/>
      <c r="DF631" s="52"/>
      <c r="DG631" s="52"/>
      <c r="DH631" s="52"/>
      <c r="DI631" s="52"/>
      <c r="DJ631" s="52"/>
      <c r="DK631" s="52"/>
      <c r="DL631" s="52"/>
      <c r="DM631" s="52"/>
      <c r="DN631" s="52"/>
      <c r="DO631" s="52"/>
      <c r="DP631" s="52"/>
      <c r="DQ631" s="52"/>
      <c r="DR631" s="52"/>
      <c r="DS631" s="52"/>
      <c r="DT631" s="52"/>
      <c r="DU631" s="52"/>
      <c r="DV631" s="52"/>
      <c r="DW631" s="52"/>
    </row>
    <row r="632">
      <c r="A632" s="22" t="s">
        <v>55</v>
      </c>
      <c r="B632" s="23" t="s">
        <v>56</v>
      </c>
      <c r="C632" s="31" t="s">
        <v>1691</v>
      </c>
      <c r="D632" s="25" t="str">
        <f>IFERROR(__xludf.DUMMYFUNCTION("SPLIT(C632,"" "")"),"Wells,")</f>
        <v>Wells,</v>
      </c>
      <c r="E632" s="22" t="str">
        <f>IFERROR(__xludf.DUMMYFUNCTION("""COMPUTED_VALUE"""),"Chris
7238")</f>
        <v>Chris
7238</v>
      </c>
      <c r="F632" s="22" t="str">
        <f>IFERROR(__xludf.DUMMYFUNCTION("""COMPUTED_VALUE"""),"Mimosa
Dallas,")</f>
        <v>Mimosa
Dallas,</v>
      </c>
      <c r="G632" s="22" t="str">
        <f>IFERROR(__xludf.DUMMYFUNCTION("""COMPUTED_VALUE"""),"TX")</f>
        <v>TX</v>
      </c>
      <c r="H632" s="22">
        <f>IFERROR(__xludf.DUMMYFUNCTION("""COMPUTED_VALUE"""),75230.0)</f>
        <v>75230</v>
      </c>
      <c r="I632" s="22"/>
      <c r="J632" s="22"/>
      <c r="K632" s="22"/>
      <c r="L632" s="22"/>
      <c r="M632" s="22"/>
      <c r="N632" s="22"/>
      <c r="O632" s="22"/>
      <c r="P632" s="22"/>
      <c r="Q632" s="22"/>
      <c r="R632" s="22"/>
      <c r="S632" s="22"/>
      <c r="T632" s="22"/>
      <c r="U632" s="24" t="str">
        <f>IFERROR(__xludf.DUMMYFUNCTION("SPLIT(E632,""01234567890"")"),"Chris
")</f>
        <v>Chris
</v>
      </c>
      <c r="V632" s="24" t="str">
        <f>IFERROR(__xludf.DUMMYFUNCTION("SPLIT(D632,"","")"),"Wells")</f>
        <v>Wells</v>
      </c>
      <c r="W632" s="25" t="str">
        <f t="shared" si="1"/>
        <v>CHRIS
 WELLS</v>
      </c>
      <c r="X632" s="25" t="s">
        <v>1692</v>
      </c>
      <c r="Y632" s="25">
        <v>75230.0</v>
      </c>
      <c r="Z632" s="25" t="str">
        <f>IFERROR(__xludf.DUMMYFUNCTION("SPLIT(C632,""
"")"),"Wells, Chris")</f>
        <v>Wells, Chris</v>
      </c>
      <c r="AA632" s="25" t="str">
        <f>IFERROR(__xludf.DUMMYFUNCTION("""COMPUTED_VALUE"""),"7238 Mimosa")</f>
        <v>7238 Mimosa</v>
      </c>
      <c r="AB632" s="25" t="str">
        <f>IFERROR(__xludf.DUMMYFUNCTION("""COMPUTED_VALUE"""),"Dallas, TX 75230")</f>
        <v>Dallas, TX 75230</v>
      </c>
      <c r="AC632" s="24" t="s">
        <v>1693</v>
      </c>
      <c r="AD632" s="25"/>
      <c r="AE632" s="25"/>
      <c r="AF632" s="25"/>
      <c r="AG632" s="22" t="s">
        <v>60</v>
      </c>
      <c r="AH632" s="54">
        <v>2448.0</v>
      </c>
      <c r="AI632" s="22" t="s">
        <v>61</v>
      </c>
      <c r="AJ632" s="27">
        <v>250.0</v>
      </c>
      <c r="AK632" s="31" t="s">
        <v>24</v>
      </c>
      <c r="AL632" s="28">
        <v>44740.0</v>
      </c>
      <c r="AM632" s="29">
        <v>44757.44018518519</v>
      </c>
      <c r="AN632" s="30">
        <v>2.0</v>
      </c>
      <c r="AO632" s="22"/>
      <c r="AP632" s="22"/>
      <c r="AQ632" s="22"/>
      <c r="AR632" s="22"/>
      <c r="AS632" s="22"/>
      <c r="AT632" s="70"/>
      <c r="AU632" s="22"/>
      <c r="AV632" s="57" t="str">
        <f>IFERROR(__xludf.DUMMYFUNCTION("""COMPUTED_VALUE"""),"Odom")</f>
        <v>Odom</v>
      </c>
      <c r="AW632" s="46">
        <f t="shared" si="7"/>
        <v>100</v>
      </c>
      <c r="AX632" s="47">
        <f t="shared" ref="AX632:BQ632" si="2006">SUMIFS($AJ:$AJ,$V:$V,$AV632,$AK:$AK,AX$2)</f>
        <v>0</v>
      </c>
      <c r="AY632" s="48">
        <f t="shared" si="2006"/>
        <v>0</v>
      </c>
      <c r="AZ632" s="48">
        <f t="shared" si="2006"/>
        <v>0</v>
      </c>
      <c r="BA632" s="48">
        <f t="shared" si="2006"/>
        <v>0</v>
      </c>
      <c r="BB632" s="48">
        <f t="shared" si="2006"/>
        <v>100</v>
      </c>
      <c r="BC632" s="48">
        <f t="shared" si="2006"/>
        <v>0</v>
      </c>
      <c r="BD632" s="48">
        <f t="shared" si="2006"/>
        <v>0</v>
      </c>
      <c r="BE632" s="48">
        <f t="shared" si="2006"/>
        <v>0</v>
      </c>
      <c r="BF632" s="48">
        <f t="shared" si="2006"/>
        <v>0</v>
      </c>
      <c r="BG632" s="48">
        <f t="shared" si="2006"/>
        <v>0</v>
      </c>
      <c r="BH632" s="48">
        <f t="shared" si="2006"/>
        <v>0</v>
      </c>
      <c r="BI632" s="48">
        <f t="shared" si="2006"/>
        <v>0</v>
      </c>
      <c r="BJ632" s="48">
        <f t="shared" si="2006"/>
        <v>0</v>
      </c>
      <c r="BK632" s="48">
        <f t="shared" si="2006"/>
        <v>0</v>
      </c>
      <c r="BL632" s="48">
        <f t="shared" si="2006"/>
        <v>0</v>
      </c>
      <c r="BM632" s="48">
        <f t="shared" si="2006"/>
        <v>0</v>
      </c>
      <c r="BN632" s="48">
        <f t="shared" si="2006"/>
        <v>0</v>
      </c>
      <c r="BO632" s="48">
        <f t="shared" si="2006"/>
        <v>0</v>
      </c>
      <c r="BP632" s="48">
        <f t="shared" si="2006"/>
        <v>0</v>
      </c>
      <c r="BQ632" s="48">
        <f t="shared" si="2006"/>
        <v>0</v>
      </c>
      <c r="BR632" s="36">
        <f t="shared" si="9"/>
        <v>0</v>
      </c>
      <c r="BS632" s="38">
        <f t="shared" si="10"/>
        <v>1</v>
      </c>
      <c r="BT632" s="49">
        <f t="shared" si="11"/>
        <v>0</v>
      </c>
      <c r="BU632" s="38">
        <f t="shared" si="12"/>
        <v>1000</v>
      </c>
      <c r="BV632" s="57" t="str">
        <f>IFERROR(__xludf.DUMMYFUNCTION("""COMPUTED_VALUE"""),"Odom")</f>
        <v>Odom</v>
      </c>
      <c r="BW632" s="46">
        <f t="shared" si="13"/>
        <v>100</v>
      </c>
      <c r="BX632" s="47">
        <f t="shared" ref="BX632:CA632" si="2007">AX632-$BU632</f>
        <v>-1000</v>
      </c>
      <c r="BY632" s="47">
        <f t="shared" si="2007"/>
        <v>-1000</v>
      </c>
      <c r="BZ632" s="47">
        <f t="shared" si="2007"/>
        <v>-1000</v>
      </c>
      <c r="CA632" s="47">
        <f t="shared" si="2007"/>
        <v>-1000</v>
      </c>
      <c r="CB632" s="47">
        <f t="shared" si="15"/>
        <v>-9900</v>
      </c>
      <c r="CC632" s="47">
        <f t="shared" ref="CC632:CQ632" si="2008">BC632-$BU632</f>
        <v>-1000</v>
      </c>
      <c r="CD632" s="47">
        <f t="shared" si="2008"/>
        <v>-1000</v>
      </c>
      <c r="CE632" s="47">
        <f t="shared" si="2008"/>
        <v>-1000</v>
      </c>
      <c r="CF632" s="47">
        <f t="shared" si="2008"/>
        <v>-1000</v>
      </c>
      <c r="CG632" s="47">
        <f t="shared" si="2008"/>
        <v>-1000</v>
      </c>
      <c r="CH632" s="47">
        <f t="shared" si="2008"/>
        <v>-1000</v>
      </c>
      <c r="CI632" s="47">
        <f t="shared" si="2008"/>
        <v>-1000</v>
      </c>
      <c r="CJ632" s="47">
        <f t="shared" si="2008"/>
        <v>-1000</v>
      </c>
      <c r="CK632" s="47">
        <f t="shared" si="2008"/>
        <v>-1000</v>
      </c>
      <c r="CL632" s="47">
        <f t="shared" si="2008"/>
        <v>-1000</v>
      </c>
      <c r="CM632" s="47">
        <f t="shared" si="2008"/>
        <v>-1000</v>
      </c>
      <c r="CN632" s="47">
        <f t="shared" si="2008"/>
        <v>-1000</v>
      </c>
      <c r="CO632" s="47">
        <f t="shared" si="2008"/>
        <v>-1000</v>
      </c>
      <c r="CP632" s="47">
        <f t="shared" si="2008"/>
        <v>-1000</v>
      </c>
      <c r="CQ632" s="47">
        <f t="shared" si="2008"/>
        <v>-1000</v>
      </c>
      <c r="CR632" s="47"/>
      <c r="CS632" s="47"/>
      <c r="CT632" s="47"/>
      <c r="CU632" s="50" t="str">
        <f>IFERROR(__xludf.DUMMYFUNCTION("""COMPUTED_VALUE"""),"12323 Creekspan
Dallas, TX 75243           ")</f>
        <v>12323 Creekspan
Dallas, TX 75243           </v>
      </c>
      <c r="CV632" s="51">
        <f>IFERROR(__xludf.DUMMYFUNCTION("IF(REGEXMATCH(UPPER(CU632), ""TX""),0,1)"),0.0)</f>
        <v>0</v>
      </c>
      <c r="CW632" s="51">
        <f>IFERROR(__xludf.DUMMYFUNCTION("IF(REGEXMATCH(UPPER(CU632), ""DALLAS""),0,1)"),0.0)</f>
        <v>0</v>
      </c>
      <c r="CX632" s="51">
        <f t="shared" si="17"/>
        <v>0</v>
      </c>
      <c r="CY632" s="51">
        <f t="shared" si="18"/>
        <v>0</v>
      </c>
      <c r="CZ632" s="52" t="str">
        <f t="shared" si="19"/>
        <v/>
      </c>
      <c r="DA632" s="58"/>
      <c r="DB632" s="52"/>
      <c r="DC632" s="52"/>
      <c r="DD632" s="52"/>
      <c r="DE632" s="52"/>
      <c r="DF632" s="52"/>
      <c r="DG632" s="52"/>
      <c r="DH632" s="52"/>
      <c r="DI632" s="52"/>
      <c r="DJ632" s="52"/>
      <c r="DK632" s="52"/>
      <c r="DL632" s="52"/>
      <c r="DM632" s="52"/>
      <c r="DN632" s="52"/>
      <c r="DO632" s="52"/>
      <c r="DP632" s="52"/>
      <c r="DQ632" s="52"/>
      <c r="DR632" s="52"/>
      <c r="DS632" s="52"/>
      <c r="DT632" s="52"/>
      <c r="DU632" s="52"/>
      <c r="DV632" s="52"/>
      <c r="DW632" s="52"/>
    </row>
    <row r="633">
      <c r="A633" s="40" t="s">
        <v>55</v>
      </c>
      <c r="B633" s="41" t="s">
        <v>56</v>
      </c>
      <c r="C633" s="31" t="s">
        <v>1694</v>
      </c>
      <c r="D633" s="25" t="str">
        <f>IFERROR(__xludf.DUMMYFUNCTION("SPLIT(C633,"" "")"),"Wendel,")</f>
        <v>Wendel,</v>
      </c>
      <c r="E633" s="40" t="str">
        <f>IFERROR(__xludf.DUMMYFUNCTION("""COMPUTED_VALUE"""),"George
6913")</f>
        <v>George
6913</v>
      </c>
      <c r="F633" s="40" t="str">
        <f>IFERROR(__xludf.DUMMYFUNCTION("""COMPUTED_VALUE"""),"Lakewood")</f>
        <v>Lakewood</v>
      </c>
      <c r="G633" s="40" t="str">
        <f>IFERROR(__xludf.DUMMYFUNCTION("""COMPUTED_VALUE"""),"Blvd
Dallas,")</f>
        <v>Blvd
Dallas,</v>
      </c>
      <c r="H633" s="40" t="str">
        <f>IFERROR(__xludf.DUMMYFUNCTION("""COMPUTED_VALUE"""),"TX")</f>
        <v>TX</v>
      </c>
      <c r="I633" s="40">
        <f>IFERROR(__xludf.DUMMYFUNCTION("""COMPUTED_VALUE"""),75214.0)</f>
        <v>75214</v>
      </c>
      <c r="J633" s="40"/>
      <c r="K633" s="40"/>
      <c r="L633" s="40"/>
      <c r="M633" s="40"/>
      <c r="N633" s="40"/>
      <c r="O633" s="40"/>
      <c r="P633" s="40"/>
      <c r="Q633" s="40"/>
      <c r="R633" s="40"/>
      <c r="S633" s="40"/>
      <c r="T633" s="40"/>
      <c r="U633" s="24" t="str">
        <f>IFERROR(__xludf.DUMMYFUNCTION("SPLIT(E633,""01234567890"")"),"George
")</f>
        <v>George
</v>
      </c>
      <c r="V633" s="24" t="str">
        <f>IFERROR(__xludf.DUMMYFUNCTION("SPLIT(D633,"","")"),"Wendel")</f>
        <v>Wendel</v>
      </c>
      <c r="W633" s="25" t="str">
        <f t="shared" si="1"/>
        <v>GEORGE
 WENDEL</v>
      </c>
      <c r="X633" s="25" t="s">
        <v>1421</v>
      </c>
      <c r="Y633" s="25">
        <v>75214.0</v>
      </c>
      <c r="Z633" s="25" t="str">
        <f>IFERROR(__xludf.DUMMYFUNCTION("SPLIT(C633,""
"")"),"Wendel, George")</f>
        <v>Wendel, George</v>
      </c>
      <c r="AA633" s="25" t="str">
        <f>IFERROR(__xludf.DUMMYFUNCTION("""COMPUTED_VALUE"""),"6913 Lakewood Blvd")</f>
        <v>6913 Lakewood Blvd</v>
      </c>
      <c r="AB633" s="25" t="str">
        <f>IFERROR(__xludf.DUMMYFUNCTION("""COMPUTED_VALUE"""),"Dallas, TX 75214")</f>
        <v>Dallas, TX 75214</v>
      </c>
      <c r="AC633" s="24" t="s">
        <v>1695</v>
      </c>
      <c r="AD633" s="25"/>
      <c r="AE633" s="25"/>
      <c r="AF633" s="25"/>
      <c r="AG633" s="40" t="s">
        <v>60</v>
      </c>
      <c r="AH633" s="42">
        <v>2448.0</v>
      </c>
      <c r="AI633" s="40" t="s">
        <v>61</v>
      </c>
      <c r="AJ633" s="27">
        <v>1000.0</v>
      </c>
      <c r="AK633" s="31" t="s">
        <v>24</v>
      </c>
      <c r="AL633" s="43">
        <v>44740.0</v>
      </c>
      <c r="AM633" s="44">
        <v>44757.44018518519</v>
      </c>
      <c r="AN633" s="30">
        <v>2.0</v>
      </c>
      <c r="AO633" s="40"/>
      <c r="AP633" s="40"/>
      <c r="AQ633" s="40"/>
      <c r="AR633" s="40"/>
      <c r="AS633" s="40"/>
      <c r="AT633" s="47"/>
      <c r="AU633" s="40"/>
      <c r="AV633" s="46" t="str">
        <f>IFERROR(__xludf.DUMMYFUNCTION("""COMPUTED_VALUE"""),"Brunson")</f>
        <v>Brunson</v>
      </c>
      <c r="AW633" s="46">
        <f t="shared" si="7"/>
        <v>100</v>
      </c>
      <c r="AX633" s="47">
        <f t="shared" ref="AX633:BQ633" si="2009">SUMIFS($AJ:$AJ,$V:$V,$AV633,$AK:$AK,AX$2)</f>
        <v>0</v>
      </c>
      <c r="AY633" s="48">
        <f t="shared" si="2009"/>
        <v>0</v>
      </c>
      <c r="AZ633" s="48">
        <f t="shared" si="2009"/>
        <v>0</v>
      </c>
      <c r="BA633" s="48">
        <f t="shared" si="2009"/>
        <v>0</v>
      </c>
      <c r="BB633" s="48">
        <f t="shared" si="2009"/>
        <v>100</v>
      </c>
      <c r="BC633" s="48">
        <f t="shared" si="2009"/>
        <v>0</v>
      </c>
      <c r="BD633" s="48">
        <f t="shared" si="2009"/>
        <v>0</v>
      </c>
      <c r="BE633" s="48">
        <f t="shared" si="2009"/>
        <v>0</v>
      </c>
      <c r="BF633" s="48">
        <f t="shared" si="2009"/>
        <v>0</v>
      </c>
      <c r="BG633" s="48">
        <f t="shared" si="2009"/>
        <v>0</v>
      </c>
      <c r="BH633" s="48">
        <f t="shared" si="2009"/>
        <v>0</v>
      </c>
      <c r="BI633" s="48">
        <f t="shared" si="2009"/>
        <v>0</v>
      </c>
      <c r="BJ633" s="48">
        <f t="shared" si="2009"/>
        <v>0</v>
      </c>
      <c r="BK633" s="48">
        <f t="shared" si="2009"/>
        <v>0</v>
      </c>
      <c r="BL633" s="48">
        <f t="shared" si="2009"/>
        <v>0</v>
      </c>
      <c r="BM633" s="48">
        <f t="shared" si="2009"/>
        <v>0</v>
      </c>
      <c r="BN633" s="48">
        <f t="shared" si="2009"/>
        <v>0</v>
      </c>
      <c r="BO633" s="48">
        <f t="shared" si="2009"/>
        <v>0</v>
      </c>
      <c r="BP633" s="48">
        <f t="shared" si="2009"/>
        <v>0</v>
      </c>
      <c r="BQ633" s="48">
        <f t="shared" si="2009"/>
        <v>0</v>
      </c>
      <c r="BR633" s="36">
        <f t="shared" si="9"/>
        <v>0</v>
      </c>
      <c r="BS633" s="38">
        <f t="shared" si="10"/>
        <v>1</v>
      </c>
      <c r="BT633" s="49">
        <f t="shared" si="11"/>
        <v>0</v>
      </c>
      <c r="BU633" s="38">
        <f t="shared" si="12"/>
        <v>1000</v>
      </c>
      <c r="BV633" s="46" t="str">
        <f>IFERROR(__xludf.DUMMYFUNCTION("""COMPUTED_VALUE"""),"Brunson")</f>
        <v>Brunson</v>
      </c>
      <c r="BW633" s="46">
        <f t="shared" si="13"/>
        <v>100</v>
      </c>
      <c r="BX633" s="47">
        <f t="shared" ref="BX633:CA633" si="2010">AX633-$BU633</f>
        <v>-1000</v>
      </c>
      <c r="BY633" s="47">
        <f t="shared" si="2010"/>
        <v>-1000</v>
      </c>
      <c r="BZ633" s="47">
        <f t="shared" si="2010"/>
        <v>-1000</v>
      </c>
      <c r="CA633" s="47">
        <f t="shared" si="2010"/>
        <v>-1000</v>
      </c>
      <c r="CB633" s="47">
        <f t="shared" si="15"/>
        <v>-9900</v>
      </c>
      <c r="CC633" s="47">
        <f t="shared" ref="CC633:CQ633" si="2011">BC633-$BU633</f>
        <v>-1000</v>
      </c>
      <c r="CD633" s="47">
        <f t="shared" si="2011"/>
        <v>-1000</v>
      </c>
      <c r="CE633" s="47">
        <f t="shared" si="2011"/>
        <v>-1000</v>
      </c>
      <c r="CF633" s="47">
        <f t="shared" si="2011"/>
        <v>-1000</v>
      </c>
      <c r="CG633" s="47">
        <f t="shared" si="2011"/>
        <v>-1000</v>
      </c>
      <c r="CH633" s="47">
        <f t="shared" si="2011"/>
        <v>-1000</v>
      </c>
      <c r="CI633" s="47">
        <f t="shared" si="2011"/>
        <v>-1000</v>
      </c>
      <c r="CJ633" s="47">
        <f t="shared" si="2011"/>
        <v>-1000</v>
      </c>
      <c r="CK633" s="47">
        <f t="shared" si="2011"/>
        <v>-1000</v>
      </c>
      <c r="CL633" s="47">
        <f t="shared" si="2011"/>
        <v>-1000</v>
      </c>
      <c r="CM633" s="47">
        <f t="shared" si="2011"/>
        <v>-1000</v>
      </c>
      <c r="CN633" s="47">
        <f t="shared" si="2011"/>
        <v>-1000</v>
      </c>
      <c r="CO633" s="47">
        <f t="shared" si="2011"/>
        <v>-1000</v>
      </c>
      <c r="CP633" s="47">
        <f t="shared" si="2011"/>
        <v>-1000</v>
      </c>
      <c r="CQ633" s="47">
        <f t="shared" si="2011"/>
        <v>-1000</v>
      </c>
      <c r="CR633" s="47"/>
      <c r="CS633" s="47"/>
      <c r="CT633" s="47"/>
      <c r="CU633" s="50" t="str">
        <f>IFERROR(__xludf.DUMMYFUNCTION("""COMPUTED_VALUE"""),"5956 Sherry Lane
Dallas, TX 75225          ")</f>
        <v>5956 Sherry Lane
Dallas, TX 75225          </v>
      </c>
      <c r="CV633" s="51">
        <f>IFERROR(__xludf.DUMMYFUNCTION("IF(REGEXMATCH(UPPER(CU633), ""TX""),0,1)"),0.0)</f>
        <v>0</v>
      </c>
      <c r="CW633" s="51">
        <f>IFERROR(__xludf.DUMMYFUNCTION("IF(REGEXMATCH(UPPER(CU633), ""DALLAS""),0,1)"),0.0)</f>
        <v>0</v>
      </c>
      <c r="CX633" s="51">
        <f t="shared" si="17"/>
        <v>0</v>
      </c>
      <c r="CY633" s="51">
        <f t="shared" si="18"/>
        <v>0</v>
      </c>
      <c r="CZ633" s="52" t="str">
        <f t="shared" si="19"/>
        <v/>
      </c>
      <c r="DA633" s="58"/>
      <c r="DB633" s="52"/>
      <c r="DC633" s="52"/>
      <c r="DD633" s="52"/>
      <c r="DE633" s="52"/>
      <c r="DF633" s="52"/>
      <c r="DG633" s="52"/>
      <c r="DH633" s="52"/>
      <c r="DI633" s="52"/>
      <c r="DJ633" s="52"/>
      <c r="DK633" s="52"/>
      <c r="DL633" s="52"/>
      <c r="DM633" s="52"/>
      <c r="DN633" s="52"/>
      <c r="DO633" s="52"/>
      <c r="DP633" s="52"/>
      <c r="DQ633" s="52"/>
      <c r="DR633" s="52"/>
      <c r="DS633" s="52"/>
      <c r="DT633" s="52"/>
      <c r="DU633" s="52"/>
      <c r="DV633" s="52"/>
      <c r="DW633" s="52"/>
    </row>
    <row r="634">
      <c r="A634" s="22" t="s">
        <v>55</v>
      </c>
      <c r="B634" s="23" t="s">
        <v>56</v>
      </c>
      <c r="C634" s="31" t="s">
        <v>1696</v>
      </c>
      <c r="D634" s="25" t="str">
        <f>IFERROR(__xludf.DUMMYFUNCTION("SPLIT(C634,"" "")"),"Wise,")</f>
        <v>Wise,</v>
      </c>
      <c r="E634" s="22" t="str">
        <f>IFERROR(__xludf.DUMMYFUNCTION("""COMPUTED_VALUE"""),"Phillip")</f>
        <v>Phillip</v>
      </c>
      <c r="F634" s="22" t="str">
        <f>IFERROR(__xludf.DUMMYFUNCTION("""COMPUTED_VALUE"""),"Johnston
3444")</f>
        <v>Johnston
3444</v>
      </c>
      <c r="G634" s="22" t="str">
        <f>IFERROR(__xludf.DUMMYFUNCTION("""COMPUTED_VALUE"""),"University")</f>
        <v>University</v>
      </c>
      <c r="H634" s="22" t="str">
        <f>IFERROR(__xludf.DUMMYFUNCTION("""COMPUTED_VALUE"""),"Blvd
Dallas,")</f>
        <v>Blvd
Dallas,</v>
      </c>
      <c r="I634" s="22" t="str">
        <f>IFERROR(__xludf.DUMMYFUNCTION("""COMPUTED_VALUE"""),"TX")</f>
        <v>TX</v>
      </c>
      <c r="J634" s="22">
        <f>IFERROR(__xludf.DUMMYFUNCTION("""COMPUTED_VALUE"""),75205.0)</f>
        <v>75205</v>
      </c>
      <c r="K634" s="22"/>
      <c r="L634" s="22"/>
      <c r="M634" s="22"/>
      <c r="N634" s="22"/>
      <c r="O634" s="22"/>
      <c r="P634" s="22"/>
      <c r="Q634" s="22"/>
      <c r="R634" s="22"/>
      <c r="S634" s="22"/>
      <c r="T634" s="22"/>
      <c r="U634" s="24" t="str">
        <f>IFERROR(__xludf.DUMMYFUNCTION("SPLIT(E634,""01234567890"")"),"Phillip")</f>
        <v>Phillip</v>
      </c>
      <c r="V634" s="24" t="str">
        <f>IFERROR(__xludf.DUMMYFUNCTION("SPLIT(D634,"","")"),"Wise")</f>
        <v>Wise</v>
      </c>
      <c r="W634" s="25" t="str">
        <f t="shared" si="1"/>
        <v>PHILLIP WISE</v>
      </c>
      <c r="X634" s="25" t="s">
        <v>1697</v>
      </c>
      <c r="Y634" s="25">
        <v>75205.0</v>
      </c>
      <c r="Z634" s="25" t="str">
        <f>IFERROR(__xludf.DUMMYFUNCTION("SPLIT(C634,""
"")"),"Wise, Phillip Johnston")</f>
        <v>Wise, Phillip Johnston</v>
      </c>
      <c r="AA634" s="25" t="str">
        <f>IFERROR(__xludf.DUMMYFUNCTION("""COMPUTED_VALUE"""),"3444 University Blvd")</f>
        <v>3444 University Blvd</v>
      </c>
      <c r="AB634" s="25" t="str">
        <f>IFERROR(__xludf.DUMMYFUNCTION("""COMPUTED_VALUE"""),"Dallas, TX 75205")</f>
        <v>Dallas, TX 75205</v>
      </c>
      <c r="AC634" s="24" t="s">
        <v>1698</v>
      </c>
      <c r="AD634" s="25"/>
      <c r="AE634" s="25"/>
      <c r="AF634" s="25"/>
      <c r="AG634" s="22" t="s">
        <v>60</v>
      </c>
      <c r="AH634" s="54">
        <v>2448.0</v>
      </c>
      <c r="AI634" s="22" t="s">
        <v>61</v>
      </c>
      <c r="AJ634" s="27">
        <v>1000.0</v>
      </c>
      <c r="AK634" s="31" t="s">
        <v>24</v>
      </c>
      <c r="AL634" s="28">
        <v>44740.0</v>
      </c>
      <c r="AM634" s="29">
        <v>44757.44018518519</v>
      </c>
      <c r="AN634" s="30">
        <v>2.0</v>
      </c>
      <c r="AO634" s="22"/>
      <c r="AP634" s="22"/>
      <c r="AQ634" s="22"/>
      <c r="AR634" s="22"/>
      <c r="AS634" s="22"/>
      <c r="AT634" s="70"/>
      <c r="AU634" s="22"/>
      <c r="AV634" s="57" t="str">
        <f>IFERROR(__xludf.DUMMYFUNCTION("""COMPUTED_VALUE"""),"Flournoy")</f>
        <v>Flournoy</v>
      </c>
      <c r="AW634" s="46">
        <f t="shared" si="7"/>
        <v>100</v>
      </c>
      <c r="AX634" s="47">
        <f t="shared" ref="AX634:BQ634" si="2012">SUMIFS($AJ:$AJ,$V:$V,$AV634,$AK:$AK,AX$2)</f>
        <v>0</v>
      </c>
      <c r="AY634" s="48">
        <f t="shared" si="2012"/>
        <v>0</v>
      </c>
      <c r="AZ634" s="48">
        <f t="shared" si="2012"/>
        <v>0</v>
      </c>
      <c r="BA634" s="48">
        <f t="shared" si="2012"/>
        <v>0</v>
      </c>
      <c r="BB634" s="48">
        <f t="shared" si="2012"/>
        <v>100</v>
      </c>
      <c r="BC634" s="48">
        <f t="shared" si="2012"/>
        <v>0</v>
      </c>
      <c r="BD634" s="48">
        <f t="shared" si="2012"/>
        <v>0</v>
      </c>
      <c r="BE634" s="48">
        <f t="shared" si="2012"/>
        <v>0</v>
      </c>
      <c r="BF634" s="48">
        <f t="shared" si="2012"/>
        <v>0</v>
      </c>
      <c r="BG634" s="48">
        <f t="shared" si="2012"/>
        <v>0</v>
      </c>
      <c r="BH634" s="48">
        <f t="shared" si="2012"/>
        <v>0</v>
      </c>
      <c r="BI634" s="48">
        <f t="shared" si="2012"/>
        <v>0</v>
      </c>
      <c r="BJ634" s="48">
        <f t="shared" si="2012"/>
        <v>0</v>
      </c>
      <c r="BK634" s="48">
        <f t="shared" si="2012"/>
        <v>0</v>
      </c>
      <c r="BL634" s="48">
        <f t="shared" si="2012"/>
        <v>0</v>
      </c>
      <c r="BM634" s="48">
        <f t="shared" si="2012"/>
        <v>0</v>
      </c>
      <c r="BN634" s="48">
        <f t="shared" si="2012"/>
        <v>0</v>
      </c>
      <c r="BO634" s="48">
        <f t="shared" si="2012"/>
        <v>0</v>
      </c>
      <c r="BP634" s="48">
        <f t="shared" si="2012"/>
        <v>0</v>
      </c>
      <c r="BQ634" s="48">
        <f t="shared" si="2012"/>
        <v>0</v>
      </c>
      <c r="BR634" s="36">
        <f t="shared" si="9"/>
        <v>0</v>
      </c>
      <c r="BS634" s="38">
        <f t="shared" si="10"/>
        <v>1</v>
      </c>
      <c r="BT634" s="49">
        <f t="shared" si="11"/>
        <v>0</v>
      </c>
      <c r="BU634" s="38">
        <f t="shared" si="12"/>
        <v>1000</v>
      </c>
      <c r="BV634" s="57" t="str">
        <f>IFERROR(__xludf.DUMMYFUNCTION("""COMPUTED_VALUE"""),"Flournoy")</f>
        <v>Flournoy</v>
      </c>
      <c r="BW634" s="46">
        <f t="shared" si="13"/>
        <v>100</v>
      </c>
      <c r="BX634" s="47">
        <f t="shared" ref="BX634:CA634" si="2013">AX634-$BU634</f>
        <v>-1000</v>
      </c>
      <c r="BY634" s="47">
        <f t="shared" si="2013"/>
        <v>-1000</v>
      </c>
      <c r="BZ634" s="47">
        <f t="shared" si="2013"/>
        <v>-1000</v>
      </c>
      <c r="CA634" s="47">
        <f t="shared" si="2013"/>
        <v>-1000</v>
      </c>
      <c r="CB634" s="47">
        <f t="shared" si="15"/>
        <v>-9900</v>
      </c>
      <c r="CC634" s="47">
        <f t="shared" ref="CC634:CQ634" si="2014">BC634-$BU634</f>
        <v>-1000</v>
      </c>
      <c r="CD634" s="47">
        <f t="shared" si="2014"/>
        <v>-1000</v>
      </c>
      <c r="CE634" s="47">
        <f t="shared" si="2014"/>
        <v>-1000</v>
      </c>
      <c r="CF634" s="47">
        <f t="shared" si="2014"/>
        <v>-1000</v>
      </c>
      <c r="CG634" s="47">
        <f t="shared" si="2014"/>
        <v>-1000</v>
      </c>
      <c r="CH634" s="47">
        <f t="shared" si="2014"/>
        <v>-1000</v>
      </c>
      <c r="CI634" s="47">
        <f t="shared" si="2014"/>
        <v>-1000</v>
      </c>
      <c r="CJ634" s="47">
        <f t="shared" si="2014"/>
        <v>-1000</v>
      </c>
      <c r="CK634" s="47">
        <f t="shared" si="2014"/>
        <v>-1000</v>
      </c>
      <c r="CL634" s="47">
        <f t="shared" si="2014"/>
        <v>-1000</v>
      </c>
      <c r="CM634" s="47">
        <f t="shared" si="2014"/>
        <v>-1000</v>
      </c>
      <c r="CN634" s="47">
        <f t="shared" si="2014"/>
        <v>-1000</v>
      </c>
      <c r="CO634" s="47">
        <f t="shared" si="2014"/>
        <v>-1000</v>
      </c>
      <c r="CP634" s="47">
        <f t="shared" si="2014"/>
        <v>-1000</v>
      </c>
      <c r="CQ634" s="47">
        <f t="shared" si="2014"/>
        <v>-1000</v>
      </c>
      <c r="CR634" s="47"/>
      <c r="CS634" s="47"/>
      <c r="CT634" s="47"/>
      <c r="CU634" s="50" t="str">
        <f>IFERROR(__xludf.DUMMYFUNCTION("""COMPUTED_VALUE"""),"4815 Shadywood Lane
Dallas, TX 75209          ")</f>
        <v>4815 Shadywood Lane
Dallas, TX 75209          </v>
      </c>
      <c r="CV634" s="51">
        <f>IFERROR(__xludf.DUMMYFUNCTION("IF(REGEXMATCH(UPPER(CU634), ""TX""),0,1)"),0.0)</f>
        <v>0</v>
      </c>
      <c r="CW634" s="51">
        <f>IFERROR(__xludf.DUMMYFUNCTION("IF(REGEXMATCH(UPPER(CU634), ""DALLAS""),0,1)"),0.0)</f>
        <v>0</v>
      </c>
      <c r="CX634" s="51">
        <f t="shared" si="17"/>
        <v>0</v>
      </c>
      <c r="CY634" s="51">
        <f t="shared" si="18"/>
        <v>0</v>
      </c>
      <c r="CZ634" s="52" t="str">
        <f t="shared" si="19"/>
        <v/>
      </c>
      <c r="DA634" s="58"/>
      <c r="DB634" s="52"/>
      <c r="DC634" s="52"/>
      <c r="DD634" s="52"/>
      <c r="DE634" s="52"/>
      <c r="DF634" s="52"/>
      <c r="DG634" s="52"/>
      <c r="DH634" s="52"/>
      <c r="DI634" s="52"/>
      <c r="DJ634" s="52"/>
      <c r="DK634" s="52"/>
      <c r="DL634" s="52"/>
      <c r="DM634" s="52"/>
      <c r="DN634" s="52"/>
      <c r="DO634" s="52"/>
      <c r="DP634" s="52"/>
      <c r="DQ634" s="52"/>
      <c r="DR634" s="52"/>
      <c r="DS634" s="52"/>
      <c r="DT634" s="52"/>
      <c r="DU634" s="52"/>
      <c r="DV634" s="52"/>
      <c r="DW634" s="52"/>
    </row>
    <row r="635">
      <c r="A635" s="40" t="s">
        <v>55</v>
      </c>
      <c r="B635" s="41" t="s">
        <v>56</v>
      </c>
      <c r="C635" s="31" t="s">
        <v>1699</v>
      </c>
      <c r="D635" s="25" t="str">
        <f>IFERROR(__xludf.DUMMYFUNCTION("SPLIT(C635,"" "")"),"Wynne,")</f>
        <v>Wynne,</v>
      </c>
      <c r="E635" s="40" t="str">
        <f>IFERROR(__xludf.DUMMYFUNCTION("""COMPUTED_VALUE"""),"Shannon
3601")</f>
        <v>Shannon
3601</v>
      </c>
      <c r="F635" s="40" t="str">
        <f>IFERROR(__xludf.DUMMYFUNCTION("""COMPUTED_VALUE"""),"Normandy")</f>
        <v>Normandy</v>
      </c>
      <c r="G635" s="40" t="str">
        <f>IFERROR(__xludf.DUMMYFUNCTION("""COMPUTED_VALUE"""),"Ave
Dallas,")</f>
        <v>Ave
Dallas,</v>
      </c>
      <c r="H635" s="40" t="str">
        <f>IFERROR(__xludf.DUMMYFUNCTION("""COMPUTED_VALUE"""),"TX")</f>
        <v>TX</v>
      </c>
      <c r="I635" s="40">
        <f>IFERROR(__xludf.DUMMYFUNCTION("""COMPUTED_VALUE"""),75205.0)</f>
        <v>75205</v>
      </c>
      <c r="J635" s="40"/>
      <c r="K635" s="40"/>
      <c r="L635" s="40"/>
      <c r="M635" s="40"/>
      <c r="N635" s="40"/>
      <c r="O635" s="40"/>
      <c r="P635" s="40"/>
      <c r="Q635" s="40"/>
      <c r="R635" s="40"/>
      <c r="S635" s="40"/>
      <c r="T635" s="40"/>
      <c r="U635" s="24" t="str">
        <f>IFERROR(__xludf.DUMMYFUNCTION("SPLIT(E635,""01234567890"")"),"Shannon
")</f>
        <v>Shannon
</v>
      </c>
      <c r="V635" s="24" t="str">
        <f>IFERROR(__xludf.DUMMYFUNCTION("SPLIT(D635,"","")"),"Wynne")</f>
        <v>Wynne</v>
      </c>
      <c r="W635" s="25" t="str">
        <f t="shared" si="1"/>
        <v>SHANNON
 WYNNE</v>
      </c>
      <c r="X635" s="25" t="s">
        <v>1700</v>
      </c>
      <c r="Y635" s="25">
        <v>75205.0</v>
      </c>
      <c r="Z635" s="25" t="str">
        <f>IFERROR(__xludf.DUMMYFUNCTION("SPLIT(C635,""
"")"),"Wynne, Shannon")</f>
        <v>Wynne, Shannon</v>
      </c>
      <c r="AA635" s="25" t="str">
        <f>IFERROR(__xludf.DUMMYFUNCTION("""COMPUTED_VALUE"""),"3601 Normandy Ave")</f>
        <v>3601 Normandy Ave</v>
      </c>
      <c r="AB635" s="25" t="str">
        <f>IFERROR(__xludf.DUMMYFUNCTION("""COMPUTED_VALUE"""),"Dallas, TX 75205")</f>
        <v>Dallas, TX 75205</v>
      </c>
      <c r="AC635" s="24" t="s">
        <v>1701</v>
      </c>
      <c r="AD635" s="25"/>
      <c r="AE635" s="25"/>
      <c r="AF635" s="25"/>
      <c r="AG635" s="40" t="s">
        <v>60</v>
      </c>
      <c r="AH635" s="42">
        <v>2448.0</v>
      </c>
      <c r="AI635" s="40" t="s">
        <v>61</v>
      </c>
      <c r="AJ635" s="27">
        <v>500.0</v>
      </c>
      <c r="AK635" s="31" t="s">
        <v>24</v>
      </c>
      <c r="AL635" s="43">
        <v>44740.0</v>
      </c>
      <c r="AM635" s="44">
        <v>44757.44018518519</v>
      </c>
      <c r="AN635" s="30">
        <v>2.0</v>
      </c>
      <c r="AO635" s="40"/>
      <c r="AP635" s="40"/>
      <c r="AQ635" s="40"/>
      <c r="AR635" s="40"/>
      <c r="AS635" s="40"/>
      <c r="AT635" s="47"/>
      <c r="AU635" s="40"/>
      <c r="AV635" s="46" t="str">
        <f>IFERROR(__xludf.DUMMYFUNCTION("""COMPUTED_VALUE"""),"Luce")</f>
        <v>Luce</v>
      </c>
      <c r="AW635" s="46">
        <f t="shared" si="7"/>
        <v>1000</v>
      </c>
      <c r="AX635" s="47">
        <f t="shared" ref="AX635:BQ635" si="2015">SUMIFS($AJ:$AJ,$V:$V,$AV635,$AK:$AK,AX$2)</f>
        <v>0</v>
      </c>
      <c r="AY635" s="48">
        <f t="shared" si="2015"/>
        <v>0</v>
      </c>
      <c r="AZ635" s="48">
        <f t="shared" si="2015"/>
        <v>0</v>
      </c>
      <c r="BA635" s="48">
        <f t="shared" si="2015"/>
        <v>0</v>
      </c>
      <c r="BB635" s="48">
        <f t="shared" si="2015"/>
        <v>1000</v>
      </c>
      <c r="BC635" s="48">
        <f t="shared" si="2015"/>
        <v>0</v>
      </c>
      <c r="BD635" s="48">
        <f t="shared" si="2015"/>
        <v>0</v>
      </c>
      <c r="BE635" s="48">
        <f t="shared" si="2015"/>
        <v>0</v>
      </c>
      <c r="BF635" s="48">
        <f t="shared" si="2015"/>
        <v>0</v>
      </c>
      <c r="BG635" s="48">
        <f t="shared" si="2015"/>
        <v>0</v>
      </c>
      <c r="BH635" s="48">
        <f t="shared" si="2015"/>
        <v>0</v>
      </c>
      <c r="BI635" s="48">
        <f t="shared" si="2015"/>
        <v>0</v>
      </c>
      <c r="BJ635" s="48">
        <f t="shared" si="2015"/>
        <v>0</v>
      </c>
      <c r="BK635" s="48">
        <f t="shared" si="2015"/>
        <v>0</v>
      </c>
      <c r="BL635" s="48">
        <f t="shared" si="2015"/>
        <v>0</v>
      </c>
      <c r="BM635" s="48">
        <f t="shared" si="2015"/>
        <v>0</v>
      </c>
      <c r="BN635" s="48">
        <f t="shared" si="2015"/>
        <v>0</v>
      </c>
      <c r="BO635" s="48">
        <f t="shared" si="2015"/>
        <v>0</v>
      </c>
      <c r="BP635" s="48">
        <f t="shared" si="2015"/>
        <v>0</v>
      </c>
      <c r="BQ635" s="48">
        <f t="shared" si="2015"/>
        <v>0</v>
      </c>
      <c r="BR635" s="36">
        <f t="shared" si="9"/>
        <v>0</v>
      </c>
      <c r="BS635" s="38">
        <f t="shared" si="10"/>
        <v>1</v>
      </c>
      <c r="BT635" s="49">
        <f t="shared" si="11"/>
        <v>0</v>
      </c>
      <c r="BU635" s="38">
        <f t="shared" si="12"/>
        <v>1000</v>
      </c>
      <c r="BV635" s="46" t="str">
        <f>IFERROR(__xludf.DUMMYFUNCTION("""COMPUTED_VALUE"""),"Luce")</f>
        <v>Luce</v>
      </c>
      <c r="BW635" s="46">
        <f t="shared" si="13"/>
        <v>1000</v>
      </c>
      <c r="BX635" s="47">
        <f t="shared" ref="BX635:CA635" si="2016">AX635-$BU635</f>
        <v>-1000</v>
      </c>
      <c r="BY635" s="47">
        <f t="shared" si="2016"/>
        <v>-1000</v>
      </c>
      <c r="BZ635" s="47">
        <f t="shared" si="2016"/>
        <v>-1000</v>
      </c>
      <c r="CA635" s="47">
        <f t="shared" si="2016"/>
        <v>-1000</v>
      </c>
      <c r="CB635" s="47">
        <f t="shared" si="15"/>
        <v>-9000</v>
      </c>
      <c r="CC635" s="47">
        <f t="shared" ref="CC635:CQ635" si="2017">BC635-$BU635</f>
        <v>-1000</v>
      </c>
      <c r="CD635" s="47">
        <f t="shared" si="2017"/>
        <v>-1000</v>
      </c>
      <c r="CE635" s="47">
        <f t="shared" si="2017"/>
        <v>-1000</v>
      </c>
      <c r="CF635" s="47">
        <f t="shared" si="2017"/>
        <v>-1000</v>
      </c>
      <c r="CG635" s="47">
        <f t="shared" si="2017"/>
        <v>-1000</v>
      </c>
      <c r="CH635" s="47">
        <f t="shared" si="2017"/>
        <v>-1000</v>
      </c>
      <c r="CI635" s="47">
        <f t="shared" si="2017"/>
        <v>-1000</v>
      </c>
      <c r="CJ635" s="47">
        <f t="shared" si="2017"/>
        <v>-1000</v>
      </c>
      <c r="CK635" s="47">
        <f t="shared" si="2017"/>
        <v>-1000</v>
      </c>
      <c r="CL635" s="47">
        <f t="shared" si="2017"/>
        <v>-1000</v>
      </c>
      <c r="CM635" s="47">
        <f t="shared" si="2017"/>
        <v>-1000</v>
      </c>
      <c r="CN635" s="47">
        <f t="shared" si="2017"/>
        <v>-1000</v>
      </c>
      <c r="CO635" s="47">
        <f t="shared" si="2017"/>
        <v>-1000</v>
      </c>
      <c r="CP635" s="47">
        <f t="shared" si="2017"/>
        <v>-1000</v>
      </c>
      <c r="CQ635" s="47">
        <f t="shared" si="2017"/>
        <v>-1000</v>
      </c>
      <c r="CR635" s="47"/>
      <c r="CS635" s="47"/>
      <c r="CT635" s="47"/>
      <c r="CU635" s="50" t="str">
        <f>IFERROR(__xludf.DUMMYFUNCTION("""COMPUTED_VALUE"""),"
 Box 716
Eagle Lake, TX 77434         ")</f>
        <v>
 Box 716
Eagle Lake, TX 77434         </v>
      </c>
      <c r="CV635" s="51">
        <f>IFERROR(__xludf.DUMMYFUNCTION("IF(REGEXMATCH(UPPER(CU635), ""TX""),0,1)"),0.0)</f>
        <v>0</v>
      </c>
      <c r="CW635" s="51">
        <f>IFERROR(__xludf.DUMMYFUNCTION("IF(REGEXMATCH(UPPER(CU635), ""DALLAS""),0,1)"),1.0)</f>
        <v>1</v>
      </c>
      <c r="CX635" s="51">
        <f t="shared" si="17"/>
        <v>0</v>
      </c>
      <c r="CY635" s="51">
        <f t="shared" si="18"/>
        <v>500</v>
      </c>
      <c r="CZ635" s="52" t="str">
        <f t="shared" si="19"/>
        <v>
 Box 716
Eagle Lake, TX 77434         </v>
      </c>
      <c r="DA635" s="58"/>
      <c r="DB635" s="52"/>
      <c r="DC635" s="52"/>
      <c r="DD635" s="52"/>
      <c r="DE635" s="52"/>
      <c r="DF635" s="52"/>
      <c r="DG635" s="52"/>
      <c r="DH635" s="52"/>
      <c r="DI635" s="52"/>
      <c r="DJ635" s="52"/>
      <c r="DK635" s="52"/>
      <c r="DL635" s="52"/>
      <c r="DM635" s="52"/>
      <c r="DN635" s="52"/>
      <c r="DO635" s="52"/>
      <c r="DP635" s="52"/>
      <c r="DQ635" s="52"/>
      <c r="DR635" s="52"/>
      <c r="DS635" s="52"/>
      <c r="DT635" s="52"/>
      <c r="DU635" s="52"/>
      <c r="DV635" s="52"/>
      <c r="DW635" s="52"/>
    </row>
    <row r="636">
      <c r="A636" s="22" t="s">
        <v>55</v>
      </c>
      <c r="B636" s="23" t="s">
        <v>56</v>
      </c>
      <c r="C636" s="31" t="s">
        <v>1702</v>
      </c>
      <c r="D636" s="25" t="str">
        <f>IFERROR(__xludf.DUMMYFUNCTION("SPLIT(C636,"" "")"),"Davidson,")</f>
        <v>Davidson,</v>
      </c>
      <c r="E636" s="22" t="str">
        <f>IFERROR(__xludf.DUMMYFUNCTION("""COMPUTED_VALUE"""),"Larry
6451")</f>
        <v>Larry
6451</v>
      </c>
      <c r="F636" s="22" t="str">
        <f>IFERROR(__xludf.DUMMYFUNCTION("""COMPUTED_VALUE"""),"Patrick
Dallas,")</f>
        <v>Patrick
Dallas,</v>
      </c>
      <c r="G636" s="22" t="str">
        <f>IFERROR(__xludf.DUMMYFUNCTION("""COMPUTED_VALUE"""),"TX")</f>
        <v>TX</v>
      </c>
      <c r="H636" s="22">
        <f>IFERROR(__xludf.DUMMYFUNCTION("""COMPUTED_VALUE"""),75214.0)</f>
        <v>75214</v>
      </c>
      <c r="I636" s="22"/>
      <c r="J636" s="22"/>
      <c r="K636" s="22"/>
      <c r="L636" s="22"/>
      <c r="M636" s="22"/>
      <c r="N636" s="22"/>
      <c r="O636" s="22"/>
      <c r="P636" s="22"/>
      <c r="Q636" s="22"/>
      <c r="R636" s="22"/>
      <c r="S636" s="22"/>
      <c r="T636" s="22"/>
      <c r="U636" s="24" t="str">
        <f>IFERROR(__xludf.DUMMYFUNCTION("SPLIT(E636,""01234567890"")"),"Larry
")</f>
        <v>Larry
</v>
      </c>
      <c r="V636" s="24" t="str">
        <f>IFERROR(__xludf.DUMMYFUNCTION("SPLIT(D636,"","")"),"Davidson")</f>
        <v>Davidson</v>
      </c>
      <c r="W636" s="25" t="str">
        <f t="shared" si="1"/>
        <v>LARRY
 DAVIDSON</v>
      </c>
      <c r="X636" s="25" t="s">
        <v>1703</v>
      </c>
      <c r="Y636" s="25">
        <v>75214.0</v>
      </c>
      <c r="Z636" s="25" t="str">
        <f>IFERROR(__xludf.DUMMYFUNCTION("SPLIT(C636,""
"")"),"Davidson, Larry")</f>
        <v>Davidson, Larry</v>
      </c>
      <c r="AA636" s="25" t="str">
        <f>IFERROR(__xludf.DUMMYFUNCTION("""COMPUTED_VALUE"""),"6451 Patrick")</f>
        <v>6451 Patrick</v>
      </c>
      <c r="AB636" s="25" t="str">
        <f>IFERROR(__xludf.DUMMYFUNCTION("""COMPUTED_VALUE"""),"Dallas, TX 75214")</f>
        <v>Dallas, TX 75214</v>
      </c>
      <c r="AC636" s="24" t="s">
        <v>1704</v>
      </c>
      <c r="AD636" s="25"/>
      <c r="AE636" s="25"/>
      <c r="AF636" s="25"/>
      <c r="AG636" s="22" t="s">
        <v>60</v>
      </c>
      <c r="AH636" s="54">
        <v>2448.0</v>
      </c>
      <c r="AI636" s="22" t="s">
        <v>61</v>
      </c>
      <c r="AJ636" s="27">
        <v>250.0</v>
      </c>
      <c r="AK636" s="31" t="s">
        <v>24</v>
      </c>
      <c r="AL636" s="28">
        <v>44741.0</v>
      </c>
      <c r="AM636" s="29">
        <v>44757.44018518519</v>
      </c>
      <c r="AN636" s="30">
        <v>2.0</v>
      </c>
      <c r="AO636" s="22"/>
      <c r="AP636" s="22"/>
      <c r="AQ636" s="22"/>
      <c r="AR636" s="22"/>
      <c r="AS636" s="22"/>
      <c r="AT636" s="70"/>
      <c r="AU636" s="22"/>
      <c r="AV636" s="57" t="str">
        <f>IFERROR(__xludf.DUMMYFUNCTION("""COMPUTED_VALUE"""),"Hopper")</f>
        <v>Hopper</v>
      </c>
      <c r="AW636" s="46">
        <f t="shared" si="7"/>
        <v>50</v>
      </c>
      <c r="AX636" s="47">
        <f t="shared" ref="AX636:BQ636" si="2018">SUMIFS($AJ:$AJ,$V:$V,$AV636,$AK:$AK,AX$2)</f>
        <v>0</v>
      </c>
      <c r="AY636" s="48">
        <f t="shared" si="2018"/>
        <v>0</v>
      </c>
      <c r="AZ636" s="48">
        <f t="shared" si="2018"/>
        <v>0</v>
      </c>
      <c r="BA636" s="48">
        <f t="shared" si="2018"/>
        <v>0</v>
      </c>
      <c r="BB636" s="48">
        <f t="shared" si="2018"/>
        <v>50</v>
      </c>
      <c r="BC636" s="48">
        <f t="shared" si="2018"/>
        <v>0</v>
      </c>
      <c r="BD636" s="48">
        <f t="shared" si="2018"/>
        <v>0</v>
      </c>
      <c r="BE636" s="48">
        <f t="shared" si="2018"/>
        <v>0</v>
      </c>
      <c r="BF636" s="48">
        <f t="shared" si="2018"/>
        <v>0</v>
      </c>
      <c r="BG636" s="48">
        <f t="shared" si="2018"/>
        <v>0</v>
      </c>
      <c r="BH636" s="48">
        <f t="shared" si="2018"/>
        <v>0</v>
      </c>
      <c r="BI636" s="48">
        <f t="shared" si="2018"/>
        <v>0</v>
      </c>
      <c r="BJ636" s="48">
        <f t="shared" si="2018"/>
        <v>0</v>
      </c>
      <c r="BK636" s="48">
        <f t="shared" si="2018"/>
        <v>0</v>
      </c>
      <c r="BL636" s="48">
        <f t="shared" si="2018"/>
        <v>0</v>
      </c>
      <c r="BM636" s="48">
        <f t="shared" si="2018"/>
        <v>0</v>
      </c>
      <c r="BN636" s="48">
        <f t="shared" si="2018"/>
        <v>0</v>
      </c>
      <c r="BO636" s="48">
        <f t="shared" si="2018"/>
        <v>0</v>
      </c>
      <c r="BP636" s="48">
        <f t="shared" si="2018"/>
        <v>0</v>
      </c>
      <c r="BQ636" s="48">
        <f t="shared" si="2018"/>
        <v>0</v>
      </c>
      <c r="BR636" s="36">
        <f t="shared" si="9"/>
        <v>0</v>
      </c>
      <c r="BS636" s="38">
        <f t="shared" si="10"/>
        <v>1</v>
      </c>
      <c r="BT636" s="49">
        <f t="shared" si="11"/>
        <v>0</v>
      </c>
      <c r="BU636" s="38">
        <f t="shared" si="12"/>
        <v>1000</v>
      </c>
      <c r="BV636" s="57" t="str">
        <f>IFERROR(__xludf.DUMMYFUNCTION("""COMPUTED_VALUE"""),"Hopper")</f>
        <v>Hopper</v>
      </c>
      <c r="BW636" s="46">
        <f t="shared" si="13"/>
        <v>50</v>
      </c>
      <c r="BX636" s="47">
        <f t="shared" ref="BX636:CA636" si="2019">AX636-$BU636</f>
        <v>-1000</v>
      </c>
      <c r="BY636" s="47">
        <f t="shared" si="2019"/>
        <v>-1000</v>
      </c>
      <c r="BZ636" s="47">
        <f t="shared" si="2019"/>
        <v>-1000</v>
      </c>
      <c r="CA636" s="47">
        <f t="shared" si="2019"/>
        <v>-1000</v>
      </c>
      <c r="CB636" s="47">
        <f t="shared" si="15"/>
        <v>-9950</v>
      </c>
      <c r="CC636" s="47">
        <f t="shared" ref="CC636:CQ636" si="2020">BC636-$BU636</f>
        <v>-1000</v>
      </c>
      <c r="CD636" s="47">
        <f t="shared" si="2020"/>
        <v>-1000</v>
      </c>
      <c r="CE636" s="47">
        <f t="shared" si="2020"/>
        <v>-1000</v>
      </c>
      <c r="CF636" s="47">
        <f t="shared" si="2020"/>
        <v>-1000</v>
      </c>
      <c r="CG636" s="47">
        <f t="shared" si="2020"/>
        <v>-1000</v>
      </c>
      <c r="CH636" s="47">
        <f t="shared" si="2020"/>
        <v>-1000</v>
      </c>
      <c r="CI636" s="47">
        <f t="shared" si="2020"/>
        <v>-1000</v>
      </c>
      <c r="CJ636" s="47">
        <f t="shared" si="2020"/>
        <v>-1000</v>
      </c>
      <c r="CK636" s="47">
        <f t="shared" si="2020"/>
        <v>-1000</v>
      </c>
      <c r="CL636" s="47">
        <f t="shared" si="2020"/>
        <v>-1000</v>
      </c>
      <c r="CM636" s="47">
        <f t="shared" si="2020"/>
        <v>-1000</v>
      </c>
      <c r="CN636" s="47">
        <f t="shared" si="2020"/>
        <v>-1000</v>
      </c>
      <c r="CO636" s="47">
        <f t="shared" si="2020"/>
        <v>-1000</v>
      </c>
      <c r="CP636" s="47">
        <f t="shared" si="2020"/>
        <v>-1000</v>
      </c>
      <c r="CQ636" s="47">
        <f t="shared" si="2020"/>
        <v>-1000</v>
      </c>
      <c r="CR636" s="47"/>
      <c r="CS636" s="47"/>
      <c r="CT636" s="47"/>
      <c r="CU636" s="50" t="str">
        <f>IFERROR(__xludf.DUMMYFUNCTION("""COMPUTED_VALUE"""),"6824 Lupton Drive
Dallas, TX 75225          ")</f>
        <v>6824 Lupton Drive
Dallas, TX 75225          </v>
      </c>
      <c r="CV636" s="51">
        <f>IFERROR(__xludf.DUMMYFUNCTION("IF(REGEXMATCH(UPPER(CU636), ""TX""),0,1)"),0.0)</f>
        <v>0</v>
      </c>
      <c r="CW636" s="51">
        <f>IFERROR(__xludf.DUMMYFUNCTION("IF(REGEXMATCH(UPPER(CU636), ""DALLAS""),0,1)"),0.0)</f>
        <v>0</v>
      </c>
      <c r="CX636" s="51">
        <f t="shared" si="17"/>
        <v>0</v>
      </c>
      <c r="CY636" s="51">
        <f t="shared" si="18"/>
        <v>0</v>
      </c>
      <c r="CZ636" s="52" t="str">
        <f t="shared" si="19"/>
        <v/>
      </c>
      <c r="DA636" s="58"/>
      <c r="DB636" s="52"/>
      <c r="DC636" s="52"/>
      <c r="DD636" s="52"/>
      <c r="DE636" s="52"/>
      <c r="DF636" s="52"/>
      <c r="DG636" s="52"/>
      <c r="DH636" s="52"/>
      <c r="DI636" s="52"/>
      <c r="DJ636" s="52"/>
      <c r="DK636" s="52"/>
      <c r="DL636" s="52"/>
      <c r="DM636" s="52"/>
      <c r="DN636" s="52"/>
      <c r="DO636" s="52"/>
      <c r="DP636" s="52"/>
      <c r="DQ636" s="52"/>
      <c r="DR636" s="52"/>
      <c r="DS636" s="52"/>
      <c r="DT636" s="52"/>
      <c r="DU636" s="52"/>
      <c r="DV636" s="52"/>
      <c r="DW636" s="52"/>
    </row>
    <row r="637">
      <c r="A637" s="40" t="s">
        <v>55</v>
      </c>
      <c r="B637" s="41" t="s">
        <v>56</v>
      </c>
      <c r="C637" s="31" t="s">
        <v>1705</v>
      </c>
      <c r="D637" s="25" t="str">
        <f>IFERROR(__xludf.DUMMYFUNCTION("SPLIT(C637,"" "")"),"Frank,")</f>
        <v>Frank,</v>
      </c>
      <c r="E637" s="40" t="str">
        <f>IFERROR(__xludf.DUMMYFUNCTION("""COMPUTED_VALUE"""),"Jerome
5514")</f>
        <v>Jerome
5514</v>
      </c>
      <c r="F637" s="40" t="str">
        <f>IFERROR(__xludf.DUMMYFUNCTION("""COMPUTED_VALUE"""),"Montrose
Dallas,")</f>
        <v>Montrose
Dallas,</v>
      </c>
      <c r="G637" s="40" t="str">
        <f>IFERROR(__xludf.DUMMYFUNCTION("""COMPUTED_VALUE"""),"TX")</f>
        <v>TX</v>
      </c>
      <c r="H637" s="40">
        <f>IFERROR(__xludf.DUMMYFUNCTION("""COMPUTED_VALUE"""),75209.0)</f>
        <v>75209</v>
      </c>
      <c r="I637" s="40"/>
      <c r="J637" s="40"/>
      <c r="K637" s="40"/>
      <c r="L637" s="40"/>
      <c r="M637" s="40"/>
      <c r="N637" s="40"/>
      <c r="O637" s="40"/>
      <c r="P637" s="40"/>
      <c r="Q637" s="40"/>
      <c r="R637" s="40"/>
      <c r="S637" s="40"/>
      <c r="T637" s="40"/>
      <c r="U637" s="24" t="str">
        <f>IFERROR(__xludf.DUMMYFUNCTION("SPLIT(E637,""01234567890"")"),"Jerome
")</f>
        <v>Jerome
</v>
      </c>
      <c r="V637" s="24" t="str">
        <f>IFERROR(__xludf.DUMMYFUNCTION("SPLIT(D637,"","")"),"Frank")</f>
        <v>Frank</v>
      </c>
      <c r="W637" s="25" t="str">
        <f t="shared" si="1"/>
        <v>JEROME
 FRANK</v>
      </c>
      <c r="X637" s="25" t="s">
        <v>1706</v>
      </c>
      <c r="Y637" s="25">
        <v>75209.0</v>
      </c>
      <c r="Z637" s="25" t="str">
        <f>IFERROR(__xludf.DUMMYFUNCTION("SPLIT(C637,""
"")"),"Frank, Jerome")</f>
        <v>Frank, Jerome</v>
      </c>
      <c r="AA637" s="25" t="str">
        <f>IFERROR(__xludf.DUMMYFUNCTION("""COMPUTED_VALUE"""),"5514 Montrose")</f>
        <v>5514 Montrose</v>
      </c>
      <c r="AB637" s="25" t="str">
        <f>IFERROR(__xludf.DUMMYFUNCTION("""COMPUTED_VALUE"""),"Dallas, TX 75209")</f>
        <v>Dallas, TX 75209</v>
      </c>
      <c r="AC637" s="24" t="s">
        <v>1184</v>
      </c>
      <c r="AD637" s="25"/>
      <c r="AE637" s="25"/>
      <c r="AF637" s="25"/>
      <c r="AG637" s="40" t="s">
        <v>60</v>
      </c>
      <c r="AH637" s="42">
        <v>2448.0</v>
      </c>
      <c r="AI637" s="40" t="s">
        <v>61</v>
      </c>
      <c r="AJ637" s="27">
        <v>500.0</v>
      </c>
      <c r="AK637" s="31" t="s">
        <v>24</v>
      </c>
      <c r="AL637" s="43">
        <v>44741.0</v>
      </c>
      <c r="AM637" s="44">
        <v>44757.44018518519</v>
      </c>
      <c r="AN637" s="30">
        <v>2.0</v>
      </c>
      <c r="AO637" s="40"/>
      <c r="AP637" s="40"/>
      <c r="AQ637" s="40"/>
      <c r="AR637" s="40"/>
      <c r="AS637" s="40"/>
      <c r="AT637" s="47"/>
      <c r="AU637" s="40"/>
      <c r="AV637" s="46" t="str">
        <f>IFERROR(__xludf.DUMMYFUNCTION("""COMPUTED_VALUE"""),"Washburne")</f>
        <v>Washburne</v>
      </c>
      <c r="AW637" s="46">
        <f t="shared" si="7"/>
        <v>5000</v>
      </c>
      <c r="AX637" s="47">
        <f t="shared" ref="AX637:BQ637" si="2021">SUMIFS($AJ:$AJ,$V:$V,$AV637,$AK:$AK,AX$2)</f>
        <v>0</v>
      </c>
      <c r="AY637" s="48">
        <f t="shared" si="2021"/>
        <v>0</v>
      </c>
      <c r="AZ637" s="48">
        <f t="shared" si="2021"/>
        <v>0</v>
      </c>
      <c r="BA637" s="48">
        <f t="shared" si="2021"/>
        <v>0</v>
      </c>
      <c r="BB637" s="48">
        <f t="shared" si="2021"/>
        <v>5000</v>
      </c>
      <c r="BC637" s="48">
        <f t="shared" si="2021"/>
        <v>0</v>
      </c>
      <c r="BD637" s="48">
        <f t="shared" si="2021"/>
        <v>0</v>
      </c>
      <c r="BE637" s="48">
        <f t="shared" si="2021"/>
        <v>0</v>
      </c>
      <c r="BF637" s="48">
        <f t="shared" si="2021"/>
        <v>0</v>
      </c>
      <c r="BG637" s="48">
        <f t="shared" si="2021"/>
        <v>0</v>
      </c>
      <c r="BH637" s="48">
        <f t="shared" si="2021"/>
        <v>0</v>
      </c>
      <c r="BI637" s="48">
        <f t="shared" si="2021"/>
        <v>0</v>
      </c>
      <c r="BJ637" s="48">
        <f t="shared" si="2021"/>
        <v>0</v>
      </c>
      <c r="BK637" s="48">
        <f t="shared" si="2021"/>
        <v>0</v>
      </c>
      <c r="BL637" s="48">
        <f t="shared" si="2021"/>
        <v>0</v>
      </c>
      <c r="BM637" s="48">
        <f t="shared" si="2021"/>
        <v>0</v>
      </c>
      <c r="BN637" s="48">
        <f t="shared" si="2021"/>
        <v>0</v>
      </c>
      <c r="BO637" s="48">
        <f t="shared" si="2021"/>
        <v>0</v>
      </c>
      <c r="BP637" s="48">
        <f t="shared" si="2021"/>
        <v>0</v>
      </c>
      <c r="BQ637" s="48">
        <f t="shared" si="2021"/>
        <v>0</v>
      </c>
      <c r="BR637" s="36">
        <f t="shared" si="9"/>
        <v>0</v>
      </c>
      <c r="BS637" s="38">
        <f t="shared" si="10"/>
        <v>1</v>
      </c>
      <c r="BT637" s="49">
        <f t="shared" si="11"/>
        <v>0</v>
      </c>
      <c r="BU637" s="38">
        <f t="shared" si="12"/>
        <v>1000</v>
      </c>
      <c r="BV637" s="46" t="str">
        <f>IFERROR(__xludf.DUMMYFUNCTION("""COMPUTED_VALUE"""),"Washburne")</f>
        <v>Washburne</v>
      </c>
      <c r="BW637" s="46">
        <f t="shared" si="13"/>
        <v>5000</v>
      </c>
      <c r="BX637" s="47">
        <f t="shared" ref="BX637:CA637" si="2022">AX637-$BU637</f>
        <v>-1000</v>
      </c>
      <c r="BY637" s="47">
        <f t="shared" si="2022"/>
        <v>-1000</v>
      </c>
      <c r="BZ637" s="47">
        <f t="shared" si="2022"/>
        <v>-1000</v>
      </c>
      <c r="CA637" s="47">
        <f t="shared" si="2022"/>
        <v>-1000</v>
      </c>
      <c r="CB637" s="47">
        <f t="shared" si="15"/>
        <v>-5000</v>
      </c>
      <c r="CC637" s="47">
        <f t="shared" ref="CC637:CQ637" si="2023">BC637-$BU637</f>
        <v>-1000</v>
      </c>
      <c r="CD637" s="47">
        <f t="shared" si="2023"/>
        <v>-1000</v>
      </c>
      <c r="CE637" s="47">
        <f t="shared" si="2023"/>
        <v>-1000</v>
      </c>
      <c r="CF637" s="47">
        <f t="shared" si="2023"/>
        <v>-1000</v>
      </c>
      <c r="CG637" s="47">
        <f t="shared" si="2023"/>
        <v>-1000</v>
      </c>
      <c r="CH637" s="47">
        <f t="shared" si="2023"/>
        <v>-1000</v>
      </c>
      <c r="CI637" s="47">
        <f t="shared" si="2023"/>
        <v>-1000</v>
      </c>
      <c r="CJ637" s="47">
        <f t="shared" si="2023"/>
        <v>-1000</v>
      </c>
      <c r="CK637" s="47">
        <f t="shared" si="2023"/>
        <v>-1000</v>
      </c>
      <c r="CL637" s="47">
        <f t="shared" si="2023"/>
        <v>-1000</v>
      </c>
      <c r="CM637" s="47">
        <f t="shared" si="2023"/>
        <v>-1000</v>
      </c>
      <c r="CN637" s="47">
        <f t="shared" si="2023"/>
        <v>-1000</v>
      </c>
      <c r="CO637" s="47">
        <f t="shared" si="2023"/>
        <v>-1000</v>
      </c>
      <c r="CP637" s="47">
        <f t="shared" si="2023"/>
        <v>-1000</v>
      </c>
      <c r="CQ637" s="47">
        <f t="shared" si="2023"/>
        <v>-1000</v>
      </c>
      <c r="CR637" s="47"/>
      <c r="CS637" s="47"/>
      <c r="CT637" s="47"/>
      <c r="CU637" s="50" t="str">
        <f>IFERROR(__xludf.DUMMYFUNCTION("""COMPUTED_VALUE"""),"10956 Audelia Rd
Dallas, TX 75243          ")</f>
        <v>10956 Audelia Rd
Dallas, TX 75243          </v>
      </c>
      <c r="CV637" s="51">
        <f>IFERROR(__xludf.DUMMYFUNCTION("IF(REGEXMATCH(UPPER(CU637), ""TX""),0,1)"),0.0)</f>
        <v>0</v>
      </c>
      <c r="CW637" s="51">
        <f>IFERROR(__xludf.DUMMYFUNCTION("IF(REGEXMATCH(UPPER(CU637), ""DALLAS""),0,1)"),0.0)</f>
        <v>0</v>
      </c>
      <c r="CX637" s="51">
        <f t="shared" si="17"/>
        <v>0</v>
      </c>
      <c r="CY637" s="51">
        <f t="shared" si="18"/>
        <v>0</v>
      </c>
      <c r="CZ637" s="52" t="str">
        <f t="shared" si="19"/>
        <v/>
      </c>
      <c r="DA637" s="58"/>
      <c r="DB637" s="52"/>
      <c r="DC637" s="52"/>
      <c r="DD637" s="52"/>
      <c r="DE637" s="52"/>
      <c r="DF637" s="52"/>
      <c r="DG637" s="52"/>
      <c r="DH637" s="52"/>
      <c r="DI637" s="52"/>
      <c r="DJ637" s="52"/>
      <c r="DK637" s="52"/>
      <c r="DL637" s="52"/>
      <c r="DM637" s="52"/>
      <c r="DN637" s="52"/>
      <c r="DO637" s="52"/>
      <c r="DP637" s="52"/>
      <c r="DQ637" s="52"/>
      <c r="DR637" s="52"/>
      <c r="DS637" s="52"/>
      <c r="DT637" s="52"/>
      <c r="DU637" s="52"/>
      <c r="DV637" s="52"/>
      <c r="DW637" s="52"/>
    </row>
    <row r="638">
      <c r="A638" s="22" t="s">
        <v>55</v>
      </c>
      <c r="B638" s="23" t="s">
        <v>56</v>
      </c>
      <c r="C638" s="31" t="s">
        <v>82</v>
      </c>
      <c r="D638" s="25" t="str">
        <f>IFERROR(__xludf.DUMMYFUNCTION("SPLIT(C638,"" "")"),"Acosta,")</f>
        <v>Acosta,</v>
      </c>
      <c r="E638" s="22" t="str">
        <f>IFERROR(__xludf.DUMMYFUNCTION("""COMPUTED_VALUE"""),"Arcillia
1341")</f>
        <v>Arcillia
1341</v>
      </c>
      <c r="F638" s="22" t="str">
        <f>IFERROR(__xludf.DUMMYFUNCTION("""COMPUTED_VALUE"""),"W.")</f>
        <v>W.</v>
      </c>
      <c r="G638" s="22" t="str">
        <f>IFERROR(__xludf.DUMMYFUNCTION("""COMPUTED_VALUE"""),"Mockingbird")</f>
        <v>Mockingbird</v>
      </c>
      <c r="H638" s="22" t="str">
        <f>IFERROR(__xludf.DUMMYFUNCTION("""COMPUTED_VALUE"""),"Ln
Dallas,")</f>
        <v>Ln
Dallas,</v>
      </c>
      <c r="I638" s="22" t="str">
        <f>IFERROR(__xludf.DUMMYFUNCTION("""COMPUTED_VALUE"""),"TX")</f>
        <v>TX</v>
      </c>
      <c r="J638" s="22">
        <f>IFERROR(__xludf.DUMMYFUNCTION("""COMPUTED_VALUE"""),75247.0)</f>
        <v>75247</v>
      </c>
      <c r="K638" s="22"/>
      <c r="L638" s="22"/>
      <c r="M638" s="22"/>
      <c r="N638" s="22"/>
      <c r="O638" s="22"/>
      <c r="P638" s="22"/>
      <c r="Q638" s="22"/>
      <c r="R638" s="22"/>
      <c r="S638" s="22"/>
      <c r="T638" s="22"/>
      <c r="U638" s="24" t="str">
        <f>IFERROR(__xludf.DUMMYFUNCTION("SPLIT(E638,""01234567890"")"),"Arcillia
")</f>
        <v>Arcillia
</v>
      </c>
      <c r="V638" s="24" t="str">
        <f>IFERROR(__xludf.DUMMYFUNCTION("SPLIT(D638,"","")"),"Acosta")</f>
        <v>Acosta</v>
      </c>
      <c r="W638" s="25" t="str">
        <f t="shared" si="1"/>
        <v>ARCILLIA
 ACOSTA</v>
      </c>
      <c r="X638" s="25" t="s">
        <v>83</v>
      </c>
      <c r="Y638" s="25">
        <v>75247.0</v>
      </c>
      <c r="Z638" s="25" t="str">
        <f>IFERROR(__xludf.DUMMYFUNCTION("SPLIT(C638,""
"")"),"Acosta, Arcillia")</f>
        <v>Acosta, Arcillia</v>
      </c>
      <c r="AA638" s="25" t="str">
        <f>IFERROR(__xludf.DUMMYFUNCTION("""COMPUTED_VALUE"""),"1341 W. Mockingbird Ln")</f>
        <v>1341 W. Mockingbird Ln</v>
      </c>
      <c r="AB638" s="25" t="str">
        <f>IFERROR(__xludf.DUMMYFUNCTION("""COMPUTED_VALUE"""),"Dallas, TX 75247")</f>
        <v>Dallas, TX 75247</v>
      </c>
      <c r="AC638" s="24" t="s">
        <v>84</v>
      </c>
      <c r="AD638" s="25"/>
      <c r="AE638" s="25"/>
      <c r="AF638" s="25"/>
      <c r="AG638" s="22" t="s">
        <v>60</v>
      </c>
      <c r="AH638" s="54">
        <v>2448.0</v>
      </c>
      <c r="AI638" s="22" t="s">
        <v>61</v>
      </c>
      <c r="AJ638" s="27">
        <v>1000.0</v>
      </c>
      <c r="AK638" s="31" t="s">
        <v>24</v>
      </c>
      <c r="AL638" s="28">
        <v>44742.0</v>
      </c>
      <c r="AM638" s="29">
        <v>44757.44018518519</v>
      </c>
      <c r="AN638" s="30">
        <v>2.0</v>
      </c>
      <c r="AO638" s="22"/>
      <c r="AP638" s="22"/>
      <c r="AQ638" s="22"/>
      <c r="AR638" s="22"/>
      <c r="AS638" s="22"/>
      <c r="AT638" s="70"/>
      <c r="AU638" s="22"/>
      <c r="AV638" s="57" t="str">
        <f>IFERROR(__xludf.DUMMYFUNCTION("""COMPUTED_VALUE"""),"Goldman")</f>
        <v>Goldman</v>
      </c>
      <c r="AW638" s="46">
        <f t="shared" si="7"/>
        <v>100</v>
      </c>
      <c r="AX638" s="47">
        <f t="shared" ref="AX638:BQ638" si="2024">SUMIFS($AJ:$AJ,$V:$V,$AV638,$AK:$AK,AX$2)</f>
        <v>0</v>
      </c>
      <c r="AY638" s="48">
        <f t="shared" si="2024"/>
        <v>0</v>
      </c>
      <c r="AZ638" s="48">
        <f t="shared" si="2024"/>
        <v>0</v>
      </c>
      <c r="BA638" s="48">
        <f t="shared" si="2024"/>
        <v>0</v>
      </c>
      <c r="BB638" s="48">
        <f t="shared" si="2024"/>
        <v>100</v>
      </c>
      <c r="BC638" s="48">
        <f t="shared" si="2024"/>
        <v>0</v>
      </c>
      <c r="BD638" s="48">
        <f t="shared" si="2024"/>
        <v>0</v>
      </c>
      <c r="BE638" s="48">
        <f t="shared" si="2024"/>
        <v>0</v>
      </c>
      <c r="BF638" s="48">
        <f t="shared" si="2024"/>
        <v>0</v>
      </c>
      <c r="BG638" s="48">
        <f t="shared" si="2024"/>
        <v>0</v>
      </c>
      <c r="BH638" s="48">
        <f t="shared" si="2024"/>
        <v>0</v>
      </c>
      <c r="BI638" s="48">
        <f t="shared" si="2024"/>
        <v>0</v>
      </c>
      <c r="BJ638" s="48">
        <f t="shared" si="2024"/>
        <v>0</v>
      </c>
      <c r="BK638" s="48">
        <f t="shared" si="2024"/>
        <v>0</v>
      </c>
      <c r="BL638" s="48">
        <f t="shared" si="2024"/>
        <v>0</v>
      </c>
      <c r="BM638" s="48">
        <f t="shared" si="2024"/>
        <v>0</v>
      </c>
      <c r="BN638" s="48">
        <f t="shared" si="2024"/>
        <v>0</v>
      </c>
      <c r="BO638" s="48">
        <f t="shared" si="2024"/>
        <v>0</v>
      </c>
      <c r="BP638" s="48">
        <f t="shared" si="2024"/>
        <v>0</v>
      </c>
      <c r="BQ638" s="48">
        <f t="shared" si="2024"/>
        <v>0</v>
      </c>
      <c r="BR638" s="36">
        <f t="shared" si="9"/>
        <v>0</v>
      </c>
      <c r="BS638" s="38">
        <f t="shared" si="10"/>
        <v>1</v>
      </c>
      <c r="BT638" s="49">
        <f t="shared" si="11"/>
        <v>0</v>
      </c>
      <c r="BU638" s="38">
        <f t="shared" si="12"/>
        <v>1000</v>
      </c>
      <c r="BV638" s="57" t="str">
        <f>IFERROR(__xludf.DUMMYFUNCTION("""COMPUTED_VALUE"""),"Goldman")</f>
        <v>Goldman</v>
      </c>
      <c r="BW638" s="46">
        <f t="shared" si="13"/>
        <v>100</v>
      </c>
      <c r="BX638" s="47">
        <f t="shared" ref="BX638:CA638" si="2025">AX638-$BU638</f>
        <v>-1000</v>
      </c>
      <c r="BY638" s="47">
        <f t="shared" si="2025"/>
        <v>-1000</v>
      </c>
      <c r="BZ638" s="47">
        <f t="shared" si="2025"/>
        <v>-1000</v>
      </c>
      <c r="CA638" s="47">
        <f t="shared" si="2025"/>
        <v>-1000</v>
      </c>
      <c r="CB638" s="47">
        <f t="shared" si="15"/>
        <v>-9900</v>
      </c>
      <c r="CC638" s="47">
        <f t="shared" ref="CC638:CQ638" si="2026">BC638-$BU638</f>
        <v>-1000</v>
      </c>
      <c r="CD638" s="47">
        <f t="shared" si="2026"/>
        <v>-1000</v>
      </c>
      <c r="CE638" s="47">
        <f t="shared" si="2026"/>
        <v>-1000</v>
      </c>
      <c r="CF638" s="47">
        <f t="shared" si="2026"/>
        <v>-1000</v>
      </c>
      <c r="CG638" s="47">
        <f t="shared" si="2026"/>
        <v>-1000</v>
      </c>
      <c r="CH638" s="47">
        <f t="shared" si="2026"/>
        <v>-1000</v>
      </c>
      <c r="CI638" s="47">
        <f t="shared" si="2026"/>
        <v>-1000</v>
      </c>
      <c r="CJ638" s="47">
        <f t="shared" si="2026"/>
        <v>-1000</v>
      </c>
      <c r="CK638" s="47">
        <f t="shared" si="2026"/>
        <v>-1000</v>
      </c>
      <c r="CL638" s="47">
        <f t="shared" si="2026"/>
        <v>-1000</v>
      </c>
      <c r="CM638" s="47">
        <f t="shared" si="2026"/>
        <v>-1000</v>
      </c>
      <c r="CN638" s="47">
        <f t="shared" si="2026"/>
        <v>-1000</v>
      </c>
      <c r="CO638" s="47">
        <f t="shared" si="2026"/>
        <v>-1000</v>
      </c>
      <c r="CP638" s="47">
        <f t="shared" si="2026"/>
        <v>-1000</v>
      </c>
      <c r="CQ638" s="47">
        <f t="shared" si="2026"/>
        <v>-1000</v>
      </c>
      <c r="CR638" s="47"/>
      <c r="CS638" s="47"/>
      <c r="CT638" s="47"/>
      <c r="CU638" s="50" t="str">
        <f>IFERROR(__xludf.DUMMYFUNCTION("""COMPUTED_VALUE"""),"susan and Ron
3505 Turtle Creek Blvd
Dallas, TX 75219       ")</f>
        <v>susan and Ron
3505 Turtle Creek Blvd
Dallas, TX 75219       </v>
      </c>
      <c r="CV638" s="51">
        <f>IFERROR(__xludf.DUMMYFUNCTION("IF(REGEXMATCH(UPPER(CU638), ""TX""),0,1)"),0.0)</f>
        <v>0</v>
      </c>
      <c r="CW638" s="51">
        <f>IFERROR(__xludf.DUMMYFUNCTION("IF(REGEXMATCH(UPPER(CU638), ""DALLAS""),0,1)"),0.0)</f>
        <v>0</v>
      </c>
      <c r="CX638" s="51">
        <f t="shared" si="17"/>
        <v>0</v>
      </c>
      <c r="CY638" s="51">
        <f t="shared" si="18"/>
        <v>0</v>
      </c>
      <c r="CZ638" s="52" t="str">
        <f t="shared" si="19"/>
        <v/>
      </c>
      <c r="DA638" s="58"/>
      <c r="DB638" s="52"/>
      <c r="DC638" s="52"/>
      <c r="DD638" s="52"/>
      <c r="DE638" s="52"/>
      <c r="DF638" s="52"/>
      <c r="DG638" s="52"/>
      <c r="DH638" s="52"/>
      <c r="DI638" s="52"/>
      <c r="DJ638" s="52"/>
      <c r="DK638" s="52"/>
      <c r="DL638" s="52"/>
      <c r="DM638" s="52"/>
      <c r="DN638" s="52"/>
      <c r="DO638" s="52"/>
      <c r="DP638" s="52"/>
      <c r="DQ638" s="52"/>
      <c r="DR638" s="52"/>
      <c r="DS638" s="52"/>
      <c r="DT638" s="52"/>
      <c r="DU638" s="52"/>
      <c r="DV638" s="52"/>
      <c r="DW638" s="52"/>
    </row>
    <row r="639">
      <c r="A639" s="40" t="s">
        <v>55</v>
      </c>
      <c r="B639" s="41" t="s">
        <v>56</v>
      </c>
      <c r="C639" s="31" t="s">
        <v>1707</v>
      </c>
      <c r="D639" s="25" t="str">
        <f>IFERROR(__xludf.DUMMYFUNCTION("SPLIT(C639,"" "")"),"Brown,")</f>
        <v>Brown,</v>
      </c>
      <c r="E639" s="40" t="str">
        <f>IFERROR(__xludf.DUMMYFUNCTION("""COMPUTED_VALUE"""),"Dave
2500")</f>
        <v>Dave
2500</v>
      </c>
      <c r="F639" s="40" t="str">
        <f>IFERROR(__xludf.DUMMYFUNCTION("""COMPUTED_VALUE"""),"Houston
Dallas,")</f>
        <v>Houston
Dallas,</v>
      </c>
      <c r="G639" s="40" t="str">
        <f>IFERROR(__xludf.DUMMYFUNCTION("""COMPUTED_VALUE"""),"TX")</f>
        <v>TX</v>
      </c>
      <c r="H639" s="40">
        <f>IFERROR(__xludf.DUMMYFUNCTION("""COMPUTED_VALUE"""),75219.0)</f>
        <v>75219</v>
      </c>
      <c r="I639" s="40"/>
      <c r="J639" s="40"/>
      <c r="K639" s="40"/>
      <c r="L639" s="40"/>
      <c r="M639" s="40"/>
      <c r="N639" s="40"/>
      <c r="O639" s="40"/>
      <c r="P639" s="40"/>
      <c r="Q639" s="40"/>
      <c r="R639" s="40"/>
      <c r="S639" s="40"/>
      <c r="T639" s="40"/>
      <c r="U639" s="24" t="str">
        <f>IFERROR(__xludf.DUMMYFUNCTION("SPLIT(E639,""01234567890"")"),"Dave
")</f>
        <v>Dave
</v>
      </c>
      <c r="V639" s="24" t="str">
        <f>IFERROR(__xludf.DUMMYFUNCTION("SPLIT(D639,"","")"),"Brown")</f>
        <v>Brown</v>
      </c>
      <c r="W639" s="25" t="str">
        <f t="shared" si="1"/>
        <v>DAVE
 BROWN</v>
      </c>
      <c r="X639" s="25" t="s">
        <v>1708</v>
      </c>
      <c r="Y639" s="25">
        <v>75219.0</v>
      </c>
      <c r="Z639" s="25" t="str">
        <f>IFERROR(__xludf.DUMMYFUNCTION("SPLIT(C639,""
"")"),"Brown, Dave")</f>
        <v>Brown, Dave</v>
      </c>
      <c r="AA639" s="25" t="str">
        <f>IFERROR(__xludf.DUMMYFUNCTION("""COMPUTED_VALUE"""),"2500 Houston")</f>
        <v>2500 Houston</v>
      </c>
      <c r="AB639" s="25" t="str">
        <f>IFERROR(__xludf.DUMMYFUNCTION("""COMPUTED_VALUE"""),"Dallas, TX 75219")</f>
        <v>Dallas, TX 75219</v>
      </c>
      <c r="AC639" s="24" t="s">
        <v>1709</v>
      </c>
      <c r="AD639" s="25"/>
      <c r="AE639" s="25"/>
      <c r="AF639" s="25"/>
      <c r="AG639" s="40" t="s">
        <v>60</v>
      </c>
      <c r="AH639" s="42">
        <v>2448.0</v>
      </c>
      <c r="AI639" s="40" t="s">
        <v>61</v>
      </c>
      <c r="AJ639" s="27">
        <v>250.0</v>
      </c>
      <c r="AK639" s="31" t="s">
        <v>24</v>
      </c>
      <c r="AL639" s="43">
        <v>44742.0</v>
      </c>
      <c r="AM639" s="44">
        <v>44757.44018518519</v>
      </c>
      <c r="AN639" s="30">
        <v>2.0</v>
      </c>
      <c r="AO639" s="40"/>
      <c r="AP639" s="40"/>
      <c r="AQ639" s="40"/>
      <c r="AR639" s="40"/>
      <c r="AS639" s="40"/>
      <c r="AT639" s="47"/>
      <c r="AU639" s="40"/>
      <c r="AV639" s="46" t="str">
        <f>IFERROR(__xludf.DUMMYFUNCTION("""COMPUTED_VALUE"""),"Pailet")</f>
        <v>Pailet</v>
      </c>
      <c r="AW639" s="46">
        <f t="shared" si="7"/>
        <v>100</v>
      </c>
      <c r="AX639" s="47">
        <f t="shared" ref="AX639:BQ639" si="2027">SUMIFS($AJ:$AJ,$V:$V,$AV639,$AK:$AK,AX$2)</f>
        <v>0</v>
      </c>
      <c r="AY639" s="48">
        <f t="shared" si="2027"/>
        <v>0</v>
      </c>
      <c r="AZ639" s="48">
        <f t="shared" si="2027"/>
        <v>0</v>
      </c>
      <c r="BA639" s="48">
        <f t="shared" si="2027"/>
        <v>0</v>
      </c>
      <c r="BB639" s="48">
        <f t="shared" si="2027"/>
        <v>100</v>
      </c>
      <c r="BC639" s="48">
        <f t="shared" si="2027"/>
        <v>0</v>
      </c>
      <c r="BD639" s="48">
        <f t="shared" si="2027"/>
        <v>0</v>
      </c>
      <c r="BE639" s="48">
        <f t="shared" si="2027"/>
        <v>0</v>
      </c>
      <c r="BF639" s="48">
        <f t="shared" si="2027"/>
        <v>0</v>
      </c>
      <c r="BG639" s="48">
        <f t="shared" si="2027"/>
        <v>0</v>
      </c>
      <c r="BH639" s="48">
        <f t="shared" si="2027"/>
        <v>0</v>
      </c>
      <c r="BI639" s="48">
        <f t="shared" si="2027"/>
        <v>0</v>
      </c>
      <c r="BJ639" s="48">
        <f t="shared" si="2027"/>
        <v>0</v>
      </c>
      <c r="BK639" s="48">
        <f t="shared" si="2027"/>
        <v>0</v>
      </c>
      <c r="BL639" s="48">
        <f t="shared" si="2027"/>
        <v>0</v>
      </c>
      <c r="BM639" s="48">
        <f t="shared" si="2027"/>
        <v>0</v>
      </c>
      <c r="BN639" s="48">
        <f t="shared" si="2027"/>
        <v>0</v>
      </c>
      <c r="BO639" s="48">
        <f t="shared" si="2027"/>
        <v>0</v>
      </c>
      <c r="BP639" s="48">
        <f t="shared" si="2027"/>
        <v>0</v>
      </c>
      <c r="BQ639" s="48">
        <f t="shared" si="2027"/>
        <v>0</v>
      </c>
      <c r="BR639" s="36">
        <f t="shared" si="9"/>
        <v>0</v>
      </c>
      <c r="BS639" s="38">
        <f t="shared" si="10"/>
        <v>1</v>
      </c>
      <c r="BT639" s="49">
        <f t="shared" si="11"/>
        <v>0</v>
      </c>
      <c r="BU639" s="38">
        <f t="shared" si="12"/>
        <v>1000</v>
      </c>
      <c r="BV639" s="46" t="str">
        <f>IFERROR(__xludf.DUMMYFUNCTION("""COMPUTED_VALUE"""),"Pailet")</f>
        <v>Pailet</v>
      </c>
      <c r="BW639" s="46">
        <f t="shared" si="13"/>
        <v>100</v>
      </c>
      <c r="BX639" s="47">
        <f t="shared" ref="BX639:CA639" si="2028">AX639-$BU639</f>
        <v>-1000</v>
      </c>
      <c r="BY639" s="47">
        <f t="shared" si="2028"/>
        <v>-1000</v>
      </c>
      <c r="BZ639" s="47">
        <f t="shared" si="2028"/>
        <v>-1000</v>
      </c>
      <c r="CA639" s="47">
        <f t="shared" si="2028"/>
        <v>-1000</v>
      </c>
      <c r="CB639" s="47">
        <f t="shared" si="15"/>
        <v>-9900</v>
      </c>
      <c r="CC639" s="47">
        <f t="shared" ref="CC639:CQ639" si="2029">BC639-$BU639</f>
        <v>-1000</v>
      </c>
      <c r="CD639" s="47">
        <f t="shared" si="2029"/>
        <v>-1000</v>
      </c>
      <c r="CE639" s="47">
        <f t="shared" si="2029"/>
        <v>-1000</v>
      </c>
      <c r="CF639" s="47">
        <f t="shared" si="2029"/>
        <v>-1000</v>
      </c>
      <c r="CG639" s="47">
        <f t="shared" si="2029"/>
        <v>-1000</v>
      </c>
      <c r="CH639" s="47">
        <f t="shared" si="2029"/>
        <v>-1000</v>
      </c>
      <c r="CI639" s="47">
        <f t="shared" si="2029"/>
        <v>-1000</v>
      </c>
      <c r="CJ639" s="47">
        <f t="shared" si="2029"/>
        <v>-1000</v>
      </c>
      <c r="CK639" s="47">
        <f t="shared" si="2029"/>
        <v>-1000</v>
      </c>
      <c r="CL639" s="47">
        <f t="shared" si="2029"/>
        <v>-1000</v>
      </c>
      <c r="CM639" s="47">
        <f t="shared" si="2029"/>
        <v>-1000</v>
      </c>
      <c r="CN639" s="47">
        <f t="shared" si="2029"/>
        <v>-1000</v>
      </c>
      <c r="CO639" s="47">
        <f t="shared" si="2029"/>
        <v>-1000</v>
      </c>
      <c r="CP639" s="47">
        <f t="shared" si="2029"/>
        <v>-1000</v>
      </c>
      <c r="CQ639" s="47">
        <f t="shared" si="2029"/>
        <v>-1000</v>
      </c>
      <c r="CR639" s="47"/>
      <c r="CS639" s="47"/>
      <c r="CT639" s="47"/>
      <c r="CU639" s="50" t="str">
        <f>IFERROR(__xludf.DUMMYFUNCTION("""COMPUTED_VALUE"""),"3652 Chevy Chase
Houston, TX 77019          ")</f>
        <v>3652 Chevy Chase
Houston, TX 77019          </v>
      </c>
      <c r="CV639" s="51">
        <f>IFERROR(__xludf.DUMMYFUNCTION("IF(REGEXMATCH(UPPER(CU639), ""TX""),0,1)"),0.0)</f>
        <v>0</v>
      </c>
      <c r="CW639" s="51">
        <f>IFERROR(__xludf.DUMMYFUNCTION("IF(REGEXMATCH(UPPER(CU639), ""DALLAS""),0,1)"),1.0)</f>
        <v>1</v>
      </c>
      <c r="CX639" s="51">
        <f t="shared" si="17"/>
        <v>0</v>
      </c>
      <c r="CY639" s="51">
        <f t="shared" si="18"/>
        <v>750</v>
      </c>
      <c r="CZ639" s="52" t="str">
        <f t="shared" si="19"/>
        <v>3652 Chevy Chase
Houston, TX 77019          </v>
      </c>
      <c r="DA639" s="58"/>
      <c r="DB639" s="52"/>
      <c r="DC639" s="52"/>
      <c r="DD639" s="52"/>
      <c r="DE639" s="52"/>
      <c r="DF639" s="52"/>
      <c r="DG639" s="52"/>
      <c r="DH639" s="52"/>
      <c r="DI639" s="52"/>
      <c r="DJ639" s="52"/>
      <c r="DK639" s="52"/>
      <c r="DL639" s="52"/>
      <c r="DM639" s="52"/>
      <c r="DN639" s="52"/>
      <c r="DO639" s="52"/>
      <c r="DP639" s="52"/>
      <c r="DQ639" s="52"/>
      <c r="DR639" s="52"/>
      <c r="DS639" s="52"/>
      <c r="DT639" s="52"/>
      <c r="DU639" s="52"/>
      <c r="DV639" s="52"/>
      <c r="DW639" s="52"/>
    </row>
    <row r="640">
      <c r="A640" s="22" t="s">
        <v>55</v>
      </c>
      <c r="B640" s="23" t="s">
        <v>56</v>
      </c>
      <c r="C640" s="31" t="s">
        <v>1710</v>
      </c>
      <c r="D640" s="25" t="str">
        <f>IFERROR(__xludf.DUMMYFUNCTION("SPLIT(C640,"" "")"),"Cline,")</f>
        <v>Cline,</v>
      </c>
      <c r="E640" s="22" t="str">
        <f>IFERROR(__xludf.DUMMYFUNCTION("""COMPUTED_VALUE"""),"Michael
3925")</f>
        <v>Michael
3925</v>
      </c>
      <c r="F640" s="22" t="str">
        <f>IFERROR(__xludf.DUMMYFUNCTION("""COMPUTED_VALUE"""),"Carnegie")</f>
        <v>Carnegie</v>
      </c>
      <c r="G640" s="22" t="str">
        <f>IFERROR(__xludf.DUMMYFUNCTION("""COMPUTED_VALUE"""),"Ln
Raleigh,")</f>
        <v>Ln
Raleigh,</v>
      </c>
      <c r="H640" s="22" t="str">
        <f>IFERROR(__xludf.DUMMYFUNCTION("""COMPUTED_VALUE"""),"NC")</f>
        <v>NC</v>
      </c>
      <c r="I640" s="22">
        <f>IFERROR(__xludf.DUMMYFUNCTION("""COMPUTED_VALUE"""),27612.0)</f>
        <v>27612</v>
      </c>
      <c r="J640" s="22"/>
      <c r="K640" s="22"/>
      <c r="L640" s="22"/>
      <c r="M640" s="22"/>
      <c r="N640" s="22"/>
      <c r="O640" s="22"/>
      <c r="P640" s="22"/>
      <c r="Q640" s="22"/>
      <c r="R640" s="22"/>
      <c r="S640" s="22"/>
      <c r="T640" s="22"/>
      <c r="U640" s="24" t="str">
        <f>IFERROR(__xludf.DUMMYFUNCTION("SPLIT(E640,""01234567890"")"),"Michael
")</f>
        <v>Michael
</v>
      </c>
      <c r="V640" s="24" t="str">
        <f>IFERROR(__xludf.DUMMYFUNCTION("SPLIT(D640,"","")"),"Cline")</f>
        <v>Cline</v>
      </c>
      <c r="W640" s="25" t="str">
        <f t="shared" si="1"/>
        <v>MICHAEL
 CLINE</v>
      </c>
      <c r="X640" s="25" t="s">
        <v>1711</v>
      </c>
      <c r="Y640" s="25">
        <v>27612.0</v>
      </c>
      <c r="Z640" s="25" t="str">
        <f>IFERROR(__xludf.DUMMYFUNCTION("SPLIT(C640,""
"")"),"Cline, Michael")</f>
        <v>Cline, Michael</v>
      </c>
      <c r="AA640" s="25" t="str">
        <f>IFERROR(__xludf.DUMMYFUNCTION("""COMPUTED_VALUE"""),"3925 Carnegie Ln")</f>
        <v>3925 Carnegie Ln</v>
      </c>
      <c r="AB640" s="25" t="str">
        <f>IFERROR(__xludf.DUMMYFUNCTION("""COMPUTED_VALUE"""),"Raleigh, NC 27612")</f>
        <v>Raleigh, NC 27612</v>
      </c>
      <c r="AC640" s="24" t="s">
        <v>1712</v>
      </c>
      <c r="AD640" s="25"/>
      <c r="AE640" s="25"/>
      <c r="AF640" s="25"/>
      <c r="AG640" s="22" t="s">
        <v>60</v>
      </c>
      <c r="AH640" s="54">
        <v>2448.0</v>
      </c>
      <c r="AI640" s="22" t="s">
        <v>61</v>
      </c>
      <c r="AJ640" s="27">
        <v>60.0</v>
      </c>
      <c r="AK640" s="31" t="s">
        <v>24</v>
      </c>
      <c r="AL640" s="28">
        <v>44742.0</v>
      </c>
      <c r="AM640" s="29">
        <v>44757.44018518519</v>
      </c>
      <c r="AN640" s="30">
        <v>2.0</v>
      </c>
      <c r="AO640" s="22"/>
      <c r="AP640" s="22"/>
      <c r="AQ640" s="22"/>
      <c r="AR640" s="22"/>
      <c r="AS640" s="22"/>
      <c r="AT640" s="70"/>
      <c r="AU640" s="22"/>
      <c r="AV640" s="57" t="str">
        <f>IFERROR(__xludf.DUMMYFUNCTION("""COMPUTED_VALUE"""),"Collie")</f>
        <v>Collie</v>
      </c>
      <c r="AW640" s="46">
        <f t="shared" si="7"/>
        <v>500</v>
      </c>
      <c r="AX640" s="47">
        <f t="shared" ref="AX640:BQ640" si="2030">SUMIFS($AJ:$AJ,$V:$V,$AV640,$AK:$AK,AX$2)</f>
        <v>0</v>
      </c>
      <c r="AY640" s="48">
        <f t="shared" si="2030"/>
        <v>0</v>
      </c>
      <c r="AZ640" s="48">
        <f t="shared" si="2030"/>
        <v>0</v>
      </c>
      <c r="BA640" s="48">
        <f t="shared" si="2030"/>
        <v>0</v>
      </c>
      <c r="BB640" s="48">
        <f t="shared" si="2030"/>
        <v>500</v>
      </c>
      <c r="BC640" s="48">
        <f t="shared" si="2030"/>
        <v>0</v>
      </c>
      <c r="BD640" s="48">
        <f t="shared" si="2030"/>
        <v>0</v>
      </c>
      <c r="BE640" s="48">
        <f t="shared" si="2030"/>
        <v>0</v>
      </c>
      <c r="BF640" s="48">
        <f t="shared" si="2030"/>
        <v>0</v>
      </c>
      <c r="BG640" s="48">
        <f t="shared" si="2030"/>
        <v>0</v>
      </c>
      <c r="BH640" s="48">
        <f t="shared" si="2030"/>
        <v>0</v>
      </c>
      <c r="BI640" s="48">
        <f t="shared" si="2030"/>
        <v>0</v>
      </c>
      <c r="BJ640" s="48">
        <f t="shared" si="2030"/>
        <v>0</v>
      </c>
      <c r="BK640" s="48">
        <f t="shared" si="2030"/>
        <v>0</v>
      </c>
      <c r="BL640" s="48">
        <f t="shared" si="2030"/>
        <v>0</v>
      </c>
      <c r="BM640" s="48">
        <f t="shared" si="2030"/>
        <v>0</v>
      </c>
      <c r="BN640" s="48">
        <f t="shared" si="2030"/>
        <v>0</v>
      </c>
      <c r="BO640" s="48">
        <f t="shared" si="2030"/>
        <v>0</v>
      </c>
      <c r="BP640" s="48">
        <f t="shared" si="2030"/>
        <v>0</v>
      </c>
      <c r="BQ640" s="48">
        <f t="shared" si="2030"/>
        <v>0</v>
      </c>
      <c r="BR640" s="36">
        <f t="shared" si="9"/>
        <v>0</v>
      </c>
      <c r="BS640" s="38">
        <f t="shared" si="10"/>
        <v>1</v>
      </c>
      <c r="BT640" s="49">
        <f t="shared" si="11"/>
        <v>0</v>
      </c>
      <c r="BU640" s="38">
        <f t="shared" si="12"/>
        <v>1000</v>
      </c>
      <c r="BV640" s="57" t="str">
        <f>IFERROR(__xludf.DUMMYFUNCTION("""COMPUTED_VALUE"""),"Collie")</f>
        <v>Collie</v>
      </c>
      <c r="BW640" s="46">
        <f t="shared" si="13"/>
        <v>500</v>
      </c>
      <c r="BX640" s="47">
        <f t="shared" ref="BX640:CA640" si="2031">AX640-$BU640</f>
        <v>-1000</v>
      </c>
      <c r="BY640" s="47">
        <f t="shared" si="2031"/>
        <v>-1000</v>
      </c>
      <c r="BZ640" s="47">
        <f t="shared" si="2031"/>
        <v>-1000</v>
      </c>
      <c r="CA640" s="47">
        <f t="shared" si="2031"/>
        <v>-1000</v>
      </c>
      <c r="CB640" s="47">
        <f t="shared" si="15"/>
        <v>-9500</v>
      </c>
      <c r="CC640" s="47">
        <f t="shared" ref="CC640:CQ640" si="2032">BC640-$BU640</f>
        <v>-1000</v>
      </c>
      <c r="CD640" s="47">
        <f t="shared" si="2032"/>
        <v>-1000</v>
      </c>
      <c r="CE640" s="47">
        <f t="shared" si="2032"/>
        <v>-1000</v>
      </c>
      <c r="CF640" s="47">
        <f t="shared" si="2032"/>
        <v>-1000</v>
      </c>
      <c r="CG640" s="47">
        <f t="shared" si="2032"/>
        <v>-1000</v>
      </c>
      <c r="CH640" s="47">
        <f t="shared" si="2032"/>
        <v>-1000</v>
      </c>
      <c r="CI640" s="47">
        <f t="shared" si="2032"/>
        <v>-1000</v>
      </c>
      <c r="CJ640" s="47">
        <f t="shared" si="2032"/>
        <v>-1000</v>
      </c>
      <c r="CK640" s="47">
        <f t="shared" si="2032"/>
        <v>-1000</v>
      </c>
      <c r="CL640" s="47">
        <f t="shared" si="2032"/>
        <v>-1000</v>
      </c>
      <c r="CM640" s="47">
        <f t="shared" si="2032"/>
        <v>-1000</v>
      </c>
      <c r="CN640" s="47">
        <f t="shared" si="2032"/>
        <v>-1000</v>
      </c>
      <c r="CO640" s="47">
        <f t="shared" si="2032"/>
        <v>-1000</v>
      </c>
      <c r="CP640" s="47">
        <f t="shared" si="2032"/>
        <v>-1000</v>
      </c>
      <c r="CQ640" s="47">
        <f t="shared" si="2032"/>
        <v>-1000</v>
      </c>
      <c r="CR640" s="47"/>
      <c r="CS640" s="47"/>
      <c r="CT640" s="47"/>
      <c r="CU640" s="50" t="str">
        <f>IFERROR(__xludf.DUMMYFUNCTION("""COMPUTED_VALUE"""),".
210 St.
Austin, TX 78701          ")</f>
        <v>.
210 St.
Austin, TX 78701          </v>
      </c>
      <c r="CV640" s="51">
        <f>IFERROR(__xludf.DUMMYFUNCTION("IF(REGEXMATCH(UPPER(CU640), ""TX""),0,1)"),0.0)</f>
        <v>0</v>
      </c>
      <c r="CW640" s="51">
        <f>IFERROR(__xludf.DUMMYFUNCTION("IF(REGEXMATCH(UPPER(CU640), ""DALLAS""),0,1)"),1.0)</f>
        <v>1</v>
      </c>
      <c r="CX640" s="51">
        <f t="shared" si="17"/>
        <v>0</v>
      </c>
      <c r="CY640" s="51">
        <f t="shared" si="18"/>
        <v>2500</v>
      </c>
      <c r="CZ640" s="52" t="str">
        <f t="shared" si="19"/>
        <v>.
210 St.
Austin, TX 78701          </v>
      </c>
      <c r="DA640" s="58"/>
      <c r="DB640" s="52"/>
      <c r="DC640" s="52"/>
      <c r="DD640" s="52"/>
      <c r="DE640" s="52"/>
      <c r="DF640" s="52"/>
      <c r="DG640" s="52"/>
      <c r="DH640" s="52"/>
      <c r="DI640" s="52"/>
      <c r="DJ640" s="52"/>
      <c r="DK640" s="52"/>
      <c r="DL640" s="52"/>
      <c r="DM640" s="52"/>
      <c r="DN640" s="52"/>
      <c r="DO640" s="52"/>
      <c r="DP640" s="52"/>
      <c r="DQ640" s="52"/>
      <c r="DR640" s="52"/>
      <c r="DS640" s="52"/>
      <c r="DT640" s="52"/>
      <c r="DU640" s="52"/>
      <c r="DV640" s="52"/>
      <c r="DW640" s="52"/>
    </row>
    <row r="641">
      <c r="A641" s="40" t="s">
        <v>55</v>
      </c>
      <c r="B641" s="41" t="s">
        <v>56</v>
      </c>
      <c r="C641" s="31" t="s">
        <v>1713</v>
      </c>
      <c r="D641" s="25" t="str">
        <f>IFERROR(__xludf.DUMMYFUNCTION("SPLIT(C641,"" "")"),"Terry,")</f>
        <v>Terry,</v>
      </c>
      <c r="E641" s="40" t="str">
        <f>IFERROR(__xludf.DUMMYFUNCTION("""COMPUTED_VALUE"""),"Mike
1224")</f>
        <v>Mike
1224</v>
      </c>
      <c r="F641" s="40" t="str">
        <f>IFERROR(__xludf.DUMMYFUNCTION("""COMPUTED_VALUE"""),"Inwood")</f>
        <v>Inwood</v>
      </c>
      <c r="G641" s="40" t="str">
        <f>IFERROR(__xludf.DUMMYFUNCTION("""COMPUTED_VALUE"""),"Rd
Dallas,")</f>
        <v>Rd
Dallas,</v>
      </c>
      <c r="H641" s="40" t="str">
        <f>IFERROR(__xludf.DUMMYFUNCTION("""COMPUTED_VALUE"""),"NC")</f>
        <v>NC</v>
      </c>
      <c r="I641" s="40">
        <f>IFERROR(__xludf.DUMMYFUNCTION("""COMPUTED_VALUE"""),75244.0)</f>
        <v>75244</v>
      </c>
      <c r="J641" s="40"/>
      <c r="K641" s="40"/>
      <c r="L641" s="40"/>
      <c r="M641" s="40"/>
      <c r="N641" s="40"/>
      <c r="O641" s="40"/>
      <c r="P641" s="40"/>
      <c r="Q641" s="40"/>
      <c r="R641" s="40"/>
      <c r="S641" s="40"/>
      <c r="T641" s="40"/>
      <c r="U641" s="24" t="str">
        <f>IFERROR(__xludf.DUMMYFUNCTION("SPLIT(E641,""01234567890"")"),"Mike
")</f>
        <v>Mike
</v>
      </c>
      <c r="V641" s="24" t="str">
        <f>IFERROR(__xludf.DUMMYFUNCTION("SPLIT(D641,"","")"),"Terry")</f>
        <v>Terry</v>
      </c>
      <c r="W641" s="25" t="str">
        <f t="shared" si="1"/>
        <v>MIKE
 TERRY</v>
      </c>
      <c r="X641" s="25" t="s">
        <v>1714</v>
      </c>
      <c r="Y641" s="25">
        <v>75244.0</v>
      </c>
      <c r="Z641" s="25" t="str">
        <f>IFERROR(__xludf.DUMMYFUNCTION("SPLIT(C641,""
"")"),"Terry, Mike")</f>
        <v>Terry, Mike</v>
      </c>
      <c r="AA641" s="25" t="str">
        <f>IFERROR(__xludf.DUMMYFUNCTION("""COMPUTED_VALUE"""),"1224 Inwood Rd")</f>
        <v>1224 Inwood Rd</v>
      </c>
      <c r="AB641" s="25" t="str">
        <f>IFERROR(__xludf.DUMMYFUNCTION("""COMPUTED_VALUE"""),"Dallas, NC 75244")</f>
        <v>Dallas, NC 75244</v>
      </c>
      <c r="AC641" s="24" t="s">
        <v>1715</v>
      </c>
      <c r="AD641" s="25"/>
      <c r="AE641" s="25"/>
      <c r="AF641" s="25"/>
      <c r="AG641" s="40" t="s">
        <v>60</v>
      </c>
      <c r="AH641" s="42">
        <v>2448.0</v>
      </c>
      <c r="AI641" s="40" t="s">
        <v>61</v>
      </c>
      <c r="AJ641" s="27">
        <v>1000.0</v>
      </c>
      <c r="AK641" s="31" t="s">
        <v>24</v>
      </c>
      <c r="AL641" s="43">
        <v>44742.0</v>
      </c>
      <c r="AM641" s="44">
        <v>44757.44018518519</v>
      </c>
      <c r="AN641" s="30">
        <v>2.0</v>
      </c>
      <c r="AO641" s="40"/>
      <c r="AP641" s="40"/>
      <c r="AQ641" s="40"/>
      <c r="AR641" s="40"/>
      <c r="AS641" s="40"/>
      <c r="AT641" s="47"/>
      <c r="AU641" s="40"/>
      <c r="AV641" s="46" t="str">
        <f>IFERROR(__xludf.DUMMYFUNCTION("""COMPUTED_VALUE"""),"Pradia")</f>
        <v>Pradia</v>
      </c>
      <c r="AW641" s="46">
        <f t="shared" si="7"/>
        <v>1000</v>
      </c>
      <c r="AX641" s="47">
        <f t="shared" ref="AX641:BQ641" si="2033">SUMIFS($AJ:$AJ,$V:$V,$AV641,$AK:$AK,AX$2)</f>
        <v>0</v>
      </c>
      <c r="AY641" s="48">
        <f t="shared" si="2033"/>
        <v>0</v>
      </c>
      <c r="AZ641" s="48">
        <f t="shared" si="2033"/>
        <v>0</v>
      </c>
      <c r="BA641" s="48">
        <f t="shared" si="2033"/>
        <v>0</v>
      </c>
      <c r="BB641" s="48">
        <f t="shared" si="2033"/>
        <v>1000</v>
      </c>
      <c r="BC641" s="48">
        <f t="shared" si="2033"/>
        <v>0</v>
      </c>
      <c r="BD641" s="48">
        <f t="shared" si="2033"/>
        <v>0</v>
      </c>
      <c r="BE641" s="48">
        <f t="shared" si="2033"/>
        <v>0</v>
      </c>
      <c r="BF641" s="48">
        <f t="shared" si="2033"/>
        <v>0</v>
      </c>
      <c r="BG641" s="48">
        <f t="shared" si="2033"/>
        <v>0</v>
      </c>
      <c r="BH641" s="48">
        <f t="shared" si="2033"/>
        <v>0</v>
      </c>
      <c r="BI641" s="48">
        <f t="shared" si="2033"/>
        <v>0</v>
      </c>
      <c r="BJ641" s="48">
        <f t="shared" si="2033"/>
        <v>0</v>
      </c>
      <c r="BK641" s="48">
        <f t="shared" si="2033"/>
        <v>0</v>
      </c>
      <c r="BL641" s="48">
        <f t="shared" si="2033"/>
        <v>0</v>
      </c>
      <c r="BM641" s="48">
        <f t="shared" si="2033"/>
        <v>0</v>
      </c>
      <c r="BN641" s="48">
        <f t="shared" si="2033"/>
        <v>0</v>
      </c>
      <c r="BO641" s="48">
        <f t="shared" si="2033"/>
        <v>0</v>
      </c>
      <c r="BP641" s="48">
        <f t="shared" si="2033"/>
        <v>0</v>
      </c>
      <c r="BQ641" s="48">
        <f t="shared" si="2033"/>
        <v>0</v>
      </c>
      <c r="BR641" s="36">
        <f t="shared" si="9"/>
        <v>0</v>
      </c>
      <c r="BS641" s="38">
        <f t="shared" si="10"/>
        <v>1</v>
      </c>
      <c r="BT641" s="49">
        <f t="shared" si="11"/>
        <v>0</v>
      </c>
      <c r="BU641" s="38">
        <f t="shared" si="12"/>
        <v>1000</v>
      </c>
      <c r="BV641" s="46" t="str">
        <f>IFERROR(__xludf.DUMMYFUNCTION("""COMPUTED_VALUE"""),"Pradia")</f>
        <v>Pradia</v>
      </c>
      <c r="BW641" s="46">
        <f t="shared" si="13"/>
        <v>1000</v>
      </c>
      <c r="BX641" s="47">
        <f t="shared" ref="BX641:CA641" si="2034">AX641-$BU641</f>
        <v>-1000</v>
      </c>
      <c r="BY641" s="47">
        <f t="shared" si="2034"/>
        <v>-1000</v>
      </c>
      <c r="BZ641" s="47">
        <f t="shared" si="2034"/>
        <v>-1000</v>
      </c>
      <c r="CA641" s="47">
        <f t="shared" si="2034"/>
        <v>-1000</v>
      </c>
      <c r="CB641" s="47">
        <f t="shared" si="15"/>
        <v>-9000</v>
      </c>
      <c r="CC641" s="47">
        <f t="shared" ref="CC641:CQ641" si="2035">BC641-$BU641</f>
        <v>-1000</v>
      </c>
      <c r="CD641" s="47">
        <f t="shared" si="2035"/>
        <v>-1000</v>
      </c>
      <c r="CE641" s="47">
        <f t="shared" si="2035"/>
        <v>-1000</v>
      </c>
      <c r="CF641" s="47">
        <f t="shared" si="2035"/>
        <v>-1000</v>
      </c>
      <c r="CG641" s="47">
        <f t="shared" si="2035"/>
        <v>-1000</v>
      </c>
      <c r="CH641" s="47">
        <f t="shared" si="2035"/>
        <v>-1000</v>
      </c>
      <c r="CI641" s="47">
        <f t="shared" si="2035"/>
        <v>-1000</v>
      </c>
      <c r="CJ641" s="47">
        <f t="shared" si="2035"/>
        <v>-1000</v>
      </c>
      <c r="CK641" s="47">
        <f t="shared" si="2035"/>
        <v>-1000</v>
      </c>
      <c r="CL641" s="47">
        <f t="shared" si="2035"/>
        <v>-1000</v>
      </c>
      <c r="CM641" s="47">
        <f t="shared" si="2035"/>
        <v>-1000</v>
      </c>
      <c r="CN641" s="47">
        <f t="shared" si="2035"/>
        <v>-1000</v>
      </c>
      <c r="CO641" s="47">
        <f t="shared" si="2035"/>
        <v>-1000</v>
      </c>
      <c r="CP641" s="47">
        <f t="shared" si="2035"/>
        <v>-1000</v>
      </c>
      <c r="CQ641" s="47">
        <f t="shared" si="2035"/>
        <v>-1000</v>
      </c>
      <c r="CR641" s="47"/>
      <c r="CS641" s="47"/>
      <c r="CT641" s="47"/>
      <c r="CU641" s="74"/>
      <c r="CV641" s="74"/>
      <c r="CW641" s="74" t="str">
        <f>IFERROR(__xludf.DUMMYFUNCTION("IF(REGEXMATCH(UPPER(CU641), ""DALLAS""),,CU641)"),"")</f>
        <v/>
      </c>
      <c r="CX641" s="74"/>
      <c r="CY641" s="74"/>
      <c r="CZ641" s="74"/>
      <c r="DA641" s="75"/>
      <c r="DB641" s="74"/>
      <c r="DC641" s="74"/>
      <c r="DD641" s="74"/>
      <c r="DE641" s="74"/>
      <c r="DF641" s="74"/>
      <c r="DG641" s="74"/>
      <c r="DH641" s="74"/>
      <c r="DI641" s="74"/>
      <c r="DJ641" s="74"/>
      <c r="DK641" s="74"/>
      <c r="DL641" s="74"/>
      <c r="DM641" s="74"/>
      <c r="DN641" s="74"/>
      <c r="DO641" s="74"/>
      <c r="DP641" s="74"/>
      <c r="DQ641" s="74"/>
      <c r="DR641" s="74"/>
      <c r="DS641" s="74"/>
      <c r="DT641" s="74"/>
      <c r="DU641" s="74"/>
      <c r="DV641" s="74"/>
      <c r="DW641" s="74"/>
    </row>
    <row r="642">
      <c r="A642" s="22" t="s">
        <v>55</v>
      </c>
      <c r="B642" s="23" t="s">
        <v>56</v>
      </c>
      <c r="C642" s="31" t="s">
        <v>1716</v>
      </c>
      <c r="D642" s="25" t="str">
        <f>IFERROR(__xludf.DUMMYFUNCTION("SPLIT(C642,"" "")"),"Hunt,")</f>
        <v>Hunt,</v>
      </c>
      <c r="E642" s="22" t="str">
        <f>IFERROR(__xludf.DUMMYFUNCTION("""COMPUTED_VALUE"""),"Ray
1900")</f>
        <v>Ray
1900</v>
      </c>
      <c r="F642" s="22" t="str">
        <f>IFERROR(__xludf.DUMMYFUNCTION("""COMPUTED_VALUE"""),"North")</f>
        <v>North</v>
      </c>
      <c r="G642" s="22" t="str">
        <f>IFERROR(__xludf.DUMMYFUNCTION("""COMPUTED_VALUE"""),"Akard
Dallas,")</f>
        <v>Akard
Dallas,</v>
      </c>
      <c r="H642" s="22" t="str">
        <f>IFERROR(__xludf.DUMMYFUNCTION("""COMPUTED_VALUE"""),"TX")</f>
        <v>TX</v>
      </c>
      <c r="I642" s="22">
        <f>IFERROR(__xludf.DUMMYFUNCTION("""COMPUTED_VALUE"""),75201.0)</f>
        <v>75201</v>
      </c>
      <c r="J642" s="22"/>
      <c r="K642" s="22"/>
      <c r="L642" s="22"/>
      <c r="M642" s="22"/>
      <c r="N642" s="22"/>
      <c r="O642" s="22"/>
      <c r="P642" s="22"/>
      <c r="Q642" s="22"/>
      <c r="R642" s="22"/>
      <c r="S642" s="22"/>
      <c r="T642" s="22"/>
      <c r="U642" s="24" t="str">
        <f>IFERROR(__xludf.DUMMYFUNCTION("SPLIT(E642,""01234567890"")"),"Ray
")</f>
        <v>Ray
</v>
      </c>
      <c r="V642" s="24" t="str">
        <f>IFERROR(__xludf.DUMMYFUNCTION("SPLIT(D642,"","")"),"Hunt")</f>
        <v>Hunt</v>
      </c>
      <c r="W642" s="25" t="str">
        <f t="shared" si="1"/>
        <v>RAY
 HUNT</v>
      </c>
      <c r="X642" s="25" t="s">
        <v>1717</v>
      </c>
      <c r="Y642" s="25">
        <v>75201.0</v>
      </c>
      <c r="Z642" s="25" t="str">
        <f>IFERROR(__xludf.DUMMYFUNCTION("SPLIT(C642,""
"")"),"Hunt, Ray")</f>
        <v>Hunt, Ray</v>
      </c>
      <c r="AA642" s="25" t="str">
        <f>IFERROR(__xludf.DUMMYFUNCTION("""COMPUTED_VALUE"""),"1900 North Akard")</f>
        <v>1900 North Akard</v>
      </c>
      <c r="AB642" s="25" t="str">
        <f>IFERROR(__xludf.DUMMYFUNCTION("""COMPUTED_VALUE"""),"Dallas, TX 75201")</f>
        <v>Dallas, TX 75201</v>
      </c>
      <c r="AC642" s="24" t="s">
        <v>721</v>
      </c>
      <c r="AD642" s="25"/>
      <c r="AE642" s="25"/>
      <c r="AF642" s="25"/>
      <c r="AG642" s="22" t="s">
        <v>60</v>
      </c>
      <c r="AH642" s="54">
        <v>2440.0</v>
      </c>
      <c r="AI642" s="22" t="s">
        <v>61</v>
      </c>
      <c r="AJ642" s="27">
        <v>1000.0</v>
      </c>
      <c r="AK642" s="31" t="s">
        <v>35</v>
      </c>
      <c r="AL642" s="28">
        <v>44735.0</v>
      </c>
      <c r="AM642" s="29">
        <v>44757.38489583333</v>
      </c>
      <c r="AN642" s="30">
        <v>2.0</v>
      </c>
      <c r="AO642" s="22"/>
      <c r="AP642" s="22"/>
      <c r="AQ642" s="22"/>
      <c r="AR642" s="22"/>
      <c r="AS642" s="22"/>
      <c r="AT642" s="70"/>
      <c r="AU642" s="22"/>
      <c r="AV642" s="57" t="str">
        <f>IFERROR(__xludf.DUMMYFUNCTION("""COMPUTED_VALUE"""),"Deckard")</f>
        <v>Deckard</v>
      </c>
      <c r="AW642" s="46">
        <f t="shared" si="7"/>
        <v>50</v>
      </c>
      <c r="AX642" s="47">
        <f t="shared" ref="AX642:BQ642" si="2036">SUMIFS($AJ:$AJ,$V:$V,$AV642,$AK:$AK,AX$2)</f>
        <v>0</v>
      </c>
      <c r="AY642" s="48">
        <f t="shared" si="2036"/>
        <v>0</v>
      </c>
      <c r="AZ642" s="48">
        <f t="shared" si="2036"/>
        <v>0</v>
      </c>
      <c r="BA642" s="48">
        <f t="shared" si="2036"/>
        <v>0</v>
      </c>
      <c r="BB642" s="48">
        <f t="shared" si="2036"/>
        <v>50</v>
      </c>
      <c r="BC642" s="48">
        <f t="shared" si="2036"/>
        <v>0</v>
      </c>
      <c r="BD642" s="48">
        <f t="shared" si="2036"/>
        <v>0</v>
      </c>
      <c r="BE642" s="48">
        <f t="shared" si="2036"/>
        <v>0</v>
      </c>
      <c r="BF642" s="48">
        <f t="shared" si="2036"/>
        <v>0</v>
      </c>
      <c r="BG642" s="48">
        <f t="shared" si="2036"/>
        <v>0</v>
      </c>
      <c r="BH642" s="48">
        <f t="shared" si="2036"/>
        <v>0</v>
      </c>
      <c r="BI642" s="48">
        <f t="shared" si="2036"/>
        <v>0</v>
      </c>
      <c r="BJ642" s="48">
        <f t="shared" si="2036"/>
        <v>0</v>
      </c>
      <c r="BK642" s="48">
        <f t="shared" si="2036"/>
        <v>0</v>
      </c>
      <c r="BL642" s="48">
        <f t="shared" si="2036"/>
        <v>0</v>
      </c>
      <c r="BM642" s="48">
        <f t="shared" si="2036"/>
        <v>0</v>
      </c>
      <c r="BN642" s="48">
        <f t="shared" si="2036"/>
        <v>0</v>
      </c>
      <c r="BO642" s="48">
        <f t="shared" si="2036"/>
        <v>0</v>
      </c>
      <c r="BP642" s="48">
        <f t="shared" si="2036"/>
        <v>0</v>
      </c>
      <c r="BQ642" s="48">
        <f t="shared" si="2036"/>
        <v>0</v>
      </c>
      <c r="BR642" s="36">
        <f t="shared" si="9"/>
        <v>0</v>
      </c>
      <c r="BS642" s="38">
        <f t="shared" si="10"/>
        <v>1</v>
      </c>
      <c r="BT642" s="49">
        <f t="shared" si="11"/>
        <v>0</v>
      </c>
      <c r="BU642" s="38">
        <f t="shared" si="12"/>
        <v>1000</v>
      </c>
      <c r="BV642" s="57" t="str">
        <f>IFERROR(__xludf.DUMMYFUNCTION("""COMPUTED_VALUE"""),"Deckard")</f>
        <v>Deckard</v>
      </c>
      <c r="BW642" s="46">
        <f t="shared" si="13"/>
        <v>50</v>
      </c>
      <c r="BX642" s="47">
        <f t="shared" ref="BX642:CA642" si="2037">AX642-$BU642</f>
        <v>-1000</v>
      </c>
      <c r="BY642" s="47">
        <f t="shared" si="2037"/>
        <v>-1000</v>
      </c>
      <c r="BZ642" s="47">
        <f t="shared" si="2037"/>
        <v>-1000</v>
      </c>
      <c r="CA642" s="47">
        <f t="shared" si="2037"/>
        <v>-1000</v>
      </c>
      <c r="CB642" s="47">
        <f t="shared" si="15"/>
        <v>-9950</v>
      </c>
      <c r="CC642" s="47">
        <f t="shared" ref="CC642:CQ642" si="2038">BC642-$BU642</f>
        <v>-1000</v>
      </c>
      <c r="CD642" s="47">
        <f t="shared" si="2038"/>
        <v>-1000</v>
      </c>
      <c r="CE642" s="47">
        <f t="shared" si="2038"/>
        <v>-1000</v>
      </c>
      <c r="CF642" s="47">
        <f t="shared" si="2038"/>
        <v>-1000</v>
      </c>
      <c r="CG642" s="47">
        <f t="shared" si="2038"/>
        <v>-1000</v>
      </c>
      <c r="CH642" s="47">
        <f t="shared" si="2038"/>
        <v>-1000</v>
      </c>
      <c r="CI642" s="47">
        <f t="shared" si="2038"/>
        <v>-1000</v>
      </c>
      <c r="CJ642" s="47">
        <f t="shared" si="2038"/>
        <v>-1000</v>
      </c>
      <c r="CK642" s="47">
        <f t="shared" si="2038"/>
        <v>-1000</v>
      </c>
      <c r="CL642" s="47">
        <f t="shared" si="2038"/>
        <v>-1000</v>
      </c>
      <c r="CM642" s="47">
        <f t="shared" si="2038"/>
        <v>-1000</v>
      </c>
      <c r="CN642" s="47">
        <f t="shared" si="2038"/>
        <v>-1000</v>
      </c>
      <c r="CO642" s="47">
        <f t="shared" si="2038"/>
        <v>-1000</v>
      </c>
      <c r="CP642" s="47">
        <f t="shared" si="2038"/>
        <v>-1000</v>
      </c>
      <c r="CQ642" s="47">
        <f t="shared" si="2038"/>
        <v>-1000</v>
      </c>
      <c r="CR642" s="47"/>
      <c r="CS642" s="47"/>
      <c r="CT642" s="47"/>
      <c r="CU642" s="74"/>
      <c r="CV642" s="74"/>
      <c r="CW642" s="74" t="str">
        <f>IFERROR(__xludf.DUMMYFUNCTION("IF(REGEXMATCH(UPPER(CU642), ""DALLAS""),,CU642)"),"")</f>
        <v/>
      </c>
      <c r="CX642" s="74"/>
      <c r="CY642" s="74"/>
      <c r="CZ642" s="74"/>
      <c r="DA642" s="75"/>
      <c r="DB642" s="74"/>
      <c r="DC642" s="74"/>
      <c r="DD642" s="74"/>
      <c r="DE642" s="74"/>
      <c r="DF642" s="74"/>
      <c r="DG642" s="74"/>
      <c r="DH642" s="74"/>
      <c r="DI642" s="74"/>
      <c r="DJ642" s="74"/>
      <c r="DK642" s="74"/>
      <c r="DL642" s="74"/>
      <c r="DM642" s="74"/>
      <c r="DN642" s="74"/>
      <c r="DO642" s="74"/>
      <c r="DP642" s="74"/>
      <c r="DQ642" s="74"/>
      <c r="DR642" s="74"/>
      <c r="DS642" s="74"/>
      <c r="DT642" s="74"/>
      <c r="DU642" s="74"/>
      <c r="DV642" s="74"/>
      <c r="DW642" s="74"/>
    </row>
    <row r="643">
      <c r="A643" s="40" t="s">
        <v>55</v>
      </c>
      <c r="B643" s="41" t="s">
        <v>56</v>
      </c>
      <c r="C643" s="31" t="s">
        <v>1718</v>
      </c>
      <c r="D643" s="25" t="str">
        <f>IFERROR(__xludf.DUMMYFUNCTION("SPLIT(C643,"" "")"),"Byrne,")</f>
        <v>Byrne,</v>
      </c>
      <c r="E643" s="40" t="str">
        <f>IFERROR(__xludf.DUMMYFUNCTION("""COMPUTED_VALUE"""),"Tim
3720")</f>
        <v>Tim
3720</v>
      </c>
      <c r="F643" s="40" t="str">
        <f>IFERROR(__xludf.DUMMYFUNCTION("""COMPUTED_VALUE"""),"Miramar")</f>
        <v>Miramar</v>
      </c>
      <c r="G643" s="40" t="str">
        <f>IFERROR(__xludf.DUMMYFUNCTION("""COMPUTED_VALUE"""),"Ave
Dallas,")</f>
        <v>Ave
Dallas,</v>
      </c>
      <c r="H643" s="40" t="str">
        <f>IFERROR(__xludf.DUMMYFUNCTION("""COMPUTED_VALUE"""),"TX")</f>
        <v>TX</v>
      </c>
      <c r="I643" s="40">
        <f>IFERROR(__xludf.DUMMYFUNCTION("""COMPUTED_VALUE"""),75205.0)</f>
        <v>75205</v>
      </c>
      <c r="J643" s="40"/>
      <c r="K643" s="40"/>
      <c r="L643" s="40"/>
      <c r="M643" s="40"/>
      <c r="N643" s="40"/>
      <c r="O643" s="40"/>
      <c r="P643" s="40"/>
      <c r="Q643" s="40"/>
      <c r="R643" s="40"/>
      <c r="S643" s="40"/>
      <c r="T643" s="40"/>
      <c r="U643" s="24" t="str">
        <f>IFERROR(__xludf.DUMMYFUNCTION("SPLIT(E643,""01234567890"")"),"Tim
")</f>
        <v>Tim
</v>
      </c>
      <c r="V643" s="24" t="str">
        <f>IFERROR(__xludf.DUMMYFUNCTION("SPLIT(D643,"","")"),"Byrne")</f>
        <v>Byrne</v>
      </c>
      <c r="W643" s="25" t="str">
        <f t="shared" si="1"/>
        <v>TIM
 BYRNE</v>
      </c>
      <c r="X643" s="25" t="s">
        <v>1719</v>
      </c>
      <c r="Y643" s="25">
        <v>75205.0</v>
      </c>
      <c r="Z643" s="25" t="str">
        <f>IFERROR(__xludf.DUMMYFUNCTION("SPLIT(C643,""
"")"),"Byrne, Tim")</f>
        <v>Byrne, Tim</v>
      </c>
      <c r="AA643" s="25" t="str">
        <f>IFERROR(__xludf.DUMMYFUNCTION("""COMPUTED_VALUE"""),"3720 Miramar Ave")</f>
        <v>3720 Miramar Ave</v>
      </c>
      <c r="AB643" s="25" t="str">
        <f>IFERROR(__xludf.DUMMYFUNCTION("""COMPUTED_VALUE"""),"Dallas, TX 75205")</f>
        <v>Dallas, TX 75205</v>
      </c>
      <c r="AC643" s="24" t="s">
        <v>1158</v>
      </c>
      <c r="AD643" s="25"/>
      <c r="AE643" s="25"/>
      <c r="AF643" s="25"/>
      <c r="AG643" s="40" t="s">
        <v>60</v>
      </c>
      <c r="AH643" s="42">
        <v>2440.0</v>
      </c>
      <c r="AI643" s="40" t="s">
        <v>61</v>
      </c>
      <c r="AJ643" s="27">
        <v>1000.0</v>
      </c>
      <c r="AK643" s="31" t="s">
        <v>35</v>
      </c>
      <c r="AL643" s="43">
        <v>44718.0</v>
      </c>
      <c r="AM643" s="44">
        <v>44757.38489583333</v>
      </c>
      <c r="AN643" s="30">
        <v>2.0</v>
      </c>
      <c r="AO643" s="40"/>
      <c r="AP643" s="40"/>
      <c r="AQ643" s="40"/>
      <c r="AR643" s="40"/>
      <c r="AS643" s="40"/>
      <c r="AT643" s="47"/>
      <c r="AU643" s="40"/>
      <c r="AV643" s="46" t="str">
        <f>IFERROR(__xludf.DUMMYFUNCTION("""COMPUTED_VALUE"""),"Stanton")</f>
        <v>Stanton</v>
      </c>
      <c r="AW643" s="46">
        <f t="shared" si="7"/>
        <v>5000</v>
      </c>
      <c r="AX643" s="47">
        <f t="shared" ref="AX643:BQ643" si="2039">SUMIFS($AJ:$AJ,$V:$V,$AV643,$AK:$AK,AX$2)</f>
        <v>0</v>
      </c>
      <c r="AY643" s="48">
        <f t="shared" si="2039"/>
        <v>0</v>
      </c>
      <c r="AZ643" s="48">
        <f t="shared" si="2039"/>
        <v>0</v>
      </c>
      <c r="BA643" s="48">
        <f t="shared" si="2039"/>
        <v>0</v>
      </c>
      <c r="BB643" s="48">
        <f t="shared" si="2039"/>
        <v>5000</v>
      </c>
      <c r="BC643" s="48">
        <f t="shared" si="2039"/>
        <v>0</v>
      </c>
      <c r="BD643" s="48">
        <f t="shared" si="2039"/>
        <v>0</v>
      </c>
      <c r="BE643" s="48">
        <f t="shared" si="2039"/>
        <v>0</v>
      </c>
      <c r="BF643" s="48">
        <f t="shared" si="2039"/>
        <v>0</v>
      </c>
      <c r="BG643" s="48">
        <f t="shared" si="2039"/>
        <v>0</v>
      </c>
      <c r="BH643" s="48">
        <f t="shared" si="2039"/>
        <v>0</v>
      </c>
      <c r="BI643" s="48">
        <f t="shared" si="2039"/>
        <v>0</v>
      </c>
      <c r="BJ643" s="48">
        <f t="shared" si="2039"/>
        <v>0</v>
      </c>
      <c r="BK643" s="48">
        <f t="shared" si="2039"/>
        <v>0</v>
      </c>
      <c r="BL643" s="48">
        <f t="shared" si="2039"/>
        <v>0</v>
      </c>
      <c r="BM643" s="48">
        <f t="shared" si="2039"/>
        <v>0</v>
      </c>
      <c r="BN643" s="48">
        <f t="shared" si="2039"/>
        <v>0</v>
      </c>
      <c r="BO643" s="48">
        <f t="shared" si="2039"/>
        <v>0</v>
      </c>
      <c r="BP643" s="48">
        <f t="shared" si="2039"/>
        <v>0</v>
      </c>
      <c r="BQ643" s="48">
        <f t="shared" si="2039"/>
        <v>0</v>
      </c>
      <c r="BR643" s="36">
        <f t="shared" si="9"/>
        <v>0</v>
      </c>
      <c r="BS643" s="38">
        <f t="shared" si="10"/>
        <v>1</v>
      </c>
      <c r="BT643" s="49">
        <f t="shared" si="11"/>
        <v>0</v>
      </c>
      <c r="BU643" s="38">
        <f t="shared" si="12"/>
        <v>1000</v>
      </c>
      <c r="BV643" s="46" t="str">
        <f>IFERROR(__xludf.DUMMYFUNCTION("""COMPUTED_VALUE"""),"Stanton")</f>
        <v>Stanton</v>
      </c>
      <c r="BW643" s="46">
        <f t="shared" si="13"/>
        <v>5000</v>
      </c>
      <c r="BX643" s="47">
        <f t="shared" ref="BX643:CA643" si="2040">AX643-$BU643</f>
        <v>-1000</v>
      </c>
      <c r="BY643" s="47">
        <f t="shared" si="2040"/>
        <v>-1000</v>
      </c>
      <c r="BZ643" s="47">
        <f t="shared" si="2040"/>
        <v>-1000</v>
      </c>
      <c r="CA643" s="47">
        <f t="shared" si="2040"/>
        <v>-1000</v>
      </c>
      <c r="CB643" s="47">
        <f t="shared" si="15"/>
        <v>-5000</v>
      </c>
      <c r="CC643" s="47">
        <f t="shared" ref="CC643:CQ643" si="2041">BC643-$BU643</f>
        <v>-1000</v>
      </c>
      <c r="CD643" s="47">
        <f t="shared" si="2041"/>
        <v>-1000</v>
      </c>
      <c r="CE643" s="47">
        <f t="shared" si="2041"/>
        <v>-1000</v>
      </c>
      <c r="CF643" s="47">
        <f t="shared" si="2041"/>
        <v>-1000</v>
      </c>
      <c r="CG643" s="47">
        <f t="shared" si="2041"/>
        <v>-1000</v>
      </c>
      <c r="CH643" s="47">
        <f t="shared" si="2041"/>
        <v>-1000</v>
      </c>
      <c r="CI643" s="47">
        <f t="shared" si="2041"/>
        <v>-1000</v>
      </c>
      <c r="CJ643" s="47">
        <f t="shared" si="2041"/>
        <v>-1000</v>
      </c>
      <c r="CK643" s="47">
        <f t="shared" si="2041"/>
        <v>-1000</v>
      </c>
      <c r="CL643" s="47">
        <f t="shared" si="2041"/>
        <v>-1000</v>
      </c>
      <c r="CM643" s="47">
        <f t="shared" si="2041"/>
        <v>-1000</v>
      </c>
      <c r="CN643" s="47">
        <f t="shared" si="2041"/>
        <v>-1000</v>
      </c>
      <c r="CO643" s="47">
        <f t="shared" si="2041"/>
        <v>-1000</v>
      </c>
      <c r="CP643" s="47">
        <f t="shared" si="2041"/>
        <v>-1000</v>
      </c>
      <c r="CQ643" s="47">
        <f t="shared" si="2041"/>
        <v>-1000</v>
      </c>
      <c r="CR643" s="47"/>
      <c r="CS643" s="47"/>
      <c r="CT643" s="47"/>
      <c r="CU643" s="76" t="s">
        <v>1720</v>
      </c>
      <c r="CV643" s="50">
        <f t="shared" ref="CV643:CY643" si="2042">SUM(CV3:CV640)</f>
        <v>20</v>
      </c>
      <c r="CW643" s="50">
        <f t="shared" si="2042"/>
        <v>102</v>
      </c>
      <c r="CX643" s="77">
        <f t="shared" si="2042"/>
        <v>14760</v>
      </c>
      <c r="CY643" s="77">
        <f t="shared" si="2042"/>
        <v>120800</v>
      </c>
      <c r="CZ643" s="78"/>
      <c r="DA643" s="79"/>
      <c r="DB643" s="78"/>
      <c r="DC643" s="78"/>
      <c r="DD643" s="78"/>
      <c r="DE643" s="78"/>
      <c r="DF643" s="78"/>
      <c r="DG643" s="78"/>
      <c r="DH643" s="78"/>
      <c r="DI643" s="78"/>
      <c r="DJ643" s="78"/>
      <c r="DK643" s="78"/>
      <c r="DL643" s="78"/>
      <c r="DM643" s="78"/>
      <c r="DN643" s="78"/>
      <c r="DO643" s="78"/>
      <c r="DP643" s="78"/>
      <c r="DQ643" s="78"/>
      <c r="DR643" s="78"/>
      <c r="DS643" s="78"/>
      <c r="DT643" s="78"/>
      <c r="DU643" s="78"/>
      <c r="DV643" s="78"/>
      <c r="DW643" s="78"/>
    </row>
    <row r="644">
      <c r="A644" s="22" t="s">
        <v>55</v>
      </c>
      <c r="B644" s="23" t="s">
        <v>56</v>
      </c>
      <c r="C644" s="31" t="s">
        <v>1721</v>
      </c>
      <c r="D644" s="25" t="str">
        <f>IFERROR(__xludf.DUMMYFUNCTION("SPLIT(C644,"" "")"),"Linebarger")</f>
        <v>Linebarger</v>
      </c>
      <c r="E644" s="22" t="str">
        <f>IFERROR(__xludf.DUMMYFUNCTION("""COMPUTED_VALUE"""),"LLP
PO")</f>
        <v>LLP
PO</v>
      </c>
      <c r="F644" s="22" t="str">
        <f>IFERROR(__xludf.DUMMYFUNCTION("""COMPUTED_VALUE"""),"Box")</f>
        <v>Box</v>
      </c>
      <c r="G644" s="22" t="str">
        <f>IFERROR(__xludf.DUMMYFUNCTION("""COMPUTED_VALUE"""),"17423
Austin,")</f>
        <v>17423
Austin,</v>
      </c>
      <c r="H644" s="22" t="str">
        <f>IFERROR(__xludf.DUMMYFUNCTION("""COMPUTED_VALUE"""),"TX")</f>
        <v>TX</v>
      </c>
      <c r="I644" s="22">
        <f>IFERROR(__xludf.DUMMYFUNCTION("""COMPUTED_VALUE"""),78760.0)</f>
        <v>78760</v>
      </c>
      <c r="J644" s="22"/>
      <c r="K644" s="22"/>
      <c r="L644" s="22"/>
      <c r="M644" s="22"/>
      <c r="N644" s="22"/>
      <c r="O644" s="22"/>
      <c r="P644" s="22"/>
      <c r="Q644" s="22"/>
      <c r="R644" s="22"/>
      <c r="S644" s="22"/>
      <c r="T644" s="22"/>
      <c r="U644" s="24" t="str">
        <f>IFERROR(__xludf.DUMMYFUNCTION("SPLIT(E644,""01234567890"")"),"LLP
PO")</f>
        <v>LLP
PO</v>
      </c>
      <c r="V644" s="24" t="str">
        <f>IFERROR(__xludf.DUMMYFUNCTION("SPLIT(D644,"","")"),"Linebarger")</f>
        <v>Linebarger</v>
      </c>
      <c r="W644" s="25" t="str">
        <f t="shared" si="1"/>
        <v>LLP
PO LINEBARGER</v>
      </c>
      <c r="X644" s="25" t="s">
        <v>1722</v>
      </c>
      <c r="Y644" s="25">
        <v>78760.0</v>
      </c>
      <c r="Z644" s="25" t="str">
        <f>IFERROR(__xludf.DUMMYFUNCTION("SPLIT(C644,""
"")"),"Linebarger LLP")</f>
        <v>Linebarger LLP</v>
      </c>
      <c r="AA644" s="25" t="str">
        <f>IFERROR(__xludf.DUMMYFUNCTION("""COMPUTED_VALUE"""),"PO Box 17423")</f>
        <v>PO Box 17423</v>
      </c>
      <c r="AB644" s="25" t="str">
        <f>IFERROR(__xludf.DUMMYFUNCTION("""COMPUTED_VALUE"""),"Austin, TX 78760")</f>
        <v>Austin, TX 78760</v>
      </c>
      <c r="AC644" s="24" t="s">
        <v>1723</v>
      </c>
      <c r="AD644" s="25"/>
      <c r="AE644" s="25"/>
      <c r="AF644" s="25"/>
      <c r="AG644" s="22" t="s">
        <v>60</v>
      </c>
      <c r="AH644" s="54">
        <v>2459.0</v>
      </c>
      <c r="AI644" s="22" t="s">
        <v>61</v>
      </c>
      <c r="AJ644" s="27">
        <v>1000.0</v>
      </c>
      <c r="AK644" s="31" t="s">
        <v>29</v>
      </c>
      <c r="AL644" s="28">
        <v>44712.0</v>
      </c>
      <c r="AM644" s="29">
        <v>44757.51128472222</v>
      </c>
      <c r="AN644" s="30">
        <v>2.0</v>
      </c>
      <c r="AO644" s="22"/>
      <c r="AP644" s="22"/>
      <c r="AQ644" s="22"/>
      <c r="AR644" s="22"/>
      <c r="AS644" s="22"/>
      <c r="AT644" s="70"/>
      <c r="AU644" s="22"/>
      <c r="AV644" s="57" t="str">
        <f>IFERROR(__xludf.DUMMYFUNCTION("""COMPUTED_VALUE"""),"Pick")</f>
        <v>Pick</v>
      </c>
      <c r="AW644" s="46">
        <f t="shared" si="7"/>
        <v>5000</v>
      </c>
      <c r="AX644" s="47">
        <f t="shared" ref="AX644:BQ644" si="2043">SUMIFS($AJ:$AJ,$V:$V,$AV644,$AK:$AK,AX$2)</f>
        <v>0</v>
      </c>
      <c r="AY644" s="48">
        <f t="shared" si="2043"/>
        <v>0</v>
      </c>
      <c r="AZ644" s="48">
        <f t="shared" si="2043"/>
        <v>0</v>
      </c>
      <c r="BA644" s="48">
        <f t="shared" si="2043"/>
        <v>0</v>
      </c>
      <c r="BB644" s="48">
        <f t="shared" si="2043"/>
        <v>5000</v>
      </c>
      <c r="BC644" s="48">
        <f t="shared" si="2043"/>
        <v>0</v>
      </c>
      <c r="BD644" s="48">
        <f t="shared" si="2043"/>
        <v>0</v>
      </c>
      <c r="BE644" s="48">
        <f t="shared" si="2043"/>
        <v>0</v>
      </c>
      <c r="BF644" s="48">
        <f t="shared" si="2043"/>
        <v>0</v>
      </c>
      <c r="BG644" s="48">
        <f t="shared" si="2043"/>
        <v>0</v>
      </c>
      <c r="BH644" s="48">
        <f t="shared" si="2043"/>
        <v>0</v>
      </c>
      <c r="BI644" s="48">
        <f t="shared" si="2043"/>
        <v>0</v>
      </c>
      <c r="BJ644" s="48">
        <f t="shared" si="2043"/>
        <v>0</v>
      </c>
      <c r="BK644" s="48">
        <f t="shared" si="2043"/>
        <v>0</v>
      </c>
      <c r="BL644" s="48">
        <f t="shared" si="2043"/>
        <v>0</v>
      </c>
      <c r="BM644" s="48">
        <f t="shared" si="2043"/>
        <v>0</v>
      </c>
      <c r="BN644" s="48">
        <f t="shared" si="2043"/>
        <v>0</v>
      </c>
      <c r="BO644" s="48">
        <f t="shared" si="2043"/>
        <v>0</v>
      </c>
      <c r="BP644" s="48">
        <f t="shared" si="2043"/>
        <v>0</v>
      </c>
      <c r="BQ644" s="48">
        <f t="shared" si="2043"/>
        <v>0</v>
      </c>
      <c r="BR644" s="36">
        <f t="shared" si="9"/>
        <v>0</v>
      </c>
      <c r="BS644" s="38">
        <f t="shared" si="10"/>
        <v>1</v>
      </c>
      <c r="BT644" s="49">
        <f t="shared" si="11"/>
        <v>0</v>
      </c>
      <c r="BU644" s="38">
        <f t="shared" si="12"/>
        <v>1000</v>
      </c>
      <c r="BV644" s="57" t="str">
        <f>IFERROR(__xludf.DUMMYFUNCTION("""COMPUTED_VALUE"""),"Pick")</f>
        <v>Pick</v>
      </c>
      <c r="BW644" s="46">
        <f t="shared" si="13"/>
        <v>5000</v>
      </c>
      <c r="BX644" s="47">
        <f t="shared" ref="BX644:CA644" si="2044">AX644-$BU644</f>
        <v>-1000</v>
      </c>
      <c r="BY644" s="47">
        <f t="shared" si="2044"/>
        <v>-1000</v>
      </c>
      <c r="BZ644" s="47">
        <f t="shared" si="2044"/>
        <v>-1000</v>
      </c>
      <c r="CA644" s="47">
        <f t="shared" si="2044"/>
        <v>-1000</v>
      </c>
      <c r="CB644" s="47">
        <f t="shared" si="15"/>
        <v>-5000</v>
      </c>
      <c r="CC644" s="47">
        <f t="shared" ref="CC644:CQ644" si="2045">BC644-$BU644</f>
        <v>-1000</v>
      </c>
      <c r="CD644" s="47">
        <f t="shared" si="2045"/>
        <v>-1000</v>
      </c>
      <c r="CE644" s="47">
        <f t="shared" si="2045"/>
        <v>-1000</v>
      </c>
      <c r="CF644" s="47">
        <f t="shared" si="2045"/>
        <v>-1000</v>
      </c>
      <c r="CG644" s="47">
        <f t="shared" si="2045"/>
        <v>-1000</v>
      </c>
      <c r="CH644" s="47">
        <f t="shared" si="2045"/>
        <v>-1000</v>
      </c>
      <c r="CI644" s="47">
        <f t="shared" si="2045"/>
        <v>-1000</v>
      </c>
      <c r="CJ644" s="47">
        <f t="shared" si="2045"/>
        <v>-1000</v>
      </c>
      <c r="CK644" s="47">
        <f t="shared" si="2045"/>
        <v>-1000</v>
      </c>
      <c r="CL644" s="47">
        <f t="shared" si="2045"/>
        <v>-1000</v>
      </c>
      <c r="CM644" s="47">
        <f t="shared" si="2045"/>
        <v>-1000</v>
      </c>
      <c r="CN644" s="47">
        <f t="shared" si="2045"/>
        <v>-1000</v>
      </c>
      <c r="CO644" s="47">
        <f t="shared" si="2045"/>
        <v>-1000</v>
      </c>
      <c r="CP644" s="47">
        <f t="shared" si="2045"/>
        <v>-1000</v>
      </c>
      <c r="CQ644" s="47">
        <f t="shared" si="2045"/>
        <v>-1000</v>
      </c>
      <c r="CR644" s="47"/>
      <c r="CS644" s="47"/>
      <c r="CT644" s="47"/>
      <c r="CU644" s="74"/>
      <c r="CV644" s="74"/>
      <c r="CW644" s="74" t="str">
        <f>IFERROR(__xludf.DUMMYFUNCTION("IF(REGEXMATCH(UPPER(CU644), ""DALLAS""),,CU644)"),"")</f>
        <v/>
      </c>
      <c r="CX644" s="74"/>
      <c r="CY644" s="74"/>
      <c r="CZ644" s="74"/>
      <c r="DA644" s="75"/>
      <c r="DB644" s="74"/>
      <c r="DC644" s="74"/>
      <c r="DD644" s="74"/>
      <c r="DE644" s="74"/>
      <c r="DF644" s="74"/>
      <c r="DG644" s="74"/>
      <c r="DH644" s="74"/>
      <c r="DI644" s="74"/>
      <c r="DJ644" s="74"/>
      <c r="DK644" s="74"/>
      <c r="DL644" s="74"/>
      <c r="DM644" s="74"/>
      <c r="DN644" s="74"/>
      <c r="DO644" s="74"/>
      <c r="DP644" s="74"/>
      <c r="DQ644" s="74"/>
      <c r="DR644" s="74"/>
      <c r="DS644" s="74"/>
      <c r="DT644" s="74"/>
      <c r="DU644" s="74"/>
      <c r="DV644" s="74"/>
      <c r="DW644" s="74"/>
    </row>
    <row r="645" ht="136.5" customHeight="1">
      <c r="A645" s="41" t="s">
        <v>64</v>
      </c>
      <c r="B645" s="41" t="s">
        <v>56</v>
      </c>
      <c r="C645" s="31" t="s">
        <v>1724</v>
      </c>
      <c r="D645" s="25" t="str">
        <f>IFERROR(__xludf.DUMMYFUNCTION("SPLIT(C645,"" "")"),"Ragan,")</f>
        <v>Ragan,</v>
      </c>
      <c r="E645" s="40" t="str">
        <f>IFERROR(__xludf.DUMMYFUNCTION("""COMPUTED_VALUE"""),"Tanya
630")</f>
        <v>Tanya
630</v>
      </c>
      <c r="F645" s="40" t="str">
        <f>IFERROR(__xludf.DUMMYFUNCTION("""COMPUTED_VALUE"""),"S")</f>
        <v>S</v>
      </c>
      <c r="G645" s="40" t="str">
        <f>IFERROR(__xludf.DUMMYFUNCTION("""COMPUTED_VALUE"""),"Pearl
Dallas,")</f>
        <v>Pearl
Dallas,</v>
      </c>
      <c r="H645" s="40" t="str">
        <f>IFERROR(__xludf.DUMMYFUNCTION("""COMPUTED_VALUE"""),"TX")</f>
        <v>TX</v>
      </c>
      <c r="I645" s="40">
        <f>IFERROR(__xludf.DUMMYFUNCTION("""COMPUTED_VALUE"""),75201.0)</f>
        <v>75201</v>
      </c>
      <c r="J645" s="40"/>
      <c r="K645" s="40"/>
      <c r="L645" s="40"/>
      <c r="M645" s="40"/>
      <c r="N645" s="40"/>
      <c r="O645" s="40"/>
      <c r="P645" s="40"/>
      <c r="Q645" s="40"/>
      <c r="R645" s="40"/>
      <c r="S645" s="40"/>
      <c r="T645" s="40"/>
      <c r="U645" s="24" t="str">
        <f>IFERROR(__xludf.DUMMYFUNCTION("SPLIT(E645,""01234567890"")"),"Tanya
")</f>
        <v>Tanya
</v>
      </c>
      <c r="V645" s="24" t="str">
        <f>IFERROR(__xludf.DUMMYFUNCTION("SPLIT(D645,"","")"),"Ragan")</f>
        <v>Ragan</v>
      </c>
      <c r="W645" s="25" t="str">
        <f t="shared" si="1"/>
        <v>TANYA
 RAGAN</v>
      </c>
      <c r="X645" s="25" t="s">
        <v>1725</v>
      </c>
      <c r="Y645" s="25">
        <v>75201.0</v>
      </c>
      <c r="Z645" s="25" t="str">
        <f>IFERROR(__xludf.DUMMYFUNCTION("SPLIT(C645,""
"")"),"Ragan, Tanya")</f>
        <v>Ragan, Tanya</v>
      </c>
      <c r="AA645" s="25" t="str">
        <f>IFERROR(__xludf.DUMMYFUNCTION("""COMPUTED_VALUE"""),"630 S Pearl")</f>
        <v>630 S Pearl</v>
      </c>
      <c r="AB645" s="25" t="str">
        <f>IFERROR(__xludf.DUMMYFUNCTION("""COMPUTED_VALUE"""),"Dallas, TX 75201")</f>
        <v>Dallas, TX 75201</v>
      </c>
      <c r="AC645" s="24" t="s">
        <v>1726</v>
      </c>
      <c r="AD645" s="25"/>
      <c r="AE645" s="25"/>
      <c r="AF645" s="25"/>
      <c r="AG645" s="40" t="s">
        <v>60</v>
      </c>
      <c r="AH645" s="42">
        <v>2459.0</v>
      </c>
      <c r="AI645" s="40" t="s">
        <v>61</v>
      </c>
      <c r="AJ645" s="27">
        <v>1000.0</v>
      </c>
      <c r="AK645" s="31" t="s">
        <v>29</v>
      </c>
      <c r="AL645" s="43">
        <v>44715.0</v>
      </c>
      <c r="AM645" s="44">
        <v>44757.51128472222</v>
      </c>
      <c r="AN645" s="30">
        <v>2.0</v>
      </c>
      <c r="AO645" s="40"/>
      <c r="AP645" s="40"/>
      <c r="AQ645" s="40"/>
      <c r="AR645" s="40"/>
      <c r="AS645" s="40"/>
      <c r="AT645" s="47"/>
      <c r="AU645" s="40"/>
      <c r="AV645" s="46" t="str">
        <f>IFERROR(__xludf.DUMMYFUNCTION("""COMPUTED_VALUE"""),"Kress")</f>
        <v>Kress</v>
      </c>
      <c r="AW645" s="46">
        <f t="shared" si="7"/>
        <v>1000</v>
      </c>
      <c r="AX645" s="47">
        <f t="shared" ref="AX645:BQ645" si="2046">SUMIFS($AJ:$AJ,$V:$V,$AV645,$AK:$AK,AX$2)</f>
        <v>0</v>
      </c>
      <c r="AY645" s="48">
        <f t="shared" si="2046"/>
        <v>0</v>
      </c>
      <c r="AZ645" s="48">
        <f t="shared" si="2046"/>
        <v>0</v>
      </c>
      <c r="BA645" s="48">
        <f t="shared" si="2046"/>
        <v>0</v>
      </c>
      <c r="BB645" s="48">
        <f t="shared" si="2046"/>
        <v>1000</v>
      </c>
      <c r="BC645" s="48">
        <f t="shared" si="2046"/>
        <v>0</v>
      </c>
      <c r="BD645" s="48">
        <f t="shared" si="2046"/>
        <v>0</v>
      </c>
      <c r="BE645" s="48">
        <f t="shared" si="2046"/>
        <v>0</v>
      </c>
      <c r="BF645" s="48">
        <f t="shared" si="2046"/>
        <v>0</v>
      </c>
      <c r="BG645" s="48">
        <f t="shared" si="2046"/>
        <v>0</v>
      </c>
      <c r="BH645" s="48">
        <f t="shared" si="2046"/>
        <v>0</v>
      </c>
      <c r="BI645" s="48">
        <f t="shared" si="2046"/>
        <v>0</v>
      </c>
      <c r="BJ645" s="48">
        <f t="shared" si="2046"/>
        <v>0</v>
      </c>
      <c r="BK645" s="48">
        <f t="shared" si="2046"/>
        <v>0</v>
      </c>
      <c r="BL645" s="48">
        <f t="shared" si="2046"/>
        <v>0</v>
      </c>
      <c r="BM645" s="48">
        <f t="shared" si="2046"/>
        <v>0</v>
      </c>
      <c r="BN645" s="48">
        <f t="shared" si="2046"/>
        <v>0</v>
      </c>
      <c r="BO645" s="48">
        <f t="shared" si="2046"/>
        <v>0</v>
      </c>
      <c r="BP645" s="48">
        <f t="shared" si="2046"/>
        <v>0</v>
      </c>
      <c r="BQ645" s="48">
        <f t="shared" si="2046"/>
        <v>0</v>
      </c>
      <c r="BR645" s="36">
        <f t="shared" si="9"/>
        <v>0</v>
      </c>
      <c r="BS645" s="38">
        <f t="shared" si="10"/>
        <v>1</v>
      </c>
      <c r="BT645" s="49">
        <f t="shared" si="11"/>
        <v>0</v>
      </c>
      <c r="BU645" s="38">
        <f t="shared" si="12"/>
        <v>1000</v>
      </c>
      <c r="BV645" s="46" t="str">
        <f>IFERROR(__xludf.DUMMYFUNCTION("""COMPUTED_VALUE"""),"Kress")</f>
        <v>Kress</v>
      </c>
      <c r="BW645" s="46">
        <f t="shared" si="13"/>
        <v>1000</v>
      </c>
      <c r="BX645" s="47">
        <f t="shared" ref="BX645:CA645" si="2047">AX645-$BU645</f>
        <v>-1000</v>
      </c>
      <c r="BY645" s="47">
        <f t="shared" si="2047"/>
        <v>-1000</v>
      </c>
      <c r="BZ645" s="47">
        <f t="shared" si="2047"/>
        <v>-1000</v>
      </c>
      <c r="CA645" s="47">
        <f t="shared" si="2047"/>
        <v>-1000</v>
      </c>
      <c r="CB645" s="47">
        <f t="shared" si="15"/>
        <v>-9000</v>
      </c>
      <c r="CC645" s="47">
        <f t="shared" ref="CC645:CQ645" si="2048">BC645-$BU645</f>
        <v>-1000</v>
      </c>
      <c r="CD645" s="47">
        <f t="shared" si="2048"/>
        <v>-1000</v>
      </c>
      <c r="CE645" s="47">
        <f t="shared" si="2048"/>
        <v>-1000</v>
      </c>
      <c r="CF645" s="47">
        <f t="shared" si="2048"/>
        <v>-1000</v>
      </c>
      <c r="CG645" s="47">
        <f t="shared" si="2048"/>
        <v>-1000</v>
      </c>
      <c r="CH645" s="47">
        <f t="shared" si="2048"/>
        <v>-1000</v>
      </c>
      <c r="CI645" s="47">
        <f t="shared" si="2048"/>
        <v>-1000</v>
      </c>
      <c r="CJ645" s="47">
        <f t="shared" si="2048"/>
        <v>-1000</v>
      </c>
      <c r="CK645" s="47">
        <f t="shared" si="2048"/>
        <v>-1000</v>
      </c>
      <c r="CL645" s="47">
        <f t="shared" si="2048"/>
        <v>-1000</v>
      </c>
      <c r="CM645" s="47">
        <f t="shared" si="2048"/>
        <v>-1000</v>
      </c>
      <c r="CN645" s="47">
        <f t="shared" si="2048"/>
        <v>-1000</v>
      </c>
      <c r="CO645" s="47">
        <f t="shared" si="2048"/>
        <v>-1000</v>
      </c>
      <c r="CP645" s="47">
        <f t="shared" si="2048"/>
        <v>-1000</v>
      </c>
      <c r="CQ645" s="47">
        <f t="shared" si="2048"/>
        <v>-1000</v>
      </c>
      <c r="CR645" s="47"/>
      <c r="CS645" s="47"/>
      <c r="CT645" s="47"/>
      <c r="CU645" s="80" t="s">
        <v>1727</v>
      </c>
      <c r="CW645" s="74" t="str">
        <f>IFERROR(__xludf.DUMMYFUNCTION("IF(REGEXMATCH(UPPER(CU645), ""DALLAS""),,CU645)"),"")</f>
        <v/>
      </c>
      <c r="CX645" s="74"/>
      <c r="CY645" s="74"/>
      <c r="CZ645" s="74"/>
      <c r="DA645" s="75"/>
      <c r="DB645" s="74"/>
      <c r="DC645" s="74"/>
      <c r="DD645" s="74"/>
      <c r="DE645" s="74"/>
      <c r="DF645" s="74"/>
      <c r="DG645" s="74"/>
      <c r="DH645" s="74"/>
      <c r="DI645" s="74"/>
      <c r="DJ645" s="74"/>
      <c r="DK645" s="74"/>
      <c r="DL645" s="74"/>
      <c r="DM645" s="74"/>
      <c r="DN645" s="74"/>
      <c r="DO645" s="74"/>
      <c r="DP645" s="74"/>
      <c r="DQ645" s="74"/>
      <c r="DR645" s="74"/>
      <c r="DS645" s="74"/>
      <c r="DT645" s="74"/>
      <c r="DU645" s="74"/>
      <c r="DV645" s="74"/>
      <c r="DW645" s="74"/>
    </row>
    <row r="646">
      <c r="A646" s="22" t="s">
        <v>55</v>
      </c>
      <c r="B646" s="23" t="s">
        <v>56</v>
      </c>
      <c r="C646" s="31" t="s">
        <v>1728</v>
      </c>
      <c r="D646" s="25" t="str">
        <f>IFERROR(__xludf.DUMMYFUNCTION("SPLIT(C646,"" "")"),"Minnis,")</f>
        <v>Minnis,</v>
      </c>
      <c r="E646" s="22" t="str">
        <f>IFERROR(__xludf.DUMMYFUNCTION("""COMPUTED_VALUE"""),"Norma
PO")</f>
        <v>Norma
PO</v>
      </c>
      <c r="F646" s="22" t="str">
        <f>IFERROR(__xludf.DUMMYFUNCTION("""COMPUTED_VALUE"""),"Box")</f>
        <v>Box</v>
      </c>
      <c r="G646" s="22" t="str">
        <f>IFERROR(__xludf.DUMMYFUNCTION("""COMPUTED_VALUE"""),"75214
Dallas,")</f>
        <v>75214
Dallas,</v>
      </c>
      <c r="H646" s="22" t="str">
        <f>IFERROR(__xludf.DUMMYFUNCTION("""COMPUTED_VALUE"""),"TX")</f>
        <v>TX</v>
      </c>
      <c r="I646" s="22">
        <f>IFERROR(__xludf.DUMMYFUNCTION("""COMPUTED_VALUE"""),75214.0)</f>
        <v>75214</v>
      </c>
      <c r="J646" s="22"/>
      <c r="K646" s="22"/>
      <c r="L646" s="22"/>
      <c r="M646" s="22"/>
      <c r="N646" s="22"/>
      <c r="O646" s="22"/>
      <c r="P646" s="22"/>
      <c r="Q646" s="22"/>
      <c r="R646" s="22"/>
      <c r="S646" s="22"/>
      <c r="T646" s="22"/>
      <c r="U646" s="24" t="str">
        <f>IFERROR(__xludf.DUMMYFUNCTION("SPLIT(E646,""01234567890"")"),"Norma
PO")</f>
        <v>Norma
PO</v>
      </c>
      <c r="V646" s="24" t="str">
        <f>IFERROR(__xludf.DUMMYFUNCTION("SPLIT(D646,"","")"),"Minnis")</f>
        <v>Minnis</v>
      </c>
      <c r="W646" s="25" t="str">
        <f t="shared" si="1"/>
        <v>NORMA
PO MINNIS</v>
      </c>
      <c r="X646" s="25" t="s">
        <v>1729</v>
      </c>
      <c r="Y646" s="25">
        <v>75214.0</v>
      </c>
      <c r="Z646" s="25" t="str">
        <f>IFERROR(__xludf.DUMMYFUNCTION("SPLIT(C646,""
"")"),"Minnis, Norma")</f>
        <v>Minnis, Norma</v>
      </c>
      <c r="AA646" s="25" t="str">
        <f>IFERROR(__xludf.DUMMYFUNCTION("""COMPUTED_VALUE"""),"PO Box 75214")</f>
        <v>PO Box 75214</v>
      </c>
      <c r="AB646" s="25" t="str">
        <f>IFERROR(__xludf.DUMMYFUNCTION("""COMPUTED_VALUE"""),"Dallas, TX 75214")</f>
        <v>Dallas, TX 75214</v>
      </c>
      <c r="AC646" s="24" t="s">
        <v>1730</v>
      </c>
      <c r="AD646" s="25"/>
      <c r="AE646" s="25"/>
      <c r="AF646" s="25"/>
      <c r="AG646" s="22" t="s">
        <v>60</v>
      </c>
      <c r="AH646" s="54">
        <v>2459.0</v>
      </c>
      <c r="AI646" s="22" t="s">
        <v>61</v>
      </c>
      <c r="AJ646" s="27">
        <v>250.0</v>
      </c>
      <c r="AK646" s="31" t="s">
        <v>29</v>
      </c>
      <c r="AL646" s="28">
        <v>44715.0</v>
      </c>
      <c r="AM646" s="29">
        <v>44757.51128472222</v>
      </c>
      <c r="AN646" s="30">
        <v>2.0</v>
      </c>
      <c r="AO646" s="22"/>
      <c r="AP646" s="22"/>
      <c r="AQ646" s="22"/>
      <c r="AR646" s="22"/>
      <c r="AS646" s="22"/>
      <c r="AT646" s="70"/>
      <c r="AU646" s="22"/>
      <c r="AV646" s="57" t="str">
        <f>IFERROR(__xludf.DUMMYFUNCTION("""COMPUTED_VALUE"""),"Chapman")</f>
        <v>Chapman</v>
      </c>
      <c r="AW646" s="46">
        <f t="shared" si="7"/>
        <v>2000</v>
      </c>
      <c r="AX646" s="47">
        <f t="shared" ref="AX646:BQ646" si="2049">SUMIFS($AJ:$AJ,$V:$V,$AV646,$AK:$AK,AX$2)</f>
        <v>0</v>
      </c>
      <c r="AY646" s="48">
        <f t="shared" si="2049"/>
        <v>0</v>
      </c>
      <c r="AZ646" s="48">
        <f t="shared" si="2049"/>
        <v>0</v>
      </c>
      <c r="BA646" s="48">
        <f t="shared" si="2049"/>
        <v>0</v>
      </c>
      <c r="BB646" s="48">
        <f t="shared" si="2049"/>
        <v>2000</v>
      </c>
      <c r="BC646" s="48">
        <f t="shared" si="2049"/>
        <v>0</v>
      </c>
      <c r="BD646" s="48">
        <f t="shared" si="2049"/>
        <v>0</v>
      </c>
      <c r="BE646" s="48">
        <f t="shared" si="2049"/>
        <v>0</v>
      </c>
      <c r="BF646" s="48">
        <f t="shared" si="2049"/>
        <v>0</v>
      </c>
      <c r="BG646" s="48">
        <f t="shared" si="2049"/>
        <v>0</v>
      </c>
      <c r="BH646" s="48">
        <f t="shared" si="2049"/>
        <v>0</v>
      </c>
      <c r="BI646" s="48">
        <f t="shared" si="2049"/>
        <v>0</v>
      </c>
      <c r="BJ646" s="48">
        <f t="shared" si="2049"/>
        <v>0</v>
      </c>
      <c r="BK646" s="48">
        <f t="shared" si="2049"/>
        <v>0</v>
      </c>
      <c r="BL646" s="48">
        <f t="shared" si="2049"/>
        <v>0</v>
      </c>
      <c r="BM646" s="48">
        <f t="shared" si="2049"/>
        <v>0</v>
      </c>
      <c r="BN646" s="48">
        <f t="shared" si="2049"/>
        <v>0</v>
      </c>
      <c r="BO646" s="48">
        <f t="shared" si="2049"/>
        <v>0</v>
      </c>
      <c r="BP646" s="48">
        <f t="shared" si="2049"/>
        <v>0</v>
      </c>
      <c r="BQ646" s="48">
        <f t="shared" si="2049"/>
        <v>0</v>
      </c>
      <c r="BR646" s="36">
        <f t="shared" si="9"/>
        <v>0</v>
      </c>
      <c r="BS646" s="38">
        <f t="shared" si="10"/>
        <v>1</v>
      </c>
      <c r="BT646" s="49">
        <f t="shared" si="11"/>
        <v>0</v>
      </c>
      <c r="BU646" s="38">
        <f t="shared" si="12"/>
        <v>1000</v>
      </c>
      <c r="BV646" s="57" t="str">
        <f>IFERROR(__xludf.DUMMYFUNCTION("""COMPUTED_VALUE"""),"Chapman")</f>
        <v>Chapman</v>
      </c>
      <c r="BW646" s="46">
        <f t="shared" si="13"/>
        <v>2000</v>
      </c>
      <c r="BX646" s="47">
        <f t="shared" ref="BX646:CA646" si="2050">AX646-$BU646</f>
        <v>-1000</v>
      </c>
      <c r="BY646" s="47">
        <f t="shared" si="2050"/>
        <v>-1000</v>
      </c>
      <c r="BZ646" s="47">
        <f t="shared" si="2050"/>
        <v>-1000</v>
      </c>
      <c r="CA646" s="47">
        <f t="shared" si="2050"/>
        <v>-1000</v>
      </c>
      <c r="CB646" s="47">
        <f t="shared" si="15"/>
        <v>-8000</v>
      </c>
      <c r="CC646" s="47">
        <f t="shared" ref="CC646:CQ646" si="2051">BC646-$BU646</f>
        <v>-1000</v>
      </c>
      <c r="CD646" s="47">
        <f t="shared" si="2051"/>
        <v>-1000</v>
      </c>
      <c r="CE646" s="47">
        <f t="shared" si="2051"/>
        <v>-1000</v>
      </c>
      <c r="CF646" s="47">
        <f t="shared" si="2051"/>
        <v>-1000</v>
      </c>
      <c r="CG646" s="47">
        <f t="shared" si="2051"/>
        <v>-1000</v>
      </c>
      <c r="CH646" s="47">
        <f t="shared" si="2051"/>
        <v>-1000</v>
      </c>
      <c r="CI646" s="47">
        <f t="shared" si="2051"/>
        <v>-1000</v>
      </c>
      <c r="CJ646" s="47">
        <f t="shared" si="2051"/>
        <v>-1000</v>
      </c>
      <c r="CK646" s="47">
        <f t="shared" si="2051"/>
        <v>-1000</v>
      </c>
      <c r="CL646" s="47">
        <f t="shared" si="2051"/>
        <v>-1000</v>
      </c>
      <c r="CM646" s="47">
        <f t="shared" si="2051"/>
        <v>-1000</v>
      </c>
      <c r="CN646" s="47">
        <f t="shared" si="2051"/>
        <v>-1000</v>
      </c>
      <c r="CO646" s="47">
        <f t="shared" si="2051"/>
        <v>-1000</v>
      </c>
      <c r="CP646" s="47">
        <f t="shared" si="2051"/>
        <v>-1000</v>
      </c>
      <c r="CQ646" s="47">
        <f t="shared" si="2051"/>
        <v>-1000</v>
      </c>
      <c r="CR646" s="47"/>
      <c r="CS646" s="47"/>
      <c r="CT646" s="47"/>
      <c r="CU646" s="74"/>
      <c r="CV646" s="74"/>
      <c r="CW646" s="74" t="str">
        <f>IFERROR(__xludf.DUMMYFUNCTION("IF(REGEXMATCH(UPPER(CU646), ""DALLAS""),,CU646)"),"")</f>
        <v/>
      </c>
      <c r="CX646" s="74"/>
      <c r="CY646" s="74"/>
      <c r="CZ646" s="74"/>
      <c r="DA646" s="75"/>
      <c r="DB646" s="74"/>
      <c r="DC646" s="74"/>
      <c r="DD646" s="74"/>
      <c r="DE646" s="74"/>
      <c r="DF646" s="74"/>
      <c r="DG646" s="74"/>
      <c r="DH646" s="74"/>
      <c r="DI646" s="74"/>
      <c r="DJ646" s="74"/>
      <c r="DK646" s="74"/>
      <c r="DL646" s="74"/>
      <c r="DM646" s="74"/>
      <c r="DN646" s="74"/>
      <c r="DO646" s="74"/>
      <c r="DP646" s="74"/>
      <c r="DQ646" s="74"/>
      <c r="DR646" s="74"/>
      <c r="DS646" s="74"/>
      <c r="DT646" s="74"/>
      <c r="DU646" s="74"/>
      <c r="DV646" s="74"/>
      <c r="DW646" s="74"/>
    </row>
    <row r="647">
      <c r="A647" s="41" t="s">
        <v>64</v>
      </c>
      <c r="B647" s="41" t="s">
        <v>56</v>
      </c>
      <c r="C647" s="31" t="s">
        <v>1731</v>
      </c>
      <c r="D647" s="25" t="str">
        <f>IFERROR(__xludf.DUMMYFUNCTION("SPLIT(C647,"" "")"),"Cadena,")</f>
        <v>Cadena,</v>
      </c>
      <c r="E647" s="40" t="str">
        <f>IFERROR(__xludf.DUMMYFUNCTION("""COMPUTED_VALUE"""),"Elsa
6815")</f>
        <v>Elsa
6815</v>
      </c>
      <c r="F647" s="40" t="str">
        <f>IFERROR(__xludf.DUMMYFUNCTION("""COMPUTED_VALUE"""),"American")</f>
        <v>American</v>
      </c>
      <c r="G647" s="40" t="str">
        <f>IFERROR(__xludf.DUMMYFUNCTION("""COMPUTED_VALUE"""),"Way
Dallas,")</f>
        <v>Way
Dallas,</v>
      </c>
      <c r="H647" s="40" t="str">
        <f>IFERROR(__xludf.DUMMYFUNCTION("""COMPUTED_VALUE"""),"TX")</f>
        <v>TX</v>
      </c>
      <c r="I647" s="40">
        <f>IFERROR(__xludf.DUMMYFUNCTION("""COMPUTED_VALUE"""),75237.0)</f>
        <v>75237</v>
      </c>
      <c r="J647" s="40"/>
      <c r="K647" s="40"/>
      <c r="L647" s="40"/>
      <c r="M647" s="40"/>
      <c r="N647" s="40"/>
      <c r="O647" s="40"/>
      <c r="P647" s="40"/>
      <c r="Q647" s="40"/>
      <c r="R647" s="40"/>
      <c r="S647" s="40"/>
      <c r="T647" s="40"/>
      <c r="U647" s="24" t="str">
        <f>IFERROR(__xludf.DUMMYFUNCTION("SPLIT(E647,""01234567890"")"),"Elsa
")</f>
        <v>Elsa
</v>
      </c>
      <c r="V647" s="24" t="str">
        <f>IFERROR(__xludf.DUMMYFUNCTION("SPLIT(D647,"","")"),"Cadena")</f>
        <v>Cadena</v>
      </c>
      <c r="W647" s="25" t="str">
        <f t="shared" si="1"/>
        <v>ELSA
 CADENA</v>
      </c>
      <c r="X647" s="25" t="s">
        <v>1732</v>
      </c>
      <c r="Y647" s="25">
        <v>75237.0</v>
      </c>
      <c r="Z647" s="25" t="str">
        <f>IFERROR(__xludf.DUMMYFUNCTION("SPLIT(C647,""
"")"),"Cadena, Elsa")</f>
        <v>Cadena, Elsa</v>
      </c>
      <c r="AA647" s="25" t="str">
        <f>IFERROR(__xludf.DUMMYFUNCTION("""COMPUTED_VALUE"""),"6815 American Way")</f>
        <v>6815 American Way</v>
      </c>
      <c r="AB647" s="25" t="str">
        <f>IFERROR(__xludf.DUMMYFUNCTION("""COMPUTED_VALUE"""),"Dallas, TX 75237")</f>
        <v>Dallas, TX 75237</v>
      </c>
      <c r="AC647" s="24" t="s">
        <v>1733</v>
      </c>
      <c r="AD647" s="25"/>
      <c r="AE647" s="25"/>
      <c r="AF647" s="25"/>
      <c r="AG647" s="40" t="s">
        <v>60</v>
      </c>
      <c r="AH647" s="42">
        <v>2459.0</v>
      </c>
      <c r="AI647" s="40" t="s">
        <v>61</v>
      </c>
      <c r="AJ647" s="27">
        <v>500.0</v>
      </c>
      <c r="AK647" s="31" t="s">
        <v>29</v>
      </c>
      <c r="AL647" s="43">
        <v>44715.0</v>
      </c>
      <c r="AM647" s="44">
        <v>44757.51128472222</v>
      </c>
      <c r="AN647" s="30">
        <v>2.0</v>
      </c>
      <c r="AO647" s="40"/>
      <c r="AP647" s="40"/>
      <c r="AQ647" s="40"/>
      <c r="AR647" s="40"/>
      <c r="AS647" s="40"/>
      <c r="AT647" s="47"/>
      <c r="AU647" s="40"/>
      <c r="AV647" s="46" t="str">
        <f>IFERROR(__xludf.DUMMYFUNCTION("""COMPUTED_VALUE"""),"Todd")</f>
        <v>Todd</v>
      </c>
      <c r="AW647" s="46">
        <f t="shared" si="7"/>
        <v>5000</v>
      </c>
      <c r="AX647" s="47">
        <f t="shared" ref="AX647:BQ647" si="2052">SUMIFS($AJ:$AJ,$V:$V,$AV647,$AK:$AK,AX$2)</f>
        <v>0</v>
      </c>
      <c r="AY647" s="48">
        <f t="shared" si="2052"/>
        <v>0</v>
      </c>
      <c r="AZ647" s="48">
        <f t="shared" si="2052"/>
        <v>0</v>
      </c>
      <c r="BA647" s="48">
        <f t="shared" si="2052"/>
        <v>0</v>
      </c>
      <c r="BB647" s="48">
        <f t="shared" si="2052"/>
        <v>5000</v>
      </c>
      <c r="BC647" s="48">
        <f t="shared" si="2052"/>
        <v>0</v>
      </c>
      <c r="BD647" s="48">
        <f t="shared" si="2052"/>
        <v>0</v>
      </c>
      <c r="BE647" s="48">
        <f t="shared" si="2052"/>
        <v>0</v>
      </c>
      <c r="BF647" s="48">
        <f t="shared" si="2052"/>
        <v>0</v>
      </c>
      <c r="BG647" s="48">
        <f t="shared" si="2052"/>
        <v>0</v>
      </c>
      <c r="BH647" s="48">
        <f t="shared" si="2052"/>
        <v>0</v>
      </c>
      <c r="BI647" s="48">
        <f t="shared" si="2052"/>
        <v>0</v>
      </c>
      <c r="BJ647" s="48">
        <f t="shared" si="2052"/>
        <v>0</v>
      </c>
      <c r="BK647" s="48">
        <f t="shared" si="2052"/>
        <v>0</v>
      </c>
      <c r="BL647" s="48">
        <f t="shared" si="2052"/>
        <v>0</v>
      </c>
      <c r="BM647" s="48">
        <f t="shared" si="2052"/>
        <v>0</v>
      </c>
      <c r="BN647" s="48">
        <f t="shared" si="2052"/>
        <v>0</v>
      </c>
      <c r="BO647" s="48">
        <f t="shared" si="2052"/>
        <v>0</v>
      </c>
      <c r="BP647" s="48">
        <f t="shared" si="2052"/>
        <v>0</v>
      </c>
      <c r="BQ647" s="48">
        <f t="shared" si="2052"/>
        <v>0</v>
      </c>
      <c r="BR647" s="36">
        <f t="shared" si="9"/>
        <v>0</v>
      </c>
      <c r="BS647" s="38">
        <f t="shared" si="10"/>
        <v>1</v>
      </c>
      <c r="BT647" s="49">
        <f t="shared" si="11"/>
        <v>0</v>
      </c>
      <c r="BU647" s="38">
        <f t="shared" si="12"/>
        <v>1000</v>
      </c>
      <c r="BV647" s="46" t="str">
        <f>IFERROR(__xludf.DUMMYFUNCTION("""COMPUTED_VALUE"""),"Todd")</f>
        <v>Todd</v>
      </c>
      <c r="BW647" s="46">
        <f t="shared" si="13"/>
        <v>5000</v>
      </c>
      <c r="BX647" s="47">
        <f t="shared" ref="BX647:CA647" si="2053">AX647-$BU647</f>
        <v>-1000</v>
      </c>
      <c r="BY647" s="47">
        <f t="shared" si="2053"/>
        <v>-1000</v>
      </c>
      <c r="BZ647" s="47">
        <f t="shared" si="2053"/>
        <v>-1000</v>
      </c>
      <c r="CA647" s="47">
        <f t="shared" si="2053"/>
        <v>-1000</v>
      </c>
      <c r="CB647" s="47">
        <f t="shared" si="15"/>
        <v>-5000</v>
      </c>
      <c r="CC647" s="47">
        <f t="shared" ref="CC647:CQ647" si="2054">BC647-$BU647</f>
        <v>-1000</v>
      </c>
      <c r="CD647" s="47">
        <f t="shared" si="2054"/>
        <v>-1000</v>
      </c>
      <c r="CE647" s="47">
        <f t="shared" si="2054"/>
        <v>-1000</v>
      </c>
      <c r="CF647" s="47">
        <f t="shared" si="2054"/>
        <v>-1000</v>
      </c>
      <c r="CG647" s="47">
        <f t="shared" si="2054"/>
        <v>-1000</v>
      </c>
      <c r="CH647" s="47">
        <f t="shared" si="2054"/>
        <v>-1000</v>
      </c>
      <c r="CI647" s="47">
        <f t="shared" si="2054"/>
        <v>-1000</v>
      </c>
      <c r="CJ647" s="47">
        <f t="shared" si="2054"/>
        <v>-1000</v>
      </c>
      <c r="CK647" s="47">
        <f t="shared" si="2054"/>
        <v>-1000</v>
      </c>
      <c r="CL647" s="47">
        <f t="shared" si="2054"/>
        <v>-1000</v>
      </c>
      <c r="CM647" s="47">
        <f t="shared" si="2054"/>
        <v>-1000</v>
      </c>
      <c r="CN647" s="47">
        <f t="shared" si="2054"/>
        <v>-1000</v>
      </c>
      <c r="CO647" s="47">
        <f t="shared" si="2054"/>
        <v>-1000</v>
      </c>
      <c r="CP647" s="47">
        <f t="shared" si="2054"/>
        <v>-1000</v>
      </c>
      <c r="CQ647" s="47">
        <f t="shared" si="2054"/>
        <v>-1000</v>
      </c>
      <c r="CR647" s="47"/>
      <c r="CS647" s="47"/>
      <c r="CT647" s="47"/>
      <c r="CU647" s="74"/>
      <c r="CV647" s="74"/>
      <c r="CW647" s="74" t="str">
        <f>IFERROR(__xludf.DUMMYFUNCTION("IF(REGEXMATCH(UPPER(CU647), ""DALLAS""),,CU647)"),"")</f>
        <v/>
      </c>
      <c r="CX647" s="74"/>
      <c r="CY647" s="74"/>
      <c r="CZ647" s="74"/>
      <c r="DA647" s="75"/>
      <c r="DB647" s="74"/>
      <c r="DC647" s="74"/>
      <c r="DD647" s="74"/>
      <c r="DE647" s="74"/>
      <c r="DF647" s="74"/>
      <c r="DG647" s="74"/>
      <c r="DH647" s="74"/>
      <c r="DI647" s="74"/>
      <c r="DJ647" s="74"/>
      <c r="DK647" s="74"/>
      <c r="DL647" s="74"/>
      <c r="DM647" s="74"/>
      <c r="DN647" s="74"/>
      <c r="DO647" s="74"/>
      <c r="DP647" s="74"/>
      <c r="DQ647" s="74"/>
      <c r="DR647" s="74"/>
      <c r="DS647" s="74"/>
      <c r="DT647" s="74"/>
      <c r="DU647" s="74"/>
      <c r="DV647" s="74"/>
      <c r="DW647" s="74"/>
    </row>
    <row r="648">
      <c r="A648" s="22" t="s">
        <v>55</v>
      </c>
      <c r="B648" s="23" t="s">
        <v>56</v>
      </c>
      <c r="C648" s="31" t="s">
        <v>1734</v>
      </c>
      <c r="D648" s="25" t="str">
        <f>IFERROR(__xludf.DUMMYFUNCTION("SPLIT(C648,"" "")"),"Reznik,")</f>
        <v>Reznik,</v>
      </c>
      <c r="E648" s="22" t="str">
        <f>IFERROR(__xludf.DUMMYFUNCTION("""COMPUTED_VALUE"""),"Staci
4007")</f>
        <v>Staci
4007</v>
      </c>
      <c r="F648" s="22" t="str">
        <f>IFERROR(__xludf.DUMMYFUNCTION("""COMPUTED_VALUE"""),"Lively
Dallas,")</f>
        <v>Lively
Dallas,</v>
      </c>
      <c r="G648" s="22" t="str">
        <f>IFERROR(__xludf.DUMMYFUNCTION("""COMPUTED_VALUE"""),"TX")</f>
        <v>TX</v>
      </c>
      <c r="H648" s="22">
        <f>IFERROR(__xludf.DUMMYFUNCTION("""COMPUTED_VALUE"""),75220.0)</f>
        <v>75220</v>
      </c>
      <c r="I648" s="22"/>
      <c r="J648" s="22"/>
      <c r="K648" s="22"/>
      <c r="L648" s="22"/>
      <c r="M648" s="22"/>
      <c r="N648" s="22"/>
      <c r="O648" s="22"/>
      <c r="P648" s="22"/>
      <c r="Q648" s="22"/>
      <c r="R648" s="22"/>
      <c r="S648" s="22"/>
      <c r="T648" s="22"/>
      <c r="U648" s="24" t="str">
        <f>IFERROR(__xludf.DUMMYFUNCTION("SPLIT(E648,""01234567890"")"),"Staci
")</f>
        <v>Staci
</v>
      </c>
      <c r="V648" s="24" t="str">
        <f>IFERROR(__xludf.DUMMYFUNCTION("SPLIT(D648,"","")"),"Reznik")</f>
        <v>Reznik</v>
      </c>
      <c r="W648" s="25" t="str">
        <f t="shared" si="1"/>
        <v>STACI
 REZNIK</v>
      </c>
      <c r="X648" s="25" t="s">
        <v>1735</v>
      </c>
      <c r="Y648" s="25">
        <v>75220.0</v>
      </c>
      <c r="Z648" s="25" t="str">
        <f>IFERROR(__xludf.DUMMYFUNCTION("SPLIT(C648,""
"")"),"Reznik, Staci")</f>
        <v>Reznik, Staci</v>
      </c>
      <c r="AA648" s="25" t="str">
        <f>IFERROR(__xludf.DUMMYFUNCTION("""COMPUTED_VALUE"""),"4007 Lively")</f>
        <v>4007 Lively</v>
      </c>
      <c r="AB648" s="25" t="str">
        <f>IFERROR(__xludf.DUMMYFUNCTION("""COMPUTED_VALUE"""),"Dallas, TX 75220")</f>
        <v>Dallas, TX 75220</v>
      </c>
      <c r="AC648" s="24" t="s">
        <v>1736</v>
      </c>
      <c r="AD648" s="25"/>
      <c r="AE648" s="25"/>
      <c r="AF648" s="25"/>
      <c r="AG648" s="22" t="s">
        <v>60</v>
      </c>
      <c r="AH648" s="54">
        <v>2459.0</v>
      </c>
      <c r="AI648" s="22" t="s">
        <v>61</v>
      </c>
      <c r="AJ648" s="27">
        <v>125.0</v>
      </c>
      <c r="AK648" s="31" t="s">
        <v>29</v>
      </c>
      <c r="AL648" s="28">
        <v>44691.0</v>
      </c>
      <c r="AM648" s="29">
        <v>44757.51128472222</v>
      </c>
      <c r="AN648" s="30">
        <v>2.0</v>
      </c>
      <c r="AO648" s="22"/>
      <c r="AP648" s="22"/>
      <c r="AQ648" s="22"/>
      <c r="AR648" s="22"/>
      <c r="AS648" s="22"/>
      <c r="AT648" s="70"/>
      <c r="AU648" s="22"/>
      <c r="AV648" s="57" t="str">
        <f>IFERROR(__xludf.DUMMYFUNCTION("""COMPUTED_VALUE"""),"Seay")</f>
        <v>Seay</v>
      </c>
      <c r="AW648" s="46">
        <f t="shared" si="7"/>
        <v>5000</v>
      </c>
      <c r="AX648" s="47">
        <f t="shared" ref="AX648:BQ648" si="2055">SUMIFS($AJ:$AJ,$V:$V,$AV648,$AK:$AK,AX$2)</f>
        <v>0</v>
      </c>
      <c r="AY648" s="48">
        <f t="shared" si="2055"/>
        <v>0</v>
      </c>
      <c r="AZ648" s="48">
        <f t="shared" si="2055"/>
        <v>0</v>
      </c>
      <c r="BA648" s="48">
        <f t="shared" si="2055"/>
        <v>0</v>
      </c>
      <c r="BB648" s="48">
        <f t="shared" si="2055"/>
        <v>5000</v>
      </c>
      <c r="BC648" s="48">
        <f t="shared" si="2055"/>
        <v>0</v>
      </c>
      <c r="BD648" s="48">
        <f t="shared" si="2055"/>
        <v>0</v>
      </c>
      <c r="BE648" s="48">
        <f t="shared" si="2055"/>
        <v>0</v>
      </c>
      <c r="BF648" s="48">
        <f t="shared" si="2055"/>
        <v>0</v>
      </c>
      <c r="BG648" s="48">
        <f t="shared" si="2055"/>
        <v>0</v>
      </c>
      <c r="BH648" s="48">
        <f t="shared" si="2055"/>
        <v>0</v>
      </c>
      <c r="BI648" s="48">
        <f t="shared" si="2055"/>
        <v>0</v>
      </c>
      <c r="BJ648" s="48">
        <f t="shared" si="2055"/>
        <v>0</v>
      </c>
      <c r="BK648" s="48">
        <f t="shared" si="2055"/>
        <v>0</v>
      </c>
      <c r="BL648" s="48">
        <f t="shared" si="2055"/>
        <v>0</v>
      </c>
      <c r="BM648" s="48">
        <f t="shared" si="2055"/>
        <v>0</v>
      </c>
      <c r="BN648" s="48">
        <f t="shared" si="2055"/>
        <v>0</v>
      </c>
      <c r="BO648" s="48">
        <f t="shared" si="2055"/>
        <v>0</v>
      </c>
      <c r="BP648" s="48">
        <f t="shared" si="2055"/>
        <v>0</v>
      </c>
      <c r="BQ648" s="48">
        <f t="shared" si="2055"/>
        <v>0</v>
      </c>
      <c r="BR648" s="36">
        <f t="shared" si="9"/>
        <v>0</v>
      </c>
      <c r="BS648" s="38">
        <f t="shared" si="10"/>
        <v>1</v>
      </c>
      <c r="BT648" s="49">
        <f t="shared" si="11"/>
        <v>0</v>
      </c>
      <c r="BU648" s="38">
        <f t="shared" si="12"/>
        <v>1000</v>
      </c>
      <c r="BV648" s="57" t="str">
        <f>IFERROR(__xludf.DUMMYFUNCTION("""COMPUTED_VALUE"""),"Seay")</f>
        <v>Seay</v>
      </c>
      <c r="BW648" s="46">
        <f t="shared" si="13"/>
        <v>5000</v>
      </c>
      <c r="BX648" s="47">
        <f t="shared" ref="BX648:CA648" si="2056">AX648-$BU648</f>
        <v>-1000</v>
      </c>
      <c r="BY648" s="47">
        <f t="shared" si="2056"/>
        <v>-1000</v>
      </c>
      <c r="BZ648" s="47">
        <f t="shared" si="2056"/>
        <v>-1000</v>
      </c>
      <c r="CA648" s="47">
        <f t="shared" si="2056"/>
        <v>-1000</v>
      </c>
      <c r="CB648" s="47">
        <f t="shared" si="15"/>
        <v>-5000</v>
      </c>
      <c r="CC648" s="47">
        <f t="shared" ref="CC648:CQ648" si="2057">BC648-$BU648</f>
        <v>-1000</v>
      </c>
      <c r="CD648" s="47">
        <f t="shared" si="2057"/>
        <v>-1000</v>
      </c>
      <c r="CE648" s="47">
        <f t="shared" si="2057"/>
        <v>-1000</v>
      </c>
      <c r="CF648" s="47">
        <f t="shared" si="2057"/>
        <v>-1000</v>
      </c>
      <c r="CG648" s="47">
        <f t="shared" si="2057"/>
        <v>-1000</v>
      </c>
      <c r="CH648" s="47">
        <f t="shared" si="2057"/>
        <v>-1000</v>
      </c>
      <c r="CI648" s="47">
        <f t="shared" si="2057"/>
        <v>-1000</v>
      </c>
      <c r="CJ648" s="47">
        <f t="shared" si="2057"/>
        <v>-1000</v>
      </c>
      <c r="CK648" s="47">
        <f t="shared" si="2057"/>
        <v>-1000</v>
      </c>
      <c r="CL648" s="47">
        <f t="shared" si="2057"/>
        <v>-1000</v>
      </c>
      <c r="CM648" s="47">
        <f t="shared" si="2057"/>
        <v>-1000</v>
      </c>
      <c r="CN648" s="47">
        <f t="shared" si="2057"/>
        <v>-1000</v>
      </c>
      <c r="CO648" s="47">
        <f t="shared" si="2057"/>
        <v>-1000</v>
      </c>
      <c r="CP648" s="47">
        <f t="shared" si="2057"/>
        <v>-1000</v>
      </c>
      <c r="CQ648" s="47">
        <f t="shared" si="2057"/>
        <v>-1000</v>
      </c>
      <c r="CR648" s="47"/>
      <c r="CS648" s="47"/>
      <c r="CT648" s="47"/>
      <c r="CU648" s="74"/>
      <c r="CV648" s="74"/>
      <c r="CW648" s="74" t="str">
        <f>IFERROR(__xludf.DUMMYFUNCTION("IF(REGEXMATCH(UPPER(CU648), ""DALLAS""),,CU648)"),"")</f>
        <v/>
      </c>
      <c r="CX648" s="74"/>
      <c r="CY648" s="74"/>
      <c r="CZ648" s="74"/>
      <c r="DA648" s="75"/>
      <c r="DB648" s="74"/>
      <c r="DC648" s="74"/>
      <c r="DD648" s="74"/>
      <c r="DE648" s="74"/>
      <c r="DF648" s="74"/>
      <c r="DG648" s="74"/>
      <c r="DH648" s="74"/>
      <c r="DI648" s="74"/>
      <c r="DJ648" s="74"/>
      <c r="DK648" s="74"/>
      <c r="DL648" s="74"/>
      <c r="DM648" s="74"/>
      <c r="DN648" s="74"/>
      <c r="DO648" s="74"/>
      <c r="DP648" s="74"/>
      <c r="DQ648" s="74"/>
      <c r="DR648" s="74"/>
      <c r="DS648" s="74"/>
      <c r="DT648" s="74"/>
      <c r="DU648" s="74"/>
      <c r="DV648" s="74"/>
      <c r="DW648" s="74"/>
    </row>
    <row r="649">
      <c r="A649" s="41" t="s">
        <v>64</v>
      </c>
      <c r="B649" s="41" t="s">
        <v>56</v>
      </c>
      <c r="C649" s="31" t="s">
        <v>1737</v>
      </c>
      <c r="D649" s="25" t="str">
        <f>IFERROR(__xludf.DUMMYFUNCTION("SPLIT(C649,"" "")"),"Hill,")</f>
        <v>Hill,</v>
      </c>
      <c r="E649" s="40" t="str">
        <f>IFERROR(__xludf.DUMMYFUNCTION("""COMPUTED_VALUE"""),"Todd
604")</f>
        <v>Todd
604</v>
      </c>
      <c r="F649" s="40" t="str">
        <f>IFERROR(__xludf.DUMMYFUNCTION("""COMPUTED_VALUE"""),"Fort")</f>
        <v>Fort</v>
      </c>
      <c r="G649" s="40" t="str">
        <f>IFERROR(__xludf.DUMMYFUNCTION("""COMPUTED_VALUE"""),"Worth")</f>
        <v>Worth</v>
      </c>
      <c r="H649" s="40" t="str">
        <f>IFERROR(__xludf.DUMMYFUNCTION("""COMPUTED_VALUE"""),"Ave
Dallas,")</f>
        <v>Ave
Dallas,</v>
      </c>
      <c r="I649" s="40" t="str">
        <f>IFERROR(__xludf.DUMMYFUNCTION("""COMPUTED_VALUE"""),"TX")</f>
        <v>TX</v>
      </c>
      <c r="J649" s="40">
        <f>IFERROR(__xludf.DUMMYFUNCTION("""COMPUTED_VALUE"""),75208.0)</f>
        <v>75208</v>
      </c>
      <c r="K649" s="40"/>
      <c r="L649" s="40"/>
      <c r="M649" s="40"/>
      <c r="N649" s="40"/>
      <c r="O649" s="40"/>
      <c r="P649" s="40"/>
      <c r="Q649" s="40"/>
      <c r="R649" s="40"/>
      <c r="S649" s="40"/>
      <c r="T649" s="40"/>
      <c r="U649" s="24" t="str">
        <f>IFERROR(__xludf.DUMMYFUNCTION("SPLIT(E649,""01234567890"")"),"Todd
")</f>
        <v>Todd
</v>
      </c>
      <c r="V649" s="24" t="str">
        <f>IFERROR(__xludf.DUMMYFUNCTION("SPLIT(D649,"","")"),"Hill")</f>
        <v>Hill</v>
      </c>
      <c r="W649" s="25" t="str">
        <f t="shared" si="1"/>
        <v>TODD
 HILL</v>
      </c>
      <c r="X649" s="25" t="s">
        <v>1738</v>
      </c>
      <c r="Y649" s="25">
        <v>75208.0</v>
      </c>
      <c r="Z649" s="25" t="str">
        <f>IFERROR(__xludf.DUMMYFUNCTION("SPLIT(C649,""
"")"),"Hill, Todd")</f>
        <v>Hill, Todd</v>
      </c>
      <c r="AA649" s="25" t="str">
        <f>IFERROR(__xludf.DUMMYFUNCTION("""COMPUTED_VALUE"""),"604 Fort Worth Ave")</f>
        <v>604 Fort Worth Ave</v>
      </c>
      <c r="AB649" s="25" t="str">
        <f>IFERROR(__xludf.DUMMYFUNCTION("""COMPUTED_VALUE"""),"Dallas, TX 75208")</f>
        <v>Dallas, TX 75208</v>
      </c>
      <c r="AC649" s="24" t="s">
        <v>1739</v>
      </c>
      <c r="AD649" s="25"/>
      <c r="AE649" s="25"/>
      <c r="AF649" s="25"/>
      <c r="AG649" s="40" t="s">
        <v>60</v>
      </c>
      <c r="AH649" s="42">
        <v>2459.0</v>
      </c>
      <c r="AI649" s="40" t="s">
        <v>61</v>
      </c>
      <c r="AJ649" s="27">
        <v>250.0</v>
      </c>
      <c r="AK649" s="31" t="s">
        <v>29</v>
      </c>
      <c r="AL649" s="43">
        <v>44704.0</v>
      </c>
      <c r="AM649" s="44">
        <v>44757.51128472222</v>
      </c>
      <c r="AN649" s="30">
        <v>2.0</v>
      </c>
      <c r="AO649" s="40"/>
      <c r="AP649" s="40"/>
      <c r="AQ649" s="40"/>
      <c r="AR649" s="40"/>
      <c r="AS649" s="40"/>
      <c r="AT649" s="47"/>
      <c r="AU649" s="40"/>
      <c r="AV649" s="46" t="str">
        <f>IFERROR(__xludf.DUMMYFUNCTION("""COMPUTED_VALUE"""),"Lonsdale")</f>
        <v>Lonsdale</v>
      </c>
      <c r="AW649" s="46">
        <f t="shared" si="7"/>
        <v>2500</v>
      </c>
      <c r="AX649" s="47">
        <f t="shared" ref="AX649:BQ649" si="2058">SUMIFS($AJ:$AJ,$V:$V,$AV649,$AK:$AK,AX$2)</f>
        <v>0</v>
      </c>
      <c r="AY649" s="48">
        <f t="shared" si="2058"/>
        <v>0</v>
      </c>
      <c r="AZ649" s="48">
        <f t="shared" si="2058"/>
        <v>0</v>
      </c>
      <c r="BA649" s="48">
        <f t="shared" si="2058"/>
        <v>0</v>
      </c>
      <c r="BB649" s="48">
        <f t="shared" si="2058"/>
        <v>2500</v>
      </c>
      <c r="BC649" s="48">
        <f t="shared" si="2058"/>
        <v>0</v>
      </c>
      <c r="BD649" s="48">
        <f t="shared" si="2058"/>
        <v>0</v>
      </c>
      <c r="BE649" s="48">
        <f t="shared" si="2058"/>
        <v>0</v>
      </c>
      <c r="BF649" s="48">
        <f t="shared" si="2058"/>
        <v>0</v>
      </c>
      <c r="BG649" s="48">
        <f t="shared" si="2058"/>
        <v>0</v>
      </c>
      <c r="BH649" s="48">
        <f t="shared" si="2058"/>
        <v>0</v>
      </c>
      <c r="BI649" s="48">
        <f t="shared" si="2058"/>
        <v>0</v>
      </c>
      <c r="BJ649" s="48">
        <f t="shared" si="2058"/>
        <v>0</v>
      </c>
      <c r="BK649" s="48">
        <f t="shared" si="2058"/>
        <v>0</v>
      </c>
      <c r="BL649" s="48">
        <f t="shared" si="2058"/>
        <v>0</v>
      </c>
      <c r="BM649" s="48">
        <f t="shared" si="2058"/>
        <v>0</v>
      </c>
      <c r="BN649" s="48">
        <f t="shared" si="2058"/>
        <v>0</v>
      </c>
      <c r="BO649" s="48">
        <f t="shared" si="2058"/>
        <v>0</v>
      </c>
      <c r="BP649" s="48">
        <f t="shared" si="2058"/>
        <v>0</v>
      </c>
      <c r="BQ649" s="48">
        <f t="shared" si="2058"/>
        <v>0</v>
      </c>
      <c r="BR649" s="36">
        <f t="shared" si="9"/>
        <v>0</v>
      </c>
      <c r="BS649" s="38">
        <f t="shared" si="10"/>
        <v>1</v>
      </c>
      <c r="BT649" s="49">
        <f t="shared" si="11"/>
        <v>0</v>
      </c>
      <c r="BU649" s="38">
        <f t="shared" si="12"/>
        <v>1000</v>
      </c>
      <c r="BV649" s="46" t="str">
        <f>IFERROR(__xludf.DUMMYFUNCTION("""COMPUTED_VALUE"""),"Lonsdale")</f>
        <v>Lonsdale</v>
      </c>
      <c r="BW649" s="46">
        <f t="shared" si="13"/>
        <v>2500</v>
      </c>
      <c r="BX649" s="47">
        <f t="shared" ref="BX649:CA649" si="2059">AX649-$BU649</f>
        <v>-1000</v>
      </c>
      <c r="BY649" s="47">
        <f t="shared" si="2059"/>
        <v>-1000</v>
      </c>
      <c r="BZ649" s="47">
        <f t="shared" si="2059"/>
        <v>-1000</v>
      </c>
      <c r="CA649" s="47">
        <f t="shared" si="2059"/>
        <v>-1000</v>
      </c>
      <c r="CB649" s="47">
        <f t="shared" si="15"/>
        <v>-7500</v>
      </c>
      <c r="CC649" s="47">
        <f t="shared" ref="CC649:CQ649" si="2060">BC649-$BU649</f>
        <v>-1000</v>
      </c>
      <c r="CD649" s="47">
        <f t="shared" si="2060"/>
        <v>-1000</v>
      </c>
      <c r="CE649" s="47">
        <f t="shared" si="2060"/>
        <v>-1000</v>
      </c>
      <c r="CF649" s="47">
        <f t="shared" si="2060"/>
        <v>-1000</v>
      </c>
      <c r="CG649" s="47">
        <f t="shared" si="2060"/>
        <v>-1000</v>
      </c>
      <c r="CH649" s="47">
        <f t="shared" si="2060"/>
        <v>-1000</v>
      </c>
      <c r="CI649" s="47">
        <f t="shared" si="2060"/>
        <v>-1000</v>
      </c>
      <c r="CJ649" s="47">
        <f t="shared" si="2060"/>
        <v>-1000</v>
      </c>
      <c r="CK649" s="47">
        <f t="shared" si="2060"/>
        <v>-1000</v>
      </c>
      <c r="CL649" s="47">
        <f t="shared" si="2060"/>
        <v>-1000</v>
      </c>
      <c r="CM649" s="47">
        <f t="shared" si="2060"/>
        <v>-1000</v>
      </c>
      <c r="CN649" s="47">
        <f t="shared" si="2060"/>
        <v>-1000</v>
      </c>
      <c r="CO649" s="47">
        <f t="shared" si="2060"/>
        <v>-1000</v>
      </c>
      <c r="CP649" s="47">
        <f t="shared" si="2060"/>
        <v>-1000</v>
      </c>
      <c r="CQ649" s="47">
        <f t="shared" si="2060"/>
        <v>-1000</v>
      </c>
      <c r="CR649" s="47"/>
      <c r="CS649" s="47"/>
      <c r="CT649" s="47"/>
      <c r="CU649" s="74"/>
      <c r="CV649" s="74"/>
      <c r="CW649" s="74" t="str">
        <f>IFERROR(__xludf.DUMMYFUNCTION("IF(REGEXMATCH(UPPER(CU649), ""DALLAS""),,CU649)"),"")</f>
        <v/>
      </c>
      <c r="CX649" s="74"/>
      <c r="CY649" s="74"/>
      <c r="CZ649" s="74"/>
      <c r="DA649" s="75"/>
      <c r="DB649" s="74"/>
      <c r="DC649" s="74"/>
      <c r="DD649" s="74"/>
      <c r="DE649" s="74"/>
      <c r="DF649" s="74"/>
      <c r="DG649" s="74"/>
      <c r="DH649" s="74"/>
      <c r="DI649" s="74"/>
      <c r="DJ649" s="74"/>
      <c r="DK649" s="74"/>
      <c r="DL649" s="74"/>
      <c r="DM649" s="74"/>
      <c r="DN649" s="74"/>
      <c r="DO649" s="74"/>
      <c r="DP649" s="74"/>
      <c r="DQ649" s="74"/>
      <c r="DR649" s="74"/>
      <c r="DS649" s="74"/>
      <c r="DT649" s="74"/>
      <c r="DU649" s="74"/>
      <c r="DV649" s="74"/>
      <c r="DW649" s="74"/>
    </row>
    <row r="650">
      <c r="A650" s="22" t="s">
        <v>55</v>
      </c>
      <c r="B650" s="23" t="s">
        <v>56</v>
      </c>
      <c r="C650" s="31" t="s">
        <v>1740</v>
      </c>
      <c r="D650" s="25" t="str">
        <f>IFERROR(__xludf.DUMMYFUNCTION("SPLIT(C650,"" "")"),"Pegram,")</f>
        <v>Pegram,</v>
      </c>
      <c r="E650" s="22" t="str">
        <f>IFERROR(__xludf.DUMMYFUNCTION("""COMPUTED_VALUE"""),"Derric
2642")</f>
        <v>Derric
2642</v>
      </c>
      <c r="F650" s="22" t="str">
        <f>IFERROR(__xludf.DUMMYFUNCTION("""COMPUTED_VALUE"""),"Bahama
Dallas,")</f>
        <v>Bahama
Dallas,</v>
      </c>
      <c r="G650" s="22" t="str">
        <f>IFERROR(__xludf.DUMMYFUNCTION("""COMPUTED_VALUE"""),"TX")</f>
        <v>TX</v>
      </c>
      <c r="H650" s="22">
        <f>IFERROR(__xludf.DUMMYFUNCTION("""COMPUTED_VALUE"""),75211.0)</f>
        <v>75211</v>
      </c>
      <c r="I650" s="22"/>
      <c r="J650" s="22"/>
      <c r="K650" s="22"/>
      <c r="L650" s="22"/>
      <c r="M650" s="22"/>
      <c r="N650" s="22"/>
      <c r="O650" s="22"/>
      <c r="P650" s="22"/>
      <c r="Q650" s="22"/>
      <c r="R650" s="22"/>
      <c r="S650" s="22"/>
      <c r="T650" s="22"/>
      <c r="U650" s="24" t="str">
        <f>IFERROR(__xludf.DUMMYFUNCTION("SPLIT(E650,""01234567890"")"),"Derric
")</f>
        <v>Derric
</v>
      </c>
      <c r="V650" s="24" t="str">
        <f>IFERROR(__xludf.DUMMYFUNCTION("SPLIT(D650,"","")"),"Pegram")</f>
        <v>Pegram</v>
      </c>
      <c r="W650" s="25" t="str">
        <f t="shared" si="1"/>
        <v>DERRIC
 PEGRAM</v>
      </c>
      <c r="X650" s="25" t="s">
        <v>1741</v>
      </c>
      <c r="Y650" s="25">
        <v>75211.0</v>
      </c>
      <c r="Z650" s="25" t="str">
        <f>IFERROR(__xludf.DUMMYFUNCTION("SPLIT(C650,""
"")"),"Pegram, Derric")</f>
        <v>Pegram, Derric</v>
      </c>
      <c r="AA650" s="25" t="str">
        <f>IFERROR(__xludf.DUMMYFUNCTION("""COMPUTED_VALUE"""),"2642 Bahama")</f>
        <v>2642 Bahama</v>
      </c>
      <c r="AB650" s="25" t="str">
        <f>IFERROR(__xludf.DUMMYFUNCTION("""COMPUTED_VALUE"""),"Dallas, TX 75211")</f>
        <v>Dallas, TX 75211</v>
      </c>
      <c r="AC650" s="24" t="s">
        <v>1742</v>
      </c>
      <c r="AD650" s="25"/>
      <c r="AE650" s="25"/>
      <c r="AF650" s="25"/>
      <c r="AG650" s="22" t="s">
        <v>60</v>
      </c>
      <c r="AH650" s="54">
        <v>2459.0</v>
      </c>
      <c r="AI650" s="22" t="s">
        <v>61</v>
      </c>
      <c r="AJ650" s="27">
        <v>50.0</v>
      </c>
      <c r="AK650" s="31" t="s">
        <v>29</v>
      </c>
      <c r="AL650" s="28">
        <v>44709.0</v>
      </c>
      <c r="AM650" s="29">
        <v>44757.51128472222</v>
      </c>
      <c r="AN650" s="30">
        <v>2.0</v>
      </c>
      <c r="AO650" s="22"/>
      <c r="AP650" s="22"/>
      <c r="AQ650" s="22"/>
      <c r="AR650" s="22"/>
      <c r="AS650" s="22"/>
      <c r="AT650" s="70"/>
      <c r="AU650" s="22"/>
      <c r="AV650" s="57" t="str">
        <f>IFERROR(__xludf.DUMMYFUNCTION("""COMPUTED_VALUE"""),"Hicks")</f>
        <v>Hicks</v>
      </c>
      <c r="AW650" s="46">
        <f t="shared" si="7"/>
        <v>2550</v>
      </c>
      <c r="AX650" s="47">
        <f t="shared" ref="AX650:BQ650" si="2061">SUMIFS($AJ:$AJ,$V:$V,$AV650,$AK:$AK,AX$2)</f>
        <v>50</v>
      </c>
      <c r="AY650" s="48">
        <f t="shared" si="2061"/>
        <v>0</v>
      </c>
      <c r="AZ650" s="48">
        <f t="shared" si="2061"/>
        <v>0</v>
      </c>
      <c r="BA650" s="48">
        <f t="shared" si="2061"/>
        <v>0</v>
      </c>
      <c r="BB650" s="48">
        <f t="shared" si="2061"/>
        <v>2500</v>
      </c>
      <c r="BC650" s="48">
        <f t="shared" si="2061"/>
        <v>0</v>
      </c>
      <c r="BD650" s="48">
        <f t="shared" si="2061"/>
        <v>0</v>
      </c>
      <c r="BE650" s="48">
        <f t="shared" si="2061"/>
        <v>0</v>
      </c>
      <c r="BF650" s="48">
        <f t="shared" si="2061"/>
        <v>0</v>
      </c>
      <c r="BG650" s="48">
        <f t="shared" si="2061"/>
        <v>0</v>
      </c>
      <c r="BH650" s="48">
        <f t="shared" si="2061"/>
        <v>0</v>
      </c>
      <c r="BI650" s="48">
        <f t="shared" si="2061"/>
        <v>0</v>
      </c>
      <c r="BJ650" s="48">
        <f t="shared" si="2061"/>
        <v>0</v>
      </c>
      <c r="BK650" s="48">
        <f t="shared" si="2061"/>
        <v>0</v>
      </c>
      <c r="BL650" s="48">
        <f t="shared" si="2061"/>
        <v>0</v>
      </c>
      <c r="BM650" s="48">
        <f t="shared" si="2061"/>
        <v>0</v>
      </c>
      <c r="BN650" s="48">
        <f t="shared" si="2061"/>
        <v>0</v>
      </c>
      <c r="BO650" s="48">
        <f t="shared" si="2061"/>
        <v>0</v>
      </c>
      <c r="BP650" s="48">
        <f t="shared" si="2061"/>
        <v>0</v>
      </c>
      <c r="BQ650" s="48">
        <f t="shared" si="2061"/>
        <v>0</v>
      </c>
      <c r="BR650" s="36">
        <f t="shared" si="9"/>
        <v>1</v>
      </c>
      <c r="BS650" s="38">
        <f t="shared" si="10"/>
        <v>2</v>
      </c>
      <c r="BT650" s="49">
        <f t="shared" si="11"/>
        <v>0</v>
      </c>
      <c r="BU650" s="38">
        <f t="shared" si="12"/>
        <v>2000</v>
      </c>
      <c r="BV650" s="57" t="str">
        <f>IFERROR(__xludf.DUMMYFUNCTION("""COMPUTED_VALUE"""),"Hicks")</f>
        <v>Hicks</v>
      </c>
      <c r="BW650" s="46">
        <f t="shared" si="13"/>
        <v>2550</v>
      </c>
      <c r="BX650" s="47">
        <f t="shared" ref="BX650:CA650" si="2062">AX650-$BU650</f>
        <v>-1950</v>
      </c>
      <c r="BY650" s="47">
        <f t="shared" si="2062"/>
        <v>-2000</v>
      </c>
      <c r="BZ650" s="47">
        <f t="shared" si="2062"/>
        <v>-2000</v>
      </c>
      <c r="CA650" s="47">
        <f t="shared" si="2062"/>
        <v>-2000</v>
      </c>
      <c r="CB650" s="47">
        <f t="shared" si="15"/>
        <v>-17500</v>
      </c>
      <c r="CC650" s="47">
        <f t="shared" ref="CC650:CQ650" si="2063">BC650-$BU650</f>
        <v>-2000</v>
      </c>
      <c r="CD650" s="47">
        <f t="shared" si="2063"/>
        <v>-2000</v>
      </c>
      <c r="CE650" s="47">
        <f t="shared" si="2063"/>
        <v>-2000</v>
      </c>
      <c r="CF650" s="47">
        <f t="shared" si="2063"/>
        <v>-2000</v>
      </c>
      <c r="CG650" s="47">
        <f t="shared" si="2063"/>
        <v>-2000</v>
      </c>
      <c r="CH650" s="47">
        <f t="shared" si="2063"/>
        <v>-2000</v>
      </c>
      <c r="CI650" s="47">
        <f t="shared" si="2063"/>
        <v>-2000</v>
      </c>
      <c r="CJ650" s="47">
        <f t="shared" si="2063"/>
        <v>-2000</v>
      </c>
      <c r="CK650" s="47">
        <f t="shared" si="2063"/>
        <v>-2000</v>
      </c>
      <c r="CL650" s="47">
        <f t="shared" si="2063"/>
        <v>-2000</v>
      </c>
      <c r="CM650" s="47">
        <f t="shared" si="2063"/>
        <v>-2000</v>
      </c>
      <c r="CN650" s="47">
        <f t="shared" si="2063"/>
        <v>-2000</v>
      </c>
      <c r="CO650" s="47">
        <f t="shared" si="2063"/>
        <v>-2000</v>
      </c>
      <c r="CP650" s="47">
        <f t="shared" si="2063"/>
        <v>-2000</v>
      </c>
      <c r="CQ650" s="47">
        <f t="shared" si="2063"/>
        <v>-2000</v>
      </c>
      <c r="CR650" s="47"/>
      <c r="CS650" s="47"/>
      <c r="CT650" s="47"/>
      <c r="CU650" s="74"/>
      <c r="CV650" s="74"/>
      <c r="CW650" s="74" t="str">
        <f>IFERROR(__xludf.DUMMYFUNCTION("IF(REGEXMATCH(UPPER(CU650), ""DALLAS""),,CU650)"),"")</f>
        <v/>
      </c>
      <c r="CX650" s="74"/>
      <c r="CY650" s="74"/>
      <c r="CZ650" s="74"/>
      <c r="DA650" s="75"/>
      <c r="DB650" s="74"/>
      <c r="DC650" s="74"/>
      <c r="DD650" s="74"/>
      <c r="DE650" s="74"/>
      <c r="DF650" s="74"/>
      <c r="DG650" s="74"/>
      <c r="DH650" s="74"/>
      <c r="DI650" s="74"/>
      <c r="DJ650" s="74"/>
      <c r="DK650" s="74"/>
      <c r="DL650" s="74"/>
      <c r="DM650" s="74"/>
      <c r="DN650" s="74"/>
      <c r="DO650" s="74"/>
      <c r="DP650" s="74"/>
      <c r="DQ650" s="74"/>
      <c r="DR650" s="74"/>
      <c r="DS650" s="74"/>
      <c r="DT650" s="74"/>
      <c r="DU650" s="74"/>
      <c r="DV650" s="74"/>
      <c r="DW650" s="74"/>
    </row>
    <row r="651">
      <c r="A651" s="41" t="s">
        <v>64</v>
      </c>
      <c r="B651" s="41" t="s">
        <v>56</v>
      </c>
      <c r="C651" s="31" t="s">
        <v>1743</v>
      </c>
      <c r="D651" s="25" t="str">
        <f>IFERROR(__xludf.DUMMYFUNCTION("SPLIT(C651,"" "")"),"Patterson,")</f>
        <v>Patterson,</v>
      </c>
      <c r="E651" s="40" t="str">
        <f>IFERROR(__xludf.DUMMYFUNCTION("""COMPUTED_VALUE"""),"Brandi
3405")</f>
        <v>Brandi
3405</v>
      </c>
      <c r="F651" s="40" t="str">
        <f>IFERROR(__xludf.DUMMYFUNCTION("""COMPUTED_VALUE"""),"Bellcrest
Celina,")</f>
        <v>Bellcrest
Celina,</v>
      </c>
      <c r="G651" s="40" t="str">
        <f>IFERROR(__xludf.DUMMYFUNCTION("""COMPUTED_VALUE"""),"TX")</f>
        <v>TX</v>
      </c>
      <c r="H651" s="40">
        <f>IFERROR(__xludf.DUMMYFUNCTION("""COMPUTED_VALUE"""),75009.0)</f>
        <v>75009</v>
      </c>
      <c r="I651" s="40"/>
      <c r="J651" s="40"/>
      <c r="K651" s="40"/>
      <c r="L651" s="40"/>
      <c r="M651" s="40"/>
      <c r="N651" s="40"/>
      <c r="O651" s="40"/>
      <c r="P651" s="40"/>
      <c r="Q651" s="40"/>
      <c r="R651" s="40"/>
      <c r="S651" s="40"/>
      <c r="T651" s="40"/>
      <c r="U651" s="24" t="str">
        <f>IFERROR(__xludf.DUMMYFUNCTION("SPLIT(E651,""01234567890"")"),"Brandi
")</f>
        <v>Brandi
</v>
      </c>
      <c r="V651" s="24" t="str">
        <f>IFERROR(__xludf.DUMMYFUNCTION("SPLIT(D651,"","")"),"Patterson")</f>
        <v>Patterson</v>
      </c>
      <c r="W651" s="25" t="str">
        <f t="shared" si="1"/>
        <v>BRANDI
 PATTERSON</v>
      </c>
      <c r="X651" s="25" t="s">
        <v>1744</v>
      </c>
      <c r="Y651" s="25">
        <v>75009.0</v>
      </c>
      <c r="Z651" s="25" t="str">
        <f>IFERROR(__xludf.DUMMYFUNCTION("SPLIT(C651,""
"")"),"Patterson, Brandi")</f>
        <v>Patterson, Brandi</v>
      </c>
      <c r="AA651" s="25" t="str">
        <f>IFERROR(__xludf.DUMMYFUNCTION("""COMPUTED_VALUE"""),"3405 Bellcrest")</f>
        <v>3405 Bellcrest</v>
      </c>
      <c r="AB651" s="25" t="str">
        <f>IFERROR(__xludf.DUMMYFUNCTION("""COMPUTED_VALUE"""),"Celina, TX 75009")</f>
        <v>Celina, TX 75009</v>
      </c>
      <c r="AC651" s="24" t="s">
        <v>1745</v>
      </c>
      <c r="AD651" s="25"/>
      <c r="AE651" s="25"/>
      <c r="AF651" s="25"/>
      <c r="AG651" s="40" t="s">
        <v>60</v>
      </c>
      <c r="AH651" s="42">
        <v>2459.0</v>
      </c>
      <c r="AI651" s="40" t="s">
        <v>61</v>
      </c>
      <c r="AJ651" s="27">
        <v>100.0</v>
      </c>
      <c r="AK651" s="31" t="s">
        <v>29</v>
      </c>
      <c r="AL651" s="43">
        <v>44712.0</v>
      </c>
      <c r="AM651" s="44">
        <v>44757.51128472222</v>
      </c>
      <c r="AN651" s="30">
        <v>2.0</v>
      </c>
      <c r="AO651" s="40"/>
      <c r="AP651" s="40"/>
      <c r="AQ651" s="40"/>
      <c r="AR651" s="40"/>
      <c r="AS651" s="40"/>
      <c r="AT651" s="47"/>
      <c r="AU651" s="40"/>
      <c r="AV651" s="46" t="str">
        <f>IFERROR(__xludf.DUMMYFUNCTION("""COMPUTED_VALUE"""),"Ryan")</f>
        <v>Ryan</v>
      </c>
      <c r="AW651" s="46">
        <f t="shared" si="7"/>
        <v>10000</v>
      </c>
      <c r="AX651" s="47">
        <f t="shared" ref="AX651:BQ651" si="2064">SUMIFS($AJ:$AJ,$V:$V,$AV651,$AK:$AK,AX$2)</f>
        <v>0</v>
      </c>
      <c r="AY651" s="48">
        <f t="shared" si="2064"/>
        <v>0</v>
      </c>
      <c r="AZ651" s="48">
        <f t="shared" si="2064"/>
        <v>0</v>
      </c>
      <c r="BA651" s="48">
        <f t="shared" si="2064"/>
        <v>0</v>
      </c>
      <c r="BB651" s="48">
        <f t="shared" si="2064"/>
        <v>10000</v>
      </c>
      <c r="BC651" s="48">
        <f t="shared" si="2064"/>
        <v>0</v>
      </c>
      <c r="BD651" s="48">
        <f t="shared" si="2064"/>
        <v>0</v>
      </c>
      <c r="BE651" s="48">
        <f t="shared" si="2064"/>
        <v>0</v>
      </c>
      <c r="BF651" s="48">
        <f t="shared" si="2064"/>
        <v>0</v>
      </c>
      <c r="BG651" s="48">
        <f t="shared" si="2064"/>
        <v>0</v>
      </c>
      <c r="BH651" s="48">
        <f t="shared" si="2064"/>
        <v>0</v>
      </c>
      <c r="BI651" s="48">
        <f t="shared" si="2064"/>
        <v>0</v>
      </c>
      <c r="BJ651" s="48">
        <f t="shared" si="2064"/>
        <v>0</v>
      </c>
      <c r="BK651" s="48">
        <f t="shared" si="2064"/>
        <v>0</v>
      </c>
      <c r="BL651" s="48">
        <f t="shared" si="2064"/>
        <v>0</v>
      </c>
      <c r="BM651" s="48">
        <f t="shared" si="2064"/>
        <v>0</v>
      </c>
      <c r="BN651" s="48">
        <f t="shared" si="2064"/>
        <v>0</v>
      </c>
      <c r="BO651" s="48">
        <f t="shared" si="2064"/>
        <v>0</v>
      </c>
      <c r="BP651" s="48">
        <f t="shared" si="2064"/>
        <v>0</v>
      </c>
      <c r="BQ651" s="48">
        <f t="shared" si="2064"/>
        <v>0</v>
      </c>
      <c r="BR651" s="36">
        <f t="shared" si="9"/>
        <v>0</v>
      </c>
      <c r="BS651" s="38">
        <f t="shared" si="10"/>
        <v>1</v>
      </c>
      <c r="BT651" s="49">
        <f t="shared" si="11"/>
        <v>0</v>
      </c>
      <c r="BU651" s="38">
        <f t="shared" si="12"/>
        <v>1000</v>
      </c>
      <c r="BV651" s="46" t="str">
        <f>IFERROR(__xludf.DUMMYFUNCTION("""COMPUTED_VALUE"""),"Ryan")</f>
        <v>Ryan</v>
      </c>
      <c r="BW651" s="46">
        <f t="shared" si="13"/>
        <v>10000</v>
      </c>
      <c r="BX651" s="47">
        <f t="shared" ref="BX651:CA651" si="2065">AX651-$BU651</f>
        <v>-1000</v>
      </c>
      <c r="BY651" s="47">
        <f t="shared" si="2065"/>
        <v>-1000</v>
      </c>
      <c r="BZ651" s="47">
        <f t="shared" si="2065"/>
        <v>-1000</v>
      </c>
      <c r="CA651" s="47">
        <f t="shared" si="2065"/>
        <v>-1000</v>
      </c>
      <c r="CB651" s="47">
        <f t="shared" si="15"/>
        <v>0</v>
      </c>
      <c r="CC651" s="47">
        <f t="shared" ref="CC651:CQ651" si="2066">BC651-$BU651</f>
        <v>-1000</v>
      </c>
      <c r="CD651" s="47">
        <f t="shared" si="2066"/>
        <v>-1000</v>
      </c>
      <c r="CE651" s="47">
        <f t="shared" si="2066"/>
        <v>-1000</v>
      </c>
      <c r="CF651" s="47">
        <f t="shared" si="2066"/>
        <v>-1000</v>
      </c>
      <c r="CG651" s="47">
        <f t="shared" si="2066"/>
        <v>-1000</v>
      </c>
      <c r="CH651" s="47">
        <f t="shared" si="2066"/>
        <v>-1000</v>
      </c>
      <c r="CI651" s="47">
        <f t="shared" si="2066"/>
        <v>-1000</v>
      </c>
      <c r="CJ651" s="47">
        <f t="shared" si="2066"/>
        <v>-1000</v>
      </c>
      <c r="CK651" s="47">
        <f t="shared" si="2066"/>
        <v>-1000</v>
      </c>
      <c r="CL651" s="47">
        <f t="shared" si="2066"/>
        <v>-1000</v>
      </c>
      <c r="CM651" s="47">
        <f t="shared" si="2066"/>
        <v>-1000</v>
      </c>
      <c r="CN651" s="47">
        <f t="shared" si="2066"/>
        <v>-1000</v>
      </c>
      <c r="CO651" s="47">
        <f t="shared" si="2066"/>
        <v>-1000</v>
      </c>
      <c r="CP651" s="47">
        <f t="shared" si="2066"/>
        <v>-1000</v>
      </c>
      <c r="CQ651" s="47">
        <f t="shared" si="2066"/>
        <v>-1000</v>
      </c>
      <c r="CR651" s="47"/>
      <c r="CS651" s="47"/>
      <c r="CT651" s="47"/>
      <c r="CU651" s="74"/>
      <c r="CV651" s="74"/>
      <c r="CW651" s="74" t="str">
        <f>IFERROR(__xludf.DUMMYFUNCTION("IF(REGEXMATCH(UPPER(CU651), ""DALLAS""),,CU651)"),"")</f>
        <v/>
      </c>
      <c r="CX651" s="74"/>
      <c r="CY651" s="74"/>
      <c r="CZ651" s="74"/>
      <c r="DA651" s="75"/>
      <c r="DB651" s="74"/>
      <c r="DC651" s="74"/>
      <c r="DD651" s="74"/>
      <c r="DE651" s="74"/>
      <c r="DF651" s="74"/>
      <c r="DG651" s="74"/>
      <c r="DH651" s="74"/>
      <c r="DI651" s="74"/>
      <c r="DJ651" s="74"/>
      <c r="DK651" s="74"/>
      <c r="DL651" s="74"/>
      <c r="DM651" s="74"/>
      <c r="DN651" s="74"/>
      <c r="DO651" s="74"/>
      <c r="DP651" s="74"/>
      <c r="DQ651" s="74"/>
      <c r="DR651" s="74"/>
      <c r="DS651" s="74"/>
      <c r="DT651" s="74"/>
      <c r="DU651" s="74"/>
      <c r="DV651" s="74"/>
      <c r="DW651" s="74"/>
    </row>
    <row r="652">
      <c r="A652" s="22" t="s">
        <v>55</v>
      </c>
      <c r="B652" s="23" t="s">
        <v>56</v>
      </c>
      <c r="C652" s="31" t="s">
        <v>120</v>
      </c>
      <c r="D652" s="25" t="str">
        <f>IFERROR(__xludf.DUMMYFUNCTION("SPLIT(C652,"" "")"),"Agarwal,")</f>
        <v>Agarwal,</v>
      </c>
      <c r="E652" s="22" t="str">
        <f>IFERROR(__xludf.DUMMYFUNCTION("""COMPUTED_VALUE"""),"Arun
123")</f>
        <v>Arun
123</v>
      </c>
      <c r="F652" s="22" t="str">
        <f>IFERROR(__xludf.DUMMYFUNCTION("""COMPUTED_VALUE"""),"Oak")</f>
        <v>Oak</v>
      </c>
      <c r="G652" s="22" t="str">
        <f>IFERROR(__xludf.DUMMYFUNCTION("""COMPUTED_VALUE"""),"Lawn
Dallas,")</f>
        <v>Lawn
Dallas,</v>
      </c>
      <c r="H652" s="22" t="str">
        <f>IFERROR(__xludf.DUMMYFUNCTION("""COMPUTED_VALUE"""),"TX")</f>
        <v>TX</v>
      </c>
      <c r="I652" s="22">
        <f>IFERROR(__xludf.DUMMYFUNCTION("""COMPUTED_VALUE"""),75207.0)</f>
        <v>75207</v>
      </c>
      <c r="J652" s="22"/>
      <c r="K652" s="22"/>
      <c r="L652" s="22"/>
      <c r="M652" s="22"/>
      <c r="N652" s="22"/>
      <c r="O652" s="22"/>
      <c r="P652" s="22"/>
      <c r="Q652" s="22"/>
      <c r="R652" s="22"/>
      <c r="S652" s="22"/>
      <c r="T652" s="22"/>
      <c r="U652" s="24" t="str">
        <f>IFERROR(__xludf.DUMMYFUNCTION("SPLIT(E652,""01234567890"")"),"Arun
")</f>
        <v>Arun
</v>
      </c>
      <c r="V652" s="24" t="str">
        <f>IFERROR(__xludf.DUMMYFUNCTION("SPLIT(D652,"","")"),"Agarwal")</f>
        <v>Agarwal</v>
      </c>
      <c r="W652" s="25" t="str">
        <f t="shared" si="1"/>
        <v>ARUN
 AGARWAL</v>
      </c>
      <c r="X652" s="25" t="s">
        <v>121</v>
      </c>
      <c r="Y652" s="25">
        <v>75207.0</v>
      </c>
      <c r="Z652" s="25" t="str">
        <f>IFERROR(__xludf.DUMMYFUNCTION("SPLIT(C652,""
"")"),"Agarwal, Arun")</f>
        <v>Agarwal, Arun</v>
      </c>
      <c r="AA652" s="25" t="str">
        <f>IFERROR(__xludf.DUMMYFUNCTION("""COMPUTED_VALUE"""),"123 Oak Lawn")</f>
        <v>123 Oak Lawn</v>
      </c>
      <c r="AB652" s="25" t="str">
        <f>IFERROR(__xludf.DUMMYFUNCTION("""COMPUTED_VALUE"""),"Dallas, TX 75207")</f>
        <v>Dallas, TX 75207</v>
      </c>
      <c r="AC652" s="24" t="s">
        <v>117</v>
      </c>
      <c r="AD652" s="25"/>
      <c r="AE652" s="25"/>
      <c r="AF652" s="25"/>
      <c r="AG652" s="22" t="s">
        <v>60</v>
      </c>
      <c r="AH652" s="54">
        <v>2459.0</v>
      </c>
      <c r="AI652" s="22" t="s">
        <v>61</v>
      </c>
      <c r="AJ652" s="27">
        <v>500.0</v>
      </c>
      <c r="AK652" s="31" t="s">
        <v>29</v>
      </c>
      <c r="AL652" s="28">
        <v>44716.0</v>
      </c>
      <c r="AM652" s="29">
        <v>44757.51128472222</v>
      </c>
      <c r="AN652" s="30">
        <v>2.0</v>
      </c>
      <c r="AO652" s="22"/>
      <c r="AP652" s="22"/>
      <c r="AQ652" s="22"/>
      <c r="AR652" s="22"/>
      <c r="AS652" s="22"/>
      <c r="AT652" s="70"/>
      <c r="AU652" s="22"/>
      <c r="AV652" s="57" t="str">
        <f>IFERROR(__xludf.DUMMYFUNCTION("""COMPUTED_VALUE"""),"Vasquez")</f>
        <v>Vasquez</v>
      </c>
      <c r="AW652" s="46">
        <f t="shared" si="7"/>
        <v>1000</v>
      </c>
      <c r="AX652" s="47">
        <f t="shared" ref="AX652:BQ652" si="2067">SUMIFS($AJ:$AJ,$V:$V,$AV652,$AK:$AK,AX$2)</f>
        <v>0</v>
      </c>
      <c r="AY652" s="48">
        <f t="shared" si="2067"/>
        <v>1000</v>
      </c>
      <c r="AZ652" s="48">
        <f t="shared" si="2067"/>
        <v>0</v>
      </c>
      <c r="BA652" s="48">
        <f t="shared" si="2067"/>
        <v>0</v>
      </c>
      <c r="BB652" s="48">
        <f t="shared" si="2067"/>
        <v>0</v>
      </c>
      <c r="BC652" s="48">
        <f t="shared" si="2067"/>
        <v>0</v>
      </c>
      <c r="BD652" s="48">
        <f t="shared" si="2067"/>
        <v>0</v>
      </c>
      <c r="BE652" s="48">
        <f t="shared" si="2067"/>
        <v>0</v>
      </c>
      <c r="BF652" s="48">
        <f t="shared" si="2067"/>
        <v>0</v>
      </c>
      <c r="BG652" s="48">
        <f t="shared" si="2067"/>
        <v>0</v>
      </c>
      <c r="BH652" s="48">
        <f t="shared" si="2067"/>
        <v>0</v>
      </c>
      <c r="BI652" s="48">
        <f t="shared" si="2067"/>
        <v>0</v>
      </c>
      <c r="BJ652" s="48">
        <f t="shared" si="2067"/>
        <v>0</v>
      </c>
      <c r="BK652" s="48">
        <f t="shared" si="2067"/>
        <v>0</v>
      </c>
      <c r="BL652" s="48">
        <f t="shared" si="2067"/>
        <v>0</v>
      </c>
      <c r="BM652" s="48">
        <f t="shared" si="2067"/>
        <v>0</v>
      </c>
      <c r="BN652" s="48">
        <f t="shared" si="2067"/>
        <v>0</v>
      </c>
      <c r="BO652" s="48">
        <f t="shared" si="2067"/>
        <v>0</v>
      </c>
      <c r="BP652" s="48">
        <f t="shared" si="2067"/>
        <v>0</v>
      </c>
      <c r="BQ652" s="48">
        <f t="shared" si="2067"/>
        <v>0</v>
      </c>
      <c r="BR652" s="36">
        <f t="shared" si="9"/>
        <v>0</v>
      </c>
      <c r="BS652" s="38">
        <f t="shared" si="10"/>
        <v>1</v>
      </c>
      <c r="BT652" s="49">
        <f t="shared" si="11"/>
        <v>0</v>
      </c>
      <c r="BU652" s="38">
        <f t="shared" si="12"/>
        <v>1000</v>
      </c>
      <c r="BV652" s="57" t="str">
        <f>IFERROR(__xludf.DUMMYFUNCTION("""COMPUTED_VALUE"""),"Vasquez")</f>
        <v>Vasquez</v>
      </c>
      <c r="BW652" s="46">
        <f t="shared" si="13"/>
        <v>1000</v>
      </c>
      <c r="BX652" s="47">
        <f t="shared" ref="BX652:CA652" si="2068">AX652-$BU652</f>
        <v>-1000</v>
      </c>
      <c r="BY652" s="47">
        <f t="shared" si="2068"/>
        <v>0</v>
      </c>
      <c r="BZ652" s="47">
        <f t="shared" si="2068"/>
        <v>-1000</v>
      </c>
      <c r="CA652" s="47">
        <f t="shared" si="2068"/>
        <v>-1000</v>
      </c>
      <c r="CB652" s="47">
        <f t="shared" si="15"/>
        <v>-10000</v>
      </c>
      <c r="CC652" s="47">
        <f t="shared" ref="CC652:CQ652" si="2069">BC652-$BU652</f>
        <v>-1000</v>
      </c>
      <c r="CD652" s="47">
        <f t="shared" si="2069"/>
        <v>-1000</v>
      </c>
      <c r="CE652" s="47">
        <f t="shared" si="2069"/>
        <v>-1000</v>
      </c>
      <c r="CF652" s="47">
        <f t="shared" si="2069"/>
        <v>-1000</v>
      </c>
      <c r="CG652" s="47">
        <f t="shared" si="2069"/>
        <v>-1000</v>
      </c>
      <c r="CH652" s="47">
        <f t="shared" si="2069"/>
        <v>-1000</v>
      </c>
      <c r="CI652" s="47">
        <f t="shared" si="2069"/>
        <v>-1000</v>
      </c>
      <c r="CJ652" s="47">
        <f t="shared" si="2069"/>
        <v>-1000</v>
      </c>
      <c r="CK652" s="47">
        <f t="shared" si="2069"/>
        <v>-1000</v>
      </c>
      <c r="CL652" s="47">
        <f t="shared" si="2069"/>
        <v>-1000</v>
      </c>
      <c r="CM652" s="47">
        <f t="shared" si="2069"/>
        <v>-1000</v>
      </c>
      <c r="CN652" s="47">
        <f t="shared" si="2069"/>
        <v>-1000</v>
      </c>
      <c r="CO652" s="47">
        <f t="shared" si="2069"/>
        <v>-1000</v>
      </c>
      <c r="CP652" s="47">
        <f t="shared" si="2069"/>
        <v>-1000</v>
      </c>
      <c r="CQ652" s="47">
        <f t="shared" si="2069"/>
        <v>-1000</v>
      </c>
      <c r="CR652" s="47"/>
      <c r="CS652" s="47"/>
      <c r="CT652" s="47"/>
      <c r="CU652" s="74"/>
      <c r="CV652" s="74"/>
      <c r="CW652" s="74" t="str">
        <f>IFERROR(__xludf.DUMMYFUNCTION("IF(REGEXMATCH(UPPER(CU652), ""DALLAS""),,CU652)"),"")</f>
        <v/>
      </c>
      <c r="CX652" s="74"/>
      <c r="CY652" s="74"/>
      <c r="CZ652" s="74"/>
      <c r="DA652" s="75"/>
      <c r="DB652" s="74"/>
      <c r="DC652" s="74"/>
      <c r="DD652" s="74"/>
      <c r="DE652" s="74"/>
      <c r="DF652" s="74"/>
      <c r="DG652" s="74"/>
      <c r="DH652" s="74"/>
      <c r="DI652" s="74"/>
      <c r="DJ652" s="74"/>
      <c r="DK652" s="74"/>
      <c r="DL652" s="74"/>
      <c r="DM652" s="74"/>
      <c r="DN652" s="74"/>
      <c r="DO652" s="74"/>
      <c r="DP652" s="74"/>
      <c r="DQ652" s="74"/>
      <c r="DR652" s="74"/>
      <c r="DS652" s="74"/>
      <c r="DT652" s="74"/>
      <c r="DU652" s="74"/>
      <c r="DV652" s="74"/>
      <c r="DW652" s="74"/>
    </row>
    <row r="653">
      <c r="A653" s="41" t="s">
        <v>64</v>
      </c>
      <c r="B653" s="41" t="s">
        <v>56</v>
      </c>
      <c r="C653" s="31" t="s">
        <v>1746</v>
      </c>
      <c r="D653" s="25" t="str">
        <f>IFERROR(__xludf.DUMMYFUNCTION("SPLIT(C653,"" "")"),"Leal,")</f>
        <v>Leal,</v>
      </c>
      <c r="E653" s="40" t="str">
        <f>IFERROR(__xludf.DUMMYFUNCTION("""COMPUTED_VALUE"""),"Chris
1777")</f>
        <v>Chris
1777</v>
      </c>
      <c r="F653" s="40" t="str">
        <f>IFERROR(__xludf.DUMMYFUNCTION("""COMPUTED_VALUE"""),"N")</f>
        <v>N</v>
      </c>
      <c r="G653" s="40" t="str">
        <f>IFERROR(__xludf.DUMMYFUNCTION("""COMPUTED_VALUE"""),"Record")</f>
        <v>Record</v>
      </c>
      <c r="H653" s="40" t="str">
        <f>IFERROR(__xludf.DUMMYFUNCTION("""COMPUTED_VALUE"""),"St
Dallas,")</f>
        <v>St
Dallas,</v>
      </c>
      <c r="I653" s="40" t="str">
        <f>IFERROR(__xludf.DUMMYFUNCTION("""COMPUTED_VALUE"""),"TX")</f>
        <v>TX</v>
      </c>
      <c r="J653" s="40">
        <f>IFERROR(__xludf.DUMMYFUNCTION("""COMPUTED_VALUE"""),75202.0)</f>
        <v>75202</v>
      </c>
      <c r="K653" s="40"/>
      <c r="L653" s="40"/>
      <c r="M653" s="40"/>
      <c r="N653" s="40"/>
      <c r="O653" s="40"/>
      <c r="P653" s="40"/>
      <c r="Q653" s="40"/>
      <c r="R653" s="40"/>
      <c r="S653" s="40"/>
      <c r="T653" s="40"/>
      <c r="U653" s="24" t="str">
        <f>IFERROR(__xludf.DUMMYFUNCTION("SPLIT(E653,""01234567890"")"),"Chris
")</f>
        <v>Chris
</v>
      </c>
      <c r="V653" s="24" t="str">
        <f>IFERROR(__xludf.DUMMYFUNCTION("SPLIT(D653,"","")"),"Leal")</f>
        <v>Leal</v>
      </c>
      <c r="W653" s="25" t="str">
        <f t="shared" si="1"/>
        <v>CHRIS
 LEAL</v>
      </c>
      <c r="X653" s="25" t="s">
        <v>1747</v>
      </c>
      <c r="Y653" s="25">
        <v>75202.0</v>
      </c>
      <c r="Z653" s="25" t="str">
        <f>IFERROR(__xludf.DUMMYFUNCTION("SPLIT(C653,""
"")"),"Leal, Chris")</f>
        <v>Leal, Chris</v>
      </c>
      <c r="AA653" s="25" t="str">
        <f>IFERROR(__xludf.DUMMYFUNCTION("""COMPUTED_VALUE"""),"1777 N Record St")</f>
        <v>1777 N Record St</v>
      </c>
      <c r="AB653" s="25" t="str">
        <f>IFERROR(__xludf.DUMMYFUNCTION("""COMPUTED_VALUE"""),"Dallas, TX 75202")</f>
        <v>Dallas, TX 75202</v>
      </c>
      <c r="AC653" s="24" t="s">
        <v>1748</v>
      </c>
      <c r="AD653" s="25"/>
      <c r="AE653" s="25"/>
      <c r="AF653" s="25"/>
      <c r="AG653" s="40" t="s">
        <v>60</v>
      </c>
      <c r="AH653" s="42">
        <v>2459.0</v>
      </c>
      <c r="AI653" s="40" t="s">
        <v>61</v>
      </c>
      <c r="AJ653" s="27">
        <v>100.0</v>
      </c>
      <c r="AK653" s="31" t="s">
        <v>29</v>
      </c>
      <c r="AL653" s="43">
        <v>44720.0</v>
      </c>
      <c r="AM653" s="44">
        <v>44757.51128472222</v>
      </c>
      <c r="AN653" s="30">
        <v>2.0</v>
      </c>
      <c r="AO653" s="40"/>
      <c r="AP653" s="40"/>
      <c r="AQ653" s="40"/>
      <c r="AR653" s="40"/>
      <c r="AS653" s="40"/>
      <c r="AT653" s="47"/>
      <c r="AU653" s="40"/>
      <c r="AV653" s="46" t="str">
        <f>IFERROR(__xludf.DUMMYFUNCTION("""COMPUTED_VALUE"""),"Mazziotta")</f>
        <v>Mazziotta</v>
      </c>
      <c r="AW653" s="46">
        <f t="shared" si="7"/>
        <v>2000</v>
      </c>
      <c r="AX653" s="47">
        <f t="shared" ref="AX653:BQ653" si="2070">SUMIFS($AJ:$AJ,$V:$V,$AV653,$AK:$AK,AX$2)</f>
        <v>0</v>
      </c>
      <c r="AY653" s="48">
        <f t="shared" si="2070"/>
        <v>0</v>
      </c>
      <c r="AZ653" s="48">
        <f t="shared" si="2070"/>
        <v>0</v>
      </c>
      <c r="BA653" s="48">
        <f t="shared" si="2070"/>
        <v>0</v>
      </c>
      <c r="BB653" s="48">
        <f t="shared" si="2070"/>
        <v>0</v>
      </c>
      <c r="BC653" s="48">
        <f t="shared" si="2070"/>
        <v>0</v>
      </c>
      <c r="BD653" s="48">
        <f t="shared" si="2070"/>
        <v>0</v>
      </c>
      <c r="BE653" s="48">
        <f t="shared" si="2070"/>
        <v>2000</v>
      </c>
      <c r="BF653" s="48">
        <f t="shared" si="2070"/>
        <v>0</v>
      </c>
      <c r="BG653" s="48">
        <f t="shared" si="2070"/>
        <v>0</v>
      </c>
      <c r="BH653" s="48">
        <f t="shared" si="2070"/>
        <v>0</v>
      </c>
      <c r="BI653" s="48">
        <f t="shared" si="2070"/>
        <v>0</v>
      </c>
      <c r="BJ653" s="48">
        <f t="shared" si="2070"/>
        <v>0</v>
      </c>
      <c r="BK653" s="48">
        <f t="shared" si="2070"/>
        <v>0</v>
      </c>
      <c r="BL653" s="48">
        <f t="shared" si="2070"/>
        <v>0</v>
      </c>
      <c r="BM653" s="48">
        <f t="shared" si="2070"/>
        <v>0</v>
      </c>
      <c r="BN653" s="48">
        <f t="shared" si="2070"/>
        <v>0</v>
      </c>
      <c r="BO653" s="48">
        <f t="shared" si="2070"/>
        <v>0</v>
      </c>
      <c r="BP653" s="48">
        <f t="shared" si="2070"/>
        <v>0</v>
      </c>
      <c r="BQ653" s="48">
        <f t="shared" si="2070"/>
        <v>0</v>
      </c>
      <c r="BR653" s="36">
        <f t="shared" si="9"/>
        <v>0</v>
      </c>
      <c r="BS653" s="38">
        <f t="shared" si="10"/>
        <v>1</v>
      </c>
      <c r="BT653" s="49">
        <f t="shared" si="11"/>
        <v>0</v>
      </c>
      <c r="BU653" s="38">
        <f t="shared" si="12"/>
        <v>1000</v>
      </c>
      <c r="BV653" s="46" t="str">
        <f>IFERROR(__xludf.DUMMYFUNCTION("""COMPUTED_VALUE"""),"Mazziotta")</f>
        <v>Mazziotta</v>
      </c>
      <c r="BW653" s="46">
        <f t="shared" si="13"/>
        <v>2000</v>
      </c>
      <c r="BX653" s="47">
        <f t="shared" ref="BX653:CA653" si="2071">AX653-$BU653</f>
        <v>-1000</v>
      </c>
      <c r="BY653" s="47">
        <f t="shared" si="2071"/>
        <v>-1000</v>
      </c>
      <c r="BZ653" s="47">
        <f t="shared" si="2071"/>
        <v>-1000</v>
      </c>
      <c r="CA653" s="47">
        <f t="shared" si="2071"/>
        <v>-1000</v>
      </c>
      <c r="CB653" s="47">
        <f t="shared" si="15"/>
        <v>-10000</v>
      </c>
      <c r="CC653" s="47">
        <f t="shared" ref="CC653:CQ653" si="2072">BC653-$BU653</f>
        <v>-1000</v>
      </c>
      <c r="CD653" s="47">
        <f t="shared" si="2072"/>
        <v>-1000</v>
      </c>
      <c r="CE653" s="47">
        <f t="shared" si="2072"/>
        <v>1000</v>
      </c>
      <c r="CF653" s="47">
        <f t="shared" si="2072"/>
        <v>-1000</v>
      </c>
      <c r="CG653" s="47">
        <f t="shared" si="2072"/>
        <v>-1000</v>
      </c>
      <c r="CH653" s="47">
        <f t="shared" si="2072"/>
        <v>-1000</v>
      </c>
      <c r="CI653" s="47">
        <f t="shared" si="2072"/>
        <v>-1000</v>
      </c>
      <c r="CJ653" s="47">
        <f t="shared" si="2072"/>
        <v>-1000</v>
      </c>
      <c r="CK653" s="47">
        <f t="shared" si="2072"/>
        <v>-1000</v>
      </c>
      <c r="CL653" s="47">
        <f t="shared" si="2072"/>
        <v>-1000</v>
      </c>
      <c r="CM653" s="47">
        <f t="shared" si="2072"/>
        <v>-1000</v>
      </c>
      <c r="CN653" s="47">
        <f t="shared" si="2072"/>
        <v>-1000</v>
      </c>
      <c r="CO653" s="47">
        <f t="shared" si="2072"/>
        <v>-1000</v>
      </c>
      <c r="CP653" s="47">
        <f t="shared" si="2072"/>
        <v>-1000</v>
      </c>
      <c r="CQ653" s="47">
        <f t="shared" si="2072"/>
        <v>-1000</v>
      </c>
      <c r="CR653" s="47"/>
      <c r="CS653" s="47"/>
      <c r="CT653" s="47"/>
      <c r="CU653" s="74"/>
      <c r="CV653" s="74"/>
      <c r="CW653" s="74" t="str">
        <f>IFERROR(__xludf.DUMMYFUNCTION("IF(REGEXMATCH(UPPER(CU653), ""DALLAS""),,CU653)"),"")</f>
        <v/>
      </c>
      <c r="CX653" s="74"/>
      <c r="CY653" s="74"/>
      <c r="CZ653" s="74"/>
      <c r="DA653" s="75"/>
      <c r="DB653" s="74"/>
      <c r="DC653" s="74"/>
      <c r="DD653" s="74"/>
      <c r="DE653" s="74"/>
      <c r="DF653" s="74"/>
      <c r="DG653" s="74"/>
      <c r="DH653" s="74"/>
      <c r="DI653" s="74"/>
      <c r="DJ653" s="74"/>
      <c r="DK653" s="74"/>
      <c r="DL653" s="74"/>
      <c r="DM653" s="74"/>
      <c r="DN653" s="74"/>
      <c r="DO653" s="74"/>
      <c r="DP653" s="74"/>
      <c r="DQ653" s="74"/>
      <c r="DR653" s="74"/>
      <c r="DS653" s="74"/>
      <c r="DT653" s="74"/>
      <c r="DU653" s="74"/>
      <c r="DV653" s="74"/>
      <c r="DW653" s="74"/>
    </row>
    <row r="654">
      <c r="A654" s="22" t="s">
        <v>55</v>
      </c>
      <c r="B654" s="23" t="s">
        <v>56</v>
      </c>
      <c r="C654" s="31" t="s">
        <v>1749</v>
      </c>
      <c r="D654" s="25" t="str">
        <f>IFERROR(__xludf.DUMMYFUNCTION("SPLIT(C654,"" "")"),"Hernandez,")</f>
        <v>Hernandez,</v>
      </c>
      <c r="E654" s="22" t="str">
        <f>IFERROR(__xludf.DUMMYFUNCTION("""COMPUTED_VALUE"""),"Flora
6042")</f>
        <v>Flora
6042</v>
      </c>
      <c r="F654" s="22" t="str">
        <f>IFERROR(__xludf.DUMMYFUNCTION("""COMPUTED_VALUE"""),"Prestonshire
Dallas,")</f>
        <v>Prestonshire
Dallas,</v>
      </c>
      <c r="G654" s="22" t="str">
        <f>IFERROR(__xludf.DUMMYFUNCTION("""COMPUTED_VALUE"""),"TX")</f>
        <v>TX</v>
      </c>
      <c r="H654" s="22">
        <f>IFERROR(__xludf.DUMMYFUNCTION("""COMPUTED_VALUE"""),76225.0)</f>
        <v>76225</v>
      </c>
      <c r="I654" s="22"/>
      <c r="J654" s="22"/>
      <c r="K654" s="22"/>
      <c r="L654" s="22"/>
      <c r="M654" s="22"/>
      <c r="N654" s="22"/>
      <c r="O654" s="22"/>
      <c r="P654" s="22"/>
      <c r="Q654" s="22"/>
      <c r="R654" s="22"/>
      <c r="S654" s="22"/>
      <c r="T654" s="22"/>
      <c r="U654" s="24" t="str">
        <f>IFERROR(__xludf.DUMMYFUNCTION("SPLIT(E654,""01234567890"")"),"Flora
")</f>
        <v>Flora
</v>
      </c>
      <c r="V654" s="24" t="str">
        <f>IFERROR(__xludf.DUMMYFUNCTION("SPLIT(D654,"","")"),"Hernandez")</f>
        <v>Hernandez</v>
      </c>
      <c r="W654" s="25" t="str">
        <f t="shared" si="1"/>
        <v>FLORA
 HERNANDEZ</v>
      </c>
      <c r="X654" s="25" t="s">
        <v>1750</v>
      </c>
      <c r="Y654" s="25">
        <v>76225.0</v>
      </c>
      <c r="Z654" s="25" t="str">
        <f>IFERROR(__xludf.DUMMYFUNCTION("SPLIT(C654,""
"")"),"Hernandez, Flora")</f>
        <v>Hernandez, Flora</v>
      </c>
      <c r="AA654" s="25" t="str">
        <f>IFERROR(__xludf.DUMMYFUNCTION("""COMPUTED_VALUE"""),"6042 Prestonshire")</f>
        <v>6042 Prestonshire</v>
      </c>
      <c r="AB654" s="25" t="str">
        <f>IFERROR(__xludf.DUMMYFUNCTION("""COMPUTED_VALUE"""),"Dallas, TX 76225")</f>
        <v>Dallas, TX 76225</v>
      </c>
      <c r="AC654" s="24" t="s">
        <v>1751</v>
      </c>
      <c r="AD654" s="25"/>
      <c r="AE654" s="25"/>
      <c r="AF654" s="25"/>
      <c r="AG654" s="22" t="s">
        <v>60</v>
      </c>
      <c r="AH654" s="54">
        <v>2459.0</v>
      </c>
      <c r="AI654" s="22" t="s">
        <v>61</v>
      </c>
      <c r="AJ654" s="27">
        <v>1000.0</v>
      </c>
      <c r="AK654" s="31" t="s">
        <v>29</v>
      </c>
      <c r="AL654" s="28">
        <v>44742.0</v>
      </c>
      <c r="AM654" s="29">
        <v>44757.51128472222</v>
      </c>
      <c r="AN654" s="30">
        <v>2.0</v>
      </c>
      <c r="AO654" s="22"/>
      <c r="AP654" s="22"/>
      <c r="AQ654" s="22"/>
      <c r="AR654" s="22"/>
      <c r="AS654" s="22"/>
      <c r="AT654" s="70"/>
      <c r="AU654" s="22"/>
      <c r="AV654" s="57" t="str">
        <f>IFERROR(__xludf.DUMMYFUNCTION("""COMPUTED_VALUE"""),"Burk")</f>
        <v>Burk</v>
      </c>
      <c r="AW654" s="46">
        <f t="shared" si="7"/>
        <v>2000</v>
      </c>
      <c r="AX654" s="47">
        <f t="shared" ref="AX654:BQ654" si="2073">SUMIFS($AJ:$AJ,$V:$V,$AV654,$AK:$AK,AX$2)</f>
        <v>0</v>
      </c>
      <c r="AY654" s="48">
        <f t="shared" si="2073"/>
        <v>0</v>
      </c>
      <c r="AZ654" s="48">
        <f t="shared" si="2073"/>
        <v>0</v>
      </c>
      <c r="BA654" s="48">
        <f t="shared" si="2073"/>
        <v>0</v>
      </c>
      <c r="BB654" s="48">
        <f t="shared" si="2073"/>
        <v>0</v>
      </c>
      <c r="BC654" s="48">
        <f t="shared" si="2073"/>
        <v>0</v>
      </c>
      <c r="BD654" s="48">
        <f t="shared" si="2073"/>
        <v>0</v>
      </c>
      <c r="BE654" s="48">
        <f t="shared" si="2073"/>
        <v>2000</v>
      </c>
      <c r="BF654" s="48">
        <f t="shared" si="2073"/>
        <v>0</v>
      </c>
      <c r="BG654" s="48">
        <f t="shared" si="2073"/>
        <v>0</v>
      </c>
      <c r="BH654" s="48">
        <f t="shared" si="2073"/>
        <v>0</v>
      </c>
      <c r="BI654" s="48">
        <f t="shared" si="2073"/>
        <v>0</v>
      </c>
      <c r="BJ654" s="48">
        <f t="shared" si="2073"/>
        <v>0</v>
      </c>
      <c r="BK654" s="48">
        <f t="shared" si="2073"/>
        <v>0</v>
      </c>
      <c r="BL654" s="48">
        <f t="shared" si="2073"/>
        <v>0</v>
      </c>
      <c r="BM654" s="48">
        <f t="shared" si="2073"/>
        <v>0</v>
      </c>
      <c r="BN654" s="48">
        <f t="shared" si="2073"/>
        <v>0</v>
      </c>
      <c r="BO654" s="48">
        <f t="shared" si="2073"/>
        <v>0</v>
      </c>
      <c r="BP654" s="48">
        <f t="shared" si="2073"/>
        <v>0</v>
      </c>
      <c r="BQ654" s="48">
        <f t="shared" si="2073"/>
        <v>0</v>
      </c>
      <c r="BR654" s="36">
        <f t="shared" si="9"/>
        <v>0</v>
      </c>
      <c r="BS654" s="38">
        <f t="shared" si="10"/>
        <v>1</v>
      </c>
      <c r="BT654" s="49">
        <f t="shared" si="11"/>
        <v>0</v>
      </c>
      <c r="BU654" s="38">
        <f t="shared" si="12"/>
        <v>1000</v>
      </c>
      <c r="BV654" s="57" t="str">
        <f>IFERROR(__xludf.DUMMYFUNCTION("""COMPUTED_VALUE"""),"Burk")</f>
        <v>Burk</v>
      </c>
      <c r="BW654" s="46">
        <f t="shared" si="13"/>
        <v>2000</v>
      </c>
      <c r="BX654" s="47">
        <f t="shared" ref="BX654:CA654" si="2074">AX654-$BU654</f>
        <v>-1000</v>
      </c>
      <c r="BY654" s="47">
        <f t="shared" si="2074"/>
        <v>-1000</v>
      </c>
      <c r="BZ654" s="47">
        <f t="shared" si="2074"/>
        <v>-1000</v>
      </c>
      <c r="CA654" s="47">
        <f t="shared" si="2074"/>
        <v>-1000</v>
      </c>
      <c r="CB654" s="47">
        <f t="shared" si="15"/>
        <v>-10000</v>
      </c>
      <c r="CC654" s="47">
        <f t="shared" ref="CC654:CQ654" si="2075">BC654-$BU654</f>
        <v>-1000</v>
      </c>
      <c r="CD654" s="47">
        <f t="shared" si="2075"/>
        <v>-1000</v>
      </c>
      <c r="CE654" s="47">
        <f t="shared" si="2075"/>
        <v>1000</v>
      </c>
      <c r="CF654" s="47">
        <f t="shared" si="2075"/>
        <v>-1000</v>
      </c>
      <c r="CG654" s="47">
        <f t="shared" si="2075"/>
        <v>-1000</v>
      </c>
      <c r="CH654" s="47">
        <f t="shared" si="2075"/>
        <v>-1000</v>
      </c>
      <c r="CI654" s="47">
        <f t="shared" si="2075"/>
        <v>-1000</v>
      </c>
      <c r="CJ654" s="47">
        <f t="shared" si="2075"/>
        <v>-1000</v>
      </c>
      <c r="CK654" s="47">
        <f t="shared" si="2075"/>
        <v>-1000</v>
      </c>
      <c r="CL654" s="47">
        <f t="shared" si="2075"/>
        <v>-1000</v>
      </c>
      <c r="CM654" s="47">
        <f t="shared" si="2075"/>
        <v>-1000</v>
      </c>
      <c r="CN654" s="47">
        <f t="shared" si="2075"/>
        <v>-1000</v>
      </c>
      <c r="CO654" s="47">
        <f t="shared" si="2075"/>
        <v>-1000</v>
      </c>
      <c r="CP654" s="47">
        <f t="shared" si="2075"/>
        <v>-1000</v>
      </c>
      <c r="CQ654" s="47">
        <f t="shared" si="2075"/>
        <v>-1000</v>
      </c>
      <c r="CR654" s="47"/>
      <c r="CS654" s="47"/>
      <c r="CT654" s="47"/>
      <c r="CU654" s="74"/>
      <c r="CV654" s="74"/>
      <c r="CW654" s="74" t="str">
        <f>IFERROR(__xludf.DUMMYFUNCTION("IF(REGEXMATCH(UPPER(CU654), ""DALLAS""),,CU654)"),"")</f>
        <v/>
      </c>
      <c r="CX654" s="74"/>
      <c r="CY654" s="74"/>
      <c r="CZ654" s="74"/>
      <c r="DA654" s="75"/>
      <c r="DB654" s="74"/>
      <c r="DC654" s="74"/>
      <c r="DD654" s="74"/>
      <c r="DE654" s="74"/>
      <c r="DF654" s="74"/>
      <c r="DG654" s="74"/>
      <c r="DH654" s="74"/>
      <c r="DI654" s="74"/>
      <c r="DJ654" s="74"/>
      <c r="DK654" s="74"/>
      <c r="DL654" s="74"/>
      <c r="DM654" s="74"/>
      <c r="DN654" s="74"/>
      <c r="DO654" s="74"/>
      <c r="DP654" s="74"/>
      <c r="DQ654" s="74"/>
      <c r="DR654" s="74"/>
      <c r="DS654" s="74"/>
      <c r="DT654" s="74"/>
      <c r="DU654" s="74"/>
      <c r="DV654" s="74"/>
      <c r="DW654" s="74"/>
    </row>
    <row r="655">
      <c r="A655" s="41" t="s">
        <v>64</v>
      </c>
      <c r="B655" s="41" t="s">
        <v>56</v>
      </c>
      <c r="C655" s="31" t="s">
        <v>1752</v>
      </c>
      <c r="D655" s="25" t="str">
        <f>IFERROR(__xludf.DUMMYFUNCTION("SPLIT(C655,"" "")"),"Marston,")</f>
        <v>Marston,</v>
      </c>
      <c r="E655" s="40" t="str">
        <f>IFERROR(__xludf.DUMMYFUNCTION("""COMPUTED_VALUE"""),"Alando
4861")</f>
        <v>Alando
4861</v>
      </c>
      <c r="F655" s="40" t="str">
        <f>IFERROR(__xludf.DUMMYFUNCTION("""COMPUTED_VALUE"""),"Sunnyvale")</f>
        <v>Sunnyvale</v>
      </c>
      <c r="G655" s="40" t="str">
        <f>IFERROR(__xludf.DUMMYFUNCTION("""COMPUTED_VALUE"""),"Street
Dallas,")</f>
        <v>Street
Dallas,</v>
      </c>
      <c r="H655" s="40" t="str">
        <f>IFERROR(__xludf.DUMMYFUNCTION("""COMPUTED_VALUE"""),"TX")</f>
        <v>TX</v>
      </c>
      <c r="I655" s="40">
        <f>IFERROR(__xludf.DUMMYFUNCTION("""COMPUTED_VALUE"""),75214.0)</f>
        <v>75214</v>
      </c>
      <c r="J655" s="40"/>
      <c r="K655" s="40"/>
      <c r="L655" s="40"/>
      <c r="M655" s="40"/>
      <c r="N655" s="40"/>
      <c r="O655" s="40"/>
      <c r="P655" s="40"/>
      <c r="Q655" s="40"/>
      <c r="R655" s="40"/>
      <c r="S655" s="40"/>
      <c r="T655" s="40"/>
      <c r="U655" s="24" t="str">
        <f>IFERROR(__xludf.DUMMYFUNCTION("SPLIT(E655,""01234567890"")"),"Alando
")</f>
        <v>Alando
</v>
      </c>
      <c r="V655" s="24" t="str">
        <f>IFERROR(__xludf.DUMMYFUNCTION("SPLIT(D655,"","")"),"Marston")</f>
        <v>Marston</v>
      </c>
      <c r="W655" s="25" t="str">
        <f t="shared" si="1"/>
        <v>ALANDO
 MARSTON</v>
      </c>
      <c r="X655" s="25" t="s">
        <v>1753</v>
      </c>
      <c r="Y655" s="25">
        <v>75214.0</v>
      </c>
      <c r="Z655" s="25" t="str">
        <f>IFERROR(__xludf.DUMMYFUNCTION("SPLIT(C655,""
"")"),"Marston, Alando")</f>
        <v>Marston, Alando</v>
      </c>
      <c r="AA655" s="25" t="str">
        <f>IFERROR(__xludf.DUMMYFUNCTION("""COMPUTED_VALUE"""),"4861 Sunnyvale Street")</f>
        <v>4861 Sunnyvale Street</v>
      </c>
      <c r="AB655" s="25" t="str">
        <f>IFERROR(__xludf.DUMMYFUNCTION("""COMPUTED_VALUE"""),"Dallas, TX 75214")</f>
        <v>Dallas, TX 75214</v>
      </c>
      <c r="AC655" s="24" t="s">
        <v>1754</v>
      </c>
      <c r="AD655" s="25"/>
      <c r="AE655" s="25"/>
      <c r="AF655" s="25"/>
      <c r="AG655" s="40" t="s">
        <v>60</v>
      </c>
      <c r="AH655" s="42">
        <v>2458.0</v>
      </c>
      <c r="AI655" s="40" t="s">
        <v>61</v>
      </c>
      <c r="AJ655" s="27">
        <v>2000.0</v>
      </c>
      <c r="AK655" s="31" t="s">
        <v>36</v>
      </c>
      <c r="AL655" s="43">
        <v>44666.0</v>
      </c>
      <c r="AM655" s="44">
        <v>44757.50438657407</v>
      </c>
      <c r="AN655" s="30">
        <v>2.0</v>
      </c>
      <c r="AO655" s="40"/>
      <c r="AP655" s="40"/>
      <c r="AQ655" s="40"/>
      <c r="AR655" s="40"/>
      <c r="AS655" s="40"/>
      <c r="AT655" s="47"/>
      <c r="AU655" s="40"/>
      <c r="AV655" s="46" t="str">
        <f>IFERROR(__xludf.DUMMYFUNCTION("""COMPUTED_VALUE"""),"Deitchman")</f>
        <v>Deitchman</v>
      </c>
      <c r="AW655" s="46">
        <f t="shared" si="7"/>
        <v>4000</v>
      </c>
      <c r="AX655" s="47">
        <f t="shared" ref="AX655:BQ655" si="2076">SUMIFS($AJ:$AJ,$V:$V,$AV655,$AK:$AK,AX$2)</f>
        <v>0</v>
      </c>
      <c r="AY655" s="48">
        <f t="shared" si="2076"/>
        <v>0</v>
      </c>
      <c r="AZ655" s="48">
        <f t="shared" si="2076"/>
        <v>0</v>
      </c>
      <c r="BA655" s="48">
        <f t="shared" si="2076"/>
        <v>0</v>
      </c>
      <c r="BB655" s="48">
        <f t="shared" si="2076"/>
        <v>0</v>
      </c>
      <c r="BC655" s="48">
        <f t="shared" si="2076"/>
        <v>0</v>
      </c>
      <c r="BD655" s="48">
        <f t="shared" si="2076"/>
        <v>0</v>
      </c>
      <c r="BE655" s="48">
        <f t="shared" si="2076"/>
        <v>4000</v>
      </c>
      <c r="BF655" s="48">
        <f t="shared" si="2076"/>
        <v>0</v>
      </c>
      <c r="BG655" s="48">
        <f t="shared" si="2076"/>
        <v>0</v>
      </c>
      <c r="BH655" s="48">
        <f t="shared" si="2076"/>
        <v>0</v>
      </c>
      <c r="BI655" s="48">
        <f t="shared" si="2076"/>
        <v>0</v>
      </c>
      <c r="BJ655" s="48">
        <f t="shared" si="2076"/>
        <v>0</v>
      </c>
      <c r="BK655" s="48">
        <f t="shared" si="2076"/>
        <v>0</v>
      </c>
      <c r="BL655" s="48">
        <f t="shared" si="2076"/>
        <v>0</v>
      </c>
      <c r="BM655" s="48">
        <f t="shared" si="2076"/>
        <v>0</v>
      </c>
      <c r="BN655" s="48">
        <f t="shared" si="2076"/>
        <v>0</v>
      </c>
      <c r="BO655" s="48">
        <f t="shared" si="2076"/>
        <v>0</v>
      </c>
      <c r="BP655" s="48">
        <f t="shared" si="2076"/>
        <v>0</v>
      </c>
      <c r="BQ655" s="48">
        <f t="shared" si="2076"/>
        <v>0</v>
      </c>
      <c r="BR655" s="36">
        <f t="shared" si="9"/>
        <v>0</v>
      </c>
      <c r="BS655" s="38">
        <f t="shared" si="10"/>
        <v>1</v>
      </c>
      <c r="BT655" s="49">
        <f t="shared" si="11"/>
        <v>0</v>
      </c>
      <c r="BU655" s="38">
        <f t="shared" si="12"/>
        <v>1000</v>
      </c>
      <c r="BV655" s="46" t="str">
        <f>IFERROR(__xludf.DUMMYFUNCTION("""COMPUTED_VALUE"""),"Deitchman")</f>
        <v>Deitchman</v>
      </c>
      <c r="BW655" s="46">
        <f t="shared" si="13"/>
        <v>4000</v>
      </c>
      <c r="BX655" s="47">
        <f t="shared" ref="BX655:CA655" si="2077">AX655-$BU655</f>
        <v>-1000</v>
      </c>
      <c r="BY655" s="47">
        <f t="shared" si="2077"/>
        <v>-1000</v>
      </c>
      <c r="BZ655" s="47">
        <f t="shared" si="2077"/>
        <v>-1000</v>
      </c>
      <c r="CA655" s="47">
        <f t="shared" si="2077"/>
        <v>-1000</v>
      </c>
      <c r="CB655" s="47">
        <f t="shared" si="15"/>
        <v>-10000</v>
      </c>
      <c r="CC655" s="47">
        <f t="shared" ref="CC655:CQ655" si="2078">BC655-$BU655</f>
        <v>-1000</v>
      </c>
      <c r="CD655" s="47">
        <f t="shared" si="2078"/>
        <v>-1000</v>
      </c>
      <c r="CE655" s="47">
        <f t="shared" si="2078"/>
        <v>3000</v>
      </c>
      <c r="CF655" s="47">
        <f t="shared" si="2078"/>
        <v>-1000</v>
      </c>
      <c r="CG655" s="47">
        <f t="shared" si="2078"/>
        <v>-1000</v>
      </c>
      <c r="CH655" s="47">
        <f t="shared" si="2078"/>
        <v>-1000</v>
      </c>
      <c r="CI655" s="47">
        <f t="shared" si="2078"/>
        <v>-1000</v>
      </c>
      <c r="CJ655" s="47">
        <f t="shared" si="2078"/>
        <v>-1000</v>
      </c>
      <c r="CK655" s="47">
        <f t="shared" si="2078"/>
        <v>-1000</v>
      </c>
      <c r="CL655" s="47">
        <f t="shared" si="2078"/>
        <v>-1000</v>
      </c>
      <c r="CM655" s="47">
        <f t="shared" si="2078"/>
        <v>-1000</v>
      </c>
      <c r="CN655" s="47">
        <f t="shared" si="2078"/>
        <v>-1000</v>
      </c>
      <c r="CO655" s="47">
        <f t="shared" si="2078"/>
        <v>-1000</v>
      </c>
      <c r="CP655" s="47">
        <f t="shared" si="2078"/>
        <v>-1000</v>
      </c>
      <c r="CQ655" s="47">
        <f t="shared" si="2078"/>
        <v>-1000</v>
      </c>
      <c r="CR655" s="47"/>
      <c r="CS655" s="47"/>
      <c r="CT655" s="47"/>
      <c r="CU655" s="74"/>
      <c r="CV655" s="74"/>
      <c r="CW655" s="74" t="str">
        <f>IFERROR(__xludf.DUMMYFUNCTION("IF(REGEXMATCH(UPPER(CU655), ""DALLAS""),,CU655)"),"")</f>
        <v/>
      </c>
      <c r="CX655" s="74"/>
      <c r="CY655" s="74"/>
      <c r="CZ655" s="74"/>
      <c r="DA655" s="75"/>
      <c r="DB655" s="74"/>
      <c r="DC655" s="74"/>
      <c r="DD655" s="74"/>
      <c r="DE655" s="74"/>
      <c r="DF655" s="74"/>
      <c r="DG655" s="74"/>
      <c r="DH655" s="74"/>
      <c r="DI655" s="74"/>
      <c r="DJ655" s="74"/>
      <c r="DK655" s="74"/>
      <c r="DL655" s="74"/>
      <c r="DM655" s="74"/>
      <c r="DN655" s="74"/>
      <c r="DO655" s="74"/>
      <c r="DP655" s="74"/>
      <c r="DQ655" s="74"/>
      <c r="DR655" s="74"/>
      <c r="DS655" s="74"/>
      <c r="DT655" s="74"/>
      <c r="DU655" s="74"/>
      <c r="DV655" s="74"/>
      <c r="DW655" s="74"/>
    </row>
    <row r="656">
      <c r="A656" s="23" t="s">
        <v>64</v>
      </c>
      <c r="B656" s="23" t="s">
        <v>56</v>
      </c>
      <c r="C656" s="31" t="s">
        <v>1752</v>
      </c>
      <c r="D656" s="25" t="str">
        <f>IFERROR(__xludf.DUMMYFUNCTION("SPLIT(C656,"" "")"),"Marston,")</f>
        <v>Marston,</v>
      </c>
      <c r="E656" s="22" t="str">
        <f>IFERROR(__xludf.DUMMYFUNCTION("""COMPUTED_VALUE"""),"Alando
4861")</f>
        <v>Alando
4861</v>
      </c>
      <c r="F656" s="22" t="str">
        <f>IFERROR(__xludf.DUMMYFUNCTION("""COMPUTED_VALUE"""),"Sunnyvale")</f>
        <v>Sunnyvale</v>
      </c>
      <c r="G656" s="22" t="str">
        <f>IFERROR(__xludf.DUMMYFUNCTION("""COMPUTED_VALUE"""),"Street
Dallas,")</f>
        <v>Street
Dallas,</v>
      </c>
      <c r="H656" s="22" t="str">
        <f>IFERROR(__xludf.DUMMYFUNCTION("""COMPUTED_VALUE"""),"TX")</f>
        <v>TX</v>
      </c>
      <c r="I656" s="22">
        <f>IFERROR(__xludf.DUMMYFUNCTION("""COMPUTED_VALUE"""),75214.0)</f>
        <v>75214</v>
      </c>
      <c r="J656" s="22"/>
      <c r="K656" s="22"/>
      <c r="L656" s="22"/>
      <c r="M656" s="22"/>
      <c r="N656" s="22"/>
      <c r="O656" s="22"/>
      <c r="P656" s="22"/>
      <c r="Q656" s="22"/>
      <c r="R656" s="22"/>
      <c r="S656" s="22"/>
      <c r="T656" s="22"/>
      <c r="U656" s="24" t="str">
        <f>IFERROR(__xludf.DUMMYFUNCTION("SPLIT(E656,""01234567890"")"),"Alando
")</f>
        <v>Alando
</v>
      </c>
      <c r="V656" s="24" t="str">
        <f>IFERROR(__xludf.DUMMYFUNCTION("SPLIT(D656,"","")"),"Marston")</f>
        <v>Marston</v>
      </c>
      <c r="W656" s="25" t="str">
        <f t="shared" si="1"/>
        <v>ALANDO
 MARSTON</v>
      </c>
      <c r="X656" s="25" t="s">
        <v>1753</v>
      </c>
      <c r="Y656" s="25">
        <v>75214.0</v>
      </c>
      <c r="Z656" s="25" t="str">
        <f>IFERROR(__xludf.DUMMYFUNCTION("SPLIT(C656,""
"")"),"Marston, Alando")</f>
        <v>Marston, Alando</v>
      </c>
      <c r="AA656" s="25" t="str">
        <f>IFERROR(__xludf.DUMMYFUNCTION("""COMPUTED_VALUE"""),"4861 Sunnyvale Street")</f>
        <v>4861 Sunnyvale Street</v>
      </c>
      <c r="AB656" s="25" t="str">
        <f>IFERROR(__xludf.DUMMYFUNCTION("""COMPUTED_VALUE"""),"Dallas, TX 75214")</f>
        <v>Dallas, TX 75214</v>
      </c>
      <c r="AC656" s="24" t="s">
        <v>1754</v>
      </c>
      <c r="AD656" s="25"/>
      <c r="AE656" s="25"/>
      <c r="AF656" s="25"/>
      <c r="AG656" s="22" t="s">
        <v>60</v>
      </c>
      <c r="AH656" s="54">
        <v>2458.0</v>
      </c>
      <c r="AI656" s="22" t="s">
        <v>61</v>
      </c>
      <c r="AJ656" s="27">
        <v>2000.0</v>
      </c>
      <c r="AK656" s="31" t="s">
        <v>36</v>
      </c>
      <c r="AL656" s="28">
        <v>44666.0</v>
      </c>
      <c r="AM656" s="29">
        <v>44757.50438657407</v>
      </c>
      <c r="AN656" s="30">
        <v>2.0</v>
      </c>
      <c r="AO656" s="22"/>
      <c r="AP656" s="22"/>
      <c r="AQ656" s="22"/>
      <c r="AR656" s="22"/>
      <c r="AS656" s="22"/>
      <c r="AT656" s="70"/>
      <c r="AU656" s="22"/>
      <c r="AV656" s="57" t="str">
        <f>IFERROR(__xludf.DUMMYFUNCTION("""COMPUTED_VALUE"""),"Goad")</f>
        <v>Goad</v>
      </c>
      <c r="AW656" s="46">
        <f t="shared" si="7"/>
        <v>2000</v>
      </c>
      <c r="AX656" s="47">
        <f t="shared" ref="AX656:BQ656" si="2079">SUMIFS($AJ:$AJ,$V:$V,$AV656,$AK:$AK,AX$2)</f>
        <v>0</v>
      </c>
      <c r="AY656" s="48">
        <f t="shared" si="2079"/>
        <v>0</v>
      </c>
      <c r="AZ656" s="48">
        <f t="shared" si="2079"/>
        <v>0</v>
      </c>
      <c r="BA656" s="48">
        <f t="shared" si="2079"/>
        <v>0</v>
      </c>
      <c r="BB656" s="48">
        <f t="shared" si="2079"/>
        <v>0</v>
      </c>
      <c r="BC656" s="48">
        <f t="shared" si="2079"/>
        <v>0</v>
      </c>
      <c r="BD656" s="48">
        <f t="shared" si="2079"/>
        <v>0</v>
      </c>
      <c r="BE656" s="48">
        <f t="shared" si="2079"/>
        <v>2000</v>
      </c>
      <c r="BF656" s="48">
        <f t="shared" si="2079"/>
        <v>0</v>
      </c>
      <c r="BG656" s="48">
        <f t="shared" si="2079"/>
        <v>0</v>
      </c>
      <c r="BH656" s="48">
        <f t="shared" si="2079"/>
        <v>0</v>
      </c>
      <c r="BI656" s="48">
        <f t="shared" si="2079"/>
        <v>0</v>
      </c>
      <c r="BJ656" s="48">
        <f t="shared" si="2079"/>
        <v>0</v>
      </c>
      <c r="BK656" s="48">
        <f t="shared" si="2079"/>
        <v>0</v>
      </c>
      <c r="BL656" s="48">
        <f t="shared" si="2079"/>
        <v>0</v>
      </c>
      <c r="BM656" s="48">
        <f t="shared" si="2079"/>
        <v>0</v>
      </c>
      <c r="BN656" s="48">
        <f t="shared" si="2079"/>
        <v>0</v>
      </c>
      <c r="BO656" s="48">
        <f t="shared" si="2079"/>
        <v>0</v>
      </c>
      <c r="BP656" s="48">
        <f t="shared" si="2079"/>
        <v>0</v>
      </c>
      <c r="BQ656" s="48">
        <f t="shared" si="2079"/>
        <v>0</v>
      </c>
      <c r="BR656" s="36">
        <f t="shared" si="9"/>
        <v>0</v>
      </c>
      <c r="BS656" s="38">
        <f t="shared" si="10"/>
        <v>1</v>
      </c>
      <c r="BT656" s="49">
        <f t="shared" si="11"/>
        <v>0</v>
      </c>
      <c r="BU656" s="38">
        <f t="shared" si="12"/>
        <v>1000</v>
      </c>
      <c r="BV656" s="57" t="str">
        <f>IFERROR(__xludf.DUMMYFUNCTION("""COMPUTED_VALUE"""),"Goad")</f>
        <v>Goad</v>
      </c>
      <c r="BW656" s="46">
        <f t="shared" si="13"/>
        <v>2000</v>
      </c>
      <c r="BX656" s="47">
        <f t="shared" ref="BX656:CA656" si="2080">AX656-$BU656</f>
        <v>-1000</v>
      </c>
      <c r="BY656" s="47">
        <f t="shared" si="2080"/>
        <v>-1000</v>
      </c>
      <c r="BZ656" s="47">
        <f t="shared" si="2080"/>
        <v>-1000</v>
      </c>
      <c r="CA656" s="47">
        <f t="shared" si="2080"/>
        <v>-1000</v>
      </c>
      <c r="CB656" s="47">
        <f t="shared" si="15"/>
        <v>-10000</v>
      </c>
      <c r="CC656" s="47">
        <f t="shared" ref="CC656:CQ656" si="2081">BC656-$BU656</f>
        <v>-1000</v>
      </c>
      <c r="CD656" s="47">
        <f t="shared" si="2081"/>
        <v>-1000</v>
      </c>
      <c r="CE656" s="47">
        <f t="shared" si="2081"/>
        <v>1000</v>
      </c>
      <c r="CF656" s="47">
        <f t="shared" si="2081"/>
        <v>-1000</v>
      </c>
      <c r="CG656" s="47">
        <f t="shared" si="2081"/>
        <v>-1000</v>
      </c>
      <c r="CH656" s="47">
        <f t="shared" si="2081"/>
        <v>-1000</v>
      </c>
      <c r="CI656" s="47">
        <f t="shared" si="2081"/>
        <v>-1000</v>
      </c>
      <c r="CJ656" s="47">
        <f t="shared" si="2081"/>
        <v>-1000</v>
      </c>
      <c r="CK656" s="47">
        <f t="shared" si="2081"/>
        <v>-1000</v>
      </c>
      <c r="CL656" s="47">
        <f t="shared" si="2081"/>
        <v>-1000</v>
      </c>
      <c r="CM656" s="47">
        <f t="shared" si="2081"/>
        <v>-1000</v>
      </c>
      <c r="CN656" s="47">
        <f t="shared" si="2081"/>
        <v>-1000</v>
      </c>
      <c r="CO656" s="47">
        <f t="shared" si="2081"/>
        <v>-1000</v>
      </c>
      <c r="CP656" s="47">
        <f t="shared" si="2081"/>
        <v>-1000</v>
      </c>
      <c r="CQ656" s="47">
        <f t="shared" si="2081"/>
        <v>-1000</v>
      </c>
      <c r="CR656" s="47"/>
      <c r="CS656" s="47"/>
      <c r="CT656" s="47"/>
      <c r="CU656" s="74"/>
      <c r="CV656" s="74"/>
      <c r="CW656" s="74" t="str">
        <f>IFERROR(__xludf.DUMMYFUNCTION("IF(REGEXMATCH(UPPER(CU656), ""DALLAS""),,CU656)"),"")</f>
        <v/>
      </c>
      <c r="CX656" s="74"/>
      <c r="CY656" s="74"/>
      <c r="CZ656" s="74"/>
      <c r="DA656" s="75"/>
      <c r="DB656" s="74"/>
      <c r="DC656" s="74"/>
      <c r="DD656" s="74"/>
      <c r="DE656" s="74"/>
      <c r="DF656" s="74"/>
      <c r="DG656" s="74"/>
      <c r="DH656" s="74"/>
      <c r="DI656" s="74"/>
      <c r="DJ656" s="74"/>
      <c r="DK656" s="74"/>
      <c r="DL656" s="74"/>
      <c r="DM656" s="74"/>
      <c r="DN656" s="74"/>
      <c r="DO656" s="74"/>
      <c r="DP656" s="74"/>
      <c r="DQ656" s="74"/>
      <c r="DR656" s="74"/>
      <c r="DS656" s="74"/>
      <c r="DT656" s="74"/>
      <c r="DU656" s="74"/>
      <c r="DV656" s="74"/>
      <c r="DW656" s="74"/>
    </row>
    <row r="657">
      <c r="A657" s="41" t="s">
        <v>64</v>
      </c>
      <c r="B657" s="41" t="s">
        <v>56</v>
      </c>
      <c r="C657" s="31" t="s">
        <v>1752</v>
      </c>
      <c r="D657" s="25" t="str">
        <f>IFERROR(__xludf.DUMMYFUNCTION("SPLIT(C657,"" "")"),"Marston,")</f>
        <v>Marston,</v>
      </c>
      <c r="E657" s="40" t="str">
        <f>IFERROR(__xludf.DUMMYFUNCTION("""COMPUTED_VALUE"""),"Alando
4861")</f>
        <v>Alando
4861</v>
      </c>
      <c r="F657" s="40" t="str">
        <f>IFERROR(__xludf.DUMMYFUNCTION("""COMPUTED_VALUE"""),"Sunnyvale")</f>
        <v>Sunnyvale</v>
      </c>
      <c r="G657" s="40" t="str">
        <f>IFERROR(__xludf.DUMMYFUNCTION("""COMPUTED_VALUE"""),"Street
Dallas,")</f>
        <v>Street
Dallas,</v>
      </c>
      <c r="H657" s="40" t="str">
        <f>IFERROR(__xludf.DUMMYFUNCTION("""COMPUTED_VALUE"""),"TX")</f>
        <v>TX</v>
      </c>
      <c r="I657" s="40">
        <f>IFERROR(__xludf.DUMMYFUNCTION("""COMPUTED_VALUE"""),75214.0)</f>
        <v>75214</v>
      </c>
      <c r="J657" s="40"/>
      <c r="K657" s="40"/>
      <c r="L657" s="40"/>
      <c r="M657" s="40"/>
      <c r="N657" s="40"/>
      <c r="O657" s="40"/>
      <c r="P657" s="40"/>
      <c r="Q657" s="40"/>
      <c r="R657" s="40"/>
      <c r="S657" s="40"/>
      <c r="T657" s="40"/>
      <c r="U657" s="24" t="str">
        <f>IFERROR(__xludf.DUMMYFUNCTION("SPLIT(E657,""01234567890"")"),"Alando
")</f>
        <v>Alando
</v>
      </c>
      <c r="V657" s="24" t="str">
        <f>IFERROR(__xludf.DUMMYFUNCTION("SPLIT(D657,"","")"),"Marston")</f>
        <v>Marston</v>
      </c>
      <c r="W657" s="25" t="str">
        <f t="shared" si="1"/>
        <v>ALANDO
 MARSTON</v>
      </c>
      <c r="X657" s="25" t="s">
        <v>1753</v>
      </c>
      <c r="Y657" s="25">
        <v>75214.0</v>
      </c>
      <c r="Z657" s="25" t="str">
        <f>IFERROR(__xludf.DUMMYFUNCTION("SPLIT(C657,""
"")"),"Marston, Alando")</f>
        <v>Marston, Alando</v>
      </c>
      <c r="AA657" s="25" t="str">
        <f>IFERROR(__xludf.DUMMYFUNCTION("""COMPUTED_VALUE"""),"4861 Sunnyvale Street")</f>
        <v>4861 Sunnyvale Street</v>
      </c>
      <c r="AB657" s="25" t="str">
        <f>IFERROR(__xludf.DUMMYFUNCTION("""COMPUTED_VALUE"""),"Dallas, TX 75214")</f>
        <v>Dallas, TX 75214</v>
      </c>
      <c r="AC657" s="24" t="s">
        <v>1754</v>
      </c>
      <c r="AD657" s="25"/>
      <c r="AE657" s="25"/>
      <c r="AF657" s="25"/>
      <c r="AG657" s="40" t="s">
        <v>60</v>
      </c>
      <c r="AH657" s="42">
        <v>2458.0</v>
      </c>
      <c r="AI657" s="40" t="s">
        <v>61</v>
      </c>
      <c r="AJ657" s="27">
        <v>2000.0</v>
      </c>
      <c r="AK657" s="31" t="s">
        <v>36</v>
      </c>
      <c r="AL657" s="43">
        <v>44666.0</v>
      </c>
      <c r="AM657" s="44">
        <v>44757.50438657407</v>
      </c>
      <c r="AN657" s="30">
        <v>2.0</v>
      </c>
      <c r="AO657" s="40"/>
      <c r="AP657" s="40"/>
      <c r="AQ657" s="40"/>
      <c r="AR657" s="40"/>
      <c r="AS657" s="40"/>
      <c r="AT657" s="47"/>
      <c r="AU657" s="40"/>
      <c r="AV657" s="46" t="str">
        <f>IFERROR(__xludf.DUMMYFUNCTION("""COMPUTED_VALUE"""),"Cohen")</f>
        <v>Cohen</v>
      </c>
      <c r="AW657" s="46">
        <f t="shared" si="7"/>
        <v>450</v>
      </c>
      <c r="AX657" s="47">
        <f t="shared" ref="AX657:BQ657" si="2082">SUMIFS($AJ:$AJ,$V:$V,$AV657,$AK:$AK,AX$2)</f>
        <v>0</v>
      </c>
      <c r="AY657" s="48">
        <f t="shared" si="2082"/>
        <v>0</v>
      </c>
      <c r="AZ657" s="48">
        <f t="shared" si="2082"/>
        <v>0</v>
      </c>
      <c r="BA657" s="48">
        <f t="shared" si="2082"/>
        <v>0</v>
      </c>
      <c r="BB657" s="48">
        <f t="shared" si="2082"/>
        <v>0</v>
      </c>
      <c r="BC657" s="48">
        <f t="shared" si="2082"/>
        <v>0</v>
      </c>
      <c r="BD657" s="48">
        <f t="shared" si="2082"/>
        <v>0</v>
      </c>
      <c r="BE657" s="48">
        <f t="shared" si="2082"/>
        <v>0</v>
      </c>
      <c r="BF657" s="48">
        <f t="shared" si="2082"/>
        <v>0</v>
      </c>
      <c r="BG657" s="48">
        <f t="shared" si="2082"/>
        <v>0</v>
      </c>
      <c r="BH657" s="48">
        <f t="shared" si="2082"/>
        <v>450</v>
      </c>
      <c r="BI657" s="48">
        <f t="shared" si="2082"/>
        <v>0</v>
      </c>
      <c r="BJ657" s="48">
        <f t="shared" si="2082"/>
        <v>0</v>
      </c>
      <c r="BK657" s="48">
        <f t="shared" si="2082"/>
        <v>0</v>
      </c>
      <c r="BL657" s="48">
        <f t="shared" si="2082"/>
        <v>0</v>
      </c>
      <c r="BM657" s="48">
        <f t="shared" si="2082"/>
        <v>0</v>
      </c>
      <c r="BN657" s="48">
        <f t="shared" si="2082"/>
        <v>0</v>
      </c>
      <c r="BO657" s="48">
        <f t="shared" si="2082"/>
        <v>0</v>
      </c>
      <c r="BP657" s="48">
        <f t="shared" si="2082"/>
        <v>0</v>
      </c>
      <c r="BQ657" s="48">
        <f t="shared" si="2082"/>
        <v>0</v>
      </c>
      <c r="BR657" s="36">
        <f t="shared" si="9"/>
        <v>1</v>
      </c>
      <c r="BS657" s="38">
        <f t="shared" si="10"/>
        <v>3</v>
      </c>
      <c r="BT657" s="49">
        <f t="shared" si="11"/>
        <v>0</v>
      </c>
      <c r="BU657" s="38">
        <f t="shared" si="12"/>
        <v>3000</v>
      </c>
      <c r="BV657" s="46" t="str">
        <f>IFERROR(__xludf.DUMMYFUNCTION("""COMPUTED_VALUE"""),"Cohen")</f>
        <v>Cohen</v>
      </c>
      <c r="BW657" s="46">
        <f t="shared" si="13"/>
        <v>450</v>
      </c>
      <c r="BX657" s="47">
        <f t="shared" ref="BX657:CA657" si="2083">AX657-$BU657</f>
        <v>-3000</v>
      </c>
      <c r="BY657" s="47">
        <f t="shared" si="2083"/>
        <v>-3000</v>
      </c>
      <c r="BZ657" s="47">
        <f t="shared" si="2083"/>
        <v>-3000</v>
      </c>
      <c r="CA657" s="47">
        <f t="shared" si="2083"/>
        <v>-3000</v>
      </c>
      <c r="CB657" s="47">
        <f t="shared" si="15"/>
        <v>-30000</v>
      </c>
      <c r="CC657" s="47">
        <f t="shared" ref="CC657:CQ657" si="2084">BC657-$BU657</f>
        <v>-3000</v>
      </c>
      <c r="CD657" s="47">
        <f t="shared" si="2084"/>
        <v>-3000</v>
      </c>
      <c r="CE657" s="47">
        <f t="shared" si="2084"/>
        <v>-3000</v>
      </c>
      <c r="CF657" s="47">
        <f t="shared" si="2084"/>
        <v>-3000</v>
      </c>
      <c r="CG657" s="47">
        <f t="shared" si="2084"/>
        <v>-3000</v>
      </c>
      <c r="CH657" s="47">
        <f t="shared" si="2084"/>
        <v>-2550</v>
      </c>
      <c r="CI657" s="47">
        <f t="shared" si="2084"/>
        <v>-3000</v>
      </c>
      <c r="CJ657" s="47">
        <f t="shared" si="2084"/>
        <v>-3000</v>
      </c>
      <c r="CK657" s="47">
        <f t="shared" si="2084"/>
        <v>-3000</v>
      </c>
      <c r="CL657" s="47">
        <f t="shared" si="2084"/>
        <v>-3000</v>
      </c>
      <c r="CM657" s="47">
        <f t="shared" si="2084"/>
        <v>-3000</v>
      </c>
      <c r="CN657" s="47">
        <f t="shared" si="2084"/>
        <v>-3000</v>
      </c>
      <c r="CO657" s="47">
        <f t="shared" si="2084"/>
        <v>-3000</v>
      </c>
      <c r="CP657" s="47">
        <f t="shared" si="2084"/>
        <v>-3000</v>
      </c>
      <c r="CQ657" s="47">
        <f t="shared" si="2084"/>
        <v>-3000</v>
      </c>
      <c r="CR657" s="47"/>
      <c r="CS657" s="47"/>
      <c r="CT657" s="47"/>
      <c r="CU657" s="74"/>
      <c r="CV657" s="74"/>
      <c r="CW657" s="74" t="str">
        <f>IFERROR(__xludf.DUMMYFUNCTION("IF(REGEXMATCH(UPPER(CU657), ""DALLAS""),,CU657)"),"")</f>
        <v/>
      </c>
      <c r="CX657" s="74"/>
      <c r="CY657" s="74"/>
      <c r="CZ657" s="74"/>
      <c r="DA657" s="75"/>
      <c r="DB657" s="74"/>
      <c r="DC657" s="74"/>
      <c r="DD657" s="74"/>
      <c r="DE657" s="74"/>
      <c r="DF657" s="74"/>
      <c r="DG657" s="74"/>
      <c r="DH657" s="74"/>
      <c r="DI657" s="74"/>
      <c r="DJ657" s="74"/>
      <c r="DK657" s="74"/>
      <c r="DL657" s="74"/>
      <c r="DM657" s="74"/>
      <c r="DN657" s="74"/>
      <c r="DO657" s="74"/>
      <c r="DP657" s="74"/>
      <c r="DQ657" s="74"/>
      <c r="DR657" s="74"/>
      <c r="DS657" s="74"/>
      <c r="DT657" s="74"/>
      <c r="DU657" s="74"/>
      <c r="DV657" s="74"/>
      <c r="DW657" s="74"/>
    </row>
    <row r="658">
      <c r="A658" s="22" t="s">
        <v>55</v>
      </c>
      <c r="B658" s="23" t="s">
        <v>56</v>
      </c>
      <c r="C658" s="31" t="s">
        <v>1354</v>
      </c>
      <c r="D658" s="25" t="str">
        <f>IFERROR(__xludf.DUMMYFUNCTION("SPLIT(C658,"" "")"),"Offutt,")</f>
        <v>Offutt,</v>
      </c>
      <c r="E658" s="22" t="str">
        <f>IFERROR(__xludf.DUMMYFUNCTION("""COMPUTED_VALUE"""),"Larry
6038")</f>
        <v>Larry
6038</v>
      </c>
      <c r="F658" s="22" t="str">
        <f>IFERROR(__xludf.DUMMYFUNCTION("""COMPUTED_VALUE"""),"Bryan")</f>
        <v>Bryan</v>
      </c>
      <c r="G658" s="22" t="str">
        <f>IFERROR(__xludf.DUMMYFUNCTION("""COMPUTED_VALUE"""),"Pkwy
Dallas,")</f>
        <v>Pkwy
Dallas,</v>
      </c>
      <c r="H658" s="22" t="str">
        <f>IFERROR(__xludf.DUMMYFUNCTION("""COMPUTED_VALUE"""),"TX")</f>
        <v>TX</v>
      </c>
      <c r="I658" s="22">
        <f>IFERROR(__xludf.DUMMYFUNCTION("""COMPUTED_VALUE"""),75206.0)</f>
        <v>75206</v>
      </c>
      <c r="J658" s="22"/>
      <c r="K658" s="22"/>
      <c r="L658" s="22"/>
      <c r="M658" s="22"/>
      <c r="N658" s="22"/>
      <c r="O658" s="22"/>
      <c r="P658" s="22"/>
      <c r="Q658" s="22"/>
      <c r="R658" s="22"/>
      <c r="S658" s="22"/>
      <c r="T658" s="22"/>
      <c r="U658" s="24" t="str">
        <f>IFERROR(__xludf.DUMMYFUNCTION("SPLIT(E658,""01234567890"")"),"Larry
")</f>
        <v>Larry
</v>
      </c>
      <c r="V658" s="24" t="str">
        <f>IFERROR(__xludf.DUMMYFUNCTION("SPLIT(D658,"","")"),"Offutt")</f>
        <v>Offutt</v>
      </c>
      <c r="W658" s="25" t="str">
        <f t="shared" si="1"/>
        <v>LARRY
 OFFUTT</v>
      </c>
      <c r="X658" s="25" t="s">
        <v>1355</v>
      </c>
      <c r="Y658" s="25">
        <v>75206.0</v>
      </c>
      <c r="Z658" s="25" t="str">
        <f>IFERROR(__xludf.DUMMYFUNCTION("SPLIT(C658,""
"")"),"Offutt, Larry")</f>
        <v>Offutt, Larry</v>
      </c>
      <c r="AA658" s="25" t="str">
        <f>IFERROR(__xludf.DUMMYFUNCTION("""COMPUTED_VALUE"""),"6038 Bryan Pkwy")</f>
        <v>6038 Bryan Pkwy</v>
      </c>
      <c r="AB658" s="25" t="str">
        <f>IFERROR(__xludf.DUMMYFUNCTION("""COMPUTED_VALUE"""),"Dallas, TX 75206")</f>
        <v>Dallas, TX 75206</v>
      </c>
      <c r="AC658" s="24" t="s">
        <v>1356</v>
      </c>
      <c r="AD658" s="25"/>
      <c r="AE658" s="25"/>
      <c r="AF658" s="25"/>
      <c r="AG658" s="22" t="s">
        <v>60</v>
      </c>
      <c r="AH658" s="54">
        <v>2462.0</v>
      </c>
      <c r="AI658" s="22" t="s">
        <v>61</v>
      </c>
      <c r="AJ658" s="27">
        <v>300.0</v>
      </c>
      <c r="AK658" s="31" t="s">
        <v>33</v>
      </c>
      <c r="AL658" s="28">
        <v>44740.0</v>
      </c>
      <c r="AM658" s="29">
        <v>44757.60134259259</v>
      </c>
      <c r="AN658" s="30">
        <v>2.0</v>
      </c>
      <c r="AO658" s="22"/>
      <c r="AP658" s="22"/>
      <c r="AQ658" s="22"/>
      <c r="AR658" s="22"/>
      <c r="AS658" s="22"/>
      <c r="AT658" s="70"/>
      <c r="AU658" s="22"/>
      <c r="AV658" s="57" t="str">
        <f>IFERROR(__xludf.DUMMYFUNCTION("""COMPUTED_VALUE"""),"Clore")</f>
        <v>Clore</v>
      </c>
      <c r="AW658" s="46">
        <f t="shared" si="7"/>
        <v>100</v>
      </c>
      <c r="AX658" s="47">
        <f t="shared" ref="AX658:BQ658" si="2085">SUMIFS($AJ:$AJ,$V:$V,$AV658,$AK:$AK,AX$2)</f>
        <v>0</v>
      </c>
      <c r="AY658" s="48">
        <f t="shared" si="2085"/>
        <v>0</v>
      </c>
      <c r="AZ658" s="48">
        <f t="shared" si="2085"/>
        <v>0</v>
      </c>
      <c r="BA658" s="48">
        <f t="shared" si="2085"/>
        <v>0</v>
      </c>
      <c r="BB658" s="48">
        <f t="shared" si="2085"/>
        <v>0</v>
      </c>
      <c r="BC658" s="48">
        <f t="shared" si="2085"/>
        <v>0</v>
      </c>
      <c r="BD658" s="48">
        <f t="shared" si="2085"/>
        <v>0</v>
      </c>
      <c r="BE658" s="48">
        <f t="shared" si="2085"/>
        <v>0</v>
      </c>
      <c r="BF658" s="48">
        <f t="shared" si="2085"/>
        <v>0</v>
      </c>
      <c r="BG658" s="48">
        <f t="shared" si="2085"/>
        <v>0</v>
      </c>
      <c r="BH658" s="48">
        <f t="shared" si="2085"/>
        <v>100</v>
      </c>
      <c r="BI658" s="48">
        <f t="shared" si="2085"/>
        <v>0</v>
      </c>
      <c r="BJ658" s="48">
        <f t="shared" si="2085"/>
        <v>0</v>
      </c>
      <c r="BK658" s="48">
        <f t="shared" si="2085"/>
        <v>0</v>
      </c>
      <c r="BL658" s="48">
        <f t="shared" si="2085"/>
        <v>0</v>
      </c>
      <c r="BM658" s="48">
        <f t="shared" si="2085"/>
        <v>0</v>
      </c>
      <c r="BN658" s="48">
        <f t="shared" si="2085"/>
        <v>0</v>
      </c>
      <c r="BO658" s="48">
        <f t="shared" si="2085"/>
        <v>0</v>
      </c>
      <c r="BP658" s="48">
        <f t="shared" si="2085"/>
        <v>0</v>
      </c>
      <c r="BQ658" s="48">
        <f t="shared" si="2085"/>
        <v>0</v>
      </c>
      <c r="BR658" s="36">
        <f t="shared" si="9"/>
        <v>0</v>
      </c>
      <c r="BS658" s="38">
        <f t="shared" si="10"/>
        <v>1</v>
      </c>
      <c r="BT658" s="49">
        <f t="shared" si="11"/>
        <v>0</v>
      </c>
      <c r="BU658" s="38">
        <f t="shared" si="12"/>
        <v>1000</v>
      </c>
      <c r="BV658" s="57" t="str">
        <f>IFERROR(__xludf.DUMMYFUNCTION("""COMPUTED_VALUE"""),"Clore")</f>
        <v>Clore</v>
      </c>
      <c r="BW658" s="46">
        <f t="shared" si="13"/>
        <v>100</v>
      </c>
      <c r="BX658" s="47">
        <f t="shared" ref="BX658:CA658" si="2086">AX658-$BU658</f>
        <v>-1000</v>
      </c>
      <c r="BY658" s="47">
        <f t="shared" si="2086"/>
        <v>-1000</v>
      </c>
      <c r="BZ658" s="47">
        <f t="shared" si="2086"/>
        <v>-1000</v>
      </c>
      <c r="CA658" s="47">
        <f t="shared" si="2086"/>
        <v>-1000</v>
      </c>
      <c r="CB658" s="47">
        <f t="shared" si="15"/>
        <v>-10000</v>
      </c>
      <c r="CC658" s="47">
        <f t="shared" ref="CC658:CQ658" si="2087">BC658-$BU658</f>
        <v>-1000</v>
      </c>
      <c r="CD658" s="47">
        <f t="shared" si="2087"/>
        <v>-1000</v>
      </c>
      <c r="CE658" s="47">
        <f t="shared" si="2087"/>
        <v>-1000</v>
      </c>
      <c r="CF658" s="47">
        <f t="shared" si="2087"/>
        <v>-1000</v>
      </c>
      <c r="CG658" s="47">
        <f t="shared" si="2087"/>
        <v>-1000</v>
      </c>
      <c r="CH658" s="47">
        <f t="shared" si="2087"/>
        <v>-900</v>
      </c>
      <c r="CI658" s="47">
        <f t="shared" si="2087"/>
        <v>-1000</v>
      </c>
      <c r="CJ658" s="47">
        <f t="shared" si="2087"/>
        <v>-1000</v>
      </c>
      <c r="CK658" s="47">
        <f t="shared" si="2087"/>
        <v>-1000</v>
      </c>
      <c r="CL658" s="47">
        <f t="shared" si="2087"/>
        <v>-1000</v>
      </c>
      <c r="CM658" s="47">
        <f t="shared" si="2087"/>
        <v>-1000</v>
      </c>
      <c r="CN658" s="47">
        <f t="shared" si="2087"/>
        <v>-1000</v>
      </c>
      <c r="CO658" s="47">
        <f t="shared" si="2087"/>
        <v>-1000</v>
      </c>
      <c r="CP658" s="47">
        <f t="shared" si="2087"/>
        <v>-1000</v>
      </c>
      <c r="CQ658" s="47">
        <f t="shared" si="2087"/>
        <v>-1000</v>
      </c>
      <c r="CR658" s="47"/>
      <c r="CS658" s="47"/>
      <c r="CT658" s="47"/>
      <c r="CU658" s="74"/>
      <c r="CV658" s="74"/>
      <c r="CW658" s="74" t="str">
        <f>IFERROR(__xludf.DUMMYFUNCTION("IF(REGEXMATCH(UPPER(CU658), ""DALLAS""),,CU658)"),"")</f>
        <v/>
      </c>
      <c r="CX658" s="74"/>
      <c r="CY658" s="74"/>
      <c r="CZ658" s="74"/>
      <c r="DA658" s="75"/>
      <c r="DB658" s="74"/>
      <c r="DC658" s="74"/>
      <c r="DD658" s="74"/>
      <c r="DE658" s="74"/>
      <c r="DF658" s="74"/>
      <c r="DG658" s="74"/>
      <c r="DH658" s="74"/>
      <c r="DI658" s="74"/>
      <c r="DJ658" s="74"/>
      <c r="DK658" s="74"/>
      <c r="DL658" s="74"/>
      <c r="DM658" s="74"/>
      <c r="DN658" s="74"/>
      <c r="DO658" s="74"/>
      <c r="DP658" s="74"/>
      <c r="DQ658" s="74"/>
      <c r="DR658" s="74"/>
      <c r="DS658" s="74"/>
      <c r="DT658" s="74"/>
      <c r="DU658" s="74"/>
      <c r="DV658" s="74"/>
      <c r="DW658" s="74"/>
    </row>
    <row r="659">
      <c r="A659" s="41" t="s">
        <v>64</v>
      </c>
      <c r="B659" s="41" t="s">
        <v>56</v>
      </c>
      <c r="C659" s="31" t="s">
        <v>1755</v>
      </c>
      <c r="D659" s="25" t="str">
        <f>IFERROR(__xludf.DUMMYFUNCTION("SPLIT(C659,"" "")"),"Ramos,")</f>
        <v>Ramos,</v>
      </c>
      <c r="E659" s="40" t="str">
        <f>IFERROR(__xludf.DUMMYFUNCTION("""COMPUTED_VALUE"""),"Steven
1234")</f>
        <v>Steven
1234</v>
      </c>
      <c r="F659" s="40" t="str">
        <f>IFERROR(__xludf.DUMMYFUNCTION("""COMPUTED_VALUE"""),"n/a
Dallas,")</f>
        <v>n/a
Dallas,</v>
      </c>
      <c r="G659" s="40" t="str">
        <f>IFERROR(__xludf.DUMMYFUNCTION("""COMPUTED_VALUE"""),"TX")</f>
        <v>TX</v>
      </c>
      <c r="H659" s="40">
        <f>IFERROR(__xludf.DUMMYFUNCTION("""COMPUTED_VALUE"""),12345.0)</f>
        <v>12345</v>
      </c>
      <c r="I659" s="40"/>
      <c r="J659" s="40"/>
      <c r="K659" s="40"/>
      <c r="L659" s="40"/>
      <c r="M659" s="40"/>
      <c r="N659" s="40"/>
      <c r="O659" s="40"/>
      <c r="P659" s="40"/>
      <c r="Q659" s="40"/>
      <c r="R659" s="40"/>
      <c r="S659" s="40"/>
      <c r="T659" s="40"/>
      <c r="U659" s="24" t="str">
        <f>IFERROR(__xludf.DUMMYFUNCTION("SPLIT(E659,""01234567890"")"),"Steven
")</f>
        <v>Steven
</v>
      </c>
      <c r="V659" s="24" t="str">
        <f>IFERROR(__xludf.DUMMYFUNCTION("SPLIT(D659,"","")"),"Ramos")</f>
        <v>Ramos</v>
      </c>
      <c r="W659" s="25" t="str">
        <f t="shared" si="1"/>
        <v>STEVEN
 RAMOS</v>
      </c>
      <c r="X659" s="25" t="s">
        <v>1756</v>
      </c>
      <c r="Y659" s="25" t="s">
        <v>1757</v>
      </c>
      <c r="Z659" s="25" t="str">
        <f>IFERROR(__xludf.DUMMYFUNCTION("SPLIT(C659,""
"")"),"Ramos, Steven")</f>
        <v>Ramos, Steven</v>
      </c>
      <c r="AA659" s="25" t="str">
        <f>IFERROR(__xludf.DUMMYFUNCTION("""COMPUTED_VALUE"""),"1234 n/a")</f>
        <v>1234 n/a</v>
      </c>
      <c r="AB659" s="25" t="str">
        <f>IFERROR(__xludf.DUMMYFUNCTION("""COMPUTED_VALUE"""),"Dallas, TX 12345")</f>
        <v>Dallas, TX 12345</v>
      </c>
      <c r="AC659" s="24" t="s">
        <v>1470</v>
      </c>
      <c r="AD659" s="25"/>
      <c r="AE659" s="25"/>
      <c r="AF659" s="25"/>
      <c r="AG659" s="40" t="s">
        <v>60</v>
      </c>
      <c r="AH659" s="42">
        <v>2462.0</v>
      </c>
      <c r="AI659" s="40" t="s">
        <v>61</v>
      </c>
      <c r="AJ659" s="27">
        <v>100.0</v>
      </c>
      <c r="AK659" s="31" t="s">
        <v>33</v>
      </c>
      <c r="AL659" s="43">
        <v>44741.0</v>
      </c>
      <c r="AM659" s="44">
        <v>44757.60134259259</v>
      </c>
      <c r="AN659" s="30">
        <v>2.0</v>
      </c>
      <c r="AO659" s="40"/>
      <c r="AP659" s="40"/>
      <c r="AQ659" s="40"/>
      <c r="AR659" s="40"/>
      <c r="AS659" s="40"/>
      <c r="AT659" s="47"/>
      <c r="AU659" s="40"/>
      <c r="AV659" s="46" t="str">
        <f>IFERROR(__xludf.DUMMYFUNCTION("""COMPUTED_VALUE"""),"Whitman")</f>
        <v>Whitman</v>
      </c>
      <c r="AW659" s="46">
        <f t="shared" si="7"/>
        <v>500</v>
      </c>
      <c r="AX659" s="47">
        <f t="shared" ref="AX659:BQ659" si="2088">SUMIFS($AJ:$AJ,$V:$V,$AV659,$AK:$AK,AX$2)</f>
        <v>0</v>
      </c>
      <c r="AY659" s="48">
        <f t="shared" si="2088"/>
        <v>0</v>
      </c>
      <c r="AZ659" s="48">
        <f t="shared" si="2088"/>
        <v>0</v>
      </c>
      <c r="BA659" s="48">
        <f t="shared" si="2088"/>
        <v>0</v>
      </c>
      <c r="BB659" s="48">
        <f t="shared" si="2088"/>
        <v>0</v>
      </c>
      <c r="BC659" s="48">
        <f t="shared" si="2088"/>
        <v>0</v>
      </c>
      <c r="BD659" s="48">
        <f t="shared" si="2088"/>
        <v>0</v>
      </c>
      <c r="BE659" s="48">
        <f t="shared" si="2088"/>
        <v>0</v>
      </c>
      <c r="BF659" s="48">
        <f t="shared" si="2088"/>
        <v>0</v>
      </c>
      <c r="BG659" s="48">
        <f t="shared" si="2088"/>
        <v>0</v>
      </c>
      <c r="BH659" s="48">
        <f t="shared" si="2088"/>
        <v>500</v>
      </c>
      <c r="BI659" s="48">
        <f t="shared" si="2088"/>
        <v>0</v>
      </c>
      <c r="BJ659" s="48">
        <f t="shared" si="2088"/>
        <v>0</v>
      </c>
      <c r="BK659" s="48">
        <f t="shared" si="2088"/>
        <v>0</v>
      </c>
      <c r="BL659" s="48">
        <f t="shared" si="2088"/>
        <v>0</v>
      </c>
      <c r="BM659" s="48">
        <f t="shared" si="2088"/>
        <v>0</v>
      </c>
      <c r="BN659" s="48">
        <f t="shared" si="2088"/>
        <v>0</v>
      </c>
      <c r="BO659" s="48">
        <f t="shared" si="2088"/>
        <v>0</v>
      </c>
      <c r="BP659" s="48">
        <f t="shared" si="2088"/>
        <v>0</v>
      </c>
      <c r="BQ659" s="48">
        <f t="shared" si="2088"/>
        <v>0</v>
      </c>
      <c r="BR659" s="36">
        <f t="shared" si="9"/>
        <v>0</v>
      </c>
      <c r="BS659" s="38">
        <f t="shared" si="10"/>
        <v>1</v>
      </c>
      <c r="BT659" s="49">
        <f t="shared" si="11"/>
        <v>0</v>
      </c>
      <c r="BU659" s="38">
        <f t="shared" si="12"/>
        <v>1000</v>
      </c>
      <c r="BV659" s="46" t="str">
        <f>IFERROR(__xludf.DUMMYFUNCTION("""COMPUTED_VALUE"""),"Whitman")</f>
        <v>Whitman</v>
      </c>
      <c r="BW659" s="46">
        <f t="shared" si="13"/>
        <v>500</v>
      </c>
      <c r="BX659" s="47">
        <f t="shared" ref="BX659:CA659" si="2089">AX659-$BU659</f>
        <v>-1000</v>
      </c>
      <c r="BY659" s="47">
        <f t="shared" si="2089"/>
        <v>-1000</v>
      </c>
      <c r="BZ659" s="47">
        <f t="shared" si="2089"/>
        <v>-1000</v>
      </c>
      <c r="CA659" s="47">
        <f t="shared" si="2089"/>
        <v>-1000</v>
      </c>
      <c r="CB659" s="47">
        <f t="shared" si="15"/>
        <v>-10000</v>
      </c>
      <c r="CC659" s="47">
        <f t="shared" ref="CC659:CQ659" si="2090">BC659-$BU659</f>
        <v>-1000</v>
      </c>
      <c r="CD659" s="47">
        <f t="shared" si="2090"/>
        <v>-1000</v>
      </c>
      <c r="CE659" s="47">
        <f t="shared" si="2090"/>
        <v>-1000</v>
      </c>
      <c r="CF659" s="47">
        <f t="shared" si="2090"/>
        <v>-1000</v>
      </c>
      <c r="CG659" s="47">
        <f t="shared" si="2090"/>
        <v>-1000</v>
      </c>
      <c r="CH659" s="47">
        <f t="shared" si="2090"/>
        <v>-500</v>
      </c>
      <c r="CI659" s="47">
        <f t="shared" si="2090"/>
        <v>-1000</v>
      </c>
      <c r="CJ659" s="47">
        <f t="shared" si="2090"/>
        <v>-1000</v>
      </c>
      <c r="CK659" s="47">
        <f t="shared" si="2090"/>
        <v>-1000</v>
      </c>
      <c r="CL659" s="47">
        <f t="shared" si="2090"/>
        <v>-1000</v>
      </c>
      <c r="CM659" s="47">
        <f t="shared" si="2090"/>
        <v>-1000</v>
      </c>
      <c r="CN659" s="47">
        <f t="shared" si="2090"/>
        <v>-1000</v>
      </c>
      <c r="CO659" s="47">
        <f t="shared" si="2090"/>
        <v>-1000</v>
      </c>
      <c r="CP659" s="47">
        <f t="shared" si="2090"/>
        <v>-1000</v>
      </c>
      <c r="CQ659" s="47">
        <f t="shared" si="2090"/>
        <v>-1000</v>
      </c>
      <c r="CR659" s="47"/>
      <c r="CS659" s="47"/>
      <c r="CT659" s="47"/>
      <c r="CU659" s="74"/>
      <c r="CV659" s="74"/>
      <c r="CW659" s="74" t="str">
        <f>IFERROR(__xludf.DUMMYFUNCTION("IF(REGEXMATCH(UPPER(CU659), ""DALLAS""),,CU659)"),"")</f>
        <v/>
      </c>
      <c r="CX659" s="74"/>
      <c r="CY659" s="74"/>
      <c r="CZ659" s="74"/>
      <c r="DA659" s="75"/>
      <c r="DB659" s="74"/>
      <c r="DC659" s="74"/>
      <c r="DD659" s="74"/>
      <c r="DE659" s="74"/>
      <c r="DF659" s="74"/>
      <c r="DG659" s="74"/>
      <c r="DH659" s="74"/>
      <c r="DI659" s="74"/>
      <c r="DJ659" s="74"/>
      <c r="DK659" s="74"/>
      <c r="DL659" s="74"/>
      <c r="DM659" s="74"/>
      <c r="DN659" s="74"/>
      <c r="DO659" s="74"/>
      <c r="DP659" s="74"/>
      <c r="DQ659" s="74"/>
      <c r="DR659" s="74"/>
      <c r="DS659" s="74"/>
      <c r="DT659" s="74"/>
      <c r="DU659" s="74"/>
      <c r="DV659" s="74"/>
      <c r="DW659" s="74"/>
    </row>
    <row r="660">
      <c r="A660" s="22" t="s">
        <v>55</v>
      </c>
      <c r="B660" s="23" t="s">
        <v>56</v>
      </c>
      <c r="C660" s="31" t="s">
        <v>1758</v>
      </c>
      <c r="D660" s="25" t="str">
        <f>IFERROR(__xludf.DUMMYFUNCTION("SPLIT(C660,"" "")"),"Offutt,")</f>
        <v>Offutt,</v>
      </c>
      <c r="E660" s="22" t="str">
        <f>IFERROR(__xludf.DUMMYFUNCTION("""COMPUTED_VALUE"""),"Larry
6038")</f>
        <v>Larry
6038</v>
      </c>
      <c r="F660" s="22" t="str">
        <f>IFERROR(__xludf.DUMMYFUNCTION("""COMPUTED_VALUE"""),"
Dallas,")</f>
        <v>
Dallas,</v>
      </c>
      <c r="G660" s="22" t="str">
        <f>IFERROR(__xludf.DUMMYFUNCTION("""COMPUTED_VALUE"""),"TX")</f>
        <v>TX</v>
      </c>
      <c r="H660" s="22">
        <f>IFERROR(__xludf.DUMMYFUNCTION("""COMPUTED_VALUE"""),75206.0)</f>
        <v>75206</v>
      </c>
      <c r="I660" s="22"/>
      <c r="J660" s="22"/>
      <c r="K660" s="22"/>
      <c r="L660" s="22"/>
      <c r="M660" s="22"/>
      <c r="N660" s="22"/>
      <c r="O660" s="22"/>
      <c r="P660" s="22"/>
      <c r="Q660" s="22"/>
      <c r="R660" s="22"/>
      <c r="S660" s="22"/>
      <c r="T660" s="22"/>
      <c r="U660" s="24" t="str">
        <f>IFERROR(__xludf.DUMMYFUNCTION("SPLIT(E660,""01234567890"")"),"Larry
")</f>
        <v>Larry
</v>
      </c>
      <c r="V660" s="24" t="str">
        <f>IFERROR(__xludf.DUMMYFUNCTION("SPLIT(D660,"","")"),"Offutt")</f>
        <v>Offutt</v>
      </c>
      <c r="W660" s="25" t="str">
        <f t="shared" si="1"/>
        <v>LARRY
 OFFUTT</v>
      </c>
      <c r="X660" s="25" t="s">
        <v>1759</v>
      </c>
      <c r="Y660" s="25">
        <v>75206.0</v>
      </c>
      <c r="Z660" s="25" t="str">
        <f>IFERROR(__xludf.DUMMYFUNCTION("SPLIT(C660,""
"")"),"Offutt, Larry")</f>
        <v>Offutt, Larry</v>
      </c>
      <c r="AA660" s="25">
        <f>IFERROR(__xludf.DUMMYFUNCTION("""COMPUTED_VALUE"""),6038.0)</f>
        <v>6038</v>
      </c>
      <c r="AB660" s="25" t="str">
        <f>IFERROR(__xludf.DUMMYFUNCTION("""COMPUTED_VALUE"""),"Dallas, TX 75206")</f>
        <v>Dallas, TX 75206</v>
      </c>
      <c r="AC660" s="24" t="s">
        <v>1356</v>
      </c>
      <c r="AD660" s="25"/>
      <c r="AE660" s="25"/>
      <c r="AF660" s="25"/>
      <c r="AG660" s="22" t="s">
        <v>60</v>
      </c>
      <c r="AH660" s="54">
        <v>2466.0</v>
      </c>
      <c r="AI660" s="22" t="s">
        <v>61</v>
      </c>
      <c r="AJ660" s="27">
        <v>100.0</v>
      </c>
      <c r="AK660" s="31" t="s">
        <v>23</v>
      </c>
      <c r="AL660" s="28">
        <v>44733.0</v>
      </c>
      <c r="AM660" s="29">
        <v>44757.69987268518</v>
      </c>
      <c r="AN660" s="30">
        <v>2.0</v>
      </c>
      <c r="AO660" s="22"/>
      <c r="AP660" s="22"/>
      <c r="AQ660" s="22"/>
      <c r="AR660" s="22"/>
      <c r="AS660" s="22"/>
      <c r="AT660" s="70"/>
      <c r="AU660" s="22"/>
      <c r="AV660" s="57" t="str">
        <f>IFERROR(__xludf.DUMMYFUNCTION("""COMPUTED_VALUE"""),"Frauman")</f>
        <v>Frauman</v>
      </c>
      <c r="AW660" s="46">
        <f t="shared" si="7"/>
        <v>50</v>
      </c>
      <c r="AX660" s="47">
        <f t="shared" ref="AX660:BQ660" si="2091">SUMIFS($AJ:$AJ,$V:$V,$AV660,$AK:$AK,AX$2)</f>
        <v>0</v>
      </c>
      <c r="AY660" s="48">
        <f t="shared" si="2091"/>
        <v>0</v>
      </c>
      <c r="AZ660" s="48">
        <f t="shared" si="2091"/>
        <v>0</v>
      </c>
      <c r="BA660" s="48">
        <f t="shared" si="2091"/>
        <v>0</v>
      </c>
      <c r="BB660" s="48">
        <f t="shared" si="2091"/>
        <v>0</v>
      </c>
      <c r="BC660" s="48">
        <f t="shared" si="2091"/>
        <v>0</v>
      </c>
      <c r="BD660" s="48">
        <f t="shared" si="2091"/>
        <v>0</v>
      </c>
      <c r="BE660" s="48">
        <f t="shared" si="2091"/>
        <v>0</v>
      </c>
      <c r="BF660" s="48">
        <f t="shared" si="2091"/>
        <v>0</v>
      </c>
      <c r="BG660" s="48">
        <f t="shared" si="2091"/>
        <v>0</v>
      </c>
      <c r="BH660" s="48">
        <f t="shared" si="2091"/>
        <v>50</v>
      </c>
      <c r="BI660" s="48">
        <f t="shared" si="2091"/>
        <v>0</v>
      </c>
      <c r="BJ660" s="48">
        <f t="shared" si="2091"/>
        <v>0</v>
      </c>
      <c r="BK660" s="48">
        <f t="shared" si="2091"/>
        <v>0</v>
      </c>
      <c r="BL660" s="48">
        <f t="shared" si="2091"/>
        <v>0</v>
      </c>
      <c r="BM660" s="48">
        <f t="shared" si="2091"/>
        <v>0</v>
      </c>
      <c r="BN660" s="48">
        <f t="shared" si="2091"/>
        <v>0</v>
      </c>
      <c r="BO660" s="48">
        <f t="shared" si="2091"/>
        <v>0</v>
      </c>
      <c r="BP660" s="48">
        <f t="shared" si="2091"/>
        <v>0</v>
      </c>
      <c r="BQ660" s="48">
        <f t="shared" si="2091"/>
        <v>0</v>
      </c>
      <c r="BR660" s="36">
        <f t="shared" si="9"/>
        <v>0</v>
      </c>
      <c r="BS660" s="38">
        <f t="shared" si="10"/>
        <v>1</v>
      </c>
      <c r="BT660" s="49">
        <f t="shared" si="11"/>
        <v>0</v>
      </c>
      <c r="BU660" s="38">
        <f t="shared" si="12"/>
        <v>1000</v>
      </c>
      <c r="BV660" s="57" t="str">
        <f>IFERROR(__xludf.DUMMYFUNCTION("""COMPUTED_VALUE"""),"Frauman")</f>
        <v>Frauman</v>
      </c>
      <c r="BW660" s="46">
        <f t="shared" si="13"/>
        <v>50</v>
      </c>
      <c r="BX660" s="47">
        <f t="shared" ref="BX660:CA660" si="2092">AX660-$BU660</f>
        <v>-1000</v>
      </c>
      <c r="BY660" s="47">
        <f t="shared" si="2092"/>
        <v>-1000</v>
      </c>
      <c r="BZ660" s="47">
        <f t="shared" si="2092"/>
        <v>-1000</v>
      </c>
      <c r="CA660" s="47">
        <f t="shared" si="2092"/>
        <v>-1000</v>
      </c>
      <c r="CB660" s="47">
        <f t="shared" si="15"/>
        <v>-10000</v>
      </c>
      <c r="CC660" s="47">
        <f t="shared" ref="CC660:CQ660" si="2093">BC660-$BU660</f>
        <v>-1000</v>
      </c>
      <c r="CD660" s="47">
        <f t="shared" si="2093"/>
        <v>-1000</v>
      </c>
      <c r="CE660" s="47">
        <f t="shared" si="2093"/>
        <v>-1000</v>
      </c>
      <c r="CF660" s="47">
        <f t="shared" si="2093"/>
        <v>-1000</v>
      </c>
      <c r="CG660" s="47">
        <f t="shared" si="2093"/>
        <v>-1000</v>
      </c>
      <c r="CH660" s="47">
        <f t="shared" si="2093"/>
        <v>-950</v>
      </c>
      <c r="CI660" s="47">
        <f t="shared" si="2093"/>
        <v>-1000</v>
      </c>
      <c r="CJ660" s="47">
        <f t="shared" si="2093"/>
        <v>-1000</v>
      </c>
      <c r="CK660" s="47">
        <f t="shared" si="2093"/>
        <v>-1000</v>
      </c>
      <c r="CL660" s="47">
        <f t="shared" si="2093"/>
        <v>-1000</v>
      </c>
      <c r="CM660" s="47">
        <f t="shared" si="2093"/>
        <v>-1000</v>
      </c>
      <c r="CN660" s="47">
        <f t="shared" si="2093"/>
        <v>-1000</v>
      </c>
      <c r="CO660" s="47">
        <f t="shared" si="2093"/>
        <v>-1000</v>
      </c>
      <c r="CP660" s="47">
        <f t="shared" si="2093"/>
        <v>-1000</v>
      </c>
      <c r="CQ660" s="47">
        <f t="shared" si="2093"/>
        <v>-1000</v>
      </c>
      <c r="CR660" s="47"/>
      <c r="CS660" s="47"/>
      <c r="CT660" s="47"/>
      <c r="CU660" s="74"/>
      <c r="CV660" s="74"/>
      <c r="CW660" s="74" t="str">
        <f>IFERROR(__xludf.DUMMYFUNCTION("IF(REGEXMATCH(UPPER(CU660), ""DALLAS""),,CU660)"),"")</f>
        <v/>
      </c>
      <c r="CX660" s="74"/>
      <c r="CY660" s="74"/>
      <c r="CZ660" s="74"/>
      <c r="DA660" s="75"/>
      <c r="DB660" s="74"/>
      <c r="DC660" s="74"/>
      <c r="DD660" s="74"/>
      <c r="DE660" s="74"/>
      <c r="DF660" s="74"/>
      <c r="DG660" s="74"/>
      <c r="DH660" s="74"/>
      <c r="DI660" s="74"/>
      <c r="DJ660" s="74"/>
      <c r="DK660" s="74"/>
      <c r="DL660" s="74"/>
      <c r="DM660" s="74"/>
      <c r="DN660" s="74"/>
      <c r="DO660" s="74"/>
      <c r="DP660" s="74"/>
      <c r="DQ660" s="74"/>
      <c r="DR660" s="74"/>
      <c r="DS660" s="74"/>
      <c r="DT660" s="74"/>
      <c r="DU660" s="74"/>
      <c r="DV660" s="74"/>
      <c r="DW660" s="74"/>
    </row>
    <row r="661">
      <c r="A661" s="41" t="s">
        <v>64</v>
      </c>
      <c r="B661" s="41" t="s">
        <v>56</v>
      </c>
      <c r="C661" s="31" t="s">
        <v>1760</v>
      </c>
      <c r="D661" s="25" t="str">
        <f>IFERROR(__xludf.DUMMYFUNCTION("SPLIT(C661,"" "")"),"Schenkel,")</f>
        <v>Schenkel,</v>
      </c>
      <c r="E661" s="40" t="str">
        <f>IFERROR(__xludf.DUMMYFUNCTION("""COMPUTED_VALUE"""),"Pete
4231")</f>
        <v>Pete
4231</v>
      </c>
      <c r="F661" s="40" t="str">
        <f>IFERROR(__xludf.DUMMYFUNCTION("""COMPUTED_VALUE"""),"
Dallas,")</f>
        <v>
Dallas,</v>
      </c>
      <c r="G661" s="40" t="str">
        <f>IFERROR(__xludf.DUMMYFUNCTION("""COMPUTED_VALUE"""),"TX")</f>
        <v>TX</v>
      </c>
      <c r="H661" s="40">
        <f>IFERROR(__xludf.DUMMYFUNCTION("""COMPUTED_VALUE"""),75205.0)</f>
        <v>75205</v>
      </c>
      <c r="I661" s="40"/>
      <c r="J661" s="40"/>
      <c r="K661" s="40"/>
      <c r="L661" s="40"/>
      <c r="M661" s="40"/>
      <c r="N661" s="40"/>
      <c r="O661" s="40"/>
      <c r="P661" s="40"/>
      <c r="Q661" s="40"/>
      <c r="R661" s="40"/>
      <c r="S661" s="40"/>
      <c r="T661" s="40"/>
      <c r="U661" s="24" t="str">
        <f>IFERROR(__xludf.DUMMYFUNCTION("SPLIT(E661,""01234567890"")"),"Pete
")</f>
        <v>Pete
</v>
      </c>
      <c r="V661" s="24" t="str">
        <f>IFERROR(__xludf.DUMMYFUNCTION("SPLIT(D661,"","")"),"Schenkel")</f>
        <v>Schenkel</v>
      </c>
      <c r="W661" s="25" t="str">
        <f t="shared" si="1"/>
        <v>PETE
 SCHENKEL</v>
      </c>
      <c r="X661" s="25" t="s">
        <v>1761</v>
      </c>
      <c r="Y661" s="25">
        <v>75205.0</v>
      </c>
      <c r="Z661" s="25" t="str">
        <f>IFERROR(__xludf.DUMMYFUNCTION("SPLIT(C661,""
"")"),"Schenkel, Pete")</f>
        <v>Schenkel, Pete</v>
      </c>
      <c r="AA661" s="25">
        <f>IFERROR(__xludf.DUMMYFUNCTION("""COMPUTED_VALUE"""),4231.0)</f>
        <v>4231</v>
      </c>
      <c r="AB661" s="25" t="str">
        <f>IFERROR(__xludf.DUMMYFUNCTION("""COMPUTED_VALUE"""),"Dallas, TX 75205")</f>
        <v>Dallas, TX 75205</v>
      </c>
      <c r="AC661" s="24" t="s">
        <v>1309</v>
      </c>
      <c r="AD661" s="25"/>
      <c r="AE661" s="25"/>
      <c r="AF661" s="25"/>
      <c r="AG661" s="40" t="s">
        <v>60</v>
      </c>
      <c r="AH661" s="42">
        <v>2466.0</v>
      </c>
      <c r="AI661" s="40" t="s">
        <v>61</v>
      </c>
      <c r="AJ661" s="27">
        <v>500.0</v>
      </c>
      <c r="AK661" s="31" t="s">
        <v>23</v>
      </c>
      <c r="AL661" s="43">
        <v>44742.0</v>
      </c>
      <c r="AM661" s="44">
        <v>44757.69987268518</v>
      </c>
      <c r="AN661" s="30">
        <v>2.0</v>
      </c>
      <c r="AO661" s="40"/>
      <c r="AP661" s="40"/>
      <c r="AQ661" s="40"/>
      <c r="AR661" s="40"/>
      <c r="AS661" s="40"/>
      <c r="AT661" s="47"/>
      <c r="AU661" s="40"/>
      <c r="AV661" s="46" t="str">
        <f>IFERROR(__xludf.DUMMYFUNCTION("""COMPUTED_VALUE"""),"Koslin")</f>
        <v>Koslin</v>
      </c>
      <c r="AW661" s="46">
        <f t="shared" si="7"/>
        <v>250</v>
      </c>
      <c r="AX661" s="47">
        <f t="shared" ref="AX661:BQ661" si="2094">SUMIFS($AJ:$AJ,$V:$V,$AV661,$AK:$AK,AX$2)</f>
        <v>0</v>
      </c>
      <c r="AY661" s="48">
        <f t="shared" si="2094"/>
        <v>0</v>
      </c>
      <c r="AZ661" s="48">
        <f t="shared" si="2094"/>
        <v>0</v>
      </c>
      <c r="BA661" s="48">
        <f t="shared" si="2094"/>
        <v>0</v>
      </c>
      <c r="BB661" s="48">
        <f t="shared" si="2094"/>
        <v>0</v>
      </c>
      <c r="BC661" s="48">
        <f t="shared" si="2094"/>
        <v>0</v>
      </c>
      <c r="BD661" s="48">
        <f t="shared" si="2094"/>
        <v>0</v>
      </c>
      <c r="BE661" s="48">
        <f t="shared" si="2094"/>
        <v>0</v>
      </c>
      <c r="BF661" s="48">
        <f t="shared" si="2094"/>
        <v>0</v>
      </c>
      <c r="BG661" s="48">
        <f t="shared" si="2094"/>
        <v>0</v>
      </c>
      <c r="BH661" s="48">
        <f t="shared" si="2094"/>
        <v>250</v>
      </c>
      <c r="BI661" s="48">
        <f t="shared" si="2094"/>
        <v>0</v>
      </c>
      <c r="BJ661" s="48">
        <f t="shared" si="2094"/>
        <v>0</v>
      </c>
      <c r="BK661" s="48">
        <f t="shared" si="2094"/>
        <v>0</v>
      </c>
      <c r="BL661" s="48">
        <f t="shared" si="2094"/>
        <v>0</v>
      </c>
      <c r="BM661" s="48">
        <f t="shared" si="2094"/>
        <v>0</v>
      </c>
      <c r="BN661" s="48">
        <f t="shared" si="2094"/>
        <v>0</v>
      </c>
      <c r="BO661" s="48">
        <f t="shared" si="2094"/>
        <v>0</v>
      </c>
      <c r="BP661" s="48">
        <f t="shared" si="2094"/>
        <v>0</v>
      </c>
      <c r="BQ661" s="48">
        <f t="shared" si="2094"/>
        <v>0</v>
      </c>
      <c r="BR661" s="36">
        <f t="shared" si="9"/>
        <v>0</v>
      </c>
      <c r="BS661" s="38">
        <f t="shared" si="10"/>
        <v>1</v>
      </c>
      <c r="BT661" s="49">
        <f t="shared" si="11"/>
        <v>0</v>
      </c>
      <c r="BU661" s="38">
        <f t="shared" si="12"/>
        <v>1000</v>
      </c>
      <c r="BV661" s="46" t="str">
        <f>IFERROR(__xludf.DUMMYFUNCTION("""COMPUTED_VALUE"""),"Koslin")</f>
        <v>Koslin</v>
      </c>
      <c r="BW661" s="46">
        <f t="shared" si="13"/>
        <v>250</v>
      </c>
      <c r="BX661" s="47">
        <f t="shared" ref="BX661:CA661" si="2095">AX661-$BU661</f>
        <v>-1000</v>
      </c>
      <c r="BY661" s="47">
        <f t="shared" si="2095"/>
        <v>-1000</v>
      </c>
      <c r="BZ661" s="47">
        <f t="shared" si="2095"/>
        <v>-1000</v>
      </c>
      <c r="CA661" s="47">
        <f t="shared" si="2095"/>
        <v>-1000</v>
      </c>
      <c r="CB661" s="47">
        <f t="shared" si="15"/>
        <v>-10000</v>
      </c>
      <c r="CC661" s="47">
        <f t="shared" ref="CC661:CQ661" si="2096">BC661-$BU661</f>
        <v>-1000</v>
      </c>
      <c r="CD661" s="47">
        <f t="shared" si="2096"/>
        <v>-1000</v>
      </c>
      <c r="CE661" s="47">
        <f t="shared" si="2096"/>
        <v>-1000</v>
      </c>
      <c r="CF661" s="47">
        <f t="shared" si="2096"/>
        <v>-1000</v>
      </c>
      <c r="CG661" s="47">
        <f t="shared" si="2096"/>
        <v>-1000</v>
      </c>
      <c r="CH661" s="47">
        <f t="shared" si="2096"/>
        <v>-750</v>
      </c>
      <c r="CI661" s="47">
        <f t="shared" si="2096"/>
        <v>-1000</v>
      </c>
      <c r="CJ661" s="47">
        <f t="shared" si="2096"/>
        <v>-1000</v>
      </c>
      <c r="CK661" s="47">
        <f t="shared" si="2096"/>
        <v>-1000</v>
      </c>
      <c r="CL661" s="47">
        <f t="shared" si="2096"/>
        <v>-1000</v>
      </c>
      <c r="CM661" s="47">
        <f t="shared" si="2096"/>
        <v>-1000</v>
      </c>
      <c r="CN661" s="47">
        <f t="shared" si="2096"/>
        <v>-1000</v>
      </c>
      <c r="CO661" s="47">
        <f t="shared" si="2096"/>
        <v>-1000</v>
      </c>
      <c r="CP661" s="47">
        <f t="shared" si="2096"/>
        <v>-1000</v>
      </c>
      <c r="CQ661" s="47">
        <f t="shared" si="2096"/>
        <v>-1000</v>
      </c>
      <c r="CR661" s="47"/>
      <c r="CS661" s="47"/>
      <c r="CT661" s="47"/>
      <c r="CU661" s="74"/>
      <c r="CV661" s="74"/>
      <c r="CW661" s="74" t="str">
        <f>IFERROR(__xludf.DUMMYFUNCTION("IF(REGEXMATCH(UPPER(CU661), ""DALLAS""),,CU661)"),"")</f>
        <v/>
      </c>
      <c r="CX661" s="74"/>
      <c r="CY661" s="74"/>
      <c r="CZ661" s="74"/>
      <c r="DA661" s="75"/>
      <c r="DB661" s="74"/>
      <c r="DC661" s="74"/>
      <c r="DD661" s="74"/>
      <c r="DE661" s="74"/>
      <c r="DF661" s="74"/>
      <c r="DG661" s="74"/>
      <c r="DH661" s="74"/>
      <c r="DI661" s="74"/>
      <c r="DJ661" s="74"/>
      <c r="DK661" s="74"/>
      <c r="DL661" s="74"/>
      <c r="DM661" s="74"/>
      <c r="DN661" s="74"/>
      <c r="DO661" s="74"/>
      <c r="DP661" s="74"/>
      <c r="DQ661" s="74"/>
      <c r="DR661" s="74"/>
      <c r="DS661" s="74"/>
      <c r="DT661" s="74"/>
      <c r="DU661" s="74"/>
      <c r="DV661" s="74"/>
      <c r="DW661" s="74"/>
    </row>
    <row r="662">
      <c r="A662" s="22" t="s">
        <v>55</v>
      </c>
      <c r="B662" s="23" t="s">
        <v>56</v>
      </c>
      <c r="C662" s="31" t="s">
        <v>1762</v>
      </c>
      <c r="D662" s="25" t="str">
        <f>IFERROR(__xludf.DUMMYFUNCTION("SPLIT(C662,"" "")"),"Hunt,")</f>
        <v>Hunt,</v>
      </c>
      <c r="E662" s="22" t="str">
        <f>IFERROR(__xludf.DUMMYFUNCTION("""COMPUTED_VALUE"""),"Ray
1900")</f>
        <v>Ray
1900</v>
      </c>
      <c r="F662" s="22" t="str">
        <f>IFERROR(__xludf.DUMMYFUNCTION("""COMPUTED_VALUE"""),"
Dallas,")</f>
        <v>
Dallas,</v>
      </c>
      <c r="G662" s="22" t="str">
        <f>IFERROR(__xludf.DUMMYFUNCTION("""COMPUTED_VALUE"""),"TX")</f>
        <v>TX</v>
      </c>
      <c r="H662" s="22">
        <f>IFERROR(__xludf.DUMMYFUNCTION("""COMPUTED_VALUE"""),75201.0)</f>
        <v>75201</v>
      </c>
      <c r="I662" s="22"/>
      <c r="J662" s="22"/>
      <c r="K662" s="22"/>
      <c r="L662" s="22"/>
      <c r="M662" s="22"/>
      <c r="N662" s="22"/>
      <c r="O662" s="22"/>
      <c r="P662" s="22"/>
      <c r="Q662" s="22"/>
      <c r="R662" s="22"/>
      <c r="S662" s="22"/>
      <c r="T662" s="22"/>
      <c r="U662" s="24" t="str">
        <f>IFERROR(__xludf.DUMMYFUNCTION("SPLIT(E662,""01234567890"")"),"Ray
")</f>
        <v>Ray
</v>
      </c>
      <c r="V662" s="24" t="str">
        <f>IFERROR(__xludf.DUMMYFUNCTION("SPLIT(D662,"","")"),"Hunt")</f>
        <v>Hunt</v>
      </c>
      <c r="W662" s="25" t="str">
        <f t="shared" si="1"/>
        <v>RAY
 HUNT</v>
      </c>
      <c r="X662" s="25" t="s">
        <v>1763</v>
      </c>
      <c r="Y662" s="25">
        <v>75201.0</v>
      </c>
      <c r="Z662" s="25" t="str">
        <f>IFERROR(__xludf.DUMMYFUNCTION("SPLIT(C662,""
"")"),"Hunt, Ray")</f>
        <v>Hunt, Ray</v>
      </c>
      <c r="AA662" s="25">
        <f>IFERROR(__xludf.DUMMYFUNCTION("""COMPUTED_VALUE"""),1900.0)</f>
        <v>1900</v>
      </c>
      <c r="AB662" s="25" t="str">
        <f>IFERROR(__xludf.DUMMYFUNCTION("""COMPUTED_VALUE"""),"Dallas, TX 75201")</f>
        <v>Dallas, TX 75201</v>
      </c>
      <c r="AC662" s="24" t="s">
        <v>721</v>
      </c>
      <c r="AD662" s="25"/>
      <c r="AE662" s="25"/>
      <c r="AF662" s="25"/>
      <c r="AG662" s="22" t="s">
        <v>60</v>
      </c>
      <c r="AH662" s="54">
        <v>2466.0</v>
      </c>
      <c r="AI662" s="22" t="s">
        <v>61</v>
      </c>
      <c r="AJ662" s="27">
        <v>1000.0</v>
      </c>
      <c r="AK662" s="31" t="s">
        <v>23</v>
      </c>
      <c r="AL662" s="28">
        <v>44742.0</v>
      </c>
      <c r="AM662" s="29">
        <v>44757.69987268518</v>
      </c>
      <c r="AN662" s="30">
        <v>2.0</v>
      </c>
      <c r="AO662" s="22"/>
      <c r="AP662" s="22"/>
      <c r="AQ662" s="22"/>
      <c r="AR662" s="22"/>
      <c r="AS662" s="22"/>
      <c r="AT662" s="70"/>
      <c r="AU662" s="22"/>
      <c r="AV662" s="57" t="str">
        <f>IFERROR(__xludf.DUMMYFUNCTION("""COMPUTED_VALUE"""),"Epstein")</f>
        <v>Epstein</v>
      </c>
      <c r="AW662" s="46">
        <f t="shared" si="7"/>
        <v>518</v>
      </c>
      <c r="AX662" s="47">
        <f t="shared" ref="AX662:BQ662" si="2097">SUMIFS($AJ:$AJ,$V:$V,$AV662,$AK:$AK,AX$2)</f>
        <v>0</v>
      </c>
      <c r="AY662" s="48">
        <f t="shared" si="2097"/>
        <v>0</v>
      </c>
      <c r="AZ662" s="48">
        <f t="shared" si="2097"/>
        <v>0</v>
      </c>
      <c r="BA662" s="48">
        <f t="shared" si="2097"/>
        <v>0</v>
      </c>
      <c r="BB662" s="48">
        <f t="shared" si="2097"/>
        <v>0</v>
      </c>
      <c r="BC662" s="48">
        <f t="shared" si="2097"/>
        <v>0</v>
      </c>
      <c r="BD662" s="48">
        <f t="shared" si="2097"/>
        <v>0</v>
      </c>
      <c r="BE662" s="48">
        <f t="shared" si="2097"/>
        <v>0</v>
      </c>
      <c r="BF662" s="48">
        <f t="shared" si="2097"/>
        <v>0</v>
      </c>
      <c r="BG662" s="48">
        <f t="shared" si="2097"/>
        <v>0</v>
      </c>
      <c r="BH662" s="48">
        <f t="shared" si="2097"/>
        <v>518</v>
      </c>
      <c r="BI662" s="48">
        <f t="shared" si="2097"/>
        <v>0</v>
      </c>
      <c r="BJ662" s="48">
        <f t="shared" si="2097"/>
        <v>0</v>
      </c>
      <c r="BK662" s="48">
        <f t="shared" si="2097"/>
        <v>0</v>
      </c>
      <c r="BL662" s="48">
        <f t="shared" si="2097"/>
        <v>0</v>
      </c>
      <c r="BM662" s="48">
        <f t="shared" si="2097"/>
        <v>0</v>
      </c>
      <c r="BN662" s="48">
        <f t="shared" si="2097"/>
        <v>0</v>
      </c>
      <c r="BO662" s="48">
        <f t="shared" si="2097"/>
        <v>0</v>
      </c>
      <c r="BP662" s="48">
        <f t="shared" si="2097"/>
        <v>0</v>
      </c>
      <c r="BQ662" s="48">
        <f t="shared" si="2097"/>
        <v>0</v>
      </c>
      <c r="BR662" s="36">
        <f t="shared" si="9"/>
        <v>1</v>
      </c>
      <c r="BS662" s="38">
        <f t="shared" si="10"/>
        <v>2</v>
      </c>
      <c r="BT662" s="49">
        <f t="shared" si="11"/>
        <v>0</v>
      </c>
      <c r="BU662" s="38">
        <f t="shared" si="12"/>
        <v>2000</v>
      </c>
      <c r="BV662" s="57" t="str">
        <f>IFERROR(__xludf.DUMMYFUNCTION("""COMPUTED_VALUE"""),"Epstein")</f>
        <v>Epstein</v>
      </c>
      <c r="BW662" s="46">
        <f t="shared" si="13"/>
        <v>518</v>
      </c>
      <c r="BX662" s="47">
        <f t="shared" ref="BX662:CA662" si="2098">AX662-$BU662</f>
        <v>-2000</v>
      </c>
      <c r="BY662" s="47">
        <f t="shared" si="2098"/>
        <v>-2000</v>
      </c>
      <c r="BZ662" s="47">
        <f t="shared" si="2098"/>
        <v>-2000</v>
      </c>
      <c r="CA662" s="47">
        <f t="shared" si="2098"/>
        <v>-2000</v>
      </c>
      <c r="CB662" s="47">
        <f t="shared" si="15"/>
        <v>-20000</v>
      </c>
      <c r="CC662" s="47">
        <f t="shared" ref="CC662:CQ662" si="2099">BC662-$BU662</f>
        <v>-2000</v>
      </c>
      <c r="CD662" s="47">
        <f t="shared" si="2099"/>
        <v>-2000</v>
      </c>
      <c r="CE662" s="47">
        <f t="shared" si="2099"/>
        <v>-2000</v>
      </c>
      <c r="CF662" s="47">
        <f t="shared" si="2099"/>
        <v>-2000</v>
      </c>
      <c r="CG662" s="47">
        <f t="shared" si="2099"/>
        <v>-2000</v>
      </c>
      <c r="CH662" s="47">
        <f t="shared" si="2099"/>
        <v>-1482</v>
      </c>
      <c r="CI662" s="47">
        <f t="shared" si="2099"/>
        <v>-2000</v>
      </c>
      <c r="CJ662" s="47">
        <f t="shared" si="2099"/>
        <v>-2000</v>
      </c>
      <c r="CK662" s="47">
        <f t="shared" si="2099"/>
        <v>-2000</v>
      </c>
      <c r="CL662" s="47">
        <f t="shared" si="2099"/>
        <v>-2000</v>
      </c>
      <c r="CM662" s="47">
        <f t="shared" si="2099"/>
        <v>-2000</v>
      </c>
      <c r="CN662" s="47">
        <f t="shared" si="2099"/>
        <v>-2000</v>
      </c>
      <c r="CO662" s="47">
        <f t="shared" si="2099"/>
        <v>-2000</v>
      </c>
      <c r="CP662" s="47">
        <f t="shared" si="2099"/>
        <v>-2000</v>
      </c>
      <c r="CQ662" s="47">
        <f t="shared" si="2099"/>
        <v>-2000</v>
      </c>
      <c r="CR662" s="47"/>
      <c r="CS662" s="47"/>
      <c r="CT662" s="47"/>
      <c r="CU662" s="74"/>
      <c r="CV662" s="74"/>
      <c r="CW662" s="74" t="str">
        <f>IFERROR(__xludf.DUMMYFUNCTION("IF(REGEXMATCH(UPPER(CU662), ""DALLAS""),,CU662)"),"")</f>
        <v/>
      </c>
      <c r="CX662" s="74"/>
      <c r="CY662" s="74"/>
      <c r="CZ662" s="74"/>
      <c r="DA662" s="75"/>
      <c r="DB662" s="74"/>
      <c r="DC662" s="74"/>
      <c r="DD662" s="74"/>
      <c r="DE662" s="74"/>
      <c r="DF662" s="74"/>
      <c r="DG662" s="74"/>
      <c r="DH662" s="74"/>
      <c r="DI662" s="74"/>
      <c r="DJ662" s="74"/>
      <c r="DK662" s="74"/>
      <c r="DL662" s="74"/>
      <c r="DM662" s="74"/>
      <c r="DN662" s="74"/>
      <c r="DO662" s="74"/>
      <c r="DP662" s="74"/>
      <c r="DQ662" s="74"/>
      <c r="DR662" s="74"/>
      <c r="DS662" s="74"/>
      <c r="DT662" s="74"/>
      <c r="DU662" s="74"/>
      <c r="DV662" s="74"/>
      <c r="DW662" s="74"/>
    </row>
    <row r="663">
      <c r="A663" s="41" t="s">
        <v>64</v>
      </c>
      <c r="B663" s="41" t="s">
        <v>56</v>
      </c>
      <c r="C663" s="31" t="s">
        <v>1764</v>
      </c>
      <c r="D663" s="25" t="str">
        <f>IFERROR(__xludf.DUMMYFUNCTION("SPLIT(C663,"" "")"),"Stewart,")</f>
        <v>Stewart,</v>
      </c>
      <c r="E663" s="40" t="str">
        <f>IFERROR(__xludf.DUMMYFUNCTION("""COMPUTED_VALUE"""),"Kathy
9509")</f>
        <v>Kathy
9509</v>
      </c>
      <c r="F663" s="40" t="str">
        <f>IFERROR(__xludf.DUMMYFUNCTION("""COMPUTED_VALUE"""),"Shady")</f>
        <v>Shady</v>
      </c>
      <c r="G663" s="40" t="str">
        <f>IFERROR(__xludf.DUMMYFUNCTION("""COMPUTED_VALUE"""),"Valley")</f>
        <v>Valley</v>
      </c>
      <c r="H663" s="40" t="str">
        <f>IFERROR(__xludf.DUMMYFUNCTION("""COMPUTED_VALUE"""),"Dr.
Dallas,")</f>
        <v>Dr.
Dallas,</v>
      </c>
      <c r="I663" s="40" t="str">
        <f>IFERROR(__xludf.DUMMYFUNCTION("""COMPUTED_VALUE"""),"TX")</f>
        <v>TX</v>
      </c>
      <c r="J663" s="40">
        <f>IFERROR(__xludf.DUMMYFUNCTION("""COMPUTED_VALUE"""),75238.0)</f>
        <v>75238</v>
      </c>
      <c r="K663" s="40"/>
      <c r="L663" s="40"/>
      <c r="M663" s="40"/>
      <c r="N663" s="40"/>
      <c r="O663" s="40"/>
      <c r="P663" s="40"/>
      <c r="Q663" s="40"/>
      <c r="R663" s="40"/>
      <c r="S663" s="40"/>
      <c r="T663" s="40"/>
      <c r="U663" s="24" t="str">
        <f>IFERROR(__xludf.DUMMYFUNCTION("SPLIT(E663,""01234567890"")"),"Kathy
")</f>
        <v>Kathy
</v>
      </c>
      <c r="V663" s="24" t="str">
        <f>IFERROR(__xludf.DUMMYFUNCTION("SPLIT(D663,"","")"),"Stewart")</f>
        <v>Stewart</v>
      </c>
      <c r="W663" s="25" t="str">
        <f t="shared" si="1"/>
        <v>KATHY
 STEWART</v>
      </c>
      <c r="X663" s="25" t="s">
        <v>1765</v>
      </c>
      <c r="Y663" s="25">
        <v>75238.0</v>
      </c>
      <c r="Z663" s="25" t="str">
        <f>IFERROR(__xludf.DUMMYFUNCTION("SPLIT(C663,""
"")"),"Stewart, Kathy")</f>
        <v>Stewart, Kathy</v>
      </c>
      <c r="AA663" s="25" t="str">
        <f>IFERROR(__xludf.DUMMYFUNCTION("""COMPUTED_VALUE"""),"9509 Shady Valley Dr.")</f>
        <v>9509 Shady Valley Dr.</v>
      </c>
      <c r="AB663" s="25" t="str">
        <f>IFERROR(__xludf.DUMMYFUNCTION("""COMPUTED_VALUE"""),"Dallas, TX 75238")</f>
        <v>Dallas, TX 75238</v>
      </c>
      <c r="AC663" s="24" t="s">
        <v>1766</v>
      </c>
      <c r="AD663" s="25"/>
      <c r="AE663" s="25"/>
      <c r="AF663" s="25"/>
      <c r="AG663" s="40" t="s">
        <v>60</v>
      </c>
      <c r="AH663" s="42">
        <v>2477.0</v>
      </c>
      <c r="AI663" s="40" t="s">
        <v>68</v>
      </c>
      <c r="AJ663" s="27">
        <v>500.0</v>
      </c>
      <c r="AK663" s="31" t="s">
        <v>26</v>
      </c>
      <c r="AL663" s="43">
        <v>44859.0</v>
      </c>
      <c r="AM663" s="44">
        <v>44940.42346064815</v>
      </c>
      <c r="AN663" s="30">
        <v>2.0</v>
      </c>
      <c r="AO663" s="40"/>
      <c r="AP663" s="40"/>
      <c r="AQ663" s="40"/>
      <c r="AR663" s="40"/>
      <c r="AS663" s="40"/>
      <c r="AT663" s="47"/>
      <c r="AU663" s="40"/>
      <c r="AV663" s="46" t="str">
        <f>IFERROR(__xludf.DUMMYFUNCTION("""COMPUTED_VALUE"""),"Forbes")</f>
        <v>Forbes</v>
      </c>
      <c r="AW663" s="46">
        <f t="shared" si="7"/>
        <v>500</v>
      </c>
      <c r="AX663" s="47">
        <f t="shared" ref="AX663:BQ663" si="2100">SUMIFS($AJ:$AJ,$V:$V,$AV663,$AK:$AK,AX$2)</f>
        <v>0</v>
      </c>
      <c r="AY663" s="48">
        <f t="shared" si="2100"/>
        <v>0</v>
      </c>
      <c r="AZ663" s="48">
        <f t="shared" si="2100"/>
        <v>0</v>
      </c>
      <c r="BA663" s="48">
        <f t="shared" si="2100"/>
        <v>0</v>
      </c>
      <c r="BB663" s="48">
        <f t="shared" si="2100"/>
        <v>0</v>
      </c>
      <c r="BC663" s="48">
        <f t="shared" si="2100"/>
        <v>0</v>
      </c>
      <c r="BD663" s="48">
        <f t="shared" si="2100"/>
        <v>0</v>
      </c>
      <c r="BE663" s="48">
        <f t="shared" si="2100"/>
        <v>0</v>
      </c>
      <c r="BF663" s="48">
        <f t="shared" si="2100"/>
        <v>0</v>
      </c>
      <c r="BG663" s="48">
        <f t="shared" si="2100"/>
        <v>0</v>
      </c>
      <c r="BH663" s="48">
        <f t="shared" si="2100"/>
        <v>500</v>
      </c>
      <c r="BI663" s="48">
        <f t="shared" si="2100"/>
        <v>0</v>
      </c>
      <c r="BJ663" s="48">
        <f t="shared" si="2100"/>
        <v>0</v>
      </c>
      <c r="BK663" s="48">
        <f t="shared" si="2100"/>
        <v>0</v>
      </c>
      <c r="BL663" s="48">
        <f t="shared" si="2100"/>
        <v>0</v>
      </c>
      <c r="BM663" s="48">
        <f t="shared" si="2100"/>
        <v>0</v>
      </c>
      <c r="BN663" s="48">
        <f t="shared" si="2100"/>
        <v>0</v>
      </c>
      <c r="BO663" s="48">
        <f t="shared" si="2100"/>
        <v>0</v>
      </c>
      <c r="BP663" s="48">
        <f t="shared" si="2100"/>
        <v>0</v>
      </c>
      <c r="BQ663" s="48">
        <f t="shared" si="2100"/>
        <v>0</v>
      </c>
      <c r="BR663" s="36">
        <f t="shared" si="9"/>
        <v>0</v>
      </c>
      <c r="BS663" s="38">
        <f t="shared" si="10"/>
        <v>1</v>
      </c>
      <c r="BT663" s="49">
        <f t="shared" si="11"/>
        <v>0</v>
      </c>
      <c r="BU663" s="38">
        <f t="shared" si="12"/>
        <v>1000</v>
      </c>
      <c r="BV663" s="46" t="str">
        <f>IFERROR(__xludf.DUMMYFUNCTION("""COMPUTED_VALUE"""),"Forbes")</f>
        <v>Forbes</v>
      </c>
      <c r="BW663" s="46">
        <f t="shared" si="13"/>
        <v>500</v>
      </c>
      <c r="BX663" s="47">
        <f t="shared" ref="BX663:CA663" si="2101">AX663-$BU663</f>
        <v>-1000</v>
      </c>
      <c r="BY663" s="47">
        <f t="shared" si="2101"/>
        <v>-1000</v>
      </c>
      <c r="BZ663" s="47">
        <f t="shared" si="2101"/>
        <v>-1000</v>
      </c>
      <c r="CA663" s="47">
        <f t="shared" si="2101"/>
        <v>-1000</v>
      </c>
      <c r="CB663" s="47">
        <f t="shared" si="15"/>
        <v>-10000</v>
      </c>
      <c r="CC663" s="47">
        <f t="shared" ref="CC663:CQ663" si="2102">BC663-$BU663</f>
        <v>-1000</v>
      </c>
      <c r="CD663" s="47">
        <f t="shared" si="2102"/>
        <v>-1000</v>
      </c>
      <c r="CE663" s="47">
        <f t="shared" si="2102"/>
        <v>-1000</v>
      </c>
      <c r="CF663" s="47">
        <f t="shared" si="2102"/>
        <v>-1000</v>
      </c>
      <c r="CG663" s="47">
        <f t="shared" si="2102"/>
        <v>-1000</v>
      </c>
      <c r="CH663" s="47">
        <f t="shared" si="2102"/>
        <v>-500</v>
      </c>
      <c r="CI663" s="47">
        <f t="shared" si="2102"/>
        <v>-1000</v>
      </c>
      <c r="CJ663" s="47">
        <f t="shared" si="2102"/>
        <v>-1000</v>
      </c>
      <c r="CK663" s="47">
        <f t="shared" si="2102"/>
        <v>-1000</v>
      </c>
      <c r="CL663" s="47">
        <f t="shared" si="2102"/>
        <v>-1000</v>
      </c>
      <c r="CM663" s="47">
        <f t="shared" si="2102"/>
        <v>-1000</v>
      </c>
      <c r="CN663" s="47">
        <f t="shared" si="2102"/>
        <v>-1000</v>
      </c>
      <c r="CO663" s="47">
        <f t="shared" si="2102"/>
        <v>-1000</v>
      </c>
      <c r="CP663" s="47">
        <f t="shared" si="2102"/>
        <v>-1000</v>
      </c>
      <c r="CQ663" s="47">
        <f t="shared" si="2102"/>
        <v>-1000</v>
      </c>
      <c r="CR663" s="47"/>
      <c r="CS663" s="47"/>
      <c r="CT663" s="47"/>
      <c r="CU663" s="74"/>
      <c r="CV663" s="74"/>
      <c r="CW663" s="74" t="str">
        <f>IFERROR(__xludf.DUMMYFUNCTION("IF(REGEXMATCH(UPPER(CU663), ""DALLAS""),,CU663)"),"")</f>
        <v/>
      </c>
      <c r="CX663" s="74"/>
      <c r="CY663" s="74"/>
      <c r="CZ663" s="74"/>
      <c r="DA663" s="75"/>
      <c r="DB663" s="74"/>
      <c r="DC663" s="74"/>
      <c r="DD663" s="74"/>
      <c r="DE663" s="74"/>
      <c r="DF663" s="74"/>
      <c r="DG663" s="74"/>
      <c r="DH663" s="74"/>
      <c r="DI663" s="74"/>
      <c r="DJ663" s="74"/>
      <c r="DK663" s="74"/>
      <c r="DL663" s="74"/>
      <c r="DM663" s="74"/>
      <c r="DN663" s="74"/>
      <c r="DO663" s="74"/>
      <c r="DP663" s="74"/>
      <c r="DQ663" s="74"/>
      <c r="DR663" s="74"/>
      <c r="DS663" s="74"/>
      <c r="DT663" s="74"/>
      <c r="DU663" s="74"/>
      <c r="DV663" s="74"/>
      <c r="DW663" s="74"/>
    </row>
    <row r="664">
      <c r="A664" s="23" t="s">
        <v>64</v>
      </c>
      <c r="B664" s="23" t="s">
        <v>56</v>
      </c>
      <c r="C664" s="31" t="s">
        <v>1197</v>
      </c>
      <c r="D664" s="25" t="str">
        <f>IFERROR(__xludf.DUMMYFUNCTION("SPLIT(C664,"" "")"),"Henry,")</f>
        <v>Henry,</v>
      </c>
      <c r="E664" s="22" t="str">
        <f>IFERROR(__xludf.DUMMYFUNCTION("""COMPUTED_VALUE"""),"Clayton
9322")</f>
        <v>Clayton
9322</v>
      </c>
      <c r="F664" s="22" t="str">
        <f>IFERROR(__xludf.DUMMYFUNCTION("""COMPUTED_VALUE"""),"Moss")</f>
        <v>Moss</v>
      </c>
      <c r="G664" s="22" t="str">
        <f>IFERROR(__xludf.DUMMYFUNCTION("""COMPUTED_VALUE"""),"Trail
Dallas,")</f>
        <v>Trail
Dallas,</v>
      </c>
      <c r="H664" s="22" t="str">
        <f>IFERROR(__xludf.DUMMYFUNCTION("""COMPUTED_VALUE"""),"TX")</f>
        <v>TX</v>
      </c>
      <c r="I664" s="22">
        <f>IFERROR(__xludf.DUMMYFUNCTION("""COMPUTED_VALUE"""),75231.0)</f>
        <v>75231</v>
      </c>
      <c r="J664" s="22"/>
      <c r="K664" s="22"/>
      <c r="L664" s="22"/>
      <c r="M664" s="22"/>
      <c r="N664" s="22"/>
      <c r="O664" s="22"/>
      <c r="P664" s="22"/>
      <c r="Q664" s="22"/>
      <c r="R664" s="22"/>
      <c r="S664" s="22"/>
      <c r="T664" s="22"/>
      <c r="U664" s="24" t="str">
        <f>IFERROR(__xludf.DUMMYFUNCTION("SPLIT(E664,""01234567890"")"),"Clayton
")</f>
        <v>Clayton
</v>
      </c>
      <c r="V664" s="24" t="str">
        <f>IFERROR(__xludf.DUMMYFUNCTION("SPLIT(D664,"","")"),"Henry")</f>
        <v>Henry</v>
      </c>
      <c r="W664" s="25" t="str">
        <f t="shared" si="1"/>
        <v>CLAYTON
 HENRY</v>
      </c>
      <c r="X664" s="25" t="s">
        <v>1198</v>
      </c>
      <c r="Y664" s="25">
        <v>75231.0</v>
      </c>
      <c r="Z664" s="25" t="str">
        <f>IFERROR(__xludf.DUMMYFUNCTION("SPLIT(C664,""
"")"),"Henry, Clayton")</f>
        <v>Henry, Clayton</v>
      </c>
      <c r="AA664" s="25" t="str">
        <f>IFERROR(__xludf.DUMMYFUNCTION("""COMPUTED_VALUE"""),"9322 Moss Trail")</f>
        <v>9322 Moss Trail</v>
      </c>
      <c r="AB664" s="25" t="str">
        <f>IFERROR(__xludf.DUMMYFUNCTION("""COMPUTED_VALUE"""),"Dallas, TX 75231")</f>
        <v>Dallas, TX 75231</v>
      </c>
      <c r="AC664" s="24" t="s">
        <v>1199</v>
      </c>
      <c r="AD664" s="25"/>
      <c r="AE664" s="25"/>
      <c r="AF664" s="25"/>
      <c r="AG664" s="22" t="s">
        <v>60</v>
      </c>
      <c r="AH664" s="54">
        <v>2477.0</v>
      </c>
      <c r="AI664" s="22" t="s">
        <v>68</v>
      </c>
      <c r="AJ664" s="27">
        <v>50.0</v>
      </c>
      <c r="AK664" s="31" t="s">
        <v>26</v>
      </c>
      <c r="AL664" s="28">
        <v>44866.0</v>
      </c>
      <c r="AM664" s="29">
        <v>44940.42346064815</v>
      </c>
      <c r="AN664" s="30">
        <v>2.0</v>
      </c>
      <c r="AO664" s="22"/>
      <c r="AP664" s="22"/>
      <c r="AQ664" s="22"/>
      <c r="AR664" s="22"/>
      <c r="AS664" s="22"/>
      <c r="AT664" s="70"/>
      <c r="AU664" s="22"/>
      <c r="AV664" s="57" t="str">
        <f>IFERROR(__xludf.DUMMYFUNCTION("""COMPUTED_VALUE"""),"Stack")</f>
        <v>Stack</v>
      </c>
      <c r="AW664" s="46">
        <f t="shared" si="7"/>
        <v>500</v>
      </c>
      <c r="AX664" s="47">
        <f t="shared" ref="AX664:BQ664" si="2103">SUMIFS($AJ:$AJ,$V:$V,$AV664,$AK:$AK,AX$2)</f>
        <v>0</v>
      </c>
      <c r="AY664" s="48">
        <f t="shared" si="2103"/>
        <v>0</v>
      </c>
      <c r="AZ664" s="48">
        <f t="shared" si="2103"/>
        <v>0</v>
      </c>
      <c r="BA664" s="48">
        <f t="shared" si="2103"/>
        <v>0</v>
      </c>
      <c r="BB664" s="48">
        <f t="shared" si="2103"/>
        <v>0</v>
      </c>
      <c r="BC664" s="48">
        <f t="shared" si="2103"/>
        <v>0</v>
      </c>
      <c r="BD664" s="48">
        <f t="shared" si="2103"/>
        <v>0</v>
      </c>
      <c r="BE664" s="48">
        <f t="shared" si="2103"/>
        <v>0</v>
      </c>
      <c r="BF664" s="48">
        <f t="shared" si="2103"/>
        <v>0</v>
      </c>
      <c r="BG664" s="48">
        <f t="shared" si="2103"/>
        <v>0</v>
      </c>
      <c r="BH664" s="48">
        <f t="shared" si="2103"/>
        <v>500</v>
      </c>
      <c r="BI664" s="48">
        <f t="shared" si="2103"/>
        <v>0</v>
      </c>
      <c r="BJ664" s="48">
        <f t="shared" si="2103"/>
        <v>0</v>
      </c>
      <c r="BK664" s="48">
        <f t="shared" si="2103"/>
        <v>0</v>
      </c>
      <c r="BL664" s="48">
        <f t="shared" si="2103"/>
        <v>0</v>
      </c>
      <c r="BM664" s="48">
        <f t="shared" si="2103"/>
        <v>0</v>
      </c>
      <c r="BN664" s="48">
        <f t="shared" si="2103"/>
        <v>0</v>
      </c>
      <c r="BO664" s="48">
        <f t="shared" si="2103"/>
        <v>0</v>
      </c>
      <c r="BP664" s="48">
        <f t="shared" si="2103"/>
        <v>0</v>
      </c>
      <c r="BQ664" s="48">
        <f t="shared" si="2103"/>
        <v>0</v>
      </c>
      <c r="BR664" s="36">
        <f t="shared" si="9"/>
        <v>0</v>
      </c>
      <c r="BS664" s="38">
        <f t="shared" si="10"/>
        <v>1</v>
      </c>
      <c r="BT664" s="49">
        <f t="shared" si="11"/>
        <v>0</v>
      </c>
      <c r="BU664" s="38">
        <f t="shared" si="12"/>
        <v>1000</v>
      </c>
      <c r="BV664" s="57" t="str">
        <f>IFERROR(__xludf.DUMMYFUNCTION("""COMPUTED_VALUE"""),"Stack")</f>
        <v>Stack</v>
      </c>
      <c r="BW664" s="46">
        <f t="shared" si="13"/>
        <v>500</v>
      </c>
      <c r="BX664" s="47">
        <f t="shared" ref="BX664:CA664" si="2104">AX664-$BU664</f>
        <v>-1000</v>
      </c>
      <c r="BY664" s="47">
        <f t="shared" si="2104"/>
        <v>-1000</v>
      </c>
      <c r="BZ664" s="47">
        <f t="shared" si="2104"/>
        <v>-1000</v>
      </c>
      <c r="CA664" s="47">
        <f t="shared" si="2104"/>
        <v>-1000</v>
      </c>
      <c r="CB664" s="47">
        <f t="shared" si="15"/>
        <v>-10000</v>
      </c>
      <c r="CC664" s="47">
        <f t="shared" ref="CC664:CQ664" si="2105">BC664-$BU664</f>
        <v>-1000</v>
      </c>
      <c r="CD664" s="47">
        <f t="shared" si="2105"/>
        <v>-1000</v>
      </c>
      <c r="CE664" s="47">
        <f t="shared" si="2105"/>
        <v>-1000</v>
      </c>
      <c r="CF664" s="47">
        <f t="shared" si="2105"/>
        <v>-1000</v>
      </c>
      <c r="CG664" s="47">
        <f t="shared" si="2105"/>
        <v>-1000</v>
      </c>
      <c r="CH664" s="47">
        <f t="shared" si="2105"/>
        <v>-500</v>
      </c>
      <c r="CI664" s="47">
        <f t="shared" si="2105"/>
        <v>-1000</v>
      </c>
      <c r="CJ664" s="47">
        <f t="shared" si="2105"/>
        <v>-1000</v>
      </c>
      <c r="CK664" s="47">
        <f t="shared" si="2105"/>
        <v>-1000</v>
      </c>
      <c r="CL664" s="47">
        <f t="shared" si="2105"/>
        <v>-1000</v>
      </c>
      <c r="CM664" s="47">
        <f t="shared" si="2105"/>
        <v>-1000</v>
      </c>
      <c r="CN664" s="47">
        <f t="shared" si="2105"/>
        <v>-1000</v>
      </c>
      <c r="CO664" s="47">
        <f t="shared" si="2105"/>
        <v>-1000</v>
      </c>
      <c r="CP664" s="47">
        <f t="shared" si="2105"/>
        <v>-1000</v>
      </c>
      <c r="CQ664" s="47">
        <f t="shared" si="2105"/>
        <v>-1000</v>
      </c>
      <c r="CR664" s="47"/>
      <c r="CS664" s="47"/>
      <c r="CT664" s="47"/>
      <c r="CU664" s="74"/>
      <c r="CV664" s="74"/>
      <c r="CW664" s="74" t="str">
        <f>IFERROR(__xludf.DUMMYFUNCTION("IF(REGEXMATCH(UPPER(CU664), ""DALLAS""),,CU664)"),"")</f>
        <v/>
      </c>
      <c r="CX664" s="74"/>
      <c r="CY664" s="74"/>
      <c r="CZ664" s="74"/>
      <c r="DA664" s="75"/>
      <c r="DB664" s="74"/>
      <c r="DC664" s="74"/>
      <c r="DD664" s="74"/>
      <c r="DE664" s="74"/>
      <c r="DF664" s="74"/>
      <c r="DG664" s="74"/>
      <c r="DH664" s="74"/>
      <c r="DI664" s="74"/>
      <c r="DJ664" s="74"/>
      <c r="DK664" s="74"/>
      <c r="DL664" s="74"/>
      <c r="DM664" s="74"/>
      <c r="DN664" s="74"/>
      <c r="DO664" s="74"/>
      <c r="DP664" s="74"/>
      <c r="DQ664" s="74"/>
      <c r="DR664" s="74"/>
      <c r="DS664" s="74"/>
      <c r="DT664" s="74"/>
      <c r="DU664" s="74"/>
      <c r="DV664" s="74"/>
      <c r="DW664" s="74"/>
    </row>
    <row r="665">
      <c r="A665" s="41" t="s">
        <v>64</v>
      </c>
      <c r="B665" s="41" t="s">
        <v>56</v>
      </c>
      <c r="C665" s="31" t="s">
        <v>1767</v>
      </c>
      <c r="D665" s="25" t="str">
        <f>IFERROR(__xludf.DUMMYFUNCTION("SPLIT(C665,"" "")"),"Cox,")</f>
        <v>Cox,</v>
      </c>
      <c r="E665" s="40" t="str">
        <f>IFERROR(__xludf.DUMMYFUNCTION("""COMPUTED_VALUE"""),"Cecelia
5112")</f>
        <v>Cecelia
5112</v>
      </c>
      <c r="F665" s="40" t="str">
        <f>IFERROR(__xludf.DUMMYFUNCTION("""COMPUTED_VALUE"""),"Woodview")</f>
        <v>Woodview</v>
      </c>
      <c r="G665" s="40" t="str">
        <f>IFERROR(__xludf.DUMMYFUNCTION("""COMPUTED_VALUE"""),"Ave.
Austin,")</f>
        <v>Ave.
Austin,</v>
      </c>
      <c r="H665" s="40" t="str">
        <f>IFERROR(__xludf.DUMMYFUNCTION("""COMPUTED_VALUE"""),"TX")</f>
        <v>TX</v>
      </c>
      <c r="I665" s="40">
        <f>IFERROR(__xludf.DUMMYFUNCTION("""COMPUTED_VALUE"""),78756.0)</f>
        <v>78756</v>
      </c>
      <c r="J665" s="40"/>
      <c r="K665" s="40"/>
      <c r="L665" s="40"/>
      <c r="M665" s="40"/>
      <c r="N665" s="40"/>
      <c r="O665" s="40"/>
      <c r="P665" s="40"/>
      <c r="Q665" s="40"/>
      <c r="R665" s="40"/>
      <c r="S665" s="40"/>
      <c r="T665" s="40"/>
      <c r="U665" s="24" t="str">
        <f>IFERROR(__xludf.DUMMYFUNCTION("SPLIT(E665,""01234567890"")"),"Cecelia
")</f>
        <v>Cecelia
</v>
      </c>
      <c r="V665" s="24" t="str">
        <f>IFERROR(__xludf.DUMMYFUNCTION("SPLIT(D665,"","")"),"Cox")</f>
        <v>Cox</v>
      </c>
      <c r="W665" s="25" t="str">
        <f t="shared" si="1"/>
        <v>CECELIA
 COX</v>
      </c>
      <c r="X665" s="25" t="s">
        <v>1768</v>
      </c>
      <c r="Y665" s="25">
        <v>78756.0</v>
      </c>
      <c r="Z665" s="25" t="str">
        <f>IFERROR(__xludf.DUMMYFUNCTION("SPLIT(C665,""
"")"),"Cox, Cecelia")</f>
        <v>Cox, Cecelia</v>
      </c>
      <c r="AA665" s="25" t="str">
        <f>IFERROR(__xludf.DUMMYFUNCTION("""COMPUTED_VALUE"""),"5112 Woodview Ave.")</f>
        <v>5112 Woodview Ave.</v>
      </c>
      <c r="AB665" s="25" t="str">
        <f>IFERROR(__xludf.DUMMYFUNCTION("""COMPUTED_VALUE"""),"Austin, TX 78756")</f>
        <v>Austin, TX 78756</v>
      </c>
      <c r="AC665" s="24" t="s">
        <v>1769</v>
      </c>
      <c r="AD665" s="25"/>
      <c r="AE665" s="25"/>
      <c r="AF665" s="25"/>
      <c r="AG665" s="40" t="s">
        <v>60</v>
      </c>
      <c r="AH665" s="42">
        <v>2477.0</v>
      </c>
      <c r="AI665" s="40" t="s">
        <v>68</v>
      </c>
      <c r="AJ665" s="27">
        <v>1000.0</v>
      </c>
      <c r="AK665" s="31" t="s">
        <v>26</v>
      </c>
      <c r="AL665" s="43">
        <v>44879.0</v>
      </c>
      <c r="AM665" s="44">
        <v>44940.42346064815</v>
      </c>
      <c r="AN665" s="30">
        <v>2.0</v>
      </c>
      <c r="AO665" s="40"/>
      <c r="AP665" s="40"/>
      <c r="AQ665" s="40"/>
      <c r="AR665" s="40"/>
      <c r="AS665" s="40"/>
      <c r="AT665" s="47"/>
      <c r="AU665" s="40"/>
      <c r="AV665" s="46" t="str">
        <f>IFERROR(__xludf.DUMMYFUNCTION("""COMPUTED_VALUE"""),"Krakow")</f>
        <v>Krakow</v>
      </c>
      <c r="AW665" s="46">
        <f t="shared" si="7"/>
        <v>100</v>
      </c>
      <c r="AX665" s="47">
        <f t="shared" ref="AX665:BQ665" si="2106">SUMIFS($AJ:$AJ,$V:$V,$AV665,$AK:$AK,AX$2)</f>
        <v>0</v>
      </c>
      <c r="AY665" s="48">
        <f t="shared" si="2106"/>
        <v>0</v>
      </c>
      <c r="AZ665" s="48">
        <f t="shared" si="2106"/>
        <v>0</v>
      </c>
      <c r="BA665" s="48">
        <f t="shared" si="2106"/>
        <v>0</v>
      </c>
      <c r="BB665" s="48">
        <f t="shared" si="2106"/>
        <v>0</v>
      </c>
      <c r="BC665" s="48">
        <f t="shared" si="2106"/>
        <v>0</v>
      </c>
      <c r="BD665" s="48">
        <f t="shared" si="2106"/>
        <v>0</v>
      </c>
      <c r="BE665" s="48">
        <f t="shared" si="2106"/>
        <v>0</v>
      </c>
      <c r="BF665" s="48">
        <f t="shared" si="2106"/>
        <v>0</v>
      </c>
      <c r="BG665" s="48">
        <f t="shared" si="2106"/>
        <v>0</v>
      </c>
      <c r="BH665" s="48">
        <f t="shared" si="2106"/>
        <v>100</v>
      </c>
      <c r="BI665" s="48">
        <f t="shared" si="2106"/>
        <v>0</v>
      </c>
      <c r="BJ665" s="48">
        <f t="shared" si="2106"/>
        <v>0</v>
      </c>
      <c r="BK665" s="48">
        <f t="shared" si="2106"/>
        <v>0</v>
      </c>
      <c r="BL665" s="48">
        <f t="shared" si="2106"/>
        <v>0</v>
      </c>
      <c r="BM665" s="48">
        <f t="shared" si="2106"/>
        <v>0</v>
      </c>
      <c r="BN665" s="48">
        <f t="shared" si="2106"/>
        <v>0</v>
      </c>
      <c r="BO665" s="48">
        <f t="shared" si="2106"/>
        <v>0</v>
      </c>
      <c r="BP665" s="48">
        <f t="shared" si="2106"/>
        <v>0</v>
      </c>
      <c r="BQ665" s="48">
        <f t="shared" si="2106"/>
        <v>0</v>
      </c>
      <c r="BR665" s="36">
        <f t="shared" si="9"/>
        <v>0</v>
      </c>
      <c r="BS665" s="38">
        <f t="shared" si="10"/>
        <v>1</v>
      </c>
      <c r="BT665" s="49">
        <f t="shared" si="11"/>
        <v>0</v>
      </c>
      <c r="BU665" s="38">
        <f t="shared" si="12"/>
        <v>1000</v>
      </c>
      <c r="BV665" s="46" t="str">
        <f>IFERROR(__xludf.DUMMYFUNCTION("""COMPUTED_VALUE"""),"Krakow")</f>
        <v>Krakow</v>
      </c>
      <c r="BW665" s="46">
        <f t="shared" si="13"/>
        <v>100</v>
      </c>
      <c r="BX665" s="47">
        <f t="shared" ref="BX665:CA665" si="2107">AX665-$BU665</f>
        <v>-1000</v>
      </c>
      <c r="BY665" s="47">
        <f t="shared" si="2107"/>
        <v>-1000</v>
      </c>
      <c r="BZ665" s="47">
        <f t="shared" si="2107"/>
        <v>-1000</v>
      </c>
      <c r="CA665" s="47">
        <f t="shared" si="2107"/>
        <v>-1000</v>
      </c>
      <c r="CB665" s="47">
        <f t="shared" si="15"/>
        <v>-10000</v>
      </c>
      <c r="CC665" s="47">
        <f t="shared" ref="CC665:CQ665" si="2108">BC665-$BU665</f>
        <v>-1000</v>
      </c>
      <c r="CD665" s="47">
        <f t="shared" si="2108"/>
        <v>-1000</v>
      </c>
      <c r="CE665" s="47">
        <f t="shared" si="2108"/>
        <v>-1000</v>
      </c>
      <c r="CF665" s="47">
        <f t="shared" si="2108"/>
        <v>-1000</v>
      </c>
      <c r="CG665" s="47">
        <f t="shared" si="2108"/>
        <v>-1000</v>
      </c>
      <c r="CH665" s="47">
        <f t="shared" si="2108"/>
        <v>-900</v>
      </c>
      <c r="CI665" s="47">
        <f t="shared" si="2108"/>
        <v>-1000</v>
      </c>
      <c r="CJ665" s="47">
        <f t="shared" si="2108"/>
        <v>-1000</v>
      </c>
      <c r="CK665" s="47">
        <f t="shared" si="2108"/>
        <v>-1000</v>
      </c>
      <c r="CL665" s="47">
        <f t="shared" si="2108"/>
        <v>-1000</v>
      </c>
      <c r="CM665" s="47">
        <f t="shared" si="2108"/>
        <v>-1000</v>
      </c>
      <c r="CN665" s="47">
        <f t="shared" si="2108"/>
        <v>-1000</v>
      </c>
      <c r="CO665" s="47">
        <f t="shared" si="2108"/>
        <v>-1000</v>
      </c>
      <c r="CP665" s="47">
        <f t="shared" si="2108"/>
        <v>-1000</v>
      </c>
      <c r="CQ665" s="47">
        <f t="shared" si="2108"/>
        <v>-1000</v>
      </c>
      <c r="CR665" s="47"/>
      <c r="CS665" s="47"/>
      <c r="CT665" s="47"/>
      <c r="CU665" s="74"/>
      <c r="CV665" s="74"/>
      <c r="CW665" s="74" t="str">
        <f>IFERROR(__xludf.DUMMYFUNCTION("IF(REGEXMATCH(UPPER(CU665), ""DALLAS""),,CU665)"),"")</f>
        <v/>
      </c>
      <c r="CX665" s="74"/>
      <c r="CY665" s="74"/>
      <c r="CZ665" s="74"/>
      <c r="DA665" s="75"/>
      <c r="DB665" s="74"/>
      <c r="DC665" s="74"/>
      <c r="DD665" s="74"/>
      <c r="DE665" s="74"/>
      <c r="DF665" s="74"/>
      <c r="DG665" s="74"/>
      <c r="DH665" s="74"/>
      <c r="DI665" s="74"/>
      <c r="DJ665" s="74"/>
      <c r="DK665" s="74"/>
      <c r="DL665" s="74"/>
      <c r="DM665" s="74"/>
      <c r="DN665" s="74"/>
      <c r="DO665" s="74"/>
      <c r="DP665" s="74"/>
      <c r="DQ665" s="74"/>
      <c r="DR665" s="74"/>
      <c r="DS665" s="74"/>
      <c r="DT665" s="74"/>
      <c r="DU665" s="74"/>
      <c r="DV665" s="74"/>
      <c r="DW665" s="74"/>
    </row>
    <row r="666">
      <c r="A666" s="23" t="s">
        <v>64</v>
      </c>
      <c r="B666" s="23" t="s">
        <v>56</v>
      </c>
      <c r="C666" s="31" t="s">
        <v>113</v>
      </c>
      <c r="D666" s="25" t="str">
        <f>IFERROR(__xludf.DUMMYFUNCTION("SPLIT(C666,"" "")"),"Afkhami,")</f>
        <v>Afkhami,</v>
      </c>
      <c r="E666" s="22" t="str">
        <f>IFERROR(__xludf.DUMMYFUNCTION("""COMPUTED_VALUE"""),"Kambiz
2308")</f>
        <v>Kambiz
2308</v>
      </c>
      <c r="F666" s="22" t="str">
        <f>IFERROR(__xludf.DUMMYFUNCTION("""COMPUTED_VALUE"""),"Blackberry")</f>
        <v>Blackberry</v>
      </c>
      <c r="G666" s="22" t="str">
        <f>IFERROR(__xludf.DUMMYFUNCTION("""COMPUTED_VALUE"""),"Dr.
Richardson,")</f>
        <v>Dr.
Richardson,</v>
      </c>
      <c r="H666" s="22" t="str">
        <f>IFERROR(__xludf.DUMMYFUNCTION("""COMPUTED_VALUE"""),"TX")</f>
        <v>TX</v>
      </c>
      <c r="I666" s="22">
        <f>IFERROR(__xludf.DUMMYFUNCTION("""COMPUTED_VALUE"""),75082.0)</f>
        <v>75082</v>
      </c>
      <c r="J666" s="22"/>
      <c r="K666" s="22"/>
      <c r="L666" s="22"/>
      <c r="M666" s="22"/>
      <c r="N666" s="22"/>
      <c r="O666" s="22"/>
      <c r="P666" s="22"/>
      <c r="Q666" s="22"/>
      <c r="R666" s="22"/>
      <c r="S666" s="22"/>
      <c r="T666" s="22"/>
      <c r="U666" s="24" t="str">
        <f>IFERROR(__xludf.DUMMYFUNCTION("SPLIT(E666,""01234567890"")"),"Kambiz
")</f>
        <v>Kambiz
</v>
      </c>
      <c r="V666" s="24" t="str">
        <f>IFERROR(__xludf.DUMMYFUNCTION("SPLIT(D666,"","")"),"Afkhami")</f>
        <v>Afkhami</v>
      </c>
      <c r="W666" s="25" t="str">
        <f t="shared" si="1"/>
        <v>KAMBIZ
 AFKHAMI</v>
      </c>
      <c r="X666" s="25" t="s">
        <v>111</v>
      </c>
      <c r="Y666" s="25">
        <v>75082.0</v>
      </c>
      <c r="Z666" s="25" t="str">
        <f>IFERROR(__xludf.DUMMYFUNCTION("SPLIT(C666,""
"")"),"Afkhami, Kambiz")</f>
        <v>Afkhami, Kambiz</v>
      </c>
      <c r="AA666" s="25" t="str">
        <f>IFERROR(__xludf.DUMMYFUNCTION("""COMPUTED_VALUE"""),"2308 Blackberry Dr.")</f>
        <v>2308 Blackberry Dr.</v>
      </c>
      <c r="AB666" s="25" t="str">
        <f>IFERROR(__xludf.DUMMYFUNCTION("""COMPUTED_VALUE"""),"Richardson, TX 75082")</f>
        <v>Richardson, TX 75082</v>
      </c>
      <c r="AC666" s="24" t="s">
        <v>114</v>
      </c>
      <c r="AD666" s="25"/>
      <c r="AE666" s="25"/>
      <c r="AF666" s="25"/>
      <c r="AG666" s="22" t="s">
        <v>60</v>
      </c>
      <c r="AH666" s="54">
        <v>2477.0</v>
      </c>
      <c r="AI666" s="22" t="s">
        <v>68</v>
      </c>
      <c r="AJ666" s="27">
        <v>50.0</v>
      </c>
      <c r="AK666" s="31" t="s">
        <v>26</v>
      </c>
      <c r="AL666" s="28">
        <v>44879.0</v>
      </c>
      <c r="AM666" s="29">
        <v>44940.42346064815</v>
      </c>
      <c r="AN666" s="30">
        <v>2.0</v>
      </c>
      <c r="AO666" s="22"/>
      <c r="AP666" s="22"/>
      <c r="AQ666" s="22"/>
      <c r="AR666" s="22"/>
      <c r="AS666" s="22"/>
      <c r="AT666" s="70"/>
      <c r="AU666" s="22"/>
      <c r="AV666" s="57" t="str">
        <f>IFERROR(__xludf.DUMMYFUNCTION("""COMPUTED_VALUE"""),"Loomis")</f>
        <v>Loomis</v>
      </c>
      <c r="AW666" s="46">
        <f t="shared" si="7"/>
        <v>25</v>
      </c>
      <c r="AX666" s="47">
        <f t="shared" ref="AX666:BQ666" si="2109">SUMIFS($AJ:$AJ,$V:$V,$AV666,$AK:$AK,AX$2)</f>
        <v>0</v>
      </c>
      <c r="AY666" s="48">
        <f t="shared" si="2109"/>
        <v>0</v>
      </c>
      <c r="AZ666" s="48">
        <f t="shared" si="2109"/>
        <v>0</v>
      </c>
      <c r="BA666" s="48">
        <f t="shared" si="2109"/>
        <v>0</v>
      </c>
      <c r="BB666" s="48">
        <f t="shared" si="2109"/>
        <v>0</v>
      </c>
      <c r="BC666" s="48">
        <f t="shared" si="2109"/>
        <v>0</v>
      </c>
      <c r="BD666" s="48">
        <f t="shared" si="2109"/>
        <v>0</v>
      </c>
      <c r="BE666" s="48">
        <f t="shared" si="2109"/>
        <v>0</v>
      </c>
      <c r="BF666" s="48">
        <f t="shared" si="2109"/>
        <v>0</v>
      </c>
      <c r="BG666" s="48">
        <f t="shared" si="2109"/>
        <v>0</v>
      </c>
      <c r="BH666" s="48">
        <f t="shared" si="2109"/>
        <v>25</v>
      </c>
      <c r="BI666" s="48">
        <f t="shared" si="2109"/>
        <v>0</v>
      </c>
      <c r="BJ666" s="48">
        <f t="shared" si="2109"/>
        <v>0</v>
      </c>
      <c r="BK666" s="48">
        <f t="shared" si="2109"/>
        <v>0</v>
      </c>
      <c r="BL666" s="48">
        <f t="shared" si="2109"/>
        <v>0</v>
      </c>
      <c r="BM666" s="48">
        <f t="shared" si="2109"/>
        <v>0</v>
      </c>
      <c r="BN666" s="48">
        <f t="shared" si="2109"/>
        <v>0</v>
      </c>
      <c r="BO666" s="48">
        <f t="shared" si="2109"/>
        <v>0</v>
      </c>
      <c r="BP666" s="48">
        <f t="shared" si="2109"/>
        <v>0</v>
      </c>
      <c r="BQ666" s="48">
        <f t="shared" si="2109"/>
        <v>0</v>
      </c>
      <c r="BR666" s="36">
        <f t="shared" si="9"/>
        <v>0</v>
      </c>
      <c r="BS666" s="38">
        <f t="shared" si="10"/>
        <v>1</v>
      </c>
      <c r="BT666" s="49">
        <f t="shared" si="11"/>
        <v>0</v>
      </c>
      <c r="BU666" s="38">
        <f t="shared" si="12"/>
        <v>1000</v>
      </c>
      <c r="BV666" s="57" t="str">
        <f>IFERROR(__xludf.DUMMYFUNCTION("""COMPUTED_VALUE"""),"Loomis")</f>
        <v>Loomis</v>
      </c>
      <c r="BW666" s="46">
        <f t="shared" si="13"/>
        <v>25</v>
      </c>
      <c r="BX666" s="47">
        <f t="shared" ref="BX666:CA666" si="2110">AX666-$BU666</f>
        <v>-1000</v>
      </c>
      <c r="BY666" s="47">
        <f t="shared" si="2110"/>
        <v>-1000</v>
      </c>
      <c r="BZ666" s="47">
        <f t="shared" si="2110"/>
        <v>-1000</v>
      </c>
      <c r="CA666" s="47">
        <f t="shared" si="2110"/>
        <v>-1000</v>
      </c>
      <c r="CB666" s="47">
        <f t="shared" si="15"/>
        <v>-10000</v>
      </c>
      <c r="CC666" s="47">
        <f t="shared" ref="CC666:CQ666" si="2111">BC666-$BU666</f>
        <v>-1000</v>
      </c>
      <c r="CD666" s="47">
        <f t="shared" si="2111"/>
        <v>-1000</v>
      </c>
      <c r="CE666" s="47">
        <f t="shared" si="2111"/>
        <v>-1000</v>
      </c>
      <c r="CF666" s="47">
        <f t="shared" si="2111"/>
        <v>-1000</v>
      </c>
      <c r="CG666" s="47">
        <f t="shared" si="2111"/>
        <v>-1000</v>
      </c>
      <c r="CH666" s="47">
        <f t="shared" si="2111"/>
        <v>-975</v>
      </c>
      <c r="CI666" s="47">
        <f t="shared" si="2111"/>
        <v>-1000</v>
      </c>
      <c r="CJ666" s="47">
        <f t="shared" si="2111"/>
        <v>-1000</v>
      </c>
      <c r="CK666" s="47">
        <f t="shared" si="2111"/>
        <v>-1000</v>
      </c>
      <c r="CL666" s="47">
        <f t="shared" si="2111"/>
        <v>-1000</v>
      </c>
      <c r="CM666" s="47">
        <f t="shared" si="2111"/>
        <v>-1000</v>
      </c>
      <c r="CN666" s="47">
        <f t="shared" si="2111"/>
        <v>-1000</v>
      </c>
      <c r="CO666" s="47">
        <f t="shared" si="2111"/>
        <v>-1000</v>
      </c>
      <c r="CP666" s="47">
        <f t="shared" si="2111"/>
        <v>-1000</v>
      </c>
      <c r="CQ666" s="47">
        <f t="shared" si="2111"/>
        <v>-1000</v>
      </c>
      <c r="CR666" s="47"/>
      <c r="CS666" s="47"/>
      <c r="CT666" s="47"/>
      <c r="CU666" s="74"/>
      <c r="CV666" s="74"/>
      <c r="CW666" s="74" t="str">
        <f>IFERROR(__xludf.DUMMYFUNCTION("IF(REGEXMATCH(UPPER(CU666), ""DALLAS""),,CU666)"),"")</f>
        <v/>
      </c>
      <c r="CX666" s="74"/>
      <c r="CY666" s="74"/>
      <c r="CZ666" s="74"/>
      <c r="DA666" s="75"/>
      <c r="DB666" s="74"/>
      <c r="DC666" s="74"/>
      <c r="DD666" s="74"/>
      <c r="DE666" s="74"/>
      <c r="DF666" s="74"/>
      <c r="DG666" s="74"/>
      <c r="DH666" s="74"/>
      <c r="DI666" s="74"/>
      <c r="DJ666" s="74"/>
      <c r="DK666" s="74"/>
      <c r="DL666" s="74"/>
      <c r="DM666" s="74"/>
      <c r="DN666" s="74"/>
      <c r="DO666" s="74"/>
      <c r="DP666" s="74"/>
      <c r="DQ666" s="74"/>
      <c r="DR666" s="74"/>
      <c r="DS666" s="74"/>
      <c r="DT666" s="74"/>
      <c r="DU666" s="74"/>
      <c r="DV666" s="74"/>
      <c r="DW666" s="74"/>
    </row>
    <row r="667">
      <c r="A667" s="41" t="s">
        <v>64</v>
      </c>
      <c r="B667" s="41" t="s">
        <v>56</v>
      </c>
      <c r="C667" s="31" t="s">
        <v>110</v>
      </c>
      <c r="D667" s="25" t="str">
        <f>IFERROR(__xludf.DUMMYFUNCTION("SPLIT(C667,"" "")"),"Afkhami,")</f>
        <v>Afkhami,</v>
      </c>
      <c r="E667" s="40" t="str">
        <f>IFERROR(__xludf.DUMMYFUNCTION("""COMPUTED_VALUE"""),"Andrea
2308")</f>
        <v>Andrea
2308</v>
      </c>
      <c r="F667" s="40" t="str">
        <f>IFERROR(__xludf.DUMMYFUNCTION("""COMPUTED_VALUE"""),"Blackberry")</f>
        <v>Blackberry</v>
      </c>
      <c r="G667" s="40" t="str">
        <f>IFERROR(__xludf.DUMMYFUNCTION("""COMPUTED_VALUE"""),"Dr.
Richardson,")</f>
        <v>Dr.
Richardson,</v>
      </c>
      <c r="H667" s="40" t="str">
        <f>IFERROR(__xludf.DUMMYFUNCTION("""COMPUTED_VALUE"""),"TX")</f>
        <v>TX</v>
      </c>
      <c r="I667" s="40">
        <f>IFERROR(__xludf.DUMMYFUNCTION("""COMPUTED_VALUE"""),75082.0)</f>
        <v>75082</v>
      </c>
      <c r="J667" s="40"/>
      <c r="K667" s="40"/>
      <c r="L667" s="40"/>
      <c r="M667" s="40"/>
      <c r="N667" s="40"/>
      <c r="O667" s="40"/>
      <c r="P667" s="40"/>
      <c r="Q667" s="40"/>
      <c r="R667" s="40"/>
      <c r="S667" s="40"/>
      <c r="T667" s="40"/>
      <c r="U667" s="24" t="str">
        <f>IFERROR(__xludf.DUMMYFUNCTION("SPLIT(E667,""01234567890"")"),"Andrea
")</f>
        <v>Andrea
</v>
      </c>
      <c r="V667" s="24" t="str">
        <f>IFERROR(__xludf.DUMMYFUNCTION("SPLIT(D667,"","")"),"Afkhami")</f>
        <v>Afkhami</v>
      </c>
      <c r="W667" s="25" t="str">
        <f t="shared" si="1"/>
        <v>ANDREA
 AFKHAMI</v>
      </c>
      <c r="X667" s="25" t="s">
        <v>111</v>
      </c>
      <c r="Y667" s="25">
        <v>75082.0</v>
      </c>
      <c r="Z667" s="25" t="str">
        <f>IFERROR(__xludf.DUMMYFUNCTION("SPLIT(C667,""
"")"),"Afkhami, Andrea")</f>
        <v>Afkhami, Andrea</v>
      </c>
      <c r="AA667" s="25" t="str">
        <f>IFERROR(__xludf.DUMMYFUNCTION("""COMPUTED_VALUE"""),"2308 Blackberry Dr.")</f>
        <v>2308 Blackberry Dr.</v>
      </c>
      <c r="AB667" s="25" t="str">
        <f>IFERROR(__xludf.DUMMYFUNCTION("""COMPUTED_VALUE"""),"Richardson, TX 75082")</f>
        <v>Richardson, TX 75082</v>
      </c>
      <c r="AC667" s="24" t="s">
        <v>112</v>
      </c>
      <c r="AD667" s="25"/>
      <c r="AE667" s="25"/>
      <c r="AF667" s="25"/>
      <c r="AG667" s="40" t="s">
        <v>60</v>
      </c>
      <c r="AH667" s="42">
        <v>2477.0</v>
      </c>
      <c r="AI667" s="40" t="s">
        <v>68</v>
      </c>
      <c r="AJ667" s="27">
        <v>50.0</v>
      </c>
      <c r="AK667" s="31" t="s">
        <v>26</v>
      </c>
      <c r="AL667" s="43">
        <v>44879.0</v>
      </c>
      <c r="AM667" s="44">
        <v>44940.42346064815</v>
      </c>
      <c r="AN667" s="30">
        <v>2.0</v>
      </c>
      <c r="AO667" s="40"/>
      <c r="AP667" s="40"/>
      <c r="AQ667" s="40"/>
      <c r="AR667" s="40"/>
      <c r="AS667" s="40"/>
      <c r="AT667" s="47"/>
      <c r="AU667" s="40"/>
      <c r="AV667" s="46" t="str">
        <f>IFERROR(__xludf.DUMMYFUNCTION("""COMPUTED_VALUE"""),"Feldman")</f>
        <v>Feldman</v>
      </c>
      <c r="AW667" s="46">
        <f t="shared" si="7"/>
        <v>1000</v>
      </c>
      <c r="AX667" s="47">
        <f t="shared" ref="AX667:BQ667" si="2112">SUMIFS($AJ:$AJ,$V:$V,$AV667,$AK:$AK,AX$2)</f>
        <v>0</v>
      </c>
      <c r="AY667" s="48">
        <f t="shared" si="2112"/>
        <v>0</v>
      </c>
      <c r="AZ667" s="48">
        <f t="shared" si="2112"/>
        <v>0</v>
      </c>
      <c r="BA667" s="48">
        <f t="shared" si="2112"/>
        <v>0</v>
      </c>
      <c r="BB667" s="48">
        <f t="shared" si="2112"/>
        <v>0</v>
      </c>
      <c r="BC667" s="48">
        <f t="shared" si="2112"/>
        <v>0</v>
      </c>
      <c r="BD667" s="48">
        <f t="shared" si="2112"/>
        <v>0</v>
      </c>
      <c r="BE667" s="48">
        <f t="shared" si="2112"/>
        <v>0</v>
      </c>
      <c r="BF667" s="48">
        <f t="shared" si="2112"/>
        <v>0</v>
      </c>
      <c r="BG667" s="48">
        <f t="shared" si="2112"/>
        <v>0</v>
      </c>
      <c r="BH667" s="48">
        <f t="shared" si="2112"/>
        <v>1000</v>
      </c>
      <c r="BI667" s="48">
        <f t="shared" si="2112"/>
        <v>0</v>
      </c>
      <c r="BJ667" s="48">
        <f t="shared" si="2112"/>
        <v>0</v>
      </c>
      <c r="BK667" s="48">
        <f t="shared" si="2112"/>
        <v>0</v>
      </c>
      <c r="BL667" s="48">
        <f t="shared" si="2112"/>
        <v>0</v>
      </c>
      <c r="BM667" s="48">
        <f t="shared" si="2112"/>
        <v>0</v>
      </c>
      <c r="BN667" s="48">
        <f t="shared" si="2112"/>
        <v>0</v>
      </c>
      <c r="BO667" s="48">
        <f t="shared" si="2112"/>
        <v>0</v>
      </c>
      <c r="BP667" s="48">
        <f t="shared" si="2112"/>
        <v>0</v>
      </c>
      <c r="BQ667" s="48">
        <f t="shared" si="2112"/>
        <v>0</v>
      </c>
      <c r="BR667" s="36">
        <f t="shared" si="9"/>
        <v>0</v>
      </c>
      <c r="BS667" s="38">
        <f t="shared" si="10"/>
        <v>1</v>
      </c>
      <c r="BT667" s="49">
        <f t="shared" si="11"/>
        <v>0</v>
      </c>
      <c r="BU667" s="38">
        <f t="shared" si="12"/>
        <v>1000</v>
      </c>
      <c r="BV667" s="46" t="str">
        <f>IFERROR(__xludf.DUMMYFUNCTION("""COMPUTED_VALUE"""),"Feldman")</f>
        <v>Feldman</v>
      </c>
      <c r="BW667" s="46">
        <f t="shared" si="13"/>
        <v>1000</v>
      </c>
      <c r="BX667" s="47">
        <f t="shared" ref="BX667:CA667" si="2113">AX667-$BU667</f>
        <v>-1000</v>
      </c>
      <c r="BY667" s="47">
        <f t="shared" si="2113"/>
        <v>-1000</v>
      </c>
      <c r="BZ667" s="47">
        <f t="shared" si="2113"/>
        <v>-1000</v>
      </c>
      <c r="CA667" s="47">
        <f t="shared" si="2113"/>
        <v>-1000</v>
      </c>
      <c r="CB667" s="47">
        <f t="shared" si="15"/>
        <v>-10000</v>
      </c>
      <c r="CC667" s="47">
        <f t="shared" ref="CC667:CQ667" si="2114">BC667-$BU667</f>
        <v>-1000</v>
      </c>
      <c r="CD667" s="47">
        <f t="shared" si="2114"/>
        <v>-1000</v>
      </c>
      <c r="CE667" s="47">
        <f t="shared" si="2114"/>
        <v>-1000</v>
      </c>
      <c r="CF667" s="47">
        <f t="shared" si="2114"/>
        <v>-1000</v>
      </c>
      <c r="CG667" s="47">
        <f t="shared" si="2114"/>
        <v>-1000</v>
      </c>
      <c r="CH667" s="47">
        <f t="shared" si="2114"/>
        <v>0</v>
      </c>
      <c r="CI667" s="47">
        <f t="shared" si="2114"/>
        <v>-1000</v>
      </c>
      <c r="CJ667" s="47">
        <f t="shared" si="2114"/>
        <v>-1000</v>
      </c>
      <c r="CK667" s="47">
        <f t="shared" si="2114"/>
        <v>-1000</v>
      </c>
      <c r="CL667" s="47">
        <f t="shared" si="2114"/>
        <v>-1000</v>
      </c>
      <c r="CM667" s="47">
        <f t="shared" si="2114"/>
        <v>-1000</v>
      </c>
      <c r="CN667" s="47">
        <f t="shared" si="2114"/>
        <v>-1000</v>
      </c>
      <c r="CO667" s="47">
        <f t="shared" si="2114"/>
        <v>-1000</v>
      </c>
      <c r="CP667" s="47">
        <f t="shared" si="2114"/>
        <v>-1000</v>
      </c>
      <c r="CQ667" s="47">
        <f t="shared" si="2114"/>
        <v>-1000</v>
      </c>
      <c r="CR667" s="47"/>
      <c r="CS667" s="47"/>
      <c r="CT667" s="47"/>
      <c r="CU667" s="74"/>
      <c r="CV667" s="74"/>
      <c r="CW667" s="74" t="str">
        <f>IFERROR(__xludf.DUMMYFUNCTION("IF(REGEXMATCH(UPPER(CU667), ""DALLAS""),,CU667)"),"")</f>
        <v/>
      </c>
      <c r="CX667" s="74"/>
      <c r="CY667" s="74"/>
      <c r="CZ667" s="74"/>
      <c r="DA667" s="75"/>
      <c r="DB667" s="74"/>
      <c r="DC667" s="74"/>
      <c r="DD667" s="74"/>
      <c r="DE667" s="74"/>
      <c r="DF667" s="74"/>
      <c r="DG667" s="74"/>
      <c r="DH667" s="74"/>
      <c r="DI667" s="74"/>
      <c r="DJ667" s="74"/>
      <c r="DK667" s="74"/>
      <c r="DL667" s="74"/>
      <c r="DM667" s="74"/>
      <c r="DN667" s="74"/>
      <c r="DO667" s="74"/>
      <c r="DP667" s="74"/>
      <c r="DQ667" s="74"/>
      <c r="DR667" s="74"/>
      <c r="DS667" s="74"/>
      <c r="DT667" s="74"/>
      <c r="DU667" s="74"/>
      <c r="DV667" s="74"/>
      <c r="DW667" s="74"/>
    </row>
    <row r="668">
      <c r="A668" s="23" t="s">
        <v>64</v>
      </c>
      <c r="B668" s="23" t="s">
        <v>56</v>
      </c>
      <c r="C668" s="31" t="s">
        <v>372</v>
      </c>
      <c r="D668" s="25" t="str">
        <f>IFERROR(__xludf.DUMMYFUNCTION("SPLIT(C668,"" "")"),"Bellew,")</f>
        <v>Bellew,</v>
      </c>
      <c r="E668" s="22" t="str">
        <f>IFERROR(__xludf.DUMMYFUNCTION("""COMPUTED_VALUE"""),"Chris
9406")</f>
        <v>Chris
9406</v>
      </c>
      <c r="F668" s="22" t="str">
        <f>IFERROR(__xludf.DUMMYFUNCTION("""COMPUTED_VALUE"""),"Crestedge")</f>
        <v>Crestedge</v>
      </c>
      <c r="G668" s="22" t="str">
        <f>IFERROR(__xludf.DUMMYFUNCTION("""COMPUTED_VALUE"""),"Dr.
Dallas,")</f>
        <v>Dr.
Dallas,</v>
      </c>
      <c r="H668" s="22" t="str">
        <f>IFERROR(__xludf.DUMMYFUNCTION("""COMPUTED_VALUE"""),"TX")</f>
        <v>TX</v>
      </c>
      <c r="I668" s="22">
        <f>IFERROR(__xludf.DUMMYFUNCTION("""COMPUTED_VALUE"""),75238.0)</f>
        <v>75238</v>
      </c>
      <c r="J668" s="22"/>
      <c r="K668" s="22"/>
      <c r="L668" s="22"/>
      <c r="M668" s="22"/>
      <c r="N668" s="22"/>
      <c r="O668" s="22"/>
      <c r="P668" s="22"/>
      <c r="Q668" s="22"/>
      <c r="R668" s="22"/>
      <c r="S668" s="22"/>
      <c r="T668" s="22"/>
      <c r="U668" s="24" t="str">
        <f>IFERROR(__xludf.DUMMYFUNCTION("SPLIT(E668,""01234567890"")"),"Chris
")</f>
        <v>Chris
</v>
      </c>
      <c r="V668" s="24" t="str">
        <f>IFERROR(__xludf.DUMMYFUNCTION("SPLIT(D668,"","")"),"Bellew")</f>
        <v>Bellew</v>
      </c>
      <c r="W668" s="25" t="str">
        <f t="shared" si="1"/>
        <v>CHRIS
 BELLEW</v>
      </c>
      <c r="X668" s="25" t="s">
        <v>373</v>
      </c>
      <c r="Y668" s="25">
        <v>75238.0</v>
      </c>
      <c r="Z668" s="25" t="str">
        <f>IFERROR(__xludf.DUMMYFUNCTION("SPLIT(C668,""
"")"),"Bellew, Chris")</f>
        <v>Bellew, Chris</v>
      </c>
      <c r="AA668" s="25" t="str">
        <f>IFERROR(__xludf.DUMMYFUNCTION("""COMPUTED_VALUE"""),"9406 Crestedge Dr.")</f>
        <v>9406 Crestedge Dr.</v>
      </c>
      <c r="AB668" s="25" t="str">
        <f>IFERROR(__xludf.DUMMYFUNCTION("""COMPUTED_VALUE"""),"Dallas, TX 75238")</f>
        <v>Dallas, TX 75238</v>
      </c>
      <c r="AC668" s="24" t="s">
        <v>374</v>
      </c>
      <c r="AD668" s="25"/>
      <c r="AE668" s="25"/>
      <c r="AF668" s="25"/>
      <c r="AG668" s="22" t="s">
        <v>60</v>
      </c>
      <c r="AH668" s="54">
        <v>2477.0</v>
      </c>
      <c r="AI668" s="22" t="s">
        <v>68</v>
      </c>
      <c r="AJ668" s="27">
        <v>1000.0</v>
      </c>
      <c r="AK668" s="31" t="s">
        <v>26</v>
      </c>
      <c r="AL668" s="28">
        <v>44879.0</v>
      </c>
      <c r="AM668" s="29">
        <v>44940.42346064815</v>
      </c>
      <c r="AN668" s="30">
        <v>2.0</v>
      </c>
      <c r="AO668" s="22"/>
      <c r="AP668" s="22"/>
      <c r="AQ668" s="22"/>
      <c r="AR668" s="22"/>
      <c r="AS668" s="22"/>
      <c r="AT668" s="70"/>
      <c r="AU668" s="22"/>
      <c r="AV668" s="57" t="str">
        <f>IFERROR(__xludf.DUMMYFUNCTION("""COMPUTED_VALUE"""),"Baird")</f>
        <v>Baird</v>
      </c>
      <c r="AW668" s="46">
        <f t="shared" si="7"/>
        <v>250</v>
      </c>
      <c r="AX668" s="47">
        <f t="shared" ref="AX668:BQ668" si="2115">SUMIFS($AJ:$AJ,$V:$V,$AV668,$AK:$AK,AX$2)</f>
        <v>0</v>
      </c>
      <c r="AY668" s="48">
        <f t="shared" si="2115"/>
        <v>0</v>
      </c>
      <c r="AZ668" s="48">
        <f t="shared" si="2115"/>
        <v>0</v>
      </c>
      <c r="BA668" s="48">
        <f t="shared" si="2115"/>
        <v>0</v>
      </c>
      <c r="BB668" s="48">
        <f t="shared" si="2115"/>
        <v>0</v>
      </c>
      <c r="BC668" s="48">
        <f t="shared" si="2115"/>
        <v>0</v>
      </c>
      <c r="BD668" s="48">
        <f t="shared" si="2115"/>
        <v>0</v>
      </c>
      <c r="BE668" s="48">
        <f t="shared" si="2115"/>
        <v>0</v>
      </c>
      <c r="BF668" s="48">
        <f t="shared" si="2115"/>
        <v>0</v>
      </c>
      <c r="BG668" s="48">
        <f t="shared" si="2115"/>
        <v>0</v>
      </c>
      <c r="BH668" s="48">
        <f t="shared" si="2115"/>
        <v>250</v>
      </c>
      <c r="BI668" s="48">
        <f t="shared" si="2115"/>
        <v>0</v>
      </c>
      <c r="BJ668" s="48">
        <f t="shared" si="2115"/>
        <v>0</v>
      </c>
      <c r="BK668" s="48">
        <f t="shared" si="2115"/>
        <v>0</v>
      </c>
      <c r="BL668" s="48">
        <f t="shared" si="2115"/>
        <v>0</v>
      </c>
      <c r="BM668" s="48">
        <f t="shared" si="2115"/>
        <v>0</v>
      </c>
      <c r="BN668" s="48">
        <f t="shared" si="2115"/>
        <v>0</v>
      </c>
      <c r="BO668" s="48">
        <f t="shared" si="2115"/>
        <v>0</v>
      </c>
      <c r="BP668" s="48">
        <f t="shared" si="2115"/>
        <v>0</v>
      </c>
      <c r="BQ668" s="48">
        <f t="shared" si="2115"/>
        <v>0</v>
      </c>
      <c r="BR668" s="36">
        <f t="shared" si="9"/>
        <v>0</v>
      </c>
      <c r="BS668" s="38">
        <f t="shared" si="10"/>
        <v>1</v>
      </c>
      <c r="BT668" s="49">
        <f t="shared" si="11"/>
        <v>0</v>
      </c>
      <c r="BU668" s="38">
        <f t="shared" si="12"/>
        <v>1000</v>
      </c>
      <c r="BV668" s="57" t="str">
        <f>IFERROR(__xludf.DUMMYFUNCTION("""COMPUTED_VALUE"""),"Baird")</f>
        <v>Baird</v>
      </c>
      <c r="BW668" s="46">
        <f t="shared" si="13"/>
        <v>250</v>
      </c>
      <c r="BX668" s="47">
        <f t="shared" ref="BX668:CA668" si="2116">AX668-$BU668</f>
        <v>-1000</v>
      </c>
      <c r="BY668" s="47">
        <f t="shared" si="2116"/>
        <v>-1000</v>
      </c>
      <c r="BZ668" s="47">
        <f t="shared" si="2116"/>
        <v>-1000</v>
      </c>
      <c r="CA668" s="47">
        <f t="shared" si="2116"/>
        <v>-1000</v>
      </c>
      <c r="CB668" s="47">
        <f t="shared" si="15"/>
        <v>-10000</v>
      </c>
      <c r="CC668" s="47">
        <f t="shared" ref="CC668:CQ668" si="2117">BC668-$BU668</f>
        <v>-1000</v>
      </c>
      <c r="CD668" s="47">
        <f t="shared" si="2117"/>
        <v>-1000</v>
      </c>
      <c r="CE668" s="47">
        <f t="shared" si="2117"/>
        <v>-1000</v>
      </c>
      <c r="CF668" s="47">
        <f t="shared" si="2117"/>
        <v>-1000</v>
      </c>
      <c r="CG668" s="47">
        <f t="shared" si="2117"/>
        <v>-1000</v>
      </c>
      <c r="CH668" s="47">
        <f t="shared" si="2117"/>
        <v>-750</v>
      </c>
      <c r="CI668" s="47">
        <f t="shared" si="2117"/>
        <v>-1000</v>
      </c>
      <c r="CJ668" s="47">
        <f t="shared" si="2117"/>
        <v>-1000</v>
      </c>
      <c r="CK668" s="47">
        <f t="shared" si="2117"/>
        <v>-1000</v>
      </c>
      <c r="CL668" s="47">
        <f t="shared" si="2117"/>
        <v>-1000</v>
      </c>
      <c r="CM668" s="47">
        <f t="shared" si="2117"/>
        <v>-1000</v>
      </c>
      <c r="CN668" s="47">
        <f t="shared" si="2117"/>
        <v>-1000</v>
      </c>
      <c r="CO668" s="47">
        <f t="shared" si="2117"/>
        <v>-1000</v>
      </c>
      <c r="CP668" s="47">
        <f t="shared" si="2117"/>
        <v>-1000</v>
      </c>
      <c r="CQ668" s="47">
        <f t="shared" si="2117"/>
        <v>-1000</v>
      </c>
      <c r="CR668" s="47"/>
      <c r="CS668" s="47"/>
      <c r="CT668" s="47"/>
      <c r="CU668" s="74"/>
      <c r="CV668" s="74"/>
      <c r="CW668" s="74" t="str">
        <f>IFERROR(__xludf.DUMMYFUNCTION("IF(REGEXMATCH(UPPER(CU668), ""DALLAS""),,CU668)"),"")</f>
        <v/>
      </c>
      <c r="CX668" s="74"/>
      <c r="CY668" s="74"/>
      <c r="CZ668" s="74"/>
      <c r="DA668" s="75"/>
      <c r="DB668" s="74"/>
      <c r="DC668" s="74"/>
      <c r="DD668" s="74"/>
      <c r="DE668" s="74"/>
      <c r="DF668" s="74"/>
      <c r="DG668" s="74"/>
      <c r="DH668" s="74"/>
      <c r="DI668" s="74"/>
      <c r="DJ668" s="74"/>
      <c r="DK668" s="74"/>
      <c r="DL668" s="74"/>
      <c r="DM668" s="74"/>
      <c r="DN668" s="74"/>
      <c r="DO668" s="74"/>
      <c r="DP668" s="74"/>
      <c r="DQ668" s="74"/>
      <c r="DR668" s="74"/>
      <c r="DS668" s="74"/>
      <c r="DT668" s="74"/>
      <c r="DU668" s="74"/>
      <c r="DV668" s="74"/>
      <c r="DW668" s="74"/>
    </row>
    <row r="669">
      <c r="A669" s="41" t="s">
        <v>64</v>
      </c>
      <c r="B669" s="41" t="s">
        <v>56</v>
      </c>
      <c r="C669" s="31" t="s">
        <v>375</v>
      </c>
      <c r="D669" s="25" t="str">
        <f>IFERROR(__xludf.DUMMYFUNCTION("SPLIT(C669,"" "")"),"Bellew,")</f>
        <v>Bellew,</v>
      </c>
      <c r="E669" s="40" t="str">
        <f>IFERROR(__xludf.DUMMYFUNCTION("""COMPUTED_VALUE"""),"Jill
9406")</f>
        <v>Jill
9406</v>
      </c>
      <c r="F669" s="40" t="str">
        <f>IFERROR(__xludf.DUMMYFUNCTION("""COMPUTED_VALUE"""),"Crestedge
Dallas,")</f>
        <v>Crestedge
Dallas,</v>
      </c>
      <c r="G669" s="40" t="str">
        <f>IFERROR(__xludf.DUMMYFUNCTION("""COMPUTED_VALUE"""),"TX")</f>
        <v>TX</v>
      </c>
      <c r="H669" s="40">
        <f>IFERROR(__xludf.DUMMYFUNCTION("""COMPUTED_VALUE"""),75238.0)</f>
        <v>75238</v>
      </c>
      <c r="I669" s="40"/>
      <c r="J669" s="40"/>
      <c r="K669" s="40"/>
      <c r="L669" s="40"/>
      <c r="M669" s="40"/>
      <c r="N669" s="40"/>
      <c r="O669" s="40"/>
      <c r="P669" s="40"/>
      <c r="Q669" s="40"/>
      <c r="R669" s="40"/>
      <c r="S669" s="40"/>
      <c r="T669" s="40"/>
      <c r="U669" s="24" t="str">
        <f>IFERROR(__xludf.DUMMYFUNCTION("SPLIT(E669,""01234567890"")"),"Jill
")</f>
        <v>Jill
</v>
      </c>
      <c r="V669" s="24" t="str">
        <f>IFERROR(__xludf.DUMMYFUNCTION("SPLIT(D669,"","")"),"Bellew")</f>
        <v>Bellew</v>
      </c>
      <c r="W669" s="25" t="str">
        <f t="shared" si="1"/>
        <v>JILL
 BELLEW</v>
      </c>
      <c r="X669" s="25" t="s">
        <v>376</v>
      </c>
      <c r="Y669" s="25">
        <v>75238.0</v>
      </c>
      <c r="Z669" s="25" t="str">
        <f>IFERROR(__xludf.DUMMYFUNCTION("SPLIT(C669,""
"")"),"Bellew, Jill")</f>
        <v>Bellew, Jill</v>
      </c>
      <c r="AA669" s="25" t="str">
        <f>IFERROR(__xludf.DUMMYFUNCTION("""COMPUTED_VALUE"""),"9406 Crestedge")</f>
        <v>9406 Crestedge</v>
      </c>
      <c r="AB669" s="25" t="str">
        <f>IFERROR(__xludf.DUMMYFUNCTION("""COMPUTED_VALUE"""),"Dallas, TX 75238")</f>
        <v>Dallas, TX 75238</v>
      </c>
      <c r="AC669" s="24" t="s">
        <v>377</v>
      </c>
      <c r="AD669" s="25"/>
      <c r="AE669" s="25"/>
      <c r="AF669" s="25"/>
      <c r="AG669" s="40" t="s">
        <v>60</v>
      </c>
      <c r="AH669" s="42">
        <v>2477.0</v>
      </c>
      <c r="AI669" s="40" t="s">
        <v>68</v>
      </c>
      <c r="AJ669" s="27">
        <v>1000.0</v>
      </c>
      <c r="AK669" s="31" t="s">
        <v>26</v>
      </c>
      <c r="AL669" s="43">
        <v>44879.0</v>
      </c>
      <c r="AM669" s="44">
        <v>44940.42346064815</v>
      </c>
      <c r="AN669" s="30">
        <v>2.0</v>
      </c>
      <c r="AO669" s="40"/>
      <c r="AP669" s="40"/>
      <c r="AQ669" s="40"/>
      <c r="AR669" s="40"/>
      <c r="AS669" s="40"/>
      <c r="AT669" s="47"/>
      <c r="AU669" s="40"/>
      <c r="AV669" s="46" t="str">
        <f>IFERROR(__xludf.DUMMYFUNCTION("""COMPUTED_VALUE"""),"Nicklaus")</f>
        <v>Nicklaus</v>
      </c>
      <c r="AW669" s="46">
        <f t="shared" si="7"/>
        <v>50</v>
      </c>
      <c r="AX669" s="47">
        <f t="shared" ref="AX669:BQ669" si="2118">SUMIFS($AJ:$AJ,$V:$V,$AV669,$AK:$AK,AX$2)</f>
        <v>0</v>
      </c>
      <c r="AY669" s="48">
        <f t="shared" si="2118"/>
        <v>0</v>
      </c>
      <c r="AZ669" s="48">
        <f t="shared" si="2118"/>
        <v>0</v>
      </c>
      <c r="BA669" s="48">
        <f t="shared" si="2118"/>
        <v>0</v>
      </c>
      <c r="BB669" s="48">
        <f t="shared" si="2118"/>
        <v>0</v>
      </c>
      <c r="BC669" s="48">
        <f t="shared" si="2118"/>
        <v>0</v>
      </c>
      <c r="BD669" s="48">
        <f t="shared" si="2118"/>
        <v>0</v>
      </c>
      <c r="BE669" s="48">
        <f t="shared" si="2118"/>
        <v>0</v>
      </c>
      <c r="BF669" s="48">
        <f t="shared" si="2118"/>
        <v>0</v>
      </c>
      <c r="BG669" s="48">
        <f t="shared" si="2118"/>
        <v>0</v>
      </c>
      <c r="BH669" s="48">
        <f t="shared" si="2118"/>
        <v>50</v>
      </c>
      <c r="BI669" s="48">
        <f t="shared" si="2118"/>
        <v>0</v>
      </c>
      <c r="BJ669" s="48">
        <f t="shared" si="2118"/>
        <v>0</v>
      </c>
      <c r="BK669" s="48">
        <f t="shared" si="2118"/>
        <v>0</v>
      </c>
      <c r="BL669" s="48">
        <f t="shared" si="2118"/>
        <v>0</v>
      </c>
      <c r="BM669" s="48">
        <f t="shared" si="2118"/>
        <v>0</v>
      </c>
      <c r="BN669" s="48">
        <f t="shared" si="2118"/>
        <v>0</v>
      </c>
      <c r="BO669" s="48">
        <f t="shared" si="2118"/>
        <v>0</v>
      </c>
      <c r="BP669" s="48">
        <f t="shared" si="2118"/>
        <v>0</v>
      </c>
      <c r="BQ669" s="48">
        <f t="shared" si="2118"/>
        <v>0</v>
      </c>
      <c r="BR669" s="36">
        <f t="shared" si="9"/>
        <v>0</v>
      </c>
      <c r="BS669" s="38">
        <f t="shared" si="10"/>
        <v>1</v>
      </c>
      <c r="BT669" s="49">
        <f t="shared" si="11"/>
        <v>0</v>
      </c>
      <c r="BU669" s="38">
        <f t="shared" si="12"/>
        <v>1000</v>
      </c>
      <c r="BV669" s="46" t="str">
        <f>IFERROR(__xludf.DUMMYFUNCTION("""COMPUTED_VALUE"""),"Nicklaus")</f>
        <v>Nicklaus</v>
      </c>
      <c r="BW669" s="46">
        <f t="shared" si="13"/>
        <v>50</v>
      </c>
      <c r="BX669" s="47">
        <f t="shared" ref="BX669:CA669" si="2119">AX669-$BU669</f>
        <v>-1000</v>
      </c>
      <c r="BY669" s="47">
        <f t="shared" si="2119"/>
        <v>-1000</v>
      </c>
      <c r="BZ669" s="47">
        <f t="shared" si="2119"/>
        <v>-1000</v>
      </c>
      <c r="CA669" s="47">
        <f t="shared" si="2119"/>
        <v>-1000</v>
      </c>
      <c r="CB669" s="47">
        <f t="shared" si="15"/>
        <v>-10000</v>
      </c>
      <c r="CC669" s="47">
        <f t="shared" ref="CC669:CQ669" si="2120">BC669-$BU669</f>
        <v>-1000</v>
      </c>
      <c r="CD669" s="47">
        <f t="shared" si="2120"/>
        <v>-1000</v>
      </c>
      <c r="CE669" s="47">
        <f t="shared" si="2120"/>
        <v>-1000</v>
      </c>
      <c r="CF669" s="47">
        <f t="shared" si="2120"/>
        <v>-1000</v>
      </c>
      <c r="CG669" s="47">
        <f t="shared" si="2120"/>
        <v>-1000</v>
      </c>
      <c r="CH669" s="47">
        <f t="shared" si="2120"/>
        <v>-950</v>
      </c>
      <c r="CI669" s="47">
        <f t="shared" si="2120"/>
        <v>-1000</v>
      </c>
      <c r="CJ669" s="47">
        <f t="shared" si="2120"/>
        <v>-1000</v>
      </c>
      <c r="CK669" s="47">
        <f t="shared" si="2120"/>
        <v>-1000</v>
      </c>
      <c r="CL669" s="47">
        <f t="shared" si="2120"/>
        <v>-1000</v>
      </c>
      <c r="CM669" s="47">
        <f t="shared" si="2120"/>
        <v>-1000</v>
      </c>
      <c r="CN669" s="47">
        <f t="shared" si="2120"/>
        <v>-1000</v>
      </c>
      <c r="CO669" s="47">
        <f t="shared" si="2120"/>
        <v>-1000</v>
      </c>
      <c r="CP669" s="47">
        <f t="shared" si="2120"/>
        <v>-1000</v>
      </c>
      <c r="CQ669" s="47">
        <f t="shared" si="2120"/>
        <v>-1000</v>
      </c>
      <c r="CR669" s="47"/>
      <c r="CS669" s="47"/>
      <c r="CT669" s="47"/>
      <c r="CU669" s="74"/>
      <c r="CV669" s="74"/>
      <c r="CW669" s="74" t="str">
        <f>IFERROR(__xludf.DUMMYFUNCTION("IF(REGEXMATCH(UPPER(CU669), ""DALLAS""),,CU669)"),"")</f>
        <v/>
      </c>
      <c r="CX669" s="74"/>
      <c r="CY669" s="74"/>
      <c r="CZ669" s="74"/>
      <c r="DA669" s="75"/>
      <c r="DB669" s="74"/>
      <c r="DC669" s="74"/>
      <c r="DD669" s="74"/>
      <c r="DE669" s="74"/>
      <c r="DF669" s="74"/>
      <c r="DG669" s="74"/>
      <c r="DH669" s="74"/>
      <c r="DI669" s="74"/>
      <c r="DJ669" s="74"/>
      <c r="DK669" s="74"/>
      <c r="DL669" s="74"/>
      <c r="DM669" s="74"/>
      <c r="DN669" s="74"/>
      <c r="DO669" s="74"/>
      <c r="DP669" s="74"/>
      <c r="DQ669" s="74"/>
      <c r="DR669" s="74"/>
      <c r="DS669" s="74"/>
      <c r="DT669" s="74"/>
      <c r="DU669" s="74"/>
      <c r="DV669" s="74"/>
      <c r="DW669" s="74"/>
    </row>
    <row r="670">
      <c r="A670" s="23" t="s">
        <v>64</v>
      </c>
      <c r="B670" s="23" t="s">
        <v>56</v>
      </c>
      <c r="C670" s="31" t="s">
        <v>91</v>
      </c>
      <c r="D670" s="25" t="str">
        <f>IFERROR(__xludf.DUMMYFUNCTION("SPLIT(C670,"" "")"),"Adams,")</f>
        <v>Adams,</v>
      </c>
      <c r="E670" s="22" t="str">
        <f>IFERROR(__xludf.DUMMYFUNCTION("""COMPUTED_VALUE"""),"Jim
9927")</f>
        <v>Jim
9927</v>
      </c>
      <c r="F670" s="22" t="str">
        <f>IFERROR(__xludf.DUMMYFUNCTION("""COMPUTED_VALUE"""),"Capridge
Dallas,")</f>
        <v>Capridge
Dallas,</v>
      </c>
      <c r="G670" s="22" t="str">
        <f>IFERROR(__xludf.DUMMYFUNCTION("""COMPUTED_VALUE"""),"TX")</f>
        <v>TX</v>
      </c>
      <c r="H670" s="22">
        <f>IFERROR(__xludf.DUMMYFUNCTION("""COMPUTED_VALUE"""),75238.0)</f>
        <v>75238</v>
      </c>
      <c r="I670" s="22"/>
      <c r="J670" s="22"/>
      <c r="K670" s="22"/>
      <c r="L670" s="22"/>
      <c r="M670" s="22"/>
      <c r="N670" s="22"/>
      <c r="O670" s="22"/>
      <c r="P670" s="22"/>
      <c r="Q670" s="22"/>
      <c r="R670" s="22"/>
      <c r="S670" s="22"/>
      <c r="T670" s="22"/>
      <c r="U670" s="24" t="str">
        <f>IFERROR(__xludf.DUMMYFUNCTION("SPLIT(E670,""01234567890"")"),"Jim
")</f>
        <v>Jim
</v>
      </c>
      <c r="V670" s="24" t="str">
        <f>IFERROR(__xludf.DUMMYFUNCTION("SPLIT(D670,"","")"),"Adams")</f>
        <v>Adams</v>
      </c>
      <c r="W670" s="25" t="str">
        <f t="shared" si="1"/>
        <v>JIM
 ADAMS</v>
      </c>
      <c r="X670" s="25" t="s">
        <v>92</v>
      </c>
      <c r="Y670" s="25">
        <v>75238.0</v>
      </c>
      <c r="Z670" s="25" t="str">
        <f>IFERROR(__xludf.DUMMYFUNCTION("SPLIT(C670,""
"")"),"Adams, Jim")</f>
        <v>Adams, Jim</v>
      </c>
      <c r="AA670" s="25" t="str">
        <f>IFERROR(__xludf.DUMMYFUNCTION("""COMPUTED_VALUE"""),"9927 Capridge")</f>
        <v>9927 Capridge</v>
      </c>
      <c r="AB670" s="25" t="str">
        <f>IFERROR(__xludf.DUMMYFUNCTION("""COMPUTED_VALUE"""),"Dallas, TX 75238")</f>
        <v>Dallas, TX 75238</v>
      </c>
      <c r="AC670" s="24" t="s">
        <v>93</v>
      </c>
      <c r="AD670" s="25"/>
      <c r="AE670" s="25"/>
      <c r="AF670" s="25"/>
      <c r="AG670" s="22" t="s">
        <v>60</v>
      </c>
      <c r="AH670" s="54">
        <v>2477.0</v>
      </c>
      <c r="AI670" s="22" t="s">
        <v>68</v>
      </c>
      <c r="AJ670" s="27">
        <v>500.0</v>
      </c>
      <c r="AK670" s="31" t="s">
        <v>26</v>
      </c>
      <c r="AL670" s="28">
        <v>44879.0</v>
      </c>
      <c r="AM670" s="29">
        <v>44940.42346064815</v>
      </c>
      <c r="AN670" s="30">
        <v>2.0</v>
      </c>
      <c r="AO670" s="22"/>
      <c r="AP670" s="22"/>
      <c r="AQ670" s="22"/>
      <c r="AR670" s="22"/>
      <c r="AS670" s="22"/>
      <c r="AT670" s="70"/>
      <c r="AU670" s="22"/>
      <c r="AV670" s="57" t="str">
        <f>IFERROR(__xludf.DUMMYFUNCTION("""COMPUTED_VALUE"""),"Heller")</f>
        <v>Heller</v>
      </c>
      <c r="AW670" s="46">
        <f t="shared" si="7"/>
        <v>50</v>
      </c>
      <c r="AX670" s="47">
        <f t="shared" ref="AX670:BQ670" si="2121">SUMIFS($AJ:$AJ,$V:$V,$AV670,$AK:$AK,AX$2)</f>
        <v>0</v>
      </c>
      <c r="AY670" s="48">
        <f t="shared" si="2121"/>
        <v>0</v>
      </c>
      <c r="AZ670" s="48">
        <f t="shared" si="2121"/>
        <v>0</v>
      </c>
      <c r="BA670" s="48">
        <f t="shared" si="2121"/>
        <v>0</v>
      </c>
      <c r="BB670" s="48">
        <f t="shared" si="2121"/>
        <v>0</v>
      </c>
      <c r="BC670" s="48">
        <f t="shared" si="2121"/>
        <v>0</v>
      </c>
      <c r="BD670" s="48">
        <f t="shared" si="2121"/>
        <v>0</v>
      </c>
      <c r="BE670" s="48">
        <f t="shared" si="2121"/>
        <v>0</v>
      </c>
      <c r="BF670" s="48">
        <f t="shared" si="2121"/>
        <v>0</v>
      </c>
      <c r="BG670" s="48">
        <f t="shared" si="2121"/>
        <v>0</v>
      </c>
      <c r="BH670" s="48">
        <f t="shared" si="2121"/>
        <v>50</v>
      </c>
      <c r="BI670" s="48">
        <f t="shared" si="2121"/>
        <v>0</v>
      </c>
      <c r="BJ670" s="48">
        <f t="shared" si="2121"/>
        <v>0</v>
      </c>
      <c r="BK670" s="48">
        <f t="shared" si="2121"/>
        <v>0</v>
      </c>
      <c r="BL670" s="48">
        <f t="shared" si="2121"/>
        <v>0</v>
      </c>
      <c r="BM670" s="48">
        <f t="shared" si="2121"/>
        <v>0</v>
      </c>
      <c r="BN670" s="48">
        <f t="shared" si="2121"/>
        <v>0</v>
      </c>
      <c r="BO670" s="48">
        <f t="shared" si="2121"/>
        <v>0</v>
      </c>
      <c r="BP670" s="48">
        <f t="shared" si="2121"/>
        <v>0</v>
      </c>
      <c r="BQ670" s="48">
        <f t="shared" si="2121"/>
        <v>0</v>
      </c>
      <c r="BR670" s="36">
        <f t="shared" si="9"/>
        <v>0</v>
      </c>
      <c r="BS670" s="38">
        <f t="shared" si="10"/>
        <v>1</v>
      </c>
      <c r="BT670" s="49">
        <f t="shared" si="11"/>
        <v>0</v>
      </c>
      <c r="BU670" s="38">
        <f t="shared" si="12"/>
        <v>1000</v>
      </c>
      <c r="BV670" s="57" t="str">
        <f>IFERROR(__xludf.DUMMYFUNCTION("""COMPUTED_VALUE"""),"Heller")</f>
        <v>Heller</v>
      </c>
      <c r="BW670" s="46">
        <f t="shared" si="13"/>
        <v>50</v>
      </c>
      <c r="BX670" s="47">
        <f t="shared" ref="BX670:CA670" si="2122">AX670-$BU670</f>
        <v>-1000</v>
      </c>
      <c r="BY670" s="47">
        <f t="shared" si="2122"/>
        <v>-1000</v>
      </c>
      <c r="BZ670" s="47">
        <f t="shared" si="2122"/>
        <v>-1000</v>
      </c>
      <c r="CA670" s="47">
        <f t="shared" si="2122"/>
        <v>-1000</v>
      </c>
      <c r="CB670" s="47">
        <f t="shared" si="15"/>
        <v>-10000</v>
      </c>
      <c r="CC670" s="47">
        <f t="shared" ref="CC670:CQ670" si="2123">BC670-$BU670</f>
        <v>-1000</v>
      </c>
      <c r="CD670" s="47">
        <f t="shared" si="2123"/>
        <v>-1000</v>
      </c>
      <c r="CE670" s="47">
        <f t="shared" si="2123"/>
        <v>-1000</v>
      </c>
      <c r="CF670" s="47">
        <f t="shared" si="2123"/>
        <v>-1000</v>
      </c>
      <c r="CG670" s="47">
        <f t="shared" si="2123"/>
        <v>-1000</v>
      </c>
      <c r="CH670" s="47">
        <f t="shared" si="2123"/>
        <v>-950</v>
      </c>
      <c r="CI670" s="47">
        <f t="shared" si="2123"/>
        <v>-1000</v>
      </c>
      <c r="CJ670" s="47">
        <f t="shared" si="2123"/>
        <v>-1000</v>
      </c>
      <c r="CK670" s="47">
        <f t="shared" si="2123"/>
        <v>-1000</v>
      </c>
      <c r="CL670" s="47">
        <f t="shared" si="2123"/>
        <v>-1000</v>
      </c>
      <c r="CM670" s="47">
        <f t="shared" si="2123"/>
        <v>-1000</v>
      </c>
      <c r="CN670" s="47">
        <f t="shared" si="2123"/>
        <v>-1000</v>
      </c>
      <c r="CO670" s="47">
        <f t="shared" si="2123"/>
        <v>-1000</v>
      </c>
      <c r="CP670" s="47">
        <f t="shared" si="2123"/>
        <v>-1000</v>
      </c>
      <c r="CQ670" s="47">
        <f t="shared" si="2123"/>
        <v>-1000</v>
      </c>
      <c r="CR670" s="47"/>
      <c r="CS670" s="47"/>
      <c r="CT670" s="47"/>
      <c r="CU670" s="74"/>
      <c r="CV670" s="74"/>
      <c r="CW670" s="74" t="str">
        <f>IFERROR(__xludf.DUMMYFUNCTION("IF(REGEXMATCH(UPPER(CU670), ""DALLAS""),,CU670)"),"")</f>
        <v/>
      </c>
      <c r="CX670" s="74"/>
      <c r="CY670" s="74"/>
      <c r="CZ670" s="74"/>
      <c r="DA670" s="75"/>
      <c r="DB670" s="74"/>
      <c r="DC670" s="74"/>
      <c r="DD670" s="74"/>
      <c r="DE670" s="74"/>
      <c r="DF670" s="74"/>
      <c r="DG670" s="74"/>
      <c r="DH670" s="74"/>
      <c r="DI670" s="74"/>
      <c r="DJ670" s="74"/>
      <c r="DK670" s="74"/>
      <c r="DL670" s="74"/>
      <c r="DM670" s="74"/>
      <c r="DN670" s="74"/>
      <c r="DO670" s="74"/>
      <c r="DP670" s="74"/>
      <c r="DQ670" s="74"/>
      <c r="DR670" s="74"/>
      <c r="DS670" s="74"/>
      <c r="DT670" s="74"/>
      <c r="DU670" s="74"/>
      <c r="DV670" s="74"/>
      <c r="DW670" s="74"/>
    </row>
    <row r="671">
      <c r="A671" s="41" t="s">
        <v>64</v>
      </c>
      <c r="B671" s="41" t="s">
        <v>56</v>
      </c>
      <c r="C671" s="31" t="s">
        <v>1770</v>
      </c>
      <c r="D671" s="25" t="str">
        <f>IFERROR(__xludf.DUMMYFUNCTION("SPLIT(C671,"" "")"),"Klemme,")</f>
        <v>Klemme,</v>
      </c>
      <c r="E671" s="40" t="str">
        <f>IFERROR(__xludf.DUMMYFUNCTION("""COMPUTED_VALUE"""),"Kelly
9525")</f>
        <v>Kelly
9525</v>
      </c>
      <c r="F671" s="40" t="str">
        <f>IFERROR(__xludf.DUMMYFUNCTION("""COMPUTED_VALUE"""),"Milltrail
Dallas,")</f>
        <v>Milltrail
Dallas,</v>
      </c>
      <c r="G671" s="40" t="str">
        <f>IFERROR(__xludf.DUMMYFUNCTION("""COMPUTED_VALUE"""),"TX")</f>
        <v>TX</v>
      </c>
      <c r="H671" s="40">
        <f>IFERROR(__xludf.DUMMYFUNCTION("""COMPUTED_VALUE"""),75238.0)</f>
        <v>75238</v>
      </c>
      <c r="I671" s="40"/>
      <c r="J671" s="40"/>
      <c r="K671" s="40"/>
      <c r="L671" s="40"/>
      <c r="M671" s="40"/>
      <c r="N671" s="40"/>
      <c r="O671" s="40"/>
      <c r="P671" s="40"/>
      <c r="Q671" s="40"/>
      <c r="R671" s="40"/>
      <c r="S671" s="40"/>
      <c r="T671" s="40"/>
      <c r="U671" s="24" t="str">
        <f>IFERROR(__xludf.DUMMYFUNCTION("SPLIT(E671,""01234567890"")"),"Kelly
")</f>
        <v>Kelly
</v>
      </c>
      <c r="V671" s="24" t="str">
        <f>IFERROR(__xludf.DUMMYFUNCTION("SPLIT(D671,"","")"),"Klemme")</f>
        <v>Klemme</v>
      </c>
      <c r="W671" s="25" t="str">
        <f t="shared" si="1"/>
        <v>KELLY
 KLEMME</v>
      </c>
      <c r="X671" s="25" t="s">
        <v>1771</v>
      </c>
      <c r="Y671" s="25">
        <v>75238.0</v>
      </c>
      <c r="Z671" s="25" t="str">
        <f>IFERROR(__xludf.DUMMYFUNCTION("SPLIT(C671,""
"")"),"Klemme, Kelly")</f>
        <v>Klemme, Kelly</v>
      </c>
      <c r="AA671" s="25" t="str">
        <f>IFERROR(__xludf.DUMMYFUNCTION("""COMPUTED_VALUE"""),"9525 Milltrail")</f>
        <v>9525 Milltrail</v>
      </c>
      <c r="AB671" s="25" t="str">
        <f>IFERROR(__xludf.DUMMYFUNCTION("""COMPUTED_VALUE"""),"Dallas, TX 75238")</f>
        <v>Dallas, TX 75238</v>
      </c>
      <c r="AC671" s="24" t="s">
        <v>1772</v>
      </c>
      <c r="AD671" s="25"/>
      <c r="AE671" s="25"/>
      <c r="AF671" s="25"/>
      <c r="AG671" s="40" t="s">
        <v>60</v>
      </c>
      <c r="AH671" s="42">
        <v>2477.0</v>
      </c>
      <c r="AI671" s="40" t="s">
        <v>68</v>
      </c>
      <c r="AJ671" s="27">
        <v>100.0</v>
      </c>
      <c r="AK671" s="31" t="s">
        <v>26</v>
      </c>
      <c r="AL671" s="43">
        <v>44881.0</v>
      </c>
      <c r="AM671" s="44">
        <v>44940.42346064815</v>
      </c>
      <c r="AN671" s="30">
        <v>2.0</v>
      </c>
      <c r="AO671" s="40"/>
      <c r="AP671" s="40"/>
      <c r="AQ671" s="40"/>
      <c r="AR671" s="40"/>
      <c r="AS671" s="40"/>
      <c r="AT671" s="47"/>
      <c r="AU671" s="40"/>
      <c r="AV671" s="46" t="str">
        <f>IFERROR(__xludf.DUMMYFUNCTION("""COMPUTED_VALUE"""),"Rutchik")</f>
        <v>Rutchik</v>
      </c>
      <c r="AW671" s="46">
        <f t="shared" si="7"/>
        <v>100</v>
      </c>
      <c r="AX671" s="47">
        <f t="shared" ref="AX671:BQ671" si="2124">SUMIFS($AJ:$AJ,$V:$V,$AV671,$AK:$AK,AX$2)</f>
        <v>0</v>
      </c>
      <c r="AY671" s="48">
        <f t="shared" si="2124"/>
        <v>0</v>
      </c>
      <c r="AZ671" s="48">
        <f t="shared" si="2124"/>
        <v>0</v>
      </c>
      <c r="BA671" s="48">
        <f t="shared" si="2124"/>
        <v>0</v>
      </c>
      <c r="BB671" s="48">
        <f t="shared" si="2124"/>
        <v>0</v>
      </c>
      <c r="BC671" s="48">
        <f t="shared" si="2124"/>
        <v>0</v>
      </c>
      <c r="BD671" s="48">
        <f t="shared" si="2124"/>
        <v>0</v>
      </c>
      <c r="BE671" s="48">
        <f t="shared" si="2124"/>
        <v>0</v>
      </c>
      <c r="BF671" s="48">
        <f t="shared" si="2124"/>
        <v>0</v>
      </c>
      <c r="BG671" s="48">
        <f t="shared" si="2124"/>
        <v>0</v>
      </c>
      <c r="BH671" s="48">
        <f t="shared" si="2124"/>
        <v>100</v>
      </c>
      <c r="BI671" s="48">
        <f t="shared" si="2124"/>
        <v>0</v>
      </c>
      <c r="BJ671" s="48">
        <f t="shared" si="2124"/>
        <v>0</v>
      </c>
      <c r="BK671" s="48">
        <f t="shared" si="2124"/>
        <v>0</v>
      </c>
      <c r="BL671" s="48">
        <f t="shared" si="2124"/>
        <v>0</v>
      </c>
      <c r="BM671" s="48">
        <f t="shared" si="2124"/>
        <v>0</v>
      </c>
      <c r="BN671" s="48">
        <f t="shared" si="2124"/>
        <v>0</v>
      </c>
      <c r="BO671" s="48">
        <f t="shared" si="2124"/>
        <v>0</v>
      </c>
      <c r="BP671" s="48">
        <f t="shared" si="2124"/>
        <v>0</v>
      </c>
      <c r="BQ671" s="48">
        <f t="shared" si="2124"/>
        <v>0</v>
      </c>
      <c r="BR671" s="36">
        <f t="shared" si="9"/>
        <v>0</v>
      </c>
      <c r="BS671" s="38">
        <f t="shared" si="10"/>
        <v>1</v>
      </c>
      <c r="BT671" s="49">
        <f t="shared" si="11"/>
        <v>0</v>
      </c>
      <c r="BU671" s="38">
        <f t="shared" si="12"/>
        <v>1000</v>
      </c>
      <c r="BV671" s="46" t="str">
        <f>IFERROR(__xludf.DUMMYFUNCTION("""COMPUTED_VALUE"""),"Rutchik")</f>
        <v>Rutchik</v>
      </c>
      <c r="BW671" s="46">
        <f t="shared" si="13"/>
        <v>100</v>
      </c>
      <c r="BX671" s="47">
        <f t="shared" ref="BX671:CA671" si="2125">AX671-$BU671</f>
        <v>-1000</v>
      </c>
      <c r="BY671" s="47">
        <f t="shared" si="2125"/>
        <v>-1000</v>
      </c>
      <c r="BZ671" s="47">
        <f t="shared" si="2125"/>
        <v>-1000</v>
      </c>
      <c r="CA671" s="47">
        <f t="shared" si="2125"/>
        <v>-1000</v>
      </c>
      <c r="CB671" s="47">
        <f t="shared" si="15"/>
        <v>-10000</v>
      </c>
      <c r="CC671" s="47">
        <f t="shared" ref="CC671:CQ671" si="2126">BC671-$BU671</f>
        <v>-1000</v>
      </c>
      <c r="CD671" s="47">
        <f t="shared" si="2126"/>
        <v>-1000</v>
      </c>
      <c r="CE671" s="47">
        <f t="shared" si="2126"/>
        <v>-1000</v>
      </c>
      <c r="CF671" s="47">
        <f t="shared" si="2126"/>
        <v>-1000</v>
      </c>
      <c r="CG671" s="47">
        <f t="shared" si="2126"/>
        <v>-1000</v>
      </c>
      <c r="CH671" s="47">
        <f t="shared" si="2126"/>
        <v>-900</v>
      </c>
      <c r="CI671" s="47">
        <f t="shared" si="2126"/>
        <v>-1000</v>
      </c>
      <c r="CJ671" s="47">
        <f t="shared" si="2126"/>
        <v>-1000</v>
      </c>
      <c r="CK671" s="47">
        <f t="shared" si="2126"/>
        <v>-1000</v>
      </c>
      <c r="CL671" s="47">
        <f t="shared" si="2126"/>
        <v>-1000</v>
      </c>
      <c r="CM671" s="47">
        <f t="shared" si="2126"/>
        <v>-1000</v>
      </c>
      <c r="CN671" s="47">
        <f t="shared" si="2126"/>
        <v>-1000</v>
      </c>
      <c r="CO671" s="47">
        <f t="shared" si="2126"/>
        <v>-1000</v>
      </c>
      <c r="CP671" s="47">
        <f t="shared" si="2126"/>
        <v>-1000</v>
      </c>
      <c r="CQ671" s="47">
        <f t="shared" si="2126"/>
        <v>-1000</v>
      </c>
      <c r="CR671" s="47"/>
      <c r="CS671" s="47"/>
      <c r="CT671" s="47"/>
      <c r="CU671" s="74"/>
      <c r="CV671" s="74"/>
      <c r="CW671" s="74" t="str">
        <f>IFERROR(__xludf.DUMMYFUNCTION("IF(REGEXMATCH(UPPER(CU671), ""DALLAS""),,CU671)"),"")</f>
        <v/>
      </c>
      <c r="CX671" s="74"/>
      <c r="CY671" s="74"/>
      <c r="CZ671" s="74"/>
      <c r="DA671" s="75"/>
      <c r="DB671" s="74"/>
      <c r="DC671" s="74"/>
      <c r="DD671" s="74"/>
      <c r="DE671" s="74"/>
      <c r="DF671" s="74"/>
      <c r="DG671" s="74"/>
      <c r="DH671" s="74"/>
      <c r="DI671" s="74"/>
      <c r="DJ671" s="74"/>
      <c r="DK671" s="74"/>
      <c r="DL671" s="74"/>
      <c r="DM671" s="74"/>
      <c r="DN671" s="74"/>
      <c r="DO671" s="74"/>
      <c r="DP671" s="74"/>
      <c r="DQ671" s="74"/>
      <c r="DR671" s="74"/>
      <c r="DS671" s="74"/>
      <c r="DT671" s="74"/>
      <c r="DU671" s="74"/>
      <c r="DV671" s="74"/>
      <c r="DW671" s="74"/>
    </row>
    <row r="672">
      <c r="A672" s="23" t="s">
        <v>64</v>
      </c>
      <c r="B672" s="23" t="s">
        <v>56</v>
      </c>
      <c r="C672" s="31" t="s">
        <v>1773</v>
      </c>
      <c r="D672" s="25" t="str">
        <f>IFERROR(__xludf.DUMMYFUNCTION("SPLIT(C672,"" "")"),"Briggs,")</f>
        <v>Briggs,</v>
      </c>
      <c r="E672" s="22" t="str">
        <f>IFERROR(__xludf.DUMMYFUNCTION("""COMPUTED_VALUE"""),"Lisa
9759")</f>
        <v>Lisa
9759</v>
      </c>
      <c r="F672" s="22" t="str">
        <f>IFERROR(__xludf.DUMMYFUNCTION("""COMPUTED_VALUE"""),"Edgepine
Dallas,")</f>
        <v>Edgepine
Dallas,</v>
      </c>
      <c r="G672" s="22" t="str">
        <f>IFERROR(__xludf.DUMMYFUNCTION("""COMPUTED_VALUE"""),"TX")</f>
        <v>TX</v>
      </c>
      <c r="H672" s="22">
        <f>IFERROR(__xludf.DUMMYFUNCTION("""COMPUTED_VALUE"""),75238.0)</f>
        <v>75238</v>
      </c>
      <c r="I672" s="22"/>
      <c r="J672" s="22"/>
      <c r="K672" s="22"/>
      <c r="L672" s="22"/>
      <c r="M672" s="22"/>
      <c r="N672" s="22"/>
      <c r="O672" s="22"/>
      <c r="P672" s="22"/>
      <c r="Q672" s="22"/>
      <c r="R672" s="22"/>
      <c r="S672" s="22"/>
      <c r="T672" s="22"/>
      <c r="U672" s="24" t="str">
        <f>IFERROR(__xludf.DUMMYFUNCTION("SPLIT(E672,""01234567890"")"),"Lisa
")</f>
        <v>Lisa
</v>
      </c>
      <c r="V672" s="24" t="str">
        <f>IFERROR(__xludf.DUMMYFUNCTION("SPLIT(D672,"","")"),"Briggs")</f>
        <v>Briggs</v>
      </c>
      <c r="W672" s="25" t="str">
        <f t="shared" si="1"/>
        <v>LISA
 BRIGGS</v>
      </c>
      <c r="X672" s="25" t="s">
        <v>1774</v>
      </c>
      <c r="Y672" s="25">
        <v>75238.0</v>
      </c>
      <c r="Z672" s="25" t="str">
        <f>IFERROR(__xludf.DUMMYFUNCTION("SPLIT(C672,""
"")"),"Briggs, Lisa")</f>
        <v>Briggs, Lisa</v>
      </c>
      <c r="AA672" s="25" t="str">
        <f>IFERROR(__xludf.DUMMYFUNCTION("""COMPUTED_VALUE"""),"9759 Edgepine")</f>
        <v>9759 Edgepine</v>
      </c>
      <c r="AB672" s="25" t="str">
        <f>IFERROR(__xludf.DUMMYFUNCTION("""COMPUTED_VALUE"""),"Dallas, TX 75238")</f>
        <v>Dallas, TX 75238</v>
      </c>
      <c r="AC672" s="24" t="s">
        <v>1775</v>
      </c>
      <c r="AD672" s="25"/>
      <c r="AE672" s="25"/>
      <c r="AF672" s="25"/>
      <c r="AG672" s="22" t="s">
        <v>60</v>
      </c>
      <c r="AH672" s="54">
        <v>2477.0</v>
      </c>
      <c r="AI672" s="22" t="s">
        <v>68</v>
      </c>
      <c r="AJ672" s="27">
        <v>500.0</v>
      </c>
      <c r="AK672" s="31" t="s">
        <v>26</v>
      </c>
      <c r="AL672" s="28">
        <v>44881.0</v>
      </c>
      <c r="AM672" s="29">
        <v>44940.42346064815</v>
      </c>
      <c r="AN672" s="30">
        <v>2.0</v>
      </c>
      <c r="AO672" s="22"/>
      <c r="AP672" s="22"/>
      <c r="AQ672" s="22"/>
      <c r="AR672" s="22"/>
      <c r="AS672" s="22"/>
      <c r="AT672" s="70"/>
      <c r="AU672" s="22"/>
      <c r="AV672" s="57" t="str">
        <f>IFERROR(__xludf.DUMMYFUNCTION("""COMPUTED_VALUE"""),"Wilkofsky")</f>
        <v>Wilkofsky</v>
      </c>
      <c r="AW672" s="46">
        <f t="shared" si="7"/>
        <v>50</v>
      </c>
      <c r="AX672" s="47">
        <f t="shared" ref="AX672:BQ672" si="2127">SUMIFS($AJ:$AJ,$V:$V,$AV672,$AK:$AK,AX$2)</f>
        <v>0</v>
      </c>
      <c r="AY672" s="48">
        <f t="shared" si="2127"/>
        <v>0</v>
      </c>
      <c r="AZ672" s="48">
        <f t="shared" si="2127"/>
        <v>0</v>
      </c>
      <c r="BA672" s="48">
        <f t="shared" si="2127"/>
        <v>0</v>
      </c>
      <c r="BB672" s="48">
        <f t="shared" si="2127"/>
        <v>0</v>
      </c>
      <c r="BC672" s="48">
        <f t="shared" si="2127"/>
        <v>0</v>
      </c>
      <c r="BD672" s="48">
        <f t="shared" si="2127"/>
        <v>0</v>
      </c>
      <c r="BE672" s="48">
        <f t="shared" si="2127"/>
        <v>0</v>
      </c>
      <c r="BF672" s="48">
        <f t="shared" si="2127"/>
        <v>0</v>
      </c>
      <c r="BG672" s="48">
        <f t="shared" si="2127"/>
        <v>0</v>
      </c>
      <c r="BH672" s="48">
        <f t="shared" si="2127"/>
        <v>50</v>
      </c>
      <c r="BI672" s="48">
        <f t="shared" si="2127"/>
        <v>0</v>
      </c>
      <c r="BJ672" s="48">
        <f t="shared" si="2127"/>
        <v>0</v>
      </c>
      <c r="BK672" s="48">
        <f t="shared" si="2127"/>
        <v>0</v>
      </c>
      <c r="BL672" s="48">
        <f t="shared" si="2127"/>
        <v>0</v>
      </c>
      <c r="BM672" s="48">
        <f t="shared" si="2127"/>
        <v>0</v>
      </c>
      <c r="BN672" s="48">
        <f t="shared" si="2127"/>
        <v>0</v>
      </c>
      <c r="BO672" s="48">
        <f t="shared" si="2127"/>
        <v>0</v>
      </c>
      <c r="BP672" s="48">
        <f t="shared" si="2127"/>
        <v>0</v>
      </c>
      <c r="BQ672" s="48">
        <f t="shared" si="2127"/>
        <v>0</v>
      </c>
      <c r="BR672" s="36">
        <f t="shared" si="9"/>
        <v>0</v>
      </c>
      <c r="BS672" s="38">
        <f t="shared" si="10"/>
        <v>1</v>
      </c>
      <c r="BT672" s="49">
        <f t="shared" si="11"/>
        <v>0</v>
      </c>
      <c r="BU672" s="38">
        <f t="shared" si="12"/>
        <v>1000</v>
      </c>
      <c r="BV672" s="57" t="str">
        <f>IFERROR(__xludf.DUMMYFUNCTION("""COMPUTED_VALUE"""),"Wilkofsky")</f>
        <v>Wilkofsky</v>
      </c>
      <c r="BW672" s="46">
        <f t="shared" si="13"/>
        <v>50</v>
      </c>
      <c r="BX672" s="47">
        <f t="shared" ref="BX672:CA672" si="2128">AX672-$BU672</f>
        <v>-1000</v>
      </c>
      <c r="BY672" s="47">
        <f t="shared" si="2128"/>
        <v>-1000</v>
      </c>
      <c r="BZ672" s="47">
        <f t="shared" si="2128"/>
        <v>-1000</v>
      </c>
      <c r="CA672" s="47">
        <f t="shared" si="2128"/>
        <v>-1000</v>
      </c>
      <c r="CB672" s="47">
        <f t="shared" si="15"/>
        <v>-10000</v>
      </c>
      <c r="CC672" s="47">
        <f t="shared" ref="CC672:CQ672" si="2129">BC672-$BU672</f>
        <v>-1000</v>
      </c>
      <c r="CD672" s="47">
        <f t="shared" si="2129"/>
        <v>-1000</v>
      </c>
      <c r="CE672" s="47">
        <f t="shared" si="2129"/>
        <v>-1000</v>
      </c>
      <c r="CF672" s="47">
        <f t="shared" si="2129"/>
        <v>-1000</v>
      </c>
      <c r="CG672" s="47">
        <f t="shared" si="2129"/>
        <v>-1000</v>
      </c>
      <c r="CH672" s="47">
        <f t="shared" si="2129"/>
        <v>-950</v>
      </c>
      <c r="CI672" s="47">
        <f t="shared" si="2129"/>
        <v>-1000</v>
      </c>
      <c r="CJ672" s="47">
        <f t="shared" si="2129"/>
        <v>-1000</v>
      </c>
      <c r="CK672" s="47">
        <f t="shared" si="2129"/>
        <v>-1000</v>
      </c>
      <c r="CL672" s="47">
        <f t="shared" si="2129"/>
        <v>-1000</v>
      </c>
      <c r="CM672" s="47">
        <f t="shared" si="2129"/>
        <v>-1000</v>
      </c>
      <c r="CN672" s="47">
        <f t="shared" si="2129"/>
        <v>-1000</v>
      </c>
      <c r="CO672" s="47">
        <f t="shared" si="2129"/>
        <v>-1000</v>
      </c>
      <c r="CP672" s="47">
        <f t="shared" si="2129"/>
        <v>-1000</v>
      </c>
      <c r="CQ672" s="47">
        <f t="shared" si="2129"/>
        <v>-1000</v>
      </c>
      <c r="CR672" s="47"/>
      <c r="CS672" s="47"/>
      <c r="CT672" s="47"/>
      <c r="CU672" s="74"/>
      <c r="CV672" s="74"/>
      <c r="CW672" s="74" t="str">
        <f>IFERROR(__xludf.DUMMYFUNCTION("IF(REGEXMATCH(UPPER(CU672), ""DALLAS""),,CU672)"),"")</f>
        <v/>
      </c>
      <c r="CX672" s="74"/>
      <c r="CY672" s="74"/>
      <c r="CZ672" s="74"/>
      <c r="DA672" s="75"/>
      <c r="DB672" s="74"/>
      <c r="DC672" s="74"/>
      <c r="DD672" s="74"/>
      <c r="DE672" s="74"/>
      <c r="DF672" s="74"/>
      <c r="DG672" s="74"/>
      <c r="DH672" s="74"/>
      <c r="DI672" s="74"/>
      <c r="DJ672" s="74"/>
      <c r="DK672" s="74"/>
      <c r="DL672" s="74"/>
      <c r="DM672" s="74"/>
      <c r="DN672" s="74"/>
      <c r="DO672" s="74"/>
      <c r="DP672" s="74"/>
      <c r="DQ672" s="74"/>
      <c r="DR672" s="74"/>
      <c r="DS672" s="74"/>
      <c r="DT672" s="74"/>
      <c r="DU672" s="74"/>
      <c r="DV672" s="74"/>
      <c r="DW672" s="74"/>
    </row>
    <row r="673">
      <c r="A673" s="41" t="s">
        <v>64</v>
      </c>
      <c r="B673" s="41" t="s">
        <v>56</v>
      </c>
      <c r="C673" s="31" t="s">
        <v>1776</v>
      </c>
      <c r="D673" s="25" t="str">
        <f>IFERROR(__xludf.DUMMYFUNCTION("SPLIT(C673,"" "")"),"Hedrick,")</f>
        <v>Hedrick,</v>
      </c>
      <c r="E673" s="40" t="str">
        <f>IFERROR(__xludf.DUMMYFUNCTION("""COMPUTED_VALUE"""),"Steve
11310")</f>
        <v>Steve
11310</v>
      </c>
      <c r="F673" s="40" t="str">
        <f>IFERROR(__xludf.DUMMYFUNCTION("""COMPUTED_VALUE"""),"Goddard")</f>
        <v>Goddard</v>
      </c>
      <c r="G673" s="40" t="str">
        <f>IFERROR(__xludf.DUMMYFUNCTION("""COMPUTED_VALUE"""),"Ct.
Dallas,")</f>
        <v>Ct.
Dallas,</v>
      </c>
      <c r="H673" s="40" t="str">
        <f>IFERROR(__xludf.DUMMYFUNCTION("""COMPUTED_VALUE"""),"TX")</f>
        <v>TX</v>
      </c>
      <c r="I673" s="40">
        <f>IFERROR(__xludf.DUMMYFUNCTION("""COMPUTED_VALUE"""),75218.0)</f>
        <v>75218</v>
      </c>
      <c r="J673" s="40"/>
      <c r="K673" s="40"/>
      <c r="L673" s="40"/>
      <c r="M673" s="40"/>
      <c r="N673" s="40"/>
      <c r="O673" s="40"/>
      <c r="P673" s="40"/>
      <c r="Q673" s="40"/>
      <c r="R673" s="40"/>
      <c r="S673" s="40"/>
      <c r="T673" s="40"/>
      <c r="U673" s="24" t="str">
        <f>IFERROR(__xludf.DUMMYFUNCTION("SPLIT(E673,""01234567890"")"),"Steve
")</f>
        <v>Steve
</v>
      </c>
      <c r="V673" s="24" t="str">
        <f>IFERROR(__xludf.DUMMYFUNCTION("SPLIT(D673,"","")"),"Hedrick")</f>
        <v>Hedrick</v>
      </c>
      <c r="W673" s="25" t="str">
        <f t="shared" si="1"/>
        <v>STEVE
 HEDRICK</v>
      </c>
      <c r="X673" s="25" t="s">
        <v>1777</v>
      </c>
      <c r="Y673" s="25">
        <v>75218.0</v>
      </c>
      <c r="Z673" s="25" t="str">
        <f>IFERROR(__xludf.DUMMYFUNCTION("SPLIT(C673,""
"")"),"Hedrick, Steve")</f>
        <v>Hedrick, Steve</v>
      </c>
      <c r="AA673" s="25" t="str">
        <f>IFERROR(__xludf.DUMMYFUNCTION("""COMPUTED_VALUE"""),"11310 Goddard Ct.")</f>
        <v>11310 Goddard Ct.</v>
      </c>
      <c r="AB673" s="25" t="str">
        <f>IFERROR(__xludf.DUMMYFUNCTION("""COMPUTED_VALUE"""),"Dallas, TX 75218")</f>
        <v>Dallas, TX 75218</v>
      </c>
      <c r="AC673" s="24" t="s">
        <v>1778</v>
      </c>
      <c r="AD673" s="25"/>
      <c r="AE673" s="25"/>
      <c r="AF673" s="25"/>
      <c r="AG673" s="40" t="s">
        <v>60</v>
      </c>
      <c r="AH673" s="42">
        <v>2477.0</v>
      </c>
      <c r="AI673" s="40" t="s">
        <v>68</v>
      </c>
      <c r="AJ673" s="27">
        <v>1000.0</v>
      </c>
      <c r="AK673" s="31" t="s">
        <v>26</v>
      </c>
      <c r="AL673" s="43">
        <v>44881.0</v>
      </c>
      <c r="AM673" s="44">
        <v>44940.42346064815</v>
      </c>
      <c r="AN673" s="30">
        <v>2.0</v>
      </c>
      <c r="AO673" s="40"/>
      <c r="AP673" s="40"/>
      <c r="AQ673" s="40"/>
      <c r="AR673" s="40"/>
      <c r="AS673" s="40"/>
      <c r="AT673" s="47"/>
      <c r="AU673" s="40"/>
      <c r="AV673" s="46" t="str">
        <f>IFERROR(__xludf.DUMMYFUNCTION("""COMPUTED_VALUE"""),"Radunsky")</f>
        <v>Radunsky</v>
      </c>
      <c r="AW673" s="46">
        <f t="shared" si="7"/>
        <v>500</v>
      </c>
      <c r="AX673" s="47">
        <f t="shared" ref="AX673:BQ673" si="2130">SUMIFS($AJ:$AJ,$V:$V,$AV673,$AK:$AK,AX$2)</f>
        <v>0</v>
      </c>
      <c r="AY673" s="48">
        <f t="shared" si="2130"/>
        <v>0</v>
      </c>
      <c r="AZ673" s="48">
        <f t="shared" si="2130"/>
        <v>0</v>
      </c>
      <c r="BA673" s="48">
        <f t="shared" si="2130"/>
        <v>0</v>
      </c>
      <c r="BB673" s="48">
        <f t="shared" si="2130"/>
        <v>0</v>
      </c>
      <c r="BC673" s="48">
        <f t="shared" si="2130"/>
        <v>0</v>
      </c>
      <c r="BD673" s="48">
        <f t="shared" si="2130"/>
        <v>0</v>
      </c>
      <c r="BE673" s="48">
        <f t="shared" si="2130"/>
        <v>0</v>
      </c>
      <c r="BF673" s="48">
        <f t="shared" si="2130"/>
        <v>0</v>
      </c>
      <c r="BG673" s="48">
        <f t="shared" si="2130"/>
        <v>0</v>
      </c>
      <c r="BH673" s="48">
        <f t="shared" si="2130"/>
        <v>500</v>
      </c>
      <c r="BI673" s="48">
        <f t="shared" si="2130"/>
        <v>0</v>
      </c>
      <c r="BJ673" s="48">
        <f t="shared" si="2130"/>
        <v>0</v>
      </c>
      <c r="BK673" s="48">
        <f t="shared" si="2130"/>
        <v>0</v>
      </c>
      <c r="BL673" s="48">
        <f t="shared" si="2130"/>
        <v>0</v>
      </c>
      <c r="BM673" s="48">
        <f t="shared" si="2130"/>
        <v>0</v>
      </c>
      <c r="BN673" s="48">
        <f t="shared" si="2130"/>
        <v>0</v>
      </c>
      <c r="BO673" s="48">
        <f t="shared" si="2130"/>
        <v>0</v>
      </c>
      <c r="BP673" s="48">
        <f t="shared" si="2130"/>
        <v>0</v>
      </c>
      <c r="BQ673" s="48">
        <f t="shared" si="2130"/>
        <v>0</v>
      </c>
      <c r="BR673" s="36">
        <f t="shared" si="9"/>
        <v>0</v>
      </c>
      <c r="BS673" s="38">
        <f t="shared" si="10"/>
        <v>1</v>
      </c>
      <c r="BT673" s="49">
        <f t="shared" si="11"/>
        <v>0</v>
      </c>
      <c r="BU673" s="38">
        <f t="shared" si="12"/>
        <v>1000</v>
      </c>
      <c r="BV673" s="46" t="str">
        <f>IFERROR(__xludf.DUMMYFUNCTION("""COMPUTED_VALUE"""),"Radunsky")</f>
        <v>Radunsky</v>
      </c>
      <c r="BW673" s="46">
        <f t="shared" si="13"/>
        <v>500</v>
      </c>
      <c r="BX673" s="47">
        <f t="shared" ref="BX673:CA673" si="2131">AX673-$BU673</f>
        <v>-1000</v>
      </c>
      <c r="BY673" s="47">
        <f t="shared" si="2131"/>
        <v>-1000</v>
      </c>
      <c r="BZ673" s="47">
        <f t="shared" si="2131"/>
        <v>-1000</v>
      </c>
      <c r="CA673" s="47">
        <f t="shared" si="2131"/>
        <v>-1000</v>
      </c>
      <c r="CB673" s="47">
        <f t="shared" si="15"/>
        <v>-10000</v>
      </c>
      <c r="CC673" s="47">
        <f t="shared" ref="CC673:CQ673" si="2132">BC673-$BU673</f>
        <v>-1000</v>
      </c>
      <c r="CD673" s="47">
        <f t="shared" si="2132"/>
        <v>-1000</v>
      </c>
      <c r="CE673" s="47">
        <f t="shared" si="2132"/>
        <v>-1000</v>
      </c>
      <c r="CF673" s="47">
        <f t="shared" si="2132"/>
        <v>-1000</v>
      </c>
      <c r="CG673" s="47">
        <f t="shared" si="2132"/>
        <v>-1000</v>
      </c>
      <c r="CH673" s="47">
        <f t="shared" si="2132"/>
        <v>-500</v>
      </c>
      <c r="CI673" s="47">
        <f t="shared" si="2132"/>
        <v>-1000</v>
      </c>
      <c r="CJ673" s="47">
        <f t="shared" si="2132"/>
        <v>-1000</v>
      </c>
      <c r="CK673" s="47">
        <f t="shared" si="2132"/>
        <v>-1000</v>
      </c>
      <c r="CL673" s="47">
        <f t="shared" si="2132"/>
        <v>-1000</v>
      </c>
      <c r="CM673" s="47">
        <f t="shared" si="2132"/>
        <v>-1000</v>
      </c>
      <c r="CN673" s="47">
        <f t="shared" si="2132"/>
        <v>-1000</v>
      </c>
      <c r="CO673" s="47">
        <f t="shared" si="2132"/>
        <v>-1000</v>
      </c>
      <c r="CP673" s="47">
        <f t="shared" si="2132"/>
        <v>-1000</v>
      </c>
      <c r="CQ673" s="47">
        <f t="shared" si="2132"/>
        <v>-1000</v>
      </c>
      <c r="CR673" s="47"/>
      <c r="CS673" s="47"/>
      <c r="CT673" s="47"/>
      <c r="CU673" s="74"/>
      <c r="CV673" s="74"/>
      <c r="CW673" s="74" t="str">
        <f>IFERROR(__xludf.DUMMYFUNCTION("IF(REGEXMATCH(UPPER(CU673), ""DALLAS""),,CU673)"),"")</f>
        <v/>
      </c>
      <c r="CX673" s="74"/>
      <c r="CY673" s="74"/>
      <c r="CZ673" s="74"/>
      <c r="DA673" s="75"/>
      <c r="DB673" s="74"/>
      <c r="DC673" s="74"/>
      <c r="DD673" s="74"/>
      <c r="DE673" s="74"/>
      <c r="DF673" s="74"/>
      <c r="DG673" s="74"/>
      <c r="DH673" s="74"/>
      <c r="DI673" s="74"/>
      <c r="DJ673" s="74"/>
      <c r="DK673" s="74"/>
      <c r="DL673" s="74"/>
      <c r="DM673" s="74"/>
      <c r="DN673" s="74"/>
      <c r="DO673" s="74"/>
      <c r="DP673" s="74"/>
      <c r="DQ673" s="74"/>
      <c r="DR673" s="74"/>
      <c r="DS673" s="74"/>
      <c r="DT673" s="74"/>
      <c r="DU673" s="74"/>
      <c r="DV673" s="74"/>
      <c r="DW673" s="74"/>
    </row>
    <row r="674">
      <c r="A674" s="23" t="s">
        <v>64</v>
      </c>
      <c r="B674" s="23" t="s">
        <v>56</v>
      </c>
      <c r="C674" s="31" t="s">
        <v>1779</v>
      </c>
      <c r="D674" s="25" t="str">
        <f>IFERROR(__xludf.DUMMYFUNCTION("SPLIT(C674,"" "")"),"Coutant,")</f>
        <v>Coutant,</v>
      </c>
      <c r="E674" s="22" t="str">
        <f>IFERROR(__xludf.DUMMYFUNCTION("""COMPUTED_VALUE"""),"Kenneth
9318")</f>
        <v>Kenneth
9318</v>
      </c>
      <c r="F674" s="22" t="str">
        <f>IFERROR(__xludf.DUMMYFUNCTION("""COMPUTED_VALUE"""),"Clearhurst
Dallas,")</f>
        <v>Clearhurst
Dallas,</v>
      </c>
      <c r="G674" s="22" t="str">
        <f>IFERROR(__xludf.DUMMYFUNCTION("""COMPUTED_VALUE"""),"TX")</f>
        <v>TX</v>
      </c>
      <c r="H674" s="22">
        <f>IFERROR(__xludf.DUMMYFUNCTION("""COMPUTED_VALUE"""),75238.0)</f>
        <v>75238</v>
      </c>
      <c r="I674" s="22"/>
      <c r="J674" s="22"/>
      <c r="K674" s="22"/>
      <c r="L674" s="22"/>
      <c r="M674" s="22"/>
      <c r="N674" s="22"/>
      <c r="O674" s="22"/>
      <c r="P674" s="22"/>
      <c r="Q674" s="22"/>
      <c r="R674" s="22"/>
      <c r="S674" s="22"/>
      <c r="T674" s="22"/>
      <c r="U674" s="24" t="str">
        <f>IFERROR(__xludf.DUMMYFUNCTION("SPLIT(E674,""01234567890"")"),"Kenneth
")</f>
        <v>Kenneth
</v>
      </c>
      <c r="V674" s="24" t="str">
        <f>IFERROR(__xludf.DUMMYFUNCTION("SPLIT(D674,"","")"),"Coutant")</f>
        <v>Coutant</v>
      </c>
      <c r="W674" s="25" t="str">
        <f t="shared" si="1"/>
        <v>KENNETH
 COUTANT</v>
      </c>
      <c r="X674" s="25" t="s">
        <v>1780</v>
      </c>
      <c r="Y674" s="25">
        <v>75238.0</v>
      </c>
      <c r="Z674" s="25" t="str">
        <f>IFERROR(__xludf.DUMMYFUNCTION("SPLIT(C674,""
"")"),"Coutant, Kenneth")</f>
        <v>Coutant, Kenneth</v>
      </c>
      <c r="AA674" s="25" t="str">
        <f>IFERROR(__xludf.DUMMYFUNCTION("""COMPUTED_VALUE"""),"9318 Clearhurst")</f>
        <v>9318 Clearhurst</v>
      </c>
      <c r="AB674" s="25" t="str">
        <f>IFERROR(__xludf.DUMMYFUNCTION("""COMPUTED_VALUE"""),"Dallas, TX 75238")</f>
        <v>Dallas, TX 75238</v>
      </c>
      <c r="AC674" s="24" t="s">
        <v>1781</v>
      </c>
      <c r="AD674" s="25"/>
      <c r="AE674" s="25"/>
      <c r="AF674" s="25"/>
      <c r="AG674" s="22" t="s">
        <v>60</v>
      </c>
      <c r="AH674" s="54">
        <v>2477.0</v>
      </c>
      <c r="AI674" s="22" t="s">
        <v>68</v>
      </c>
      <c r="AJ674" s="27">
        <v>500.0</v>
      </c>
      <c r="AK674" s="31" t="s">
        <v>26</v>
      </c>
      <c r="AL674" s="28">
        <v>44881.0</v>
      </c>
      <c r="AM674" s="29">
        <v>44940.42346064815</v>
      </c>
      <c r="AN674" s="30">
        <v>2.0</v>
      </c>
      <c r="AO674" s="22"/>
      <c r="AP674" s="22"/>
      <c r="AQ674" s="22"/>
      <c r="AR674" s="22"/>
      <c r="AS674" s="22"/>
      <c r="AT674" s="70"/>
      <c r="AU674" s="22"/>
      <c r="AV674" s="57" t="str">
        <f>IFERROR(__xludf.DUMMYFUNCTION("""COMPUTED_VALUE"""),"Swartzbaugh")</f>
        <v>Swartzbaugh</v>
      </c>
      <c r="AW674" s="46">
        <f t="shared" si="7"/>
        <v>25</v>
      </c>
      <c r="AX674" s="47">
        <f t="shared" ref="AX674:BQ674" si="2133">SUMIFS($AJ:$AJ,$V:$V,$AV674,$AK:$AK,AX$2)</f>
        <v>0</v>
      </c>
      <c r="AY674" s="48">
        <f t="shared" si="2133"/>
        <v>0</v>
      </c>
      <c r="AZ674" s="48">
        <f t="shared" si="2133"/>
        <v>0</v>
      </c>
      <c r="BA674" s="48">
        <f t="shared" si="2133"/>
        <v>0</v>
      </c>
      <c r="BB674" s="48">
        <f t="shared" si="2133"/>
        <v>0</v>
      </c>
      <c r="BC674" s="48">
        <f t="shared" si="2133"/>
        <v>0</v>
      </c>
      <c r="BD674" s="48">
        <f t="shared" si="2133"/>
        <v>0</v>
      </c>
      <c r="BE674" s="48">
        <f t="shared" si="2133"/>
        <v>0</v>
      </c>
      <c r="BF674" s="48">
        <f t="shared" si="2133"/>
        <v>0</v>
      </c>
      <c r="BG674" s="48">
        <f t="shared" si="2133"/>
        <v>0</v>
      </c>
      <c r="BH674" s="48">
        <f t="shared" si="2133"/>
        <v>25</v>
      </c>
      <c r="BI674" s="48">
        <f t="shared" si="2133"/>
        <v>0</v>
      </c>
      <c r="BJ674" s="48">
        <f t="shared" si="2133"/>
        <v>0</v>
      </c>
      <c r="BK674" s="48">
        <f t="shared" si="2133"/>
        <v>0</v>
      </c>
      <c r="BL674" s="48">
        <f t="shared" si="2133"/>
        <v>0</v>
      </c>
      <c r="BM674" s="48">
        <f t="shared" si="2133"/>
        <v>0</v>
      </c>
      <c r="BN674" s="48">
        <f t="shared" si="2133"/>
        <v>0</v>
      </c>
      <c r="BO674" s="48">
        <f t="shared" si="2133"/>
        <v>0</v>
      </c>
      <c r="BP674" s="48">
        <f t="shared" si="2133"/>
        <v>0</v>
      </c>
      <c r="BQ674" s="48">
        <f t="shared" si="2133"/>
        <v>0</v>
      </c>
      <c r="BR674" s="36">
        <f t="shared" si="9"/>
        <v>0</v>
      </c>
      <c r="BS674" s="38">
        <f t="shared" si="10"/>
        <v>1</v>
      </c>
      <c r="BT674" s="49">
        <f t="shared" si="11"/>
        <v>0</v>
      </c>
      <c r="BU674" s="38">
        <f t="shared" si="12"/>
        <v>1000</v>
      </c>
      <c r="BV674" s="57" t="str">
        <f>IFERROR(__xludf.DUMMYFUNCTION("""COMPUTED_VALUE"""),"Swartzbaugh")</f>
        <v>Swartzbaugh</v>
      </c>
      <c r="BW674" s="46">
        <f t="shared" si="13"/>
        <v>25</v>
      </c>
      <c r="BX674" s="47">
        <f t="shared" ref="BX674:CA674" si="2134">AX674-$BU674</f>
        <v>-1000</v>
      </c>
      <c r="BY674" s="47">
        <f t="shared" si="2134"/>
        <v>-1000</v>
      </c>
      <c r="BZ674" s="47">
        <f t="shared" si="2134"/>
        <v>-1000</v>
      </c>
      <c r="CA674" s="47">
        <f t="shared" si="2134"/>
        <v>-1000</v>
      </c>
      <c r="CB674" s="47">
        <f t="shared" si="15"/>
        <v>-10000</v>
      </c>
      <c r="CC674" s="47">
        <f t="shared" ref="CC674:CQ674" si="2135">BC674-$BU674</f>
        <v>-1000</v>
      </c>
      <c r="CD674" s="47">
        <f t="shared" si="2135"/>
        <v>-1000</v>
      </c>
      <c r="CE674" s="47">
        <f t="shared" si="2135"/>
        <v>-1000</v>
      </c>
      <c r="CF674" s="47">
        <f t="shared" si="2135"/>
        <v>-1000</v>
      </c>
      <c r="CG674" s="47">
        <f t="shared" si="2135"/>
        <v>-1000</v>
      </c>
      <c r="CH674" s="47">
        <f t="shared" si="2135"/>
        <v>-975</v>
      </c>
      <c r="CI674" s="47">
        <f t="shared" si="2135"/>
        <v>-1000</v>
      </c>
      <c r="CJ674" s="47">
        <f t="shared" si="2135"/>
        <v>-1000</v>
      </c>
      <c r="CK674" s="47">
        <f t="shared" si="2135"/>
        <v>-1000</v>
      </c>
      <c r="CL674" s="47">
        <f t="shared" si="2135"/>
        <v>-1000</v>
      </c>
      <c r="CM674" s="47">
        <f t="shared" si="2135"/>
        <v>-1000</v>
      </c>
      <c r="CN674" s="47">
        <f t="shared" si="2135"/>
        <v>-1000</v>
      </c>
      <c r="CO674" s="47">
        <f t="shared" si="2135"/>
        <v>-1000</v>
      </c>
      <c r="CP674" s="47">
        <f t="shared" si="2135"/>
        <v>-1000</v>
      </c>
      <c r="CQ674" s="47">
        <f t="shared" si="2135"/>
        <v>-1000</v>
      </c>
      <c r="CR674" s="47"/>
      <c r="CS674" s="47"/>
      <c r="CT674" s="47"/>
      <c r="CU674" s="74"/>
      <c r="CV674" s="74"/>
      <c r="CW674" s="74" t="str">
        <f>IFERROR(__xludf.DUMMYFUNCTION("IF(REGEXMATCH(UPPER(CU674), ""DALLAS""),,CU674)"),"")</f>
        <v/>
      </c>
      <c r="CX674" s="74"/>
      <c r="CY674" s="74"/>
      <c r="CZ674" s="74"/>
      <c r="DA674" s="75"/>
      <c r="DB674" s="74"/>
      <c r="DC674" s="74"/>
      <c r="DD674" s="74"/>
      <c r="DE674" s="74"/>
      <c r="DF674" s="74"/>
      <c r="DG674" s="74"/>
      <c r="DH674" s="74"/>
      <c r="DI674" s="74"/>
      <c r="DJ674" s="74"/>
      <c r="DK674" s="74"/>
      <c r="DL674" s="74"/>
      <c r="DM674" s="74"/>
      <c r="DN674" s="74"/>
      <c r="DO674" s="74"/>
      <c r="DP674" s="74"/>
      <c r="DQ674" s="74"/>
      <c r="DR674" s="74"/>
      <c r="DS674" s="74"/>
      <c r="DT674" s="74"/>
      <c r="DU674" s="74"/>
      <c r="DV674" s="74"/>
      <c r="DW674" s="74"/>
    </row>
    <row r="675">
      <c r="A675" s="41" t="s">
        <v>64</v>
      </c>
      <c r="B675" s="41" t="s">
        <v>56</v>
      </c>
      <c r="C675" s="31" t="s">
        <v>1782</v>
      </c>
      <c r="D675" s="25" t="str">
        <f>IFERROR(__xludf.DUMMYFUNCTION("SPLIT(C675,"" "")"),"Jones,")</f>
        <v>Jones,</v>
      </c>
      <c r="E675" s="40" t="str">
        <f>IFERROR(__xludf.DUMMYFUNCTION("""COMPUTED_VALUE"""),"Kathryn
6920")</f>
        <v>Kathryn
6920</v>
      </c>
      <c r="F675" s="40" t="str">
        <f>IFERROR(__xludf.DUMMYFUNCTION("""COMPUTED_VALUE"""),"Midcrest")</f>
        <v>Midcrest</v>
      </c>
      <c r="G675" s="40" t="str">
        <f>IFERROR(__xludf.DUMMYFUNCTION("""COMPUTED_VALUE"""),"Dr.
Dallas,")</f>
        <v>Dr.
Dallas,</v>
      </c>
      <c r="H675" s="40" t="str">
        <f>IFERROR(__xludf.DUMMYFUNCTION("""COMPUTED_VALUE"""),"TX")</f>
        <v>TX</v>
      </c>
      <c r="I675" s="40">
        <f>IFERROR(__xludf.DUMMYFUNCTION("""COMPUTED_VALUE"""),75254.0)</f>
        <v>75254</v>
      </c>
      <c r="J675" s="40"/>
      <c r="K675" s="40"/>
      <c r="L675" s="40"/>
      <c r="M675" s="40"/>
      <c r="N675" s="40"/>
      <c r="O675" s="40"/>
      <c r="P675" s="40"/>
      <c r="Q675" s="40"/>
      <c r="R675" s="40"/>
      <c r="S675" s="40"/>
      <c r="T675" s="40"/>
      <c r="U675" s="24" t="str">
        <f>IFERROR(__xludf.DUMMYFUNCTION("SPLIT(E675,""01234567890"")"),"Kathryn
")</f>
        <v>Kathryn
</v>
      </c>
      <c r="V675" s="24" t="str">
        <f>IFERROR(__xludf.DUMMYFUNCTION("SPLIT(D675,"","")"),"Jones")</f>
        <v>Jones</v>
      </c>
      <c r="W675" s="25" t="str">
        <f t="shared" si="1"/>
        <v>KATHRYN
 JONES</v>
      </c>
      <c r="X675" s="25" t="s">
        <v>1783</v>
      </c>
      <c r="Y675" s="25">
        <v>75254.0</v>
      </c>
      <c r="Z675" s="25" t="str">
        <f>IFERROR(__xludf.DUMMYFUNCTION("SPLIT(C675,""
"")"),"Jones, Kathryn")</f>
        <v>Jones, Kathryn</v>
      </c>
      <c r="AA675" s="25" t="str">
        <f>IFERROR(__xludf.DUMMYFUNCTION("""COMPUTED_VALUE"""),"6920 Midcrest Dr.")</f>
        <v>6920 Midcrest Dr.</v>
      </c>
      <c r="AB675" s="25" t="str">
        <f>IFERROR(__xludf.DUMMYFUNCTION("""COMPUTED_VALUE"""),"Dallas, TX 75254")</f>
        <v>Dallas, TX 75254</v>
      </c>
      <c r="AC675" s="24" t="s">
        <v>1784</v>
      </c>
      <c r="AD675" s="25"/>
      <c r="AE675" s="25"/>
      <c r="AF675" s="25"/>
      <c r="AG675" s="40" t="s">
        <v>60</v>
      </c>
      <c r="AH675" s="42">
        <v>2477.0</v>
      </c>
      <c r="AI675" s="40" t="s">
        <v>68</v>
      </c>
      <c r="AJ675" s="27">
        <v>500.0</v>
      </c>
      <c r="AK675" s="31" t="s">
        <v>26</v>
      </c>
      <c r="AL675" s="43">
        <v>44883.0</v>
      </c>
      <c r="AM675" s="44">
        <v>44940.42346064815</v>
      </c>
      <c r="AN675" s="30">
        <v>2.0</v>
      </c>
      <c r="AO675" s="40"/>
      <c r="AP675" s="40"/>
      <c r="AQ675" s="40"/>
      <c r="AR675" s="40"/>
      <c r="AS675" s="40"/>
      <c r="AT675" s="47"/>
      <c r="AU675" s="40"/>
      <c r="AV675" s="46" t="str">
        <f>IFERROR(__xludf.DUMMYFUNCTION("""COMPUTED_VALUE"""),"Erback")</f>
        <v>Erback</v>
      </c>
      <c r="AW675" s="46">
        <f t="shared" si="7"/>
        <v>100</v>
      </c>
      <c r="AX675" s="47">
        <f t="shared" ref="AX675:BQ675" si="2136">SUMIFS($AJ:$AJ,$V:$V,$AV675,$AK:$AK,AX$2)</f>
        <v>0</v>
      </c>
      <c r="AY675" s="48">
        <f t="shared" si="2136"/>
        <v>0</v>
      </c>
      <c r="AZ675" s="48">
        <f t="shared" si="2136"/>
        <v>0</v>
      </c>
      <c r="BA675" s="48">
        <f t="shared" si="2136"/>
        <v>0</v>
      </c>
      <c r="BB675" s="48">
        <f t="shared" si="2136"/>
        <v>0</v>
      </c>
      <c r="BC675" s="48">
        <f t="shared" si="2136"/>
        <v>0</v>
      </c>
      <c r="BD675" s="48">
        <f t="shared" si="2136"/>
        <v>0</v>
      </c>
      <c r="BE675" s="48">
        <f t="shared" si="2136"/>
        <v>0</v>
      </c>
      <c r="BF675" s="48">
        <f t="shared" si="2136"/>
        <v>0</v>
      </c>
      <c r="BG675" s="48">
        <f t="shared" si="2136"/>
        <v>0</v>
      </c>
      <c r="BH675" s="48">
        <f t="shared" si="2136"/>
        <v>100</v>
      </c>
      <c r="BI675" s="48">
        <f t="shared" si="2136"/>
        <v>0</v>
      </c>
      <c r="BJ675" s="48">
        <f t="shared" si="2136"/>
        <v>0</v>
      </c>
      <c r="BK675" s="48">
        <f t="shared" si="2136"/>
        <v>0</v>
      </c>
      <c r="BL675" s="48">
        <f t="shared" si="2136"/>
        <v>0</v>
      </c>
      <c r="BM675" s="48">
        <f t="shared" si="2136"/>
        <v>0</v>
      </c>
      <c r="BN675" s="48">
        <f t="shared" si="2136"/>
        <v>0</v>
      </c>
      <c r="BO675" s="48">
        <f t="shared" si="2136"/>
        <v>0</v>
      </c>
      <c r="BP675" s="48">
        <f t="shared" si="2136"/>
        <v>0</v>
      </c>
      <c r="BQ675" s="48">
        <f t="shared" si="2136"/>
        <v>0</v>
      </c>
      <c r="BR675" s="36">
        <f t="shared" si="9"/>
        <v>0</v>
      </c>
      <c r="BS675" s="38">
        <f t="shared" si="10"/>
        <v>1</v>
      </c>
      <c r="BT675" s="49">
        <f t="shared" si="11"/>
        <v>0</v>
      </c>
      <c r="BU675" s="38">
        <f t="shared" si="12"/>
        <v>1000</v>
      </c>
      <c r="BV675" s="46" t="str">
        <f>IFERROR(__xludf.DUMMYFUNCTION("""COMPUTED_VALUE"""),"Erback")</f>
        <v>Erback</v>
      </c>
      <c r="BW675" s="46">
        <f t="shared" si="13"/>
        <v>100</v>
      </c>
      <c r="BX675" s="47">
        <f t="shared" ref="BX675:CA675" si="2137">AX675-$BU675</f>
        <v>-1000</v>
      </c>
      <c r="BY675" s="47">
        <f t="shared" si="2137"/>
        <v>-1000</v>
      </c>
      <c r="BZ675" s="47">
        <f t="shared" si="2137"/>
        <v>-1000</v>
      </c>
      <c r="CA675" s="47">
        <f t="shared" si="2137"/>
        <v>-1000</v>
      </c>
      <c r="CB675" s="47">
        <f t="shared" si="15"/>
        <v>-10000</v>
      </c>
      <c r="CC675" s="47">
        <f t="shared" ref="CC675:CQ675" si="2138">BC675-$BU675</f>
        <v>-1000</v>
      </c>
      <c r="CD675" s="47">
        <f t="shared" si="2138"/>
        <v>-1000</v>
      </c>
      <c r="CE675" s="47">
        <f t="shared" si="2138"/>
        <v>-1000</v>
      </c>
      <c r="CF675" s="47">
        <f t="shared" si="2138"/>
        <v>-1000</v>
      </c>
      <c r="CG675" s="47">
        <f t="shared" si="2138"/>
        <v>-1000</v>
      </c>
      <c r="CH675" s="47">
        <f t="shared" si="2138"/>
        <v>-900</v>
      </c>
      <c r="CI675" s="47">
        <f t="shared" si="2138"/>
        <v>-1000</v>
      </c>
      <c r="CJ675" s="47">
        <f t="shared" si="2138"/>
        <v>-1000</v>
      </c>
      <c r="CK675" s="47">
        <f t="shared" si="2138"/>
        <v>-1000</v>
      </c>
      <c r="CL675" s="47">
        <f t="shared" si="2138"/>
        <v>-1000</v>
      </c>
      <c r="CM675" s="47">
        <f t="shared" si="2138"/>
        <v>-1000</v>
      </c>
      <c r="CN675" s="47">
        <f t="shared" si="2138"/>
        <v>-1000</v>
      </c>
      <c r="CO675" s="47">
        <f t="shared" si="2138"/>
        <v>-1000</v>
      </c>
      <c r="CP675" s="47">
        <f t="shared" si="2138"/>
        <v>-1000</v>
      </c>
      <c r="CQ675" s="47">
        <f t="shared" si="2138"/>
        <v>-1000</v>
      </c>
      <c r="CR675" s="47"/>
      <c r="CS675" s="47"/>
      <c r="CT675" s="47"/>
      <c r="CU675" s="74"/>
      <c r="CV675" s="74"/>
      <c r="CW675" s="74" t="str">
        <f>IFERROR(__xludf.DUMMYFUNCTION("IF(REGEXMATCH(UPPER(CU675), ""DALLAS""),,CU675)"),"")</f>
        <v/>
      </c>
      <c r="CX675" s="74"/>
      <c r="CY675" s="74"/>
      <c r="CZ675" s="74"/>
      <c r="DA675" s="75"/>
      <c r="DB675" s="74"/>
      <c r="DC675" s="74"/>
      <c r="DD675" s="74"/>
      <c r="DE675" s="74"/>
      <c r="DF675" s="74"/>
      <c r="DG675" s="74"/>
      <c r="DH675" s="74"/>
      <c r="DI675" s="74"/>
      <c r="DJ675" s="74"/>
      <c r="DK675" s="74"/>
      <c r="DL675" s="74"/>
      <c r="DM675" s="74"/>
      <c r="DN675" s="74"/>
      <c r="DO675" s="74"/>
      <c r="DP675" s="74"/>
      <c r="DQ675" s="74"/>
      <c r="DR675" s="74"/>
      <c r="DS675" s="74"/>
      <c r="DT675" s="74"/>
      <c r="DU675" s="74"/>
      <c r="DV675" s="74"/>
      <c r="DW675" s="74"/>
    </row>
    <row r="676">
      <c r="A676" s="23" t="s">
        <v>64</v>
      </c>
      <c r="B676" s="23" t="s">
        <v>56</v>
      </c>
      <c r="C676" s="31" t="s">
        <v>1785</v>
      </c>
      <c r="D676" s="25" t="str">
        <f>IFERROR(__xludf.DUMMYFUNCTION("SPLIT(C676,"" "")"),"Stein,")</f>
        <v>Stein,</v>
      </c>
      <c r="E676" s="22" t="str">
        <f>IFERROR(__xludf.DUMMYFUNCTION("""COMPUTED_VALUE"""),"Mitchell
11210")</f>
        <v>Mitchell
11210</v>
      </c>
      <c r="F676" s="22" t="str">
        <f>IFERROR(__xludf.DUMMYFUNCTION("""COMPUTED_VALUE"""),"Bellafonte")</f>
        <v>Bellafonte</v>
      </c>
      <c r="G676" s="22" t="str">
        <f>IFERROR(__xludf.DUMMYFUNCTION("""COMPUTED_VALUE"""),"Dr.
Dallas,")</f>
        <v>Dr.
Dallas,</v>
      </c>
      <c r="H676" s="22" t="str">
        <f>IFERROR(__xludf.DUMMYFUNCTION("""COMPUTED_VALUE"""),"TX")</f>
        <v>TX</v>
      </c>
      <c r="I676" s="22">
        <f>IFERROR(__xludf.DUMMYFUNCTION("""COMPUTED_VALUE"""),75243.0)</f>
        <v>75243</v>
      </c>
      <c r="J676" s="22"/>
      <c r="K676" s="22"/>
      <c r="L676" s="22"/>
      <c r="M676" s="22"/>
      <c r="N676" s="22"/>
      <c r="O676" s="22"/>
      <c r="P676" s="22"/>
      <c r="Q676" s="22"/>
      <c r="R676" s="22"/>
      <c r="S676" s="22"/>
      <c r="T676" s="22"/>
      <c r="U676" s="24" t="str">
        <f>IFERROR(__xludf.DUMMYFUNCTION("SPLIT(E676,""01234567890"")"),"Mitchell
")</f>
        <v>Mitchell
</v>
      </c>
      <c r="V676" s="24" t="str">
        <f>IFERROR(__xludf.DUMMYFUNCTION("SPLIT(D676,"","")"),"Stein")</f>
        <v>Stein</v>
      </c>
      <c r="W676" s="25" t="str">
        <f t="shared" si="1"/>
        <v>MITCHELL
 STEIN</v>
      </c>
      <c r="X676" s="25" t="s">
        <v>1786</v>
      </c>
      <c r="Y676" s="25">
        <v>75243.0</v>
      </c>
      <c r="Z676" s="25" t="str">
        <f>IFERROR(__xludf.DUMMYFUNCTION("SPLIT(C676,""
"")"),"Stein, Mitchell")</f>
        <v>Stein, Mitchell</v>
      </c>
      <c r="AA676" s="25" t="str">
        <f>IFERROR(__xludf.DUMMYFUNCTION("""COMPUTED_VALUE"""),"11210 Bellafonte Dr.")</f>
        <v>11210 Bellafonte Dr.</v>
      </c>
      <c r="AB676" s="25" t="str">
        <f>IFERROR(__xludf.DUMMYFUNCTION("""COMPUTED_VALUE"""),"Dallas, TX 75243")</f>
        <v>Dallas, TX 75243</v>
      </c>
      <c r="AC676" s="24" t="s">
        <v>1787</v>
      </c>
      <c r="AD676" s="25"/>
      <c r="AE676" s="25"/>
      <c r="AF676" s="25"/>
      <c r="AG676" s="22" t="s">
        <v>60</v>
      </c>
      <c r="AH676" s="54">
        <v>2477.0</v>
      </c>
      <c r="AI676" s="22" t="s">
        <v>68</v>
      </c>
      <c r="AJ676" s="27">
        <v>250.0</v>
      </c>
      <c r="AK676" s="31" t="s">
        <v>26</v>
      </c>
      <c r="AL676" s="28">
        <v>44883.0</v>
      </c>
      <c r="AM676" s="29">
        <v>44940.42346064815</v>
      </c>
      <c r="AN676" s="30">
        <v>2.0</v>
      </c>
      <c r="AO676" s="22"/>
      <c r="AP676" s="22"/>
      <c r="AQ676" s="22"/>
      <c r="AR676" s="22"/>
      <c r="AS676" s="22"/>
      <c r="AT676" s="70"/>
      <c r="AU676" s="22"/>
      <c r="AV676" s="57" t="str">
        <f>IFERROR(__xludf.DUMMYFUNCTION("""COMPUTED_VALUE"""),"Ohayon")</f>
        <v>Ohayon</v>
      </c>
      <c r="AW676" s="46">
        <f t="shared" si="7"/>
        <v>500</v>
      </c>
      <c r="AX676" s="47">
        <f t="shared" ref="AX676:BQ676" si="2139">SUMIFS($AJ:$AJ,$V:$V,$AV676,$AK:$AK,AX$2)</f>
        <v>0</v>
      </c>
      <c r="AY676" s="48">
        <f t="shared" si="2139"/>
        <v>0</v>
      </c>
      <c r="AZ676" s="48">
        <f t="shared" si="2139"/>
        <v>0</v>
      </c>
      <c r="BA676" s="48">
        <f t="shared" si="2139"/>
        <v>0</v>
      </c>
      <c r="BB676" s="48">
        <f t="shared" si="2139"/>
        <v>0</v>
      </c>
      <c r="BC676" s="48">
        <f t="shared" si="2139"/>
        <v>0</v>
      </c>
      <c r="BD676" s="48">
        <f t="shared" si="2139"/>
        <v>0</v>
      </c>
      <c r="BE676" s="48">
        <f t="shared" si="2139"/>
        <v>0</v>
      </c>
      <c r="BF676" s="48">
        <f t="shared" si="2139"/>
        <v>0</v>
      </c>
      <c r="BG676" s="48">
        <f t="shared" si="2139"/>
        <v>0</v>
      </c>
      <c r="BH676" s="48">
        <f t="shared" si="2139"/>
        <v>500</v>
      </c>
      <c r="BI676" s="48">
        <f t="shared" si="2139"/>
        <v>0</v>
      </c>
      <c r="BJ676" s="48">
        <f t="shared" si="2139"/>
        <v>0</v>
      </c>
      <c r="BK676" s="48">
        <f t="shared" si="2139"/>
        <v>0</v>
      </c>
      <c r="BL676" s="48">
        <f t="shared" si="2139"/>
        <v>0</v>
      </c>
      <c r="BM676" s="48">
        <f t="shared" si="2139"/>
        <v>0</v>
      </c>
      <c r="BN676" s="48">
        <f t="shared" si="2139"/>
        <v>0</v>
      </c>
      <c r="BO676" s="48">
        <f t="shared" si="2139"/>
        <v>0</v>
      </c>
      <c r="BP676" s="48">
        <f t="shared" si="2139"/>
        <v>0</v>
      </c>
      <c r="BQ676" s="48">
        <f t="shared" si="2139"/>
        <v>0</v>
      </c>
      <c r="BR676" s="36">
        <f t="shared" si="9"/>
        <v>0</v>
      </c>
      <c r="BS676" s="38">
        <f t="shared" si="10"/>
        <v>1</v>
      </c>
      <c r="BT676" s="49">
        <f t="shared" si="11"/>
        <v>0</v>
      </c>
      <c r="BU676" s="38">
        <f t="shared" si="12"/>
        <v>1000</v>
      </c>
      <c r="BV676" s="57" t="str">
        <f>IFERROR(__xludf.DUMMYFUNCTION("""COMPUTED_VALUE"""),"Ohayon")</f>
        <v>Ohayon</v>
      </c>
      <c r="BW676" s="46">
        <f t="shared" si="13"/>
        <v>500</v>
      </c>
      <c r="BX676" s="47">
        <f t="shared" ref="BX676:CA676" si="2140">AX676-$BU676</f>
        <v>-1000</v>
      </c>
      <c r="BY676" s="47">
        <f t="shared" si="2140"/>
        <v>-1000</v>
      </c>
      <c r="BZ676" s="47">
        <f t="shared" si="2140"/>
        <v>-1000</v>
      </c>
      <c r="CA676" s="47">
        <f t="shared" si="2140"/>
        <v>-1000</v>
      </c>
      <c r="CB676" s="47">
        <f t="shared" si="15"/>
        <v>-10000</v>
      </c>
      <c r="CC676" s="47">
        <f t="shared" ref="CC676:CQ676" si="2141">BC676-$BU676</f>
        <v>-1000</v>
      </c>
      <c r="CD676" s="47">
        <f t="shared" si="2141"/>
        <v>-1000</v>
      </c>
      <c r="CE676" s="47">
        <f t="shared" si="2141"/>
        <v>-1000</v>
      </c>
      <c r="CF676" s="47">
        <f t="shared" si="2141"/>
        <v>-1000</v>
      </c>
      <c r="CG676" s="47">
        <f t="shared" si="2141"/>
        <v>-1000</v>
      </c>
      <c r="CH676" s="47">
        <f t="shared" si="2141"/>
        <v>-500</v>
      </c>
      <c r="CI676" s="47">
        <f t="shared" si="2141"/>
        <v>-1000</v>
      </c>
      <c r="CJ676" s="47">
        <f t="shared" si="2141"/>
        <v>-1000</v>
      </c>
      <c r="CK676" s="47">
        <f t="shared" si="2141"/>
        <v>-1000</v>
      </c>
      <c r="CL676" s="47">
        <f t="shared" si="2141"/>
        <v>-1000</v>
      </c>
      <c r="CM676" s="47">
        <f t="shared" si="2141"/>
        <v>-1000</v>
      </c>
      <c r="CN676" s="47">
        <f t="shared" si="2141"/>
        <v>-1000</v>
      </c>
      <c r="CO676" s="47">
        <f t="shared" si="2141"/>
        <v>-1000</v>
      </c>
      <c r="CP676" s="47">
        <f t="shared" si="2141"/>
        <v>-1000</v>
      </c>
      <c r="CQ676" s="47">
        <f t="shared" si="2141"/>
        <v>-1000</v>
      </c>
      <c r="CR676" s="47"/>
      <c r="CS676" s="47"/>
      <c r="CT676" s="47"/>
      <c r="CU676" s="74"/>
      <c r="CV676" s="74"/>
      <c r="CW676" s="74" t="str">
        <f>IFERROR(__xludf.DUMMYFUNCTION("IF(REGEXMATCH(UPPER(CU676), ""DALLAS""),,CU676)"),"")</f>
        <v/>
      </c>
      <c r="CX676" s="74"/>
      <c r="CY676" s="74"/>
      <c r="CZ676" s="74"/>
      <c r="DA676" s="75"/>
      <c r="DB676" s="74"/>
      <c r="DC676" s="74"/>
      <c r="DD676" s="74"/>
      <c r="DE676" s="74"/>
      <c r="DF676" s="74"/>
      <c r="DG676" s="74"/>
      <c r="DH676" s="74"/>
      <c r="DI676" s="74"/>
      <c r="DJ676" s="74"/>
      <c r="DK676" s="74"/>
      <c r="DL676" s="74"/>
      <c r="DM676" s="74"/>
      <c r="DN676" s="74"/>
      <c r="DO676" s="74"/>
      <c r="DP676" s="74"/>
      <c r="DQ676" s="74"/>
      <c r="DR676" s="74"/>
      <c r="DS676" s="74"/>
      <c r="DT676" s="74"/>
      <c r="DU676" s="74"/>
      <c r="DV676" s="74"/>
      <c r="DW676" s="74"/>
    </row>
    <row r="677">
      <c r="A677" s="41" t="s">
        <v>64</v>
      </c>
      <c r="B677" s="41" t="s">
        <v>56</v>
      </c>
      <c r="C677" s="31" t="s">
        <v>1788</v>
      </c>
      <c r="D677" s="25" t="str">
        <f>IFERROR(__xludf.DUMMYFUNCTION("SPLIT(C677,"" "")"),"Stewart,")</f>
        <v>Stewart,</v>
      </c>
      <c r="E677" s="40" t="str">
        <f>IFERROR(__xludf.DUMMYFUNCTION("""COMPUTED_VALUE"""),"Elizabeth
6801")</f>
        <v>Elizabeth
6801</v>
      </c>
      <c r="F677" s="40" t="str">
        <f>IFERROR(__xludf.DUMMYFUNCTION("""COMPUTED_VALUE"""),"Valburn")</f>
        <v>Valburn</v>
      </c>
      <c r="G677" s="40" t="str">
        <f>IFERROR(__xludf.DUMMYFUNCTION("""COMPUTED_VALUE"""),"Dr.
Austin,")</f>
        <v>Dr.
Austin,</v>
      </c>
      <c r="H677" s="40" t="str">
        <f>IFERROR(__xludf.DUMMYFUNCTION("""COMPUTED_VALUE"""),"TX")</f>
        <v>TX</v>
      </c>
      <c r="I677" s="40">
        <f>IFERROR(__xludf.DUMMYFUNCTION("""COMPUTED_VALUE"""),78731.0)</f>
        <v>78731</v>
      </c>
      <c r="J677" s="40"/>
      <c r="K677" s="40"/>
      <c r="L677" s="40"/>
      <c r="M677" s="40"/>
      <c r="N677" s="40"/>
      <c r="O677" s="40"/>
      <c r="P677" s="40"/>
      <c r="Q677" s="40"/>
      <c r="R677" s="40"/>
      <c r="S677" s="40"/>
      <c r="T677" s="40"/>
      <c r="U677" s="24" t="str">
        <f>IFERROR(__xludf.DUMMYFUNCTION("SPLIT(E677,""01234567890"")"),"Elizabeth
")</f>
        <v>Elizabeth
</v>
      </c>
      <c r="V677" s="24" t="str">
        <f>IFERROR(__xludf.DUMMYFUNCTION("SPLIT(D677,"","")"),"Stewart")</f>
        <v>Stewart</v>
      </c>
      <c r="W677" s="25" t="str">
        <f t="shared" si="1"/>
        <v>ELIZABETH
 STEWART</v>
      </c>
      <c r="X677" s="25" t="s">
        <v>1789</v>
      </c>
      <c r="Y677" s="25">
        <v>78731.0</v>
      </c>
      <c r="Z677" s="25" t="str">
        <f>IFERROR(__xludf.DUMMYFUNCTION("SPLIT(C677,""
"")"),"Stewart, Elizabeth")</f>
        <v>Stewart, Elizabeth</v>
      </c>
      <c r="AA677" s="25" t="str">
        <f>IFERROR(__xludf.DUMMYFUNCTION("""COMPUTED_VALUE"""),"6801 Valburn Dr.")</f>
        <v>6801 Valburn Dr.</v>
      </c>
      <c r="AB677" s="25" t="str">
        <f>IFERROR(__xludf.DUMMYFUNCTION("""COMPUTED_VALUE"""),"Austin, TX 78731")</f>
        <v>Austin, TX 78731</v>
      </c>
      <c r="AC677" s="24" t="s">
        <v>1790</v>
      </c>
      <c r="AD677" s="25"/>
      <c r="AE677" s="25"/>
      <c r="AF677" s="25"/>
      <c r="AG677" s="40" t="s">
        <v>60</v>
      </c>
      <c r="AH677" s="42">
        <v>2477.0</v>
      </c>
      <c r="AI677" s="40" t="s">
        <v>68</v>
      </c>
      <c r="AJ677" s="27">
        <v>1000.0</v>
      </c>
      <c r="AK677" s="31" t="s">
        <v>26</v>
      </c>
      <c r="AL677" s="43">
        <v>44883.0</v>
      </c>
      <c r="AM677" s="44">
        <v>44940.42346064815</v>
      </c>
      <c r="AN677" s="30">
        <v>2.0</v>
      </c>
      <c r="AO677" s="40"/>
      <c r="AP677" s="40"/>
      <c r="AQ677" s="40"/>
      <c r="AR677" s="40"/>
      <c r="AS677" s="40"/>
      <c r="AT677" s="47"/>
      <c r="AU677" s="40"/>
      <c r="AV677" s="46" t="str">
        <f>IFERROR(__xludf.DUMMYFUNCTION("""COMPUTED_VALUE"""),"Rothschild")</f>
        <v>Rothschild</v>
      </c>
      <c r="AW677" s="46">
        <f t="shared" si="7"/>
        <v>300</v>
      </c>
      <c r="AX677" s="47">
        <f t="shared" ref="AX677:BQ677" si="2142">SUMIFS($AJ:$AJ,$V:$V,$AV677,$AK:$AK,AX$2)</f>
        <v>0</v>
      </c>
      <c r="AY677" s="48">
        <f t="shared" si="2142"/>
        <v>0</v>
      </c>
      <c r="AZ677" s="48">
        <f t="shared" si="2142"/>
        <v>0</v>
      </c>
      <c r="BA677" s="48">
        <f t="shared" si="2142"/>
        <v>0</v>
      </c>
      <c r="BB677" s="48">
        <f t="shared" si="2142"/>
        <v>0</v>
      </c>
      <c r="BC677" s="48">
        <f t="shared" si="2142"/>
        <v>0</v>
      </c>
      <c r="BD677" s="48">
        <f t="shared" si="2142"/>
        <v>0</v>
      </c>
      <c r="BE677" s="48">
        <f t="shared" si="2142"/>
        <v>0</v>
      </c>
      <c r="BF677" s="48">
        <f t="shared" si="2142"/>
        <v>0</v>
      </c>
      <c r="BG677" s="48">
        <f t="shared" si="2142"/>
        <v>0</v>
      </c>
      <c r="BH677" s="48">
        <f t="shared" si="2142"/>
        <v>300</v>
      </c>
      <c r="BI677" s="48">
        <f t="shared" si="2142"/>
        <v>0</v>
      </c>
      <c r="BJ677" s="48">
        <f t="shared" si="2142"/>
        <v>0</v>
      </c>
      <c r="BK677" s="48">
        <f t="shared" si="2142"/>
        <v>0</v>
      </c>
      <c r="BL677" s="48">
        <f t="shared" si="2142"/>
        <v>0</v>
      </c>
      <c r="BM677" s="48">
        <f t="shared" si="2142"/>
        <v>0</v>
      </c>
      <c r="BN677" s="48">
        <f t="shared" si="2142"/>
        <v>0</v>
      </c>
      <c r="BO677" s="48">
        <f t="shared" si="2142"/>
        <v>0</v>
      </c>
      <c r="BP677" s="48">
        <f t="shared" si="2142"/>
        <v>0</v>
      </c>
      <c r="BQ677" s="48">
        <f t="shared" si="2142"/>
        <v>0</v>
      </c>
      <c r="BR677" s="36">
        <f t="shared" si="9"/>
        <v>0</v>
      </c>
      <c r="BS677" s="38">
        <f t="shared" si="10"/>
        <v>1</v>
      </c>
      <c r="BT677" s="49">
        <f t="shared" si="11"/>
        <v>0</v>
      </c>
      <c r="BU677" s="38">
        <f t="shared" si="12"/>
        <v>1000</v>
      </c>
      <c r="BV677" s="46" t="str">
        <f>IFERROR(__xludf.DUMMYFUNCTION("""COMPUTED_VALUE"""),"Rothschild")</f>
        <v>Rothschild</v>
      </c>
      <c r="BW677" s="46">
        <f t="shared" si="13"/>
        <v>300</v>
      </c>
      <c r="BX677" s="47">
        <f t="shared" ref="BX677:CA677" si="2143">AX677-$BU677</f>
        <v>-1000</v>
      </c>
      <c r="BY677" s="47">
        <f t="shared" si="2143"/>
        <v>-1000</v>
      </c>
      <c r="BZ677" s="47">
        <f t="shared" si="2143"/>
        <v>-1000</v>
      </c>
      <c r="CA677" s="47">
        <f t="shared" si="2143"/>
        <v>-1000</v>
      </c>
      <c r="CB677" s="47">
        <f t="shared" si="15"/>
        <v>-10000</v>
      </c>
      <c r="CC677" s="47">
        <f t="shared" ref="CC677:CQ677" si="2144">BC677-$BU677</f>
        <v>-1000</v>
      </c>
      <c r="CD677" s="47">
        <f t="shared" si="2144"/>
        <v>-1000</v>
      </c>
      <c r="CE677" s="47">
        <f t="shared" si="2144"/>
        <v>-1000</v>
      </c>
      <c r="CF677" s="47">
        <f t="shared" si="2144"/>
        <v>-1000</v>
      </c>
      <c r="CG677" s="47">
        <f t="shared" si="2144"/>
        <v>-1000</v>
      </c>
      <c r="CH677" s="47">
        <f t="shared" si="2144"/>
        <v>-700</v>
      </c>
      <c r="CI677" s="47">
        <f t="shared" si="2144"/>
        <v>-1000</v>
      </c>
      <c r="CJ677" s="47">
        <f t="shared" si="2144"/>
        <v>-1000</v>
      </c>
      <c r="CK677" s="47">
        <f t="shared" si="2144"/>
        <v>-1000</v>
      </c>
      <c r="CL677" s="47">
        <f t="shared" si="2144"/>
        <v>-1000</v>
      </c>
      <c r="CM677" s="47">
        <f t="shared" si="2144"/>
        <v>-1000</v>
      </c>
      <c r="CN677" s="47">
        <f t="shared" si="2144"/>
        <v>-1000</v>
      </c>
      <c r="CO677" s="47">
        <f t="shared" si="2144"/>
        <v>-1000</v>
      </c>
      <c r="CP677" s="47">
        <f t="shared" si="2144"/>
        <v>-1000</v>
      </c>
      <c r="CQ677" s="47">
        <f t="shared" si="2144"/>
        <v>-1000</v>
      </c>
      <c r="CR677" s="47"/>
      <c r="CS677" s="47"/>
      <c r="CT677" s="47"/>
      <c r="CU677" s="74"/>
      <c r="CV677" s="74"/>
      <c r="CW677" s="74" t="str">
        <f>IFERROR(__xludf.DUMMYFUNCTION("IF(REGEXMATCH(UPPER(CU677), ""DALLAS""),,CU677)"),"")</f>
        <v/>
      </c>
      <c r="CX677" s="74"/>
      <c r="CY677" s="74"/>
      <c r="CZ677" s="74"/>
      <c r="DA677" s="75"/>
      <c r="DB677" s="74"/>
      <c r="DC677" s="74"/>
      <c r="DD677" s="74"/>
      <c r="DE677" s="74"/>
      <c r="DF677" s="74"/>
      <c r="DG677" s="74"/>
      <c r="DH677" s="74"/>
      <c r="DI677" s="74"/>
      <c r="DJ677" s="74"/>
      <c r="DK677" s="74"/>
      <c r="DL677" s="74"/>
      <c r="DM677" s="74"/>
      <c r="DN677" s="74"/>
      <c r="DO677" s="74"/>
      <c r="DP677" s="74"/>
      <c r="DQ677" s="74"/>
      <c r="DR677" s="74"/>
      <c r="DS677" s="74"/>
      <c r="DT677" s="74"/>
      <c r="DU677" s="74"/>
      <c r="DV677" s="74"/>
      <c r="DW677" s="74"/>
    </row>
    <row r="678">
      <c r="A678" s="23" t="s">
        <v>64</v>
      </c>
      <c r="B678" s="23" t="s">
        <v>56</v>
      </c>
      <c r="C678" s="31" t="s">
        <v>277</v>
      </c>
      <c r="D678" s="25" t="str">
        <f>IFERROR(__xludf.DUMMYFUNCTION("SPLIT(C678,"" "")"),"Badgett,")</f>
        <v>Badgett,</v>
      </c>
      <c r="E678" s="22" t="str">
        <f>IFERROR(__xludf.DUMMYFUNCTION("""COMPUTED_VALUE"""),"Charles
8602")</f>
        <v>Charles
8602</v>
      </c>
      <c r="F678" s="22" t="str">
        <f>IFERROR(__xludf.DUMMYFUNCTION("""COMPUTED_VALUE"""),"Middle")</f>
        <v>Middle</v>
      </c>
      <c r="G678" s="22" t="str">
        <f>IFERROR(__xludf.DUMMYFUNCTION("""COMPUTED_VALUE"""),"Downs")</f>
        <v>Downs</v>
      </c>
      <c r="H678" s="22" t="str">
        <f>IFERROR(__xludf.DUMMYFUNCTION("""COMPUTED_VALUE"""),"Dr.
Dallas,")</f>
        <v>Dr.
Dallas,</v>
      </c>
      <c r="I678" s="22" t="str">
        <f>IFERROR(__xludf.DUMMYFUNCTION("""COMPUTED_VALUE"""),"TX")</f>
        <v>TX</v>
      </c>
      <c r="J678" s="22">
        <f>IFERROR(__xludf.DUMMYFUNCTION("""COMPUTED_VALUE"""),75243.0)</f>
        <v>75243</v>
      </c>
      <c r="K678" s="22"/>
      <c r="L678" s="22"/>
      <c r="M678" s="22"/>
      <c r="N678" s="22"/>
      <c r="O678" s="22"/>
      <c r="P678" s="22"/>
      <c r="Q678" s="22"/>
      <c r="R678" s="22"/>
      <c r="S678" s="22"/>
      <c r="T678" s="22"/>
      <c r="U678" s="24" t="str">
        <f>IFERROR(__xludf.DUMMYFUNCTION("SPLIT(E678,""01234567890"")"),"Charles
")</f>
        <v>Charles
</v>
      </c>
      <c r="V678" s="24" t="str">
        <f>IFERROR(__xludf.DUMMYFUNCTION("SPLIT(D678,"","")"),"Badgett")</f>
        <v>Badgett</v>
      </c>
      <c r="W678" s="25" t="str">
        <f t="shared" si="1"/>
        <v>CHARLES
 BADGETT</v>
      </c>
      <c r="X678" s="25" t="s">
        <v>278</v>
      </c>
      <c r="Y678" s="25">
        <v>75243.0</v>
      </c>
      <c r="Z678" s="25" t="str">
        <f>IFERROR(__xludf.DUMMYFUNCTION("SPLIT(C678,""
"")"),"Badgett, Charles")</f>
        <v>Badgett, Charles</v>
      </c>
      <c r="AA678" s="25" t="str">
        <f>IFERROR(__xludf.DUMMYFUNCTION("""COMPUTED_VALUE"""),"8602 Middle Downs Dr.")</f>
        <v>8602 Middle Downs Dr.</v>
      </c>
      <c r="AB678" s="25" t="str">
        <f>IFERROR(__xludf.DUMMYFUNCTION("""COMPUTED_VALUE"""),"Dallas, TX 75243")</f>
        <v>Dallas, TX 75243</v>
      </c>
      <c r="AC678" s="24" t="s">
        <v>279</v>
      </c>
      <c r="AD678" s="25"/>
      <c r="AE678" s="25"/>
      <c r="AF678" s="25"/>
      <c r="AG678" s="22" t="s">
        <v>60</v>
      </c>
      <c r="AH678" s="54">
        <v>2477.0</v>
      </c>
      <c r="AI678" s="22" t="s">
        <v>68</v>
      </c>
      <c r="AJ678" s="27">
        <v>1000.0</v>
      </c>
      <c r="AK678" s="31" t="s">
        <v>26</v>
      </c>
      <c r="AL678" s="28">
        <v>44883.0</v>
      </c>
      <c r="AM678" s="29">
        <v>44940.42346064815</v>
      </c>
      <c r="AN678" s="30">
        <v>2.0</v>
      </c>
      <c r="AO678" s="22"/>
      <c r="AP678" s="22"/>
      <c r="AQ678" s="22"/>
      <c r="AR678" s="22"/>
      <c r="AS678" s="22"/>
      <c r="AT678" s="70"/>
      <c r="AU678" s="22"/>
      <c r="AV678" s="57" t="str">
        <f>IFERROR(__xludf.DUMMYFUNCTION("""COMPUTED_VALUE"""),"Nayeb")</f>
        <v>Nayeb</v>
      </c>
      <c r="AW678" s="46">
        <f t="shared" si="7"/>
        <v>500</v>
      </c>
      <c r="AX678" s="47">
        <f t="shared" ref="AX678:BQ678" si="2145">SUMIFS($AJ:$AJ,$V:$V,$AV678,$AK:$AK,AX$2)</f>
        <v>0</v>
      </c>
      <c r="AY678" s="48">
        <f t="shared" si="2145"/>
        <v>0</v>
      </c>
      <c r="AZ678" s="48">
        <f t="shared" si="2145"/>
        <v>0</v>
      </c>
      <c r="BA678" s="48">
        <f t="shared" si="2145"/>
        <v>0</v>
      </c>
      <c r="BB678" s="48">
        <f t="shared" si="2145"/>
        <v>0</v>
      </c>
      <c r="BC678" s="48">
        <f t="shared" si="2145"/>
        <v>0</v>
      </c>
      <c r="BD678" s="48">
        <f t="shared" si="2145"/>
        <v>0</v>
      </c>
      <c r="BE678" s="48">
        <f t="shared" si="2145"/>
        <v>0</v>
      </c>
      <c r="BF678" s="48">
        <f t="shared" si="2145"/>
        <v>0</v>
      </c>
      <c r="BG678" s="48">
        <f t="shared" si="2145"/>
        <v>0</v>
      </c>
      <c r="BH678" s="48">
        <f t="shared" si="2145"/>
        <v>500</v>
      </c>
      <c r="BI678" s="48">
        <f t="shared" si="2145"/>
        <v>0</v>
      </c>
      <c r="BJ678" s="48">
        <f t="shared" si="2145"/>
        <v>0</v>
      </c>
      <c r="BK678" s="48">
        <f t="shared" si="2145"/>
        <v>0</v>
      </c>
      <c r="BL678" s="48">
        <f t="shared" si="2145"/>
        <v>0</v>
      </c>
      <c r="BM678" s="48">
        <f t="shared" si="2145"/>
        <v>0</v>
      </c>
      <c r="BN678" s="48">
        <f t="shared" si="2145"/>
        <v>0</v>
      </c>
      <c r="BO678" s="48">
        <f t="shared" si="2145"/>
        <v>0</v>
      </c>
      <c r="BP678" s="48">
        <f t="shared" si="2145"/>
        <v>0</v>
      </c>
      <c r="BQ678" s="48">
        <f t="shared" si="2145"/>
        <v>0</v>
      </c>
      <c r="BR678" s="36">
        <f t="shared" si="9"/>
        <v>0</v>
      </c>
      <c r="BS678" s="38">
        <f t="shared" si="10"/>
        <v>1</v>
      </c>
      <c r="BT678" s="49">
        <f t="shared" si="11"/>
        <v>0</v>
      </c>
      <c r="BU678" s="38">
        <f t="shared" si="12"/>
        <v>1000</v>
      </c>
      <c r="BV678" s="57" t="str">
        <f>IFERROR(__xludf.DUMMYFUNCTION("""COMPUTED_VALUE"""),"Nayeb")</f>
        <v>Nayeb</v>
      </c>
      <c r="BW678" s="46">
        <f t="shared" si="13"/>
        <v>500</v>
      </c>
      <c r="BX678" s="47">
        <f t="shared" ref="BX678:CA678" si="2146">AX678-$BU678</f>
        <v>-1000</v>
      </c>
      <c r="BY678" s="47">
        <f t="shared" si="2146"/>
        <v>-1000</v>
      </c>
      <c r="BZ678" s="47">
        <f t="shared" si="2146"/>
        <v>-1000</v>
      </c>
      <c r="CA678" s="47">
        <f t="shared" si="2146"/>
        <v>-1000</v>
      </c>
      <c r="CB678" s="47">
        <f t="shared" si="15"/>
        <v>-10000</v>
      </c>
      <c r="CC678" s="47">
        <f t="shared" ref="CC678:CQ678" si="2147">BC678-$BU678</f>
        <v>-1000</v>
      </c>
      <c r="CD678" s="47">
        <f t="shared" si="2147"/>
        <v>-1000</v>
      </c>
      <c r="CE678" s="47">
        <f t="shared" si="2147"/>
        <v>-1000</v>
      </c>
      <c r="CF678" s="47">
        <f t="shared" si="2147"/>
        <v>-1000</v>
      </c>
      <c r="CG678" s="47">
        <f t="shared" si="2147"/>
        <v>-1000</v>
      </c>
      <c r="CH678" s="47">
        <f t="shared" si="2147"/>
        <v>-500</v>
      </c>
      <c r="CI678" s="47">
        <f t="shared" si="2147"/>
        <v>-1000</v>
      </c>
      <c r="CJ678" s="47">
        <f t="shared" si="2147"/>
        <v>-1000</v>
      </c>
      <c r="CK678" s="47">
        <f t="shared" si="2147"/>
        <v>-1000</v>
      </c>
      <c r="CL678" s="47">
        <f t="shared" si="2147"/>
        <v>-1000</v>
      </c>
      <c r="CM678" s="47">
        <f t="shared" si="2147"/>
        <v>-1000</v>
      </c>
      <c r="CN678" s="47">
        <f t="shared" si="2147"/>
        <v>-1000</v>
      </c>
      <c r="CO678" s="47">
        <f t="shared" si="2147"/>
        <v>-1000</v>
      </c>
      <c r="CP678" s="47">
        <f t="shared" si="2147"/>
        <v>-1000</v>
      </c>
      <c r="CQ678" s="47">
        <f t="shared" si="2147"/>
        <v>-1000</v>
      </c>
      <c r="CR678" s="47"/>
      <c r="CS678" s="47"/>
      <c r="CT678" s="47"/>
      <c r="CU678" s="74"/>
      <c r="CV678" s="74"/>
      <c r="CW678" s="74" t="str">
        <f>IFERROR(__xludf.DUMMYFUNCTION("IF(REGEXMATCH(UPPER(CU678), ""DALLAS""),,CU678)"),"")</f>
        <v/>
      </c>
      <c r="CX678" s="74"/>
      <c r="CY678" s="74"/>
      <c r="CZ678" s="74"/>
      <c r="DA678" s="75"/>
      <c r="DB678" s="74"/>
      <c r="DC678" s="74"/>
      <c r="DD678" s="74"/>
      <c r="DE678" s="74"/>
      <c r="DF678" s="74"/>
      <c r="DG678" s="74"/>
      <c r="DH678" s="74"/>
      <c r="DI678" s="74"/>
      <c r="DJ678" s="74"/>
      <c r="DK678" s="74"/>
      <c r="DL678" s="74"/>
      <c r="DM678" s="74"/>
      <c r="DN678" s="74"/>
      <c r="DO678" s="74"/>
      <c r="DP678" s="74"/>
      <c r="DQ678" s="74"/>
      <c r="DR678" s="74"/>
      <c r="DS678" s="74"/>
      <c r="DT678" s="74"/>
      <c r="DU678" s="74"/>
      <c r="DV678" s="74"/>
      <c r="DW678" s="74"/>
    </row>
    <row r="679">
      <c r="A679" s="41" t="s">
        <v>64</v>
      </c>
      <c r="B679" s="41" t="s">
        <v>56</v>
      </c>
      <c r="C679" s="31" t="s">
        <v>1791</v>
      </c>
      <c r="D679" s="25" t="str">
        <f>IFERROR(__xludf.DUMMYFUNCTION("SPLIT(C679,"" "")"),"Glendenning,")</f>
        <v>Glendenning,</v>
      </c>
      <c r="E679" s="40" t="str">
        <f>IFERROR(__xludf.DUMMYFUNCTION("""COMPUTED_VALUE"""),"Don
2200")</f>
        <v>Don
2200</v>
      </c>
      <c r="F679" s="40" t="str">
        <f>IFERROR(__xludf.DUMMYFUNCTION("""COMPUTED_VALUE"""),"Ross")</f>
        <v>Ross</v>
      </c>
      <c r="G679" s="40" t="str">
        <f>IFERROR(__xludf.DUMMYFUNCTION("""COMPUTED_VALUE"""),"Avenue
Dallas,")</f>
        <v>Avenue
Dallas,</v>
      </c>
      <c r="H679" s="40" t="str">
        <f>IFERROR(__xludf.DUMMYFUNCTION("""COMPUTED_VALUE"""),"TX")</f>
        <v>TX</v>
      </c>
      <c r="I679" s="40">
        <f>IFERROR(__xludf.DUMMYFUNCTION("""COMPUTED_VALUE"""),75201.0)</f>
        <v>75201</v>
      </c>
      <c r="J679" s="40"/>
      <c r="K679" s="40"/>
      <c r="L679" s="40"/>
      <c r="M679" s="40"/>
      <c r="N679" s="40"/>
      <c r="O679" s="40"/>
      <c r="P679" s="40"/>
      <c r="Q679" s="40"/>
      <c r="R679" s="40"/>
      <c r="S679" s="40"/>
      <c r="T679" s="40"/>
      <c r="U679" s="24" t="str">
        <f>IFERROR(__xludf.DUMMYFUNCTION("SPLIT(E679,""01234567890"")"),"Don
")</f>
        <v>Don
</v>
      </c>
      <c r="V679" s="24" t="str">
        <f>IFERROR(__xludf.DUMMYFUNCTION("SPLIT(D679,"","")"),"Glendenning")</f>
        <v>Glendenning</v>
      </c>
      <c r="W679" s="25" t="str">
        <f t="shared" si="1"/>
        <v>DON
 GLENDENNING</v>
      </c>
      <c r="X679" s="25" t="s">
        <v>1792</v>
      </c>
      <c r="Y679" s="25">
        <v>75201.0</v>
      </c>
      <c r="Z679" s="25" t="str">
        <f>IFERROR(__xludf.DUMMYFUNCTION("SPLIT(C679,""
"")"),"Glendenning, Don")</f>
        <v>Glendenning, Don</v>
      </c>
      <c r="AA679" s="25" t="str">
        <f>IFERROR(__xludf.DUMMYFUNCTION("""COMPUTED_VALUE"""),"2200 Ross Avenue")</f>
        <v>2200 Ross Avenue</v>
      </c>
      <c r="AB679" s="25" t="str">
        <f>IFERROR(__xludf.DUMMYFUNCTION("""COMPUTED_VALUE"""),"Dallas, TX 75201")</f>
        <v>Dallas, TX 75201</v>
      </c>
      <c r="AC679" s="24" t="s">
        <v>769</v>
      </c>
      <c r="AD679" s="25"/>
      <c r="AE679" s="25"/>
      <c r="AF679" s="25"/>
      <c r="AG679" s="40" t="s">
        <v>60</v>
      </c>
      <c r="AH679" s="42">
        <v>2477.0</v>
      </c>
      <c r="AI679" s="40" t="s">
        <v>68</v>
      </c>
      <c r="AJ679" s="27">
        <v>1000.0</v>
      </c>
      <c r="AK679" s="31" t="s">
        <v>26</v>
      </c>
      <c r="AL679" s="43">
        <v>44883.0</v>
      </c>
      <c r="AM679" s="44">
        <v>44940.42346064815</v>
      </c>
      <c r="AN679" s="30">
        <v>2.0</v>
      </c>
      <c r="AO679" s="40"/>
      <c r="AP679" s="40"/>
      <c r="AQ679" s="40"/>
      <c r="AR679" s="40"/>
      <c r="AS679" s="40"/>
      <c r="AT679" s="47"/>
      <c r="AU679" s="40"/>
      <c r="AV679" s="46" t="str">
        <f>IFERROR(__xludf.DUMMYFUNCTION("""COMPUTED_VALUE"""),"Kittleson")</f>
        <v>Kittleson</v>
      </c>
      <c r="AW679" s="46">
        <f t="shared" si="7"/>
        <v>500</v>
      </c>
      <c r="AX679" s="47">
        <f t="shared" ref="AX679:BQ679" si="2148">SUMIFS($AJ:$AJ,$V:$V,$AV679,$AK:$AK,AX$2)</f>
        <v>0</v>
      </c>
      <c r="AY679" s="48">
        <f t="shared" si="2148"/>
        <v>0</v>
      </c>
      <c r="AZ679" s="48">
        <f t="shared" si="2148"/>
        <v>0</v>
      </c>
      <c r="BA679" s="48">
        <f t="shared" si="2148"/>
        <v>0</v>
      </c>
      <c r="BB679" s="48">
        <f t="shared" si="2148"/>
        <v>0</v>
      </c>
      <c r="BC679" s="48">
        <f t="shared" si="2148"/>
        <v>0</v>
      </c>
      <c r="BD679" s="48">
        <f t="shared" si="2148"/>
        <v>0</v>
      </c>
      <c r="BE679" s="48">
        <f t="shared" si="2148"/>
        <v>0</v>
      </c>
      <c r="BF679" s="48">
        <f t="shared" si="2148"/>
        <v>0</v>
      </c>
      <c r="BG679" s="48">
        <f t="shared" si="2148"/>
        <v>0</v>
      </c>
      <c r="BH679" s="48">
        <f t="shared" si="2148"/>
        <v>500</v>
      </c>
      <c r="BI679" s="48">
        <f t="shared" si="2148"/>
        <v>0</v>
      </c>
      <c r="BJ679" s="48">
        <f t="shared" si="2148"/>
        <v>0</v>
      </c>
      <c r="BK679" s="48">
        <f t="shared" si="2148"/>
        <v>0</v>
      </c>
      <c r="BL679" s="48">
        <f t="shared" si="2148"/>
        <v>0</v>
      </c>
      <c r="BM679" s="48">
        <f t="shared" si="2148"/>
        <v>0</v>
      </c>
      <c r="BN679" s="48">
        <f t="shared" si="2148"/>
        <v>0</v>
      </c>
      <c r="BO679" s="48">
        <f t="shared" si="2148"/>
        <v>0</v>
      </c>
      <c r="BP679" s="48">
        <f t="shared" si="2148"/>
        <v>0</v>
      </c>
      <c r="BQ679" s="48">
        <f t="shared" si="2148"/>
        <v>0</v>
      </c>
      <c r="BR679" s="36">
        <f t="shared" si="9"/>
        <v>0</v>
      </c>
      <c r="BS679" s="38">
        <f t="shared" si="10"/>
        <v>1</v>
      </c>
      <c r="BT679" s="49">
        <f t="shared" si="11"/>
        <v>0</v>
      </c>
      <c r="BU679" s="38">
        <f t="shared" si="12"/>
        <v>1000</v>
      </c>
      <c r="BV679" s="46" t="str">
        <f>IFERROR(__xludf.DUMMYFUNCTION("""COMPUTED_VALUE"""),"Kittleson")</f>
        <v>Kittleson</v>
      </c>
      <c r="BW679" s="46">
        <f t="shared" si="13"/>
        <v>500</v>
      </c>
      <c r="BX679" s="47">
        <f t="shared" ref="BX679:CA679" si="2149">AX679-$BU679</f>
        <v>-1000</v>
      </c>
      <c r="BY679" s="47">
        <f t="shared" si="2149"/>
        <v>-1000</v>
      </c>
      <c r="BZ679" s="47">
        <f t="shared" si="2149"/>
        <v>-1000</v>
      </c>
      <c r="CA679" s="47">
        <f t="shared" si="2149"/>
        <v>-1000</v>
      </c>
      <c r="CB679" s="47">
        <f t="shared" si="15"/>
        <v>-10000</v>
      </c>
      <c r="CC679" s="47">
        <f t="shared" ref="CC679:CQ679" si="2150">BC679-$BU679</f>
        <v>-1000</v>
      </c>
      <c r="CD679" s="47">
        <f t="shared" si="2150"/>
        <v>-1000</v>
      </c>
      <c r="CE679" s="47">
        <f t="shared" si="2150"/>
        <v>-1000</v>
      </c>
      <c r="CF679" s="47">
        <f t="shared" si="2150"/>
        <v>-1000</v>
      </c>
      <c r="CG679" s="47">
        <f t="shared" si="2150"/>
        <v>-1000</v>
      </c>
      <c r="CH679" s="47">
        <f t="shared" si="2150"/>
        <v>-500</v>
      </c>
      <c r="CI679" s="47">
        <f t="shared" si="2150"/>
        <v>-1000</v>
      </c>
      <c r="CJ679" s="47">
        <f t="shared" si="2150"/>
        <v>-1000</v>
      </c>
      <c r="CK679" s="47">
        <f t="shared" si="2150"/>
        <v>-1000</v>
      </c>
      <c r="CL679" s="47">
        <f t="shared" si="2150"/>
        <v>-1000</v>
      </c>
      <c r="CM679" s="47">
        <f t="shared" si="2150"/>
        <v>-1000</v>
      </c>
      <c r="CN679" s="47">
        <f t="shared" si="2150"/>
        <v>-1000</v>
      </c>
      <c r="CO679" s="47">
        <f t="shared" si="2150"/>
        <v>-1000</v>
      </c>
      <c r="CP679" s="47">
        <f t="shared" si="2150"/>
        <v>-1000</v>
      </c>
      <c r="CQ679" s="47">
        <f t="shared" si="2150"/>
        <v>-1000</v>
      </c>
      <c r="CR679" s="47"/>
      <c r="CS679" s="47"/>
      <c r="CT679" s="47"/>
      <c r="CU679" s="74"/>
      <c r="CV679" s="74"/>
      <c r="CW679" s="74" t="str">
        <f>IFERROR(__xludf.DUMMYFUNCTION("IF(REGEXMATCH(UPPER(CU679), ""DALLAS""),,CU679)"),"")</f>
        <v/>
      </c>
      <c r="CX679" s="74"/>
      <c r="CY679" s="74"/>
      <c r="CZ679" s="74"/>
      <c r="DA679" s="75"/>
      <c r="DB679" s="74"/>
      <c r="DC679" s="74"/>
      <c r="DD679" s="74"/>
      <c r="DE679" s="74"/>
      <c r="DF679" s="74"/>
      <c r="DG679" s="74"/>
      <c r="DH679" s="74"/>
      <c r="DI679" s="74"/>
      <c r="DJ679" s="74"/>
      <c r="DK679" s="74"/>
      <c r="DL679" s="74"/>
      <c r="DM679" s="74"/>
      <c r="DN679" s="74"/>
      <c r="DO679" s="74"/>
      <c r="DP679" s="74"/>
      <c r="DQ679" s="74"/>
      <c r="DR679" s="74"/>
      <c r="DS679" s="74"/>
      <c r="DT679" s="74"/>
      <c r="DU679" s="74"/>
      <c r="DV679" s="74"/>
      <c r="DW679" s="74"/>
    </row>
    <row r="680">
      <c r="A680" s="23" t="s">
        <v>64</v>
      </c>
      <c r="B680" s="23" t="s">
        <v>56</v>
      </c>
      <c r="C680" s="31" t="s">
        <v>1793</v>
      </c>
      <c r="D680" s="25" t="str">
        <f>IFERROR(__xludf.DUMMYFUNCTION("SPLIT(C680,"" "")"),"Siegers,")</f>
        <v>Siegers,</v>
      </c>
      <c r="E680" s="22" t="str">
        <f>IFERROR(__xludf.DUMMYFUNCTION("""COMPUTED_VALUE"""),"Rolf
9432")</f>
        <v>Rolf
9432</v>
      </c>
      <c r="F680" s="22" t="str">
        <f>IFERROR(__xludf.DUMMYFUNCTION("""COMPUTED_VALUE"""),"Brentgate
Dallas,")</f>
        <v>Brentgate
Dallas,</v>
      </c>
      <c r="G680" s="22" t="str">
        <f>IFERROR(__xludf.DUMMYFUNCTION("""COMPUTED_VALUE"""),"TX")</f>
        <v>TX</v>
      </c>
      <c r="H680" s="22">
        <f>IFERROR(__xludf.DUMMYFUNCTION("""COMPUTED_VALUE"""),75238.0)</f>
        <v>75238</v>
      </c>
      <c r="I680" s="22"/>
      <c r="J680" s="22"/>
      <c r="K680" s="22"/>
      <c r="L680" s="22"/>
      <c r="M680" s="22"/>
      <c r="N680" s="22"/>
      <c r="O680" s="22"/>
      <c r="P680" s="22"/>
      <c r="Q680" s="22"/>
      <c r="R680" s="22"/>
      <c r="S680" s="22"/>
      <c r="T680" s="22"/>
      <c r="U680" s="24" t="str">
        <f>IFERROR(__xludf.DUMMYFUNCTION("SPLIT(E680,""01234567890"")"),"Rolf
")</f>
        <v>Rolf
</v>
      </c>
      <c r="V680" s="24" t="str">
        <f>IFERROR(__xludf.DUMMYFUNCTION("SPLIT(D680,"","")"),"Siegers")</f>
        <v>Siegers</v>
      </c>
      <c r="W680" s="25" t="str">
        <f t="shared" si="1"/>
        <v>ROLF
 SIEGERS</v>
      </c>
      <c r="X680" s="25" t="s">
        <v>1794</v>
      </c>
      <c r="Y680" s="25">
        <v>75238.0</v>
      </c>
      <c r="Z680" s="25" t="str">
        <f>IFERROR(__xludf.DUMMYFUNCTION("SPLIT(C680,""
"")"),"Siegers, Rolf")</f>
        <v>Siegers, Rolf</v>
      </c>
      <c r="AA680" s="25" t="str">
        <f>IFERROR(__xludf.DUMMYFUNCTION("""COMPUTED_VALUE"""),"9432 Brentgate")</f>
        <v>9432 Brentgate</v>
      </c>
      <c r="AB680" s="25" t="str">
        <f>IFERROR(__xludf.DUMMYFUNCTION("""COMPUTED_VALUE"""),"Dallas, TX 75238")</f>
        <v>Dallas, TX 75238</v>
      </c>
      <c r="AC680" s="24" t="s">
        <v>1795</v>
      </c>
      <c r="AD680" s="25"/>
      <c r="AE680" s="25"/>
      <c r="AF680" s="25"/>
      <c r="AG680" s="22" t="s">
        <v>60</v>
      </c>
      <c r="AH680" s="54">
        <v>2477.0</v>
      </c>
      <c r="AI680" s="22" t="s">
        <v>68</v>
      </c>
      <c r="AJ680" s="27">
        <v>1000.0</v>
      </c>
      <c r="AK680" s="31" t="s">
        <v>26</v>
      </c>
      <c r="AL680" s="28">
        <v>44883.0</v>
      </c>
      <c r="AM680" s="29">
        <v>44940.42346064815</v>
      </c>
      <c r="AN680" s="30">
        <v>2.0</v>
      </c>
      <c r="AO680" s="22"/>
      <c r="AP680" s="22"/>
      <c r="AQ680" s="22"/>
      <c r="AR680" s="22"/>
      <c r="AS680" s="22"/>
      <c r="AT680" s="70"/>
      <c r="AU680" s="22"/>
      <c r="AV680" s="57" t="str">
        <f>IFERROR(__xludf.DUMMYFUNCTION("""COMPUTED_VALUE"""),"Mersky")</f>
        <v>Mersky</v>
      </c>
      <c r="AW680" s="46">
        <f t="shared" si="7"/>
        <v>100</v>
      </c>
      <c r="AX680" s="47">
        <f t="shared" ref="AX680:BQ680" si="2151">SUMIFS($AJ:$AJ,$V:$V,$AV680,$AK:$AK,AX$2)</f>
        <v>0</v>
      </c>
      <c r="AY680" s="48">
        <f t="shared" si="2151"/>
        <v>0</v>
      </c>
      <c r="AZ680" s="48">
        <f t="shared" si="2151"/>
        <v>0</v>
      </c>
      <c r="BA680" s="48">
        <f t="shared" si="2151"/>
        <v>0</v>
      </c>
      <c r="BB680" s="48">
        <f t="shared" si="2151"/>
        <v>0</v>
      </c>
      <c r="BC680" s="48">
        <f t="shared" si="2151"/>
        <v>0</v>
      </c>
      <c r="BD680" s="48">
        <f t="shared" si="2151"/>
        <v>0</v>
      </c>
      <c r="BE680" s="48">
        <f t="shared" si="2151"/>
        <v>0</v>
      </c>
      <c r="BF680" s="48">
        <f t="shared" si="2151"/>
        <v>0</v>
      </c>
      <c r="BG680" s="48">
        <f t="shared" si="2151"/>
        <v>0</v>
      </c>
      <c r="BH680" s="48">
        <f t="shared" si="2151"/>
        <v>100</v>
      </c>
      <c r="BI680" s="48">
        <f t="shared" si="2151"/>
        <v>0</v>
      </c>
      <c r="BJ680" s="48">
        <f t="shared" si="2151"/>
        <v>0</v>
      </c>
      <c r="BK680" s="48">
        <f t="shared" si="2151"/>
        <v>0</v>
      </c>
      <c r="BL680" s="48">
        <f t="shared" si="2151"/>
        <v>0</v>
      </c>
      <c r="BM680" s="48">
        <f t="shared" si="2151"/>
        <v>0</v>
      </c>
      <c r="BN680" s="48">
        <f t="shared" si="2151"/>
        <v>0</v>
      </c>
      <c r="BO680" s="48">
        <f t="shared" si="2151"/>
        <v>0</v>
      </c>
      <c r="BP680" s="48">
        <f t="shared" si="2151"/>
        <v>0</v>
      </c>
      <c r="BQ680" s="48">
        <f t="shared" si="2151"/>
        <v>0</v>
      </c>
      <c r="BR680" s="36">
        <f t="shared" si="9"/>
        <v>0</v>
      </c>
      <c r="BS680" s="38">
        <f t="shared" si="10"/>
        <v>1</v>
      </c>
      <c r="BT680" s="49">
        <f t="shared" si="11"/>
        <v>0</v>
      </c>
      <c r="BU680" s="38">
        <f t="shared" si="12"/>
        <v>1000</v>
      </c>
      <c r="BV680" s="57" t="str">
        <f>IFERROR(__xludf.DUMMYFUNCTION("""COMPUTED_VALUE"""),"Mersky")</f>
        <v>Mersky</v>
      </c>
      <c r="BW680" s="46">
        <f t="shared" si="13"/>
        <v>100</v>
      </c>
      <c r="BX680" s="47">
        <f t="shared" ref="BX680:CA680" si="2152">AX680-$BU680</f>
        <v>-1000</v>
      </c>
      <c r="BY680" s="47">
        <f t="shared" si="2152"/>
        <v>-1000</v>
      </c>
      <c r="BZ680" s="47">
        <f t="shared" si="2152"/>
        <v>-1000</v>
      </c>
      <c r="CA680" s="47">
        <f t="shared" si="2152"/>
        <v>-1000</v>
      </c>
      <c r="CB680" s="47">
        <f t="shared" si="15"/>
        <v>-10000</v>
      </c>
      <c r="CC680" s="47">
        <f t="shared" ref="CC680:CQ680" si="2153">BC680-$BU680</f>
        <v>-1000</v>
      </c>
      <c r="CD680" s="47">
        <f t="shared" si="2153"/>
        <v>-1000</v>
      </c>
      <c r="CE680" s="47">
        <f t="shared" si="2153"/>
        <v>-1000</v>
      </c>
      <c r="CF680" s="47">
        <f t="shared" si="2153"/>
        <v>-1000</v>
      </c>
      <c r="CG680" s="47">
        <f t="shared" si="2153"/>
        <v>-1000</v>
      </c>
      <c r="CH680" s="47">
        <f t="shared" si="2153"/>
        <v>-900</v>
      </c>
      <c r="CI680" s="47">
        <f t="shared" si="2153"/>
        <v>-1000</v>
      </c>
      <c r="CJ680" s="47">
        <f t="shared" si="2153"/>
        <v>-1000</v>
      </c>
      <c r="CK680" s="47">
        <f t="shared" si="2153"/>
        <v>-1000</v>
      </c>
      <c r="CL680" s="47">
        <f t="shared" si="2153"/>
        <v>-1000</v>
      </c>
      <c r="CM680" s="47">
        <f t="shared" si="2153"/>
        <v>-1000</v>
      </c>
      <c r="CN680" s="47">
        <f t="shared" si="2153"/>
        <v>-1000</v>
      </c>
      <c r="CO680" s="47">
        <f t="shared" si="2153"/>
        <v>-1000</v>
      </c>
      <c r="CP680" s="47">
        <f t="shared" si="2153"/>
        <v>-1000</v>
      </c>
      <c r="CQ680" s="47">
        <f t="shared" si="2153"/>
        <v>-1000</v>
      </c>
      <c r="CR680" s="47"/>
      <c r="CS680" s="47"/>
      <c r="CT680" s="47"/>
      <c r="CU680" s="74"/>
      <c r="CV680" s="74"/>
      <c r="CW680" s="74" t="str">
        <f>IFERROR(__xludf.DUMMYFUNCTION("IF(REGEXMATCH(UPPER(CU680), ""DALLAS""),,CU680)"),"")</f>
        <v/>
      </c>
      <c r="CX680" s="74"/>
      <c r="CY680" s="74"/>
      <c r="CZ680" s="74"/>
      <c r="DA680" s="75"/>
      <c r="DB680" s="74"/>
      <c r="DC680" s="74"/>
      <c r="DD680" s="74"/>
      <c r="DE680" s="74"/>
      <c r="DF680" s="74"/>
      <c r="DG680" s="74"/>
      <c r="DH680" s="74"/>
      <c r="DI680" s="74"/>
      <c r="DJ680" s="74"/>
      <c r="DK680" s="74"/>
      <c r="DL680" s="74"/>
      <c r="DM680" s="74"/>
      <c r="DN680" s="74"/>
      <c r="DO680" s="74"/>
      <c r="DP680" s="74"/>
      <c r="DQ680" s="74"/>
      <c r="DR680" s="74"/>
      <c r="DS680" s="74"/>
      <c r="DT680" s="74"/>
      <c r="DU680" s="74"/>
      <c r="DV680" s="74"/>
      <c r="DW680" s="74"/>
    </row>
    <row r="681">
      <c r="A681" s="41" t="s">
        <v>64</v>
      </c>
      <c r="B681" s="41" t="s">
        <v>56</v>
      </c>
      <c r="C681" s="31" t="s">
        <v>1796</v>
      </c>
      <c r="D681" s="25" t="str">
        <f>IFERROR(__xludf.DUMMYFUNCTION("SPLIT(C681,"" "")"),"Siegers,")</f>
        <v>Siegers,</v>
      </c>
      <c r="E681" s="40" t="str">
        <f>IFERROR(__xludf.DUMMYFUNCTION("""COMPUTED_VALUE"""),"Anita
9432")</f>
        <v>Anita
9432</v>
      </c>
      <c r="F681" s="40" t="str">
        <f>IFERROR(__xludf.DUMMYFUNCTION("""COMPUTED_VALUE"""),"Brentgate
Dallas,")</f>
        <v>Brentgate
Dallas,</v>
      </c>
      <c r="G681" s="40" t="str">
        <f>IFERROR(__xludf.DUMMYFUNCTION("""COMPUTED_VALUE"""),"TX")</f>
        <v>TX</v>
      </c>
      <c r="H681" s="40">
        <f>IFERROR(__xludf.DUMMYFUNCTION("""COMPUTED_VALUE"""),75238.0)</f>
        <v>75238</v>
      </c>
      <c r="I681" s="40"/>
      <c r="J681" s="40"/>
      <c r="K681" s="40"/>
      <c r="L681" s="40"/>
      <c r="M681" s="40"/>
      <c r="N681" s="40"/>
      <c r="O681" s="40"/>
      <c r="P681" s="40"/>
      <c r="Q681" s="40"/>
      <c r="R681" s="40"/>
      <c r="S681" s="40"/>
      <c r="T681" s="40"/>
      <c r="U681" s="24" t="str">
        <f>IFERROR(__xludf.DUMMYFUNCTION("SPLIT(E681,""01234567890"")"),"Anita
")</f>
        <v>Anita
</v>
      </c>
      <c r="V681" s="24" t="str">
        <f>IFERROR(__xludf.DUMMYFUNCTION("SPLIT(D681,"","")"),"Siegers")</f>
        <v>Siegers</v>
      </c>
      <c r="W681" s="25" t="str">
        <f t="shared" si="1"/>
        <v>ANITA
 SIEGERS</v>
      </c>
      <c r="X681" s="25" t="s">
        <v>1794</v>
      </c>
      <c r="Y681" s="25">
        <v>75238.0</v>
      </c>
      <c r="Z681" s="25" t="str">
        <f>IFERROR(__xludf.DUMMYFUNCTION("SPLIT(C681,""
"")"),"Siegers, Anita")</f>
        <v>Siegers, Anita</v>
      </c>
      <c r="AA681" s="25" t="str">
        <f>IFERROR(__xludf.DUMMYFUNCTION("""COMPUTED_VALUE"""),"9432 Brentgate")</f>
        <v>9432 Brentgate</v>
      </c>
      <c r="AB681" s="25" t="str">
        <f>IFERROR(__xludf.DUMMYFUNCTION("""COMPUTED_VALUE"""),"Dallas, TX 75238")</f>
        <v>Dallas, TX 75238</v>
      </c>
      <c r="AC681" s="24" t="s">
        <v>1797</v>
      </c>
      <c r="AD681" s="25"/>
      <c r="AE681" s="25"/>
      <c r="AF681" s="25"/>
      <c r="AG681" s="40" t="s">
        <v>60</v>
      </c>
      <c r="AH681" s="42">
        <v>2477.0</v>
      </c>
      <c r="AI681" s="40" t="s">
        <v>68</v>
      </c>
      <c r="AJ681" s="27">
        <v>1000.0</v>
      </c>
      <c r="AK681" s="31" t="s">
        <v>26</v>
      </c>
      <c r="AL681" s="43">
        <v>44883.0</v>
      </c>
      <c r="AM681" s="44">
        <v>44940.42346064815</v>
      </c>
      <c r="AN681" s="30">
        <v>2.0</v>
      </c>
      <c r="AO681" s="40"/>
      <c r="AP681" s="40"/>
      <c r="AQ681" s="40"/>
      <c r="AR681" s="40"/>
      <c r="AS681" s="40"/>
      <c r="AT681" s="47"/>
      <c r="AU681" s="40"/>
      <c r="AV681" s="46" t="str">
        <f>IFERROR(__xludf.DUMMYFUNCTION("""COMPUTED_VALUE"""),"Ginsburg")</f>
        <v>Ginsburg</v>
      </c>
      <c r="AW681" s="46">
        <f t="shared" si="7"/>
        <v>1750</v>
      </c>
      <c r="AX681" s="47">
        <f t="shared" ref="AX681:BQ681" si="2154">SUMIFS($AJ:$AJ,$V:$V,$AV681,$AK:$AK,AX$2)</f>
        <v>1500</v>
      </c>
      <c r="AY681" s="48">
        <f t="shared" si="2154"/>
        <v>0</v>
      </c>
      <c r="AZ681" s="48">
        <f t="shared" si="2154"/>
        <v>0</v>
      </c>
      <c r="BA681" s="48">
        <f t="shared" si="2154"/>
        <v>0</v>
      </c>
      <c r="BB681" s="48">
        <f t="shared" si="2154"/>
        <v>0</v>
      </c>
      <c r="BC681" s="48">
        <f t="shared" si="2154"/>
        <v>0</v>
      </c>
      <c r="BD681" s="48">
        <f t="shared" si="2154"/>
        <v>0</v>
      </c>
      <c r="BE681" s="48">
        <f t="shared" si="2154"/>
        <v>0</v>
      </c>
      <c r="BF681" s="48">
        <f t="shared" si="2154"/>
        <v>0</v>
      </c>
      <c r="BG681" s="48">
        <f t="shared" si="2154"/>
        <v>0</v>
      </c>
      <c r="BH681" s="48">
        <f t="shared" si="2154"/>
        <v>250</v>
      </c>
      <c r="BI681" s="48">
        <f t="shared" si="2154"/>
        <v>0</v>
      </c>
      <c r="BJ681" s="48">
        <f t="shared" si="2154"/>
        <v>0</v>
      </c>
      <c r="BK681" s="48">
        <f t="shared" si="2154"/>
        <v>0</v>
      </c>
      <c r="BL681" s="48">
        <f t="shared" si="2154"/>
        <v>0</v>
      </c>
      <c r="BM681" s="48">
        <f t="shared" si="2154"/>
        <v>0</v>
      </c>
      <c r="BN681" s="48">
        <f t="shared" si="2154"/>
        <v>0</v>
      </c>
      <c r="BO681" s="48">
        <f t="shared" si="2154"/>
        <v>0</v>
      </c>
      <c r="BP681" s="48">
        <f t="shared" si="2154"/>
        <v>0</v>
      </c>
      <c r="BQ681" s="48">
        <f t="shared" si="2154"/>
        <v>0</v>
      </c>
      <c r="BR681" s="36">
        <f t="shared" si="9"/>
        <v>1</v>
      </c>
      <c r="BS681" s="38">
        <f t="shared" si="10"/>
        <v>2</v>
      </c>
      <c r="BT681" s="49">
        <f t="shared" si="11"/>
        <v>0</v>
      </c>
      <c r="BU681" s="38">
        <f t="shared" si="12"/>
        <v>2000</v>
      </c>
      <c r="BV681" s="46" t="str">
        <f>IFERROR(__xludf.DUMMYFUNCTION("""COMPUTED_VALUE"""),"Ginsburg")</f>
        <v>Ginsburg</v>
      </c>
      <c r="BW681" s="46">
        <f t="shared" si="13"/>
        <v>1750</v>
      </c>
      <c r="BX681" s="47">
        <f t="shared" ref="BX681:CA681" si="2155">AX681-$BU681</f>
        <v>-500</v>
      </c>
      <c r="BY681" s="47">
        <f t="shared" si="2155"/>
        <v>-2000</v>
      </c>
      <c r="BZ681" s="47">
        <f t="shared" si="2155"/>
        <v>-2000</v>
      </c>
      <c r="CA681" s="47">
        <f t="shared" si="2155"/>
        <v>-2000</v>
      </c>
      <c r="CB681" s="47">
        <f t="shared" si="15"/>
        <v>-20000</v>
      </c>
      <c r="CC681" s="47">
        <f t="shared" ref="CC681:CQ681" si="2156">BC681-$BU681</f>
        <v>-2000</v>
      </c>
      <c r="CD681" s="47">
        <f t="shared" si="2156"/>
        <v>-2000</v>
      </c>
      <c r="CE681" s="47">
        <f t="shared" si="2156"/>
        <v>-2000</v>
      </c>
      <c r="CF681" s="47">
        <f t="shared" si="2156"/>
        <v>-2000</v>
      </c>
      <c r="CG681" s="47">
        <f t="shared" si="2156"/>
        <v>-2000</v>
      </c>
      <c r="CH681" s="47">
        <f t="shared" si="2156"/>
        <v>-1750</v>
      </c>
      <c r="CI681" s="47">
        <f t="shared" si="2156"/>
        <v>-2000</v>
      </c>
      <c r="CJ681" s="47">
        <f t="shared" si="2156"/>
        <v>-2000</v>
      </c>
      <c r="CK681" s="47">
        <f t="shared" si="2156"/>
        <v>-2000</v>
      </c>
      <c r="CL681" s="47">
        <f t="shared" si="2156"/>
        <v>-2000</v>
      </c>
      <c r="CM681" s="47">
        <f t="shared" si="2156"/>
        <v>-2000</v>
      </c>
      <c r="CN681" s="47">
        <f t="shared" si="2156"/>
        <v>-2000</v>
      </c>
      <c r="CO681" s="47">
        <f t="shared" si="2156"/>
        <v>-2000</v>
      </c>
      <c r="CP681" s="47">
        <f t="shared" si="2156"/>
        <v>-2000</v>
      </c>
      <c r="CQ681" s="47">
        <f t="shared" si="2156"/>
        <v>-2000</v>
      </c>
      <c r="CR681" s="47"/>
      <c r="CS681" s="47"/>
      <c r="CT681" s="47"/>
      <c r="CU681" s="74"/>
      <c r="CV681" s="74"/>
      <c r="CW681" s="74" t="str">
        <f>IFERROR(__xludf.DUMMYFUNCTION("IF(REGEXMATCH(UPPER(CU681), ""DALLAS""),,CU681)"),"")</f>
        <v/>
      </c>
      <c r="CX681" s="74"/>
      <c r="CY681" s="74"/>
      <c r="CZ681" s="74"/>
      <c r="DA681" s="75"/>
      <c r="DB681" s="74"/>
      <c r="DC681" s="74"/>
      <c r="DD681" s="74"/>
      <c r="DE681" s="74"/>
      <c r="DF681" s="74"/>
      <c r="DG681" s="74"/>
      <c r="DH681" s="74"/>
      <c r="DI681" s="74"/>
      <c r="DJ681" s="74"/>
      <c r="DK681" s="74"/>
      <c r="DL681" s="74"/>
      <c r="DM681" s="74"/>
      <c r="DN681" s="74"/>
      <c r="DO681" s="74"/>
      <c r="DP681" s="74"/>
      <c r="DQ681" s="74"/>
      <c r="DR681" s="74"/>
      <c r="DS681" s="74"/>
      <c r="DT681" s="74"/>
      <c r="DU681" s="74"/>
      <c r="DV681" s="74"/>
      <c r="DW681" s="74"/>
    </row>
    <row r="682">
      <c r="A682" s="23" t="s">
        <v>64</v>
      </c>
      <c r="B682" s="23" t="s">
        <v>56</v>
      </c>
      <c r="C682" s="31" t="s">
        <v>307</v>
      </c>
      <c r="D682" s="25" t="str">
        <f>IFERROR(__xludf.DUMMYFUNCTION("SPLIT(C682,"" "")"),"Barab,")</f>
        <v>Barab,</v>
      </c>
      <c r="E682" s="22" t="str">
        <f>IFERROR(__xludf.DUMMYFUNCTION("""COMPUTED_VALUE"""),"Stuart
9132")</f>
        <v>Stuart
9132</v>
      </c>
      <c r="F682" s="22" t="str">
        <f>IFERROR(__xludf.DUMMYFUNCTION("""COMPUTED_VALUE"""),"Branch")</f>
        <v>Branch</v>
      </c>
      <c r="G682" s="22" t="str">
        <f>IFERROR(__xludf.DUMMYFUNCTION("""COMPUTED_VALUE"""),"Hollow
Dallas,")</f>
        <v>Hollow
Dallas,</v>
      </c>
      <c r="H682" s="22" t="str">
        <f>IFERROR(__xludf.DUMMYFUNCTION("""COMPUTED_VALUE"""),"TX")</f>
        <v>TX</v>
      </c>
      <c r="I682" s="22">
        <f>IFERROR(__xludf.DUMMYFUNCTION("""COMPUTED_VALUE"""),75243.0)</f>
        <v>75243</v>
      </c>
      <c r="J682" s="22"/>
      <c r="K682" s="22"/>
      <c r="L682" s="22"/>
      <c r="M682" s="22"/>
      <c r="N682" s="22"/>
      <c r="O682" s="22"/>
      <c r="P682" s="22"/>
      <c r="Q682" s="22"/>
      <c r="R682" s="22"/>
      <c r="S682" s="22"/>
      <c r="T682" s="22"/>
      <c r="U682" s="24" t="str">
        <f>IFERROR(__xludf.DUMMYFUNCTION("SPLIT(E682,""01234567890"")"),"Stuart
")</f>
        <v>Stuart
</v>
      </c>
      <c r="V682" s="24" t="str">
        <f>IFERROR(__xludf.DUMMYFUNCTION("SPLIT(D682,"","")"),"Barab")</f>
        <v>Barab</v>
      </c>
      <c r="W682" s="25" t="str">
        <f t="shared" si="1"/>
        <v>STUART
 BARAB</v>
      </c>
      <c r="X682" s="25" t="s">
        <v>308</v>
      </c>
      <c r="Y682" s="25">
        <v>75243.0</v>
      </c>
      <c r="Z682" s="25" t="str">
        <f>IFERROR(__xludf.DUMMYFUNCTION("SPLIT(C682,""
"")"),"Barab, Stuart")</f>
        <v>Barab, Stuart</v>
      </c>
      <c r="AA682" s="25" t="str">
        <f>IFERROR(__xludf.DUMMYFUNCTION("""COMPUTED_VALUE"""),"9132 Branch Hollow")</f>
        <v>9132 Branch Hollow</v>
      </c>
      <c r="AB682" s="25" t="str">
        <f>IFERROR(__xludf.DUMMYFUNCTION("""COMPUTED_VALUE"""),"Dallas, TX 75243")</f>
        <v>Dallas, TX 75243</v>
      </c>
      <c r="AC682" s="24" t="s">
        <v>309</v>
      </c>
      <c r="AD682" s="25"/>
      <c r="AE682" s="25"/>
      <c r="AF682" s="25"/>
      <c r="AG682" s="22" t="s">
        <v>60</v>
      </c>
      <c r="AH682" s="54">
        <v>2477.0</v>
      </c>
      <c r="AI682" s="22" t="s">
        <v>68</v>
      </c>
      <c r="AJ682" s="27">
        <v>250.0</v>
      </c>
      <c r="AK682" s="31" t="s">
        <v>26</v>
      </c>
      <c r="AL682" s="28">
        <v>44883.0</v>
      </c>
      <c r="AM682" s="29">
        <v>44940.42346064815</v>
      </c>
      <c r="AN682" s="30">
        <v>2.0</v>
      </c>
      <c r="AO682" s="22"/>
      <c r="AP682" s="22"/>
      <c r="AQ682" s="22"/>
      <c r="AR682" s="22"/>
      <c r="AS682" s="22"/>
      <c r="AT682" s="70"/>
      <c r="AU682" s="22"/>
      <c r="AV682" s="57" t="str">
        <f>IFERROR(__xludf.DUMMYFUNCTION("""COMPUTED_VALUE"""),"Mizrahi")</f>
        <v>Mizrahi</v>
      </c>
      <c r="AW682" s="46">
        <f t="shared" si="7"/>
        <v>360</v>
      </c>
      <c r="AX682" s="47">
        <f t="shared" ref="AX682:BQ682" si="2157">SUMIFS($AJ:$AJ,$V:$V,$AV682,$AK:$AK,AX$2)</f>
        <v>0</v>
      </c>
      <c r="AY682" s="48">
        <f t="shared" si="2157"/>
        <v>0</v>
      </c>
      <c r="AZ682" s="48">
        <f t="shared" si="2157"/>
        <v>0</v>
      </c>
      <c r="BA682" s="48">
        <f t="shared" si="2157"/>
        <v>0</v>
      </c>
      <c r="BB682" s="48">
        <f t="shared" si="2157"/>
        <v>0</v>
      </c>
      <c r="BC682" s="48">
        <f t="shared" si="2157"/>
        <v>0</v>
      </c>
      <c r="BD682" s="48">
        <f t="shared" si="2157"/>
        <v>0</v>
      </c>
      <c r="BE682" s="48">
        <f t="shared" si="2157"/>
        <v>0</v>
      </c>
      <c r="BF682" s="48">
        <f t="shared" si="2157"/>
        <v>0</v>
      </c>
      <c r="BG682" s="48">
        <f t="shared" si="2157"/>
        <v>0</v>
      </c>
      <c r="BH682" s="48">
        <f t="shared" si="2157"/>
        <v>360</v>
      </c>
      <c r="BI682" s="48">
        <f t="shared" si="2157"/>
        <v>0</v>
      </c>
      <c r="BJ682" s="48">
        <f t="shared" si="2157"/>
        <v>0</v>
      </c>
      <c r="BK682" s="48">
        <f t="shared" si="2157"/>
        <v>0</v>
      </c>
      <c r="BL682" s="48">
        <f t="shared" si="2157"/>
        <v>0</v>
      </c>
      <c r="BM682" s="48">
        <f t="shared" si="2157"/>
        <v>0</v>
      </c>
      <c r="BN682" s="48">
        <f t="shared" si="2157"/>
        <v>0</v>
      </c>
      <c r="BO682" s="48">
        <f t="shared" si="2157"/>
        <v>0</v>
      </c>
      <c r="BP682" s="48">
        <f t="shared" si="2157"/>
        <v>0</v>
      </c>
      <c r="BQ682" s="48">
        <f t="shared" si="2157"/>
        <v>0</v>
      </c>
      <c r="BR682" s="36">
        <f t="shared" si="9"/>
        <v>0</v>
      </c>
      <c r="BS682" s="38">
        <f t="shared" si="10"/>
        <v>1</v>
      </c>
      <c r="BT682" s="49">
        <f t="shared" si="11"/>
        <v>0</v>
      </c>
      <c r="BU682" s="38">
        <f t="shared" si="12"/>
        <v>1000</v>
      </c>
      <c r="BV682" s="57" t="str">
        <f>IFERROR(__xludf.DUMMYFUNCTION("""COMPUTED_VALUE"""),"Mizrahi")</f>
        <v>Mizrahi</v>
      </c>
      <c r="BW682" s="46">
        <f t="shared" si="13"/>
        <v>360</v>
      </c>
      <c r="BX682" s="47">
        <f t="shared" ref="BX682:CA682" si="2158">AX682-$BU682</f>
        <v>-1000</v>
      </c>
      <c r="BY682" s="47">
        <f t="shared" si="2158"/>
        <v>-1000</v>
      </c>
      <c r="BZ682" s="47">
        <f t="shared" si="2158"/>
        <v>-1000</v>
      </c>
      <c r="CA682" s="47">
        <f t="shared" si="2158"/>
        <v>-1000</v>
      </c>
      <c r="CB682" s="47">
        <f t="shared" si="15"/>
        <v>-10000</v>
      </c>
      <c r="CC682" s="47">
        <f t="shared" ref="CC682:CQ682" si="2159">BC682-$BU682</f>
        <v>-1000</v>
      </c>
      <c r="CD682" s="47">
        <f t="shared" si="2159"/>
        <v>-1000</v>
      </c>
      <c r="CE682" s="47">
        <f t="shared" si="2159"/>
        <v>-1000</v>
      </c>
      <c r="CF682" s="47">
        <f t="shared" si="2159"/>
        <v>-1000</v>
      </c>
      <c r="CG682" s="47">
        <f t="shared" si="2159"/>
        <v>-1000</v>
      </c>
      <c r="CH682" s="47">
        <f t="shared" si="2159"/>
        <v>-640</v>
      </c>
      <c r="CI682" s="47">
        <f t="shared" si="2159"/>
        <v>-1000</v>
      </c>
      <c r="CJ682" s="47">
        <f t="shared" si="2159"/>
        <v>-1000</v>
      </c>
      <c r="CK682" s="47">
        <f t="shared" si="2159"/>
        <v>-1000</v>
      </c>
      <c r="CL682" s="47">
        <f t="shared" si="2159"/>
        <v>-1000</v>
      </c>
      <c r="CM682" s="47">
        <f t="shared" si="2159"/>
        <v>-1000</v>
      </c>
      <c r="CN682" s="47">
        <f t="shared" si="2159"/>
        <v>-1000</v>
      </c>
      <c r="CO682" s="47">
        <f t="shared" si="2159"/>
        <v>-1000</v>
      </c>
      <c r="CP682" s="47">
        <f t="shared" si="2159"/>
        <v>-1000</v>
      </c>
      <c r="CQ682" s="47">
        <f t="shared" si="2159"/>
        <v>-1000</v>
      </c>
      <c r="CR682" s="47"/>
      <c r="CS682" s="47"/>
      <c r="CT682" s="47"/>
      <c r="CU682" s="74"/>
      <c r="CV682" s="74"/>
      <c r="CW682" s="74" t="str">
        <f>IFERROR(__xludf.DUMMYFUNCTION("IF(REGEXMATCH(UPPER(CU682), ""DALLAS""),,CU682)"),"")</f>
        <v/>
      </c>
      <c r="CX682" s="74"/>
      <c r="CY682" s="74"/>
      <c r="CZ682" s="74"/>
      <c r="DA682" s="75"/>
      <c r="DB682" s="74"/>
      <c r="DC682" s="74"/>
      <c r="DD682" s="74"/>
      <c r="DE682" s="74"/>
      <c r="DF682" s="74"/>
      <c r="DG682" s="74"/>
      <c r="DH682" s="74"/>
      <c r="DI682" s="74"/>
      <c r="DJ682" s="74"/>
      <c r="DK682" s="74"/>
      <c r="DL682" s="74"/>
      <c r="DM682" s="74"/>
      <c r="DN682" s="74"/>
      <c r="DO682" s="74"/>
      <c r="DP682" s="74"/>
      <c r="DQ682" s="74"/>
      <c r="DR682" s="74"/>
      <c r="DS682" s="74"/>
      <c r="DT682" s="74"/>
      <c r="DU682" s="74"/>
      <c r="DV682" s="74"/>
      <c r="DW682" s="74"/>
    </row>
    <row r="683">
      <c r="A683" s="41" t="s">
        <v>64</v>
      </c>
      <c r="B683" s="41" t="s">
        <v>56</v>
      </c>
      <c r="C683" s="31" t="s">
        <v>1798</v>
      </c>
      <c r="D683" s="25" t="str">
        <f>IFERROR(__xludf.DUMMYFUNCTION("SPLIT(C683,"" "")"),"Boyd,")</f>
        <v>Boyd,</v>
      </c>
      <c r="E683" s="40" t="str">
        <f>IFERROR(__xludf.DUMMYFUNCTION("""COMPUTED_VALUE"""),"Bill
10140")</f>
        <v>Bill
10140</v>
      </c>
      <c r="F683" s="40" t="str">
        <f>IFERROR(__xludf.DUMMYFUNCTION("""COMPUTED_VALUE"""),"Ferndale
Dallas,")</f>
        <v>Ferndale
Dallas,</v>
      </c>
      <c r="G683" s="40" t="str">
        <f>IFERROR(__xludf.DUMMYFUNCTION("""COMPUTED_VALUE"""),"TX")</f>
        <v>TX</v>
      </c>
      <c r="H683" s="40">
        <f>IFERROR(__xludf.DUMMYFUNCTION("""COMPUTED_VALUE"""),75238.0)</f>
        <v>75238</v>
      </c>
      <c r="I683" s="40"/>
      <c r="J683" s="40"/>
      <c r="K683" s="40"/>
      <c r="L683" s="40"/>
      <c r="M683" s="40"/>
      <c r="N683" s="40"/>
      <c r="O683" s="40"/>
      <c r="P683" s="40"/>
      <c r="Q683" s="40"/>
      <c r="R683" s="40"/>
      <c r="S683" s="40"/>
      <c r="T683" s="40"/>
      <c r="U683" s="24" t="str">
        <f>IFERROR(__xludf.DUMMYFUNCTION("SPLIT(E683,""01234567890"")"),"Bill
")</f>
        <v>Bill
</v>
      </c>
      <c r="V683" s="24" t="str">
        <f>IFERROR(__xludf.DUMMYFUNCTION("SPLIT(D683,"","")"),"Boyd")</f>
        <v>Boyd</v>
      </c>
      <c r="W683" s="25" t="str">
        <f t="shared" si="1"/>
        <v>BILL
 BOYD</v>
      </c>
      <c r="X683" s="25" t="s">
        <v>1799</v>
      </c>
      <c r="Y683" s="25">
        <v>75238.0</v>
      </c>
      <c r="Z683" s="25" t="str">
        <f>IFERROR(__xludf.DUMMYFUNCTION("SPLIT(C683,""
"")"),"Boyd, Bill")</f>
        <v>Boyd, Bill</v>
      </c>
      <c r="AA683" s="25" t="str">
        <f>IFERROR(__xludf.DUMMYFUNCTION("""COMPUTED_VALUE"""),"10140 Ferndale")</f>
        <v>10140 Ferndale</v>
      </c>
      <c r="AB683" s="25" t="str">
        <f>IFERROR(__xludf.DUMMYFUNCTION("""COMPUTED_VALUE"""),"Dallas, TX 75238")</f>
        <v>Dallas, TX 75238</v>
      </c>
      <c r="AC683" s="24" t="s">
        <v>1800</v>
      </c>
      <c r="AD683" s="25"/>
      <c r="AE683" s="25"/>
      <c r="AF683" s="25"/>
      <c r="AG683" s="40" t="s">
        <v>60</v>
      </c>
      <c r="AH683" s="42">
        <v>2477.0</v>
      </c>
      <c r="AI683" s="40" t="s">
        <v>68</v>
      </c>
      <c r="AJ683" s="27">
        <v>500.0</v>
      </c>
      <c r="AK683" s="31" t="s">
        <v>26</v>
      </c>
      <c r="AL683" s="43">
        <v>44883.0</v>
      </c>
      <c r="AM683" s="44">
        <v>44940.42346064815</v>
      </c>
      <c r="AN683" s="30">
        <v>2.0</v>
      </c>
      <c r="AO683" s="40"/>
      <c r="AP683" s="40"/>
      <c r="AQ683" s="40"/>
      <c r="AR683" s="40"/>
      <c r="AS683" s="40"/>
      <c r="AT683" s="47"/>
      <c r="AU683" s="40"/>
      <c r="AV683" s="46" t="str">
        <f>IFERROR(__xludf.DUMMYFUNCTION("""COMPUTED_VALUE"""),"Hebley")</f>
        <v>Hebley</v>
      </c>
      <c r="AW683" s="46">
        <f t="shared" si="7"/>
        <v>50</v>
      </c>
      <c r="AX683" s="47">
        <f t="shared" ref="AX683:BQ683" si="2160">SUMIFS($AJ:$AJ,$V:$V,$AV683,$AK:$AK,AX$2)</f>
        <v>0</v>
      </c>
      <c r="AY683" s="48">
        <f t="shared" si="2160"/>
        <v>0</v>
      </c>
      <c r="AZ683" s="48">
        <f t="shared" si="2160"/>
        <v>0</v>
      </c>
      <c r="BA683" s="48">
        <f t="shared" si="2160"/>
        <v>0</v>
      </c>
      <c r="BB683" s="48">
        <f t="shared" si="2160"/>
        <v>0</v>
      </c>
      <c r="BC683" s="48">
        <f t="shared" si="2160"/>
        <v>0</v>
      </c>
      <c r="BD683" s="48">
        <f t="shared" si="2160"/>
        <v>0</v>
      </c>
      <c r="BE683" s="48">
        <f t="shared" si="2160"/>
        <v>0</v>
      </c>
      <c r="BF683" s="48">
        <f t="shared" si="2160"/>
        <v>0</v>
      </c>
      <c r="BG683" s="48">
        <f t="shared" si="2160"/>
        <v>0</v>
      </c>
      <c r="BH683" s="48">
        <f t="shared" si="2160"/>
        <v>50</v>
      </c>
      <c r="BI683" s="48">
        <f t="shared" si="2160"/>
        <v>0</v>
      </c>
      <c r="BJ683" s="48">
        <f t="shared" si="2160"/>
        <v>0</v>
      </c>
      <c r="BK683" s="48">
        <f t="shared" si="2160"/>
        <v>0</v>
      </c>
      <c r="BL683" s="48">
        <f t="shared" si="2160"/>
        <v>0</v>
      </c>
      <c r="BM683" s="48">
        <f t="shared" si="2160"/>
        <v>0</v>
      </c>
      <c r="BN683" s="48">
        <f t="shared" si="2160"/>
        <v>0</v>
      </c>
      <c r="BO683" s="48">
        <f t="shared" si="2160"/>
        <v>0</v>
      </c>
      <c r="BP683" s="48">
        <f t="shared" si="2160"/>
        <v>0</v>
      </c>
      <c r="BQ683" s="48">
        <f t="shared" si="2160"/>
        <v>0</v>
      </c>
      <c r="BR683" s="36">
        <f t="shared" si="9"/>
        <v>0</v>
      </c>
      <c r="BS683" s="38">
        <f t="shared" si="10"/>
        <v>1</v>
      </c>
      <c r="BT683" s="49">
        <f t="shared" si="11"/>
        <v>0</v>
      </c>
      <c r="BU683" s="38">
        <f t="shared" si="12"/>
        <v>1000</v>
      </c>
      <c r="BV683" s="46" t="str">
        <f>IFERROR(__xludf.DUMMYFUNCTION("""COMPUTED_VALUE"""),"Hebley")</f>
        <v>Hebley</v>
      </c>
      <c r="BW683" s="46">
        <f t="shared" si="13"/>
        <v>50</v>
      </c>
      <c r="BX683" s="47">
        <f t="shared" ref="BX683:CA683" si="2161">AX683-$BU683</f>
        <v>-1000</v>
      </c>
      <c r="BY683" s="47">
        <f t="shared" si="2161"/>
        <v>-1000</v>
      </c>
      <c r="BZ683" s="47">
        <f t="shared" si="2161"/>
        <v>-1000</v>
      </c>
      <c r="CA683" s="47">
        <f t="shared" si="2161"/>
        <v>-1000</v>
      </c>
      <c r="CB683" s="47">
        <f t="shared" si="15"/>
        <v>-10000</v>
      </c>
      <c r="CC683" s="47">
        <f t="shared" ref="CC683:CQ683" si="2162">BC683-$BU683</f>
        <v>-1000</v>
      </c>
      <c r="CD683" s="47">
        <f t="shared" si="2162"/>
        <v>-1000</v>
      </c>
      <c r="CE683" s="47">
        <f t="shared" si="2162"/>
        <v>-1000</v>
      </c>
      <c r="CF683" s="47">
        <f t="shared" si="2162"/>
        <v>-1000</v>
      </c>
      <c r="CG683" s="47">
        <f t="shared" si="2162"/>
        <v>-1000</v>
      </c>
      <c r="CH683" s="47">
        <f t="shared" si="2162"/>
        <v>-950</v>
      </c>
      <c r="CI683" s="47">
        <f t="shared" si="2162"/>
        <v>-1000</v>
      </c>
      <c r="CJ683" s="47">
        <f t="shared" si="2162"/>
        <v>-1000</v>
      </c>
      <c r="CK683" s="47">
        <f t="shared" si="2162"/>
        <v>-1000</v>
      </c>
      <c r="CL683" s="47">
        <f t="shared" si="2162"/>
        <v>-1000</v>
      </c>
      <c r="CM683" s="47">
        <f t="shared" si="2162"/>
        <v>-1000</v>
      </c>
      <c r="CN683" s="47">
        <f t="shared" si="2162"/>
        <v>-1000</v>
      </c>
      <c r="CO683" s="47">
        <f t="shared" si="2162"/>
        <v>-1000</v>
      </c>
      <c r="CP683" s="47">
        <f t="shared" si="2162"/>
        <v>-1000</v>
      </c>
      <c r="CQ683" s="47">
        <f t="shared" si="2162"/>
        <v>-1000</v>
      </c>
      <c r="CR683" s="47"/>
      <c r="CS683" s="47"/>
      <c r="CT683" s="47"/>
      <c r="CU683" s="74"/>
      <c r="CV683" s="74"/>
      <c r="CW683" s="74" t="str">
        <f>IFERROR(__xludf.DUMMYFUNCTION("IF(REGEXMATCH(UPPER(CU683), ""DALLAS""),,CU683)"),"")</f>
        <v/>
      </c>
      <c r="CX683" s="74"/>
      <c r="CY683" s="74"/>
      <c r="CZ683" s="74"/>
      <c r="DA683" s="75"/>
      <c r="DB683" s="74"/>
      <c r="DC683" s="74"/>
      <c r="DD683" s="74"/>
      <c r="DE683" s="74"/>
      <c r="DF683" s="74"/>
      <c r="DG683" s="74"/>
      <c r="DH683" s="74"/>
      <c r="DI683" s="74"/>
      <c r="DJ683" s="74"/>
      <c r="DK683" s="74"/>
      <c r="DL683" s="74"/>
      <c r="DM683" s="74"/>
      <c r="DN683" s="74"/>
      <c r="DO683" s="74"/>
      <c r="DP683" s="74"/>
      <c r="DQ683" s="74"/>
      <c r="DR683" s="74"/>
      <c r="DS683" s="74"/>
      <c r="DT683" s="74"/>
      <c r="DU683" s="74"/>
      <c r="DV683" s="74"/>
      <c r="DW683" s="74"/>
    </row>
    <row r="684">
      <c r="A684" s="23" t="s">
        <v>64</v>
      </c>
      <c r="B684" s="23" t="s">
        <v>56</v>
      </c>
      <c r="C684" s="31" t="s">
        <v>1801</v>
      </c>
      <c r="D684" s="25" t="str">
        <f>IFERROR(__xludf.DUMMYFUNCTION("SPLIT(C684,"" "")"),"King,")</f>
        <v>King,</v>
      </c>
      <c r="E684" s="22" t="str">
        <f>IFERROR(__xludf.DUMMYFUNCTION("""COMPUTED_VALUE"""),"Jenny
9206")</f>
        <v>Jenny
9206</v>
      </c>
      <c r="F684" s="22" t="str">
        <f>IFERROR(__xludf.DUMMYFUNCTION("""COMPUTED_VALUE"""),"Canter")</f>
        <v>Canter</v>
      </c>
      <c r="G684" s="22" t="str">
        <f>IFERROR(__xludf.DUMMYFUNCTION("""COMPUTED_VALUE"""),"Dr.
Dallas,")</f>
        <v>Dr.
Dallas,</v>
      </c>
      <c r="H684" s="22" t="str">
        <f>IFERROR(__xludf.DUMMYFUNCTION("""COMPUTED_VALUE"""),"TX")</f>
        <v>TX</v>
      </c>
      <c r="I684" s="22">
        <f>IFERROR(__xludf.DUMMYFUNCTION("""COMPUTED_VALUE"""),75231.0)</f>
        <v>75231</v>
      </c>
      <c r="J684" s="22"/>
      <c r="K684" s="22"/>
      <c r="L684" s="22"/>
      <c r="M684" s="22"/>
      <c r="N684" s="22"/>
      <c r="O684" s="22"/>
      <c r="P684" s="22"/>
      <c r="Q684" s="22"/>
      <c r="R684" s="22"/>
      <c r="S684" s="22"/>
      <c r="T684" s="22"/>
      <c r="U684" s="24" t="str">
        <f>IFERROR(__xludf.DUMMYFUNCTION("SPLIT(E684,""01234567890"")"),"Jenny
")</f>
        <v>Jenny
</v>
      </c>
      <c r="V684" s="24" t="str">
        <f>IFERROR(__xludf.DUMMYFUNCTION("SPLIT(D684,"","")"),"King")</f>
        <v>King</v>
      </c>
      <c r="W684" s="25" t="str">
        <f t="shared" si="1"/>
        <v>JENNY
 KING</v>
      </c>
      <c r="X684" s="25" t="s">
        <v>1802</v>
      </c>
      <c r="Y684" s="25">
        <v>75231.0</v>
      </c>
      <c r="Z684" s="25" t="str">
        <f>IFERROR(__xludf.DUMMYFUNCTION("SPLIT(C684,""
"")"),"King, Jenny")</f>
        <v>King, Jenny</v>
      </c>
      <c r="AA684" s="25" t="str">
        <f>IFERROR(__xludf.DUMMYFUNCTION("""COMPUTED_VALUE"""),"9206 Canter Dr.")</f>
        <v>9206 Canter Dr.</v>
      </c>
      <c r="AB684" s="25" t="str">
        <f>IFERROR(__xludf.DUMMYFUNCTION("""COMPUTED_VALUE"""),"Dallas, TX 75231")</f>
        <v>Dallas, TX 75231</v>
      </c>
      <c r="AC684" s="24" t="s">
        <v>1803</v>
      </c>
      <c r="AD684" s="25"/>
      <c r="AE684" s="25"/>
      <c r="AF684" s="25"/>
      <c r="AG684" s="22" t="s">
        <v>60</v>
      </c>
      <c r="AH684" s="54">
        <v>2477.0</v>
      </c>
      <c r="AI684" s="22" t="s">
        <v>68</v>
      </c>
      <c r="AJ684" s="27">
        <v>300.0</v>
      </c>
      <c r="AK684" s="31" t="s">
        <v>26</v>
      </c>
      <c r="AL684" s="28">
        <v>44884.0</v>
      </c>
      <c r="AM684" s="29">
        <v>44940.42346064815</v>
      </c>
      <c r="AN684" s="30">
        <v>2.0</v>
      </c>
      <c r="AO684" s="22"/>
      <c r="AP684" s="22"/>
      <c r="AQ684" s="22"/>
      <c r="AR684" s="22"/>
      <c r="AS684" s="22"/>
      <c r="AT684" s="70"/>
      <c r="AU684" s="22"/>
      <c r="AV684" s="57" t="str">
        <f>IFERROR(__xludf.DUMMYFUNCTION("""COMPUTED_VALUE"""),"Milstein")</f>
        <v>Milstein</v>
      </c>
      <c r="AW684" s="46">
        <f t="shared" si="7"/>
        <v>1000</v>
      </c>
      <c r="AX684" s="47">
        <f t="shared" ref="AX684:BQ684" si="2163">SUMIFS($AJ:$AJ,$V:$V,$AV684,$AK:$AK,AX$2)</f>
        <v>0</v>
      </c>
      <c r="AY684" s="48">
        <f t="shared" si="2163"/>
        <v>0</v>
      </c>
      <c r="AZ684" s="48">
        <f t="shared" si="2163"/>
        <v>0</v>
      </c>
      <c r="BA684" s="48">
        <f t="shared" si="2163"/>
        <v>0</v>
      </c>
      <c r="BB684" s="48">
        <f t="shared" si="2163"/>
        <v>0</v>
      </c>
      <c r="BC684" s="48">
        <f t="shared" si="2163"/>
        <v>0</v>
      </c>
      <c r="BD684" s="48">
        <f t="shared" si="2163"/>
        <v>0</v>
      </c>
      <c r="BE684" s="48">
        <f t="shared" si="2163"/>
        <v>0</v>
      </c>
      <c r="BF684" s="48">
        <f t="shared" si="2163"/>
        <v>0</v>
      </c>
      <c r="BG684" s="48">
        <f t="shared" si="2163"/>
        <v>0</v>
      </c>
      <c r="BH684" s="48">
        <f t="shared" si="2163"/>
        <v>1000</v>
      </c>
      <c r="BI684" s="48">
        <f t="shared" si="2163"/>
        <v>0</v>
      </c>
      <c r="BJ684" s="48">
        <f t="shared" si="2163"/>
        <v>0</v>
      </c>
      <c r="BK684" s="48">
        <f t="shared" si="2163"/>
        <v>0</v>
      </c>
      <c r="BL684" s="48">
        <f t="shared" si="2163"/>
        <v>0</v>
      </c>
      <c r="BM684" s="48">
        <f t="shared" si="2163"/>
        <v>0</v>
      </c>
      <c r="BN684" s="48">
        <f t="shared" si="2163"/>
        <v>0</v>
      </c>
      <c r="BO684" s="48">
        <f t="shared" si="2163"/>
        <v>0</v>
      </c>
      <c r="BP684" s="48">
        <f t="shared" si="2163"/>
        <v>0</v>
      </c>
      <c r="BQ684" s="48">
        <f t="shared" si="2163"/>
        <v>0</v>
      </c>
      <c r="BR684" s="36">
        <f t="shared" si="9"/>
        <v>0</v>
      </c>
      <c r="BS684" s="38">
        <f t="shared" si="10"/>
        <v>1</v>
      </c>
      <c r="BT684" s="49">
        <f t="shared" si="11"/>
        <v>0</v>
      </c>
      <c r="BU684" s="38">
        <f t="shared" si="12"/>
        <v>1000</v>
      </c>
      <c r="BV684" s="57" t="str">
        <f>IFERROR(__xludf.DUMMYFUNCTION("""COMPUTED_VALUE"""),"Milstein")</f>
        <v>Milstein</v>
      </c>
      <c r="BW684" s="46">
        <f t="shared" si="13"/>
        <v>1000</v>
      </c>
      <c r="BX684" s="47">
        <f t="shared" ref="BX684:CA684" si="2164">AX684-$BU684</f>
        <v>-1000</v>
      </c>
      <c r="BY684" s="47">
        <f t="shared" si="2164"/>
        <v>-1000</v>
      </c>
      <c r="BZ684" s="47">
        <f t="shared" si="2164"/>
        <v>-1000</v>
      </c>
      <c r="CA684" s="47">
        <f t="shared" si="2164"/>
        <v>-1000</v>
      </c>
      <c r="CB684" s="47">
        <f t="shared" si="15"/>
        <v>-10000</v>
      </c>
      <c r="CC684" s="47">
        <f t="shared" ref="CC684:CQ684" si="2165">BC684-$BU684</f>
        <v>-1000</v>
      </c>
      <c r="CD684" s="47">
        <f t="shared" si="2165"/>
        <v>-1000</v>
      </c>
      <c r="CE684" s="47">
        <f t="shared" si="2165"/>
        <v>-1000</v>
      </c>
      <c r="CF684" s="47">
        <f t="shared" si="2165"/>
        <v>-1000</v>
      </c>
      <c r="CG684" s="47">
        <f t="shared" si="2165"/>
        <v>-1000</v>
      </c>
      <c r="CH684" s="47">
        <f t="shared" si="2165"/>
        <v>0</v>
      </c>
      <c r="CI684" s="47">
        <f t="shared" si="2165"/>
        <v>-1000</v>
      </c>
      <c r="CJ684" s="47">
        <f t="shared" si="2165"/>
        <v>-1000</v>
      </c>
      <c r="CK684" s="47">
        <f t="shared" si="2165"/>
        <v>-1000</v>
      </c>
      <c r="CL684" s="47">
        <f t="shared" si="2165"/>
        <v>-1000</v>
      </c>
      <c r="CM684" s="47">
        <f t="shared" si="2165"/>
        <v>-1000</v>
      </c>
      <c r="CN684" s="47">
        <f t="shared" si="2165"/>
        <v>-1000</v>
      </c>
      <c r="CO684" s="47">
        <f t="shared" si="2165"/>
        <v>-1000</v>
      </c>
      <c r="CP684" s="47">
        <f t="shared" si="2165"/>
        <v>-1000</v>
      </c>
      <c r="CQ684" s="47">
        <f t="shared" si="2165"/>
        <v>-1000</v>
      </c>
      <c r="CR684" s="47"/>
      <c r="CS684" s="47"/>
      <c r="CT684" s="47"/>
      <c r="CU684" s="74"/>
      <c r="CV684" s="74"/>
      <c r="CW684" s="74" t="str">
        <f>IFERROR(__xludf.DUMMYFUNCTION("IF(REGEXMATCH(UPPER(CU684), ""DALLAS""),,CU684)"),"")</f>
        <v/>
      </c>
      <c r="CX684" s="74"/>
      <c r="CY684" s="74"/>
      <c r="CZ684" s="74"/>
      <c r="DA684" s="75"/>
      <c r="DB684" s="74"/>
      <c r="DC684" s="74"/>
      <c r="DD684" s="74"/>
      <c r="DE684" s="74"/>
      <c r="DF684" s="74"/>
      <c r="DG684" s="74"/>
      <c r="DH684" s="74"/>
      <c r="DI684" s="74"/>
      <c r="DJ684" s="74"/>
      <c r="DK684" s="74"/>
      <c r="DL684" s="74"/>
      <c r="DM684" s="74"/>
      <c r="DN684" s="74"/>
      <c r="DO684" s="74"/>
      <c r="DP684" s="74"/>
      <c r="DQ684" s="74"/>
      <c r="DR684" s="74"/>
      <c r="DS684" s="74"/>
      <c r="DT684" s="74"/>
      <c r="DU684" s="74"/>
      <c r="DV684" s="74"/>
      <c r="DW684" s="74"/>
    </row>
    <row r="685">
      <c r="A685" s="41" t="s">
        <v>64</v>
      </c>
      <c r="B685" s="41" t="s">
        <v>56</v>
      </c>
      <c r="C685" s="31" t="s">
        <v>292</v>
      </c>
      <c r="D685" s="25" t="str">
        <f>IFERROR(__xludf.DUMMYFUNCTION("SPLIT(C685,"" "")"),"Baker,")</f>
        <v>Baker,</v>
      </c>
      <c r="E685" s="40" t="str">
        <f>IFERROR(__xludf.DUMMYFUNCTION("""COMPUTED_VALUE"""),"Jerry
10416")</f>
        <v>Jerry
10416</v>
      </c>
      <c r="F685" s="40" t="str">
        <f>IFERROR(__xludf.DUMMYFUNCTION("""COMPUTED_VALUE"""),"Church")</f>
        <v>Church</v>
      </c>
      <c r="G685" s="40" t="str">
        <f>IFERROR(__xludf.DUMMYFUNCTION("""COMPUTED_VALUE"""),"Road
Dallas,")</f>
        <v>Road
Dallas,</v>
      </c>
      <c r="H685" s="40" t="str">
        <f>IFERROR(__xludf.DUMMYFUNCTION("""COMPUTED_VALUE"""),"TX")</f>
        <v>TX</v>
      </c>
      <c r="I685" s="40">
        <f>IFERROR(__xludf.DUMMYFUNCTION("""COMPUTED_VALUE"""),75238.0)</f>
        <v>75238</v>
      </c>
      <c r="J685" s="40"/>
      <c r="K685" s="40"/>
      <c r="L685" s="40"/>
      <c r="M685" s="40"/>
      <c r="N685" s="40"/>
      <c r="O685" s="40"/>
      <c r="P685" s="40"/>
      <c r="Q685" s="40"/>
      <c r="R685" s="40"/>
      <c r="S685" s="40"/>
      <c r="T685" s="40"/>
      <c r="U685" s="24" t="str">
        <f>IFERROR(__xludf.DUMMYFUNCTION("SPLIT(E685,""01234567890"")"),"Jerry
")</f>
        <v>Jerry
</v>
      </c>
      <c r="V685" s="24" t="str">
        <f>IFERROR(__xludf.DUMMYFUNCTION("SPLIT(D685,"","")"),"Baker")</f>
        <v>Baker</v>
      </c>
      <c r="W685" s="25" t="str">
        <f t="shared" si="1"/>
        <v>JERRY
 BAKER</v>
      </c>
      <c r="X685" s="25" t="s">
        <v>293</v>
      </c>
      <c r="Y685" s="25">
        <v>75238.0</v>
      </c>
      <c r="Z685" s="25" t="str">
        <f>IFERROR(__xludf.DUMMYFUNCTION("SPLIT(C685,""
"")"),"Baker, Jerry")</f>
        <v>Baker, Jerry</v>
      </c>
      <c r="AA685" s="25" t="str">
        <f>IFERROR(__xludf.DUMMYFUNCTION("""COMPUTED_VALUE"""),"10416 Church Road")</f>
        <v>10416 Church Road</v>
      </c>
      <c r="AB685" s="25" t="str">
        <f>IFERROR(__xludf.DUMMYFUNCTION("""COMPUTED_VALUE"""),"Dallas, TX 75238")</f>
        <v>Dallas, TX 75238</v>
      </c>
      <c r="AC685" s="24" t="s">
        <v>294</v>
      </c>
      <c r="AD685" s="25"/>
      <c r="AE685" s="25"/>
      <c r="AF685" s="25"/>
      <c r="AG685" s="40" t="s">
        <v>60</v>
      </c>
      <c r="AH685" s="42">
        <v>2477.0</v>
      </c>
      <c r="AI685" s="40" t="s">
        <v>68</v>
      </c>
      <c r="AJ685" s="27">
        <v>250.0</v>
      </c>
      <c r="AK685" s="31" t="s">
        <v>26</v>
      </c>
      <c r="AL685" s="43">
        <v>44884.0</v>
      </c>
      <c r="AM685" s="44">
        <v>44940.42346064815</v>
      </c>
      <c r="AN685" s="30">
        <v>2.0</v>
      </c>
      <c r="AO685" s="40"/>
      <c r="AP685" s="40"/>
      <c r="AQ685" s="40"/>
      <c r="AR685" s="40"/>
      <c r="AS685" s="40"/>
      <c r="AT685" s="47"/>
      <c r="AU685" s="40"/>
      <c r="AV685" s="46" t="str">
        <f>IFERROR(__xludf.DUMMYFUNCTION("""COMPUTED_VALUE"""),"Jonas")</f>
        <v>Jonas</v>
      </c>
      <c r="AW685" s="46">
        <f t="shared" si="7"/>
        <v>350</v>
      </c>
      <c r="AX685" s="47">
        <f t="shared" ref="AX685:BQ685" si="2166">SUMIFS($AJ:$AJ,$V:$V,$AV685,$AK:$AK,AX$2)</f>
        <v>0</v>
      </c>
      <c r="AY685" s="48">
        <f t="shared" si="2166"/>
        <v>0</v>
      </c>
      <c r="AZ685" s="48">
        <f t="shared" si="2166"/>
        <v>0</v>
      </c>
      <c r="BA685" s="48">
        <f t="shared" si="2166"/>
        <v>0</v>
      </c>
      <c r="BB685" s="48">
        <f t="shared" si="2166"/>
        <v>0</v>
      </c>
      <c r="BC685" s="48">
        <f t="shared" si="2166"/>
        <v>0</v>
      </c>
      <c r="BD685" s="48">
        <f t="shared" si="2166"/>
        <v>0</v>
      </c>
      <c r="BE685" s="48">
        <f t="shared" si="2166"/>
        <v>0</v>
      </c>
      <c r="BF685" s="48">
        <f t="shared" si="2166"/>
        <v>0</v>
      </c>
      <c r="BG685" s="48">
        <f t="shared" si="2166"/>
        <v>0</v>
      </c>
      <c r="BH685" s="48">
        <f t="shared" si="2166"/>
        <v>350</v>
      </c>
      <c r="BI685" s="48">
        <f t="shared" si="2166"/>
        <v>0</v>
      </c>
      <c r="BJ685" s="48">
        <f t="shared" si="2166"/>
        <v>0</v>
      </c>
      <c r="BK685" s="48">
        <f t="shared" si="2166"/>
        <v>0</v>
      </c>
      <c r="BL685" s="48">
        <f t="shared" si="2166"/>
        <v>0</v>
      </c>
      <c r="BM685" s="48">
        <f t="shared" si="2166"/>
        <v>0</v>
      </c>
      <c r="BN685" s="48">
        <f t="shared" si="2166"/>
        <v>0</v>
      </c>
      <c r="BO685" s="48">
        <f t="shared" si="2166"/>
        <v>0</v>
      </c>
      <c r="BP685" s="48">
        <f t="shared" si="2166"/>
        <v>0</v>
      </c>
      <c r="BQ685" s="48">
        <f t="shared" si="2166"/>
        <v>0</v>
      </c>
      <c r="BR685" s="36">
        <f t="shared" si="9"/>
        <v>0</v>
      </c>
      <c r="BS685" s="38">
        <f t="shared" si="10"/>
        <v>1</v>
      </c>
      <c r="BT685" s="49">
        <f t="shared" si="11"/>
        <v>0</v>
      </c>
      <c r="BU685" s="38">
        <f t="shared" si="12"/>
        <v>1000</v>
      </c>
      <c r="BV685" s="46" t="str">
        <f>IFERROR(__xludf.DUMMYFUNCTION("""COMPUTED_VALUE"""),"Jonas")</f>
        <v>Jonas</v>
      </c>
      <c r="BW685" s="46">
        <f t="shared" si="13"/>
        <v>350</v>
      </c>
      <c r="BX685" s="47">
        <f t="shared" ref="BX685:CA685" si="2167">AX685-$BU685</f>
        <v>-1000</v>
      </c>
      <c r="BY685" s="47">
        <f t="shared" si="2167"/>
        <v>-1000</v>
      </c>
      <c r="BZ685" s="47">
        <f t="shared" si="2167"/>
        <v>-1000</v>
      </c>
      <c r="CA685" s="47">
        <f t="shared" si="2167"/>
        <v>-1000</v>
      </c>
      <c r="CB685" s="47">
        <f t="shared" si="15"/>
        <v>-10000</v>
      </c>
      <c r="CC685" s="47">
        <f t="shared" ref="CC685:CQ685" si="2168">BC685-$BU685</f>
        <v>-1000</v>
      </c>
      <c r="CD685" s="47">
        <f t="shared" si="2168"/>
        <v>-1000</v>
      </c>
      <c r="CE685" s="47">
        <f t="shared" si="2168"/>
        <v>-1000</v>
      </c>
      <c r="CF685" s="47">
        <f t="shared" si="2168"/>
        <v>-1000</v>
      </c>
      <c r="CG685" s="47">
        <f t="shared" si="2168"/>
        <v>-1000</v>
      </c>
      <c r="CH685" s="47">
        <f t="shared" si="2168"/>
        <v>-650</v>
      </c>
      <c r="CI685" s="47">
        <f t="shared" si="2168"/>
        <v>-1000</v>
      </c>
      <c r="CJ685" s="47">
        <f t="shared" si="2168"/>
        <v>-1000</v>
      </c>
      <c r="CK685" s="47">
        <f t="shared" si="2168"/>
        <v>-1000</v>
      </c>
      <c r="CL685" s="47">
        <f t="shared" si="2168"/>
        <v>-1000</v>
      </c>
      <c r="CM685" s="47">
        <f t="shared" si="2168"/>
        <v>-1000</v>
      </c>
      <c r="CN685" s="47">
        <f t="shared" si="2168"/>
        <v>-1000</v>
      </c>
      <c r="CO685" s="47">
        <f t="shared" si="2168"/>
        <v>-1000</v>
      </c>
      <c r="CP685" s="47">
        <f t="shared" si="2168"/>
        <v>-1000</v>
      </c>
      <c r="CQ685" s="47">
        <f t="shared" si="2168"/>
        <v>-1000</v>
      </c>
      <c r="CR685" s="47"/>
      <c r="CS685" s="47"/>
      <c r="CT685" s="47"/>
      <c r="CU685" s="74"/>
      <c r="CV685" s="74"/>
      <c r="CW685" s="74" t="str">
        <f>IFERROR(__xludf.DUMMYFUNCTION("IF(REGEXMATCH(UPPER(CU685), ""DALLAS""),,CU685)"),"")</f>
        <v/>
      </c>
      <c r="CX685" s="74"/>
      <c r="CY685" s="74"/>
      <c r="CZ685" s="74"/>
      <c r="DA685" s="75"/>
      <c r="DB685" s="74"/>
      <c r="DC685" s="74"/>
      <c r="DD685" s="74"/>
      <c r="DE685" s="74"/>
      <c r="DF685" s="74"/>
      <c r="DG685" s="74"/>
      <c r="DH685" s="74"/>
      <c r="DI685" s="74"/>
      <c r="DJ685" s="74"/>
      <c r="DK685" s="74"/>
      <c r="DL685" s="74"/>
      <c r="DM685" s="74"/>
      <c r="DN685" s="74"/>
      <c r="DO685" s="74"/>
      <c r="DP685" s="74"/>
      <c r="DQ685" s="74"/>
      <c r="DR685" s="74"/>
      <c r="DS685" s="74"/>
      <c r="DT685" s="74"/>
      <c r="DU685" s="74"/>
      <c r="DV685" s="74"/>
      <c r="DW685" s="74"/>
    </row>
    <row r="686">
      <c r="A686" s="23" t="s">
        <v>64</v>
      </c>
      <c r="B686" s="23" t="s">
        <v>56</v>
      </c>
      <c r="C686" s="31" t="s">
        <v>1804</v>
      </c>
      <c r="D686" s="25" t="str">
        <f>IFERROR(__xludf.DUMMYFUNCTION("SPLIT(C686,"" "")"),"Bonahoom,")</f>
        <v>Bonahoom,</v>
      </c>
      <c r="E686" s="22" t="str">
        <f>IFERROR(__xludf.DUMMYFUNCTION("""COMPUTED_VALUE"""),"Julie
9114")</f>
        <v>Julie
9114</v>
      </c>
      <c r="F686" s="22" t="str">
        <f>IFERROR(__xludf.DUMMYFUNCTION("""COMPUTED_VALUE"""),"Arborside
Dallas,")</f>
        <v>Arborside
Dallas,</v>
      </c>
      <c r="G686" s="22" t="str">
        <f>IFERROR(__xludf.DUMMYFUNCTION("""COMPUTED_VALUE"""),"TX")</f>
        <v>TX</v>
      </c>
      <c r="H686" s="22">
        <f>IFERROR(__xludf.DUMMYFUNCTION("""COMPUTED_VALUE"""),75243.0)</f>
        <v>75243</v>
      </c>
      <c r="I686" s="22"/>
      <c r="J686" s="22"/>
      <c r="K686" s="22"/>
      <c r="L686" s="22"/>
      <c r="M686" s="22"/>
      <c r="N686" s="22"/>
      <c r="O686" s="22"/>
      <c r="P686" s="22"/>
      <c r="Q686" s="22"/>
      <c r="R686" s="22"/>
      <c r="S686" s="22"/>
      <c r="T686" s="22"/>
      <c r="U686" s="24" t="str">
        <f>IFERROR(__xludf.DUMMYFUNCTION("SPLIT(E686,""01234567890"")"),"Julie
")</f>
        <v>Julie
</v>
      </c>
      <c r="V686" s="24" t="str">
        <f>IFERROR(__xludf.DUMMYFUNCTION("SPLIT(D686,"","")"),"Bonahoom")</f>
        <v>Bonahoom</v>
      </c>
      <c r="W686" s="25" t="str">
        <f t="shared" si="1"/>
        <v>JULIE
 BONAHOOM</v>
      </c>
      <c r="X686" s="25" t="s">
        <v>1805</v>
      </c>
      <c r="Y686" s="25">
        <v>75243.0</v>
      </c>
      <c r="Z686" s="25" t="str">
        <f>IFERROR(__xludf.DUMMYFUNCTION("SPLIT(C686,""
"")"),"Bonahoom, Julie")</f>
        <v>Bonahoom, Julie</v>
      </c>
      <c r="AA686" s="25" t="str">
        <f>IFERROR(__xludf.DUMMYFUNCTION("""COMPUTED_VALUE"""),"9114 Arborside")</f>
        <v>9114 Arborside</v>
      </c>
      <c r="AB686" s="25" t="str">
        <f>IFERROR(__xludf.DUMMYFUNCTION("""COMPUTED_VALUE"""),"Dallas, TX 75243")</f>
        <v>Dallas, TX 75243</v>
      </c>
      <c r="AC686" s="24" t="s">
        <v>1806</v>
      </c>
      <c r="AD686" s="25"/>
      <c r="AE686" s="25"/>
      <c r="AF686" s="25"/>
      <c r="AG686" s="22" t="s">
        <v>60</v>
      </c>
      <c r="AH686" s="54">
        <v>2477.0</v>
      </c>
      <c r="AI686" s="22" t="s">
        <v>68</v>
      </c>
      <c r="AJ686" s="27">
        <v>100.0</v>
      </c>
      <c r="AK686" s="31" t="s">
        <v>26</v>
      </c>
      <c r="AL686" s="28">
        <v>44884.0</v>
      </c>
      <c r="AM686" s="29">
        <v>44940.42346064815</v>
      </c>
      <c r="AN686" s="30">
        <v>2.0</v>
      </c>
      <c r="AO686" s="22"/>
      <c r="AP686" s="22"/>
      <c r="AQ686" s="22"/>
      <c r="AR686" s="22"/>
      <c r="AS686" s="22"/>
      <c r="AT686" s="70"/>
      <c r="AU686" s="22"/>
      <c r="AV686" s="57" t="str">
        <f>IFERROR(__xludf.DUMMYFUNCTION("""COMPUTED_VALUE"""),"Duplantis")</f>
        <v>Duplantis</v>
      </c>
      <c r="AW686" s="46">
        <f t="shared" si="7"/>
        <v>100</v>
      </c>
      <c r="AX686" s="47">
        <f t="shared" ref="AX686:BQ686" si="2169">SUMIFS($AJ:$AJ,$V:$V,$AV686,$AK:$AK,AX$2)</f>
        <v>0</v>
      </c>
      <c r="AY686" s="48">
        <f t="shared" si="2169"/>
        <v>0</v>
      </c>
      <c r="AZ686" s="48">
        <f t="shared" si="2169"/>
        <v>0</v>
      </c>
      <c r="BA686" s="48">
        <f t="shared" si="2169"/>
        <v>0</v>
      </c>
      <c r="BB686" s="48">
        <f t="shared" si="2169"/>
        <v>0</v>
      </c>
      <c r="BC686" s="48">
        <f t="shared" si="2169"/>
        <v>0</v>
      </c>
      <c r="BD686" s="48">
        <f t="shared" si="2169"/>
        <v>0</v>
      </c>
      <c r="BE686" s="48">
        <f t="shared" si="2169"/>
        <v>0</v>
      </c>
      <c r="BF686" s="48">
        <f t="shared" si="2169"/>
        <v>0</v>
      </c>
      <c r="BG686" s="48">
        <f t="shared" si="2169"/>
        <v>0</v>
      </c>
      <c r="BH686" s="48">
        <f t="shared" si="2169"/>
        <v>100</v>
      </c>
      <c r="BI686" s="48">
        <f t="shared" si="2169"/>
        <v>0</v>
      </c>
      <c r="BJ686" s="48">
        <f t="shared" si="2169"/>
        <v>0</v>
      </c>
      <c r="BK686" s="48">
        <f t="shared" si="2169"/>
        <v>0</v>
      </c>
      <c r="BL686" s="48">
        <f t="shared" si="2169"/>
        <v>0</v>
      </c>
      <c r="BM686" s="48">
        <f t="shared" si="2169"/>
        <v>0</v>
      </c>
      <c r="BN686" s="48">
        <f t="shared" si="2169"/>
        <v>0</v>
      </c>
      <c r="BO686" s="48">
        <f t="shared" si="2169"/>
        <v>0</v>
      </c>
      <c r="BP686" s="48">
        <f t="shared" si="2169"/>
        <v>0</v>
      </c>
      <c r="BQ686" s="48">
        <f t="shared" si="2169"/>
        <v>0</v>
      </c>
      <c r="BR686" s="36">
        <f t="shared" si="9"/>
        <v>0</v>
      </c>
      <c r="BS686" s="38">
        <f t="shared" si="10"/>
        <v>1</v>
      </c>
      <c r="BT686" s="49">
        <f t="shared" si="11"/>
        <v>0</v>
      </c>
      <c r="BU686" s="38">
        <f t="shared" si="12"/>
        <v>1000</v>
      </c>
      <c r="BV686" s="57" t="str">
        <f>IFERROR(__xludf.DUMMYFUNCTION("""COMPUTED_VALUE"""),"Duplantis")</f>
        <v>Duplantis</v>
      </c>
      <c r="BW686" s="46">
        <f t="shared" si="13"/>
        <v>100</v>
      </c>
      <c r="BX686" s="47">
        <f t="shared" ref="BX686:CA686" si="2170">AX686-$BU686</f>
        <v>-1000</v>
      </c>
      <c r="BY686" s="47">
        <f t="shared" si="2170"/>
        <v>-1000</v>
      </c>
      <c r="BZ686" s="47">
        <f t="shared" si="2170"/>
        <v>-1000</v>
      </c>
      <c r="CA686" s="47">
        <f t="shared" si="2170"/>
        <v>-1000</v>
      </c>
      <c r="CB686" s="47">
        <f t="shared" si="15"/>
        <v>-10000</v>
      </c>
      <c r="CC686" s="47">
        <f t="shared" ref="CC686:CQ686" si="2171">BC686-$BU686</f>
        <v>-1000</v>
      </c>
      <c r="CD686" s="47">
        <f t="shared" si="2171"/>
        <v>-1000</v>
      </c>
      <c r="CE686" s="47">
        <f t="shared" si="2171"/>
        <v>-1000</v>
      </c>
      <c r="CF686" s="47">
        <f t="shared" si="2171"/>
        <v>-1000</v>
      </c>
      <c r="CG686" s="47">
        <f t="shared" si="2171"/>
        <v>-1000</v>
      </c>
      <c r="CH686" s="47">
        <f t="shared" si="2171"/>
        <v>-900</v>
      </c>
      <c r="CI686" s="47">
        <f t="shared" si="2171"/>
        <v>-1000</v>
      </c>
      <c r="CJ686" s="47">
        <f t="shared" si="2171"/>
        <v>-1000</v>
      </c>
      <c r="CK686" s="47">
        <f t="shared" si="2171"/>
        <v>-1000</v>
      </c>
      <c r="CL686" s="47">
        <f t="shared" si="2171"/>
        <v>-1000</v>
      </c>
      <c r="CM686" s="47">
        <f t="shared" si="2171"/>
        <v>-1000</v>
      </c>
      <c r="CN686" s="47">
        <f t="shared" si="2171"/>
        <v>-1000</v>
      </c>
      <c r="CO686" s="47">
        <f t="shared" si="2171"/>
        <v>-1000</v>
      </c>
      <c r="CP686" s="47">
        <f t="shared" si="2171"/>
        <v>-1000</v>
      </c>
      <c r="CQ686" s="47">
        <f t="shared" si="2171"/>
        <v>-1000</v>
      </c>
      <c r="CR686" s="47"/>
      <c r="CS686" s="47"/>
      <c r="CT686" s="47"/>
      <c r="CU686" s="74"/>
      <c r="CV686" s="74"/>
      <c r="CW686" s="74" t="str">
        <f>IFERROR(__xludf.DUMMYFUNCTION("IF(REGEXMATCH(UPPER(CU686), ""DALLAS""),,CU686)"),"")</f>
        <v/>
      </c>
      <c r="CX686" s="74"/>
      <c r="CY686" s="74"/>
      <c r="CZ686" s="74"/>
      <c r="DA686" s="75"/>
      <c r="DB686" s="74"/>
      <c r="DC686" s="74"/>
      <c r="DD686" s="74"/>
      <c r="DE686" s="74"/>
      <c r="DF686" s="74"/>
      <c r="DG686" s="74"/>
      <c r="DH686" s="74"/>
      <c r="DI686" s="74"/>
      <c r="DJ686" s="74"/>
      <c r="DK686" s="74"/>
      <c r="DL686" s="74"/>
      <c r="DM686" s="74"/>
      <c r="DN686" s="74"/>
      <c r="DO686" s="74"/>
      <c r="DP686" s="74"/>
      <c r="DQ686" s="74"/>
      <c r="DR686" s="74"/>
      <c r="DS686" s="74"/>
      <c r="DT686" s="74"/>
      <c r="DU686" s="74"/>
      <c r="DV686" s="74"/>
      <c r="DW686" s="74"/>
    </row>
    <row r="687">
      <c r="A687" s="41" t="s">
        <v>64</v>
      </c>
      <c r="B687" s="41" t="s">
        <v>56</v>
      </c>
      <c r="C687" s="31" t="s">
        <v>1807</v>
      </c>
      <c r="D687" s="25" t="str">
        <f>IFERROR(__xludf.DUMMYFUNCTION("SPLIT(C687,"" "")"),"Lauck,")</f>
        <v>Lauck,</v>
      </c>
      <c r="E687" s="40" t="str">
        <f>IFERROR(__xludf.DUMMYFUNCTION("""COMPUTED_VALUE"""),"Larry
10529")</f>
        <v>Larry
10529</v>
      </c>
      <c r="F687" s="40" t="str">
        <f>IFERROR(__xludf.DUMMYFUNCTION("""COMPUTED_VALUE"""),"Estate")</f>
        <v>Estate</v>
      </c>
      <c r="G687" s="40" t="str">
        <f>IFERROR(__xludf.DUMMYFUNCTION("""COMPUTED_VALUE"""),"Lane
Dallas,")</f>
        <v>Lane
Dallas,</v>
      </c>
      <c r="H687" s="40" t="str">
        <f>IFERROR(__xludf.DUMMYFUNCTION("""COMPUTED_VALUE"""),"TX")</f>
        <v>TX</v>
      </c>
      <c r="I687" s="40">
        <f>IFERROR(__xludf.DUMMYFUNCTION("""COMPUTED_VALUE"""),75238.0)</f>
        <v>75238</v>
      </c>
      <c r="J687" s="40"/>
      <c r="K687" s="40"/>
      <c r="L687" s="40"/>
      <c r="M687" s="40"/>
      <c r="N687" s="40"/>
      <c r="O687" s="40"/>
      <c r="P687" s="40"/>
      <c r="Q687" s="40"/>
      <c r="R687" s="40"/>
      <c r="S687" s="40"/>
      <c r="T687" s="40"/>
      <c r="U687" s="24" t="str">
        <f>IFERROR(__xludf.DUMMYFUNCTION("SPLIT(E687,""01234567890"")"),"Larry
")</f>
        <v>Larry
</v>
      </c>
      <c r="V687" s="24" t="str">
        <f>IFERROR(__xludf.DUMMYFUNCTION("SPLIT(D687,"","")"),"Lauck")</f>
        <v>Lauck</v>
      </c>
      <c r="W687" s="25" t="str">
        <f t="shared" si="1"/>
        <v>LARRY
 LAUCK</v>
      </c>
      <c r="X687" s="25" t="s">
        <v>1808</v>
      </c>
      <c r="Y687" s="25">
        <v>75238.0</v>
      </c>
      <c r="Z687" s="25" t="str">
        <f>IFERROR(__xludf.DUMMYFUNCTION("SPLIT(C687,""
"")"),"Lauck, Larry")</f>
        <v>Lauck, Larry</v>
      </c>
      <c r="AA687" s="25" t="str">
        <f>IFERROR(__xludf.DUMMYFUNCTION("""COMPUTED_VALUE"""),"10529 Estate Lane")</f>
        <v>10529 Estate Lane</v>
      </c>
      <c r="AB687" s="25" t="str">
        <f>IFERROR(__xludf.DUMMYFUNCTION("""COMPUTED_VALUE"""),"Dallas, TX 75238")</f>
        <v>Dallas, TX 75238</v>
      </c>
      <c r="AC687" s="24" t="s">
        <v>1809</v>
      </c>
      <c r="AD687" s="25"/>
      <c r="AE687" s="25"/>
      <c r="AF687" s="25"/>
      <c r="AG687" s="40" t="s">
        <v>60</v>
      </c>
      <c r="AH687" s="42">
        <v>2477.0</v>
      </c>
      <c r="AI687" s="40" t="s">
        <v>68</v>
      </c>
      <c r="AJ687" s="27">
        <v>250.0</v>
      </c>
      <c r="AK687" s="31" t="s">
        <v>26</v>
      </c>
      <c r="AL687" s="43">
        <v>44884.0</v>
      </c>
      <c r="AM687" s="44">
        <v>44940.42346064815</v>
      </c>
      <c r="AN687" s="30">
        <v>2.0</v>
      </c>
      <c r="AO687" s="40"/>
      <c r="AP687" s="40"/>
      <c r="AQ687" s="40"/>
      <c r="AR687" s="40"/>
      <c r="AS687" s="40"/>
      <c r="AT687" s="47"/>
      <c r="AU687" s="40"/>
      <c r="AV687" s="46" t="str">
        <f>IFERROR(__xludf.DUMMYFUNCTION("""COMPUTED_VALUE"""),"Chafetz")</f>
        <v>Chafetz</v>
      </c>
      <c r="AW687" s="46">
        <f t="shared" si="7"/>
        <v>200</v>
      </c>
      <c r="AX687" s="47">
        <f t="shared" ref="AX687:BQ687" si="2172">SUMIFS($AJ:$AJ,$V:$V,$AV687,$AK:$AK,AX$2)</f>
        <v>0</v>
      </c>
      <c r="AY687" s="48">
        <f t="shared" si="2172"/>
        <v>0</v>
      </c>
      <c r="AZ687" s="48">
        <f t="shared" si="2172"/>
        <v>0</v>
      </c>
      <c r="BA687" s="48">
        <f t="shared" si="2172"/>
        <v>0</v>
      </c>
      <c r="BB687" s="48">
        <f t="shared" si="2172"/>
        <v>0</v>
      </c>
      <c r="BC687" s="48">
        <f t="shared" si="2172"/>
        <v>0</v>
      </c>
      <c r="BD687" s="48">
        <f t="shared" si="2172"/>
        <v>0</v>
      </c>
      <c r="BE687" s="48">
        <f t="shared" si="2172"/>
        <v>0</v>
      </c>
      <c r="BF687" s="48">
        <f t="shared" si="2172"/>
        <v>0</v>
      </c>
      <c r="BG687" s="48">
        <f t="shared" si="2172"/>
        <v>0</v>
      </c>
      <c r="BH687" s="48">
        <f t="shared" si="2172"/>
        <v>200</v>
      </c>
      <c r="BI687" s="48">
        <f t="shared" si="2172"/>
        <v>0</v>
      </c>
      <c r="BJ687" s="48">
        <f t="shared" si="2172"/>
        <v>0</v>
      </c>
      <c r="BK687" s="48">
        <f t="shared" si="2172"/>
        <v>0</v>
      </c>
      <c r="BL687" s="48">
        <f t="shared" si="2172"/>
        <v>0</v>
      </c>
      <c r="BM687" s="48">
        <f t="shared" si="2172"/>
        <v>0</v>
      </c>
      <c r="BN687" s="48">
        <f t="shared" si="2172"/>
        <v>0</v>
      </c>
      <c r="BO687" s="48">
        <f t="shared" si="2172"/>
        <v>0</v>
      </c>
      <c r="BP687" s="48">
        <f t="shared" si="2172"/>
        <v>0</v>
      </c>
      <c r="BQ687" s="48">
        <f t="shared" si="2172"/>
        <v>0</v>
      </c>
      <c r="BR687" s="36">
        <f t="shared" si="9"/>
        <v>0</v>
      </c>
      <c r="BS687" s="38">
        <f t="shared" si="10"/>
        <v>1</v>
      </c>
      <c r="BT687" s="49">
        <f t="shared" si="11"/>
        <v>0</v>
      </c>
      <c r="BU687" s="38">
        <f t="shared" si="12"/>
        <v>1000</v>
      </c>
      <c r="BV687" s="46" t="str">
        <f>IFERROR(__xludf.DUMMYFUNCTION("""COMPUTED_VALUE"""),"Chafetz")</f>
        <v>Chafetz</v>
      </c>
      <c r="BW687" s="46">
        <f t="shared" si="13"/>
        <v>200</v>
      </c>
      <c r="BX687" s="47">
        <f t="shared" ref="BX687:CA687" si="2173">AX687-$BU687</f>
        <v>-1000</v>
      </c>
      <c r="BY687" s="47">
        <f t="shared" si="2173"/>
        <v>-1000</v>
      </c>
      <c r="BZ687" s="47">
        <f t="shared" si="2173"/>
        <v>-1000</v>
      </c>
      <c r="CA687" s="47">
        <f t="shared" si="2173"/>
        <v>-1000</v>
      </c>
      <c r="CB687" s="47">
        <f t="shared" si="15"/>
        <v>-10000</v>
      </c>
      <c r="CC687" s="47">
        <f t="shared" ref="CC687:CQ687" si="2174">BC687-$BU687</f>
        <v>-1000</v>
      </c>
      <c r="CD687" s="47">
        <f t="shared" si="2174"/>
        <v>-1000</v>
      </c>
      <c r="CE687" s="47">
        <f t="shared" si="2174"/>
        <v>-1000</v>
      </c>
      <c r="CF687" s="47">
        <f t="shared" si="2174"/>
        <v>-1000</v>
      </c>
      <c r="CG687" s="47">
        <f t="shared" si="2174"/>
        <v>-1000</v>
      </c>
      <c r="CH687" s="47">
        <f t="shared" si="2174"/>
        <v>-800</v>
      </c>
      <c r="CI687" s="47">
        <f t="shared" si="2174"/>
        <v>-1000</v>
      </c>
      <c r="CJ687" s="47">
        <f t="shared" si="2174"/>
        <v>-1000</v>
      </c>
      <c r="CK687" s="47">
        <f t="shared" si="2174"/>
        <v>-1000</v>
      </c>
      <c r="CL687" s="47">
        <f t="shared" si="2174"/>
        <v>-1000</v>
      </c>
      <c r="CM687" s="47">
        <f t="shared" si="2174"/>
        <v>-1000</v>
      </c>
      <c r="CN687" s="47">
        <f t="shared" si="2174"/>
        <v>-1000</v>
      </c>
      <c r="CO687" s="47">
        <f t="shared" si="2174"/>
        <v>-1000</v>
      </c>
      <c r="CP687" s="47">
        <f t="shared" si="2174"/>
        <v>-1000</v>
      </c>
      <c r="CQ687" s="47">
        <f t="shared" si="2174"/>
        <v>-1000</v>
      </c>
      <c r="CR687" s="47"/>
      <c r="CS687" s="47"/>
      <c r="CT687" s="47"/>
      <c r="CU687" s="74"/>
      <c r="CV687" s="74"/>
      <c r="CW687" s="74" t="str">
        <f>IFERROR(__xludf.DUMMYFUNCTION("IF(REGEXMATCH(UPPER(CU687), ""DALLAS""),,CU687)"),"")</f>
        <v/>
      </c>
      <c r="CX687" s="74"/>
      <c r="CY687" s="74"/>
      <c r="CZ687" s="74"/>
      <c r="DA687" s="75"/>
      <c r="DB687" s="74"/>
      <c r="DC687" s="74"/>
      <c r="DD687" s="74"/>
      <c r="DE687" s="74"/>
      <c r="DF687" s="74"/>
      <c r="DG687" s="74"/>
      <c r="DH687" s="74"/>
      <c r="DI687" s="74"/>
      <c r="DJ687" s="74"/>
      <c r="DK687" s="74"/>
      <c r="DL687" s="74"/>
      <c r="DM687" s="74"/>
      <c r="DN687" s="74"/>
      <c r="DO687" s="74"/>
      <c r="DP687" s="74"/>
      <c r="DQ687" s="74"/>
      <c r="DR687" s="74"/>
      <c r="DS687" s="74"/>
      <c r="DT687" s="74"/>
      <c r="DU687" s="74"/>
      <c r="DV687" s="74"/>
      <c r="DW687" s="74"/>
    </row>
    <row r="688">
      <c r="A688" s="23" t="s">
        <v>64</v>
      </c>
      <c r="B688" s="23" t="s">
        <v>56</v>
      </c>
      <c r="C688" s="31" t="s">
        <v>1810</v>
      </c>
      <c r="D688" s="25" t="str">
        <f>IFERROR(__xludf.DUMMYFUNCTION("SPLIT(C688,"" "")"),"Timmerman,")</f>
        <v>Timmerman,</v>
      </c>
      <c r="E688" s="22" t="str">
        <f>IFERROR(__xludf.DUMMYFUNCTION("""COMPUTED_VALUE"""),"Amy
9924")</f>
        <v>Amy
9924</v>
      </c>
      <c r="F688" s="22" t="str">
        <f>IFERROR(__xludf.DUMMYFUNCTION("""COMPUTED_VALUE"""),"Edgecove
Dallas,")</f>
        <v>Edgecove
Dallas,</v>
      </c>
      <c r="G688" s="22" t="str">
        <f>IFERROR(__xludf.DUMMYFUNCTION("""COMPUTED_VALUE"""),"TX")</f>
        <v>TX</v>
      </c>
      <c r="H688" s="22">
        <f>IFERROR(__xludf.DUMMYFUNCTION("""COMPUTED_VALUE"""),75238.0)</f>
        <v>75238</v>
      </c>
      <c r="I688" s="22"/>
      <c r="J688" s="22"/>
      <c r="K688" s="22"/>
      <c r="L688" s="22"/>
      <c r="M688" s="22"/>
      <c r="N688" s="22"/>
      <c r="O688" s="22"/>
      <c r="P688" s="22"/>
      <c r="Q688" s="22"/>
      <c r="R688" s="22"/>
      <c r="S688" s="22"/>
      <c r="T688" s="22"/>
      <c r="U688" s="24" t="str">
        <f>IFERROR(__xludf.DUMMYFUNCTION("SPLIT(E688,""01234567890"")"),"Amy
")</f>
        <v>Amy
</v>
      </c>
      <c r="V688" s="24" t="str">
        <f>IFERROR(__xludf.DUMMYFUNCTION("SPLIT(D688,"","")"),"Timmerman")</f>
        <v>Timmerman</v>
      </c>
      <c r="W688" s="25" t="str">
        <f t="shared" si="1"/>
        <v>AMY
 TIMMERMAN</v>
      </c>
      <c r="X688" s="25" t="s">
        <v>1811</v>
      </c>
      <c r="Y688" s="25">
        <v>75238.0</v>
      </c>
      <c r="Z688" s="25" t="str">
        <f>IFERROR(__xludf.DUMMYFUNCTION("SPLIT(C688,""
"")"),"Timmerman, Amy")</f>
        <v>Timmerman, Amy</v>
      </c>
      <c r="AA688" s="25" t="str">
        <f>IFERROR(__xludf.DUMMYFUNCTION("""COMPUTED_VALUE"""),"9924 Edgecove")</f>
        <v>9924 Edgecove</v>
      </c>
      <c r="AB688" s="25" t="str">
        <f>IFERROR(__xludf.DUMMYFUNCTION("""COMPUTED_VALUE"""),"Dallas, TX 75238")</f>
        <v>Dallas, TX 75238</v>
      </c>
      <c r="AC688" s="24" t="s">
        <v>1812</v>
      </c>
      <c r="AD688" s="25"/>
      <c r="AE688" s="25"/>
      <c r="AF688" s="25"/>
      <c r="AG688" s="22" t="s">
        <v>60</v>
      </c>
      <c r="AH688" s="54">
        <v>2477.0</v>
      </c>
      <c r="AI688" s="22" t="s">
        <v>68</v>
      </c>
      <c r="AJ688" s="27">
        <v>100.0</v>
      </c>
      <c r="AK688" s="31" t="s">
        <v>26</v>
      </c>
      <c r="AL688" s="28">
        <v>44884.0</v>
      </c>
      <c r="AM688" s="29">
        <v>44940.42346064815</v>
      </c>
      <c r="AN688" s="30">
        <v>2.0</v>
      </c>
      <c r="AO688" s="22"/>
      <c r="AP688" s="22"/>
      <c r="AQ688" s="22"/>
      <c r="AR688" s="22"/>
      <c r="AS688" s="22"/>
      <c r="AT688" s="70"/>
      <c r="AU688" s="22"/>
      <c r="AV688" s="57" t="str">
        <f>IFERROR(__xludf.DUMMYFUNCTION("""COMPUTED_VALUE"""),"Palmer")</f>
        <v>Palmer</v>
      </c>
      <c r="AW688" s="46">
        <f t="shared" si="7"/>
        <v>100</v>
      </c>
      <c r="AX688" s="47">
        <f t="shared" ref="AX688:BQ688" si="2175">SUMIFS($AJ:$AJ,$V:$V,$AV688,$AK:$AK,AX$2)</f>
        <v>0</v>
      </c>
      <c r="AY688" s="48">
        <f t="shared" si="2175"/>
        <v>0</v>
      </c>
      <c r="AZ688" s="48">
        <f t="shared" si="2175"/>
        <v>0</v>
      </c>
      <c r="BA688" s="48">
        <f t="shared" si="2175"/>
        <v>0</v>
      </c>
      <c r="BB688" s="48">
        <f t="shared" si="2175"/>
        <v>0</v>
      </c>
      <c r="BC688" s="48">
        <f t="shared" si="2175"/>
        <v>0</v>
      </c>
      <c r="BD688" s="48">
        <f t="shared" si="2175"/>
        <v>0</v>
      </c>
      <c r="BE688" s="48">
        <f t="shared" si="2175"/>
        <v>0</v>
      </c>
      <c r="BF688" s="48">
        <f t="shared" si="2175"/>
        <v>0</v>
      </c>
      <c r="BG688" s="48">
        <f t="shared" si="2175"/>
        <v>0</v>
      </c>
      <c r="BH688" s="48">
        <f t="shared" si="2175"/>
        <v>100</v>
      </c>
      <c r="BI688" s="48">
        <f t="shared" si="2175"/>
        <v>0</v>
      </c>
      <c r="BJ688" s="48">
        <f t="shared" si="2175"/>
        <v>0</v>
      </c>
      <c r="BK688" s="48">
        <f t="shared" si="2175"/>
        <v>0</v>
      </c>
      <c r="BL688" s="48">
        <f t="shared" si="2175"/>
        <v>0</v>
      </c>
      <c r="BM688" s="48">
        <f t="shared" si="2175"/>
        <v>0</v>
      </c>
      <c r="BN688" s="48">
        <f t="shared" si="2175"/>
        <v>0</v>
      </c>
      <c r="BO688" s="48">
        <f t="shared" si="2175"/>
        <v>0</v>
      </c>
      <c r="BP688" s="48">
        <f t="shared" si="2175"/>
        <v>0</v>
      </c>
      <c r="BQ688" s="48">
        <f t="shared" si="2175"/>
        <v>0</v>
      </c>
      <c r="BR688" s="36">
        <f t="shared" si="9"/>
        <v>0</v>
      </c>
      <c r="BS688" s="38">
        <f t="shared" si="10"/>
        <v>1</v>
      </c>
      <c r="BT688" s="49">
        <f t="shared" si="11"/>
        <v>0</v>
      </c>
      <c r="BU688" s="38">
        <f t="shared" si="12"/>
        <v>1000</v>
      </c>
      <c r="BV688" s="57" t="str">
        <f>IFERROR(__xludf.DUMMYFUNCTION("""COMPUTED_VALUE"""),"Palmer")</f>
        <v>Palmer</v>
      </c>
      <c r="BW688" s="46">
        <f t="shared" si="13"/>
        <v>100</v>
      </c>
      <c r="BX688" s="47">
        <f t="shared" ref="BX688:CA688" si="2176">AX688-$BU688</f>
        <v>-1000</v>
      </c>
      <c r="BY688" s="47">
        <f t="shared" si="2176"/>
        <v>-1000</v>
      </c>
      <c r="BZ688" s="47">
        <f t="shared" si="2176"/>
        <v>-1000</v>
      </c>
      <c r="CA688" s="47">
        <f t="shared" si="2176"/>
        <v>-1000</v>
      </c>
      <c r="CB688" s="47">
        <f t="shared" si="15"/>
        <v>-10000</v>
      </c>
      <c r="CC688" s="47">
        <f t="shared" ref="CC688:CQ688" si="2177">BC688-$BU688</f>
        <v>-1000</v>
      </c>
      <c r="CD688" s="47">
        <f t="shared" si="2177"/>
        <v>-1000</v>
      </c>
      <c r="CE688" s="47">
        <f t="shared" si="2177"/>
        <v>-1000</v>
      </c>
      <c r="CF688" s="47">
        <f t="shared" si="2177"/>
        <v>-1000</v>
      </c>
      <c r="CG688" s="47">
        <f t="shared" si="2177"/>
        <v>-1000</v>
      </c>
      <c r="CH688" s="47">
        <f t="shared" si="2177"/>
        <v>-900</v>
      </c>
      <c r="CI688" s="47">
        <f t="shared" si="2177"/>
        <v>-1000</v>
      </c>
      <c r="CJ688" s="47">
        <f t="shared" si="2177"/>
        <v>-1000</v>
      </c>
      <c r="CK688" s="47">
        <f t="shared" si="2177"/>
        <v>-1000</v>
      </c>
      <c r="CL688" s="47">
        <f t="shared" si="2177"/>
        <v>-1000</v>
      </c>
      <c r="CM688" s="47">
        <f t="shared" si="2177"/>
        <v>-1000</v>
      </c>
      <c r="CN688" s="47">
        <f t="shared" si="2177"/>
        <v>-1000</v>
      </c>
      <c r="CO688" s="47">
        <f t="shared" si="2177"/>
        <v>-1000</v>
      </c>
      <c r="CP688" s="47">
        <f t="shared" si="2177"/>
        <v>-1000</v>
      </c>
      <c r="CQ688" s="47">
        <f t="shared" si="2177"/>
        <v>-1000</v>
      </c>
      <c r="CR688" s="47"/>
      <c r="CS688" s="47"/>
      <c r="CT688" s="47"/>
      <c r="CU688" s="74"/>
      <c r="CV688" s="74"/>
      <c r="CW688" s="74" t="str">
        <f>IFERROR(__xludf.DUMMYFUNCTION("IF(REGEXMATCH(UPPER(CU688), ""DALLAS""),,CU688)"),"")</f>
        <v/>
      </c>
      <c r="CX688" s="74"/>
      <c r="CY688" s="74"/>
      <c r="CZ688" s="74"/>
      <c r="DA688" s="75"/>
      <c r="DB688" s="74"/>
      <c r="DC688" s="74"/>
      <c r="DD688" s="74"/>
      <c r="DE688" s="74"/>
      <c r="DF688" s="74"/>
      <c r="DG688" s="74"/>
      <c r="DH688" s="74"/>
      <c r="DI688" s="74"/>
      <c r="DJ688" s="74"/>
      <c r="DK688" s="74"/>
      <c r="DL688" s="74"/>
      <c r="DM688" s="74"/>
      <c r="DN688" s="74"/>
      <c r="DO688" s="74"/>
      <c r="DP688" s="74"/>
      <c r="DQ688" s="74"/>
      <c r="DR688" s="74"/>
      <c r="DS688" s="74"/>
      <c r="DT688" s="74"/>
      <c r="DU688" s="74"/>
      <c r="DV688" s="74"/>
      <c r="DW688" s="74"/>
    </row>
    <row r="689">
      <c r="A689" s="41" t="s">
        <v>64</v>
      </c>
      <c r="B689" s="41" t="s">
        <v>56</v>
      </c>
      <c r="C689" s="31" t="s">
        <v>1813</v>
      </c>
      <c r="D689" s="25" t="str">
        <f>IFERROR(__xludf.DUMMYFUNCTION("SPLIT(C689,"" "")"),"Lewis,")</f>
        <v>Lewis,</v>
      </c>
      <c r="E689" s="40" t="str">
        <f>IFERROR(__xludf.DUMMYFUNCTION("""COMPUTED_VALUE"""),"Gale
6829")</f>
        <v>Gale
6829</v>
      </c>
      <c r="F689" s="40" t="str">
        <f>IFERROR(__xludf.DUMMYFUNCTION("""COMPUTED_VALUE"""),"Blackwood
Dallas,")</f>
        <v>Blackwood
Dallas,</v>
      </c>
      <c r="G689" s="40" t="str">
        <f>IFERROR(__xludf.DUMMYFUNCTION("""COMPUTED_VALUE"""),"TX")</f>
        <v>TX</v>
      </c>
      <c r="H689" s="40">
        <f>IFERROR(__xludf.DUMMYFUNCTION("""COMPUTED_VALUE"""),75231.0)</f>
        <v>75231</v>
      </c>
      <c r="I689" s="40"/>
      <c r="J689" s="40"/>
      <c r="K689" s="40"/>
      <c r="L689" s="40"/>
      <c r="M689" s="40"/>
      <c r="N689" s="40"/>
      <c r="O689" s="40"/>
      <c r="P689" s="40"/>
      <c r="Q689" s="40"/>
      <c r="R689" s="40"/>
      <c r="S689" s="40"/>
      <c r="T689" s="40"/>
      <c r="U689" s="24" t="str">
        <f>IFERROR(__xludf.DUMMYFUNCTION("SPLIT(E689,""01234567890"")"),"Gale
")</f>
        <v>Gale
</v>
      </c>
      <c r="V689" s="24" t="str">
        <f>IFERROR(__xludf.DUMMYFUNCTION("SPLIT(D689,"","")"),"Lewis")</f>
        <v>Lewis</v>
      </c>
      <c r="W689" s="25" t="str">
        <f t="shared" si="1"/>
        <v>GALE
 LEWIS</v>
      </c>
      <c r="X689" s="25" t="s">
        <v>1814</v>
      </c>
      <c r="Y689" s="25">
        <v>75231.0</v>
      </c>
      <c r="Z689" s="25" t="str">
        <f>IFERROR(__xludf.DUMMYFUNCTION("SPLIT(C689,""
"")"),"Lewis, Gale")</f>
        <v>Lewis, Gale</v>
      </c>
      <c r="AA689" s="25" t="str">
        <f>IFERROR(__xludf.DUMMYFUNCTION("""COMPUTED_VALUE"""),"6829 Blackwood")</f>
        <v>6829 Blackwood</v>
      </c>
      <c r="AB689" s="25" t="str">
        <f>IFERROR(__xludf.DUMMYFUNCTION("""COMPUTED_VALUE"""),"Dallas, TX 75231")</f>
        <v>Dallas, TX 75231</v>
      </c>
      <c r="AC689" s="24" t="s">
        <v>1815</v>
      </c>
      <c r="AD689" s="25"/>
      <c r="AE689" s="25"/>
      <c r="AF689" s="25"/>
      <c r="AG689" s="40" t="s">
        <v>60</v>
      </c>
      <c r="AH689" s="42">
        <v>2477.0</v>
      </c>
      <c r="AI689" s="40" t="s">
        <v>68</v>
      </c>
      <c r="AJ689" s="27">
        <v>200.0</v>
      </c>
      <c r="AK689" s="31" t="s">
        <v>26</v>
      </c>
      <c r="AL689" s="43">
        <v>44884.0</v>
      </c>
      <c r="AM689" s="44">
        <v>44940.42346064815</v>
      </c>
      <c r="AN689" s="30">
        <v>2.0</v>
      </c>
      <c r="AO689" s="40"/>
      <c r="AP689" s="40"/>
      <c r="AQ689" s="40"/>
      <c r="AR689" s="40"/>
      <c r="AS689" s="40"/>
      <c r="AT689" s="47"/>
      <c r="AU689" s="40"/>
      <c r="AV689" s="46" t="str">
        <f>IFERROR(__xludf.DUMMYFUNCTION("""COMPUTED_VALUE"""),"Fried")</f>
        <v>Fried</v>
      </c>
      <c r="AW689" s="46">
        <f t="shared" si="7"/>
        <v>18</v>
      </c>
      <c r="AX689" s="47">
        <f t="shared" ref="AX689:BQ689" si="2178">SUMIFS($AJ:$AJ,$V:$V,$AV689,$AK:$AK,AX$2)</f>
        <v>0</v>
      </c>
      <c r="AY689" s="48">
        <f t="shared" si="2178"/>
        <v>0</v>
      </c>
      <c r="AZ689" s="48">
        <f t="shared" si="2178"/>
        <v>0</v>
      </c>
      <c r="BA689" s="48">
        <f t="shared" si="2178"/>
        <v>0</v>
      </c>
      <c r="BB689" s="48">
        <f t="shared" si="2178"/>
        <v>0</v>
      </c>
      <c r="BC689" s="48">
        <f t="shared" si="2178"/>
        <v>0</v>
      </c>
      <c r="BD689" s="48">
        <f t="shared" si="2178"/>
        <v>0</v>
      </c>
      <c r="BE689" s="48">
        <f t="shared" si="2178"/>
        <v>0</v>
      </c>
      <c r="BF689" s="48">
        <f t="shared" si="2178"/>
        <v>0</v>
      </c>
      <c r="BG689" s="48">
        <f t="shared" si="2178"/>
        <v>0</v>
      </c>
      <c r="BH689" s="48">
        <f t="shared" si="2178"/>
        <v>18</v>
      </c>
      <c r="BI689" s="48">
        <f t="shared" si="2178"/>
        <v>0</v>
      </c>
      <c r="BJ689" s="48">
        <f t="shared" si="2178"/>
        <v>0</v>
      </c>
      <c r="BK689" s="48">
        <f t="shared" si="2178"/>
        <v>0</v>
      </c>
      <c r="BL689" s="48">
        <f t="shared" si="2178"/>
        <v>0</v>
      </c>
      <c r="BM689" s="48">
        <f t="shared" si="2178"/>
        <v>0</v>
      </c>
      <c r="BN689" s="48">
        <f t="shared" si="2178"/>
        <v>0</v>
      </c>
      <c r="BO689" s="48">
        <f t="shared" si="2178"/>
        <v>0</v>
      </c>
      <c r="BP689" s="48">
        <f t="shared" si="2178"/>
        <v>0</v>
      </c>
      <c r="BQ689" s="48">
        <f t="shared" si="2178"/>
        <v>0</v>
      </c>
      <c r="BR689" s="36">
        <f t="shared" si="9"/>
        <v>0</v>
      </c>
      <c r="BS689" s="38">
        <f t="shared" si="10"/>
        <v>1</v>
      </c>
      <c r="BT689" s="49">
        <f t="shared" si="11"/>
        <v>0</v>
      </c>
      <c r="BU689" s="38">
        <f t="shared" si="12"/>
        <v>1000</v>
      </c>
      <c r="BV689" s="46" t="str">
        <f>IFERROR(__xludf.DUMMYFUNCTION("""COMPUTED_VALUE"""),"Fried")</f>
        <v>Fried</v>
      </c>
      <c r="BW689" s="46">
        <f t="shared" si="13"/>
        <v>18</v>
      </c>
      <c r="BX689" s="47">
        <f t="shared" ref="BX689:CA689" si="2179">AX689-$BU689</f>
        <v>-1000</v>
      </c>
      <c r="BY689" s="47">
        <f t="shared" si="2179"/>
        <v>-1000</v>
      </c>
      <c r="BZ689" s="47">
        <f t="shared" si="2179"/>
        <v>-1000</v>
      </c>
      <c r="CA689" s="47">
        <f t="shared" si="2179"/>
        <v>-1000</v>
      </c>
      <c r="CB689" s="47">
        <f t="shared" si="15"/>
        <v>-10000</v>
      </c>
      <c r="CC689" s="47">
        <f t="shared" ref="CC689:CQ689" si="2180">BC689-$BU689</f>
        <v>-1000</v>
      </c>
      <c r="CD689" s="47">
        <f t="shared" si="2180"/>
        <v>-1000</v>
      </c>
      <c r="CE689" s="47">
        <f t="shared" si="2180"/>
        <v>-1000</v>
      </c>
      <c r="CF689" s="47">
        <f t="shared" si="2180"/>
        <v>-1000</v>
      </c>
      <c r="CG689" s="47">
        <f t="shared" si="2180"/>
        <v>-1000</v>
      </c>
      <c r="CH689" s="47">
        <f t="shared" si="2180"/>
        <v>-982</v>
      </c>
      <c r="CI689" s="47">
        <f t="shared" si="2180"/>
        <v>-1000</v>
      </c>
      <c r="CJ689" s="47">
        <f t="shared" si="2180"/>
        <v>-1000</v>
      </c>
      <c r="CK689" s="47">
        <f t="shared" si="2180"/>
        <v>-1000</v>
      </c>
      <c r="CL689" s="47">
        <f t="shared" si="2180"/>
        <v>-1000</v>
      </c>
      <c r="CM689" s="47">
        <f t="shared" si="2180"/>
        <v>-1000</v>
      </c>
      <c r="CN689" s="47">
        <f t="shared" si="2180"/>
        <v>-1000</v>
      </c>
      <c r="CO689" s="47">
        <f t="shared" si="2180"/>
        <v>-1000</v>
      </c>
      <c r="CP689" s="47">
        <f t="shared" si="2180"/>
        <v>-1000</v>
      </c>
      <c r="CQ689" s="47">
        <f t="shared" si="2180"/>
        <v>-1000</v>
      </c>
      <c r="CR689" s="47"/>
      <c r="CS689" s="47"/>
      <c r="CT689" s="47"/>
      <c r="CU689" s="74"/>
      <c r="CV689" s="74"/>
      <c r="CW689" s="74" t="str">
        <f>IFERROR(__xludf.DUMMYFUNCTION("IF(REGEXMATCH(UPPER(CU689), ""DALLAS""),,CU689)"),"")</f>
        <v/>
      </c>
      <c r="CX689" s="74"/>
      <c r="CY689" s="74"/>
      <c r="CZ689" s="74"/>
      <c r="DA689" s="75"/>
      <c r="DB689" s="74"/>
      <c r="DC689" s="74"/>
      <c r="DD689" s="74"/>
      <c r="DE689" s="74"/>
      <c r="DF689" s="74"/>
      <c r="DG689" s="74"/>
      <c r="DH689" s="74"/>
      <c r="DI689" s="74"/>
      <c r="DJ689" s="74"/>
      <c r="DK689" s="74"/>
      <c r="DL689" s="74"/>
      <c r="DM689" s="74"/>
      <c r="DN689" s="74"/>
      <c r="DO689" s="74"/>
      <c r="DP689" s="74"/>
      <c r="DQ689" s="74"/>
      <c r="DR689" s="74"/>
      <c r="DS689" s="74"/>
      <c r="DT689" s="74"/>
      <c r="DU689" s="74"/>
      <c r="DV689" s="74"/>
      <c r="DW689" s="74"/>
    </row>
    <row r="690">
      <c r="A690" s="23" t="s">
        <v>64</v>
      </c>
      <c r="B690" s="23" t="s">
        <v>56</v>
      </c>
      <c r="C690" s="31" t="s">
        <v>143</v>
      </c>
      <c r="D690" s="25" t="str">
        <f>IFERROR(__xludf.DUMMYFUNCTION("SPLIT(C690,"" "")"),"Aldredge,")</f>
        <v>Aldredge,</v>
      </c>
      <c r="E690" s="22" t="str">
        <f>IFERROR(__xludf.DUMMYFUNCTION("""COMPUTED_VALUE"""),"Chris
7014")</f>
        <v>Chris
7014</v>
      </c>
      <c r="F690" s="22" t="str">
        <f>IFERROR(__xludf.DUMMYFUNCTION("""COMPUTED_VALUE"""),"Preston")</f>
        <v>Preston</v>
      </c>
      <c r="G690" s="22" t="str">
        <f>IFERROR(__xludf.DUMMYFUNCTION("""COMPUTED_VALUE"""),"Grove
Dallas,")</f>
        <v>Grove
Dallas,</v>
      </c>
      <c r="H690" s="22" t="str">
        <f>IFERROR(__xludf.DUMMYFUNCTION("""COMPUTED_VALUE"""),"TX")</f>
        <v>TX</v>
      </c>
      <c r="I690" s="22">
        <f>IFERROR(__xludf.DUMMYFUNCTION("""COMPUTED_VALUE"""),75230.0)</f>
        <v>75230</v>
      </c>
      <c r="J690" s="22"/>
      <c r="K690" s="22"/>
      <c r="L690" s="22"/>
      <c r="M690" s="22"/>
      <c r="N690" s="22"/>
      <c r="O690" s="22"/>
      <c r="P690" s="22"/>
      <c r="Q690" s="22"/>
      <c r="R690" s="22"/>
      <c r="S690" s="22"/>
      <c r="T690" s="22"/>
      <c r="U690" s="24" t="str">
        <f>IFERROR(__xludf.DUMMYFUNCTION("SPLIT(E690,""01234567890"")"),"Chris
")</f>
        <v>Chris
</v>
      </c>
      <c r="V690" s="24" t="str">
        <f>IFERROR(__xludf.DUMMYFUNCTION("SPLIT(D690,"","")"),"Aldredge")</f>
        <v>Aldredge</v>
      </c>
      <c r="W690" s="25" t="str">
        <f t="shared" si="1"/>
        <v>CHRIS
 ALDREDGE</v>
      </c>
      <c r="X690" s="25" t="s">
        <v>144</v>
      </c>
      <c r="Y690" s="25">
        <v>75230.0</v>
      </c>
      <c r="Z690" s="25" t="str">
        <f>IFERROR(__xludf.DUMMYFUNCTION("SPLIT(C690,""
"")"),"Aldredge, Chris")</f>
        <v>Aldredge, Chris</v>
      </c>
      <c r="AA690" s="25" t="str">
        <f>IFERROR(__xludf.DUMMYFUNCTION("""COMPUTED_VALUE"""),"7014 Preston Grove")</f>
        <v>7014 Preston Grove</v>
      </c>
      <c r="AB690" s="25" t="str">
        <f>IFERROR(__xludf.DUMMYFUNCTION("""COMPUTED_VALUE"""),"Dallas, TX 75230")</f>
        <v>Dallas, TX 75230</v>
      </c>
      <c r="AC690" s="24" t="s">
        <v>145</v>
      </c>
      <c r="AD690" s="25"/>
      <c r="AE690" s="25"/>
      <c r="AF690" s="25"/>
      <c r="AG690" s="22" t="s">
        <v>60</v>
      </c>
      <c r="AH690" s="54">
        <v>2477.0</v>
      </c>
      <c r="AI690" s="22" t="s">
        <v>68</v>
      </c>
      <c r="AJ690" s="27">
        <v>50.0</v>
      </c>
      <c r="AK690" s="31" t="s">
        <v>26</v>
      </c>
      <c r="AL690" s="28">
        <v>44884.0</v>
      </c>
      <c r="AM690" s="29">
        <v>44940.42346064815</v>
      </c>
      <c r="AN690" s="30">
        <v>2.0</v>
      </c>
      <c r="AO690" s="22"/>
      <c r="AP690" s="22"/>
      <c r="AQ690" s="22"/>
      <c r="AR690" s="22"/>
      <c r="AS690" s="22"/>
      <c r="AT690" s="70"/>
      <c r="AU690" s="22"/>
      <c r="AV690" s="57" t="str">
        <f>IFERROR(__xludf.DUMMYFUNCTION("""COMPUTED_VALUE"""),"Fritts")</f>
        <v>Fritts</v>
      </c>
      <c r="AW690" s="46">
        <f t="shared" si="7"/>
        <v>100</v>
      </c>
      <c r="AX690" s="47">
        <f t="shared" ref="AX690:BQ690" si="2181">SUMIFS($AJ:$AJ,$V:$V,$AV690,$AK:$AK,AX$2)</f>
        <v>0</v>
      </c>
      <c r="AY690" s="48">
        <f t="shared" si="2181"/>
        <v>0</v>
      </c>
      <c r="AZ690" s="48">
        <f t="shared" si="2181"/>
        <v>0</v>
      </c>
      <c r="BA690" s="48">
        <f t="shared" si="2181"/>
        <v>0</v>
      </c>
      <c r="BB690" s="48">
        <f t="shared" si="2181"/>
        <v>0</v>
      </c>
      <c r="BC690" s="48">
        <f t="shared" si="2181"/>
        <v>0</v>
      </c>
      <c r="BD690" s="48">
        <f t="shared" si="2181"/>
        <v>0</v>
      </c>
      <c r="BE690" s="48">
        <f t="shared" si="2181"/>
        <v>0</v>
      </c>
      <c r="BF690" s="48">
        <f t="shared" si="2181"/>
        <v>0</v>
      </c>
      <c r="BG690" s="48">
        <f t="shared" si="2181"/>
        <v>0</v>
      </c>
      <c r="BH690" s="48">
        <f t="shared" si="2181"/>
        <v>100</v>
      </c>
      <c r="BI690" s="48">
        <f t="shared" si="2181"/>
        <v>0</v>
      </c>
      <c r="BJ690" s="48">
        <f t="shared" si="2181"/>
        <v>0</v>
      </c>
      <c r="BK690" s="48">
        <f t="shared" si="2181"/>
        <v>0</v>
      </c>
      <c r="BL690" s="48">
        <f t="shared" si="2181"/>
        <v>0</v>
      </c>
      <c r="BM690" s="48">
        <f t="shared" si="2181"/>
        <v>0</v>
      </c>
      <c r="BN690" s="48">
        <f t="shared" si="2181"/>
        <v>0</v>
      </c>
      <c r="BO690" s="48">
        <f t="shared" si="2181"/>
        <v>0</v>
      </c>
      <c r="BP690" s="48">
        <f t="shared" si="2181"/>
        <v>0</v>
      </c>
      <c r="BQ690" s="48">
        <f t="shared" si="2181"/>
        <v>0</v>
      </c>
      <c r="BR690" s="36">
        <f t="shared" si="9"/>
        <v>0</v>
      </c>
      <c r="BS690" s="38">
        <f t="shared" si="10"/>
        <v>1</v>
      </c>
      <c r="BT690" s="49">
        <f t="shared" si="11"/>
        <v>0</v>
      </c>
      <c r="BU690" s="38">
        <f t="shared" si="12"/>
        <v>1000</v>
      </c>
      <c r="BV690" s="57" t="str">
        <f>IFERROR(__xludf.DUMMYFUNCTION("""COMPUTED_VALUE"""),"Fritts")</f>
        <v>Fritts</v>
      </c>
      <c r="BW690" s="46">
        <f t="shared" si="13"/>
        <v>100</v>
      </c>
      <c r="BX690" s="47">
        <f t="shared" ref="BX690:CA690" si="2182">AX690-$BU690</f>
        <v>-1000</v>
      </c>
      <c r="BY690" s="47">
        <f t="shared" si="2182"/>
        <v>-1000</v>
      </c>
      <c r="BZ690" s="47">
        <f t="shared" si="2182"/>
        <v>-1000</v>
      </c>
      <c r="CA690" s="47">
        <f t="shared" si="2182"/>
        <v>-1000</v>
      </c>
      <c r="CB690" s="47">
        <f t="shared" si="15"/>
        <v>-10000</v>
      </c>
      <c r="CC690" s="47">
        <f t="shared" ref="CC690:CQ690" si="2183">BC690-$BU690</f>
        <v>-1000</v>
      </c>
      <c r="CD690" s="47">
        <f t="shared" si="2183"/>
        <v>-1000</v>
      </c>
      <c r="CE690" s="47">
        <f t="shared" si="2183"/>
        <v>-1000</v>
      </c>
      <c r="CF690" s="47">
        <f t="shared" si="2183"/>
        <v>-1000</v>
      </c>
      <c r="CG690" s="47">
        <f t="shared" si="2183"/>
        <v>-1000</v>
      </c>
      <c r="CH690" s="47">
        <f t="shared" si="2183"/>
        <v>-900</v>
      </c>
      <c r="CI690" s="47">
        <f t="shared" si="2183"/>
        <v>-1000</v>
      </c>
      <c r="CJ690" s="47">
        <f t="shared" si="2183"/>
        <v>-1000</v>
      </c>
      <c r="CK690" s="47">
        <f t="shared" si="2183"/>
        <v>-1000</v>
      </c>
      <c r="CL690" s="47">
        <f t="shared" si="2183"/>
        <v>-1000</v>
      </c>
      <c r="CM690" s="47">
        <f t="shared" si="2183"/>
        <v>-1000</v>
      </c>
      <c r="CN690" s="47">
        <f t="shared" si="2183"/>
        <v>-1000</v>
      </c>
      <c r="CO690" s="47">
        <f t="shared" si="2183"/>
        <v>-1000</v>
      </c>
      <c r="CP690" s="47">
        <f t="shared" si="2183"/>
        <v>-1000</v>
      </c>
      <c r="CQ690" s="47">
        <f t="shared" si="2183"/>
        <v>-1000</v>
      </c>
      <c r="CR690" s="47"/>
      <c r="CS690" s="47"/>
      <c r="CT690" s="47"/>
      <c r="CU690" s="74"/>
      <c r="CV690" s="74"/>
      <c r="CW690" s="74" t="str">
        <f>IFERROR(__xludf.DUMMYFUNCTION("IF(REGEXMATCH(UPPER(CU690), ""DALLAS""),,CU690)"),"")</f>
        <v/>
      </c>
      <c r="CX690" s="74"/>
      <c r="CY690" s="74"/>
      <c r="CZ690" s="74"/>
      <c r="DA690" s="75"/>
      <c r="DB690" s="74"/>
      <c r="DC690" s="74"/>
      <c r="DD690" s="74"/>
      <c r="DE690" s="74"/>
      <c r="DF690" s="74"/>
      <c r="DG690" s="74"/>
      <c r="DH690" s="74"/>
      <c r="DI690" s="74"/>
      <c r="DJ690" s="74"/>
      <c r="DK690" s="74"/>
      <c r="DL690" s="74"/>
      <c r="DM690" s="74"/>
      <c r="DN690" s="74"/>
      <c r="DO690" s="74"/>
      <c r="DP690" s="74"/>
      <c r="DQ690" s="74"/>
      <c r="DR690" s="74"/>
      <c r="DS690" s="74"/>
      <c r="DT690" s="74"/>
      <c r="DU690" s="74"/>
      <c r="DV690" s="74"/>
      <c r="DW690" s="74"/>
    </row>
    <row r="691">
      <c r="A691" s="41" t="s">
        <v>64</v>
      </c>
      <c r="B691" s="41" t="s">
        <v>56</v>
      </c>
      <c r="C691" s="31" t="s">
        <v>146</v>
      </c>
      <c r="D691" s="25" t="str">
        <f>IFERROR(__xludf.DUMMYFUNCTION("SPLIT(C691,"" "")"),"Aldredge,")</f>
        <v>Aldredge,</v>
      </c>
      <c r="E691" s="40" t="str">
        <f>IFERROR(__xludf.DUMMYFUNCTION("""COMPUTED_VALUE"""),"Cindy
7014")</f>
        <v>Cindy
7014</v>
      </c>
      <c r="F691" s="40" t="str">
        <f>IFERROR(__xludf.DUMMYFUNCTION("""COMPUTED_VALUE"""),"Preston")</f>
        <v>Preston</v>
      </c>
      <c r="G691" s="40" t="str">
        <f>IFERROR(__xludf.DUMMYFUNCTION("""COMPUTED_VALUE"""),"Grove
Dallas,")</f>
        <v>Grove
Dallas,</v>
      </c>
      <c r="H691" s="40" t="str">
        <f>IFERROR(__xludf.DUMMYFUNCTION("""COMPUTED_VALUE"""),"TX")</f>
        <v>TX</v>
      </c>
      <c r="I691" s="40">
        <f>IFERROR(__xludf.DUMMYFUNCTION("""COMPUTED_VALUE"""),75230.0)</f>
        <v>75230</v>
      </c>
      <c r="J691" s="40"/>
      <c r="K691" s="40"/>
      <c r="L691" s="40"/>
      <c r="M691" s="40"/>
      <c r="N691" s="40"/>
      <c r="O691" s="40"/>
      <c r="P691" s="40"/>
      <c r="Q691" s="40"/>
      <c r="R691" s="40"/>
      <c r="S691" s="40"/>
      <c r="T691" s="40"/>
      <c r="U691" s="24" t="str">
        <f>IFERROR(__xludf.DUMMYFUNCTION("SPLIT(E691,""01234567890"")"),"Cindy
")</f>
        <v>Cindy
</v>
      </c>
      <c r="V691" s="24" t="str">
        <f>IFERROR(__xludf.DUMMYFUNCTION("SPLIT(D691,"","")"),"Aldredge")</f>
        <v>Aldredge</v>
      </c>
      <c r="W691" s="25" t="str">
        <f t="shared" si="1"/>
        <v>CINDY
 ALDREDGE</v>
      </c>
      <c r="X691" s="25" t="s">
        <v>144</v>
      </c>
      <c r="Y691" s="25">
        <v>75230.0</v>
      </c>
      <c r="Z691" s="25" t="str">
        <f>IFERROR(__xludf.DUMMYFUNCTION("SPLIT(C691,""
"")"),"Aldredge, Cindy")</f>
        <v>Aldredge, Cindy</v>
      </c>
      <c r="AA691" s="25" t="str">
        <f>IFERROR(__xludf.DUMMYFUNCTION("""COMPUTED_VALUE"""),"7014 Preston Grove")</f>
        <v>7014 Preston Grove</v>
      </c>
      <c r="AB691" s="25" t="str">
        <f>IFERROR(__xludf.DUMMYFUNCTION("""COMPUTED_VALUE"""),"Dallas, TX 75230")</f>
        <v>Dallas, TX 75230</v>
      </c>
      <c r="AC691" s="24" t="s">
        <v>147</v>
      </c>
      <c r="AD691" s="25"/>
      <c r="AE691" s="25"/>
      <c r="AF691" s="25"/>
      <c r="AG691" s="40" t="s">
        <v>60</v>
      </c>
      <c r="AH691" s="42">
        <v>2477.0</v>
      </c>
      <c r="AI691" s="40" t="s">
        <v>68</v>
      </c>
      <c r="AJ691" s="27">
        <v>50.0</v>
      </c>
      <c r="AK691" s="31" t="s">
        <v>26</v>
      </c>
      <c r="AL691" s="43">
        <v>44884.0</v>
      </c>
      <c r="AM691" s="44">
        <v>44940.42346064815</v>
      </c>
      <c r="AN691" s="30">
        <v>2.0</v>
      </c>
      <c r="AO691" s="40"/>
      <c r="AP691" s="40"/>
      <c r="AQ691" s="40"/>
      <c r="AR691" s="40"/>
      <c r="AS691" s="40"/>
      <c r="AT691" s="47"/>
      <c r="AU691" s="40"/>
      <c r="AV691" s="46" t="str">
        <f>IFERROR(__xludf.DUMMYFUNCTION("""COMPUTED_VALUE"""),"Gallant")</f>
        <v>Gallant</v>
      </c>
      <c r="AW691" s="46">
        <f t="shared" si="7"/>
        <v>500</v>
      </c>
      <c r="AX691" s="47">
        <f t="shared" ref="AX691:BQ691" si="2184">SUMIFS($AJ:$AJ,$V:$V,$AV691,$AK:$AK,AX$2)</f>
        <v>0</v>
      </c>
      <c r="AY691" s="48">
        <f t="shared" si="2184"/>
        <v>0</v>
      </c>
      <c r="AZ691" s="48">
        <f t="shared" si="2184"/>
        <v>0</v>
      </c>
      <c r="BA691" s="48">
        <f t="shared" si="2184"/>
        <v>0</v>
      </c>
      <c r="BB691" s="48">
        <f t="shared" si="2184"/>
        <v>0</v>
      </c>
      <c r="BC691" s="48">
        <f t="shared" si="2184"/>
        <v>0</v>
      </c>
      <c r="BD691" s="48">
        <f t="shared" si="2184"/>
        <v>0</v>
      </c>
      <c r="BE691" s="48">
        <f t="shared" si="2184"/>
        <v>0</v>
      </c>
      <c r="BF691" s="48">
        <f t="shared" si="2184"/>
        <v>0</v>
      </c>
      <c r="BG691" s="48">
        <f t="shared" si="2184"/>
        <v>0</v>
      </c>
      <c r="BH691" s="48">
        <f t="shared" si="2184"/>
        <v>500</v>
      </c>
      <c r="BI691" s="48">
        <f t="shared" si="2184"/>
        <v>0</v>
      </c>
      <c r="BJ691" s="48">
        <f t="shared" si="2184"/>
        <v>0</v>
      </c>
      <c r="BK691" s="48">
        <f t="shared" si="2184"/>
        <v>0</v>
      </c>
      <c r="BL691" s="48">
        <f t="shared" si="2184"/>
        <v>0</v>
      </c>
      <c r="BM691" s="48">
        <f t="shared" si="2184"/>
        <v>0</v>
      </c>
      <c r="BN691" s="48">
        <f t="shared" si="2184"/>
        <v>0</v>
      </c>
      <c r="BO691" s="48">
        <f t="shared" si="2184"/>
        <v>0</v>
      </c>
      <c r="BP691" s="48">
        <f t="shared" si="2184"/>
        <v>0</v>
      </c>
      <c r="BQ691" s="48">
        <f t="shared" si="2184"/>
        <v>0</v>
      </c>
      <c r="BR691" s="36">
        <f t="shared" si="9"/>
        <v>0</v>
      </c>
      <c r="BS691" s="38">
        <f t="shared" si="10"/>
        <v>1</v>
      </c>
      <c r="BT691" s="49">
        <f t="shared" si="11"/>
        <v>0</v>
      </c>
      <c r="BU691" s="38">
        <f t="shared" si="12"/>
        <v>1000</v>
      </c>
      <c r="BV691" s="46" t="str">
        <f>IFERROR(__xludf.DUMMYFUNCTION("""COMPUTED_VALUE"""),"Gallant")</f>
        <v>Gallant</v>
      </c>
      <c r="BW691" s="46">
        <f t="shared" si="13"/>
        <v>500</v>
      </c>
      <c r="BX691" s="47">
        <f t="shared" ref="BX691:CA691" si="2185">AX691-$BU691</f>
        <v>-1000</v>
      </c>
      <c r="BY691" s="47">
        <f t="shared" si="2185"/>
        <v>-1000</v>
      </c>
      <c r="BZ691" s="47">
        <f t="shared" si="2185"/>
        <v>-1000</v>
      </c>
      <c r="CA691" s="47">
        <f t="shared" si="2185"/>
        <v>-1000</v>
      </c>
      <c r="CB691" s="47">
        <f t="shared" si="15"/>
        <v>-10000</v>
      </c>
      <c r="CC691" s="47">
        <f t="shared" ref="CC691:CQ691" si="2186">BC691-$BU691</f>
        <v>-1000</v>
      </c>
      <c r="CD691" s="47">
        <f t="shared" si="2186"/>
        <v>-1000</v>
      </c>
      <c r="CE691" s="47">
        <f t="shared" si="2186"/>
        <v>-1000</v>
      </c>
      <c r="CF691" s="47">
        <f t="shared" si="2186"/>
        <v>-1000</v>
      </c>
      <c r="CG691" s="47">
        <f t="shared" si="2186"/>
        <v>-1000</v>
      </c>
      <c r="CH691" s="47">
        <f t="shared" si="2186"/>
        <v>-500</v>
      </c>
      <c r="CI691" s="47">
        <f t="shared" si="2186"/>
        <v>-1000</v>
      </c>
      <c r="CJ691" s="47">
        <f t="shared" si="2186"/>
        <v>-1000</v>
      </c>
      <c r="CK691" s="47">
        <f t="shared" si="2186"/>
        <v>-1000</v>
      </c>
      <c r="CL691" s="47">
        <f t="shared" si="2186"/>
        <v>-1000</v>
      </c>
      <c r="CM691" s="47">
        <f t="shared" si="2186"/>
        <v>-1000</v>
      </c>
      <c r="CN691" s="47">
        <f t="shared" si="2186"/>
        <v>-1000</v>
      </c>
      <c r="CO691" s="47">
        <f t="shared" si="2186"/>
        <v>-1000</v>
      </c>
      <c r="CP691" s="47">
        <f t="shared" si="2186"/>
        <v>-1000</v>
      </c>
      <c r="CQ691" s="47">
        <f t="shared" si="2186"/>
        <v>-1000</v>
      </c>
      <c r="CR691" s="47"/>
      <c r="CS691" s="47"/>
      <c r="CT691" s="47"/>
      <c r="CU691" s="74"/>
      <c r="CV691" s="74"/>
      <c r="CW691" s="74" t="str">
        <f>IFERROR(__xludf.DUMMYFUNCTION("IF(REGEXMATCH(UPPER(CU691), ""DALLAS""),,CU691)"),"")</f>
        <v/>
      </c>
      <c r="CX691" s="74"/>
      <c r="CY691" s="74"/>
      <c r="CZ691" s="74"/>
      <c r="DA691" s="75"/>
      <c r="DB691" s="74"/>
      <c r="DC691" s="74"/>
      <c r="DD691" s="74"/>
      <c r="DE691" s="74"/>
      <c r="DF691" s="74"/>
      <c r="DG691" s="74"/>
      <c r="DH691" s="74"/>
      <c r="DI691" s="74"/>
      <c r="DJ691" s="74"/>
      <c r="DK691" s="74"/>
      <c r="DL691" s="74"/>
      <c r="DM691" s="74"/>
      <c r="DN691" s="74"/>
      <c r="DO691" s="74"/>
      <c r="DP691" s="74"/>
      <c r="DQ691" s="74"/>
      <c r="DR691" s="74"/>
      <c r="DS691" s="74"/>
      <c r="DT691" s="74"/>
      <c r="DU691" s="74"/>
      <c r="DV691" s="74"/>
      <c r="DW691" s="74"/>
    </row>
    <row r="692">
      <c r="A692" s="23" t="s">
        <v>64</v>
      </c>
      <c r="B692" s="23" t="s">
        <v>56</v>
      </c>
      <c r="C692" s="31" t="s">
        <v>1816</v>
      </c>
      <c r="D692" s="25" t="str">
        <f>IFERROR(__xludf.DUMMYFUNCTION("SPLIT(C692,"" "")"),"Bubel,")</f>
        <v>Bubel,</v>
      </c>
      <c r="E692" s="22" t="str">
        <f>IFERROR(__xludf.DUMMYFUNCTION("""COMPUTED_VALUE"""),"Laurie
9624")</f>
        <v>Laurie
9624</v>
      </c>
      <c r="F692" s="22" t="str">
        <f>IFERROR(__xludf.DUMMYFUNCTION("""COMPUTED_VALUE"""),"Spring")</f>
        <v>Spring</v>
      </c>
      <c r="G692" s="22" t="str">
        <f>IFERROR(__xludf.DUMMYFUNCTION("""COMPUTED_VALUE"""),"Branch
Dallas,")</f>
        <v>Branch
Dallas,</v>
      </c>
      <c r="H692" s="22" t="str">
        <f>IFERROR(__xludf.DUMMYFUNCTION("""COMPUTED_VALUE"""),"TX")</f>
        <v>TX</v>
      </c>
      <c r="I692" s="22">
        <f>IFERROR(__xludf.DUMMYFUNCTION("""COMPUTED_VALUE"""),75238.0)</f>
        <v>75238</v>
      </c>
      <c r="J692" s="22"/>
      <c r="K692" s="22"/>
      <c r="L692" s="22"/>
      <c r="M692" s="22"/>
      <c r="N692" s="22"/>
      <c r="O692" s="22"/>
      <c r="P692" s="22"/>
      <c r="Q692" s="22"/>
      <c r="R692" s="22"/>
      <c r="S692" s="22"/>
      <c r="T692" s="22"/>
      <c r="U692" s="24" t="str">
        <f>IFERROR(__xludf.DUMMYFUNCTION("SPLIT(E692,""01234567890"")"),"Laurie
")</f>
        <v>Laurie
</v>
      </c>
      <c r="V692" s="24" t="str">
        <f>IFERROR(__xludf.DUMMYFUNCTION("SPLIT(D692,"","")"),"Bubel")</f>
        <v>Bubel</v>
      </c>
      <c r="W692" s="25" t="str">
        <f t="shared" si="1"/>
        <v>LAURIE
 BUBEL</v>
      </c>
      <c r="X692" s="25" t="s">
        <v>1817</v>
      </c>
      <c r="Y692" s="25">
        <v>75238.0</v>
      </c>
      <c r="Z692" s="25" t="str">
        <f>IFERROR(__xludf.DUMMYFUNCTION("SPLIT(C692,""
"")"),"Bubel, Laurie")</f>
        <v>Bubel, Laurie</v>
      </c>
      <c r="AA692" s="25" t="str">
        <f>IFERROR(__xludf.DUMMYFUNCTION("""COMPUTED_VALUE"""),"9624 Spring Branch")</f>
        <v>9624 Spring Branch</v>
      </c>
      <c r="AB692" s="25" t="str">
        <f>IFERROR(__xludf.DUMMYFUNCTION("""COMPUTED_VALUE"""),"Dallas, TX 75238")</f>
        <v>Dallas, TX 75238</v>
      </c>
      <c r="AC692" s="24" t="s">
        <v>1818</v>
      </c>
      <c r="AD692" s="25"/>
      <c r="AE692" s="25"/>
      <c r="AF692" s="25"/>
      <c r="AG692" s="22" t="s">
        <v>60</v>
      </c>
      <c r="AH692" s="54">
        <v>2477.0</v>
      </c>
      <c r="AI692" s="22" t="s">
        <v>68</v>
      </c>
      <c r="AJ692" s="27">
        <v>100.0</v>
      </c>
      <c r="AK692" s="31" t="s">
        <v>26</v>
      </c>
      <c r="AL692" s="28">
        <v>44884.0</v>
      </c>
      <c r="AM692" s="29">
        <v>44940.42346064815</v>
      </c>
      <c r="AN692" s="30">
        <v>2.0</v>
      </c>
      <c r="AO692" s="22"/>
      <c r="AP692" s="22"/>
      <c r="AQ692" s="22"/>
      <c r="AR692" s="22"/>
      <c r="AS692" s="22"/>
      <c r="AT692" s="70"/>
      <c r="AU692" s="22"/>
      <c r="AV692" s="57" t="str">
        <f>IFERROR(__xludf.DUMMYFUNCTION("""COMPUTED_VALUE"""),"Sims")</f>
        <v>Sims</v>
      </c>
      <c r="AW692" s="46">
        <f t="shared" si="7"/>
        <v>500</v>
      </c>
      <c r="AX692" s="47">
        <f t="shared" ref="AX692:BQ692" si="2187">SUMIFS($AJ:$AJ,$V:$V,$AV692,$AK:$AK,AX$2)</f>
        <v>0</v>
      </c>
      <c r="AY692" s="48">
        <f t="shared" si="2187"/>
        <v>0</v>
      </c>
      <c r="AZ692" s="48">
        <f t="shared" si="2187"/>
        <v>0</v>
      </c>
      <c r="BA692" s="48">
        <f t="shared" si="2187"/>
        <v>0</v>
      </c>
      <c r="BB692" s="48">
        <f t="shared" si="2187"/>
        <v>0</v>
      </c>
      <c r="BC692" s="48">
        <f t="shared" si="2187"/>
        <v>0</v>
      </c>
      <c r="BD692" s="48">
        <f t="shared" si="2187"/>
        <v>0</v>
      </c>
      <c r="BE692" s="48">
        <f t="shared" si="2187"/>
        <v>0</v>
      </c>
      <c r="BF692" s="48">
        <f t="shared" si="2187"/>
        <v>0</v>
      </c>
      <c r="BG692" s="48">
        <f t="shared" si="2187"/>
        <v>0</v>
      </c>
      <c r="BH692" s="48">
        <f t="shared" si="2187"/>
        <v>500</v>
      </c>
      <c r="BI692" s="48">
        <f t="shared" si="2187"/>
        <v>0</v>
      </c>
      <c r="BJ692" s="48">
        <f t="shared" si="2187"/>
        <v>0</v>
      </c>
      <c r="BK692" s="48">
        <f t="shared" si="2187"/>
        <v>0</v>
      </c>
      <c r="BL692" s="48">
        <f t="shared" si="2187"/>
        <v>0</v>
      </c>
      <c r="BM692" s="48">
        <f t="shared" si="2187"/>
        <v>0</v>
      </c>
      <c r="BN692" s="48">
        <f t="shared" si="2187"/>
        <v>0</v>
      </c>
      <c r="BO692" s="48">
        <f t="shared" si="2187"/>
        <v>0</v>
      </c>
      <c r="BP692" s="48">
        <f t="shared" si="2187"/>
        <v>0</v>
      </c>
      <c r="BQ692" s="48">
        <f t="shared" si="2187"/>
        <v>0</v>
      </c>
      <c r="BR692" s="36">
        <f t="shared" si="9"/>
        <v>0</v>
      </c>
      <c r="BS692" s="38">
        <f t="shared" si="10"/>
        <v>1</v>
      </c>
      <c r="BT692" s="49">
        <f t="shared" si="11"/>
        <v>0</v>
      </c>
      <c r="BU692" s="38">
        <f t="shared" si="12"/>
        <v>1000</v>
      </c>
      <c r="BV692" s="57" t="str">
        <f>IFERROR(__xludf.DUMMYFUNCTION("""COMPUTED_VALUE"""),"Sims")</f>
        <v>Sims</v>
      </c>
      <c r="BW692" s="46">
        <f t="shared" si="13"/>
        <v>500</v>
      </c>
      <c r="BX692" s="47">
        <f t="shared" ref="BX692:CA692" si="2188">AX692-$BU692</f>
        <v>-1000</v>
      </c>
      <c r="BY692" s="47">
        <f t="shared" si="2188"/>
        <v>-1000</v>
      </c>
      <c r="BZ692" s="47">
        <f t="shared" si="2188"/>
        <v>-1000</v>
      </c>
      <c r="CA692" s="47">
        <f t="shared" si="2188"/>
        <v>-1000</v>
      </c>
      <c r="CB692" s="47">
        <f t="shared" si="15"/>
        <v>-10000</v>
      </c>
      <c r="CC692" s="47">
        <f t="shared" ref="CC692:CQ692" si="2189">BC692-$BU692</f>
        <v>-1000</v>
      </c>
      <c r="CD692" s="47">
        <f t="shared" si="2189"/>
        <v>-1000</v>
      </c>
      <c r="CE692" s="47">
        <f t="shared" si="2189"/>
        <v>-1000</v>
      </c>
      <c r="CF692" s="47">
        <f t="shared" si="2189"/>
        <v>-1000</v>
      </c>
      <c r="CG692" s="47">
        <f t="shared" si="2189"/>
        <v>-1000</v>
      </c>
      <c r="CH692" s="47">
        <f t="shared" si="2189"/>
        <v>-500</v>
      </c>
      <c r="CI692" s="47">
        <f t="shared" si="2189"/>
        <v>-1000</v>
      </c>
      <c r="CJ692" s="47">
        <f t="shared" si="2189"/>
        <v>-1000</v>
      </c>
      <c r="CK692" s="47">
        <f t="shared" si="2189"/>
        <v>-1000</v>
      </c>
      <c r="CL692" s="47">
        <f t="shared" si="2189"/>
        <v>-1000</v>
      </c>
      <c r="CM692" s="47">
        <f t="shared" si="2189"/>
        <v>-1000</v>
      </c>
      <c r="CN692" s="47">
        <f t="shared" si="2189"/>
        <v>-1000</v>
      </c>
      <c r="CO692" s="47">
        <f t="shared" si="2189"/>
        <v>-1000</v>
      </c>
      <c r="CP692" s="47">
        <f t="shared" si="2189"/>
        <v>-1000</v>
      </c>
      <c r="CQ692" s="47">
        <f t="shared" si="2189"/>
        <v>-1000</v>
      </c>
      <c r="CR692" s="47"/>
      <c r="CS692" s="47"/>
      <c r="CT692" s="47"/>
      <c r="CU692" s="74"/>
      <c r="CV692" s="74"/>
      <c r="CW692" s="74" t="str">
        <f>IFERROR(__xludf.DUMMYFUNCTION("IF(REGEXMATCH(UPPER(CU692), ""DALLAS""),,CU692)"),"")</f>
        <v/>
      </c>
      <c r="CX692" s="74"/>
      <c r="CY692" s="74"/>
      <c r="CZ692" s="74"/>
      <c r="DA692" s="75"/>
      <c r="DB692" s="74"/>
      <c r="DC692" s="74"/>
      <c r="DD692" s="74"/>
      <c r="DE692" s="74"/>
      <c r="DF692" s="74"/>
      <c r="DG692" s="74"/>
      <c r="DH692" s="74"/>
      <c r="DI692" s="74"/>
      <c r="DJ692" s="74"/>
      <c r="DK692" s="74"/>
      <c r="DL692" s="74"/>
      <c r="DM692" s="74"/>
      <c r="DN692" s="74"/>
      <c r="DO692" s="74"/>
      <c r="DP692" s="74"/>
      <c r="DQ692" s="74"/>
      <c r="DR692" s="74"/>
      <c r="DS692" s="74"/>
      <c r="DT692" s="74"/>
      <c r="DU692" s="74"/>
      <c r="DV692" s="74"/>
      <c r="DW692" s="74"/>
    </row>
    <row r="693">
      <c r="A693" s="41" t="s">
        <v>64</v>
      </c>
      <c r="B693" s="41" t="s">
        <v>56</v>
      </c>
      <c r="C693" s="31" t="s">
        <v>1819</v>
      </c>
      <c r="D693" s="25" t="str">
        <f>IFERROR(__xludf.DUMMYFUNCTION("SPLIT(C693,"" "")"),"Carrick,")</f>
        <v>Carrick,</v>
      </c>
      <c r="E693" s="40" t="str">
        <f>IFERROR(__xludf.DUMMYFUNCTION("""COMPUTED_VALUE"""),"Julie
3221")</f>
        <v>Julie
3221</v>
      </c>
      <c r="F693" s="40" t="str">
        <f>IFERROR(__xludf.DUMMYFUNCTION("""COMPUTED_VALUE"""),"Clubview")</f>
        <v>Clubview</v>
      </c>
      <c r="G693" s="40" t="str">
        <f>IFERROR(__xludf.DUMMYFUNCTION("""COMPUTED_VALUE"""),"Dr
Argyle,")</f>
        <v>Dr
Argyle,</v>
      </c>
      <c r="H693" s="40" t="str">
        <f>IFERROR(__xludf.DUMMYFUNCTION("""COMPUTED_VALUE"""),"TX")</f>
        <v>TX</v>
      </c>
      <c r="I693" s="40">
        <f>IFERROR(__xludf.DUMMYFUNCTION("""COMPUTED_VALUE"""),76226.0)</f>
        <v>76226</v>
      </c>
      <c r="J693" s="40"/>
      <c r="K693" s="40"/>
      <c r="L693" s="40"/>
      <c r="M693" s="40"/>
      <c r="N693" s="40"/>
      <c r="O693" s="40"/>
      <c r="P693" s="40"/>
      <c r="Q693" s="40"/>
      <c r="R693" s="40"/>
      <c r="S693" s="40"/>
      <c r="T693" s="40"/>
      <c r="U693" s="24" t="str">
        <f>IFERROR(__xludf.DUMMYFUNCTION("SPLIT(E693,""01234567890"")"),"Julie
")</f>
        <v>Julie
</v>
      </c>
      <c r="V693" s="24" t="str">
        <f>IFERROR(__xludf.DUMMYFUNCTION("SPLIT(D693,"","")"),"Carrick")</f>
        <v>Carrick</v>
      </c>
      <c r="W693" s="25" t="str">
        <f t="shared" si="1"/>
        <v>JULIE
 CARRICK</v>
      </c>
      <c r="X693" s="25" t="s">
        <v>1820</v>
      </c>
      <c r="Y693" s="25">
        <v>76226.0</v>
      </c>
      <c r="Z693" s="25" t="str">
        <f>IFERROR(__xludf.DUMMYFUNCTION("SPLIT(C693,""
"")"),"Carrick, Julie")</f>
        <v>Carrick, Julie</v>
      </c>
      <c r="AA693" s="25" t="str">
        <f>IFERROR(__xludf.DUMMYFUNCTION("""COMPUTED_VALUE"""),"3221 Clubview Dr")</f>
        <v>3221 Clubview Dr</v>
      </c>
      <c r="AB693" s="25" t="str">
        <f>IFERROR(__xludf.DUMMYFUNCTION("""COMPUTED_VALUE"""),"Argyle, TX 76226")</f>
        <v>Argyle, TX 76226</v>
      </c>
      <c r="AC693" s="24" t="s">
        <v>1821</v>
      </c>
      <c r="AD693" s="25"/>
      <c r="AE693" s="25"/>
      <c r="AF693" s="25"/>
      <c r="AG693" s="40" t="s">
        <v>60</v>
      </c>
      <c r="AH693" s="42">
        <v>2477.0</v>
      </c>
      <c r="AI693" s="40" t="s">
        <v>68</v>
      </c>
      <c r="AJ693" s="27">
        <v>100.0</v>
      </c>
      <c r="AK693" s="31" t="s">
        <v>26</v>
      </c>
      <c r="AL693" s="43">
        <v>44884.0</v>
      </c>
      <c r="AM693" s="44">
        <v>44940.42346064815</v>
      </c>
      <c r="AN693" s="30">
        <v>2.0</v>
      </c>
      <c r="AO693" s="40"/>
      <c r="AP693" s="40"/>
      <c r="AQ693" s="40"/>
      <c r="AR693" s="40"/>
      <c r="AS693" s="40"/>
      <c r="AT693" s="47"/>
      <c r="AU693" s="40"/>
      <c r="AV693" s="46" t="str">
        <f>IFERROR(__xludf.DUMMYFUNCTION("""COMPUTED_VALUE"""),"Weber")</f>
        <v>Weber</v>
      </c>
      <c r="AW693" s="46">
        <f t="shared" si="7"/>
        <v>100</v>
      </c>
      <c r="AX693" s="47">
        <f t="shared" ref="AX693:BQ693" si="2190">SUMIFS($AJ:$AJ,$V:$V,$AV693,$AK:$AK,AX$2)</f>
        <v>0</v>
      </c>
      <c r="AY693" s="48">
        <f t="shared" si="2190"/>
        <v>0</v>
      </c>
      <c r="AZ693" s="48">
        <f t="shared" si="2190"/>
        <v>0</v>
      </c>
      <c r="BA693" s="48">
        <f t="shared" si="2190"/>
        <v>0</v>
      </c>
      <c r="BB693" s="48">
        <f t="shared" si="2190"/>
        <v>0</v>
      </c>
      <c r="BC693" s="48">
        <f t="shared" si="2190"/>
        <v>0</v>
      </c>
      <c r="BD693" s="48">
        <f t="shared" si="2190"/>
        <v>0</v>
      </c>
      <c r="BE693" s="48">
        <f t="shared" si="2190"/>
        <v>0</v>
      </c>
      <c r="BF693" s="48">
        <f t="shared" si="2190"/>
        <v>0</v>
      </c>
      <c r="BG693" s="48">
        <f t="shared" si="2190"/>
        <v>0</v>
      </c>
      <c r="BH693" s="48">
        <f t="shared" si="2190"/>
        <v>100</v>
      </c>
      <c r="BI693" s="48">
        <f t="shared" si="2190"/>
        <v>0</v>
      </c>
      <c r="BJ693" s="48">
        <f t="shared" si="2190"/>
        <v>0</v>
      </c>
      <c r="BK693" s="48">
        <f t="shared" si="2190"/>
        <v>0</v>
      </c>
      <c r="BL693" s="48">
        <f t="shared" si="2190"/>
        <v>0</v>
      </c>
      <c r="BM693" s="48">
        <f t="shared" si="2190"/>
        <v>0</v>
      </c>
      <c r="BN693" s="48">
        <f t="shared" si="2190"/>
        <v>0</v>
      </c>
      <c r="BO693" s="48">
        <f t="shared" si="2190"/>
        <v>0</v>
      </c>
      <c r="BP693" s="48">
        <f t="shared" si="2190"/>
        <v>0</v>
      </c>
      <c r="BQ693" s="48">
        <f t="shared" si="2190"/>
        <v>0</v>
      </c>
      <c r="BR693" s="36">
        <f t="shared" si="9"/>
        <v>0</v>
      </c>
      <c r="BS693" s="38">
        <f t="shared" si="10"/>
        <v>1</v>
      </c>
      <c r="BT693" s="49">
        <f t="shared" si="11"/>
        <v>0</v>
      </c>
      <c r="BU693" s="38">
        <f t="shared" si="12"/>
        <v>1000</v>
      </c>
      <c r="BV693" s="46" t="str">
        <f>IFERROR(__xludf.DUMMYFUNCTION("""COMPUTED_VALUE"""),"Weber")</f>
        <v>Weber</v>
      </c>
      <c r="BW693" s="46">
        <f t="shared" si="13"/>
        <v>100</v>
      </c>
      <c r="BX693" s="47">
        <f t="shared" ref="BX693:CA693" si="2191">AX693-$BU693</f>
        <v>-1000</v>
      </c>
      <c r="BY693" s="47">
        <f t="shared" si="2191"/>
        <v>-1000</v>
      </c>
      <c r="BZ693" s="47">
        <f t="shared" si="2191"/>
        <v>-1000</v>
      </c>
      <c r="CA693" s="47">
        <f t="shared" si="2191"/>
        <v>-1000</v>
      </c>
      <c r="CB693" s="47">
        <f t="shared" si="15"/>
        <v>-10000</v>
      </c>
      <c r="CC693" s="47">
        <f t="shared" ref="CC693:CQ693" si="2192">BC693-$BU693</f>
        <v>-1000</v>
      </c>
      <c r="CD693" s="47">
        <f t="shared" si="2192"/>
        <v>-1000</v>
      </c>
      <c r="CE693" s="47">
        <f t="shared" si="2192"/>
        <v>-1000</v>
      </c>
      <c r="CF693" s="47">
        <f t="shared" si="2192"/>
        <v>-1000</v>
      </c>
      <c r="CG693" s="47">
        <f t="shared" si="2192"/>
        <v>-1000</v>
      </c>
      <c r="CH693" s="47">
        <f t="shared" si="2192"/>
        <v>-900</v>
      </c>
      <c r="CI693" s="47">
        <f t="shared" si="2192"/>
        <v>-1000</v>
      </c>
      <c r="CJ693" s="47">
        <f t="shared" si="2192"/>
        <v>-1000</v>
      </c>
      <c r="CK693" s="47">
        <f t="shared" si="2192"/>
        <v>-1000</v>
      </c>
      <c r="CL693" s="47">
        <f t="shared" si="2192"/>
        <v>-1000</v>
      </c>
      <c r="CM693" s="47">
        <f t="shared" si="2192"/>
        <v>-1000</v>
      </c>
      <c r="CN693" s="47">
        <f t="shared" si="2192"/>
        <v>-1000</v>
      </c>
      <c r="CO693" s="47">
        <f t="shared" si="2192"/>
        <v>-1000</v>
      </c>
      <c r="CP693" s="47">
        <f t="shared" si="2192"/>
        <v>-1000</v>
      </c>
      <c r="CQ693" s="47">
        <f t="shared" si="2192"/>
        <v>-1000</v>
      </c>
      <c r="CR693" s="47"/>
      <c r="CS693" s="47"/>
      <c r="CT693" s="47"/>
      <c r="CU693" s="74"/>
      <c r="CV693" s="74"/>
      <c r="CW693" s="74" t="str">
        <f>IFERROR(__xludf.DUMMYFUNCTION("IF(REGEXMATCH(UPPER(CU693), ""DALLAS""),,CU693)"),"")</f>
        <v/>
      </c>
      <c r="CX693" s="74"/>
      <c r="CY693" s="74"/>
      <c r="CZ693" s="74"/>
      <c r="DA693" s="75"/>
      <c r="DB693" s="74"/>
      <c r="DC693" s="74"/>
      <c r="DD693" s="74"/>
      <c r="DE693" s="74"/>
      <c r="DF693" s="74"/>
      <c r="DG693" s="74"/>
      <c r="DH693" s="74"/>
      <c r="DI693" s="74"/>
      <c r="DJ693" s="74"/>
      <c r="DK693" s="74"/>
      <c r="DL693" s="74"/>
      <c r="DM693" s="74"/>
      <c r="DN693" s="74"/>
      <c r="DO693" s="74"/>
      <c r="DP693" s="74"/>
      <c r="DQ693" s="74"/>
      <c r="DR693" s="74"/>
      <c r="DS693" s="74"/>
      <c r="DT693" s="74"/>
      <c r="DU693" s="74"/>
      <c r="DV693" s="74"/>
      <c r="DW693" s="74"/>
    </row>
    <row r="694">
      <c r="A694" s="23" t="s">
        <v>64</v>
      </c>
      <c r="B694" s="23" t="s">
        <v>56</v>
      </c>
      <c r="C694" s="31" t="s">
        <v>1822</v>
      </c>
      <c r="D694" s="25" t="str">
        <f>IFERROR(__xludf.DUMMYFUNCTION("SPLIT(C694,"" "")"),"Fenimore,")</f>
        <v>Fenimore,</v>
      </c>
      <c r="E694" s="22" t="str">
        <f>IFERROR(__xludf.DUMMYFUNCTION("""COMPUTED_VALUE"""),"Elizabeth
9728")</f>
        <v>Elizabeth
9728</v>
      </c>
      <c r="F694" s="22" t="str">
        <f>IFERROR(__xludf.DUMMYFUNCTION("""COMPUTED_VALUE"""),"Windledge
Dallas,")</f>
        <v>Windledge
Dallas,</v>
      </c>
      <c r="G694" s="22" t="str">
        <f>IFERROR(__xludf.DUMMYFUNCTION("""COMPUTED_VALUE"""),"TX")</f>
        <v>TX</v>
      </c>
      <c r="H694" s="22">
        <f>IFERROR(__xludf.DUMMYFUNCTION("""COMPUTED_VALUE"""),75238.0)</f>
        <v>75238</v>
      </c>
      <c r="I694" s="22"/>
      <c r="J694" s="22"/>
      <c r="K694" s="22"/>
      <c r="L694" s="22"/>
      <c r="M694" s="22"/>
      <c r="N694" s="22"/>
      <c r="O694" s="22"/>
      <c r="P694" s="22"/>
      <c r="Q694" s="22"/>
      <c r="R694" s="22"/>
      <c r="S694" s="22"/>
      <c r="T694" s="22"/>
      <c r="U694" s="24" t="str">
        <f>IFERROR(__xludf.DUMMYFUNCTION("SPLIT(E694,""01234567890"")"),"Elizabeth
")</f>
        <v>Elizabeth
</v>
      </c>
      <c r="V694" s="24" t="str">
        <f>IFERROR(__xludf.DUMMYFUNCTION("SPLIT(D694,"","")"),"Fenimore")</f>
        <v>Fenimore</v>
      </c>
      <c r="W694" s="25" t="str">
        <f t="shared" si="1"/>
        <v>ELIZABETH
 FENIMORE</v>
      </c>
      <c r="X694" s="25" t="s">
        <v>1823</v>
      </c>
      <c r="Y694" s="25">
        <v>75238.0</v>
      </c>
      <c r="Z694" s="25" t="str">
        <f>IFERROR(__xludf.DUMMYFUNCTION("SPLIT(C694,""
"")"),"Fenimore, Elizabeth")</f>
        <v>Fenimore, Elizabeth</v>
      </c>
      <c r="AA694" s="25" t="str">
        <f>IFERROR(__xludf.DUMMYFUNCTION("""COMPUTED_VALUE"""),"9728 Windledge")</f>
        <v>9728 Windledge</v>
      </c>
      <c r="AB694" s="25" t="str">
        <f>IFERROR(__xludf.DUMMYFUNCTION("""COMPUTED_VALUE"""),"Dallas, TX 75238")</f>
        <v>Dallas, TX 75238</v>
      </c>
      <c r="AC694" s="24" t="s">
        <v>1824</v>
      </c>
      <c r="AD694" s="25"/>
      <c r="AE694" s="25"/>
      <c r="AF694" s="25"/>
      <c r="AG694" s="22" t="s">
        <v>60</v>
      </c>
      <c r="AH694" s="54">
        <v>2477.0</v>
      </c>
      <c r="AI694" s="22" t="s">
        <v>68</v>
      </c>
      <c r="AJ694" s="27">
        <v>50.0</v>
      </c>
      <c r="AK694" s="31" t="s">
        <v>26</v>
      </c>
      <c r="AL694" s="28">
        <v>44884.0</v>
      </c>
      <c r="AM694" s="29">
        <v>44940.42346064815</v>
      </c>
      <c r="AN694" s="30">
        <v>2.0</v>
      </c>
      <c r="AO694" s="22"/>
      <c r="AP694" s="22"/>
      <c r="AQ694" s="22"/>
      <c r="AR694" s="22"/>
      <c r="AS694" s="22"/>
      <c r="AT694" s="70"/>
      <c r="AU694" s="22"/>
      <c r="AV694" s="57" t="str">
        <f>IFERROR(__xludf.DUMMYFUNCTION("""COMPUTED_VALUE"""),"Pogson")</f>
        <v>Pogson</v>
      </c>
      <c r="AW694" s="46">
        <f t="shared" si="7"/>
        <v>50</v>
      </c>
      <c r="AX694" s="47">
        <f t="shared" ref="AX694:BQ694" si="2193">SUMIFS($AJ:$AJ,$V:$V,$AV694,$AK:$AK,AX$2)</f>
        <v>0</v>
      </c>
      <c r="AY694" s="48">
        <f t="shared" si="2193"/>
        <v>0</v>
      </c>
      <c r="AZ694" s="48">
        <f t="shared" si="2193"/>
        <v>0</v>
      </c>
      <c r="BA694" s="48">
        <f t="shared" si="2193"/>
        <v>0</v>
      </c>
      <c r="BB694" s="48">
        <f t="shared" si="2193"/>
        <v>0</v>
      </c>
      <c r="BC694" s="48">
        <f t="shared" si="2193"/>
        <v>0</v>
      </c>
      <c r="BD694" s="48">
        <f t="shared" si="2193"/>
        <v>0</v>
      </c>
      <c r="BE694" s="48">
        <f t="shared" si="2193"/>
        <v>0</v>
      </c>
      <c r="BF694" s="48">
        <f t="shared" si="2193"/>
        <v>0</v>
      </c>
      <c r="BG694" s="48">
        <f t="shared" si="2193"/>
        <v>0</v>
      </c>
      <c r="BH694" s="48">
        <f t="shared" si="2193"/>
        <v>50</v>
      </c>
      <c r="BI694" s="48">
        <f t="shared" si="2193"/>
        <v>0</v>
      </c>
      <c r="BJ694" s="48">
        <f t="shared" si="2193"/>
        <v>0</v>
      </c>
      <c r="BK694" s="48">
        <f t="shared" si="2193"/>
        <v>0</v>
      </c>
      <c r="BL694" s="48">
        <f t="shared" si="2193"/>
        <v>0</v>
      </c>
      <c r="BM694" s="48">
        <f t="shared" si="2193"/>
        <v>0</v>
      </c>
      <c r="BN694" s="48">
        <f t="shared" si="2193"/>
        <v>0</v>
      </c>
      <c r="BO694" s="48">
        <f t="shared" si="2193"/>
        <v>0</v>
      </c>
      <c r="BP694" s="48">
        <f t="shared" si="2193"/>
        <v>0</v>
      </c>
      <c r="BQ694" s="48">
        <f t="shared" si="2193"/>
        <v>0</v>
      </c>
      <c r="BR694" s="36">
        <f t="shared" si="9"/>
        <v>0</v>
      </c>
      <c r="BS694" s="38">
        <f t="shared" si="10"/>
        <v>1</v>
      </c>
      <c r="BT694" s="49">
        <f t="shared" si="11"/>
        <v>0</v>
      </c>
      <c r="BU694" s="38">
        <f t="shared" si="12"/>
        <v>1000</v>
      </c>
      <c r="BV694" s="57" t="str">
        <f>IFERROR(__xludf.DUMMYFUNCTION("""COMPUTED_VALUE"""),"Pogson")</f>
        <v>Pogson</v>
      </c>
      <c r="BW694" s="46">
        <f t="shared" si="13"/>
        <v>50</v>
      </c>
      <c r="BX694" s="47">
        <f t="shared" ref="BX694:CA694" si="2194">AX694-$BU694</f>
        <v>-1000</v>
      </c>
      <c r="BY694" s="47">
        <f t="shared" si="2194"/>
        <v>-1000</v>
      </c>
      <c r="BZ694" s="47">
        <f t="shared" si="2194"/>
        <v>-1000</v>
      </c>
      <c r="CA694" s="47">
        <f t="shared" si="2194"/>
        <v>-1000</v>
      </c>
      <c r="CB694" s="47">
        <f t="shared" si="15"/>
        <v>-10000</v>
      </c>
      <c r="CC694" s="47">
        <f t="shared" ref="CC694:CQ694" si="2195">BC694-$BU694</f>
        <v>-1000</v>
      </c>
      <c r="CD694" s="47">
        <f t="shared" si="2195"/>
        <v>-1000</v>
      </c>
      <c r="CE694" s="47">
        <f t="shared" si="2195"/>
        <v>-1000</v>
      </c>
      <c r="CF694" s="47">
        <f t="shared" si="2195"/>
        <v>-1000</v>
      </c>
      <c r="CG694" s="47">
        <f t="shared" si="2195"/>
        <v>-1000</v>
      </c>
      <c r="CH694" s="47">
        <f t="shared" si="2195"/>
        <v>-950</v>
      </c>
      <c r="CI694" s="47">
        <f t="shared" si="2195"/>
        <v>-1000</v>
      </c>
      <c r="CJ694" s="47">
        <f t="shared" si="2195"/>
        <v>-1000</v>
      </c>
      <c r="CK694" s="47">
        <f t="shared" si="2195"/>
        <v>-1000</v>
      </c>
      <c r="CL694" s="47">
        <f t="shared" si="2195"/>
        <v>-1000</v>
      </c>
      <c r="CM694" s="47">
        <f t="shared" si="2195"/>
        <v>-1000</v>
      </c>
      <c r="CN694" s="47">
        <f t="shared" si="2195"/>
        <v>-1000</v>
      </c>
      <c r="CO694" s="47">
        <f t="shared" si="2195"/>
        <v>-1000</v>
      </c>
      <c r="CP694" s="47">
        <f t="shared" si="2195"/>
        <v>-1000</v>
      </c>
      <c r="CQ694" s="47">
        <f t="shared" si="2195"/>
        <v>-1000</v>
      </c>
      <c r="CR694" s="47"/>
      <c r="CS694" s="47"/>
      <c r="CT694" s="47"/>
      <c r="CU694" s="74"/>
      <c r="CV694" s="74"/>
      <c r="CW694" s="74" t="str">
        <f>IFERROR(__xludf.DUMMYFUNCTION("IF(REGEXMATCH(UPPER(CU694), ""DALLAS""),,CU694)"),"")</f>
        <v/>
      </c>
      <c r="CX694" s="74"/>
      <c r="CY694" s="74"/>
      <c r="CZ694" s="74"/>
      <c r="DA694" s="75"/>
      <c r="DB694" s="74"/>
      <c r="DC694" s="74"/>
      <c r="DD694" s="74"/>
      <c r="DE694" s="74"/>
      <c r="DF694" s="74"/>
      <c r="DG694" s="74"/>
      <c r="DH694" s="74"/>
      <c r="DI694" s="74"/>
      <c r="DJ694" s="74"/>
      <c r="DK694" s="74"/>
      <c r="DL694" s="74"/>
      <c r="DM694" s="74"/>
      <c r="DN694" s="74"/>
      <c r="DO694" s="74"/>
      <c r="DP694" s="74"/>
      <c r="DQ694" s="74"/>
      <c r="DR694" s="74"/>
      <c r="DS694" s="74"/>
      <c r="DT694" s="74"/>
      <c r="DU694" s="74"/>
      <c r="DV694" s="74"/>
      <c r="DW694" s="74"/>
    </row>
    <row r="695">
      <c r="A695" s="41" t="s">
        <v>64</v>
      </c>
      <c r="B695" s="41" t="s">
        <v>56</v>
      </c>
      <c r="C695" s="31" t="s">
        <v>1825</v>
      </c>
      <c r="D695" s="25" t="str">
        <f>IFERROR(__xludf.DUMMYFUNCTION("SPLIT(C695,"" "")"),"Stewart,")</f>
        <v>Stewart,</v>
      </c>
      <c r="E695" s="40" t="str">
        <f>IFERROR(__xludf.DUMMYFUNCTION("""COMPUTED_VALUE"""),"Molly
8750")</f>
        <v>Molly
8750</v>
      </c>
      <c r="F695" s="40" t="str">
        <f>IFERROR(__xludf.DUMMYFUNCTION("""COMPUTED_VALUE"""),"Westminister")</f>
        <v>Westminister</v>
      </c>
      <c r="G695" s="40" t="str">
        <f>IFERROR(__xludf.DUMMYFUNCTION("""COMPUTED_VALUE"""),"Terrace
Dallas,")</f>
        <v>Terrace
Dallas,</v>
      </c>
      <c r="H695" s="40" t="str">
        <f>IFERROR(__xludf.DUMMYFUNCTION("""COMPUTED_VALUE"""),"TX")</f>
        <v>TX</v>
      </c>
      <c r="I695" s="40">
        <f>IFERROR(__xludf.DUMMYFUNCTION("""COMPUTED_VALUE"""),75243.0)</f>
        <v>75243</v>
      </c>
      <c r="J695" s="40"/>
      <c r="K695" s="40"/>
      <c r="L695" s="40"/>
      <c r="M695" s="40"/>
      <c r="N695" s="40"/>
      <c r="O695" s="40"/>
      <c r="P695" s="40"/>
      <c r="Q695" s="40"/>
      <c r="R695" s="40"/>
      <c r="S695" s="40"/>
      <c r="T695" s="40"/>
      <c r="U695" s="24" t="str">
        <f>IFERROR(__xludf.DUMMYFUNCTION("SPLIT(E695,""01234567890"")"),"Molly
")</f>
        <v>Molly
</v>
      </c>
      <c r="V695" s="24" t="str">
        <f>IFERROR(__xludf.DUMMYFUNCTION("SPLIT(D695,"","")"),"Stewart")</f>
        <v>Stewart</v>
      </c>
      <c r="W695" s="25" t="str">
        <f t="shared" si="1"/>
        <v>MOLLY
 STEWART</v>
      </c>
      <c r="X695" s="25" t="s">
        <v>1826</v>
      </c>
      <c r="Y695" s="25">
        <v>75243.0</v>
      </c>
      <c r="Z695" s="25" t="str">
        <f>IFERROR(__xludf.DUMMYFUNCTION("SPLIT(C695,""
"")"),"Stewart, Molly")</f>
        <v>Stewart, Molly</v>
      </c>
      <c r="AA695" s="25" t="str">
        <f>IFERROR(__xludf.DUMMYFUNCTION("""COMPUTED_VALUE"""),"8750 Westminister Terrace")</f>
        <v>8750 Westminister Terrace</v>
      </c>
      <c r="AB695" s="25" t="str">
        <f>IFERROR(__xludf.DUMMYFUNCTION("""COMPUTED_VALUE"""),"Dallas, TX 75243")</f>
        <v>Dallas, TX 75243</v>
      </c>
      <c r="AC695" s="24" t="s">
        <v>1827</v>
      </c>
      <c r="AD695" s="25"/>
      <c r="AE695" s="25"/>
      <c r="AF695" s="25"/>
      <c r="AG695" s="40" t="s">
        <v>60</v>
      </c>
      <c r="AH695" s="42">
        <v>2477.0</v>
      </c>
      <c r="AI695" s="40" t="s">
        <v>68</v>
      </c>
      <c r="AJ695" s="27">
        <v>500.0</v>
      </c>
      <c r="AK695" s="31" t="s">
        <v>26</v>
      </c>
      <c r="AL695" s="43">
        <v>44886.0</v>
      </c>
      <c r="AM695" s="44">
        <v>44940.42346064815</v>
      </c>
      <c r="AN695" s="30">
        <v>2.0</v>
      </c>
      <c r="AO695" s="40"/>
      <c r="AP695" s="40"/>
      <c r="AQ695" s="40"/>
      <c r="AR695" s="40"/>
      <c r="AS695" s="40"/>
      <c r="AT695" s="47"/>
      <c r="AU695" s="40"/>
      <c r="AV695" s="46" t="str">
        <f>IFERROR(__xludf.DUMMYFUNCTION("""COMPUTED_VALUE"""),"Leibs")</f>
        <v>Leibs</v>
      </c>
      <c r="AW695" s="46">
        <f t="shared" si="7"/>
        <v>25</v>
      </c>
      <c r="AX695" s="47">
        <f t="shared" ref="AX695:BQ695" si="2196">SUMIFS($AJ:$AJ,$V:$V,$AV695,$AK:$AK,AX$2)</f>
        <v>0</v>
      </c>
      <c r="AY695" s="48">
        <f t="shared" si="2196"/>
        <v>0</v>
      </c>
      <c r="AZ695" s="48">
        <f t="shared" si="2196"/>
        <v>0</v>
      </c>
      <c r="BA695" s="48">
        <f t="shared" si="2196"/>
        <v>0</v>
      </c>
      <c r="BB695" s="48">
        <f t="shared" si="2196"/>
        <v>0</v>
      </c>
      <c r="BC695" s="48">
        <f t="shared" si="2196"/>
        <v>0</v>
      </c>
      <c r="BD695" s="48">
        <f t="shared" si="2196"/>
        <v>0</v>
      </c>
      <c r="BE695" s="48">
        <f t="shared" si="2196"/>
        <v>0</v>
      </c>
      <c r="BF695" s="48">
        <f t="shared" si="2196"/>
        <v>0</v>
      </c>
      <c r="BG695" s="48">
        <f t="shared" si="2196"/>
        <v>0</v>
      </c>
      <c r="BH695" s="48">
        <f t="shared" si="2196"/>
        <v>25</v>
      </c>
      <c r="BI695" s="48">
        <f t="shared" si="2196"/>
        <v>0</v>
      </c>
      <c r="BJ695" s="48">
        <f t="shared" si="2196"/>
        <v>0</v>
      </c>
      <c r="BK695" s="48">
        <f t="shared" si="2196"/>
        <v>0</v>
      </c>
      <c r="BL695" s="48">
        <f t="shared" si="2196"/>
        <v>0</v>
      </c>
      <c r="BM695" s="48">
        <f t="shared" si="2196"/>
        <v>0</v>
      </c>
      <c r="BN695" s="48">
        <f t="shared" si="2196"/>
        <v>0</v>
      </c>
      <c r="BO695" s="48">
        <f t="shared" si="2196"/>
        <v>0</v>
      </c>
      <c r="BP695" s="48">
        <f t="shared" si="2196"/>
        <v>0</v>
      </c>
      <c r="BQ695" s="48">
        <f t="shared" si="2196"/>
        <v>0</v>
      </c>
      <c r="BR695" s="36">
        <f t="shared" si="9"/>
        <v>0</v>
      </c>
      <c r="BS695" s="38">
        <f t="shared" si="10"/>
        <v>1</v>
      </c>
      <c r="BT695" s="49">
        <f t="shared" si="11"/>
        <v>0</v>
      </c>
      <c r="BU695" s="38">
        <f t="shared" si="12"/>
        <v>1000</v>
      </c>
      <c r="BV695" s="46" t="str">
        <f>IFERROR(__xludf.DUMMYFUNCTION("""COMPUTED_VALUE"""),"Leibs")</f>
        <v>Leibs</v>
      </c>
      <c r="BW695" s="46">
        <f t="shared" si="13"/>
        <v>25</v>
      </c>
      <c r="BX695" s="47">
        <f t="shared" ref="BX695:CA695" si="2197">AX695-$BU695</f>
        <v>-1000</v>
      </c>
      <c r="BY695" s="47">
        <f t="shared" si="2197"/>
        <v>-1000</v>
      </c>
      <c r="BZ695" s="47">
        <f t="shared" si="2197"/>
        <v>-1000</v>
      </c>
      <c r="CA695" s="47">
        <f t="shared" si="2197"/>
        <v>-1000</v>
      </c>
      <c r="CB695" s="47">
        <f t="shared" si="15"/>
        <v>-10000</v>
      </c>
      <c r="CC695" s="47">
        <f t="shared" ref="CC695:CQ695" si="2198">BC695-$BU695</f>
        <v>-1000</v>
      </c>
      <c r="CD695" s="47">
        <f t="shared" si="2198"/>
        <v>-1000</v>
      </c>
      <c r="CE695" s="47">
        <f t="shared" si="2198"/>
        <v>-1000</v>
      </c>
      <c r="CF695" s="47">
        <f t="shared" si="2198"/>
        <v>-1000</v>
      </c>
      <c r="CG695" s="47">
        <f t="shared" si="2198"/>
        <v>-1000</v>
      </c>
      <c r="CH695" s="47">
        <f t="shared" si="2198"/>
        <v>-975</v>
      </c>
      <c r="CI695" s="47">
        <f t="shared" si="2198"/>
        <v>-1000</v>
      </c>
      <c r="CJ695" s="47">
        <f t="shared" si="2198"/>
        <v>-1000</v>
      </c>
      <c r="CK695" s="47">
        <f t="shared" si="2198"/>
        <v>-1000</v>
      </c>
      <c r="CL695" s="47">
        <f t="shared" si="2198"/>
        <v>-1000</v>
      </c>
      <c r="CM695" s="47">
        <f t="shared" si="2198"/>
        <v>-1000</v>
      </c>
      <c r="CN695" s="47">
        <f t="shared" si="2198"/>
        <v>-1000</v>
      </c>
      <c r="CO695" s="47">
        <f t="shared" si="2198"/>
        <v>-1000</v>
      </c>
      <c r="CP695" s="47">
        <f t="shared" si="2198"/>
        <v>-1000</v>
      </c>
      <c r="CQ695" s="47">
        <f t="shared" si="2198"/>
        <v>-1000</v>
      </c>
      <c r="CR695" s="47"/>
      <c r="CS695" s="47"/>
      <c r="CT695" s="47"/>
      <c r="CU695" s="74"/>
      <c r="CV695" s="74"/>
      <c r="CW695" s="74" t="str">
        <f>IFERROR(__xludf.DUMMYFUNCTION("IF(REGEXMATCH(UPPER(CU695), ""DALLAS""),,CU695)"),"")</f>
        <v/>
      </c>
      <c r="CX695" s="74"/>
      <c r="CY695" s="74"/>
      <c r="CZ695" s="74"/>
      <c r="DA695" s="75"/>
      <c r="DB695" s="74"/>
      <c r="DC695" s="74"/>
      <c r="DD695" s="74"/>
      <c r="DE695" s="74"/>
      <c r="DF695" s="74"/>
      <c r="DG695" s="74"/>
      <c r="DH695" s="74"/>
      <c r="DI695" s="74"/>
      <c r="DJ695" s="74"/>
      <c r="DK695" s="74"/>
      <c r="DL695" s="74"/>
      <c r="DM695" s="74"/>
      <c r="DN695" s="74"/>
      <c r="DO695" s="74"/>
      <c r="DP695" s="74"/>
      <c r="DQ695" s="74"/>
      <c r="DR695" s="74"/>
      <c r="DS695" s="74"/>
      <c r="DT695" s="74"/>
      <c r="DU695" s="74"/>
      <c r="DV695" s="74"/>
      <c r="DW695" s="74"/>
    </row>
    <row r="696">
      <c r="A696" s="23" t="s">
        <v>64</v>
      </c>
      <c r="B696" s="23" t="s">
        <v>56</v>
      </c>
      <c r="C696" s="31" t="s">
        <v>1828</v>
      </c>
      <c r="D696" s="25" t="str">
        <f>IFERROR(__xludf.DUMMYFUNCTION("SPLIT(C696,"" "")"),"Brunkenhoefer,")</f>
        <v>Brunkenhoefer,</v>
      </c>
      <c r="E696" s="22" t="str">
        <f>IFERROR(__xludf.DUMMYFUNCTION("""COMPUTED_VALUE"""),"Carolyn
9077")</f>
        <v>Carolyn
9077</v>
      </c>
      <c r="F696" s="22" t="str">
        <f>IFERROR(__xludf.DUMMYFUNCTION("""COMPUTED_VALUE"""),"Fairglen")</f>
        <v>Fairglen</v>
      </c>
      <c r="G696" s="22" t="str">
        <f>IFERROR(__xludf.DUMMYFUNCTION("""COMPUTED_VALUE"""),"Dr.
Dallas,")</f>
        <v>Dr.
Dallas,</v>
      </c>
      <c r="H696" s="22" t="str">
        <f>IFERROR(__xludf.DUMMYFUNCTION("""COMPUTED_VALUE"""),"TX")</f>
        <v>TX</v>
      </c>
      <c r="I696" s="22">
        <f>IFERROR(__xludf.DUMMYFUNCTION("""COMPUTED_VALUE"""),75231.0)</f>
        <v>75231</v>
      </c>
      <c r="J696" s="22"/>
      <c r="K696" s="22"/>
      <c r="L696" s="22"/>
      <c r="M696" s="22"/>
      <c r="N696" s="22"/>
      <c r="O696" s="22"/>
      <c r="P696" s="22"/>
      <c r="Q696" s="22"/>
      <c r="R696" s="22"/>
      <c r="S696" s="22"/>
      <c r="T696" s="22"/>
      <c r="U696" s="24" t="str">
        <f>IFERROR(__xludf.DUMMYFUNCTION("SPLIT(E696,""01234567890"")"),"Carolyn
")</f>
        <v>Carolyn
</v>
      </c>
      <c r="V696" s="24" t="str">
        <f>IFERROR(__xludf.DUMMYFUNCTION("SPLIT(D696,"","")"),"Brunkenhoefer")</f>
        <v>Brunkenhoefer</v>
      </c>
      <c r="W696" s="25" t="str">
        <f t="shared" si="1"/>
        <v>CAROLYN
 BRUNKENHOEFER</v>
      </c>
      <c r="X696" s="25" t="s">
        <v>1829</v>
      </c>
      <c r="Y696" s="25">
        <v>75231.0</v>
      </c>
      <c r="Z696" s="25" t="str">
        <f>IFERROR(__xludf.DUMMYFUNCTION("SPLIT(C696,""
"")"),"Brunkenhoefer, Carolyn")</f>
        <v>Brunkenhoefer, Carolyn</v>
      </c>
      <c r="AA696" s="25" t="str">
        <f>IFERROR(__xludf.DUMMYFUNCTION("""COMPUTED_VALUE"""),"9077 Fairglen Dr.")</f>
        <v>9077 Fairglen Dr.</v>
      </c>
      <c r="AB696" s="25" t="str">
        <f>IFERROR(__xludf.DUMMYFUNCTION("""COMPUTED_VALUE"""),"Dallas, TX 75231")</f>
        <v>Dallas, TX 75231</v>
      </c>
      <c r="AC696" s="24" t="s">
        <v>1830</v>
      </c>
      <c r="AD696" s="25"/>
      <c r="AE696" s="25"/>
      <c r="AF696" s="25"/>
      <c r="AG696" s="22" t="s">
        <v>60</v>
      </c>
      <c r="AH696" s="54">
        <v>2477.0</v>
      </c>
      <c r="AI696" s="22" t="s">
        <v>68</v>
      </c>
      <c r="AJ696" s="27">
        <v>100.0</v>
      </c>
      <c r="AK696" s="31" t="s">
        <v>26</v>
      </c>
      <c r="AL696" s="28">
        <v>44887.0</v>
      </c>
      <c r="AM696" s="29">
        <v>44940.42346064815</v>
      </c>
      <c r="AN696" s="30">
        <v>2.0</v>
      </c>
      <c r="AO696" s="22"/>
      <c r="AP696" s="22"/>
      <c r="AQ696" s="22"/>
      <c r="AR696" s="22"/>
      <c r="AS696" s="22"/>
      <c r="AT696" s="70"/>
      <c r="AU696" s="22"/>
      <c r="AV696" s="57" t="str">
        <f>IFERROR(__xludf.DUMMYFUNCTION("""COMPUTED_VALUE"""),"Meltzer")</f>
        <v>Meltzer</v>
      </c>
      <c r="AW696" s="46">
        <f t="shared" si="7"/>
        <v>25</v>
      </c>
      <c r="AX696" s="47">
        <f t="shared" ref="AX696:BQ696" si="2199">SUMIFS($AJ:$AJ,$V:$V,$AV696,$AK:$AK,AX$2)</f>
        <v>0</v>
      </c>
      <c r="AY696" s="48">
        <f t="shared" si="2199"/>
        <v>0</v>
      </c>
      <c r="AZ696" s="48">
        <f t="shared" si="2199"/>
        <v>0</v>
      </c>
      <c r="BA696" s="48">
        <f t="shared" si="2199"/>
        <v>0</v>
      </c>
      <c r="BB696" s="48">
        <f t="shared" si="2199"/>
        <v>0</v>
      </c>
      <c r="BC696" s="48">
        <f t="shared" si="2199"/>
        <v>0</v>
      </c>
      <c r="BD696" s="48">
        <f t="shared" si="2199"/>
        <v>0</v>
      </c>
      <c r="BE696" s="48">
        <f t="shared" si="2199"/>
        <v>0</v>
      </c>
      <c r="BF696" s="48">
        <f t="shared" si="2199"/>
        <v>0</v>
      </c>
      <c r="BG696" s="48">
        <f t="shared" si="2199"/>
        <v>0</v>
      </c>
      <c r="BH696" s="48">
        <f t="shared" si="2199"/>
        <v>25</v>
      </c>
      <c r="BI696" s="48">
        <f t="shared" si="2199"/>
        <v>0</v>
      </c>
      <c r="BJ696" s="48">
        <f t="shared" si="2199"/>
        <v>0</v>
      </c>
      <c r="BK696" s="48">
        <f t="shared" si="2199"/>
        <v>0</v>
      </c>
      <c r="BL696" s="48">
        <f t="shared" si="2199"/>
        <v>0</v>
      </c>
      <c r="BM696" s="48">
        <f t="shared" si="2199"/>
        <v>0</v>
      </c>
      <c r="BN696" s="48">
        <f t="shared" si="2199"/>
        <v>0</v>
      </c>
      <c r="BO696" s="48">
        <f t="shared" si="2199"/>
        <v>0</v>
      </c>
      <c r="BP696" s="48">
        <f t="shared" si="2199"/>
        <v>0</v>
      </c>
      <c r="BQ696" s="48">
        <f t="shared" si="2199"/>
        <v>0</v>
      </c>
      <c r="BR696" s="36">
        <f t="shared" si="9"/>
        <v>0</v>
      </c>
      <c r="BS696" s="38">
        <f t="shared" si="10"/>
        <v>1</v>
      </c>
      <c r="BT696" s="49">
        <f t="shared" si="11"/>
        <v>0</v>
      </c>
      <c r="BU696" s="38">
        <f t="shared" si="12"/>
        <v>1000</v>
      </c>
      <c r="BV696" s="57" t="str">
        <f>IFERROR(__xludf.DUMMYFUNCTION("""COMPUTED_VALUE"""),"Meltzer")</f>
        <v>Meltzer</v>
      </c>
      <c r="BW696" s="46">
        <f t="shared" si="13"/>
        <v>25</v>
      </c>
      <c r="BX696" s="47">
        <f t="shared" ref="BX696:CA696" si="2200">AX696-$BU696</f>
        <v>-1000</v>
      </c>
      <c r="BY696" s="47">
        <f t="shared" si="2200"/>
        <v>-1000</v>
      </c>
      <c r="BZ696" s="47">
        <f t="shared" si="2200"/>
        <v>-1000</v>
      </c>
      <c r="CA696" s="47">
        <f t="shared" si="2200"/>
        <v>-1000</v>
      </c>
      <c r="CB696" s="47">
        <f t="shared" si="15"/>
        <v>-10000</v>
      </c>
      <c r="CC696" s="47">
        <f t="shared" ref="CC696:CQ696" si="2201">BC696-$BU696</f>
        <v>-1000</v>
      </c>
      <c r="CD696" s="47">
        <f t="shared" si="2201"/>
        <v>-1000</v>
      </c>
      <c r="CE696" s="47">
        <f t="shared" si="2201"/>
        <v>-1000</v>
      </c>
      <c r="CF696" s="47">
        <f t="shared" si="2201"/>
        <v>-1000</v>
      </c>
      <c r="CG696" s="47">
        <f t="shared" si="2201"/>
        <v>-1000</v>
      </c>
      <c r="CH696" s="47">
        <f t="shared" si="2201"/>
        <v>-975</v>
      </c>
      <c r="CI696" s="47">
        <f t="shared" si="2201"/>
        <v>-1000</v>
      </c>
      <c r="CJ696" s="47">
        <f t="shared" si="2201"/>
        <v>-1000</v>
      </c>
      <c r="CK696" s="47">
        <f t="shared" si="2201"/>
        <v>-1000</v>
      </c>
      <c r="CL696" s="47">
        <f t="shared" si="2201"/>
        <v>-1000</v>
      </c>
      <c r="CM696" s="47">
        <f t="shared" si="2201"/>
        <v>-1000</v>
      </c>
      <c r="CN696" s="47">
        <f t="shared" si="2201"/>
        <v>-1000</v>
      </c>
      <c r="CO696" s="47">
        <f t="shared" si="2201"/>
        <v>-1000</v>
      </c>
      <c r="CP696" s="47">
        <f t="shared" si="2201"/>
        <v>-1000</v>
      </c>
      <c r="CQ696" s="47">
        <f t="shared" si="2201"/>
        <v>-1000</v>
      </c>
      <c r="CR696" s="47"/>
      <c r="CS696" s="47"/>
      <c r="CT696" s="47"/>
      <c r="CU696" s="74"/>
      <c r="CV696" s="74"/>
      <c r="CW696" s="74" t="str">
        <f>IFERROR(__xludf.DUMMYFUNCTION("IF(REGEXMATCH(UPPER(CU696), ""DALLAS""),,CU696)"),"")</f>
        <v/>
      </c>
      <c r="CX696" s="74"/>
      <c r="CY696" s="74"/>
      <c r="CZ696" s="74"/>
      <c r="DA696" s="75"/>
      <c r="DB696" s="74"/>
      <c r="DC696" s="74"/>
      <c r="DD696" s="74"/>
      <c r="DE696" s="74"/>
      <c r="DF696" s="74"/>
      <c r="DG696" s="74"/>
      <c r="DH696" s="74"/>
      <c r="DI696" s="74"/>
      <c r="DJ696" s="74"/>
      <c r="DK696" s="74"/>
      <c r="DL696" s="74"/>
      <c r="DM696" s="74"/>
      <c r="DN696" s="74"/>
      <c r="DO696" s="74"/>
      <c r="DP696" s="74"/>
      <c r="DQ696" s="74"/>
      <c r="DR696" s="74"/>
      <c r="DS696" s="74"/>
      <c r="DT696" s="74"/>
      <c r="DU696" s="74"/>
      <c r="DV696" s="74"/>
      <c r="DW696" s="74"/>
    </row>
    <row r="697">
      <c r="A697" s="41" t="s">
        <v>64</v>
      </c>
      <c r="B697" s="41" t="s">
        <v>56</v>
      </c>
      <c r="C697" s="31" t="s">
        <v>1831</v>
      </c>
      <c r="D697" s="25" t="str">
        <f>IFERROR(__xludf.DUMMYFUNCTION("SPLIT(C697,"" "")"),"Jodie,")</f>
        <v>Jodie,</v>
      </c>
      <c r="E697" s="40" t="str">
        <f>IFERROR(__xludf.DUMMYFUNCTION("""COMPUTED_VALUE"""),"Julie
9617")</f>
        <v>Julie
9617</v>
      </c>
      <c r="F697" s="40" t="str">
        <f>IFERROR(__xludf.DUMMYFUNCTION("""COMPUTED_VALUE"""),"Windy")</f>
        <v>Windy</v>
      </c>
      <c r="G697" s="40" t="str">
        <f>IFERROR(__xludf.DUMMYFUNCTION("""COMPUTED_VALUE"""),"Hill
Dallas,")</f>
        <v>Hill
Dallas,</v>
      </c>
      <c r="H697" s="40" t="str">
        <f>IFERROR(__xludf.DUMMYFUNCTION("""COMPUTED_VALUE"""),"TX")</f>
        <v>TX</v>
      </c>
      <c r="I697" s="40">
        <f>IFERROR(__xludf.DUMMYFUNCTION("""COMPUTED_VALUE"""),75238.0)</f>
        <v>75238</v>
      </c>
      <c r="J697" s="40"/>
      <c r="K697" s="40"/>
      <c r="L697" s="40"/>
      <c r="M697" s="40"/>
      <c r="N697" s="40"/>
      <c r="O697" s="40"/>
      <c r="P697" s="40"/>
      <c r="Q697" s="40"/>
      <c r="R697" s="40"/>
      <c r="S697" s="40"/>
      <c r="T697" s="40"/>
      <c r="U697" s="24" t="str">
        <f>IFERROR(__xludf.DUMMYFUNCTION("SPLIT(E697,""01234567890"")"),"Julie
")</f>
        <v>Julie
</v>
      </c>
      <c r="V697" s="24" t="str">
        <f>IFERROR(__xludf.DUMMYFUNCTION("SPLIT(D697,"","")"),"Jodie")</f>
        <v>Jodie</v>
      </c>
      <c r="W697" s="25" t="str">
        <f t="shared" si="1"/>
        <v>JULIE
 JODIE</v>
      </c>
      <c r="X697" s="25" t="s">
        <v>1832</v>
      </c>
      <c r="Y697" s="25">
        <v>75238.0</v>
      </c>
      <c r="Z697" s="25" t="str">
        <f>IFERROR(__xludf.DUMMYFUNCTION("SPLIT(C697,""
"")"),"Jodie, Julie")</f>
        <v>Jodie, Julie</v>
      </c>
      <c r="AA697" s="25" t="str">
        <f>IFERROR(__xludf.DUMMYFUNCTION("""COMPUTED_VALUE"""),"9617 Windy Hill")</f>
        <v>9617 Windy Hill</v>
      </c>
      <c r="AB697" s="25" t="str">
        <f>IFERROR(__xludf.DUMMYFUNCTION("""COMPUTED_VALUE"""),"Dallas, TX 75238")</f>
        <v>Dallas, TX 75238</v>
      </c>
      <c r="AC697" s="24" t="s">
        <v>1833</v>
      </c>
      <c r="AD697" s="25"/>
      <c r="AE697" s="25"/>
      <c r="AF697" s="25"/>
      <c r="AG697" s="40" t="s">
        <v>60</v>
      </c>
      <c r="AH697" s="42">
        <v>2477.0</v>
      </c>
      <c r="AI697" s="40" t="s">
        <v>68</v>
      </c>
      <c r="AJ697" s="27">
        <v>100.0</v>
      </c>
      <c r="AK697" s="31" t="s">
        <v>26</v>
      </c>
      <c r="AL697" s="43">
        <v>44887.0</v>
      </c>
      <c r="AM697" s="44">
        <v>44940.42346064815</v>
      </c>
      <c r="AN697" s="30">
        <v>2.0</v>
      </c>
      <c r="AO697" s="40"/>
      <c r="AP697" s="40"/>
      <c r="AQ697" s="40"/>
      <c r="AR697" s="40"/>
      <c r="AS697" s="40"/>
      <c r="AT697" s="47"/>
      <c r="AU697" s="40"/>
      <c r="AV697" s="46" t="str">
        <f>IFERROR(__xludf.DUMMYFUNCTION("""COMPUTED_VALUE"""),"Romaner")</f>
        <v>Romaner</v>
      </c>
      <c r="AW697" s="46">
        <f t="shared" si="7"/>
        <v>100</v>
      </c>
      <c r="AX697" s="47">
        <f t="shared" ref="AX697:BQ697" si="2202">SUMIFS($AJ:$AJ,$V:$V,$AV697,$AK:$AK,AX$2)</f>
        <v>0</v>
      </c>
      <c r="AY697" s="48">
        <f t="shared" si="2202"/>
        <v>0</v>
      </c>
      <c r="AZ697" s="48">
        <f t="shared" si="2202"/>
        <v>0</v>
      </c>
      <c r="BA697" s="48">
        <f t="shared" si="2202"/>
        <v>0</v>
      </c>
      <c r="BB697" s="48">
        <f t="shared" si="2202"/>
        <v>0</v>
      </c>
      <c r="BC697" s="48">
        <f t="shared" si="2202"/>
        <v>0</v>
      </c>
      <c r="BD697" s="48">
        <f t="shared" si="2202"/>
        <v>0</v>
      </c>
      <c r="BE697" s="48">
        <f t="shared" si="2202"/>
        <v>0</v>
      </c>
      <c r="BF697" s="48">
        <f t="shared" si="2202"/>
        <v>0</v>
      </c>
      <c r="BG697" s="48">
        <f t="shared" si="2202"/>
        <v>0</v>
      </c>
      <c r="BH697" s="48">
        <f t="shared" si="2202"/>
        <v>100</v>
      </c>
      <c r="BI697" s="48">
        <f t="shared" si="2202"/>
        <v>0</v>
      </c>
      <c r="BJ697" s="48">
        <f t="shared" si="2202"/>
        <v>0</v>
      </c>
      <c r="BK697" s="48">
        <f t="shared" si="2202"/>
        <v>0</v>
      </c>
      <c r="BL697" s="48">
        <f t="shared" si="2202"/>
        <v>0</v>
      </c>
      <c r="BM697" s="48">
        <f t="shared" si="2202"/>
        <v>0</v>
      </c>
      <c r="BN697" s="48">
        <f t="shared" si="2202"/>
        <v>0</v>
      </c>
      <c r="BO697" s="48">
        <f t="shared" si="2202"/>
        <v>0</v>
      </c>
      <c r="BP697" s="48">
        <f t="shared" si="2202"/>
        <v>0</v>
      </c>
      <c r="BQ697" s="48">
        <f t="shared" si="2202"/>
        <v>0</v>
      </c>
      <c r="BR697" s="36">
        <f t="shared" si="9"/>
        <v>0</v>
      </c>
      <c r="BS697" s="38">
        <f t="shared" si="10"/>
        <v>1</v>
      </c>
      <c r="BT697" s="49">
        <f t="shared" si="11"/>
        <v>0</v>
      </c>
      <c r="BU697" s="38">
        <f t="shared" si="12"/>
        <v>1000</v>
      </c>
      <c r="BV697" s="46" t="str">
        <f>IFERROR(__xludf.DUMMYFUNCTION("""COMPUTED_VALUE"""),"Romaner")</f>
        <v>Romaner</v>
      </c>
      <c r="BW697" s="46">
        <f t="shared" si="13"/>
        <v>100</v>
      </c>
      <c r="BX697" s="47">
        <f t="shared" ref="BX697:CA697" si="2203">AX697-$BU697</f>
        <v>-1000</v>
      </c>
      <c r="BY697" s="47">
        <f t="shared" si="2203"/>
        <v>-1000</v>
      </c>
      <c r="BZ697" s="47">
        <f t="shared" si="2203"/>
        <v>-1000</v>
      </c>
      <c r="CA697" s="47">
        <f t="shared" si="2203"/>
        <v>-1000</v>
      </c>
      <c r="CB697" s="47">
        <f t="shared" si="15"/>
        <v>-10000</v>
      </c>
      <c r="CC697" s="47">
        <f t="shared" ref="CC697:CQ697" si="2204">BC697-$BU697</f>
        <v>-1000</v>
      </c>
      <c r="CD697" s="47">
        <f t="shared" si="2204"/>
        <v>-1000</v>
      </c>
      <c r="CE697" s="47">
        <f t="shared" si="2204"/>
        <v>-1000</v>
      </c>
      <c r="CF697" s="47">
        <f t="shared" si="2204"/>
        <v>-1000</v>
      </c>
      <c r="CG697" s="47">
        <f t="shared" si="2204"/>
        <v>-1000</v>
      </c>
      <c r="CH697" s="47">
        <f t="shared" si="2204"/>
        <v>-900</v>
      </c>
      <c r="CI697" s="47">
        <f t="shared" si="2204"/>
        <v>-1000</v>
      </c>
      <c r="CJ697" s="47">
        <f t="shared" si="2204"/>
        <v>-1000</v>
      </c>
      <c r="CK697" s="47">
        <f t="shared" si="2204"/>
        <v>-1000</v>
      </c>
      <c r="CL697" s="47">
        <f t="shared" si="2204"/>
        <v>-1000</v>
      </c>
      <c r="CM697" s="47">
        <f t="shared" si="2204"/>
        <v>-1000</v>
      </c>
      <c r="CN697" s="47">
        <f t="shared" si="2204"/>
        <v>-1000</v>
      </c>
      <c r="CO697" s="47">
        <f t="shared" si="2204"/>
        <v>-1000</v>
      </c>
      <c r="CP697" s="47">
        <f t="shared" si="2204"/>
        <v>-1000</v>
      </c>
      <c r="CQ697" s="47">
        <f t="shared" si="2204"/>
        <v>-1000</v>
      </c>
      <c r="CR697" s="47"/>
      <c r="CS697" s="47"/>
      <c r="CT697" s="47"/>
      <c r="CU697" s="74"/>
      <c r="CV697" s="74"/>
      <c r="CW697" s="74" t="str">
        <f>IFERROR(__xludf.DUMMYFUNCTION("IF(REGEXMATCH(UPPER(CU697), ""DALLAS""),,CU697)"),"")</f>
        <v/>
      </c>
      <c r="CX697" s="74"/>
      <c r="CY697" s="74"/>
      <c r="CZ697" s="74"/>
      <c r="DA697" s="75"/>
      <c r="DB697" s="74"/>
      <c r="DC697" s="74"/>
      <c r="DD697" s="74"/>
      <c r="DE697" s="74"/>
      <c r="DF697" s="74"/>
      <c r="DG697" s="74"/>
      <c r="DH697" s="74"/>
      <c r="DI697" s="74"/>
      <c r="DJ697" s="74"/>
      <c r="DK697" s="74"/>
      <c r="DL697" s="74"/>
      <c r="DM697" s="74"/>
      <c r="DN697" s="74"/>
      <c r="DO697" s="74"/>
      <c r="DP697" s="74"/>
      <c r="DQ697" s="74"/>
      <c r="DR697" s="74"/>
      <c r="DS697" s="74"/>
      <c r="DT697" s="74"/>
      <c r="DU697" s="74"/>
      <c r="DV697" s="74"/>
      <c r="DW697" s="74"/>
    </row>
    <row r="698">
      <c r="A698" s="23" t="s">
        <v>64</v>
      </c>
      <c r="B698" s="23" t="s">
        <v>56</v>
      </c>
      <c r="C698" s="31" t="s">
        <v>1834</v>
      </c>
      <c r="D698" s="25" t="str">
        <f>IFERROR(__xludf.DUMMYFUNCTION("SPLIT(C698,"" "")"),"Goocher,")</f>
        <v>Goocher,</v>
      </c>
      <c r="E698" s="22" t="str">
        <f>IFERROR(__xludf.DUMMYFUNCTION("""COMPUTED_VALUE"""),"Jennifer
3202")</f>
        <v>Jennifer
3202</v>
      </c>
      <c r="F698" s="22" t="str">
        <f>IFERROR(__xludf.DUMMYFUNCTION("""COMPUTED_VALUE"""),"Winged")</f>
        <v>Winged</v>
      </c>
      <c r="G698" s="22" t="str">
        <f>IFERROR(__xludf.DUMMYFUNCTION("""COMPUTED_VALUE"""),"Elm")</f>
        <v>Elm</v>
      </c>
      <c r="H698" s="22" t="str">
        <f>IFERROR(__xludf.DUMMYFUNCTION("""COMPUTED_VALUE"""),"Dr
Cedar")</f>
        <v>Dr
Cedar</v>
      </c>
      <c r="I698" s="22" t="str">
        <f>IFERROR(__xludf.DUMMYFUNCTION("""COMPUTED_VALUE"""),"Park,")</f>
        <v>Park,</v>
      </c>
      <c r="J698" s="22" t="str">
        <f>IFERROR(__xludf.DUMMYFUNCTION("""COMPUTED_VALUE"""),"TX")</f>
        <v>TX</v>
      </c>
      <c r="K698" s="22">
        <f>IFERROR(__xludf.DUMMYFUNCTION("""COMPUTED_VALUE"""),78616.0)</f>
        <v>78616</v>
      </c>
      <c r="L698" s="22"/>
      <c r="M698" s="22"/>
      <c r="N698" s="22"/>
      <c r="O698" s="22"/>
      <c r="P698" s="22"/>
      <c r="Q698" s="22"/>
      <c r="R698" s="22"/>
      <c r="S698" s="22"/>
      <c r="T698" s="22"/>
      <c r="U698" s="24" t="str">
        <f>IFERROR(__xludf.DUMMYFUNCTION("SPLIT(E698,""01234567890"")"),"Jennifer
")</f>
        <v>Jennifer
</v>
      </c>
      <c r="V698" s="24" t="str">
        <f>IFERROR(__xludf.DUMMYFUNCTION("SPLIT(D698,"","")"),"Goocher")</f>
        <v>Goocher</v>
      </c>
      <c r="W698" s="25" t="str">
        <f t="shared" si="1"/>
        <v>JENNIFER
 GOOCHER</v>
      </c>
      <c r="X698" s="25" t="s">
        <v>1835</v>
      </c>
      <c r="Y698" s="25">
        <v>78616.0</v>
      </c>
      <c r="Z698" s="25" t="str">
        <f>IFERROR(__xludf.DUMMYFUNCTION("SPLIT(C698,""
"")"),"Goocher, Jennifer")</f>
        <v>Goocher, Jennifer</v>
      </c>
      <c r="AA698" s="25" t="str">
        <f>IFERROR(__xludf.DUMMYFUNCTION("""COMPUTED_VALUE"""),"3202 Winged Elm Dr")</f>
        <v>3202 Winged Elm Dr</v>
      </c>
      <c r="AB698" s="25" t="str">
        <f>IFERROR(__xludf.DUMMYFUNCTION("""COMPUTED_VALUE"""),"Cedar Park, TX 78616")</f>
        <v>Cedar Park, TX 78616</v>
      </c>
      <c r="AC698" s="24" t="s">
        <v>1836</v>
      </c>
      <c r="AD698" s="25"/>
      <c r="AE698" s="25"/>
      <c r="AF698" s="25"/>
      <c r="AG698" s="22" t="s">
        <v>60</v>
      </c>
      <c r="AH698" s="54">
        <v>2477.0</v>
      </c>
      <c r="AI698" s="22" t="s">
        <v>68</v>
      </c>
      <c r="AJ698" s="27">
        <v>100.0</v>
      </c>
      <c r="AK698" s="31" t="s">
        <v>26</v>
      </c>
      <c r="AL698" s="28">
        <v>44887.0</v>
      </c>
      <c r="AM698" s="29">
        <v>44940.42346064815</v>
      </c>
      <c r="AN698" s="30">
        <v>2.0</v>
      </c>
      <c r="AO698" s="22"/>
      <c r="AP698" s="22"/>
      <c r="AQ698" s="22"/>
      <c r="AR698" s="22"/>
      <c r="AS698" s="22"/>
      <c r="AT698" s="70"/>
      <c r="AU698" s="22"/>
      <c r="AV698" s="57" t="str">
        <f>IFERROR(__xludf.DUMMYFUNCTION("""COMPUTED_VALUE"""),"Radoff")</f>
        <v>Radoff</v>
      </c>
      <c r="AW698" s="46">
        <f t="shared" si="7"/>
        <v>100</v>
      </c>
      <c r="AX698" s="47">
        <f t="shared" ref="AX698:BQ698" si="2205">SUMIFS($AJ:$AJ,$V:$V,$AV698,$AK:$AK,AX$2)</f>
        <v>0</v>
      </c>
      <c r="AY698" s="48">
        <f t="shared" si="2205"/>
        <v>0</v>
      </c>
      <c r="AZ698" s="48">
        <f t="shared" si="2205"/>
        <v>0</v>
      </c>
      <c r="BA698" s="48">
        <f t="shared" si="2205"/>
        <v>0</v>
      </c>
      <c r="BB698" s="48">
        <f t="shared" si="2205"/>
        <v>0</v>
      </c>
      <c r="BC698" s="48">
        <f t="shared" si="2205"/>
        <v>0</v>
      </c>
      <c r="BD698" s="48">
        <f t="shared" si="2205"/>
        <v>0</v>
      </c>
      <c r="BE698" s="48">
        <f t="shared" si="2205"/>
        <v>0</v>
      </c>
      <c r="BF698" s="48">
        <f t="shared" si="2205"/>
        <v>0</v>
      </c>
      <c r="BG698" s="48">
        <f t="shared" si="2205"/>
        <v>0</v>
      </c>
      <c r="BH698" s="48">
        <f t="shared" si="2205"/>
        <v>100</v>
      </c>
      <c r="BI698" s="48">
        <f t="shared" si="2205"/>
        <v>0</v>
      </c>
      <c r="BJ698" s="48">
        <f t="shared" si="2205"/>
        <v>0</v>
      </c>
      <c r="BK698" s="48">
        <f t="shared" si="2205"/>
        <v>0</v>
      </c>
      <c r="BL698" s="48">
        <f t="shared" si="2205"/>
        <v>0</v>
      </c>
      <c r="BM698" s="48">
        <f t="shared" si="2205"/>
        <v>0</v>
      </c>
      <c r="BN698" s="48">
        <f t="shared" si="2205"/>
        <v>0</v>
      </c>
      <c r="BO698" s="48">
        <f t="shared" si="2205"/>
        <v>0</v>
      </c>
      <c r="BP698" s="48">
        <f t="shared" si="2205"/>
        <v>0</v>
      </c>
      <c r="BQ698" s="48">
        <f t="shared" si="2205"/>
        <v>0</v>
      </c>
      <c r="BR698" s="36">
        <f t="shared" si="9"/>
        <v>0</v>
      </c>
      <c r="BS698" s="38">
        <f t="shared" si="10"/>
        <v>1</v>
      </c>
      <c r="BT698" s="49">
        <f t="shared" si="11"/>
        <v>0</v>
      </c>
      <c r="BU698" s="38">
        <f t="shared" si="12"/>
        <v>1000</v>
      </c>
      <c r="BV698" s="57" t="str">
        <f>IFERROR(__xludf.DUMMYFUNCTION("""COMPUTED_VALUE"""),"Radoff")</f>
        <v>Radoff</v>
      </c>
      <c r="BW698" s="46">
        <f t="shared" si="13"/>
        <v>100</v>
      </c>
      <c r="BX698" s="47">
        <f t="shared" ref="BX698:CA698" si="2206">AX698-$BU698</f>
        <v>-1000</v>
      </c>
      <c r="BY698" s="47">
        <f t="shared" si="2206"/>
        <v>-1000</v>
      </c>
      <c r="BZ698" s="47">
        <f t="shared" si="2206"/>
        <v>-1000</v>
      </c>
      <c r="CA698" s="47">
        <f t="shared" si="2206"/>
        <v>-1000</v>
      </c>
      <c r="CB698" s="47">
        <f t="shared" si="15"/>
        <v>-10000</v>
      </c>
      <c r="CC698" s="47">
        <f t="shared" ref="CC698:CQ698" si="2207">BC698-$BU698</f>
        <v>-1000</v>
      </c>
      <c r="CD698" s="47">
        <f t="shared" si="2207"/>
        <v>-1000</v>
      </c>
      <c r="CE698" s="47">
        <f t="shared" si="2207"/>
        <v>-1000</v>
      </c>
      <c r="CF698" s="47">
        <f t="shared" si="2207"/>
        <v>-1000</v>
      </c>
      <c r="CG698" s="47">
        <f t="shared" si="2207"/>
        <v>-1000</v>
      </c>
      <c r="CH698" s="47">
        <f t="shared" si="2207"/>
        <v>-900</v>
      </c>
      <c r="CI698" s="47">
        <f t="shared" si="2207"/>
        <v>-1000</v>
      </c>
      <c r="CJ698" s="47">
        <f t="shared" si="2207"/>
        <v>-1000</v>
      </c>
      <c r="CK698" s="47">
        <f t="shared" si="2207"/>
        <v>-1000</v>
      </c>
      <c r="CL698" s="47">
        <f t="shared" si="2207"/>
        <v>-1000</v>
      </c>
      <c r="CM698" s="47">
        <f t="shared" si="2207"/>
        <v>-1000</v>
      </c>
      <c r="CN698" s="47">
        <f t="shared" si="2207"/>
        <v>-1000</v>
      </c>
      <c r="CO698" s="47">
        <f t="shared" si="2207"/>
        <v>-1000</v>
      </c>
      <c r="CP698" s="47">
        <f t="shared" si="2207"/>
        <v>-1000</v>
      </c>
      <c r="CQ698" s="47">
        <f t="shared" si="2207"/>
        <v>-1000</v>
      </c>
      <c r="CR698" s="47"/>
      <c r="CS698" s="47"/>
      <c r="CT698" s="47"/>
      <c r="CU698" s="74"/>
      <c r="CV698" s="74"/>
      <c r="CW698" s="74" t="str">
        <f>IFERROR(__xludf.DUMMYFUNCTION("IF(REGEXMATCH(UPPER(CU698), ""DALLAS""),,CU698)"),"")</f>
        <v/>
      </c>
      <c r="CX698" s="74"/>
      <c r="CY698" s="74"/>
      <c r="CZ698" s="74"/>
      <c r="DA698" s="75"/>
      <c r="DB698" s="74"/>
      <c r="DC698" s="74"/>
      <c r="DD698" s="74"/>
      <c r="DE698" s="74"/>
      <c r="DF698" s="74"/>
      <c r="DG698" s="74"/>
      <c r="DH698" s="74"/>
      <c r="DI698" s="74"/>
      <c r="DJ698" s="74"/>
      <c r="DK698" s="74"/>
      <c r="DL698" s="74"/>
      <c r="DM698" s="74"/>
      <c r="DN698" s="74"/>
      <c r="DO698" s="74"/>
      <c r="DP698" s="74"/>
      <c r="DQ698" s="74"/>
      <c r="DR698" s="74"/>
      <c r="DS698" s="74"/>
      <c r="DT698" s="74"/>
      <c r="DU698" s="74"/>
      <c r="DV698" s="74"/>
      <c r="DW698" s="74"/>
    </row>
    <row r="699">
      <c r="A699" s="41" t="s">
        <v>64</v>
      </c>
      <c r="B699" s="41" t="s">
        <v>56</v>
      </c>
      <c r="C699" s="31" t="s">
        <v>1837</v>
      </c>
      <c r="D699" s="25" t="str">
        <f>IFERROR(__xludf.DUMMYFUNCTION("SPLIT(C699,"" "")"),"Lee,")</f>
        <v>Lee,</v>
      </c>
      <c r="E699" s="40" t="str">
        <f>IFERROR(__xludf.DUMMYFUNCTION("""COMPUTED_VALUE"""),"Larry
7302")</f>
        <v>Larry
7302</v>
      </c>
      <c r="F699" s="40" t="str">
        <f>IFERROR(__xludf.DUMMYFUNCTION("""COMPUTED_VALUE"""),"Danashire
Dallas,")</f>
        <v>Danashire
Dallas,</v>
      </c>
      <c r="G699" s="40" t="str">
        <f>IFERROR(__xludf.DUMMYFUNCTION("""COMPUTED_VALUE"""),"TX")</f>
        <v>TX</v>
      </c>
      <c r="H699" s="40">
        <f>IFERROR(__xludf.DUMMYFUNCTION("""COMPUTED_VALUE"""),75231.0)</f>
        <v>75231</v>
      </c>
      <c r="I699" s="40"/>
      <c r="J699" s="40"/>
      <c r="K699" s="40"/>
      <c r="L699" s="40"/>
      <c r="M699" s="40"/>
      <c r="N699" s="40"/>
      <c r="O699" s="40"/>
      <c r="P699" s="40"/>
      <c r="Q699" s="40"/>
      <c r="R699" s="40"/>
      <c r="S699" s="40"/>
      <c r="T699" s="40"/>
      <c r="U699" s="24" t="str">
        <f>IFERROR(__xludf.DUMMYFUNCTION("SPLIT(E699,""01234567890"")"),"Larry
")</f>
        <v>Larry
</v>
      </c>
      <c r="V699" s="24" t="str">
        <f>IFERROR(__xludf.DUMMYFUNCTION("SPLIT(D699,"","")"),"Lee")</f>
        <v>Lee</v>
      </c>
      <c r="W699" s="25" t="str">
        <f t="shared" si="1"/>
        <v>LARRY
 LEE</v>
      </c>
      <c r="X699" s="25" t="s">
        <v>1838</v>
      </c>
      <c r="Y699" s="25">
        <v>75231.0</v>
      </c>
      <c r="Z699" s="25" t="str">
        <f>IFERROR(__xludf.DUMMYFUNCTION("SPLIT(C699,""
"")"),"Lee, Larry")</f>
        <v>Lee, Larry</v>
      </c>
      <c r="AA699" s="25" t="str">
        <f>IFERROR(__xludf.DUMMYFUNCTION("""COMPUTED_VALUE"""),"7302 Danashire")</f>
        <v>7302 Danashire</v>
      </c>
      <c r="AB699" s="25" t="str">
        <f>IFERROR(__xludf.DUMMYFUNCTION("""COMPUTED_VALUE"""),"Dallas, TX 75231")</f>
        <v>Dallas, TX 75231</v>
      </c>
      <c r="AC699" s="24" t="s">
        <v>1839</v>
      </c>
      <c r="AD699" s="25"/>
      <c r="AE699" s="25"/>
      <c r="AF699" s="25"/>
      <c r="AG699" s="40" t="s">
        <v>60</v>
      </c>
      <c r="AH699" s="42">
        <v>2477.0</v>
      </c>
      <c r="AI699" s="40" t="s">
        <v>68</v>
      </c>
      <c r="AJ699" s="27">
        <v>500.0</v>
      </c>
      <c r="AK699" s="31" t="s">
        <v>26</v>
      </c>
      <c r="AL699" s="43">
        <v>44887.0</v>
      </c>
      <c r="AM699" s="44">
        <v>44940.42346064815</v>
      </c>
      <c r="AN699" s="30">
        <v>2.0</v>
      </c>
      <c r="AO699" s="40"/>
      <c r="AP699" s="40"/>
      <c r="AQ699" s="40"/>
      <c r="AR699" s="40"/>
      <c r="AS699" s="40"/>
      <c r="AT699" s="47"/>
      <c r="AU699" s="40"/>
      <c r="AV699" s="46" t="str">
        <f>IFERROR(__xludf.DUMMYFUNCTION("""COMPUTED_VALUE"""),"Raffkind")</f>
        <v>Raffkind</v>
      </c>
      <c r="AW699" s="46">
        <f t="shared" si="7"/>
        <v>1000</v>
      </c>
      <c r="AX699" s="47">
        <f t="shared" ref="AX699:BQ699" si="2208">SUMIFS($AJ:$AJ,$V:$V,$AV699,$AK:$AK,AX$2)</f>
        <v>0</v>
      </c>
      <c r="AY699" s="48">
        <f t="shared" si="2208"/>
        <v>0</v>
      </c>
      <c r="AZ699" s="48">
        <f t="shared" si="2208"/>
        <v>0</v>
      </c>
      <c r="BA699" s="48">
        <f t="shared" si="2208"/>
        <v>0</v>
      </c>
      <c r="BB699" s="48">
        <f t="shared" si="2208"/>
        <v>0</v>
      </c>
      <c r="BC699" s="48">
        <f t="shared" si="2208"/>
        <v>0</v>
      </c>
      <c r="BD699" s="48">
        <f t="shared" si="2208"/>
        <v>0</v>
      </c>
      <c r="BE699" s="48">
        <f t="shared" si="2208"/>
        <v>0</v>
      </c>
      <c r="BF699" s="48">
        <f t="shared" si="2208"/>
        <v>0</v>
      </c>
      <c r="BG699" s="48">
        <f t="shared" si="2208"/>
        <v>0</v>
      </c>
      <c r="BH699" s="48">
        <f t="shared" si="2208"/>
        <v>1000</v>
      </c>
      <c r="BI699" s="48">
        <f t="shared" si="2208"/>
        <v>0</v>
      </c>
      <c r="BJ699" s="48">
        <f t="shared" si="2208"/>
        <v>0</v>
      </c>
      <c r="BK699" s="48">
        <f t="shared" si="2208"/>
        <v>0</v>
      </c>
      <c r="BL699" s="48">
        <f t="shared" si="2208"/>
        <v>0</v>
      </c>
      <c r="BM699" s="48">
        <f t="shared" si="2208"/>
        <v>0</v>
      </c>
      <c r="BN699" s="48">
        <f t="shared" si="2208"/>
        <v>0</v>
      </c>
      <c r="BO699" s="48">
        <f t="shared" si="2208"/>
        <v>0</v>
      </c>
      <c r="BP699" s="48">
        <f t="shared" si="2208"/>
        <v>0</v>
      </c>
      <c r="BQ699" s="48">
        <f t="shared" si="2208"/>
        <v>0</v>
      </c>
      <c r="BR699" s="36">
        <f t="shared" si="9"/>
        <v>0</v>
      </c>
      <c r="BS699" s="38">
        <f t="shared" si="10"/>
        <v>1</v>
      </c>
      <c r="BT699" s="49">
        <f t="shared" si="11"/>
        <v>0</v>
      </c>
      <c r="BU699" s="38">
        <f t="shared" si="12"/>
        <v>1000</v>
      </c>
      <c r="BV699" s="46" t="str">
        <f>IFERROR(__xludf.DUMMYFUNCTION("""COMPUTED_VALUE"""),"Raffkind")</f>
        <v>Raffkind</v>
      </c>
      <c r="BW699" s="46">
        <f t="shared" si="13"/>
        <v>1000</v>
      </c>
      <c r="BX699" s="47">
        <f t="shared" ref="BX699:CA699" si="2209">AX699-$BU699</f>
        <v>-1000</v>
      </c>
      <c r="BY699" s="47">
        <f t="shared" si="2209"/>
        <v>-1000</v>
      </c>
      <c r="BZ699" s="47">
        <f t="shared" si="2209"/>
        <v>-1000</v>
      </c>
      <c r="CA699" s="47">
        <f t="shared" si="2209"/>
        <v>-1000</v>
      </c>
      <c r="CB699" s="47">
        <f t="shared" si="15"/>
        <v>-10000</v>
      </c>
      <c r="CC699" s="47">
        <f t="shared" ref="CC699:CQ699" si="2210">BC699-$BU699</f>
        <v>-1000</v>
      </c>
      <c r="CD699" s="47">
        <f t="shared" si="2210"/>
        <v>-1000</v>
      </c>
      <c r="CE699" s="47">
        <f t="shared" si="2210"/>
        <v>-1000</v>
      </c>
      <c r="CF699" s="47">
        <f t="shared" si="2210"/>
        <v>-1000</v>
      </c>
      <c r="CG699" s="47">
        <f t="shared" si="2210"/>
        <v>-1000</v>
      </c>
      <c r="CH699" s="47">
        <f t="shared" si="2210"/>
        <v>0</v>
      </c>
      <c r="CI699" s="47">
        <f t="shared" si="2210"/>
        <v>-1000</v>
      </c>
      <c r="CJ699" s="47">
        <f t="shared" si="2210"/>
        <v>-1000</v>
      </c>
      <c r="CK699" s="47">
        <f t="shared" si="2210"/>
        <v>-1000</v>
      </c>
      <c r="CL699" s="47">
        <f t="shared" si="2210"/>
        <v>-1000</v>
      </c>
      <c r="CM699" s="47">
        <f t="shared" si="2210"/>
        <v>-1000</v>
      </c>
      <c r="CN699" s="47">
        <f t="shared" si="2210"/>
        <v>-1000</v>
      </c>
      <c r="CO699" s="47">
        <f t="shared" si="2210"/>
        <v>-1000</v>
      </c>
      <c r="CP699" s="47">
        <f t="shared" si="2210"/>
        <v>-1000</v>
      </c>
      <c r="CQ699" s="47">
        <f t="shared" si="2210"/>
        <v>-1000</v>
      </c>
      <c r="CR699" s="47"/>
      <c r="CS699" s="47"/>
      <c r="CT699" s="47"/>
      <c r="CU699" s="74"/>
      <c r="CV699" s="74"/>
      <c r="CW699" s="74" t="str">
        <f>IFERROR(__xludf.DUMMYFUNCTION("IF(REGEXMATCH(UPPER(CU699), ""DALLAS""),,CU699)"),"")</f>
        <v/>
      </c>
      <c r="CX699" s="74"/>
      <c r="CY699" s="74"/>
      <c r="CZ699" s="74"/>
      <c r="DA699" s="75"/>
      <c r="DB699" s="74"/>
      <c r="DC699" s="74"/>
      <c r="DD699" s="74"/>
      <c r="DE699" s="74"/>
      <c r="DF699" s="74"/>
      <c r="DG699" s="74"/>
      <c r="DH699" s="74"/>
      <c r="DI699" s="74"/>
      <c r="DJ699" s="74"/>
      <c r="DK699" s="74"/>
      <c r="DL699" s="74"/>
      <c r="DM699" s="74"/>
      <c r="DN699" s="74"/>
      <c r="DO699" s="74"/>
      <c r="DP699" s="74"/>
      <c r="DQ699" s="74"/>
      <c r="DR699" s="74"/>
      <c r="DS699" s="74"/>
      <c r="DT699" s="74"/>
      <c r="DU699" s="74"/>
      <c r="DV699" s="74"/>
      <c r="DW699" s="74"/>
    </row>
    <row r="700">
      <c r="A700" s="23" t="s">
        <v>64</v>
      </c>
      <c r="B700" s="23" t="s">
        <v>56</v>
      </c>
      <c r="C700" s="31" t="s">
        <v>1840</v>
      </c>
      <c r="D700" s="25" t="str">
        <f>IFERROR(__xludf.DUMMYFUNCTION("SPLIT(C700,"" "")"),"Lee,")</f>
        <v>Lee,</v>
      </c>
      <c r="E700" s="22" t="str">
        <f>IFERROR(__xludf.DUMMYFUNCTION("""COMPUTED_VALUE"""),"Alison
7302")</f>
        <v>Alison
7302</v>
      </c>
      <c r="F700" s="22" t="str">
        <f>IFERROR(__xludf.DUMMYFUNCTION("""COMPUTED_VALUE"""),"Danashire
Dallas,")</f>
        <v>Danashire
Dallas,</v>
      </c>
      <c r="G700" s="22" t="str">
        <f>IFERROR(__xludf.DUMMYFUNCTION("""COMPUTED_VALUE"""),"TX")</f>
        <v>TX</v>
      </c>
      <c r="H700" s="22">
        <f>IFERROR(__xludf.DUMMYFUNCTION("""COMPUTED_VALUE"""),75231.0)</f>
        <v>75231</v>
      </c>
      <c r="I700" s="22"/>
      <c r="J700" s="22"/>
      <c r="K700" s="22"/>
      <c r="L700" s="22"/>
      <c r="M700" s="22"/>
      <c r="N700" s="22"/>
      <c r="O700" s="22"/>
      <c r="P700" s="22"/>
      <c r="Q700" s="22"/>
      <c r="R700" s="22"/>
      <c r="S700" s="22"/>
      <c r="T700" s="22"/>
      <c r="U700" s="24" t="str">
        <f>IFERROR(__xludf.DUMMYFUNCTION("SPLIT(E700,""01234567890"")"),"Alison
")</f>
        <v>Alison
</v>
      </c>
      <c r="V700" s="24" t="str">
        <f>IFERROR(__xludf.DUMMYFUNCTION("SPLIT(D700,"","")"),"Lee")</f>
        <v>Lee</v>
      </c>
      <c r="W700" s="25" t="str">
        <f t="shared" si="1"/>
        <v>ALISON
 LEE</v>
      </c>
      <c r="X700" s="25" t="s">
        <v>1838</v>
      </c>
      <c r="Y700" s="25">
        <v>75231.0</v>
      </c>
      <c r="Z700" s="25" t="str">
        <f>IFERROR(__xludf.DUMMYFUNCTION("SPLIT(C700,""
"")"),"Lee, Alison")</f>
        <v>Lee, Alison</v>
      </c>
      <c r="AA700" s="25" t="str">
        <f>IFERROR(__xludf.DUMMYFUNCTION("""COMPUTED_VALUE"""),"7302 Danashire")</f>
        <v>7302 Danashire</v>
      </c>
      <c r="AB700" s="25" t="str">
        <f>IFERROR(__xludf.DUMMYFUNCTION("""COMPUTED_VALUE"""),"Dallas, TX 75231")</f>
        <v>Dallas, TX 75231</v>
      </c>
      <c r="AC700" s="24" t="s">
        <v>1841</v>
      </c>
      <c r="AD700" s="25"/>
      <c r="AE700" s="25"/>
      <c r="AF700" s="25"/>
      <c r="AG700" s="22" t="s">
        <v>60</v>
      </c>
      <c r="AH700" s="54">
        <v>2477.0</v>
      </c>
      <c r="AI700" s="22" t="s">
        <v>68</v>
      </c>
      <c r="AJ700" s="27">
        <v>500.0</v>
      </c>
      <c r="AK700" s="31" t="s">
        <v>26</v>
      </c>
      <c r="AL700" s="28">
        <v>44887.0</v>
      </c>
      <c r="AM700" s="29">
        <v>44940.42346064815</v>
      </c>
      <c r="AN700" s="30">
        <v>2.0</v>
      </c>
      <c r="AO700" s="22"/>
      <c r="AP700" s="22"/>
      <c r="AQ700" s="22"/>
      <c r="AR700" s="22"/>
      <c r="AS700" s="22"/>
      <c r="AT700" s="70"/>
      <c r="AU700" s="22"/>
      <c r="AV700" s="57" t="str">
        <f>IFERROR(__xludf.DUMMYFUNCTION("""COMPUTED_VALUE"""),"Scofield")</f>
        <v>Scofield</v>
      </c>
      <c r="AW700" s="46">
        <f t="shared" si="7"/>
        <v>100</v>
      </c>
      <c r="AX700" s="47">
        <f t="shared" ref="AX700:BQ700" si="2211">SUMIFS($AJ:$AJ,$V:$V,$AV700,$AK:$AK,AX$2)</f>
        <v>0</v>
      </c>
      <c r="AY700" s="48">
        <f t="shared" si="2211"/>
        <v>0</v>
      </c>
      <c r="AZ700" s="48">
        <f t="shared" si="2211"/>
        <v>0</v>
      </c>
      <c r="BA700" s="48">
        <f t="shared" si="2211"/>
        <v>0</v>
      </c>
      <c r="BB700" s="48">
        <f t="shared" si="2211"/>
        <v>0</v>
      </c>
      <c r="BC700" s="48">
        <f t="shared" si="2211"/>
        <v>0</v>
      </c>
      <c r="BD700" s="48">
        <f t="shared" si="2211"/>
        <v>0</v>
      </c>
      <c r="BE700" s="48">
        <f t="shared" si="2211"/>
        <v>0</v>
      </c>
      <c r="BF700" s="48">
        <f t="shared" si="2211"/>
        <v>0</v>
      </c>
      <c r="BG700" s="48">
        <f t="shared" si="2211"/>
        <v>0</v>
      </c>
      <c r="BH700" s="48">
        <f t="shared" si="2211"/>
        <v>100</v>
      </c>
      <c r="BI700" s="48">
        <f t="shared" si="2211"/>
        <v>0</v>
      </c>
      <c r="BJ700" s="48">
        <f t="shared" si="2211"/>
        <v>0</v>
      </c>
      <c r="BK700" s="48">
        <f t="shared" si="2211"/>
        <v>0</v>
      </c>
      <c r="BL700" s="48">
        <f t="shared" si="2211"/>
        <v>0</v>
      </c>
      <c r="BM700" s="48">
        <f t="shared" si="2211"/>
        <v>0</v>
      </c>
      <c r="BN700" s="48">
        <f t="shared" si="2211"/>
        <v>0</v>
      </c>
      <c r="BO700" s="48">
        <f t="shared" si="2211"/>
        <v>0</v>
      </c>
      <c r="BP700" s="48">
        <f t="shared" si="2211"/>
        <v>0</v>
      </c>
      <c r="BQ700" s="48">
        <f t="shared" si="2211"/>
        <v>0</v>
      </c>
      <c r="BR700" s="36">
        <f t="shared" si="9"/>
        <v>0</v>
      </c>
      <c r="BS700" s="38">
        <f t="shared" si="10"/>
        <v>1</v>
      </c>
      <c r="BT700" s="49">
        <f t="shared" si="11"/>
        <v>0</v>
      </c>
      <c r="BU700" s="38">
        <f t="shared" si="12"/>
        <v>1000</v>
      </c>
      <c r="BV700" s="57" t="str">
        <f>IFERROR(__xludf.DUMMYFUNCTION("""COMPUTED_VALUE"""),"Scofield")</f>
        <v>Scofield</v>
      </c>
      <c r="BW700" s="46">
        <f t="shared" si="13"/>
        <v>100</v>
      </c>
      <c r="BX700" s="47">
        <f t="shared" ref="BX700:CA700" si="2212">AX700-$BU700</f>
        <v>-1000</v>
      </c>
      <c r="BY700" s="47">
        <f t="shared" si="2212"/>
        <v>-1000</v>
      </c>
      <c r="BZ700" s="47">
        <f t="shared" si="2212"/>
        <v>-1000</v>
      </c>
      <c r="CA700" s="47">
        <f t="shared" si="2212"/>
        <v>-1000</v>
      </c>
      <c r="CB700" s="47">
        <f t="shared" si="15"/>
        <v>-10000</v>
      </c>
      <c r="CC700" s="47">
        <f t="shared" ref="CC700:CQ700" si="2213">BC700-$BU700</f>
        <v>-1000</v>
      </c>
      <c r="CD700" s="47">
        <f t="shared" si="2213"/>
        <v>-1000</v>
      </c>
      <c r="CE700" s="47">
        <f t="shared" si="2213"/>
        <v>-1000</v>
      </c>
      <c r="CF700" s="47">
        <f t="shared" si="2213"/>
        <v>-1000</v>
      </c>
      <c r="CG700" s="47">
        <f t="shared" si="2213"/>
        <v>-1000</v>
      </c>
      <c r="CH700" s="47">
        <f t="shared" si="2213"/>
        <v>-900</v>
      </c>
      <c r="CI700" s="47">
        <f t="shared" si="2213"/>
        <v>-1000</v>
      </c>
      <c r="CJ700" s="47">
        <f t="shared" si="2213"/>
        <v>-1000</v>
      </c>
      <c r="CK700" s="47">
        <f t="shared" si="2213"/>
        <v>-1000</v>
      </c>
      <c r="CL700" s="47">
        <f t="shared" si="2213"/>
        <v>-1000</v>
      </c>
      <c r="CM700" s="47">
        <f t="shared" si="2213"/>
        <v>-1000</v>
      </c>
      <c r="CN700" s="47">
        <f t="shared" si="2213"/>
        <v>-1000</v>
      </c>
      <c r="CO700" s="47">
        <f t="shared" si="2213"/>
        <v>-1000</v>
      </c>
      <c r="CP700" s="47">
        <f t="shared" si="2213"/>
        <v>-1000</v>
      </c>
      <c r="CQ700" s="47">
        <f t="shared" si="2213"/>
        <v>-1000</v>
      </c>
      <c r="CR700" s="47"/>
      <c r="CS700" s="47"/>
      <c r="CT700" s="47"/>
      <c r="CU700" s="74"/>
      <c r="CV700" s="74"/>
      <c r="CW700" s="74" t="str">
        <f>IFERROR(__xludf.DUMMYFUNCTION("IF(REGEXMATCH(UPPER(CU700), ""DALLAS""),,CU700)"),"")</f>
        <v/>
      </c>
      <c r="CX700" s="74"/>
      <c r="CY700" s="74"/>
      <c r="CZ700" s="74"/>
      <c r="DA700" s="75"/>
      <c r="DB700" s="74"/>
      <c r="DC700" s="74"/>
      <c r="DD700" s="74"/>
      <c r="DE700" s="74"/>
      <c r="DF700" s="74"/>
      <c r="DG700" s="74"/>
      <c r="DH700" s="74"/>
      <c r="DI700" s="74"/>
      <c r="DJ700" s="74"/>
      <c r="DK700" s="74"/>
      <c r="DL700" s="74"/>
      <c r="DM700" s="74"/>
      <c r="DN700" s="74"/>
      <c r="DO700" s="74"/>
      <c r="DP700" s="74"/>
      <c r="DQ700" s="74"/>
      <c r="DR700" s="74"/>
      <c r="DS700" s="74"/>
      <c r="DT700" s="74"/>
      <c r="DU700" s="74"/>
      <c r="DV700" s="74"/>
      <c r="DW700" s="74"/>
    </row>
    <row r="701">
      <c r="A701" s="41" t="s">
        <v>64</v>
      </c>
      <c r="B701" s="41" t="s">
        <v>56</v>
      </c>
      <c r="C701" s="31" t="s">
        <v>1842</v>
      </c>
      <c r="D701" s="25" t="str">
        <f>IFERROR(__xludf.DUMMYFUNCTION("SPLIT(C701,"" "")"),"Reeder,")</f>
        <v>Reeder,</v>
      </c>
      <c r="E701" s="40" t="str">
        <f>IFERROR(__xludf.DUMMYFUNCTION("""COMPUTED_VALUE"""),"Chuck
4515")</f>
        <v>Chuck
4515</v>
      </c>
      <c r="F701" s="40" t="str">
        <f>IFERROR(__xludf.DUMMYFUNCTION("""COMPUTED_VALUE"""),"Belfort")</f>
        <v>Belfort</v>
      </c>
      <c r="G701" s="40" t="str">
        <f>IFERROR(__xludf.DUMMYFUNCTION("""COMPUTED_VALUE"""),"Pl
Dallas,")</f>
        <v>Pl
Dallas,</v>
      </c>
      <c r="H701" s="40" t="str">
        <f>IFERROR(__xludf.DUMMYFUNCTION("""COMPUTED_VALUE"""),"TX")</f>
        <v>TX</v>
      </c>
      <c r="I701" s="40">
        <f>IFERROR(__xludf.DUMMYFUNCTION("""COMPUTED_VALUE"""),75205.0)</f>
        <v>75205</v>
      </c>
      <c r="J701" s="40"/>
      <c r="K701" s="40"/>
      <c r="L701" s="40"/>
      <c r="M701" s="40"/>
      <c r="N701" s="40"/>
      <c r="O701" s="40"/>
      <c r="P701" s="40"/>
      <c r="Q701" s="40"/>
      <c r="R701" s="40"/>
      <c r="S701" s="40"/>
      <c r="T701" s="40"/>
      <c r="U701" s="24" t="str">
        <f>IFERROR(__xludf.DUMMYFUNCTION("SPLIT(E701,""01234567890"")"),"Chuck
")</f>
        <v>Chuck
</v>
      </c>
      <c r="V701" s="24" t="str">
        <f>IFERROR(__xludf.DUMMYFUNCTION("SPLIT(D701,"","")"),"Reeder")</f>
        <v>Reeder</v>
      </c>
      <c r="W701" s="25" t="str">
        <f t="shared" si="1"/>
        <v>CHUCK
 REEDER</v>
      </c>
      <c r="X701" s="25" t="s">
        <v>1843</v>
      </c>
      <c r="Y701" s="25">
        <v>75205.0</v>
      </c>
      <c r="Z701" s="25" t="str">
        <f>IFERROR(__xludf.DUMMYFUNCTION("SPLIT(C701,""
"")"),"Reeder, Chuck")</f>
        <v>Reeder, Chuck</v>
      </c>
      <c r="AA701" s="25" t="str">
        <f>IFERROR(__xludf.DUMMYFUNCTION("""COMPUTED_VALUE"""),"4515 Belfort Pl")</f>
        <v>4515 Belfort Pl</v>
      </c>
      <c r="AB701" s="25" t="str">
        <f>IFERROR(__xludf.DUMMYFUNCTION("""COMPUTED_VALUE"""),"Dallas, TX 75205")</f>
        <v>Dallas, TX 75205</v>
      </c>
      <c r="AC701" s="24" t="s">
        <v>1844</v>
      </c>
      <c r="AD701" s="25"/>
      <c r="AE701" s="25"/>
      <c r="AF701" s="25"/>
      <c r="AG701" s="40" t="s">
        <v>60</v>
      </c>
      <c r="AH701" s="42">
        <v>2477.0</v>
      </c>
      <c r="AI701" s="40" t="s">
        <v>68</v>
      </c>
      <c r="AJ701" s="27">
        <v>100.0</v>
      </c>
      <c r="AK701" s="31" t="s">
        <v>26</v>
      </c>
      <c r="AL701" s="43">
        <v>44887.0</v>
      </c>
      <c r="AM701" s="44">
        <v>44940.42346064815</v>
      </c>
      <c r="AN701" s="30">
        <v>2.0</v>
      </c>
      <c r="AO701" s="40"/>
      <c r="AP701" s="40"/>
      <c r="AQ701" s="40"/>
      <c r="AR701" s="40"/>
      <c r="AS701" s="40"/>
      <c r="AT701" s="47"/>
      <c r="AU701" s="40"/>
      <c r="AV701" s="46" t="str">
        <f>IFERROR(__xludf.DUMMYFUNCTION("""COMPUTED_VALUE"""),"Willard")</f>
        <v>Willard</v>
      </c>
      <c r="AW701" s="46">
        <f t="shared" si="7"/>
        <v>100</v>
      </c>
      <c r="AX701" s="47">
        <f t="shared" ref="AX701:BQ701" si="2214">SUMIFS($AJ:$AJ,$V:$V,$AV701,$AK:$AK,AX$2)</f>
        <v>0</v>
      </c>
      <c r="AY701" s="48">
        <f t="shared" si="2214"/>
        <v>0</v>
      </c>
      <c r="AZ701" s="48">
        <f t="shared" si="2214"/>
        <v>0</v>
      </c>
      <c r="BA701" s="48">
        <f t="shared" si="2214"/>
        <v>0</v>
      </c>
      <c r="BB701" s="48">
        <f t="shared" si="2214"/>
        <v>0</v>
      </c>
      <c r="BC701" s="48">
        <f t="shared" si="2214"/>
        <v>0</v>
      </c>
      <c r="BD701" s="48">
        <f t="shared" si="2214"/>
        <v>0</v>
      </c>
      <c r="BE701" s="48">
        <f t="shared" si="2214"/>
        <v>0</v>
      </c>
      <c r="BF701" s="48">
        <f t="shared" si="2214"/>
        <v>0</v>
      </c>
      <c r="BG701" s="48">
        <f t="shared" si="2214"/>
        <v>0</v>
      </c>
      <c r="BH701" s="48">
        <f t="shared" si="2214"/>
        <v>100</v>
      </c>
      <c r="BI701" s="48">
        <f t="shared" si="2214"/>
        <v>0</v>
      </c>
      <c r="BJ701" s="48">
        <f t="shared" si="2214"/>
        <v>0</v>
      </c>
      <c r="BK701" s="48">
        <f t="shared" si="2214"/>
        <v>0</v>
      </c>
      <c r="BL701" s="48">
        <f t="shared" si="2214"/>
        <v>0</v>
      </c>
      <c r="BM701" s="48">
        <f t="shared" si="2214"/>
        <v>0</v>
      </c>
      <c r="BN701" s="48">
        <f t="shared" si="2214"/>
        <v>0</v>
      </c>
      <c r="BO701" s="48">
        <f t="shared" si="2214"/>
        <v>0</v>
      </c>
      <c r="BP701" s="48">
        <f t="shared" si="2214"/>
        <v>0</v>
      </c>
      <c r="BQ701" s="48">
        <f t="shared" si="2214"/>
        <v>0</v>
      </c>
      <c r="BR701" s="36">
        <f t="shared" si="9"/>
        <v>0</v>
      </c>
      <c r="BS701" s="38">
        <f t="shared" si="10"/>
        <v>1</v>
      </c>
      <c r="BT701" s="49">
        <f t="shared" si="11"/>
        <v>0</v>
      </c>
      <c r="BU701" s="38">
        <f t="shared" si="12"/>
        <v>1000</v>
      </c>
      <c r="BV701" s="46" t="str">
        <f>IFERROR(__xludf.DUMMYFUNCTION("""COMPUTED_VALUE"""),"Willard")</f>
        <v>Willard</v>
      </c>
      <c r="BW701" s="46">
        <f t="shared" si="13"/>
        <v>100</v>
      </c>
      <c r="BX701" s="47">
        <f t="shared" ref="BX701:CA701" si="2215">AX701-$BU701</f>
        <v>-1000</v>
      </c>
      <c r="BY701" s="47">
        <f t="shared" si="2215"/>
        <v>-1000</v>
      </c>
      <c r="BZ701" s="47">
        <f t="shared" si="2215"/>
        <v>-1000</v>
      </c>
      <c r="CA701" s="47">
        <f t="shared" si="2215"/>
        <v>-1000</v>
      </c>
      <c r="CB701" s="47">
        <f t="shared" si="15"/>
        <v>-10000</v>
      </c>
      <c r="CC701" s="47">
        <f t="shared" ref="CC701:CQ701" si="2216">BC701-$BU701</f>
        <v>-1000</v>
      </c>
      <c r="CD701" s="47">
        <f t="shared" si="2216"/>
        <v>-1000</v>
      </c>
      <c r="CE701" s="47">
        <f t="shared" si="2216"/>
        <v>-1000</v>
      </c>
      <c r="CF701" s="47">
        <f t="shared" si="2216"/>
        <v>-1000</v>
      </c>
      <c r="CG701" s="47">
        <f t="shared" si="2216"/>
        <v>-1000</v>
      </c>
      <c r="CH701" s="47">
        <f t="shared" si="2216"/>
        <v>-900</v>
      </c>
      <c r="CI701" s="47">
        <f t="shared" si="2216"/>
        <v>-1000</v>
      </c>
      <c r="CJ701" s="47">
        <f t="shared" si="2216"/>
        <v>-1000</v>
      </c>
      <c r="CK701" s="47">
        <f t="shared" si="2216"/>
        <v>-1000</v>
      </c>
      <c r="CL701" s="47">
        <f t="shared" si="2216"/>
        <v>-1000</v>
      </c>
      <c r="CM701" s="47">
        <f t="shared" si="2216"/>
        <v>-1000</v>
      </c>
      <c r="CN701" s="47">
        <f t="shared" si="2216"/>
        <v>-1000</v>
      </c>
      <c r="CO701" s="47">
        <f t="shared" si="2216"/>
        <v>-1000</v>
      </c>
      <c r="CP701" s="47">
        <f t="shared" si="2216"/>
        <v>-1000</v>
      </c>
      <c r="CQ701" s="47">
        <f t="shared" si="2216"/>
        <v>-1000</v>
      </c>
      <c r="CR701" s="47"/>
      <c r="CS701" s="47"/>
      <c r="CT701" s="47"/>
      <c r="CU701" s="74"/>
      <c r="CV701" s="74"/>
      <c r="CW701" s="74" t="str">
        <f>IFERROR(__xludf.DUMMYFUNCTION("IF(REGEXMATCH(UPPER(CU701), ""DALLAS""),,CU701)"),"")</f>
        <v/>
      </c>
      <c r="CX701" s="74"/>
      <c r="CY701" s="74"/>
      <c r="CZ701" s="74"/>
      <c r="DA701" s="75"/>
      <c r="DB701" s="74"/>
      <c r="DC701" s="74"/>
      <c r="DD701" s="74"/>
      <c r="DE701" s="74"/>
      <c r="DF701" s="74"/>
      <c r="DG701" s="74"/>
      <c r="DH701" s="74"/>
      <c r="DI701" s="74"/>
      <c r="DJ701" s="74"/>
      <c r="DK701" s="74"/>
      <c r="DL701" s="74"/>
      <c r="DM701" s="74"/>
      <c r="DN701" s="74"/>
      <c r="DO701" s="74"/>
      <c r="DP701" s="74"/>
      <c r="DQ701" s="74"/>
      <c r="DR701" s="74"/>
      <c r="DS701" s="74"/>
      <c r="DT701" s="74"/>
      <c r="DU701" s="74"/>
      <c r="DV701" s="74"/>
      <c r="DW701" s="74"/>
    </row>
    <row r="702">
      <c r="A702" s="23" t="s">
        <v>64</v>
      </c>
      <c r="B702" s="23" t="s">
        <v>56</v>
      </c>
      <c r="C702" s="31" t="s">
        <v>1845</v>
      </c>
      <c r="D702" s="25" t="str">
        <f>IFERROR(__xludf.DUMMYFUNCTION("SPLIT(C702,"" "")"),"Lonergan,")</f>
        <v>Lonergan,</v>
      </c>
      <c r="E702" s="22" t="str">
        <f>IFERROR(__xludf.DUMMYFUNCTION("""COMPUTED_VALUE"""),"Kim
10050")</f>
        <v>Kim
10050</v>
      </c>
      <c r="F702" s="22" t="str">
        <f>IFERROR(__xludf.DUMMYFUNCTION("""COMPUTED_VALUE"""),"Caribou")</f>
        <v>Caribou</v>
      </c>
      <c r="G702" s="22" t="str">
        <f>IFERROR(__xludf.DUMMYFUNCTION("""COMPUTED_VALUE"""),"Trail
Dallas,")</f>
        <v>Trail
Dallas,</v>
      </c>
      <c r="H702" s="22" t="str">
        <f>IFERROR(__xludf.DUMMYFUNCTION("""COMPUTED_VALUE"""),"TX")</f>
        <v>TX</v>
      </c>
      <c r="I702" s="22">
        <f>IFERROR(__xludf.DUMMYFUNCTION("""COMPUTED_VALUE"""),75238.0)</f>
        <v>75238</v>
      </c>
      <c r="J702" s="22"/>
      <c r="K702" s="22"/>
      <c r="L702" s="22"/>
      <c r="M702" s="22"/>
      <c r="N702" s="22"/>
      <c r="O702" s="22"/>
      <c r="P702" s="22"/>
      <c r="Q702" s="22"/>
      <c r="R702" s="22"/>
      <c r="S702" s="22"/>
      <c r="T702" s="22"/>
      <c r="U702" s="24" t="str">
        <f>IFERROR(__xludf.DUMMYFUNCTION("SPLIT(E702,""01234567890"")"),"Kim
")</f>
        <v>Kim
</v>
      </c>
      <c r="V702" s="24" t="str">
        <f>IFERROR(__xludf.DUMMYFUNCTION("SPLIT(D702,"","")"),"Lonergan")</f>
        <v>Lonergan</v>
      </c>
      <c r="W702" s="25" t="str">
        <f t="shared" si="1"/>
        <v>KIM
 LONERGAN</v>
      </c>
      <c r="X702" s="25" t="s">
        <v>1846</v>
      </c>
      <c r="Y702" s="25">
        <v>75238.0</v>
      </c>
      <c r="Z702" s="25" t="str">
        <f>IFERROR(__xludf.DUMMYFUNCTION("SPLIT(C702,""
"")"),"Lonergan, Kim")</f>
        <v>Lonergan, Kim</v>
      </c>
      <c r="AA702" s="25" t="str">
        <f>IFERROR(__xludf.DUMMYFUNCTION("""COMPUTED_VALUE"""),"10050 Caribou Trail")</f>
        <v>10050 Caribou Trail</v>
      </c>
      <c r="AB702" s="25" t="str">
        <f>IFERROR(__xludf.DUMMYFUNCTION("""COMPUTED_VALUE"""),"Dallas, TX 75238")</f>
        <v>Dallas, TX 75238</v>
      </c>
      <c r="AC702" s="24" t="s">
        <v>1847</v>
      </c>
      <c r="AD702" s="25"/>
      <c r="AE702" s="25"/>
      <c r="AF702" s="25"/>
      <c r="AG702" s="22" t="s">
        <v>60</v>
      </c>
      <c r="AH702" s="54">
        <v>2477.0</v>
      </c>
      <c r="AI702" s="22" t="s">
        <v>68</v>
      </c>
      <c r="AJ702" s="27">
        <v>100.0</v>
      </c>
      <c r="AK702" s="31" t="s">
        <v>26</v>
      </c>
      <c r="AL702" s="28">
        <v>44887.0</v>
      </c>
      <c r="AM702" s="29">
        <v>44940.42346064815</v>
      </c>
      <c r="AN702" s="30">
        <v>2.0</v>
      </c>
      <c r="AO702" s="22"/>
      <c r="AP702" s="22"/>
      <c r="AQ702" s="22"/>
      <c r="AR702" s="22"/>
      <c r="AS702" s="22"/>
      <c r="AT702" s="70"/>
      <c r="AU702" s="22"/>
      <c r="AV702" s="57" t="str">
        <f>IFERROR(__xludf.DUMMYFUNCTION("""COMPUTED_VALUE"""),"Glazer")</f>
        <v>Glazer</v>
      </c>
      <c r="AW702" s="46">
        <f t="shared" si="7"/>
        <v>100</v>
      </c>
      <c r="AX702" s="47">
        <f t="shared" ref="AX702:BQ702" si="2217">SUMIFS($AJ:$AJ,$V:$V,$AV702,$AK:$AK,AX$2)</f>
        <v>0</v>
      </c>
      <c r="AY702" s="48">
        <f t="shared" si="2217"/>
        <v>0</v>
      </c>
      <c r="AZ702" s="48">
        <f t="shared" si="2217"/>
        <v>0</v>
      </c>
      <c r="BA702" s="48">
        <f t="shared" si="2217"/>
        <v>0</v>
      </c>
      <c r="BB702" s="48">
        <f t="shared" si="2217"/>
        <v>0</v>
      </c>
      <c r="BC702" s="48">
        <f t="shared" si="2217"/>
        <v>0</v>
      </c>
      <c r="BD702" s="48">
        <f t="shared" si="2217"/>
        <v>0</v>
      </c>
      <c r="BE702" s="48">
        <f t="shared" si="2217"/>
        <v>0</v>
      </c>
      <c r="BF702" s="48">
        <f t="shared" si="2217"/>
        <v>0</v>
      </c>
      <c r="BG702" s="48">
        <f t="shared" si="2217"/>
        <v>0</v>
      </c>
      <c r="BH702" s="48">
        <f t="shared" si="2217"/>
        <v>100</v>
      </c>
      <c r="BI702" s="48">
        <f t="shared" si="2217"/>
        <v>0</v>
      </c>
      <c r="BJ702" s="48">
        <f t="shared" si="2217"/>
        <v>0</v>
      </c>
      <c r="BK702" s="48">
        <f t="shared" si="2217"/>
        <v>0</v>
      </c>
      <c r="BL702" s="48">
        <f t="shared" si="2217"/>
        <v>0</v>
      </c>
      <c r="BM702" s="48">
        <f t="shared" si="2217"/>
        <v>0</v>
      </c>
      <c r="BN702" s="48">
        <f t="shared" si="2217"/>
        <v>0</v>
      </c>
      <c r="BO702" s="48">
        <f t="shared" si="2217"/>
        <v>0</v>
      </c>
      <c r="BP702" s="48">
        <f t="shared" si="2217"/>
        <v>0</v>
      </c>
      <c r="BQ702" s="48">
        <f t="shared" si="2217"/>
        <v>0</v>
      </c>
      <c r="BR702" s="36">
        <f t="shared" si="9"/>
        <v>0</v>
      </c>
      <c r="BS702" s="38">
        <f t="shared" si="10"/>
        <v>1</v>
      </c>
      <c r="BT702" s="49">
        <f t="shared" si="11"/>
        <v>0</v>
      </c>
      <c r="BU702" s="38">
        <f t="shared" si="12"/>
        <v>1000</v>
      </c>
      <c r="BV702" s="57" t="str">
        <f>IFERROR(__xludf.DUMMYFUNCTION("""COMPUTED_VALUE"""),"Glazer")</f>
        <v>Glazer</v>
      </c>
      <c r="BW702" s="46">
        <f t="shared" si="13"/>
        <v>100</v>
      </c>
      <c r="BX702" s="47">
        <f t="shared" ref="BX702:CA702" si="2218">AX702-$BU702</f>
        <v>-1000</v>
      </c>
      <c r="BY702" s="47">
        <f t="shared" si="2218"/>
        <v>-1000</v>
      </c>
      <c r="BZ702" s="47">
        <f t="shared" si="2218"/>
        <v>-1000</v>
      </c>
      <c r="CA702" s="47">
        <f t="shared" si="2218"/>
        <v>-1000</v>
      </c>
      <c r="CB702" s="47">
        <f t="shared" si="15"/>
        <v>-10000</v>
      </c>
      <c r="CC702" s="47">
        <f t="shared" ref="CC702:CQ702" si="2219">BC702-$BU702</f>
        <v>-1000</v>
      </c>
      <c r="CD702" s="47">
        <f t="shared" si="2219"/>
        <v>-1000</v>
      </c>
      <c r="CE702" s="47">
        <f t="shared" si="2219"/>
        <v>-1000</v>
      </c>
      <c r="CF702" s="47">
        <f t="shared" si="2219"/>
        <v>-1000</v>
      </c>
      <c r="CG702" s="47">
        <f t="shared" si="2219"/>
        <v>-1000</v>
      </c>
      <c r="CH702" s="47">
        <f t="shared" si="2219"/>
        <v>-900</v>
      </c>
      <c r="CI702" s="47">
        <f t="shared" si="2219"/>
        <v>-1000</v>
      </c>
      <c r="CJ702" s="47">
        <f t="shared" si="2219"/>
        <v>-1000</v>
      </c>
      <c r="CK702" s="47">
        <f t="shared" si="2219"/>
        <v>-1000</v>
      </c>
      <c r="CL702" s="47">
        <f t="shared" si="2219"/>
        <v>-1000</v>
      </c>
      <c r="CM702" s="47">
        <f t="shared" si="2219"/>
        <v>-1000</v>
      </c>
      <c r="CN702" s="47">
        <f t="shared" si="2219"/>
        <v>-1000</v>
      </c>
      <c r="CO702" s="47">
        <f t="shared" si="2219"/>
        <v>-1000</v>
      </c>
      <c r="CP702" s="47">
        <f t="shared" si="2219"/>
        <v>-1000</v>
      </c>
      <c r="CQ702" s="47">
        <f t="shared" si="2219"/>
        <v>-1000</v>
      </c>
      <c r="CR702" s="47"/>
      <c r="CS702" s="47"/>
      <c r="CT702" s="47"/>
      <c r="CU702" s="74"/>
      <c r="CV702" s="74"/>
      <c r="CW702" s="74" t="str">
        <f>IFERROR(__xludf.DUMMYFUNCTION("IF(REGEXMATCH(UPPER(CU702), ""DALLAS""),,CU702)"),"")</f>
        <v/>
      </c>
      <c r="CX702" s="74"/>
      <c r="CY702" s="74"/>
      <c r="CZ702" s="74"/>
      <c r="DA702" s="75"/>
      <c r="DB702" s="74"/>
      <c r="DC702" s="74"/>
      <c r="DD702" s="74"/>
      <c r="DE702" s="74"/>
      <c r="DF702" s="74"/>
      <c r="DG702" s="74"/>
      <c r="DH702" s="74"/>
      <c r="DI702" s="74"/>
      <c r="DJ702" s="74"/>
      <c r="DK702" s="74"/>
      <c r="DL702" s="74"/>
      <c r="DM702" s="74"/>
      <c r="DN702" s="74"/>
      <c r="DO702" s="74"/>
      <c r="DP702" s="74"/>
      <c r="DQ702" s="74"/>
      <c r="DR702" s="74"/>
      <c r="DS702" s="74"/>
      <c r="DT702" s="74"/>
      <c r="DU702" s="74"/>
      <c r="DV702" s="74"/>
      <c r="DW702" s="74"/>
    </row>
    <row r="703">
      <c r="A703" s="41" t="s">
        <v>64</v>
      </c>
      <c r="B703" s="41" t="s">
        <v>56</v>
      </c>
      <c r="C703" s="31" t="s">
        <v>1848</v>
      </c>
      <c r="D703" s="25" t="str">
        <f>IFERROR(__xludf.DUMMYFUNCTION("SPLIT(C703,"" "")"),"Griffith,")</f>
        <v>Griffith,</v>
      </c>
      <c r="E703" s="40" t="str">
        <f>IFERROR(__xludf.DUMMYFUNCTION("""COMPUTED_VALUE"""),"Gary
6875")</f>
        <v>Gary
6875</v>
      </c>
      <c r="F703" s="40" t="str">
        <f>IFERROR(__xludf.DUMMYFUNCTION("""COMPUTED_VALUE"""),"Carolyncrest")</f>
        <v>Carolyncrest</v>
      </c>
      <c r="G703" s="40" t="str">
        <f>IFERROR(__xludf.DUMMYFUNCTION("""COMPUTED_VALUE"""),"Dr
Dallas,")</f>
        <v>Dr
Dallas,</v>
      </c>
      <c r="H703" s="40" t="str">
        <f>IFERROR(__xludf.DUMMYFUNCTION("""COMPUTED_VALUE"""),"TX")</f>
        <v>TX</v>
      </c>
      <c r="I703" s="40">
        <f>IFERROR(__xludf.DUMMYFUNCTION("""COMPUTED_VALUE"""),75214.0)</f>
        <v>75214</v>
      </c>
      <c r="J703" s="40"/>
      <c r="K703" s="40"/>
      <c r="L703" s="40"/>
      <c r="M703" s="40"/>
      <c r="N703" s="40"/>
      <c r="O703" s="40"/>
      <c r="P703" s="40"/>
      <c r="Q703" s="40"/>
      <c r="R703" s="40"/>
      <c r="S703" s="40"/>
      <c r="T703" s="40"/>
      <c r="U703" s="24" t="str">
        <f>IFERROR(__xludf.DUMMYFUNCTION("SPLIT(E703,""01234567890"")"),"Gary
")</f>
        <v>Gary
</v>
      </c>
      <c r="V703" s="24" t="str">
        <f>IFERROR(__xludf.DUMMYFUNCTION("SPLIT(D703,"","")"),"Griffith")</f>
        <v>Griffith</v>
      </c>
      <c r="W703" s="25" t="str">
        <f t="shared" si="1"/>
        <v>GARY
 GRIFFITH</v>
      </c>
      <c r="X703" s="25" t="s">
        <v>1849</v>
      </c>
      <c r="Y703" s="25">
        <v>75214.0</v>
      </c>
      <c r="Z703" s="25" t="str">
        <f>IFERROR(__xludf.DUMMYFUNCTION("SPLIT(C703,""
"")"),"Griffith, Gary")</f>
        <v>Griffith, Gary</v>
      </c>
      <c r="AA703" s="25" t="str">
        <f>IFERROR(__xludf.DUMMYFUNCTION("""COMPUTED_VALUE"""),"6875 Carolyncrest Dr")</f>
        <v>6875 Carolyncrest Dr</v>
      </c>
      <c r="AB703" s="25" t="str">
        <f>IFERROR(__xludf.DUMMYFUNCTION("""COMPUTED_VALUE"""),"Dallas, TX 75214")</f>
        <v>Dallas, TX 75214</v>
      </c>
      <c r="AC703" s="24" t="s">
        <v>1850</v>
      </c>
      <c r="AD703" s="25"/>
      <c r="AE703" s="25"/>
      <c r="AF703" s="25"/>
      <c r="AG703" s="40" t="s">
        <v>60</v>
      </c>
      <c r="AH703" s="42">
        <v>2477.0</v>
      </c>
      <c r="AI703" s="40" t="s">
        <v>68</v>
      </c>
      <c r="AJ703" s="27">
        <v>100.0</v>
      </c>
      <c r="AK703" s="31" t="s">
        <v>26</v>
      </c>
      <c r="AL703" s="43">
        <v>44891.0</v>
      </c>
      <c r="AM703" s="44">
        <v>44940.42346064815</v>
      </c>
      <c r="AN703" s="30">
        <v>2.0</v>
      </c>
      <c r="AO703" s="40"/>
      <c r="AP703" s="40"/>
      <c r="AQ703" s="40"/>
      <c r="AR703" s="40"/>
      <c r="AS703" s="40"/>
      <c r="AT703" s="47"/>
      <c r="AU703" s="40"/>
      <c r="AV703" s="46" t="str">
        <f>IFERROR(__xludf.DUMMYFUNCTION("""COMPUTED_VALUE"""),"Suffness")</f>
        <v>Suffness</v>
      </c>
      <c r="AW703" s="46">
        <f t="shared" si="7"/>
        <v>50</v>
      </c>
      <c r="AX703" s="47">
        <f t="shared" ref="AX703:BQ703" si="2220">SUMIFS($AJ:$AJ,$V:$V,$AV703,$AK:$AK,AX$2)</f>
        <v>0</v>
      </c>
      <c r="AY703" s="48">
        <f t="shared" si="2220"/>
        <v>0</v>
      </c>
      <c r="AZ703" s="48">
        <f t="shared" si="2220"/>
        <v>0</v>
      </c>
      <c r="BA703" s="48">
        <f t="shared" si="2220"/>
        <v>0</v>
      </c>
      <c r="BB703" s="48">
        <f t="shared" si="2220"/>
        <v>0</v>
      </c>
      <c r="BC703" s="48">
        <f t="shared" si="2220"/>
        <v>0</v>
      </c>
      <c r="BD703" s="48">
        <f t="shared" si="2220"/>
        <v>0</v>
      </c>
      <c r="BE703" s="48">
        <f t="shared" si="2220"/>
        <v>0</v>
      </c>
      <c r="BF703" s="48">
        <f t="shared" si="2220"/>
        <v>0</v>
      </c>
      <c r="BG703" s="48">
        <f t="shared" si="2220"/>
        <v>0</v>
      </c>
      <c r="BH703" s="48">
        <f t="shared" si="2220"/>
        <v>50</v>
      </c>
      <c r="BI703" s="48">
        <f t="shared" si="2220"/>
        <v>0</v>
      </c>
      <c r="BJ703" s="48">
        <f t="shared" si="2220"/>
        <v>0</v>
      </c>
      <c r="BK703" s="48">
        <f t="shared" si="2220"/>
        <v>0</v>
      </c>
      <c r="BL703" s="48">
        <f t="shared" si="2220"/>
        <v>0</v>
      </c>
      <c r="BM703" s="48">
        <f t="shared" si="2220"/>
        <v>0</v>
      </c>
      <c r="BN703" s="48">
        <f t="shared" si="2220"/>
        <v>0</v>
      </c>
      <c r="BO703" s="48">
        <f t="shared" si="2220"/>
        <v>0</v>
      </c>
      <c r="BP703" s="48">
        <f t="shared" si="2220"/>
        <v>0</v>
      </c>
      <c r="BQ703" s="48">
        <f t="shared" si="2220"/>
        <v>0</v>
      </c>
      <c r="BR703" s="36">
        <f t="shared" si="9"/>
        <v>0</v>
      </c>
      <c r="BS703" s="38">
        <f t="shared" si="10"/>
        <v>1</v>
      </c>
      <c r="BT703" s="49">
        <f t="shared" si="11"/>
        <v>0</v>
      </c>
      <c r="BU703" s="38">
        <f t="shared" si="12"/>
        <v>1000</v>
      </c>
      <c r="BV703" s="46" t="str">
        <f>IFERROR(__xludf.DUMMYFUNCTION("""COMPUTED_VALUE"""),"Suffness")</f>
        <v>Suffness</v>
      </c>
      <c r="BW703" s="46">
        <f t="shared" si="13"/>
        <v>50</v>
      </c>
      <c r="BX703" s="47">
        <f t="shared" ref="BX703:CA703" si="2221">AX703-$BU703</f>
        <v>-1000</v>
      </c>
      <c r="BY703" s="47">
        <f t="shared" si="2221"/>
        <v>-1000</v>
      </c>
      <c r="BZ703" s="47">
        <f t="shared" si="2221"/>
        <v>-1000</v>
      </c>
      <c r="CA703" s="47">
        <f t="shared" si="2221"/>
        <v>-1000</v>
      </c>
      <c r="CB703" s="47">
        <f t="shared" si="15"/>
        <v>-10000</v>
      </c>
      <c r="CC703" s="47">
        <f t="shared" ref="CC703:CQ703" si="2222">BC703-$BU703</f>
        <v>-1000</v>
      </c>
      <c r="CD703" s="47">
        <f t="shared" si="2222"/>
        <v>-1000</v>
      </c>
      <c r="CE703" s="47">
        <f t="shared" si="2222"/>
        <v>-1000</v>
      </c>
      <c r="CF703" s="47">
        <f t="shared" si="2222"/>
        <v>-1000</v>
      </c>
      <c r="CG703" s="47">
        <f t="shared" si="2222"/>
        <v>-1000</v>
      </c>
      <c r="CH703" s="47">
        <f t="shared" si="2222"/>
        <v>-950</v>
      </c>
      <c r="CI703" s="47">
        <f t="shared" si="2222"/>
        <v>-1000</v>
      </c>
      <c r="CJ703" s="47">
        <f t="shared" si="2222"/>
        <v>-1000</v>
      </c>
      <c r="CK703" s="47">
        <f t="shared" si="2222"/>
        <v>-1000</v>
      </c>
      <c r="CL703" s="47">
        <f t="shared" si="2222"/>
        <v>-1000</v>
      </c>
      <c r="CM703" s="47">
        <f t="shared" si="2222"/>
        <v>-1000</v>
      </c>
      <c r="CN703" s="47">
        <f t="shared" si="2222"/>
        <v>-1000</v>
      </c>
      <c r="CO703" s="47">
        <f t="shared" si="2222"/>
        <v>-1000</v>
      </c>
      <c r="CP703" s="47">
        <f t="shared" si="2222"/>
        <v>-1000</v>
      </c>
      <c r="CQ703" s="47">
        <f t="shared" si="2222"/>
        <v>-1000</v>
      </c>
      <c r="CR703" s="47"/>
      <c r="CS703" s="47"/>
      <c r="CT703" s="47"/>
      <c r="CU703" s="74"/>
      <c r="CV703" s="74"/>
      <c r="CW703" s="74" t="str">
        <f>IFERROR(__xludf.DUMMYFUNCTION("IF(REGEXMATCH(UPPER(CU703), ""DALLAS""),,CU703)"),"")</f>
        <v/>
      </c>
      <c r="CX703" s="74"/>
      <c r="CY703" s="74"/>
      <c r="CZ703" s="74"/>
      <c r="DA703" s="75"/>
      <c r="DB703" s="74"/>
      <c r="DC703" s="74"/>
      <c r="DD703" s="74"/>
      <c r="DE703" s="74"/>
      <c r="DF703" s="74"/>
      <c r="DG703" s="74"/>
      <c r="DH703" s="74"/>
      <c r="DI703" s="74"/>
      <c r="DJ703" s="74"/>
      <c r="DK703" s="74"/>
      <c r="DL703" s="74"/>
      <c r="DM703" s="74"/>
      <c r="DN703" s="74"/>
      <c r="DO703" s="74"/>
      <c r="DP703" s="74"/>
      <c r="DQ703" s="74"/>
      <c r="DR703" s="74"/>
      <c r="DS703" s="74"/>
      <c r="DT703" s="74"/>
      <c r="DU703" s="74"/>
      <c r="DV703" s="74"/>
      <c r="DW703" s="74"/>
    </row>
    <row r="704">
      <c r="A704" s="23" t="s">
        <v>64</v>
      </c>
      <c r="B704" s="23" t="s">
        <v>56</v>
      </c>
      <c r="C704" s="31" t="s">
        <v>1851</v>
      </c>
      <c r="D704" s="25" t="str">
        <f>IFERROR(__xludf.DUMMYFUNCTION("SPLIT(C704,"" "")"),"Morgan,")</f>
        <v>Morgan,</v>
      </c>
      <c r="E704" s="22" t="str">
        <f>IFERROR(__xludf.DUMMYFUNCTION("""COMPUTED_VALUE"""),"Susan
9227")</f>
        <v>Susan
9227</v>
      </c>
      <c r="F704" s="22" t="str">
        <f>IFERROR(__xludf.DUMMYFUNCTION("""COMPUTED_VALUE"""),"Dove")</f>
        <v>Dove</v>
      </c>
      <c r="G704" s="22" t="str">
        <f>IFERROR(__xludf.DUMMYFUNCTION("""COMPUTED_VALUE"""),"Meadow
Dallas,")</f>
        <v>Meadow
Dallas,</v>
      </c>
      <c r="H704" s="22" t="str">
        <f>IFERROR(__xludf.DUMMYFUNCTION("""COMPUTED_VALUE"""),"TX")</f>
        <v>TX</v>
      </c>
      <c r="I704" s="22">
        <f>IFERROR(__xludf.DUMMYFUNCTION("""COMPUTED_VALUE"""),75243.0)</f>
        <v>75243</v>
      </c>
      <c r="J704" s="22"/>
      <c r="K704" s="22"/>
      <c r="L704" s="22"/>
      <c r="M704" s="22"/>
      <c r="N704" s="22"/>
      <c r="O704" s="22"/>
      <c r="P704" s="22"/>
      <c r="Q704" s="22"/>
      <c r="R704" s="22"/>
      <c r="S704" s="22"/>
      <c r="T704" s="22"/>
      <c r="U704" s="24" t="str">
        <f>IFERROR(__xludf.DUMMYFUNCTION("SPLIT(E704,""01234567890"")"),"Susan
")</f>
        <v>Susan
</v>
      </c>
      <c r="V704" s="24" t="str">
        <f>IFERROR(__xludf.DUMMYFUNCTION("SPLIT(D704,"","")"),"Morgan")</f>
        <v>Morgan</v>
      </c>
      <c r="W704" s="25" t="str">
        <f t="shared" si="1"/>
        <v>SUSAN
 MORGAN</v>
      </c>
      <c r="X704" s="25" t="s">
        <v>1852</v>
      </c>
      <c r="Y704" s="25">
        <v>75243.0</v>
      </c>
      <c r="Z704" s="25" t="str">
        <f>IFERROR(__xludf.DUMMYFUNCTION("SPLIT(C704,""
"")"),"Morgan, Susan")</f>
        <v>Morgan, Susan</v>
      </c>
      <c r="AA704" s="25" t="str">
        <f>IFERROR(__xludf.DUMMYFUNCTION("""COMPUTED_VALUE"""),"9227 Dove Meadow")</f>
        <v>9227 Dove Meadow</v>
      </c>
      <c r="AB704" s="25" t="str">
        <f>IFERROR(__xludf.DUMMYFUNCTION("""COMPUTED_VALUE"""),"Dallas, TX 75243")</f>
        <v>Dallas, TX 75243</v>
      </c>
      <c r="AC704" s="24" t="s">
        <v>1853</v>
      </c>
      <c r="AD704" s="25"/>
      <c r="AE704" s="25"/>
      <c r="AF704" s="25"/>
      <c r="AG704" s="22" t="s">
        <v>60</v>
      </c>
      <c r="AH704" s="54">
        <v>2477.0</v>
      </c>
      <c r="AI704" s="22" t="s">
        <v>68</v>
      </c>
      <c r="AJ704" s="27">
        <v>200.0</v>
      </c>
      <c r="AK704" s="31" t="s">
        <v>26</v>
      </c>
      <c r="AL704" s="28">
        <v>44891.0</v>
      </c>
      <c r="AM704" s="29">
        <v>44940.42346064815</v>
      </c>
      <c r="AN704" s="30">
        <v>2.0</v>
      </c>
      <c r="AO704" s="22"/>
      <c r="AP704" s="22"/>
      <c r="AQ704" s="22"/>
      <c r="AR704" s="22"/>
      <c r="AS704" s="22"/>
      <c r="AT704" s="70"/>
      <c r="AU704" s="22"/>
      <c r="AV704" s="57" t="str">
        <f>IFERROR(__xludf.DUMMYFUNCTION("""COMPUTED_VALUE"""),"Suttle")</f>
        <v>Suttle</v>
      </c>
      <c r="AW704" s="46">
        <f t="shared" si="7"/>
        <v>100</v>
      </c>
      <c r="AX704" s="47">
        <f t="shared" ref="AX704:BQ704" si="2223">SUMIFS($AJ:$AJ,$V:$V,$AV704,$AK:$AK,AX$2)</f>
        <v>0</v>
      </c>
      <c r="AY704" s="48">
        <f t="shared" si="2223"/>
        <v>0</v>
      </c>
      <c r="AZ704" s="48">
        <f t="shared" si="2223"/>
        <v>0</v>
      </c>
      <c r="BA704" s="48">
        <f t="shared" si="2223"/>
        <v>0</v>
      </c>
      <c r="BB704" s="48">
        <f t="shared" si="2223"/>
        <v>0</v>
      </c>
      <c r="BC704" s="48">
        <f t="shared" si="2223"/>
        <v>0</v>
      </c>
      <c r="BD704" s="48">
        <f t="shared" si="2223"/>
        <v>0</v>
      </c>
      <c r="BE704" s="48">
        <f t="shared" si="2223"/>
        <v>0</v>
      </c>
      <c r="BF704" s="48">
        <f t="shared" si="2223"/>
        <v>0</v>
      </c>
      <c r="BG704" s="48">
        <f t="shared" si="2223"/>
        <v>0</v>
      </c>
      <c r="BH704" s="48">
        <f t="shared" si="2223"/>
        <v>100</v>
      </c>
      <c r="BI704" s="48">
        <f t="shared" si="2223"/>
        <v>0</v>
      </c>
      <c r="BJ704" s="48">
        <f t="shared" si="2223"/>
        <v>0</v>
      </c>
      <c r="BK704" s="48">
        <f t="shared" si="2223"/>
        <v>0</v>
      </c>
      <c r="BL704" s="48">
        <f t="shared" si="2223"/>
        <v>0</v>
      </c>
      <c r="BM704" s="48">
        <f t="shared" si="2223"/>
        <v>0</v>
      </c>
      <c r="BN704" s="48">
        <f t="shared" si="2223"/>
        <v>0</v>
      </c>
      <c r="BO704" s="48">
        <f t="shared" si="2223"/>
        <v>0</v>
      </c>
      <c r="BP704" s="48">
        <f t="shared" si="2223"/>
        <v>0</v>
      </c>
      <c r="BQ704" s="48">
        <f t="shared" si="2223"/>
        <v>0</v>
      </c>
      <c r="BR704" s="36">
        <f t="shared" si="9"/>
        <v>0</v>
      </c>
      <c r="BS704" s="38">
        <f t="shared" si="10"/>
        <v>1</v>
      </c>
      <c r="BT704" s="49">
        <f t="shared" si="11"/>
        <v>0</v>
      </c>
      <c r="BU704" s="38">
        <f t="shared" si="12"/>
        <v>1000</v>
      </c>
      <c r="BV704" s="57" t="str">
        <f>IFERROR(__xludf.DUMMYFUNCTION("""COMPUTED_VALUE"""),"Suttle")</f>
        <v>Suttle</v>
      </c>
      <c r="BW704" s="46">
        <f t="shared" si="13"/>
        <v>100</v>
      </c>
      <c r="BX704" s="47">
        <f t="shared" ref="BX704:CA704" si="2224">AX704-$BU704</f>
        <v>-1000</v>
      </c>
      <c r="BY704" s="47">
        <f t="shared" si="2224"/>
        <v>-1000</v>
      </c>
      <c r="BZ704" s="47">
        <f t="shared" si="2224"/>
        <v>-1000</v>
      </c>
      <c r="CA704" s="47">
        <f t="shared" si="2224"/>
        <v>-1000</v>
      </c>
      <c r="CB704" s="47">
        <f t="shared" si="15"/>
        <v>-10000</v>
      </c>
      <c r="CC704" s="47">
        <f t="shared" ref="CC704:CQ704" si="2225">BC704-$BU704</f>
        <v>-1000</v>
      </c>
      <c r="CD704" s="47">
        <f t="shared" si="2225"/>
        <v>-1000</v>
      </c>
      <c r="CE704" s="47">
        <f t="shared" si="2225"/>
        <v>-1000</v>
      </c>
      <c r="CF704" s="47">
        <f t="shared" si="2225"/>
        <v>-1000</v>
      </c>
      <c r="CG704" s="47">
        <f t="shared" si="2225"/>
        <v>-1000</v>
      </c>
      <c r="CH704" s="47">
        <f t="shared" si="2225"/>
        <v>-900</v>
      </c>
      <c r="CI704" s="47">
        <f t="shared" si="2225"/>
        <v>-1000</v>
      </c>
      <c r="CJ704" s="47">
        <f t="shared" si="2225"/>
        <v>-1000</v>
      </c>
      <c r="CK704" s="47">
        <f t="shared" si="2225"/>
        <v>-1000</v>
      </c>
      <c r="CL704" s="47">
        <f t="shared" si="2225"/>
        <v>-1000</v>
      </c>
      <c r="CM704" s="47">
        <f t="shared" si="2225"/>
        <v>-1000</v>
      </c>
      <c r="CN704" s="47">
        <f t="shared" si="2225"/>
        <v>-1000</v>
      </c>
      <c r="CO704" s="47">
        <f t="shared" si="2225"/>
        <v>-1000</v>
      </c>
      <c r="CP704" s="47">
        <f t="shared" si="2225"/>
        <v>-1000</v>
      </c>
      <c r="CQ704" s="47">
        <f t="shared" si="2225"/>
        <v>-1000</v>
      </c>
      <c r="CR704" s="47"/>
      <c r="CS704" s="47"/>
      <c r="CT704" s="47"/>
      <c r="CU704" s="74"/>
      <c r="CV704" s="74"/>
      <c r="CW704" s="74" t="str">
        <f>IFERROR(__xludf.DUMMYFUNCTION("IF(REGEXMATCH(UPPER(CU704), ""DALLAS""),,CU704)"),"")</f>
        <v/>
      </c>
      <c r="CX704" s="74"/>
      <c r="CY704" s="74"/>
      <c r="CZ704" s="74"/>
      <c r="DA704" s="75"/>
      <c r="DB704" s="74"/>
      <c r="DC704" s="74"/>
      <c r="DD704" s="74"/>
      <c r="DE704" s="74"/>
      <c r="DF704" s="74"/>
      <c r="DG704" s="74"/>
      <c r="DH704" s="74"/>
      <c r="DI704" s="74"/>
      <c r="DJ704" s="74"/>
      <c r="DK704" s="74"/>
      <c r="DL704" s="74"/>
      <c r="DM704" s="74"/>
      <c r="DN704" s="74"/>
      <c r="DO704" s="74"/>
      <c r="DP704" s="74"/>
      <c r="DQ704" s="74"/>
      <c r="DR704" s="74"/>
      <c r="DS704" s="74"/>
      <c r="DT704" s="74"/>
      <c r="DU704" s="74"/>
      <c r="DV704" s="74"/>
      <c r="DW704" s="74"/>
    </row>
    <row r="705">
      <c r="A705" s="41" t="s">
        <v>64</v>
      </c>
      <c r="B705" s="41" t="s">
        <v>56</v>
      </c>
      <c r="C705" s="31" t="s">
        <v>1854</v>
      </c>
      <c r="D705" s="25" t="str">
        <f>IFERROR(__xludf.DUMMYFUNCTION("SPLIT(C705,"" "")"),"McIlwain,")</f>
        <v>McIlwain,</v>
      </c>
      <c r="E705" s="40" t="str">
        <f>IFERROR(__xludf.DUMMYFUNCTION("""COMPUTED_VALUE"""),"Mike
9109")</f>
        <v>Mike
9109</v>
      </c>
      <c r="F705" s="40" t="str">
        <f>IFERROR(__xludf.DUMMYFUNCTION("""COMPUTED_VALUE"""),"Clearhurst
Dallas,")</f>
        <v>Clearhurst
Dallas,</v>
      </c>
      <c r="G705" s="40" t="str">
        <f>IFERROR(__xludf.DUMMYFUNCTION("""COMPUTED_VALUE"""),"TX")</f>
        <v>TX</v>
      </c>
      <c r="H705" s="40">
        <f>IFERROR(__xludf.DUMMYFUNCTION("""COMPUTED_VALUE"""),75238.0)</f>
        <v>75238</v>
      </c>
      <c r="I705" s="40"/>
      <c r="J705" s="40"/>
      <c r="K705" s="40"/>
      <c r="L705" s="40"/>
      <c r="M705" s="40"/>
      <c r="N705" s="40"/>
      <c r="O705" s="40"/>
      <c r="P705" s="40"/>
      <c r="Q705" s="40"/>
      <c r="R705" s="40"/>
      <c r="S705" s="40"/>
      <c r="T705" s="40"/>
      <c r="U705" s="24" t="str">
        <f>IFERROR(__xludf.DUMMYFUNCTION("SPLIT(E705,""01234567890"")"),"Mike
")</f>
        <v>Mike
</v>
      </c>
      <c r="V705" s="24" t="str">
        <f>IFERROR(__xludf.DUMMYFUNCTION("SPLIT(D705,"","")"),"McIlwain")</f>
        <v>McIlwain</v>
      </c>
      <c r="W705" s="25" t="str">
        <f t="shared" si="1"/>
        <v>MIKE
 MCILWAIN</v>
      </c>
      <c r="X705" s="25" t="s">
        <v>1855</v>
      </c>
      <c r="Y705" s="25">
        <v>75238.0</v>
      </c>
      <c r="Z705" s="25" t="str">
        <f>IFERROR(__xludf.DUMMYFUNCTION("SPLIT(C705,""
"")"),"McIlwain, Mike")</f>
        <v>McIlwain, Mike</v>
      </c>
      <c r="AA705" s="25" t="str">
        <f>IFERROR(__xludf.DUMMYFUNCTION("""COMPUTED_VALUE"""),"9109 Clearhurst")</f>
        <v>9109 Clearhurst</v>
      </c>
      <c r="AB705" s="25" t="str">
        <f>IFERROR(__xludf.DUMMYFUNCTION("""COMPUTED_VALUE"""),"Dallas, TX 75238")</f>
        <v>Dallas, TX 75238</v>
      </c>
      <c r="AC705" s="24" t="s">
        <v>1856</v>
      </c>
      <c r="AD705" s="25"/>
      <c r="AE705" s="25"/>
      <c r="AF705" s="25"/>
      <c r="AG705" s="40" t="s">
        <v>60</v>
      </c>
      <c r="AH705" s="42">
        <v>2477.0</v>
      </c>
      <c r="AI705" s="40" t="s">
        <v>68</v>
      </c>
      <c r="AJ705" s="27">
        <v>50.0</v>
      </c>
      <c r="AK705" s="31" t="s">
        <v>26</v>
      </c>
      <c r="AL705" s="43">
        <v>44891.0</v>
      </c>
      <c r="AM705" s="44">
        <v>44940.42346064815</v>
      </c>
      <c r="AN705" s="30">
        <v>2.0</v>
      </c>
      <c r="AO705" s="40"/>
      <c r="AP705" s="40"/>
      <c r="AQ705" s="40"/>
      <c r="AR705" s="40"/>
      <c r="AS705" s="40"/>
      <c r="AT705" s="47"/>
      <c r="AU705" s="40"/>
      <c r="AV705" s="46" t="str">
        <f>IFERROR(__xludf.DUMMYFUNCTION("""COMPUTED_VALUE"""),"Marcum")</f>
        <v>Marcum</v>
      </c>
      <c r="AW705" s="46">
        <f t="shared" si="7"/>
        <v>50</v>
      </c>
      <c r="AX705" s="47">
        <f t="shared" ref="AX705:BQ705" si="2226">SUMIFS($AJ:$AJ,$V:$V,$AV705,$AK:$AK,AX$2)</f>
        <v>0</v>
      </c>
      <c r="AY705" s="48">
        <f t="shared" si="2226"/>
        <v>0</v>
      </c>
      <c r="AZ705" s="48">
        <f t="shared" si="2226"/>
        <v>0</v>
      </c>
      <c r="BA705" s="48">
        <f t="shared" si="2226"/>
        <v>0</v>
      </c>
      <c r="BB705" s="48">
        <f t="shared" si="2226"/>
        <v>0</v>
      </c>
      <c r="BC705" s="48">
        <f t="shared" si="2226"/>
        <v>0</v>
      </c>
      <c r="BD705" s="48">
        <f t="shared" si="2226"/>
        <v>0</v>
      </c>
      <c r="BE705" s="48">
        <f t="shared" si="2226"/>
        <v>0</v>
      </c>
      <c r="BF705" s="48">
        <f t="shared" si="2226"/>
        <v>0</v>
      </c>
      <c r="BG705" s="48">
        <f t="shared" si="2226"/>
        <v>0</v>
      </c>
      <c r="BH705" s="48">
        <f t="shared" si="2226"/>
        <v>50</v>
      </c>
      <c r="BI705" s="48">
        <f t="shared" si="2226"/>
        <v>0</v>
      </c>
      <c r="BJ705" s="48">
        <f t="shared" si="2226"/>
        <v>0</v>
      </c>
      <c r="BK705" s="48">
        <f t="shared" si="2226"/>
        <v>0</v>
      </c>
      <c r="BL705" s="48">
        <f t="shared" si="2226"/>
        <v>0</v>
      </c>
      <c r="BM705" s="48">
        <f t="shared" si="2226"/>
        <v>0</v>
      </c>
      <c r="BN705" s="48">
        <f t="shared" si="2226"/>
        <v>0</v>
      </c>
      <c r="BO705" s="48">
        <f t="shared" si="2226"/>
        <v>0</v>
      </c>
      <c r="BP705" s="48">
        <f t="shared" si="2226"/>
        <v>0</v>
      </c>
      <c r="BQ705" s="48">
        <f t="shared" si="2226"/>
        <v>0</v>
      </c>
      <c r="BR705" s="36">
        <f t="shared" si="9"/>
        <v>0</v>
      </c>
      <c r="BS705" s="38">
        <f t="shared" si="10"/>
        <v>1</v>
      </c>
      <c r="BT705" s="49">
        <f t="shared" si="11"/>
        <v>0</v>
      </c>
      <c r="BU705" s="38">
        <f t="shared" si="12"/>
        <v>1000</v>
      </c>
      <c r="BV705" s="46" t="str">
        <f>IFERROR(__xludf.DUMMYFUNCTION("""COMPUTED_VALUE"""),"Marcum")</f>
        <v>Marcum</v>
      </c>
      <c r="BW705" s="46">
        <f t="shared" si="13"/>
        <v>50</v>
      </c>
      <c r="BX705" s="47">
        <f t="shared" ref="BX705:CA705" si="2227">AX705-$BU705</f>
        <v>-1000</v>
      </c>
      <c r="BY705" s="47">
        <f t="shared" si="2227"/>
        <v>-1000</v>
      </c>
      <c r="BZ705" s="47">
        <f t="shared" si="2227"/>
        <v>-1000</v>
      </c>
      <c r="CA705" s="47">
        <f t="shared" si="2227"/>
        <v>-1000</v>
      </c>
      <c r="CB705" s="47">
        <f t="shared" si="15"/>
        <v>-10000</v>
      </c>
      <c r="CC705" s="47">
        <f t="shared" ref="CC705:CQ705" si="2228">BC705-$BU705</f>
        <v>-1000</v>
      </c>
      <c r="CD705" s="47">
        <f t="shared" si="2228"/>
        <v>-1000</v>
      </c>
      <c r="CE705" s="47">
        <f t="shared" si="2228"/>
        <v>-1000</v>
      </c>
      <c r="CF705" s="47">
        <f t="shared" si="2228"/>
        <v>-1000</v>
      </c>
      <c r="CG705" s="47">
        <f t="shared" si="2228"/>
        <v>-1000</v>
      </c>
      <c r="CH705" s="47">
        <f t="shared" si="2228"/>
        <v>-950</v>
      </c>
      <c r="CI705" s="47">
        <f t="shared" si="2228"/>
        <v>-1000</v>
      </c>
      <c r="CJ705" s="47">
        <f t="shared" si="2228"/>
        <v>-1000</v>
      </c>
      <c r="CK705" s="47">
        <f t="shared" si="2228"/>
        <v>-1000</v>
      </c>
      <c r="CL705" s="47">
        <f t="shared" si="2228"/>
        <v>-1000</v>
      </c>
      <c r="CM705" s="47">
        <f t="shared" si="2228"/>
        <v>-1000</v>
      </c>
      <c r="CN705" s="47">
        <f t="shared" si="2228"/>
        <v>-1000</v>
      </c>
      <c r="CO705" s="47">
        <f t="shared" si="2228"/>
        <v>-1000</v>
      </c>
      <c r="CP705" s="47">
        <f t="shared" si="2228"/>
        <v>-1000</v>
      </c>
      <c r="CQ705" s="47">
        <f t="shared" si="2228"/>
        <v>-1000</v>
      </c>
      <c r="CR705" s="47"/>
      <c r="CS705" s="47"/>
      <c r="CT705" s="47"/>
      <c r="CU705" s="74"/>
      <c r="CV705" s="74"/>
      <c r="CW705" s="74" t="str">
        <f>IFERROR(__xludf.DUMMYFUNCTION("IF(REGEXMATCH(UPPER(CU705), ""DALLAS""),,CU705)"),"")</f>
        <v/>
      </c>
      <c r="CX705" s="74"/>
      <c r="CY705" s="74"/>
      <c r="CZ705" s="74"/>
      <c r="DA705" s="75"/>
      <c r="DB705" s="74"/>
      <c r="DC705" s="74"/>
      <c r="DD705" s="74"/>
      <c r="DE705" s="74"/>
      <c r="DF705" s="74"/>
      <c r="DG705" s="74"/>
      <c r="DH705" s="74"/>
      <c r="DI705" s="74"/>
      <c r="DJ705" s="74"/>
      <c r="DK705" s="74"/>
      <c r="DL705" s="74"/>
      <c r="DM705" s="74"/>
      <c r="DN705" s="74"/>
      <c r="DO705" s="74"/>
      <c r="DP705" s="74"/>
      <c r="DQ705" s="74"/>
      <c r="DR705" s="74"/>
      <c r="DS705" s="74"/>
      <c r="DT705" s="74"/>
      <c r="DU705" s="74"/>
      <c r="DV705" s="74"/>
      <c r="DW705" s="74"/>
    </row>
    <row r="706">
      <c r="A706" s="23" t="s">
        <v>64</v>
      </c>
      <c r="B706" s="23" t="s">
        <v>56</v>
      </c>
      <c r="C706" s="31" t="s">
        <v>1857</v>
      </c>
      <c r="D706" s="25" t="str">
        <f>IFERROR(__xludf.DUMMYFUNCTION("SPLIT(C706,"" "")"),"McIlwain,")</f>
        <v>McIlwain,</v>
      </c>
      <c r="E706" s="22" t="str">
        <f>IFERROR(__xludf.DUMMYFUNCTION("""COMPUTED_VALUE"""),"Judy
9109")</f>
        <v>Judy
9109</v>
      </c>
      <c r="F706" s="22" t="str">
        <f>IFERROR(__xludf.DUMMYFUNCTION("""COMPUTED_VALUE"""),"Clearhurst
Dallas,")</f>
        <v>Clearhurst
Dallas,</v>
      </c>
      <c r="G706" s="22" t="str">
        <f>IFERROR(__xludf.DUMMYFUNCTION("""COMPUTED_VALUE"""),"TX")</f>
        <v>TX</v>
      </c>
      <c r="H706" s="22">
        <f>IFERROR(__xludf.DUMMYFUNCTION("""COMPUTED_VALUE"""),75238.0)</f>
        <v>75238</v>
      </c>
      <c r="I706" s="22"/>
      <c r="J706" s="22"/>
      <c r="K706" s="22"/>
      <c r="L706" s="22"/>
      <c r="M706" s="22"/>
      <c r="N706" s="22"/>
      <c r="O706" s="22"/>
      <c r="P706" s="22"/>
      <c r="Q706" s="22"/>
      <c r="R706" s="22"/>
      <c r="S706" s="22"/>
      <c r="T706" s="22"/>
      <c r="U706" s="24" t="str">
        <f>IFERROR(__xludf.DUMMYFUNCTION("SPLIT(E706,""01234567890"")"),"Judy
")</f>
        <v>Judy
</v>
      </c>
      <c r="V706" s="24" t="str">
        <f>IFERROR(__xludf.DUMMYFUNCTION("SPLIT(D706,"","")"),"McIlwain")</f>
        <v>McIlwain</v>
      </c>
      <c r="W706" s="25" t="str">
        <f t="shared" si="1"/>
        <v>JUDY
 MCILWAIN</v>
      </c>
      <c r="X706" s="25" t="s">
        <v>1855</v>
      </c>
      <c r="Y706" s="25">
        <v>75238.0</v>
      </c>
      <c r="Z706" s="25" t="str">
        <f>IFERROR(__xludf.DUMMYFUNCTION("SPLIT(C706,""
"")"),"McIlwain, Judy")</f>
        <v>McIlwain, Judy</v>
      </c>
      <c r="AA706" s="25" t="str">
        <f>IFERROR(__xludf.DUMMYFUNCTION("""COMPUTED_VALUE"""),"9109 Clearhurst")</f>
        <v>9109 Clearhurst</v>
      </c>
      <c r="AB706" s="25" t="str">
        <f>IFERROR(__xludf.DUMMYFUNCTION("""COMPUTED_VALUE"""),"Dallas, TX 75238")</f>
        <v>Dallas, TX 75238</v>
      </c>
      <c r="AC706" s="24" t="s">
        <v>1858</v>
      </c>
      <c r="AD706" s="25"/>
      <c r="AE706" s="25"/>
      <c r="AF706" s="25"/>
      <c r="AG706" s="22" t="s">
        <v>60</v>
      </c>
      <c r="AH706" s="54">
        <v>2477.0</v>
      </c>
      <c r="AI706" s="22" t="s">
        <v>68</v>
      </c>
      <c r="AJ706" s="27">
        <v>50.0</v>
      </c>
      <c r="AK706" s="31" t="s">
        <v>26</v>
      </c>
      <c r="AL706" s="28">
        <v>44891.0</v>
      </c>
      <c r="AM706" s="29">
        <v>44940.42346064815</v>
      </c>
      <c r="AN706" s="30">
        <v>2.0</v>
      </c>
      <c r="AO706" s="22"/>
      <c r="AP706" s="22"/>
      <c r="AQ706" s="22"/>
      <c r="AR706" s="22"/>
      <c r="AS706" s="22"/>
      <c r="AT706" s="70"/>
      <c r="AU706" s="22"/>
      <c r="AV706" s="57" t="str">
        <f>IFERROR(__xludf.DUMMYFUNCTION("""COMPUTED_VALUE"""),"Steinberg")</f>
        <v>Steinberg</v>
      </c>
      <c r="AW706" s="46">
        <f t="shared" si="7"/>
        <v>25</v>
      </c>
      <c r="AX706" s="47">
        <f t="shared" ref="AX706:BQ706" si="2229">SUMIFS($AJ:$AJ,$V:$V,$AV706,$AK:$AK,AX$2)</f>
        <v>0</v>
      </c>
      <c r="AY706" s="48">
        <f t="shared" si="2229"/>
        <v>0</v>
      </c>
      <c r="AZ706" s="48">
        <f t="shared" si="2229"/>
        <v>0</v>
      </c>
      <c r="BA706" s="48">
        <f t="shared" si="2229"/>
        <v>0</v>
      </c>
      <c r="BB706" s="48">
        <f t="shared" si="2229"/>
        <v>0</v>
      </c>
      <c r="BC706" s="48">
        <f t="shared" si="2229"/>
        <v>0</v>
      </c>
      <c r="BD706" s="48">
        <f t="shared" si="2229"/>
        <v>0</v>
      </c>
      <c r="BE706" s="48">
        <f t="shared" si="2229"/>
        <v>0</v>
      </c>
      <c r="BF706" s="48">
        <f t="shared" si="2229"/>
        <v>0</v>
      </c>
      <c r="BG706" s="48">
        <f t="shared" si="2229"/>
        <v>0</v>
      </c>
      <c r="BH706" s="48">
        <f t="shared" si="2229"/>
        <v>25</v>
      </c>
      <c r="BI706" s="48">
        <f t="shared" si="2229"/>
        <v>0</v>
      </c>
      <c r="BJ706" s="48">
        <f t="shared" si="2229"/>
        <v>0</v>
      </c>
      <c r="BK706" s="48">
        <f t="shared" si="2229"/>
        <v>0</v>
      </c>
      <c r="BL706" s="48">
        <f t="shared" si="2229"/>
        <v>0</v>
      </c>
      <c r="BM706" s="48">
        <f t="shared" si="2229"/>
        <v>0</v>
      </c>
      <c r="BN706" s="48">
        <f t="shared" si="2229"/>
        <v>0</v>
      </c>
      <c r="BO706" s="48">
        <f t="shared" si="2229"/>
        <v>0</v>
      </c>
      <c r="BP706" s="48">
        <f t="shared" si="2229"/>
        <v>0</v>
      </c>
      <c r="BQ706" s="48">
        <f t="shared" si="2229"/>
        <v>0</v>
      </c>
      <c r="BR706" s="36">
        <f t="shared" si="9"/>
        <v>0</v>
      </c>
      <c r="BS706" s="38">
        <f t="shared" si="10"/>
        <v>1</v>
      </c>
      <c r="BT706" s="49">
        <f t="shared" si="11"/>
        <v>0</v>
      </c>
      <c r="BU706" s="38">
        <f t="shared" si="12"/>
        <v>1000</v>
      </c>
      <c r="BV706" s="57" t="str">
        <f>IFERROR(__xludf.DUMMYFUNCTION("""COMPUTED_VALUE"""),"Steinberg")</f>
        <v>Steinberg</v>
      </c>
      <c r="BW706" s="46">
        <f t="shared" si="13"/>
        <v>25</v>
      </c>
      <c r="BX706" s="47">
        <f t="shared" ref="BX706:CA706" si="2230">AX706-$BU706</f>
        <v>-1000</v>
      </c>
      <c r="BY706" s="47">
        <f t="shared" si="2230"/>
        <v>-1000</v>
      </c>
      <c r="BZ706" s="47">
        <f t="shared" si="2230"/>
        <v>-1000</v>
      </c>
      <c r="CA706" s="47">
        <f t="shared" si="2230"/>
        <v>-1000</v>
      </c>
      <c r="CB706" s="47">
        <f t="shared" si="15"/>
        <v>-10000</v>
      </c>
      <c r="CC706" s="47">
        <f t="shared" ref="CC706:CQ706" si="2231">BC706-$BU706</f>
        <v>-1000</v>
      </c>
      <c r="CD706" s="47">
        <f t="shared" si="2231"/>
        <v>-1000</v>
      </c>
      <c r="CE706" s="47">
        <f t="shared" si="2231"/>
        <v>-1000</v>
      </c>
      <c r="CF706" s="47">
        <f t="shared" si="2231"/>
        <v>-1000</v>
      </c>
      <c r="CG706" s="47">
        <f t="shared" si="2231"/>
        <v>-1000</v>
      </c>
      <c r="CH706" s="47">
        <f t="shared" si="2231"/>
        <v>-975</v>
      </c>
      <c r="CI706" s="47">
        <f t="shared" si="2231"/>
        <v>-1000</v>
      </c>
      <c r="CJ706" s="47">
        <f t="shared" si="2231"/>
        <v>-1000</v>
      </c>
      <c r="CK706" s="47">
        <f t="shared" si="2231"/>
        <v>-1000</v>
      </c>
      <c r="CL706" s="47">
        <f t="shared" si="2231"/>
        <v>-1000</v>
      </c>
      <c r="CM706" s="47">
        <f t="shared" si="2231"/>
        <v>-1000</v>
      </c>
      <c r="CN706" s="47">
        <f t="shared" si="2231"/>
        <v>-1000</v>
      </c>
      <c r="CO706" s="47">
        <f t="shared" si="2231"/>
        <v>-1000</v>
      </c>
      <c r="CP706" s="47">
        <f t="shared" si="2231"/>
        <v>-1000</v>
      </c>
      <c r="CQ706" s="47">
        <f t="shared" si="2231"/>
        <v>-1000</v>
      </c>
      <c r="CR706" s="47"/>
      <c r="CS706" s="47"/>
      <c r="CT706" s="47"/>
      <c r="CU706" s="74"/>
      <c r="CV706" s="74"/>
      <c r="CW706" s="74" t="str">
        <f>IFERROR(__xludf.DUMMYFUNCTION("IF(REGEXMATCH(UPPER(CU706), ""DALLAS""),,CU706)"),"")</f>
        <v/>
      </c>
      <c r="CX706" s="74"/>
      <c r="CY706" s="74"/>
      <c r="CZ706" s="74"/>
      <c r="DA706" s="75"/>
      <c r="DB706" s="74"/>
      <c r="DC706" s="74"/>
      <c r="DD706" s="74"/>
      <c r="DE706" s="74"/>
      <c r="DF706" s="74"/>
      <c r="DG706" s="74"/>
      <c r="DH706" s="74"/>
      <c r="DI706" s="74"/>
      <c r="DJ706" s="74"/>
      <c r="DK706" s="74"/>
      <c r="DL706" s="74"/>
      <c r="DM706" s="74"/>
      <c r="DN706" s="74"/>
      <c r="DO706" s="74"/>
      <c r="DP706" s="74"/>
      <c r="DQ706" s="74"/>
      <c r="DR706" s="74"/>
      <c r="DS706" s="74"/>
      <c r="DT706" s="74"/>
      <c r="DU706" s="74"/>
      <c r="DV706" s="74"/>
      <c r="DW706" s="74"/>
    </row>
    <row r="707">
      <c r="A707" s="41" t="s">
        <v>64</v>
      </c>
      <c r="B707" s="41" t="s">
        <v>56</v>
      </c>
      <c r="C707" s="31" t="s">
        <v>1859</v>
      </c>
      <c r="D707" s="25" t="str">
        <f>IFERROR(__xludf.DUMMYFUNCTION("SPLIT(C707,"" "")"),"Harris,")</f>
        <v>Harris,</v>
      </c>
      <c r="E707" s="40" t="str">
        <f>IFERROR(__xludf.DUMMYFUNCTION("""COMPUTED_VALUE"""),"Tom
10011")</f>
        <v>Tom
10011</v>
      </c>
      <c r="F707" s="40" t="str">
        <f>IFERROR(__xludf.DUMMYFUNCTION("""COMPUTED_VALUE"""),"Caribou")</f>
        <v>Caribou</v>
      </c>
      <c r="G707" s="40" t="str">
        <f>IFERROR(__xludf.DUMMYFUNCTION("""COMPUTED_VALUE"""),"Trail
Dallas,")</f>
        <v>Trail
Dallas,</v>
      </c>
      <c r="H707" s="40" t="str">
        <f>IFERROR(__xludf.DUMMYFUNCTION("""COMPUTED_VALUE"""),"TX")</f>
        <v>TX</v>
      </c>
      <c r="I707" s="40">
        <f>IFERROR(__xludf.DUMMYFUNCTION("""COMPUTED_VALUE"""),75238.0)</f>
        <v>75238</v>
      </c>
      <c r="J707" s="40"/>
      <c r="K707" s="40"/>
      <c r="L707" s="40"/>
      <c r="M707" s="40"/>
      <c r="N707" s="40"/>
      <c r="O707" s="40"/>
      <c r="P707" s="40"/>
      <c r="Q707" s="40"/>
      <c r="R707" s="40"/>
      <c r="S707" s="40"/>
      <c r="T707" s="40"/>
      <c r="U707" s="24" t="str">
        <f>IFERROR(__xludf.DUMMYFUNCTION("SPLIT(E707,""01234567890"")"),"Tom
")</f>
        <v>Tom
</v>
      </c>
      <c r="V707" s="24" t="str">
        <f>IFERROR(__xludf.DUMMYFUNCTION("SPLIT(D707,"","")"),"Harris")</f>
        <v>Harris</v>
      </c>
      <c r="W707" s="25" t="str">
        <f t="shared" si="1"/>
        <v>TOM
 HARRIS</v>
      </c>
      <c r="X707" s="25" t="s">
        <v>1860</v>
      </c>
      <c r="Y707" s="25">
        <v>75238.0</v>
      </c>
      <c r="Z707" s="25" t="str">
        <f>IFERROR(__xludf.DUMMYFUNCTION("SPLIT(C707,""
"")"),"Harris, Tom")</f>
        <v>Harris, Tom</v>
      </c>
      <c r="AA707" s="25" t="str">
        <f>IFERROR(__xludf.DUMMYFUNCTION("""COMPUTED_VALUE"""),"10011 Caribou Trail")</f>
        <v>10011 Caribou Trail</v>
      </c>
      <c r="AB707" s="25" t="str">
        <f>IFERROR(__xludf.DUMMYFUNCTION("""COMPUTED_VALUE"""),"Dallas, TX 75238")</f>
        <v>Dallas, TX 75238</v>
      </c>
      <c r="AC707" s="24" t="s">
        <v>1861</v>
      </c>
      <c r="AD707" s="25"/>
      <c r="AE707" s="25"/>
      <c r="AF707" s="25"/>
      <c r="AG707" s="40" t="s">
        <v>60</v>
      </c>
      <c r="AH707" s="42">
        <v>2477.0</v>
      </c>
      <c r="AI707" s="40" t="s">
        <v>68</v>
      </c>
      <c r="AJ707" s="27">
        <v>125.0</v>
      </c>
      <c r="AK707" s="31" t="s">
        <v>26</v>
      </c>
      <c r="AL707" s="43">
        <v>44893.0</v>
      </c>
      <c r="AM707" s="44">
        <v>44940.42346064815</v>
      </c>
      <c r="AN707" s="30">
        <v>2.0</v>
      </c>
      <c r="AO707" s="40"/>
      <c r="AP707" s="40"/>
      <c r="AQ707" s="40"/>
      <c r="AR707" s="40"/>
      <c r="AS707" s="40"/>
      <c r="AT707" s="47"/>
      <c r="AU707" s="40"/>
      <c r="AV707" s="46" t="str">
        <f>IFERROR(__xludf.DUMMYFUNCTION("""COMPUTED_VALUE"""),"Friedman")</f>
        <v>Friedman</v>
      </c>
      <c r="AW707" s="46">
        <f t="shared" si="7"/>
        <v>1015</v>
      </c>
      <c r="AX707" s="47">
        <f t="shared" ref="AX707:BQ707" si="2232">SUMIFS($AJ:$AJ,$V:$V,$AV707,$AK:$AK,AX$2)</f>
        <v>0</v>
      </c>
      <c r="AY707" s="48">
        <f t="shared" si="2232"/>
        <v>0</v>
      </c>
      <c r="AZ707" s="48">
        <f t="shared" si="2232"/>
        <v>0</v>
      </c>
      <c r="BA707" s="48">
        <f t="shared" si="2232"/>
        <v>0</v>
      </c>
      <c r="BB707" s="48">
        <f t="shared" si="2232"/>
        <v>0</v>
      </c>
      <c r="BC707" s="48">
        <f t="shared" si="2232"/>
        <v>0</v>
      </c>
      <c r="BD707" s="48">
        <f t="shared" si="2232"/>
        <v>0</v>
      </c>
      <c r="BE707" s="48">
        <f t="shared" si="2232"/>
        <v>0</v>
      </c>
      <c r="BF707" s="48">
        <f t="shared" si="2232"/>
        <v>0</v>
      </c>
      <c r="BG707" s="48">
        <f t="shared" si="2232"/>
        <v>0</v>
      </c>
      <c r="BH707" s="48">
        <f t="shared" si="2232"/>
        <v>15</v>
      </c>
      <c r="BI707" s="48">
        <f t="shared" si="2232"/>
        <v>0</v>
      </c>
      <c r="BJ707" s="48">
        <f t="shared" si="2232"/>
        <v>0</v>
      </c>
      <c r="BK707" s="48">
        <f t="shared" si="2232"/>
        <v>1000</v>
      </c>
      <c r="BL707" s="48">
        <f t="shared" si="2232"/>
        <v>0</v>
      </c>
      <c r="BM707" s="48">
        <f t="shared" si="2232"/>
        <v>0</v>
      </c>
      <c r="BN707" s="48">
        <f t="shared" si="2232"/>
        <v>0</v>
      </c>
      <c r="BO707" s="48">
        <f t="shared" si="2232"/>
        <v>0</v>
      </c>
      <c r="BP707" s="48">
        <f t="shared" si="2232"/>
        <v>0</v>
      </c>
      <c r="BQ707" s="48">
        <f t="shared" si="2232"/>
        <v>0</v>
      </c>
      <c r="BR707" s="36">
        <f t="shared" si="9"/>
        <v>1</v>
      </c>
      <c r="BS707" s="38">
        <f t="shared" si="10"/>
        <v>2</v>
      </c>
      <c r="BT707" s="49">
        <f t="shared" si="11"/>
        <v>0</v>
      </c>
      <c r="BU707" s="38">
        <f t="shared" si="12"/>
        <v>2000</v>
      </c>
      <c r="BV707" s="46" t="str">
        <f>IFERROR(__xludf.DUMMYFUNCTION("""COMPUTED_VALUE"""),"Friedman")</f>
        <v>Friedman</v>
      </c>
      <c r="BW707" s="46">
        <f t="shared" si="13"/>
        <v>1015</v>
      </c>
      <c r="BX707" s="47">
        <f t="shared" ref="BX707:CA707" si="2233">AX707-$BU707</f>
        <v>-2000</v>
      </c>
      <c r="BY707" s="47">
        <f t="shared" si="2233"/>
        <v>-2000</v>
      </c>
      <c r="BZ707" s="47">
        <f t="shared" si="2233"/>
        <v>-2000</v>
      </c>
      <c r="CA707" s="47">
        <f t="shared" si="2233"/>
        <v>-2000</v>
      </c>
      <c r="CB707" s="47">
        <f t="shared" si="15"/>
        <v>-20000</v>
      </c>
      <c r="CC707" s="47">
        <f t="shared" ref="CC707:CQ707" si="2234">BC707-$BU707</f>
        <v>-2000</v>
      </c>
      <c r="CD707" s="47">
        <f t="shared" si="2234"/>
        <v>-2000</v>
      </c>
      <c r="CE707" s="47">
        <f t="shared" si="2234"/>
        <v>-2000</v>
      </c>
      <c r="CF707" s="47">
        <f t="shared" si="2234"/>
        <v>-2000</v>
      </c>
      <c r="CG707" s="47">
        <f t="shared" si="2234"/>
        <v>-2000</v>
      </c>
      <c r="CH707" s="47">
        <f t="shared" si="2234"/>
        <v>-1985</v>
      </c>
      <c r="CI707" s="47">
        <f t="shared" si="2234"/>
        <v>-2000</v>
      </c>
      <c r="CJ707" s="47">
        <f t="shared" si="2234"/>
        <v>-2000</v>
      </c>
      <c r="CK707" s="47">
        <f t="shared" si="2234"/>
        <v>-1000</v>
      </c>
      <c r="CL707" s="47">
        <f t="shared" si="2234"/>
        <v>-2000</v>
      </c>
      <c r="CM707" s="47">
        <f t="shared" si="2234"/>
        <v>-2000</v>
      </c>
      <c r="CN707" s="47">
        <f t="shared" si="2234"/>
        <v>-2000</v>
      </c>
      <c r="CO707" s="47">
        <f t="shared" si="2234"/>
        <v>-2000</v>
      </c>
      <c r="CP707" s="47">
        <f t="shared" si="2234"/>
        <v>-2000</v>
      </c>
      <c r="CQ707" s="47">
        <f t="shared" si="2234"/>
        <v>-2000</v>
      </c>
      <c r="CR707" s="47"/>
      <c r="CS707" s="47"/>
      <c r="CT707" s="47"/>
      <c r="CU707" s="74"/>
      <c r="CV707" s="74"/>
      <c r="CW707" s="74" t="str">
        <f>IFERROR(__xludf.DUMMYFUNCTION("IF(REGEXMATCH(UPPER(CU707), ""DALLAS""),,CU707)"),"")</f>
        <v/>
      </c>
      <c r="CX707" s="74"/>
      <c r="CY707" s="74"/>
      <c r="CZ707" s="74"/>
      <c r="DA707" s="75"/>
      <c r="DB707" s="74"/>
      <c r="DC707" s="74"/>
      <c r="DD707" s="74"/>
      <c r="DE707" s="74"/>
      <c r="DF707" s="74"/>
      <c r="DG707" s="74"/>
      <c r="DH707" s="74"/>
      <c r="DI707" s="74"/>
      <c r="DJ707" s="74"/>
      <c r="DK707" s="74"/>
      <c r="DL707" s="74"/>
      <c r="DM707" s="74"/>
      <c r="DN707" s="74"/>
      <c r="DO707" s="74"/>
      <c r="DP707" s="74"/>
      <c r="DQ707" s="74"/>
      <c r="DR707" s="74"/>
      <c r="DS707" s="74"/>
      <c r="DT707" s="74"/>
      <c r="DU707" s="74"/>
      <c r="DV707" s="74"/>
      <c r="DW707" s="74"/>
    </row>
    <row r="708">
      <c r="A708" s="23" t="s">
        <v>64</v>
      </c>
      <c r="B708" s="23" t="s">
        <v>56</v>
      </c>
      <c r="C708" s="31" t="s">
        <v>1862</v>
      </c>
      <c r="D708" s="25" t="str">
        <f>IFERROR(__xludf.DUMMYFUNCTION("SPLIT(C708,"" "")"),"Harris,")</f>
        <v>Harris,</v>
      </c>
      <c r="E708" s="22" t="str">
        <f>IFERROR(__xludf.DUMMYFUNCTION("""COMPUTED_VALUE"""),"Michelle
10011")</f>
        <v>Michelle
10011</v>
      </c>
      <c r="F708" s="22" t="str">
        <f>IFERROR(__xludf.DUMMYFUNCTION("""COMPUTED_VALUE"""),"Caribou")</f>
        <v>Caribou</v>
      </c>
      <c r="G708" s="22" t="str">
        <f>IFERROR(__xludf.DUMMYFUNCTION("""COMPUTED_VALUE"""),"Trail
Dallas,")</f>
        <v>Trail
Dallas,</v>
      </c>
      <c r="H708" s="22" t="str">
        <f>IFERROR(__xludf.DUMMYFUNCTION("""COMPUTED_VALUE"""),"TX")</f>
        <v>TX</v>
      </c>
      <c r="I708" s="22">
        <f>IFERROR(__xludf.DUMMYFUNCTION("""COMPUTED_VALUE"""),75238.0)</f>
        <v>75238</v>
      </c>
      <c r="J708" s="22"/>
      <c r="K708" s="22"/>
      <c r="L708" s="22"/>
      <c r="M708" s="22"/>
      <c r="N708" s="22"/>
      <c r="O708" s="22"/>
      <c r="P708" s="22"/>
      <c r="Q708" s="22"/>
      <c r="R708" s="22"/>
      <c r="S708" s="22"/>
      <c r="T708" s="22"/>
      <c r="U708" s="24" t="str">
        <f>IFERROR(__xludf.DUMMYFUNCTION("SPLIT(E708,""01234567890"")"),"Michelle
")</f>
        <v>Michelle
</v>
      </c>
      <c r="V708" s="24" t="str">
        <f>IFERROR(__xludf.DUMMYFUNCTION("SPLIT(D708,"","")"),"Harris")</f>
        <v>Harris</v>
      </c>
      <c r="W708" s="25" t="str">
        <f t="shared" si="1"/>
        <v>MICHELLE
 HARRIS</v>
      </c>
      <c r="X708" s="25" t="s">
        <v>1860</v>
      </c>
      <c r="Y708" s="25">
        <v>75238.0</v>
      </c>
      <c r="Z708" s="25" t="str">
        <f>IFERROR(__xludf.DUMMYFUNCTION("SPLIT(C708,""
"")"),"Harris, Michelle")</f>
        <v>Harris, Michelle</v>
      </c>
      <c r="AA708" s="25" t="str">
        <f>IFERROR(__xludf.DUMMYFUNCTION("""COMPUTED_VALUE"""),"10011 Caribou Trail")</f>
        <v>10011 Caribou Trail</v>
      </c>
      <c r="AB708" s="25" t="str">
        <f>IFERROR(__xludf.DUMMYFUNCTION("""COMPUTED_VALUE"""),"Dallas, TX 75238")</f>
        <v>Dallas, TX 75238</v>
      </c>
      <c r="AC708" s="24" t="s">
        <v>1863</v>
      </c>
      <c r="AD708" s="25"/>
      <c r="AE708" s="25"/>
      <c r="AF708" s="25"/>
      <c r="AG708" s="22" t="s">
        <v>60</v>
      </c>
      <c r="AH708" s="54">
        <v>2477.0</v>
      </c>
      <c r="AI708" s="22" t="s">
        <v>68</v>
      </c>
      <c r="AJ708" s="27">
        <v>125.0</v>
      </c>
      <c r="AK708" s="31" t="s">
        <v>26</v>
      </c>
      <c r="AL708" s="28">
        <v>44893.0</v>
      </c>
      <c r="AM708" s="29">
        <v>44940.42346064815</v>
      </c>
      <c r="AN708" s="30">
        <v>2.0</v>
      </c>
      <c r="AO708" s="22"/>
      <c r="AP708" s="22"/>
      <c r="AQ708" s="22"/>
      <c r="AR708" s="22"/>
      <c r="AS708" s="22"/>
      <c r="AT708" s="70"/>
      <c r="AU708" s="22"/>
      <c r="AV708" s="57" t="str">
        <f>IFERROR(__xludf.DUMMYFUNCTION("""COMPUTED_VALUE"""),"Arbetter")</f>
        <v>Arbetter</v>
      </c>
      <c r="AW708" s="46">
        <f t="shared" si="7"/>
        <v>150</v>
      </c>
      <c r="AX708" s="47">
        <f t="shared" ref="AX708:BQ708" si="2235">SUMIFS($AJ:$AJ,$V:$V,$AV708,$AK:$AK,AX$2)</f>
        <v>0</v>
      </c>
      <c r="AY708" s="48">
        <f t="shared" si="2235"/>
        <v>0</v>
      </c>
      <c r="AZ708" s="48">
        <f t="shared" si="2235"/>
        <v>0</v>
      </c>
      <c r="BA708" s="48">
        <f t="shared" si="2235"/>
        <v>0</v>
      </c>
      <c r="BB708" s="48">
        <f t="shared" si="2235"/>
        <v>0</v>
      </c>
      <c r="BC708" s="48">
        <f t="shared" si="2235"/>
        <v>0</v>
      </c>
      <c r="BD708" s="48">
        <f t="shared" si="2235"/>
        <v>0</v>
      </c>
      <c r="BE708" s="48">
        <f t="shared" si="2235"/>
        <v>0</v>
      </c>
      <c r="BF708" s="48">
        <f t="shared" si="2235"/>
        <v>0</v>
      </c>
      <c r="BG708" s="48">
        <f t="shared" si="2235"/>
        <v>0</v>
      </c>
      <c r="BH708" s="48">
        <f t="shared" si="2235"/>
        <v>150</v>
      </c>
      <c r="BI708" s="48">
        <f t="shared" si="2235"/>
        <v>0</v>
      </c>
      <c r="BJ708" s="48">
        <f t="shared" si="2235"/>
        <v>0</v>
      </c>
      <c r="BK708" s="48">
        <f t="shared" si="2235"/>
        <v>0</v>
      </c>
      <c r="BL708" s="48">
        <f t="shared" si="2235"/>
        <v>0</v>
      </c>
      <c r="BM708" s="48">
        <f t="shared" si="2235"/>
        <v>0</v>
      </c>
      <c r="BN708" s="48">
        <f t="shared" si="2235"/>
        <v>0</v>
      </c>
      <c r="BO708" s="48">
        <f t="shared" si="2235"/>
        <v>0</v>
      </c>
      <c r="BP708" s="48">
        <f t="shared" si="2235"/>
        <v>0</v>
      </c>
      <c r="BQ708" s="48">
        <f t="shared" si="2235"/>
        <v>0</v>
      </c>
      <c r="BR708" s="36">
        <f t="shared" si="9"/>
        <v>0</v>
      </c>
      <c r="BS708" s="38">
        <f t="shared" si="10"/>
        <v>1</v>
      </c>
      <c r="BT708" s="49">
        <f t="shared" si="11"/>
        <v>0</v>
      </c>
      <c r="BU708" s="38">
        <f t="shared" si="12"/>
        <v>1000</v>
      </c>
      <c r="BV708" s="57" t="str">
        <f>IFERROR(__xludf.DUMMYFUNCTION("""COMPUTED_VALUE"""),"Arbetter")</f>
        <v>Arbetter</v>
      </c>
      <c r="BW708" s="46">
        <f t="shared" si="13"/>
        <v>150</v>
      </c>
      <c r="BX708" s="47">
        <f t="shared" ref="BX708:CA708" si="2236">AX708-$BU708</f>
        <v>-1000</v>
      </c>
      <c r="BY708" s="47">
        <f t="shared" si="2236"/>
        <v>-1000</v>
      </c>
      <c r="BZ708" s="47">
        <f t="shared" si="2236"/>
        <v>-1000</v>
      </c>
      <c r="CA708" s="47">
        <f t="shared" si="2236"/>
        <v>-1000</v>
      </c>
      <c r="CB708" s="47">
        <f t="shared" si="15"/>
        <v>-10000</v>
      </c>
      <c r="CC708" s="47">
        <f t="shared" ref="CC708:CQ708" si="2237">BC708-$BU708</f>
        <v>-1000</v>
      </c>
      <c r="CD708" s="47">
        <f t="shared" si="2237"/>
        <v>-1000</v>
      </c>
      <c r="CE708" s="47">
        <f t="shared" si="2237"/>
        <v>-1000</v>
      </c>
      <c r="CF708" s="47">
        <f t="shared" si="2237"/>
        <v>-1000</v>
      </c>
      <c r="CG708" s="47">
        <f t="shared" si="2237"/>
        <v>-1000</v>
      </c>
      <c r="CH708" s="47">
        <f t="shared" si="2237"/>
        <v>-850</v>
      </c>
      <c r="CI708" s="47">
        <f t="shared" si="2237"/>
        <v>-1000</v>
      </c>
      <c r="CJ708" s="47">
        <f t="shared" si="2237"/>
        <v>-1000</v>
      </c>
      <c r="CK708" s="47">
        <f t="shared" si="2237"/>
        <v>-1000</v>
      </c>
      <c r="CL708" s="47">
        <f t="shared" si="2237"/>
        <v>-1000</v>
      </c>
      <c r="CM708" s="47">
        <f t="shared" si="2237"/>
        <v>-1000</v>
      </c>
      <c r="CN708" s="47">
        <f t="shared" si="2237"/>
        <v>-1000</v>
      </c>
      <c r="CO708" s="47">
        <f t="shared" si="2237"/>
        <v>-1000</v>
      </c>
      <c r="CP708" s="47">
        <f t="shared" si="2237"/>
        <v>-1000</v>
      </c>
      <c r="CQ708" s="47">
        <f t="shared" si="2237"/>
        <v>-1000</v>
      </c>
      <c r="CR708" s="47"/>
      <c r="CS708" s="47"/>
      <c r="CT708" s="47"/>
      <c r="CU708" s="74"/>
      <c r="CV708" s="74"/>
      <c r="CW708" s="74" t="str">
        <f>IFERROR(__xludf.DUMMYFUNCTION("IF(REGEXMATCH(UPPER(CU708), ""DALLAS""),,CU708)"),"")</f>
        <v/>
      </c>
      <c r="CX708" s="74"/>
      <c r="CY708" s="74"/>
      <c r="CZ708" s="74"/>
      <c r="DA708" s="75"/>
      <c r="DB708" s="74"/>
      <c r="DC708" s="74"/>
      <c r="DD708" s="74"/>
      <c r="DE708" s="74"/>
      <c r="DF708" s="74"/>
      <c r="DG708" s="74"/>
      <c r="DH708" s="74"/>
      <c r="DI708" s="74"/>
      <c r="DJ708" s="74"/>
      <c r="DK708" s="74"/>
      <c r="DL708" s="74"/>
      <c r="DM708" s="74"/>
      <c r="DN708" s="74"/>
      <c r="DO708" s="74"/>
      <c r="DP708" s="74"/>
      <c r="DQ708" s="74"/>
      <c r="DR708" s="74"/>
      <c r="DS708" s="74"/>
      <c r="DT708" s="74"/>
      <c r="DU708" s="74"/>
      <c r="DV708" s="74"/>
      <c r="DW708" s="74"/>
    </row>
    <row r="709">
      <c r="A709" s="41" t="s">
        <v>64</v>
      </c>
      <c r="B709" s="41" t="s">
        <v>56</v>
      </c>
      <c r="C709" s="31" t="s">
        <v>1864</v>
      </c>
      <c r="D709" s="25" t="str">
        <f>IFERROR(__xludf.DUMMYFUNCTION("SPLIT(C709,"" "")"),"Woolley,")</f>
        <v>Woolley,</v>
      </c>
      <c r="E709" s="40" t="str">
        <f>IFERROR(__xludf.DUMMYFUNCTION("""COMPUTED_VALUE"""),"Cindy
9215")</f>
        <v>Cindy
9215</v>
      </c>
      <c r="F709" s="40" t="str">
        <f>IFERROR(__xludf.DUMMYFUNCTION("""COMPUTED_VALUE"""),"Meadowglen
Dallas,")</f>
        <v>Meadowglen
Dallas,</v>
      </c>
      <c r="G709" s="40" t="str">
        <f>IFERROR(__xludf.DUMMYFUNCTION("""COMPUTED_VALUE"""),"TX")</f>
        <v>TX</v>
      </c>
      <c r="H709" s="40">
        <f>IFERROR(__xludf.DUMMYFUNCTION("""COMPUTED_VALUE"""),75238.0)</f>
        <v>75238</v>
      </c>
      <c r="I709" s="40"/>
      <c r="J709" s="40"/>
      <c r="K709" s="40"/>
      <c r="L709" s="40"/>
      <c r="M709" s="40"/>
      <c r="N709" s="40"/>
      <c r="O709" s="40"/>
      <c r="P709" s="40"/>
      <c r="Q709" s="40"/>
      <c r="R709" s="40"/>
      <c r="S709" s="40"/>
      <c r="T709" s="40"/>
      <c r="U709" s="24" t="str">
        <f>IFERROR(__xludf.DUMMYFUNCTION("SPLIT(E709,""01234567890"")"),"Cindy
")</f>
        <v>Cindy
</v>
      </c>
      <c r="V709" s="24" t="str">
        <f>IFERROR(__xludf.DUMMYFUNCTION("SPLIT(D709,"","")"),"Woolley")</f>
        <v>Woolley</v>
      </c>
      <c r="W709" s="25" t="str">
        <f t="shared" si="1"/>
        <v>CINDY
 WOOLLEY</v>
      </c>
      <c r="X709" s="25" t="s">
        <v>1865</v>
      </c>
      <c r="Y709" s="25">
        <v>75238.0</v>
      </c>
      <c r="Z709" s="25" t="str">
        <f>IFERROR(__xludf.DUMMYFUNCTION("SPLIT(C709,""
"")"),"Woolley, Cindy")</f>
        <v>Woolley, Cindy</v>
      </c>
      <c r="AA709" s="25" t="str">
        <f>IFERROR(__xludf.DUMMYFUNCTION("""COMPUTED_VALUE"""),"9215 Meadowglen")</f>
        <v>9215 Meadowglen</v>
      </c>
      <c r="AB709" s="25" t="str">
        <f>IFERROR(__xludf.DUMMYFUNCTION("""COMPUTED_VALUE"""),"Dallas, TX 75238")</f>
        <v>Dallas, TX 75238</v>
      </c>
      <c r="AC709" s="24" t="s">
        <v>1866</v>
      </c>
      <c r="AD709" s="25"/>
      <c r="AE709" s="25"/>
      <c r="AF709" s="25"/>
      <c r="AG709" s="40" t="s">
        <v>60</v>
      </c>
      <c r="AH709" s="42">
        <v>2477.0</v>
      </c>
      <c r="AI709" s="40" t="s">
        <v>68</v>
      </c>
      <c r="AJ709" s="27">
        <v>250.0</v>
      </c>
      <c r="AK709" s="31" t="s">
        <v>26</v>
      </c>
      <c r="AL709" s="43">
        <v>44893.0</v>
      </c>
      <c r="AM709" s="44">
        <v>44940.42346064815</v>
      </c>
      <c r="AN709" s="30">
        <v>2.0</v>
      </c>
      <c r="AO709" s="40"/>
      <c r="AP709" s="40"/>
      <c r="AQ709" s="40"/>
      <c r="AR709" s="40"/>
      <c r="AS709" s="40"/>
      <c r="AT709" s="47"/>
      <c r="AU709" s="40"/>
      <c r="AV709" s="46" t="str">
        <f>IFERROR(__xludf.DUMMYFUNCTION("""COMPUTED_VALUE"""),"Pulley")</f>
        <v>Pulley</v>
      </c>
      <c r="AW709" s="46">
        <f t="shared" si="7"/>
        <v>500</v>
      </c>
      <c r="AX709" s="47">
        <f t="shared" ref="AX709:BQ709" si="2238">SUMIFS($AJ:$AJ,$V:$V,$AV709,$AK:$AK,AX$2)</f>
        <v>0</v>
      </c>
      <c r="AY709" s="48">
        <f t="shared" si="2238"/>
        <v>0</v>
      </c>
      <c r="AZ709" s="48">
        <f t="shared" si="2238"/>
        <v>0</v>
      </c>
      <c r="BA709" s="48">
        <f t="shared" si="2238"/>
        <v>0</v>
      </c>
      <c r="BB709" s="48">
        <f t="shared" si="2238"/>
        <v>0</v>
      </c>
      <c r="BC709" s="48">
        <f t="shared" si="2238"/>
        <v>0</v>
      </c>
      <c r="BD709" s="48">
        <f t="shared" si="2238"/>
        <v>0</v>
      </c>
      <c r="BE709" s="48">
        <f t="shared" si="2238"/>
        <v>0</v>
      </c>
      <c r="BF709" s="48">
        <f t="shared" si="2238"/>
        <v>0</v>
      </c>
      <c r="BG709" s="48">
        <f t="shared" si="2238"/>
        <v>0</v>
      </c>
      <c r="BH709" s="48">
        <f t="shared" si="2238"/>
        <v>500</v>
      </c>
      <c r="BI709" s="48">
        <f t="shared" si="2238"/>
        <v>0</v>
      </c>
      <c r="BJ709" s="48">
        <f t="shared" si="2238"/>
        <v>0</v>
      </c>
      <c r="BK709" s="48">
        <f t="shared" si="2238"/>
        <v>0</v>
      </c>
      <c r="BL709" s="48">
        <f t="shared" si="2238"/>
        <v>0</v>
      </c>
      <c r="BM709" s="48">
        <f t="shared" si="2238"/>
        <v>0</v>
      </c>
      <c r="BN709" s="48">
        <f t="shared" si="2238"/>
        <v>0</v>
      </c>
      <c r="BO709" s="48">
        <f t="shared" si="2238"/>
        <v>0</v>
      </c>
      <c r="BP709" s="48">
        <f t="shared" si="2238"/>
        <v>0</v>
      </c>
      <c r="BQ709" s="48">
        <f t="shared" si="2238"/>
        <v>0</v>
      </c>
      <c r="BR709" s="36">
        <f t="shared" si="9"/>
        <v>0</v>
      </c>
      <c r="BS709" s="38">
        <f t="shared" si="10"/>
        <v>1</v>
      </c>
      <c r="BT709" s="49">
        <f t="shared" si="11"/>
        <v>0</v>
      </c>
      <c r="BU709" s="38">
        <f t="shared" si="12"/>
        <v>1000</v>
      </c>
      <c r="BV709" s="46" t="str">
        <f>IFERROR(__xludf.DUMMYFUNCTION("""COMPUTED_VALUE"""),"Pulley")</f>
        <v>Pulley</v>
      </c>
      <c r="BW709" s="46">
        <f t="shared" si="13"/>
        <v>500</v>
      </c>
      <c r="BX709" s="47">
        <f t="shared" ref="BX709:CA709" si="2239">AX709-$BU709</f>
        <v>-1000</v>
      </c>
      <c r="BY709" s="47">
        <f t="shared" si="2239"/>
        <v>-1000</v>
      </c>
      <c r="BZ709" s="47">
        <f t="shared" si="2239"/>
        <v>-1000</v>
      </c>
      <c r="CA709" s="47">
        <f t="shared" si="2239"/>
        <v>-1000</v>
      </c>
      <c r="CB709" s="47">
        <f t="shared" si="15"/>
        <v>-10000</v>
      </c>
      <c r="CC709" s="47">
        <f t="shared" ref="CC709:CQ709" si="2240">BC709-$BU709</f>
        <v>-1000</v>
      </c>
      <c r="CD709" s="47">
        <f t="shared" si="2240"/>
        <v>-1000</v>
      </c>
      <c r="CE709" s="47">
        <f t="shared" si="2240"/>
        <v>-1000</v>
      </c>
      <c r="CF709" s="47">
        <f t="shared" si="2240"/>
        <v>-1000</v>
      </c>
      <c r="CG709" s="47">
        <f t="shared" si="2240"/>
        <v>-1000</v>
      </c>
      <c r="CH709" s="47">
        <f t="shared" si="2240"/>
        <v>-500</v>
      </c>
      <c r="CI709" s="47">
        <f t="shared" si="2240"/>
        <v>-1000</v>
      </c>
      <c r="CJ709" s="47">
        <f t="shared" si="2240"/>
        <v>-1000</v>
      </c>
      <c r="CK709" s="47">
        <f t="shared" si="2240"/>
        <v>-1000</v>
      </c>
      <c r="CL709" s="47">
        <f t="shared" si="2240"/>
        <v>-1000</v>
      </c>
      <c r="CM709" s="47">
        <f t="shared" si="2240"/>
        <v>-1000</v>
      </c>
      <c r="CN709" s="47">
        <f t="shared" si="2240"/>
        <v>-1000</v>
      </c>
      <c r="CO709" s="47">
        <f t="shared" si="2240"/>
        <v>-1000</v>
      </c>
      <c r="CP709" s="47">
        <f t="shared" si="2240"/>
        <v>-1000</v>
      </c>
      <c r="CQ709" s="47">
        <f t="shared" si="2240"/>
        <v>-1000</v>
      </c>
      <c r="CR709" s="47"/>
      <c r="CS709" s="47"/>
      <c r="CT709" s="47"/>
      <c r="CU709" s="74"/>
      <c r="CV709" s="74"/>
      <c r="CW709" s="74" t="str">
        <f>IFERROR(__xludf.DUMMYFUNCTION("IF(REGEXMATCH(UPPER(CU709), ""DALLAS""),,CU709)"),"")</f>
        <v/>
      </c>
      <c r="CX709" s="74"/>
      <c r="CY709" s="74"/>
      <c r="CZ709" s="74"/>
      <c r="DA709" s="75"/>
      <c r="DB709" s="74"/>
      <c r="DC709" s="74"/>
      <c r="DD709" s="74"/>
      <c r="DE709" s="74"/>
      <c r="DF709" s="74"/>
      <c r="DG709" s="74"/>
      <c r="DH709" s="74"/>
      <c r="DI709" s="74"/>
      <c r="DJ709" s="74"/>
      <c r="DK709" s="74"/>
      <c r="DL709" s="74"/>
      <c r="DM709" s="74"/>
      <c r="DN709" s="74"/>
      <c r="DO709" s="74"/>
      <c r="DP709" s="74"/>
      <c r="DQ709" s="74"/>
      <c r="DR709" s="74"/>
      <c r="DS709" s="74"/>
      <c r="DT709" s="74"/>
      <c r="DU709" s="74"/>
      <c r="DV709" s="74"/>
      <c r="DW709" s="74"/>
    </row>
    <row r="710">
      <c r="A710" s="23" t="s">
        <v>64</v>
      </c>
      <c r="B710" s="23" t="s">
        <v>56</v>
      </c>
      <c r="C710" s="31" t="s">
        <v>1867</v>
      </c>
      <c r="D710" s="25" t="str">
        <f>IFERROR(__xludf.DUMMYFUNCTION("SPLIT(C710,"" "")"),"Woolley,")</f>
        <v>Woolley,</v>
      </c>
      <c r="E710" s="22" t="str">
        <f>IFERROR(__xludf.DUMMYFUNCTION("""COMPUTED_VALUE"""),"Byron
9215")</f>
        <v>Byron
9215</v>
      </c>
      <c r="F710" s="22" t="str">
        <f>IFERROR(__xludf.DUMMYFUNCTION("""COMPUTED_VALUE"""),"Meadowglen
Dallas,")</f>
        <v>Meadowglen
Dallas,</v>
      </c>
      <c r="G710" s="22" t="str">
        <f>IFERROR(__xludf.DUMMYFUNCTION("""COMPUTED_VALUE"""),"TX")</f>
        <v>TX</v>
      </c>
      <c r="H710" s="22">
        <f>IFERROR(__xludf.DUMMYFUNCTION("""COMPUTED_VALUE"""),75238.0)</f>
        <v>75238</v>
      </c>
      <c r="I710" s="22"/>
      <c r="J710" s="22"/>
      <c r="K710" s="22"/>
      <c r="L710" s="22"/>
      <c r="M710" s="22"/>
      <c r="N710" s="22"/>
      <c r="O710" s="22"/>
      <c r="P710" s="22"/>
      <c r="Q710" s="22"/>
      <c r="R710" s="22"/>
      <c r="S710" s="22"/>
      <c r="T710" s="22"/>
      <c r="U710" s="24" t="str">
        <f>IFERROR(__xludf.DUMMYFUNCTION("SPLIT(E710,""01234567890"")"),"Byron
")</f>
        <v>Byron
</v>
      </c>
      <c r="V710" s="24" t="str">
        <f>IFERROR(__xludf.DUMMYFUNCTION("SPLIT(D710,"","")"),"Woolley")</f>
        <v>Woolley</v>
      </c>
      <c r="W710" s="25" t="str">
        <f t="shared" si="1"/>
        <v>BYRON
 WOOLLEY</v>
      </c>
      <c r="X710" s="25" t="s">
        <v>1865</v>
      </c>
      <c r="Y710" s="25">
        <v>75238.0</v>
      </c>
      <c r="Z710" s="25" t="str">
        <f>IFERROR(__xludf.DUMMYFUNCTION("SPLIT(C710,""
"")"),"Woolley, Byron")</f>
        <v>Woolley, Byron</v>
      </c>
      <c r="AA710" s="25" t="str">
        <f>IFERROR(__xludf.DUMMYFUNCTION("""COMPUTED_VALUE"""),"9215 Meadowglen")</f>
        <v>9215 Meadowglen</v>
      </c>
      <c r="AB710" s="25" t="str">
        <f>IFERROR(__xludf.DUMMYFUNCTION("""COMPUTED_VALUE"""),"Dallas, TX 75238")</f>
        <v>Dallas, TX 75238</v>
      </c>
      <c r="AC710" s="24" t="s">
        <v>1868</v>
      </c>
      <c r="AD710" s="25"/>
      <c r="AE710" s="25"/>
      <c r="AF710" s="25"/>
      <c r="AG710" s="22" t="s">
        <v>60</v>
      </c>
      <c r="AH710" s="54">
        <v>2477.0</v>
      </c>
      <c r="AI710" s="22" t="s">
        <v>68</v>
      </c>
      <c r="AJ710" s="27">
        <v>250.0</v>
      </c>
      <c r="AK710" s="31" t="s">
        <v>26</v>
      </c>
      <c r="AL710" s="28">
        <v>44893.0</v>
      </c>
      <c r="AM710" s="29">
        <v>44940.42346064815</v>
      </c>
      <c r="AN710" s="30">
        <v>2.0</v>
      </c>
      <c r="AO710" s="22"/>
      <c r="AP710" s="22"/>
      <c r="AQ710" s="22"/>
      <c r="AR710" s="22"/>
      <c r="AS710" s="22"/>
      <c r="AT710" s="70"/>
      <c r="AU710" s="22"/>
      <c r="AV710" s="57" t="str">
        <f>IFERROR(__xludf.DUMMYFUNCTION("""COMPUTED_VALUE"""),"Sample")</f>
        <v>Sample</v>
      </c>
      <c r="AW710" s="46">
        <f t="shared" si="7"/>
        <v>100</v>
      </c>
      <c r="AX710" s="47">
        <f t="shared" ref="AX710:BQ710" si="2241">SUMIFS($AJ:$AJ,$V:$V,$AV710,$AK:$AK,AX$2)</f>
        <v>0</v>
      </c>
      <c r="AY710" s="48">
        <f t="shared" si="2241"/>
        <v>0</v>
      </c>
      <c r="AZ710" s="48">
        <f t="shared" si="2241"/>
        <v>0</v>
      </c>
      <c r="BA710" s="48">
        <f t="shared" si="2241"/>
        <v>0</v>
      </c>
      <c r="BB710" s="48">
        <f t="shared" si="2241"/>
        <v>0</v>
      </c>
      <c r="BC710" s="48">
        <f t="shared" si="2241"/>
        <v>0</v>
      </c>
      <c r="BD710" s="48">
        <f t="shared" si="2241"/>
        <v>0</v>
      </c>
      <c r="BE710" s="48">
        <f t="shared" si="2241"/>
        <v>0</v>
      </c>
      <c r="BF710" s="48">
        <f t="shared" si="2241"/>
        <v>0</v>
      </c>
      <c r="BG710" s="48">
        <f t="shared" si="2241"/>
        <v>0</v>
      </c>
      <c r="BH710" s="48">
        <f t="shared" si="2241"/>
        <v>100</v>
      </c>
      <c r="BI710" s="48">
        <f t="shared" si="2241"/>
        <v>0</v>
      </c>
      <c r="BJ710" s="48">
        <f t="shared" si="2241"/>
        <v>0</v>
      </c>
      <c r="BK710" s="48">
        <f t="shared" si="2241"/>
        <v>0</v>
      </c>
      <c r="BL710" s="48">
        <f t="shared" si="2241"/>
        <v>0</v>
      </c>
      <c r="BM710" s="48">
        <f t="shared" si="2241"/>
        <v>0</v>
      </c>
      <c r="BN710" s="48">
        <f t="shared" si="2241"/>
        <v>0</v>
      </c>
      <c r="BO710" s="48">
        <f t="shared" si="2241"/>
        <v>0</v>
      </c>
      <c r="BP710" s="48">
        <f t="shared" si="2241"/>
        <v>0</v>
      </c>
      <c r="BQ710" s="48">
        <f t="shared" si="2241"/>
        <v>0</v>
      </c>
      <c r="BR710" s="36">
        <f t="shared" si="9"/>
        <v>0</v>
      </c>
      <c r="BS710" s="38">
        <f t="shared" si="10"/>
        <v>1</v>
      </c>
      <c r="BT710" s="49">
        <f t="shared" si="11"/>
        <v>0</v>
      </c>
      <c r="BU710" s="38">
        <f t="shared" si="12"/>
        <v>1000</v>
      </c>
      <c r="BV710" s="57" t="str">
        <f>IFERROR(__xludf.DUMMYFUNCTION("""COMPUTED_VALUE"""),"Sample")</f>
        <v>Sample</v>
      </c>
      <c r="BW710" s="46">
        <f t="shared" si="13"/>
        <v>100</v>
      </c>
      <c r="BX710" s="47">
        <f t="shared" ref="BX710:CA710" si="2242">AX710-$BU710</f>
        <v>-1000</v>
      </c>
      <c r="BY710" s="47">
        <f t="shared" si="2242"/>
        <v>-1000</v>
      </c>
      <c r="BZ710" s="47">
        <f t="shared" si="2242"/>
        <v>-1000</v>
      </c>
      <c r="CA710" s="47">
        <f t="shared" si="2242"/>
        <v>-1000</v>
      </c>
      <c r="CB710" s="47">
        <f t="shared" si="15"/>
        <v>-10000</v>
      </c>
      <c r="CC710" s="47">
        <f t="shared" ref="CC710:CQ710" si="2243">BC710-$BU710</f>
        <v>-1000</v>
      </c>
      <c r="CD710" s="47">
        <f t="shared" si="2243"/>
        <v>-1000</v>
      </c>
      <c r="CE710" s="47">
        <f t="shared" si="2243"/>
        <v>-1000</v>
      </c>
      <c r="CF710" s="47">
        <f t="shared" si="2243"/>
        <v>-1000</v>
      </c>
      <c r="CG710" s="47">
        <f t="shared" si="2243"/>
        <v>-1000</v>
      </c>
      <c r="CH710" s="47">
        <f t="shared" si="2243"/>
        <v>-900</v>
      </c>
      <c r="CI710" s="47">
        <f t="shared" si="2243"/>
        <v>-1000</v>
      </c>
      <c r="CJ710" s="47">
        <f t="shared" si="2243"/>
        <v>-1000</v>
      </c>
      <c r="CK710" s="47">
        <f t="shared" si="2243"/>
        <v>-1000</v>
      </c>
      <c r="CL710" s="47">
        <f t="shared" si="2243"/>
        <v>-1000</v>
      </c>
      <c r="CM710" s="47">
        <f t="shared" si="2243"/>
        <v>-1000</v>
      </c>
      <c r="CN710" s="47">
        <f t="shared" si="2243"/>
        <v>-1000</v>
      </c>
      <c r="CO710" s="47">
        <f t="shared" si="2243"/>
        <v>-1000</v>
      </c>
      <c r="CP710" s="47">
        <f t="shared" si="2243"/>
        <v>-1000</v>
      </c>
      <c r="CQ710" s="47">
        <f t="shared" si="2243"/>
        <v>-1000</v>
      </c>
      <c r="CR710" s="47"/>
      <c r="CS710" s="47"/>
      <c r="CT710" s="47"/>
      <c r="CU710" s="74"/>
      <c r="CV710" s="74"/>
      <c r="CW710" s="74" t="str">
        <f>IFERROR(__xludf.DUMMYFUNCTION("IF(REGEXMATCH(UPPER(CU710), ""DALLAS""),,CU710)"),"")</f>
        <v/>
      </c>
      <c r="CX710" s="74"/>
      <c r="CY710" s="74"/>
      <c r="CZ710" s="74"/>
      <c r="DA710" s="75"/>
      <c r="DB710" s="74"/>
      <c r="DC710" s="74"/>
      <c r="DD710" s="74"/>
      <c r="DE710" s="74"/>
      <c r="DF710" s="74"/>
      <c r="DG710" s="74"/>
      <c r="DH710" s="74"/>
      <c r="DI710" s="74"/>
      <c r="DJ710" s="74"/>
      <c r="DK710" s="74"/>
      <c r="DL710" s="74"/>
      <c r="DM710" s="74"/>
      <c r="DN710" s="74"/>
      <c r="DO710" s="74"/>
      <c r="DP710" s="74"/>
      <c r="DQ710" s="74"/>
      <c r="DR710" s="74"/>
      <c r="DS710" s="74"/>
      <c r="DT710" s="74"/>
      <c r="DU710" s="74"/>
      <c r="DV710" s="74"/>
      <c r="DW710" s="74"/>
    </row>
    <row r="711">
      <c r="A711" s="41" t="s">
        <v>64</v>
      </c>
      <c r="B711" s="41" t="s">
        <v>56</v>
      </c>
      <c r="C711" s="31" t="s">
        <v>1869</v>
      </c>
      <c r="D711" s="25" t="str">
        <f>IFERROR(__xludf.DUMMYFUNCTION("SPLIT(C711,"" "")"),"Rabe,")</f>
        <v>Rabe,</v>
      </c>
      <c r="E711" s="40" t="str">
        <f>IFERROR(__xludf.DUMMYFUNCTION("""COMPUTED_VALUE"""),"Doug
7746")</f>
        <v>Doug
7746</v>
      </c>
      <c r="F711" s="40" t="str">
        <f>IFERROR(__xludf.DUMMYFUNCTION("""COMPUTED_VALUE"""),"Eagle")</f>
        <v>Eagle</v>
      </c>
      <c r="G711" s="40" t="str">
        <f>IFERROR(__xludf.DUMMYFUNCTION("""COMPUTED_VALUE"""),"Trail
Dallas,")</f>
        <v>Trail
Dallas,</v>
      </c>
      <c r="H711" s="40" t="str">
        <f>IFERROR(__xludf.DUMMYFUNCTION("""COMPUTED_VALUE"""),"TX")</f>
        <v>TX</v>
      </c>
      <c r="I711" s="40">
        <f>IFERROR(__xludf.DUMMYFUNCTION("""COMPUTED_VALUE"""),75238.0)</f>
        <v>75238</v>
      </c>
      <c r="J711" s="40"/>
      <c r="K711" s="40"/>
      <c r="L711" s="40"/>
      <c r="M711" s="40"/>
      <c r="N711" s="40"/>
      <c r="O711" s="40"/>
      <c r="P711" s="40"/>
      <c r="Q711" s="40"/>
      <c r="R711" s="40"/>
      <c r="S711" s="40"/>
      <c r="T711" s="40"/>
      <c r="U711" s="24" t="str">
        <f>IFERROR(__xludf.DUMMYFUNCTION("SPLIT(E711,""01234567890"")"),"Doug
")</f>
        <v>Doug
</v>
      </c>
      <c r="V711" s="24" t="str">
        <f>IFERROR(__xludf.DUMMYFUNCTION("SPLIT(D711,"","")"),"Rabe")</f>
        <v>Rabe</v>
      </c>
      <c r="W711" s="25" t="str">
        <f t="shared" si="1"/>
        <v>DOUG
 RABE</v>
      </c>
      <c r="X711" s="25" t="s">
        <v>1870</v>
      </c>
      <c r="Y711" s="25">
        <v>75238.0</v>
      </c>
      <c r="Z711" s="25" t="str">
        <f>IFERROR(__xludf.DUMMYFUNCTION("SPLIT(C711,""
"")"),"Rabe, Doug")</f>
        <v>Rabe, Doug</v>
      </c>
      <c r="AA711" s="25" t="str">
        <f>IFERROR(__xludf.DUMMYFUNCTION("""COMPUTED_VALUE"""),"7746 Eagle Trail")</f>
        <v>7746 Eagle Trail</v>
      </c>
      <c r="AB711" s="25" t="str">
        <f>IFERROR(__xludf.DUMMYFUNCTION("""COMPUTED_VALUE"""),"Dallas, TX 75238")</f>
        <v>Dallas, TX 75238</v>
      </c>
      <c r="AC711" s="24" t="s">
        <v>1871</v>
      </c>
      <c r="AD711" s="25"/>
      <c r="AE711" s="25"/>
      <c r="AF711" s="25"/>
      <c r="AG711" s="40" t="s">
        <v>60</v>
      </c>
      <c r="AH711" s="42">
        <v>2477.0</v>
      </c>
      <c r="AI711" s="40" t="s">
        <v>68</v>
      </c>
      <c r="AJ711" s="27">
        <v>750.0</v>
      </c>
      <c r="AK711" s="31" t="s">
        <v>26</v>
      </c>
      <c r="AL711" s="43">
        <v>44895.0</v>
      </c>
      <c r="AM711" s="44">
        <v>44940.42346064815</v>
      </c>
      <c r="AN711" s="30">
        <v>2.0</v>
      </c>
      <c r="AO711" s="40"/>
      <c r="AP711" s="40"/>
      <c r="AQ711" s="40"/>
      <c r="AR711" s="40"/>
      <c r="AS711" s="40"/>
      <c r="AT711" s="47"/>
      <c r="AU711" s="40"/>
      <c r="AV711" s="46" t="str">
        <f>IFERROR(__xludf.DUMMYFUNCTION("""COMPUTED_VALUE"""),"Sahuc")</f>
        <v>Sahuc</v>
      </c>
      <c r="AW711" s="46">
        <f t="shared" si="7"/>
        <v>100</v>
      </c>
      <c r="AX711" s="47">
        <f t="shared" ref="AX711:BQ711" si="2244">SUMIFS($AJ:$AJ,$V:$V,$AV711,$AK:$AK,AX$2)</f>
        <v>0</v>
      </c>
      <c r="AY711" s="48">
        <f t="shared" si="2244"/>
        <v>0</v>
      </c>
      <c r="AZ711" s="48">
        <f t="shared" si="2244"/>
        <v>0</v>
      </c>
      <c r="BA711" s="48">
        <f t="shared" si="2244"/>
        <v>0</v>
      </c>
      <c r="BB711" s="48">
        <f t="shared" si="2244"/>
        <v>0</v>
      </c>
      <c r="BC711" s="48">
        <f t="shared" si="2244"/>
        <v>0</v>
      </c>
      <c r="BD711" s="48">
        <f t="shared" si="2244"/>
        <v>0</v>
      </c>
      <c r="BE711" s="48">
        <f t="shared" si="2244"/>
        <v>0</v>
      </c>
      <c r="BF711" s="48">
        <f t="shared" si="2244"/>
        <v>0</v>
      </c>
      <c r="BG711" s="48">
        <f t="shared" si="2244"/>
        <v>0</v>
      </c>
      <c r="BH711" s="48">
        <f t="shared" si="2244"/>
        <v>100</v>
      </c>
      <c r="BI711" s="48">
        <f t="shared" si="2244"/>
        <v>0</v>
      </c>
      <c r="BJ711" s="48">
        <f t="shared" si="2244"/>
        <v>0</v>
      </c>
      <c r="BK711" s="48">
        <f t="shared" si="2244"/>
        <v>0</v>
      </c>
      <c r="BL711" s="48">
        <f t="shared" si="2244"/>
        <v>0</v>
      </c>
      <c r="BM711" s="48">
        <f t="shared" si="2244"/>
        <v>0</v>
      </c>
      <c r="BN711" s="48">
        <f t="shared" si="2244"/>
        <v>0</v>
      </c>
      <c r="BO711" s="48">
        <f t="shared" si="2244"/>
        <v>0</v>
      </c>
      <c r="BP711" s="48">
        <f t="shared" si="2244"/>
        <v>0</v>
      </c>
      <c r="BQ711" s="48">
        <f t="shared" si="2244"/>
        <v>0</v>
      </c>
      <c r="BR711" s="36">
        <f t="shared" si="9"/>
        <v>0</v>
      </c>
      <c r="BS711" s="38">
        <f t="shared" si="10"/>
        <v>1</v>
      </c>
      <c r="BT711" s="49">
        <f t="shared" si="11"/>
        <v>0</v>
      </c>
      <c r="BU711" s="38">
        <f t="shared" si="12"/>
        <v>1000</v>
      </c>
      <c r="BV711" s="46" t="str">
        <f>IFERROR(__xludf.DUMMYFUNCTION("""COMPUTED_VALUE"""),"Sahuc")</f>
        <v>Sahuc</v>
      </c>
      <c r="BW711" s="46">
        <f t="shared" si="13"/>
        <v>100</v>
      </c>
      <c r="BX711" s="47">
        <f t="shared" ref="BX711:CA711" si="2245">AX711-$BU711</f>
        <v>-1000</v>
      </c>
      <c r="BY711" s="47">
        <f t="shared" si="2245"/>
        <v>-1000</v>
      </c>
      <c r="BZ711" s="47">
        <f t="shared" si="2245"/>
        <v>-1000</v>
      </c>
      <c r="CA711" s="47">
        <f t="shared" si="2245"/>
        <v>-1000</v>
      </c>
      <c r="CB711" s="47">
        <f t="shared" si="15"/>
        <v>-10000</v>
      </c>
      <c r="CC711" s="47">
        <f t="shared" ref="CC711:CQ711" si="2246">BC711-$BU711</f>
        <v>-1000</v>
      </c>
      <c r="CD711" s="47">
        <f t="shared" si="2246"/>
        <v>-1000</v>
      </c>
      <c r="CE711" s="47">
        <f t="shared" si="2246"/>
        <v>-1000</v>
      </c>
      <c r="CF711" s="47">
        <f t="shared" si="2246"/>
        <v>-1000</v>
      </c>
      <c r="CG711" s="47">
        <f t="shared" si="2246"/>
        <v>-1000</v>
      </c>
      <c r="CH711" s="47">
        <f t="shared" si="2246"/>
        <v>-900</v>
      </c>
      <c r="CI711" s="47">
        <f t="shared" si="2246"/>
        <v>-1000</v>
      </c>
      <c r="CJ711" s="47">
        <f t="shared" si="2246"/>
        <v>-1000</v>
      </c>
      <c r="CK711" s="47">
        <f t="shared" si="2246"/>
        <v>-1000</v>
      </c>
      <c r="CL711" s="47">
        <f t="shared" si="2246"/>
        <v>-1000</v>
      </c>
      <c r="CM711" s="47">
        <f t="shared" si="2246"/>
        <v>-1000</v>
      </c>
      <c r="CN711" s="47">
        <f t="shared" si="2246"/>
        <v>-1000</v>
      </c>
      <c r="CO711" s="47">
        <f t="shared" si="2246"/>
        <v>-1000</v>
      </c>
      <c r="CP711" s="47">
        <f t="shared" si="2246"/>
        <v>-1000</v>
      </c>
      <c r="CQ711" s="47">
        <f t="shared" si="2246"/>
        <v>-1000</v>
      </c>
      <c r="CR711" s="47"/>
      <c r="CS711" s="47"/>
      <c r="CT711" s="47"/>
      <c r="CU711" s="74"/>
      <c r="CV711" s="74"/>
      <c r="CW711" s="74" t="str">
        <f>IFERROR(__xludf.DUMMYFUNCTION("IF(REGEXMATCH(UPPER(CU711), ""DALLAS""),,CU711)"),"")</f>
        <v/>
      </c>
      <c r="CX711" s="74"/>
      <c r="CY711" s="74"/>
      <c r="CZ711" s="74"/>
      <c r="DA711" s="75"/>
      <c r="DB711" s="74"/>
      <c r="DC711" s="74"/>
      <c r="DD711" s="74"/>
      <c r="DE711" s="74"/>
      <c r="DF711" s="74"/>
      <c r="DG711" s="74"/>
      <c r="DH711" s="74"/>
      <c r="DI711" s="74"/>
      <c r="DJ711" s="74"/>
      <c r="DK711" s="74"/>
      <c r="DL711" s="74"/>
      <c r="DM711" s="74"/>
      <c r="DN711" s="74"/>
      <c r="DO711" s="74"/>
      <c r="DP711" s="74"/>
      <c r="DQ711" s="74"/>
      <c r="DR711" s="74"/>
      <c r="DS711" s="74"/>
      <c r="DT711" s="74"/>
      <c r="DU711" s="74"/>
      <c r="DV711" s="74"/>
      <c r="DW711" s="74"/>
    </row>
    <row r="712">
      <c r="A712" s="23" t="s">
        <v>64</v>
      </c>
      <c r="B712" s="23" t="s">
        <v>56</v>
      </c>
      <c r="C712" s="31" t="s">
        <v>1872</v>
      </c>
      <c r="D712" s="25" t="str">
        <f>IFERROR(__xludf.DUMMYFUNCTION("SPLIT(C712,"" "")"),"Rabe,")</f>
        <v>Rabe,</v>
      </c>
      <c r="E712" s="22" t="str">
        <f>IFERROR(__xludf.DUMMYFUNCTION("""COMPUTED_VALUE"""),"Nancy
7746")</f>
        <v>Nancy
7746</v>
      </c>
      <c r="F712" s="22" t="str">
        <f>IFERROR(__xludf.DUMMYFUNCTION("""COMPUTED_VALUE"""),"Eagle")</f>
        <v>Eagle</v>
      </c>
      <c r="G712" s="22" t="str">
        <f>IFERROR(__xludf.DUMMYFUNCTION("""COMPUTED_VALUE"""),"Trail
Dallas,")</f>
        <v>Trail
Dallas,</v>
      </c>
      <c r="H712" s="22" t="str">
        <f>IFERROR(__xludf.DUMMYFUNCTION("""COMPUTED_VALUE"""),"TX")</f>
        <v>TX</v>
      </c>
      <c r="I712" s="22">
        <f>IFERROR(__xludf.DUMMYFUNCTION("""COMPUTED_VALUE"""),75238.0)</f>
        <v>75238</v>
      </c>
      <c r="J712" s="22"/>
      <c r="K712" s="22"/>
      <c r="L712" s="22"/>
      <c r="M712" s="22"/>
      <c r="N712" s="22"/>
      <c r="O712" s="22"/>
      <c r="P712" s="22"/>
      <c r="Q712" s="22"/>
      <c r="R712" s="22"/>
      <c r="S712" s="22"/>
      <c r="T712" s="22"/>
      <c r="U712" s="24" t="str">
        <f>IFERROR(__xludf.DUMMYFUNCTION("SPLIT(E712,""01234567890"")"),"Nancy
")</f>
        <v>Nancy
</v>
      </c>
      <c r="V712" s="24" t="str">
        <f>IFERROR(__xludf.DUMMYFUNCTION("SPLIT(D712,"","")"),"Rabe")</f>
        <v>Rabe</v>
      </c>
      <c r="W712" s="25" t="str">
        <f t="shared" si="1"/>
        <v>NANCY
 RABE</v>
      </c>
      <c r="X712" s="25" t="s">
        <v>1870</v>
      </c>
      <c r="Y712" s="25">
        <v>75238.0</v>
      </c>
      <c r="Z712" s="25" t="str">
        <f>IFERROR(__xludf.DUMMYFUNCTION("SPLIT(C712,""
"")"),"Rabe, Nancy")</f>
        <v>Rabe, Nancy</v>
      </c>
      <c r="AA712" s="25" t="str">
        <f>IFERROR(__xludf.DUMMYFUNCTION("""COMPUTED_VALUE"""),"7746 Eagle Trail")</f>
        <v>7746 Eagle Trail</v>
      </c>
      <c r="AB712" s="25" t="str">
        <f>IFERROR(__xludf.DUMMYFUNCTION("""COMPUTED_VALUE"""),"Dallas, TX 75238")</f>
        <v>Dallas, TX 75238</v>
      </c>
      <c r="AC712" s="24" t="s">
        <v>1873</v>
      </c>
      <c r="AD712" s="25"/>
      <c r="AE712" s="25"/>
      <c r="AF712" s="25"/>
      <c r="AG712" s="22" t="s">
        <v>60</v>
      </c>
      <c r="AH712" s="54">
        <v>2477.0</v>
      </c>
      <c r="AI712" s="22" t="s">
        <v>68</v>
      </c>
      <c r="AJ712" s="27">
        <v>750.0</v>
      </c>
      <c r="AK712" s="31" t="s">
        <v>26</v>
      </c>
      <c r="AL712" s="28">
        <v>44895.0</v>
      </c>
      <c r="AM712" s="29">
        <v>44940.42346064815</v>
      </c>
      <c r="AN712" s="30">
        <v>2.0</v>
      </c>
      <c r="AO712" s="22"/>
      <c r="AP712" s="22"/>
      <c r="AQ712" s="22"/>
      <c r="AR712" s="22"/>
      <c r="AS712" s="22"/>
      <c r="AT712" s="70"/>
      <c r="AU712" s="22"/>
      <c r="AV712" s="57" t="str">
        <f>IFERROR(__xludf.DUMMYFUNCTION("""COMPUTED_VALUE"""),"Worden")</f>
        <v>Worden</v>
      </c>
      <c r="AW712" s="46">
        <f t="shared" si="7"/>
        <v>200</v>
      </c>
      <c r="AX712" s="47">
        <f t="shared" ref="AX712:BQ712" si="2247">SUMIFS($AJ:$AJ,$V:$V,$AV712,$AK:$AK,AX$2)</f>
        <v>100</v>
      </c>
      <c r="AY712" s="48">
        <f t="shared" si="2247"/>
        <v>0</v>
      </c>
      <c r="AZ712" s="48">
        <f t="shared" si="2247"/>
        <v>0</v>
      </c>
      <c r="BA712" s="48">
        <f t="shared" si="2247"/>
        <v>0</v>
      </c>
      <c r="BB712" s="48">
        <f t="shared" si="2247"/>
        <v>0</v>
      </c>
      <c r="BC712" s="48">
        <f t="shared" si="2247"/>
        <v>0</v>
      </c>
      <c r="BD712" s="48">
        <f t="shared" si="2247"/>
        <v>0</v>
      </c>
      <c r="BE712" s="48">
        <f t="shared" si="2247"/>
        <v>0</v>
      </c>
      <c r="BF712" s="48">
        <f t="shared" si="2247"/>
        <v>0</v>
      </c>
      <c r="BG712" s="48">
        <f t="shared" si="2247"/>
        <v>0</v>
      </c>
      <c r="BH712" s="48">
        <f t="shared" si="2247"/>
        <v>100</v>
      </c>
      <c r="BI712" s="48">
        <f t="shared" si="2247"/>
        <v>0</v>
      </c>
      <c r="BJ712" s="48">
        <f t="shared" si="2247"/>
        <v>0</v>
      </c>
      <c r="BK712" s="48">
        <f t="shared" si="2247"/>
        <v>0</v>
      </c>
      <c r="BL712" s="48">
        <f t="shared" si="2247"/>
        <v>0</v>
      </c>
      <c r="BM712" s="48">
        <f t="shared" si="2247"/>
        <v>0</v>
      </c>
      <c r="BN712" s="48">
        <f t="shared" si="2247"/>
        <v>0</v>
      </c>
      <c r="BO712" s="48">
        <f t="shared" si="2247"/>
        <v>0</v>
      </c>
      <c r="BP712" s="48">
        <f t="shared" si="2247"/>
        <v>0</v>
      </c>
      <c r="BQ712" s="48">
        <f t="shared" si="2247"/>
        <v>0</v>
      </c>
      <c r="BR712" s="36">
        <f t="shared" si="9"/>
        <v>0</v>
      </c>
      <c r="BS712" s="38">
        <f t="shared" si="10"/>
        <v>1</v>
      </c>
      <c r="BT712" s="49">
        <f t="shared" si="11"/>
        <v>0</v>
      </c>
      <c r="BU712" s="38">
        <f t="shared" si="12"/>
        <v>1000</v>
      </c>
      <c r="BV712" s="57" t="str">
        <f>IFERROR(__xludf.DUMMYFUNCTION("""COMPUTED_VALUE"""),"Worden")</f>
        <v>Worden</v>
      </c>
      <c r="BW712" s="46">
        <f t="shared" si="13"/>
        <v>200</v>
      </c>
      <c r="BX712" s="47">
        <f t="shared" ref="BX712:CA712" si="2248">AX712-$BU712</f>
        <v>-900</v>
      </c>
      <c r="BY712" s="47">
        <f t="shared" si="2248"/>
        <v>-1000</v>
      </c>
      <c r="BZ712" s="47">
        <f t="shared" si="2248"/>
        <v>-1000</v>
      </c>
      <c r="CA712" s="47">
        <f t="shared" si="2248"/>
        <v>-1000</v>
      </c>
      <c r="CB712" s="47">
        <f t="shared" si="15"/>
        <v>-10000</v>
      </c>
      <c r="CC712" s="47">
        <f t="shared" ref="CC712:CQ712" si="2249">BC712-$BU712</f>
        <v>-1000</v>
      </c>
      <c r="CD712" s="47">
        <f t="shared" si="2249"/>
        <v>-1000</v>
      </c>
      <c r="CE712" s="47">
        <f t="shared" si="2249"/>
        <v>-1000</v>
      </c>
      <c r="CF712" s="47">
        <f t="shared" si="2249"/>
        <v>-1000</v>
      </c>
      <c r="CG712" s="47">
        <f t="shared" si="2249"/>
        <v>-1000</v>
      </c>
      <c r="CH712" s="47">
        <f t="shared" si="2249"/>
        <v>-900</v>
      </c>
      <c r="CI712" s="47">
        <f t="shared" si="2249"/>
        <v>-1000</v>
      </c>
      <c r="CJ712" s="47">
        <f t="shared" si="2249"/>
        <v>-1000</v>
      </c>
      <c r="CK712" s="47">
        <f t="shared" si="2249"/>
        <v>-1000</v>
      </c>
      <c r="CL712" s="47">
        <f t="shared" si="2249"/>
        <v>-1000</v>
      </c>
      <c r="CM712" s="47">
        <f t="shared" si="2249"/>
        <v>-1000</v>
      </c>
      <c r="CN712" s="47">
        <f t="shared" si="2249"/>
        <v>-1000</v>
      </c>
      <c r="CO712" s="47">
        <f t="shared" si="2249"/>
        <v>-1000</v>
      </c>
      <c r="CP712" s="47">
        <f t="shared" si="2249"/>
        <v>-1000</v>
      </c>
      <c r="CQ712" s="47">
        <f t="shared" si="2249"/>
        <v>-1000</v>
      </c>
      <c r="CR712" s="47"/>
      <c r="CS712" s="47"/>
      <c r="CT712" s="47"/>
      <c r="CU712" s="74"/>
      <c r="CV712" s="74"/>
      <c r="CW712" s="74" t="str">
        <f>IFERROR(__xludf.DUMMYFUNCTION("IF(REGEXMATCH(UPPER(CU712), ""DALLAS""),,CU712)"),"")</f>
        <v/>
      </c>
      <c r="CX712" s="74"/>
      <c r="CY712" s="74"/>
      <c r="CZ712" s="74"/>
      <c r="DA712" s="75"/>
      <c r="DB712" s="74"/>
      <c r="DC712" s="74"/>
      <c r="DD712" s="74"/>
      <c r="DE712" s="74"/>
      <c r="DF712" s="74"/>
      <c r="DG712" s="74"/>
      <c r="DH712" s="74"/>
      <c r="DI712" s="74"/>
      <c r="DJ712" s="74"/>
      <c r="DK712" s="74"/>
      <c r="DL712" s="74"/>
      <c r="DM712" s="74"/>
      <c r="DN712" s="74"/>
      <c r="DO712" s="74"/>
      <c r="DP712" s="74"/>
      <c r="DQ712" s="74"/>
      <c r="DR712" s="74"/>
      <c r="DS712" s="74"/>
      <c r="DT712" s="74"/>
      <c r="DU712" s="74"/>
      <c r="DV712" s="74"/>
      <c r="DW712" s="74"/>
    </row>
    <row r="713">
      <c r="A713" s="41" t="s">
        <v>64</v>
      </c>
      <c r="B713" s="41" t="s">
        <v>56</v>
      </c>
      <c r="C713" s="31" t="s">
        <v>1874</v>
      </c>
      <c r="D713" s="25" t="str">
        <f>IFERROR(__xludf.DUMMYFUNCTION("SPLIT(C713,"" "")"),"Cowlishaw,")</f>
        <v>Cowlishaw,</v>
      </c>
      <c r="E713" s="40" t="str">
        <f>IFERROR(__xludf.DUMMYFUNCTION("""COMPUTED_VALUE"""),"Melanie
9531")</f>
        <v>Melanie
9531</v>
      </c>
      <c r="F713" s="40" t="str">
        <f>IFERROR(__xludf.DUMMYFUNCTION("""COMPUTED_VALUE"""),"Windy")</f>
        <v>Windy</v>
      </c>
      <c r="G713" s="40" t="str">
        <f>IFERROR(__xludf.DUMMYFUNCTION("""COMPUTED_VALUE"""),"Hill")</f>
        <v>Hill</v>
      </c>
      <c r="H713" s="40" t="str">
        <f>IFERROR(__xludf.DUMMYFUNCTION("""COMPUTED_VALUE"""),"Road
Dallas,")</f>
        <v>Road
Dallas,</v>
      </c>
      <c r="I713" s="40" t="str">
        <f>IFERROR(__xludf.DUMMYFUNCTION("""COMPUTED_VALUE"""),"TX")</f>
        <v>TX</v>
      </c>
      <c r="J713" s="40">
        <f>IFERROR(__xludf.DUMMYFUNCTION("""COMPUTED_VALUE"""),75238.0)</f>
        <v>75238</v>
      </c>
      <c r="K713" s="40"/>
      <c r="L713" s="40"/>
      <c r="M713" s="40"/>
      <c r="N713" s="40"/>
      <c r="O713" s="40"/>
      <c r="P713" s="40"/>
      <c r="Q713" s="40"/>
      <c r="R713" s="40"/>
      <c r="S713" s="40"/>
      <c r="T713" s="40"/>
      <c r="U713" s="24" t="str">
        <f>IFERROR(__xludf.DUMMYFUNCTION("SPLIT(E713,""01234567890"")"),"Melanie
")</f>
        <v>Melanie
</v>
      </c>
      <c r="V713" s="24" t="str">
        <f>IFERROR(__xludf.DUMMYFUNCTION("SPLIT(D713,"","")"),"Cowlishaw")</f>
        <v>Cowlishaw</v>
      </c>
      <c r="W713" s="25" t="str">
        <f t="shared" si="1"/>
        <v>MELANIE
 COWLISHAW</v>
      </c>
      <c r="X713" s="25" t="s">
        <v>1875</v>
      </c>
      <c r="Y713" s="25">
        <v>75238.0</v>
      </c>
      <c r="Z713" s="25" t="str">
        <f>IFERROR(__xludf.DUMMYFUNCTION("SPLIT(C713,""
"")"),"Cowlishaw, Melanie")</f>
        <v>Cowlishaw, Melanie</v>
      </c>
      <c r="AA713" s="25" t="str">
        <f>IFERROR(__xludf.DUMMYFUNCTION("""COMPUTED_VALUE"""),"9531 Windy Hill Road")</f>
        <v>9531 Windy Hill Road</v>
      </c>
      <c r="AB713" s="25" t="str">
        <f>IFERROR(__xludf.DUMMYFUNCTION("""COMPUTED_VALUE"""),"Dallas, TX 75238")</f>
        <v>Dallas, TX 75238</v>
      </c>
      <c r="AC713" s="24" t="s">
        <v>1876</v>
      </c>
      <c r="AD713" s="25"/>
      <c r="AE713" s="25"/>
      <c r="AF713" s="25"/>
      <c r="AG713" s="40" t="s">
        <v>60</v>
      </c>
      <c r="AH713" s="42">
        <v>2477.0</v>
      </c>
      <c r="AI713" s="40" t="s">
        <v>68</v>
      </c>
      <c r="AJ713" s="27">
        <v>250.0</v>
      </c>
      <c r="AK713" s="31" t="s">
        <v>26</v>
      </c>
      <c r="AL713" s="43">
        <v>44895.0</v>
      </c>
      <c r="AM713" s="44">
        <v>44940.42346064815</v>
      </c>
      <c r="AN713" s="30">
        <v>2.0</v>
      </c>
      <c r="AO713" s="40"/>
      <c r="AP713" s="40"/>
      <c r="AQ713" s="40"/>
      <c r="AR713" s="40"/>
      <c r="AS713" s="40"/>
      <c r="AT713" s="47"/>
      <c r="AU713" s="40"/>
      <c r="AV713" s="46" t="str">
        <f>IFERROR(__xludf.DUMMYFUNCTION("""COMPUTED_VALUE"""),"Redifer")</f>
        <v>Redifer</v>
      </c>
      <c r="AW713" s="46">
        <f t="shared" si="7"/>
        <v>50</v>
      </c>
      <c r="AX713" s="47">
        <f t="shared" ref="AX713:BQ713" si="2250">SUMIFS($AJ:$AJ,$V:$V,$AV713,$AK:$AK,AX$2)</f>
        <v>0</v>
      </c>
      <c r="AY713" s="48">
        <f t="shared" si="2250"/>
        <v>0</v>
      </c>
      <c r="AZ713" s="48">
        <f t="shared" si="2250"/>
        <v>0</v>
      </c>
      <c r="BA713" s="48">
        <f t="shared" si="2250"/>
        <v>0</v>
      </c>
      <c r="BB713" s="48">
        <f t="shared" si="2250"/>
        <v>0</v>
      </c>
      <c r="BC713" s="48">
        <f t="shared" si="2250"/>
        <v>0</v>
      </c>
      <c r="BD713" s="48">
        <f t="shared" si="2250"/>
        <v>0</v>
      </c>
      <c r="BE713" s="48">
        <f t="shared" si="2250"/>
        <v>0</v>
      </c>
      <c r="BF713" s="48">
        <f t="shared" si="2250"/>
        <v>0</v>
      </c>
      <c r="BG713" s="48">
        <f t="shared" si="2250"/>
        <v>0</v>
      </c>
      <c r="BH713" s="48">
        <f t="shared" si="2250"/>
        <v>50</v>
      </c>
      <c r="BI713" s="48">
        <f t="shared" si="2250"/>
        <v>0</v>
      </c>
      <c r="BJ713" s="48">
        <f t="shared" si="2250"/>
        <v>0</v>
      </c>
      <c r="BK713" s="48">
        <f t="shared" si="2250"/>
        <v>0</v>
      </c>
      <c r="BL713" s="48">
        <f t="shared" si="2250"/>
        <v>0</v>
      </c>
      <c r="BM713" s="48">
        <f t="shared" si="2250"/>
        <v>0</v>
      </c>
      <c r="BN713" s="48">
        <f t="shared" si="2250"/>
        <v>0</v>
      </c>
      <c r="BO713" s="48">
        <f t="shared" si="2250"/>
        <v>0</v>
      </c>
      <c r="BP713" s="48">
        <f t="shared" si="2250"/>
        <v>0</v>
      </c>
      <c r="BQ713" s="48">
        <f t="shared" si="2250"/>
        <v>0</v>
      </c>
      <c r="BR713" s="36">
        <f t="shared" si="9"/>
        <v>0</v>
      </c>
      <c r="BS713" s="38">
        <f t="shared" si="10"/>
        <v>1</v>
      </c>
      <c r="BT713" s="49">
        <f t="shared" si="11"/>
        <v>0</v>
      </c>
      <c r="BU713" s="38">
        <f t="shared" si="12"/>
        <v>1000</v>
      </c>
      <c r="BV713" s="46" t="str">
        <f>IFERROR(__xludf.DUMMYFUNCTION("""COMPUTED_VALUE"""),"Redifer")</f>
        <v>Redifer</v>
      </c>
      <c r="BW713" s="46">
        <f t="shared" si="13"/>
        <v>50</v>
      </c>
      <c r="BX713" s="47">
        <f t="shared" ref="BX713:CA713" si="2251">AX713-$BU713</f>
        <v>-1000</v>
      </c>
      <c r="BY713" s="47">
        <f t="shared" si="2251"/>
        <v>-1000</v>
      </c>
      <c r="BZ713" s="47">
        <f t="shared" si="2251"/>
        <v>-1000</v>
      </c>
      <c r="CA713" s="47">
        <f t="shared" si="2251"/>
        <v>-1000</v>
      </c>
      <c r="CB713" s="47">
        <f t="shared" si="15"/>
        <v>-10000</v>
      </c>
      <c r="CC713" s="47">
        <f t="shared" ref="CC713:CQ713" si="2252">BC713-$BU713</f>
        <v>-1000</v>
      </c>
      <c r="CD713" s="47">
        <f t="shared" si="2252"/>
        <v>-1000</v>
      </c>
      <c r="CE713" s="47">
        <f t="shared" si="2252"/>
        <v>-1000</v>
      </c>
      <c r="CF713" s="47">
        <f t="shared" si="2252"/>
        <v>-1000</v>
      </c>
      <c r="CG713" s="47">
        <f t="shared" si="2252"/>
        <v>-1000</v>
      </c>
      <c r="CH713" s="47">
        <f t="shared" si="2252"/>
        <v>-950</v>
      </c>
      <c r="CI713" s="47">
        <f t="shared" si="2252"/>
        <v>-1000</v>
      </c>
      <c r="CJ713" s="47">
        <f t="shared" si="2252"/>
        <v>-1000</v>
      </c>
      <c r="CK713" s="47">
        <f t="shared" si="2252"/>
        <v>-1000</v>
      </c>
      <c r="CL713" s="47">
        <f t="shared" si="2252"/>
        <v>-1000</v>
      </c>
      <c r="CM713" s="47">
        <f t="shared" si="2252"/>
        <v>-1000</v>
      </c>
      <c r="CN713" s="47">
        <f t="shared" si="2252"/>
        <v>-1000</v>
      </c>
      <c r="CO713" s="47">
        <f t="shared" si="2252"/>
        <v>-1000</v>
      </c>
      <c r="CP713" s="47">
        <f t="shared" si="2252"/>
        <v>-1000</v>
      </c>
      <c r="CQ713" s="47">
        <f t="shared" si="2252"/>
        <v>-1000</v>
      </c>
      <c r="CR713" s="47"/>
      <c r="CS713" s="47"/>
      <c r="CT713" s="47"/>
      <c r="CU713" s="74"/>
      <c r="CV713" s="74"/>
      <c r="CW713" s="74" t="str">
        <f>IFERROR(__xludf.DUMMYFUNCTION("IF(REGEXMATCH(UPPER(CU713), ""DALLAS""),,CU713)"),"")</f>
        <v/>
      </c>
      <c r="CX713" s="74"/>
      <c r="CY713" s="74"/>
      <c r="CZ713" s="74"/>
      <c r="DA713" s="75"/>
      <c r="DB713" s="74"/>
      <c r="DC713" s="74"/>
      <c r="DD713" s="74"/>
      <c r="DE713" s="74"/>
      <c r="DF713" s="74"/>
      <c r="DG713" s="74"/>
      <c r="DH713" s="74"/>
      <c r="DI713" s="74"/>
      <c r="DJ713" s="74"/>
      <c r="DK713" s="74"/>
      <c r="DL713" s="74"/>
      <c r="DM713" s="74"/>
      <c r="DN713" s="74"/>
      <c r="DO713" s="74"/>
      <c r="DP713" s="74"/>
      <c r="DQ713" s="74"/>
      <c r="DR713" s="74"/>
      <c r="DS713" s="74"/>
      <c r="DT713" s="74"/>
      <c r="DU713" s="74"/>
      <c r="DV713" s="74"/>
      <c r="DW713" s="74"/>
    </row>
    <row r="714">
      <c r="A714" s="23" t="s">
        <v>64</v>
      </c>
      <c r="B714" s="23" t="s">
        <v>56</v>
      </c>
      <c r="C714" s="31" t="s">
        <v>1877</v>
      </c>
      <c r="D714" s="25" t="str">
        <f>IFERROR(__xludf.DUMMYFUNCTION("SPLIT(C714,"" "")"),"Henneberger,")</f>
        <v>Henneberger,</v>
      </c>
      <c r="E714" s="22" t="str">
        <f>IFERROR(__xludf.DUMMYFUNCTION("""COMPUTED_VALUE"""),"Cynthia
8928")</f>
        <v>Cynthia
8928</v>
      </c>
      <c r="F714" s="22" t="str">
        <f>IFERROR(__xludf.DUMMYFUNCTION("""COMPUTED_VALUE"""),"Fairglen
Dallas,")</f>
        <v>Fairglen
Dallas,</v>
      </c>
      <c r="G714" s="22" t="str">
        <f>IFERROR(__xludf.DUMMYFUNCTION("""COMPUTED_VALUE"""),"TX")</f>
        <v>TX</v>
      </c>
      <c r="H714" s="22">
        <f>IFERROR(__xludf.DUMMYFUNCTION("""COMPUTED_VALUE"""),75231.0)</f>
        <v>75231</v>
      </c>
      <c r="I714" s="22"/>
      <c r="J714" s="22"/>
      <c r="K714" s="22"/>
      <c r="L714" s="22"/>
      <c r="M714" s="22"/>
      <c r="N714" s="22"/>
      <c r="O714" s="22"/>
      <c r="P714" s="22"/>
      <c r="Q714" s="22"/>
      <c r="R714" s="22"/>
      <c r="S714" s="22"/>
      <c r="T714" s="22"/>
      <c r="U714" s="24" t="str">
        <f>IFERROR(__xludf.DUMMYFUNCTION("SPLIT(E714,""01234567890"")"),"Cynthia
")</f>
        <v>Cynthia
</v>
      </c>
      <c r="V714" s="24" t="str">
        <f>IFERROR(__xludf.DUMMYFUNCTION("SPLIT(D714,"","")"),"Henneberger")</f>
        <v>Henneberger</v>
      </c>
      <c r="W714" s="25" t="str">
        <f t="shared" si="1"/>
        <v>CYNTHIA
 HENNEBERGER</v>
      </c>
      <c r="X714" s="25" t="s">
        <v>1878</v>
      </c>
      <c r="Y714" s="25">
        <v>75231.0</v>
      </c>
      <c r="Z714" s="25" t="str">
        <f>IFERROR(__xludf.DUMMYFUNCTION("SPLIT(C714,""
"")"),"Henneberger, Cynthia")</f>
        <v>Henneberger, Cynthia</v>
      </c>
      <c r="AA714" s="25" t="str">
        <f>IFERROR(__xludf.DUMMYFUNCTION("""COMPUTED_VALUE"""),"8928 Fairglen")</f>
        <v>8928 Fairglen</v>
      </c>
      <c r="AB714" s="25" t="str">
        <f>IFERROR(__xludf.DUMMYFUNCTION("""COMPUTED_VALUE"""),"Dallas, TX 75231")</f>
        <v>Dallas, TX 75231</v>
      </c>
      <c r="AC714" s="24" t="s">
        <v>1879</v>
      </c>
      <c r="AD714" s="25"/>
      <c r="AE714" s="25"/>
      <c r="AF714" s="25"/>
      <c r="AG714" s="22" t="s">
        <v>60</v>
      </c>
      <c r="AH714" s="54">
        <v>2477.0</v>
      </c>
      <c r="AI714" s="22" t="s">
        <v>68</v>
      </c>
      <c r="AJ714" s="27">
        <v>100.0</v>
      </c>
      <c r="AK714" s="31" t="s">
        <v>26</v>
      </c>
      <c r="AL714" s="28">
        <v>44895.0</v>
      </c>
      <c r="AM714" s="29">
        <v>44940.42346064815</v>
      </c>
      <c r="AN714" s="30">
        <v>2.0</v>
      </c>
      <c r="AO714" s="22"/>
      <c r="AP714" s="22"/>
      <c r="AQ714" s="22"/>
      <c r="AR714" s="22"/>
      <c r="AS714" s="22"/>
      <c r="AT714" s="70"/>
      <c r="AU714" s="22"/>
      <c r="AV714" s="57" t="str">
        <f>IFERROR(__xludf.DUMMYFUNCTION("""COMPUTED_VALUE"""),"Magadini")</f>
        <v>Magadini</v>
      </c>
      <c r="AW714" s="46">
        <f t="shared" si="7"/>
        <v>100</v>
      </c>
      <c r="AX714" s="47">
        <f t="shared" ref="AX714:BQ714" si="2253">SUMIFS($AJ:$AJ,$V:$V,$AV714,$AK:$AK,AX$2)</f>
        <v>0</v>
      </c>
      <c r="AY714" s="48">
        <f t="shared" si="2253"/>
        <v>0</v>
      </c>
      <c r="AZ714" s="48">
        <f t="shared" si="2253"/>
        <v>0</v>
      </c>
      <c r="BA714" s="48">
        <f t="shared" si="2253"/>
        <v>0</v>
      </c>
      <c r="BB714" s="48">
        <f t="shared" si="2253"/>
        <v>0</v>
      </c>
      <c r="BC714" s="48">
        <f t="shared" si="2253"/>
        <v>0</v>
      </c>
      <c r="BD714" s="48">
        <f t="shared" si="2253"/>
        <v>0</v>
      </c>
      <c r="BE714" s="48">
        <f t="shared" si="2253"/>
        <v>0</v>
      </c>
      <c r="BF714" s="48">
        <f t="shared" si="2253"/>
        <v>0</v>
      </c>
      <c r="BG714" s="48">
        <f t="shared" si="2253"/>
        <v>0</v>
      </c>
      <c r="BH714" s="48">
        <f t="shared" si="2253"/>
        <v>100</v>
      </c>
      <c r="BI714" s="48">
        <f t="shared" si="2253"/>
        <v>0</v>
      </c>
      <c r="BJ714" s="48">
        <f t="shared" si="2253"/>
        <v>0</v>
      </c>
      <c r="BK714" s="48">
        <f t="shared" si="2253"/>
        <v>0</v>
      </c>
      <c r="BL714" s="48">
        <f t="shared" si="2253"/>
        <v>0</v>
      </c>
      <c r="BM714" s="48">
        <f t="shared" si="2253"/>
        <v>0</v>
      </c>
      <c r="BN714" s="48">
        <f t="shared" si="2253"/>
        <v>0</v>
      </c>
      <c r="BO714" s="48">
        <f t="shared" si="2253"/>
        <v>0</v>
      </c>
      <c r="BP714" s="48">
        <f t="shared" si="2253"/>
        <v>0</v>
      </c>
      <c r="BQ714" s="48">
        <f t="shared" si="2253"/>
        <v>0</v>
      </c>
      <c r="BR714" s="36">
        <f t="shared" si="9"/>
        <v>0</v>
      </c>
      <c r="BS714" s="38">
        <f t="shared" si="10"/>
        <v>1</v>
      </c>
      <c r="BT714" s="49">
        <f t="shared" si="11"/>
        <v>0</v>
      </c>
      <c r="BU714" s="38">
        <f t="shared" si="12"/>
        <v>1000</v>
      </c>
      <c r="BV714" s="57" t="str">
        <f>IFERROR(__xludf.DUMMYFUNCTION("""COMPUTED_VALUE"""),"Magadini")</f>
        <v>Magadini</v>
      </c>
      <c r="BW714" s="46">
        <f t="shared" si="13"/>
        <v>100</v>
      </c>
      <c r="BX714" s="47">
        <f t="shared" ref="BX714:CA714" si="2254">AX714-$BU714</f>
        <v>-1000</v>
      </c>
      <c r="BY714" s="47">
        <f t="shared" si="2254"/>
        <v>-1000</v>
      </c>
      <c r="BZ714" s="47">
        <f t="shared" si="2254"/>
        <v>-1000</v>
      </c>
      <c r="CA714" s="47">
        <f t="shared" si="2254"/>
        <v>-1000</v>
      </c>
      <c r="CB714" s="47">
        <f t="shared" si="15"/>
        <v>-10000</v>
      </c>
      <c r="CC714" s="47">
        <f t="shared" ref="CC714:CQ714" si="2255">BC714-$BU714</f>
        <v>-1000</v>
      </c>
      <c r="CD714" s="47">
        <f t="shared" si="2255"/>
        <v>-1000</v>
      </c>
      <c r="CE714" s="47">
        <f t="shared" si="2255"/>
        <v>-1000</v>
      </c>
      <c r="CF714" s="47">
        <f t="shared" si="2255"/>
        <v>-1000</v>
      </c>
      <c r="CG714" s="47">
        <f t="shared" si="2255"/>
        <v>-1000</v>
      </c>
      <c r="CH714" s="47">
        <f t="shared" si="2255"/>
        <v>-900</v>
      </c>
      <c r="CI714" s="47">
        <f t="shared" si="2255"/>
        <v>-1000</v>
      </c>
      <c r="CJ714" s="47">
        <f t="shared" si="2255"/>
        <v>-1000</v>
      </c>
      <c r="CK714" s="47">
        <f t="shared" si="2255"/>
        <v>-1000</v>
      </c>
      <c r="CL714" s="47">
        <f t="shared" si="2255"/>
        <v>-1000</v>
      </c>
      <c r="CM714" s="47">
        <f t="shared" si="2255"/>
        <v>-1000</v>
      </c>
      <c r="CN714" s="47">
        <f t="shared" si="2255"/>
        <v>-1000</v>
      </c>
      <c r="CO714" s="47">
        <f t="shared" si="2255"/>
        <v>-1000</v>
      </c>
      <c r="CP714" s="47">
        <f t="shared" si="2255"/>
        <v>-1000</v>
      </c>
      <c r="CQ714" s="47">
        <f t="shared" si="2255"/>
        <v>-1000</v>
      </c>
      <c r="CR714" s="47"/>
      <c r="CS714" s="47"/>
      <c r="CT714" s="47"/>
      <c r="CU714" s="74"/>
      <c r="CV714" s="74"/>
      <c r="CW714" s="74" t="str">
        <f>IFERROR(__xludf.DUMMYFUNCTION("IF(REGEXMATCH(UPPER(CU714), ""DALLAS""),,CU714)"),"")</f>
        <v/>
      </c>
      <c r="CX714" s="74"/>
      <c r="CY714" s="74"/>
      <c r="CZ714" s="74"/>
      <c r="DA714" s="75"/>
      <c r="DB714" s="74"/>
      <c r="DC714" s="74"/>
      <c r="DD714" s="74"/>
      <c r="DE714" s="74"/>
      <c r="DF714" s="74"/>
      <c r="DG714" s="74"/>
      <c r="DH714" s="74"/>
      <c r="DI714" s="74"/>
      <c r="DJ714" s="74"/>
      <c r="DK714" s="74"/>
      <c r="DL714" s="74"/>
      <c r="DM714" s="74"/>
      <c r="DN714" s="74"/>
      <c r="DO714" s="74"/>
      <c r="DP714" s="74"/>
      <c r="DQ714" s="74"/>
      <c r="DR714" s="74"/>
      <c r="DS714" s="74"/>
      <c r="DT714" s="74"/>
      <c r="DU714" s="74"/>
      <c r="DV714" s="74"/>
      <c r="DW714" s="74"/>
    </row>
    <row r="715">
      <c r="A715" s="41" t="s">
        <v>64</v>
      </c>
      <c r="B715" s="41" t="s">
        <v>56</v>
      </c>
      <c r="C715" s="31" t="s">
        <v>1880</v>
      </c>
      <c r="D715" s="25" t="str">
        <f>IFERROR(__xludf.DUMMYFUNCTION("SPLIT(C715,"" "")"),"Sides,")</f>
        <v>Sides,</v>
      </c>
      <c r="E715" s="40" t="str">
        <f>IFERROR(__xludf.DUMMYFUNCTION("""COMPUTED_VALUE"""),"Lisa
9949")</f>
        <v>Lisa
9949</v>
      </c>
      <c r="F715" s="40" t="str">
        <f>IFERROR(__xludf.DUMMYFUNCTION("""COMPUTED_VALUE"""),"Caribou")</f>
        <v>Caribou</v>
      </c>
      <c r="G715" s="40" t="str">
        <f>IFERROR(__xludf.DUMMYFUNCTION("""COMPUTED_VALUE"""),"Trail
Dallas,")</f>
        <v>Trail
Dallas,</v>
      </c>
      <c r="H715" s="40" t="str">
        <f>IFERROR(__xludf.DUMMYFUNCTION("""COMPUTED_VALUE"""),"TX")</f>
        <v>TX</v>
      </c>
      <c r="I715" s="40">
        <f>IFERROR(__xludf.DUMMYFUNCTION("""COMPUTED_VALUE"""),75238.0)</f>
        <v>75238</v>
      </c>
      <c r="J715" s="40"/>
      <c r="K715" s="40"/>
      <c r="L715" s="40"/>
      <c r="M715" s="40"/>
      <c r="N715" s="40"/>
      <c r="O715" s="40"/>
      <c r="P715" s="40"/>
      <c r="Q715" s="40"/>
      <c r="R715" s="40"/>
      <c r="S715" s="40"/>
      <c r="T715" s="40"/>
      <c r="U715" s="24" t="str">
        <f>IFERROR(__xludf.DUMMYFUNCTION("SPLIT(E715,""01234567890"")"),"Lisa
")</f>
        <v>Lisa
</v>
      </c>
      <c r="V715" s="24" t="str">
        <f>IFERROR(__xludf.DUMMYFUNCTION("SPLIT(D715,"","")"),"Sides")</f>
        <v>Sides</v>
      </c>
      <c r="W715" s="25" t="str">
        <f t="shared" si="1"/>
        <v>LISA
 SIDES</v>
      </c>
      <c r="X715" s="25" t="s">
        <v>1881</v>
      </c>
      <c r="Y715" s="25">
        <v>75238.0</v>
      </c>
      <c r="Z715" s="25" t="str">
        <f>IFERROR(__xludf.DUMMYFUNCTION("SPLIT(C715,""
"")"),"Sides, Lisa")</f>
        <v>Sides, Lisa</v>
      </c>
      <c r="AA715" s="25" t="str">
        <f>IFERROR(__xludf.DUMMYFUNCTION("""COMPUTED_VALUE"""),"9949 Caribou Trail")</f>
        <v>9949 Caribou Trail</v>
      </c>
      <c r="AB715" s="25" t="str">
        <f>IFERROR(__xludf.DUMMYFUNCTION("""COMPUTED_VALUE"""),"Dallas, TX 75238")</f>
        <v>Dallas, TX 75238</v>
      </c>
      <c r="AC715" s="24" t="s">
        <v>1882</v>
      </c>
      <c r="AD715" s="25"/>
      <c r="AE715" s="25"/>
      <c r="AF715" s="25"/>
      <c r="AG715" s="40" t="s">
        <v>60</v>
      </c>
      <c r="AH715" s="42">
        <v>2477.0</v>
      </c>
      <c r="AI715" s="40" t="s">
        <v>68</v>
      </c>
      <c r="AJ715" s="27">
        <v>100.0</v>
      </c>
      <c r="AK715" s="31" t="s">
        <v>26</v>
      </c>
      <c r="AL715" s="43">
        <v>44895.0</v>
      </c>
      <c r="AM715" s="44">
        <v>44940.42346064815</v>
      </c>
      <c r="AN715" s="30">
        <v>2.0</v>
      </c>
      <c r="AO715" s="40"/>
      <c r="AP715" s="40"/>
      <c r="AQ715" s="40"/>
      <c r="AR715" s="40"/>
      <c r="AS715" s="40"/>
      <c r="AT715" s="47"/>
      <c r="AU715" s="40"/>
      <c r="AV715" s="46" t="str">
        <f>IFERROR(__xludf.DUMMYFUNCTION("""COMPUTED_VALUE"""),"Kofoed")</f>
        <v>Kofoed</v>
      </c>
      <c r="AW715" s="46">
        <f t="shared" si="7"/>
        <v>350</v>
      </c>
      <c r="AX715" s="47">
        <f t="shared" ref="AX715:BQ715" si="2256">SUMIFS($AJ:$AJ,$V:$V,$AV715,$AK:$AK,AX$2)</f>
        <v>0</v>
      </c>
      <c r="AY715" s="48">
        <f t="shared" si="2256"/>
        <v>0</v>
      </c>
      <c r="AZ715" s="48">
        <f t="shared" si="2256"/>
        <v>0</v>
      </c>
      <c r="BA715" s="48">
        <f t="shared" si="2256"/>
        <v>0</v>
      </c>
      <c r="BB715" s="48">
        <f t="shared" si="2256"/>
        <v>0</v>
      </c>
      <c r="BC715" s="48">
        <f t="shared" si="2256"/>
        <v>0</v>
      </c>
      <c r="BD715" s="48">
        <f t="shared" si="2256"/>
        <v>0</v>
      </c>
      <c r="BE715" s="48">
        <f t="shared" si="2256"/>
        <v>0</v>
      </c>
      <c r="BF715" s="48">
        <f t="shared" si="2256"/>
        <v>0</v>
      </c>
      <c r="BG715" s="48">
        <f t="shared" si="2256"/>
        <v>0</v>
      </c>
      <c r="BH715" s="48">
        <f t="shared" si="2256"/>
        <v>350</v>
      </c>
      <c r="BI715" s="48">
        <f t="shared" si="2256"/>
        <v>0</v>
      </c>
      <c r="BJ715" s="48">
        <f t="shared" si="2256"/>
        <v>0</v>
      </c>
      <c r="BK715" s="48">
        <f t="shared" si="2256"/>
        <v>0</v>
      </c>
      <c r="BL715" s="48">
        <f t="shared" si="2256"/>
        <v>0</v>
      </c>
      <c r="BM715" s="48">
        <f t="shared" si="2256"/>
        <v>0</v>
      </c>
      <c r="BN715" s="48">
        <f t="shared" si="2256"/>
        <v>0</v>
      </c>
      <c r="BO715" s="48">
        <f t="shared" si="2256"/>
        <v>0</v>
      </c>
      <c r="BP715" s="48">
        <f t="shared" si="2256"/>
        <v>0</v>
      </c>
      <c r="BQ715" s="48">
        <f t="shared" si="2256"/>
        <v>0</v>
      </c>
      <c r="BR715" s="36">
        <f t="shared" si="9"/>
        <v>0</v>
      </c>
      <c r="BS715" s="38">
        <f t="shared" si="10"/>
        <v>1</v>
      </c>
      <c r="BT715" s="49">
        <f t="shared" si="11"/>
        <v>0</v>
      </c>
      <c r="BU715" s="38">
        <f t="shared" si="12"/>
        <v>1000</v>
      </c>
      <c r="BV715" s="46" t="str">
        <f>IFERROR(__xludf.DUMMYFUNCTION("""COMPUTED_VALUE"""),"Kofoed")</f>
        <v>Kofoed</v>
      </c>
      <c r="BW715" s="46">
        <f t="shared" si="13"/>
        <v>350</v>
      </c>
      <c r="BX715" s="47">
        <f t="shared" ref="BX715:CA715" si="2257">AX715-$BU715</f>
        <v>-1000</v>
      </c>
      <c r="BY715" s="47">
        <f t="shared" si="2257"/>
        <v>-1000</v>
      </c>
      <c r="BZ715" s="47">
        <f t="shared" si="2257"/>
        <v>-1000</v>
      </c>
      <c r="CA715" s="47">
        <f t="shared" si="2257"/>
        <v>-1000</v>
      </c>
      <c r="CB715" s="47">
        <f t="shared" si="15"/>
        <v>-10000</v>
      </c>
      <c r="CC715" s="47">
        <f t="shared" ref="CC715:CQ715" si="2258">BC715-$BU715</f>
        <v>-1000</v>
      </c>
      <c r="CD715" s="47">
        <f t="shared" si="2258"/>
        <v>-1000</v>
      </c>
      <c r="CE715" s="47">
        <f t="shared" si="2258"/>
        <v>-1000</v>
      </c>
      <c r="CF715" s="47">
        <f t="shared" si="2258"/>
        <v>-1000</v>
      </c>
      <c r="CG715" s="47">
        <f t="shared" si="2258"/>
        <v>-1000</v>
      </c>
      <c r="CH715" s="47">
        <f t="shared" si="2258"/>
        <v>-650</v>
      </c>
      <c r="CI715" s="47">
        <f t="shared" si="2258"/>
        <v>-1000</v>
      </c>
      <c r="CJ715" s="47">
        <f t="shared" si="2258"/>
        <v>-1000</v>
      </c>
      <c r="CK715" s="47">
        <f t="shared" si="2258"/>
        <v>-1000</v>
      </c>
      <c r="CL715" s="47">
        <f t="shared" si="2258"/>
        <v>-1000</v>
      </c>
      <c r="CM715" s="47">
        <f t="shared" si="2258"/>
        <v>-1000</v>
      </c>
      <c r="CN715" s="47">
        <f t="shared" si="2258"/>
        <v>-1000</v>
      </c>
      <c r="CO715" s="47">
        <f t="shared" si="2258"/>
        <v>-1000</v>
      </c>
      <c r="CP715" s="47">
        <f t="shared" si="2258"/>
        <v>-1000</v>
      </c>
      <c r="CQ715" s="47">
        <f t="shared" si="2258"/>
        <v>-1000</v>
      </c>
      <c r="CR715" s="47"/>
      <c r="CS715" s="47"/>
      <c r="CT715" s="47"/>
      <c r="CU715" s="74"/>
      <c r="CV715" s="74"/>
      <c r="CW715" s="74" t="str">
        <f>IFERROR(__xludf.DUMMYFUNCTION("IF(REGEXMATCH(UPPER(CU715), ""DALLAS""),,CU715)"),"")</f>
        <v/>
      </c>
      <c r="CX715" s="74"/>
      <c r="CY715" s="74"/>
      <c r="CZ715" s="74"/>
      <c r="DA715" s="75"/>
      <c r="DB715" s="74"/>
      <c r="DC715" s="74"/>
      <c r="DD715" s="74"/>
      <c r="DE715" s="74"/>
      <c r="DF715" s="74"/>
      <c r="DG715" s="74"/>
      <c r="DH715" s="74"/>
      <c r="DI715" s="74"/>
      <c r="DJ715" s="74"/>
      <c r="DK715" s="74"/>
      <c r="DL715" s="74"/>
      <c r="DM715" s="74"/>
      <c r="DN715" s="74"/>
      <c r="DO715" s="74"/>
      <c r="DP715" s="74"/>
      <c r="DQ715" s="74"/>
      <c r="DR715" s="74"/>
      <c r="DS715" s="74"/>
      <c r="DT715" s="74"/>
      <c r="DU715" s="74"/>
      <c r="DV715" s="74"/>
      <c r="DW715" s="74"/>
    </row>
    <row r="716">
      <c r="A716" s="23" t="s">
        <v>64</v>
      </c>
      <c r="B716" s="23" t="s">
        <v>56</v>
      </c>
      <c r="C716" s="31" t="s">
        <v>1883</v>
      </c>
      <c r="D716" s="25" t="str">
        <f>IFERROR(__xludf.DUMMYFUNCTION("SPLIT(C716,"" "")"),"Morgan,")</f>
        <v>Morgan,</v>
      </c>
      <c r="E716" s="22" t="str">
        <f>IFERROR(__xludf.DUMMYFUNCTION("""COMPUTED_VALUE"""),"Murray
9931")</f>
        <v>Murray
9931</v>
      </c>
      <c r="F716" s="22" t="str">
        <f>IFERROR(__xludf.DUMMYFUNCTION("""COMPUTED_VALUE"""),"Wood")</f>
        <v>Wood</v>
      </c>
      <c r="G716" s="22" t="str">
        <f>IFERROR(__xludf.DUMMYFUNCTION("""COMPUTED_VALUE"""),"Forest")</f>
        <v>Forest</v>
      </c>
      <c r="H716" s="22" t="str">
        <f>IFERROR(__xludf.DUMMYFUNCTION("""COMPUTED_VALUE"""),"Dr
Dallas,")</f>
        <v>Dr
Dallas,</v>
      </c>
      <c r="I716" s="22" t="str">
        <f>IFERROR(__xludf.DUMMYFUNCTION("""COMPUTED_VALUE"""),"TX")</f>
        <v>TX</v>
      </c>
      <c r="J716" s="22">
        <f>IFERROR(__xludf.DUMMYFUNCTION("""COMPUTED_VALUE"""),75243.0)</f>
        <v>75243</v>
      </c>
      <c r="K716" s="22"/>
      <c r="L716" s="22"/>
      <c r="M716" s="22"/>
      <c r="N716" s="22"/>
      <c r="O716" s="22"/>
      <c r="P716" s="22"/>
      <c r="Q716" s="22"/>
      <c r="R716" s="22"/>
      <c r="S716" s="22"/>
      <c r="T716" s="22"/>
      <c r="U716" s="24" t="str">
        <f>IFERROR(__xludf.DUMMYFUNCTION("SPLIT(E716,""01234567890"")"),"Murray
")</f>
        <v>Murray
</v>
      </c>
      <c r="V716" s="24" t="str">
        <f>IFERROR(__xludf.DUMMYFUNCTION("SPLIT(D716,"","")"),"Morgan")</f>
        <v>Morgan</v>
      </c>
      <c r="W716" s="25" t="str">
        <f t="shared" si="1"/>
        <v>MURRAY
 MORGAN</v>
      </c>
      <c r="X716" s="25" t="s">
        <v>1884</v>
      </c>
      <c r="Y716" s="25">
        <v>75243.0</v>
      </c>
      <c r="Z716" s="25" t="str">
        <f>IFERROR(__xludf.DUMMYFUNCTION("SPLIT(C716,""
"")"),"Morgan, Murray")</f>
        <v>Morgan, Murray</v>
      </c>
      <c r="AA716" s="25" t="str">
        <f>IFERROR(__xludf.DUMMYFUNCTION("""COMPUTED_VALUE"""),"9931 Wood Forest Dr")</f>
        <v>9931 Wood Forest Dr</v>
      </c>
      <c r="AB716" s="25" t="str">
        <f>IFERROR(__xludf.DUMMYFUNCTION("""COMPUTED_VALUE"""),"Dallas, TX 75243")</f>
        <v>Dallas, TX 75243</v>
      </c>
      <c r="AC716" s="24" t="s">
        <v>1885</v>
      </c>
      <c r="AD716" s="25"/>
      <c r="AE716" s="25"/>
      <c r="AF716" s="25"/>
      <c r="AG716" s="22" t="s">
        <v>60</v>
      </c>
      <c r="AH716" s="54">
        <v>2477.0</v>
      </c>
      <c r="AI716" s="22" t="s">
        <v>68</v>
      </c>
      <c r="AJ716" s="27">
        <v>500.0</v>
      </c>
      <c r="AK716" s="31" t="s">
        <v>26</v>
      </c>
      <c r="AL716" s="28">
        <v>44897.0</v>
      </c>
      <c r="AM716" s="29">
        <v>44940.42346064815</v>
      </c>
      <c r="AN716" s="30">
        <v>2.0</v>
      </c>
      <c r="AO716" s="22"/>
      <c r="AP716" s="22"/>
      <c r="AQ716" s="22"/>
      <c r="AR716" s="22"/>
      <c r="AS716" s="22"/>
      <c r="AT716" s="70"/>
      <c r="AU716" s="22"/>
      <c r="AV716" s="57" t="str">
        <f>IFERROR(__xludf.DUMMYFUNCTION("""COMPUTED_VALUE"""),"Zale")</f>
        <v>Zale</v>
      </c>
      <c r="AW716" s="46">
        <f t="shared" si="7"/>
        <v>1000</v>
      </c>
      <c r="AX716" s="47">
        <f t="shared" ref="AX716:BQ716" si="2259">SUMIFS($AJ:$AJ,$V:$V,$AV716,$AK:$AK,AX$2)</f>
        <v>0</v>
      </c>
      <c r="AY716" s="48">
        <f t="shared" si="2259"/>
        <v>0</v>
      </c>
      <c r="AZ716" s="48">
        <f t="shared" si="2259"/>
        <v>0</v>
      </c>
      <c r="BA716" s="48">
        <f t="shared" si="2259"/>
        <v>0</v>
      </c>
      <c r="BB716" s="48">
        <f t="shared" si="2259"/>
        <v>0</v>
      </c>
      <c r="BC716" s="48">
        <f t="shared" si="2259"/>
        <v>0</v>
      </c>
      <c r="BD716" s="48">
        <f t="shared" si="2259"/>
        <v>0</v>
      </c>
      <c r="BE716" s="48">
        <f t="shared" si="2259"/>
        <v>0</v>
      </c>
      <c r="BF716" s="48">
        <f t="shared" si="2259"/>
        <v>0</v>
      </c>
      <c r="BG716" s="48">
        <f t="shared" si="2259"/>
        <v>0</v>
      </c>
      <c r="BH716" s="48">
        <f t="shared" si="2259"/>
        <v>1000</v>
      </c>
      <c r="BI716" s="48">
        <f t="shared" si="2259"/>
        <v>0</v>
      </c>
      <c r="BJ716" s="48">
        <f t="shared" si="2259"/>
        <v>0</v>
      </c>
      <c r="BK716" s="48">
        <f t="shared" si="2259"/>
        <v>0</v>
      </c>
      <c r="BL716" s="48">
        <f t="shared" si="2259"/>
        <v>0</v>
      </c>
      <c r="BM716" s="48">
        <f t="shared" si="2259"/>
        <v>0</v>
      </c>
      <c r="BN716" s="48">
        <f t="shared" si="2259"/>
        <v>0</v>
      </c>
      <c r="BO716" s="48">
        <f t="shared" si="2259"/>
        <v>0</v>
      </c>
      <c r="BP716" s="48">
        <f t="shared" si="2259"/>
        <v>0</v>
      </c>
      <c r="BQ716" s="48">
        <f t="shared" si="2259"/>
        <v>0</v>
      </c>
      <c r="BR716" s="36">
        <f t="shared" si="9"/>
        <v>0</v>
      </c>
      <c r="BS716" s="38">
        <f t="shared" si="10"/>
        <v>1</v>
      </c>
      <c r="BT716" s="49">
        <f t="shared" si="11"/>
        <v>0</v>
      </c>
      <c r="BU716" s="38">
        <f t="shared" si="12"/>
        <v>1000</v>
      </c>
      <c r="BV716" s="57" t="str">
        <f>IFERROR(__xludf.DUMMYFUNCTION("""COMPUTED_VALUE"""),"Zale")</f>
        <v>Zale</v>
      </c>
      <c r="BW716" s="46">
        <f t="shared" si="13"/>
        <v>1000</v>
      </c>
      <c r="BX716" s="47">
        <f t="shared" ref="BX716:CA716" si="2260">AX716-$BU716</f>
        <v>-1000</v>
      </c>
      <c r="BY716" s="47">
        <f t="shared" si="2260"/>
        <v>-1000</v>
      </c>
      <c r="BZ716" s="47">
        <f t="shared" si="2260"/>
        <v>-1000</v>
      </c>
      <c r="CA716" s="47">
        <f t="shared" si="2260"/>
        <v>-1000</v>
      </c>
      <c r="CB716" s="47">
        <f t="shared" si="15"/>
        <v>-10000</v>
      </c>
      <c r="CC716" s="47">
        <f t="shared" ref="CC716:CQ716" si="2261">BC716-$BU716</f>
        <v>-1000</v>
      </c>
      <c r="CD716" s="47">
        <f t="shared" si="2261"/>
        <v>-1000</v>
      </c>
      <c r="CE716" s="47">
        <f t="shared" si="2261"/>
        <v>-1000</v>
      </c>
      <c r="CF716" s="47">
        <f t="shared" si="2261"/>
        <v>-1000</v>
      </c>
      <c r="CG716" s="47">
        <f t="shared" si="2261"/>
        <v>-1000</v>
      </c>
      <c r="CH716" s="47">
        <f t="shared" si="2261"/>
        <v>0</v>
      </c>
      <c r="CI716" s="47">
        <f t="shared" si="2261"/>
        <v>-1000</v>
      </c>
      <c r="CJ716" s="47">
        <f t="shared" si="2261"/>
        <v>-1000</v>
      </c>
      <c r="CK716" s="47">
        <f t="shared" si="2261"/>
        <v>-1000</v>
      </c>
      <c r="CL716" s="47">
        <f t="shared" si="2261"/>
        <v>-1000</v>
      </c>
      <c r="CM716" s="47">
        <f t="shared" si="2261"/>
        <v>-1000</v>
      </c>
      <c r="CN716" s="47">
        <f t="shared" si="2261"/>
        <v>-1000</v>
      </c>
      <c r="CO716" s="47">
        <f t="shared" si="2261"/>
        <v>-1000</v>
      </c>
      <c r="CP716" s="47">
        <f t="shared" si="2261"/>
        <v>-1000</v>
      </c>
      <c r="CQ716" s="47">
        <f t="shared" si="2261"/>
        <v>-1000</v>
      </c>
      <c r="CR716" s="47"/>
      <c r="CS716" s="47"/>
      <c r="CT716" s="47"/>
      <c r="CU716" s="74"/>
      <c r="CV716" s="74"/>
      <c r="CW716" s="74" t="str">
        <f>IFERROR(__xludf.DUMMYFUNCTION("IF(REGEXMATCH(UPPER(CU716), ""DALLAS""),,CU716)"),"")</f>
        <v/>
      </c>
      <c r="CX716" s="74"/>
      <c r="CY716" s="74"/>
      <c r="CZ716" s="74"/>
      <c r="DA716" s="75"/>
      <c r="DB716" s="74"/>
      <c r="DC716" s="74"/>
      <c r="DD716" s="74"/>
      <c r="DE716" s="74"/>
      <c r="DF716" s="74"/>
      <c r="DG716" s="74"/>
      <c r="DH716" s="74"/>
      <c r="DI716" s="74"/>
      <c r="DJ716" s="74"/>
      <c r="DK716" s="74"/>
      <c r="DL716" s="74"/>
      <c r="DM716" s="74"/>
      <c r="DN716" s="74"/>
      <c r="DO716" s="74"/>
      <c r="DP716" s="74"/>
      <c r="DQ716" s="74"/>
      <c r="DR716" s="74"/>
      <c r="DS716" s="74"/>
      <c r="DT716" s="74"/>
      <c r="DU716" s="74"/>
      <c r="DV716" s="74"/>
      <c r="DW716" s="74"/>
    </row>
    <row r="717">
      <c r="A717" s="41" t="s">
        <v>64</v>
      </c>
      <c r="B717" s="41" t="s">
        <v>56</v>
      </c>
      <c r="C717" s="31" t="s">
        <v>1886</v>
      </c>
      <c r="D717" s="25" t="str">
        <f>IFERROR(__xludf.DUMMYFUNCTION("SPLIT(C717,"" "")"),"Rafkin,")</f>
        <v>Rafkin,</v>
      </c>
      <c r="E717" s="40" t="str">
        <f>IFERROR(__xludf.DUMMYFUNCTION("""COMPUTED_VALUE"""),"William
3601")</f>
        <v>William
3601</v>
      </c>
      <c r="F717" s="40" t="str">
        <f>IFERROR(__xludf.DUMMYFUNCTION("""COMPUTED_VALUE"""),"Turtle")</f>
        <v>Turtle</v>
      </c>
      <c r="G717" s="40" t="str">
        <f>IFERROR(__xludf.DUMMYFUNCTION("""COMPUTED_VALUE"""),"Creek")</f>
        <v>Creek</v>
      </c>
      <c r="H717" s="40" t="str">
        <f>IFERROR(__xludf.DUMMYFUNCTION("""COMPUTED_VALUE"""),"Blvd
Dallas,")</f>
        <v>Blvd
Dallas,</v>
      </c>
      <c r="I717" s="40" t="str">
        <f>IFERROR(__xludf.DUMMYFUNCTION("""COMPUTED_VALUE"""),"TX")</f>
        <v>TX</v>
      </c>
      <c r="J717" s="40">
        <f>IFERROR(__xludf.DUMMYFUNCTION("""COMPUTED_VALUE"""),75219.0)</f>
        <v>75219</v>
      </c>
      <c r="K717" s="40"/>
      <c r="L717" s="40"/>
      <c r="M717" s="40"/>
      <c r="N717" s="40"/>
      <c r="O717" s="40"/>
      <c r="P717" s="40"/>
      <c r="Q717" s="40"/>
      <c r="R717" s="40"/>
      <c r="S717" s="40"/>
      <c r="T717" s="40"/>
      <c r="U717" s="24" t="str">
        <f>IFERROR(__xludf.DUMMYFUNCTION("SPLIT(E717,""01234567890"")"),"William
")</f>
        <v>William
</v>
      </c>
      <c r="V717" s="24" t="str">
        <f>IFERROR(__xludf.DUMMYFUNCTION("SPLIT(D717,"","")"),"Rafkin")</f>
        <v>Rafkin</v>
      </c>
      <c r="W717" s="25" t="str">
        <f t="shared" si="1"/>
        <v>WILLIAM
 RAFKIN</v>
      </c>
      <c r="X717" s="25" t="s">
        <v>1887</v>
      </c>
      <c r="Y717" s="25">
        <v>75219.0</v>
      </c>
      <c r="Z717" s="25" t="str">
        <f>IFERROR(__xludf.DUMMYFUNCTION("SPLIT(C717,""
"")"),"Rafkin, William")</f>
        <v>Rafkin, William</v>
      </c>
      <c r="AA717" s="25" t="str">
        <f>IFERROR(__xludf.DUMMYFUNCTION("""COMPUTED_VALUE"""),"3601 Turtle Creek Blvd")</f>
        <v>3601 Turtle Creek Blvd</v>
      </c>
      <c r="AB717" s="25" t="str">
        <f>IFERROR(__xludf.DUMMYFUNCTION("""COMPUTED_VALUE"""),"Dallas, TX 75219")</f>
        <v>Dallas, TX 75219</v>
      </c>
      <c r="AC717" s="24" t="s">
        <v>1888</v>
      </c>
      <c r="AD717" s="25"/>
      <c r="AE717" s="25"/>
      <c r="AF717" s="25"/>
      <c r="AG717" s="40" t="s">
        <v>60</v>
      </c>
      <c r="AH717" s="42">
        <v>2477.0</v>
      </c>
      <c r="AI717" s="40" t="s">
        <v>68</v>
      </c>
      <c r="AJ717" s="27">
        <v>500.0</v>
      </c>
      <c r="AK717" s="31" t="s">
        <v>26</v>
      </c>
      <c r="AL717" s="43">
        <v>44897.0</v>
      </c>
      <c r="AM717" s="44">
        <v>44940.42346064815</v>
      </c>
      <c r="AN717" s="30">
        <v>2.0</v>
      </c>
      <c r="AO717" s="40"/>
      <c r="AP717" s="40"/>
      <c r="AQ717" s="40"/>
      <c r="AR717" s="40"/>
      <c r="AS717" s="40"/>
      <c r="AT717" s="47"/>
      <c r="AU717" s="40"/>
      <c r="AV717" s="46" t="str">
        <f>IFERROR(__xludf.DUMMYFUNCTION("""COMPUTED_VALUE"""),"West")</f>
        <v>West</v>
      </c>
      <c r="AW717" s="46">
        <f t="shared" si="7"/>
        <v>250</v>
      </c>
      <c r="AX717" s="47">
        <f t="shared" ref="AX717:BQ717" si="2262">SUMIFS($AJ:$AJ,$V:$V,$AV717,$AK:$AK,AX$2)</f>
        <v>0</v>
      </c>
      <c r="AY717" s="48">
        <f t="shared" si="2262"/>
        <v>0</v>
      </c>
      <c r="AZ717" s="48">
        <f t="shared" si="2262"/>
        <v>0</v>
      </c>
      <c r="BA717" s="48">
        <f t="shared" si="2262"/>
        <v>0</v>
      </c>
      <c r="BB717" s="48">
        <f t="shared" si="2262"/>
        <v>0</v>
      </c>
      <c r="BC717" s="48">
        <f t="shared" si="2262"/>
        <v>0</v>
      </c>
      <c r="BD717" s="48">
        <f t="shared" si="2262"/>
        <v>0</v>
      </c>
      <c r="BE717" s="48">
        <f t="shared" si="2262"/>
        <v>0</v>
      </c>
      <c r="BF717" s="48">
        <f t="shared" si="2262"/>
        <v>0</v>
      </c>
      <c r="BG717" s="48">
        <f t="shared" si="2262"/>
        <v>0</v>
      </c>
      <c r="BH717" s="48">
        <f t="shared" si="2262"/>
        <v>250</v>
      </c>
      <c r="BI717" s="48">
        <f t="shared" si="2262"/>
        <v>0</v>
      </c>
      <c r="BJ717" s="48">
        <f t="shared" si="2262"/>
        <v>0</v>
      </c>
      <c r="BK717" s="48">
        <f t="shared" si="2262"/>
        <v>0</v>
      </c>
      <c r="BL717" s="48">
        <f t="shared" si="2262"/>
        <v>0</v>
      </c>
      <c r="BM717" s="48">
        <f t="shared" si="2262"/>
        <v>0</v>
      </c>
      <c r="BN717" s="48">
        <f t="shared" si="2262"/>
        <v>0</v>
      </c>
      <c r="BO717" s="48">
        <f t="shared" si="2262"/>
        <v>0</v>
      </c>
      <c r="BP717" s="48">
        <f t="shared" si="2262"/>
        <v>0</v>
      </c>
      <c r="BQ717" s="48">
        <f t="shared" si="2262"/>
        <v>0</v>
      </c>
      <c r="BR717" s="36">
        <f t="shared" si="9"/>
        <v>0</v>
      </c>
      <c r="BS717" s="38">
        <f t="shared" si="10"/>
        <v>1</v>
      </c>
      <c r="BT717" s="49">
        <f t="shared" si="11"/>
        <v>0</v>
      </c>
      <c r="BU717" s="38">
        <f t="shared" si="12"/>
        <v>1000</v>
      </c>
      <c r="BV717" s="46" t="str">
        <f>IFERROR(__xludf.DUMMYFUNCTION("""COMPUTED_VALUE"""),"West")</f>
        <v>West</v>
      </c>
      <c r="BW717" s="46">
        <f t="shared" si="13"/>
        <v>250</v>
      </c>
      <c r="BX717" s="47">
        <f t="shared" ref="BX717:CA717" si="2263">AX717-$BU717</f>
        <v>-1000</v>
      </c>
      <c r="BY717" s="47">
        <f t="shared" si="2263"/>
        <v>-1000</v>
      </c>
      <c r="BZ717" s="47">
        <f t="shared" si="2263"/>
        <v>-1000</v>
      </c>
      <c r="CA717" s="47">
        <f t="shared" si="2263"/>
        <v>-1000</v>
      </c>
      <c r="CB717" s="47">
        <f t="shared" si="15"/>
        <v>-10000</v>
      </c>
      <c r="CC717" s="47">
        <f t="shared" ref="CC717:CQ717" si="2264">BC717-$BU717</f>
        <v>-1000</v>
      </c>
      <c r="CD717" s="47">
        <f t="shared" si="2264"/>
        <v>-1000</v>
      </c>
      <c r="CE717" s="47">
        <f t="shared" si="2264"/>
        <v>-1000</v>
      </c>
      <c r="CF717" s="47">
        <f t="shared" si="2264"/>
        <v>-1000</v>
      </c>
      <c r="CG717" s="47">
        <f t="shared" si="2264"/>
        <v>-1000</v>
      </c>
      <c r="CH717" s="47">
        <f t="shared" si="2264"/>
        <v>-750</v>
      </c>
      <c r="CI717" s="47">
        <f t="shared" si="2264"/>
        <v>-1000</v>
      </c>
      <c r="CJ717" s="47">
        <f t="shared" si="2264"/>
        <v>-1000</v>
      </c>
      <c r="CK717" s="47">
        <f t="shared" si="2264"/>
        <v>-1000</v>
      </c>
      <c r="CL717" s="47">
        <f t="shared" si="2264"/>
        <v>-1000</v>
      </c>
      <c r="CM717" s="47">
        <f t="shared" si="2264"/>
        <v>-1000</v>
      </c>
      <c r="CN717" s="47">
        <f t="shared" si="2264"/>
        <v>-1000</v>
      </c>
      <c r="CO717" s="47">
        <f t="shared" si="2264"/>
        <v>-1000</v>
      </c>
      <c r="CP717" s="47">
        <f t="shared" si="2264"/>
        <v>-1000</v>
      </c>
      <c r="CQ717" s="47">
        <f t="shared" si="2264"/>
        <v>-1000</v>
      </c>
      <c r="CR717" s="47"/>
      <c r="CS717" s="47"/>
      <c r="CT717" s="47"/>
      <c r="CU717" s="74"/>
      <c r="CV717" s="74"/>
      <c r="CW717" s="74" t="str">
        <f>IFERROR(__xludf.DUMMYFUNCTION("IF(REGEXMATCH(UPPER(CU717), ""DALLAS""),,CU717)"),"")</f>
        <v/>
      </c>
      <c r="CX717" s="74"/>
      <c r="CY717" s="74"/>
      <c r="CZ717" s="74"/>
      <c r="DA717" s="75"/>
      <c r="DB717" s="74"/>
      <c r="DC717" s="74"/>
      <c r="DD717" s="74"/>
      <c r="DE717" s="74"/>
      <c r="DF717" s="74"/>
      <c r="DG717" s="74"/>
      <c r="DH717" s="74"/>
      <c r="DI717" s="74"/>
      <c r="DJ717" s="74"/>
      <c r="DK717" s="74"/>
      <c r="DL717" s="74"/>
      <c r="DM717" s="74"/>
      <c r="DN717" s="74"/>
      <c r="DO717" s="74"/>
      <c r="DP717" s="74"/>
      <c r="DQ717" s="74"/>
      <c r="DR717" s="74"/>
      <c r="DS717" s="74"/>
      <c r="DT717" s="74"/>
      <c r="DU717" s="74"/>
      <c r="DV717" s="74"/>
      <c r="DW717" s="74"/>
    </row>
    <row r="718">
      <c r="A718" s="23" t="s">
        <v>64</v>
      </c>
      <c r="B718" s="23" t="s">
        <v>56</v>
      </c>
      <c r="C718" s="31" t="s">
        <v>1889</v>
      </c>
      <c r="D718" s="25" t="str">
        <f>IFERROR(__xludf.DUMMYFUNCTION("SPLIT(C718,"" "")"),"Duval,")</f>
        <v>Duval,</v>
      </c>
      <c r="E718" s="22" t="str">
        <f>IFERROR(__xludf.DUMMYFUNCTION("""COMPUTED_VALUE"""),"Greg
9218")</f>
        <v>Greg
9218</v>
      </c>
      <c r="F718" s="22" t="str">
        <f>IFERROR(__xludf.DUMMYFUNCTION("""COMPUTED_VALUE"""),"Loma")</f>
        <v>Loma</v>
      </c>
      <c r="G718" s="22" t="str">
        <f>IFERROR(__xludf.DUMMYFUNCTION("""COMPUTED_VALUE"""),"Vista
Dallas,")</f>
        <v>Vista
Dallas,</v>
      </c>
      <c r="H718" s="22" t="str">
        <f>IFERROR(__xludf.DUMMYFUNCTION("""COMPUTED_VALUE"""),"TX")</f>
        <v>TX</v>
      </c>
      <c r="I718" s="22">
        <f>IFERROR(__xludf.DUMMYFUNCTION("""COMPUTED_VALUE"""),75243.0)</f>
        <v>75243</v>
      </c>
      <c r="J718" s="22"/>
      <c r="K718" s="22"/>
      <c r="L718" s="22"/>
      <c r="M718" s="22"/>
      <c r="N718" s="22"/>
      <c r="O718" s="22"/>
      <c r="P718" s="22"/>
      <c r="Q718" s="22"/>
      <c r="R718" s="22"/>
      <c r="S718" s="22"/>
      <c r="T718" s="22"/>
      <c r="U718" s="24" t="str">
        <f>IFERROR(__xludf.DUMMYFUNCTION("SPLIT(E718,""01234567890"")"),"Greg
")</f>
        <v>Greg
</v>
      </c>
      <c r="V718" s="24" t="str">
        <f>IFERROR(__xludf.DUMMYFUNCTION("SPLIT(D718,"","")"),"Duval")</f>
        <v>Duval</v>
      </c>
      <c r="W718" s="25" t="str">
        <f t="shared" si="1"/>
        <v>GREG
 DUVAL</v>
      </c>
      <c r="X718" s="25" t="s">
        <v>1890</v>
      </c>
      <c r="Y718" s="25">
        <v>75243.0</v>
      </c>
      <c r="Z718" s="25" t="str">
        <f>IFERROR(__xludf.DUMMYFUNCTION("SPLIT(C718,""
"")"),"Duval, Greg")</f>
        <v>Duval, Greg</v>
      </c>
      <c r="AA718" s="25" t="str">
        <f>IFERROR(__xludf.DUMMYFUNCTION("""COMPUTED_VALUE"""),"9218 Loma Vista")</f>
        <v>9218 Loma Vista</v>
      </c>
      <c r="AB718" s="25" t="str">
        <f>IFERROR(__xludf.DUMMYFUNCTION("""COMPUTED_VALUE"""),"Dallas, TX 75243")</f>
        <v>Dallas, TX 75243</v>
      </c>
      <c r="AC718" s="24" t="s">
        <v>1891</v>
      </c>
      <c r="AD718" s="25"/>
      <c r="AE718" s="25"/>
      <c r="AF718" s="25"/>
      <c r="AG718" s="22" t="s">
        <v>60</v>
      </c>
      <c r="AH718" s="54">
        <v>2477.0</v>
      </c>
      <c r="AI718" s="22" t="s">
        <v>68</v>
      </c>
      <c r="AJ718" s="27">
        <v>100.0</v>
      </c>
      <c r="AK718" s="31" t="s">
        <v>26</v>
      </c>
      <c r="AL718" s="28">
        <v>44897.0</v>
      </c>
      <c r="AM718" s="29">
        <v>44940.42346064815</v>
      </c>
      <c r="AN718" s="30">
        <v>2.0</v>
      </c>
      <c r="AO718" s="22"/>
      <c r="AP718" s="22"/>
      <c r="AQ718" s="22"/>
      <c r="AR718" s="22"/>
      <c r="AS718" s="22"/>
      <c r="AT718" s="70"/>
      <c r="AU718" s="22"/>
      <c r="AV718" s="57" t="str">
        <f>IFERROR(__xludf.DUMMYFUNCTION("""COMPUTED_VALUE"""),"Friedland")</f>
        <v>Friedland</v>
      </c>
      <c r="AW718" s="46">
        <f t="shared" si="7"/>
        <v>500</v>
      </c>
      <c r="AX718" s="47">
        <f t="shared" ref="AX718:BQ718" si="2265">SUMIFS($AJ:$AJ,$V:$V,$AV718,$AK:$AK,AX$2)</f>
        <v>0</v>
      </c>
      <c r="AY718" s="48">
        <f t="shared" si="2265"/>
        <v>0</v>
      </c>
      <c r="AZ718" s="48">
        <f t="shared" si="2265"/>
        <v>0</v>
      </c>
      <c r="BA718" s="48">
        <f t="shared" si="2265"/>
        <v>0</v>
      </c>
      <c r="BB718" s="48">
        <f t="shared" si="2265"/>
        <v>0</v>
      </c>
      <c r="BC718" s="48">
        <f t="shared" si="2265"/>
        <v>0</v>
      </c>
      <c r="BD718" s="48">
        <f t="shared" si="2265"/>
        <v>0</v>
      </c>
      <c r="BE718" s="48">
        <f t="shared" si="2265"/>
        <v>0</v>
      </c>
      <c r="BF718" s="48">
        <f t="shared" si="2265"/>
        <v>0</v>
      </c>
      <c r="BG718" s="48">
        <f t="shared" si="2265"/>
        <v>0</v>
      </c>
      <c r="BH718" s="48">
        <f t="shared" si="2265"/>
        <v>500</v>
      </c>
      <c r="BI718" s="48">
        <f t="shared" si="2265"/>
        <v>0</v>
      </c>
      <c r="BJ718" s="48">
        <f t="shared" si="2265"/>
        <v>0</v>
      </c>
      <c r="BK718" s="48">
        <f t="shared" si="2265"/>
        <v>0</v>
      </c>
      <c r="BL718" s="48">
        <f t="shared" si="2265"/>
        <v>0</v>
      </c>
      <c r="BM718" s="48">
        <f t="shared" si="2265"/>
        <v>0</v>
      </c>
      <c r="BN718" s="48">
        <f t="shared" si="2265"/>
        <v>0</v>
      </c>
      <c r="BO718" s="48">
        <f t="shared" si="2265"/>
        <v>0</v>
      </c>
      <c r="BP718" s="48">
        <f t="shared" si="2265"/>
        <v>0</v>
      </c>
      <c r="BQ718" s="48">
        <f t="shared" si="2265"/>
        <v>0</v>
      </c>
      <c r="BR718" s="36">
        <f t="shared" si="9"/>
        <v>0</v>
      </c>
      <c r="BS718" s="38">
        <f t="shared" si="10"/>
        <v>1</v>
      </c>
      <c r="BT718" s="49">
        <f t="shared" si="11"/>
        <v>0</v>
      </c>
      <c r="BU718" s="38">
        <f t="shared" si="12"/>
        <v>1000</v>
      </c>
      <c r="BV718" s="57" t="str">
        <f>IFERROR(__xludf.DUMMYFUNCTION("""COMPUTED_VALUE"""),"Friedland")</f>
        <v>Friedland</v>
      </c>
      <c r="BW718" s="46">
        <f t="shared" si="13"/>
        <v>500</v>
      </c>
      <c r="BX718" s="47">
        <f t="shared" ref="BX718:CA718" si="2266">AX718-$BU718</f>
        <v>-1000</v>
      </c>
      <c r="BY718" s="47">
        <f t="shared" si="2266"/>
        <v>-1000</v>
      </c>
      <c r="BZ718" s="47">
        <f t="shared" si="2266"/>
        <v>-1000</v>
      </c>
      <c r="CA718" s="47">
        <f t="shared" si="2266"/>
        <v>-1000</v>
      </c>
      <c r="CB718" s="47">
        <f t="shared" si="15"/>
        <v>-10000</v>
      </c>
      <c r="CC718" s="47">
        <f t="shared" ref="CC718:CQ718" si="2267">BC718-$BU718</f>
        <v>-1000</v>
      </c>
      <c r="CD718" s="47">
        <f t="shared" si="2267"/>
        <v>-1000</v>
      </c>
      <c r="CE718" s="47">
        <f t="shared" si="2267"/>
        <v>-1000</v>
      </c>
      <c r="CF718" s="47">
        <f t="shared" si="2267"/>
        <v>-1000</v>
      </c>
      <c r="CG718" s="47">
        <f t="shared" si="2267"/>
        <v>-1000</v>
      </c>
      <c r="CH718" s="47">
        <f t="shared" si="2267"/>
        <v>-500</v>
      </c>
      <c r="CI718" s="47">
        <f t="shared" si="2267"/>
        <v>-1000</v>
      </c>
      <c r="CJ718" s="47">
        <f t="shared" si="2267"/>
        <v>-1000</v>
      </c>
      <c r="CK718" s="47">
        <f t="shared" si="2267"/>
        <v>-1000</v>
      </c>
      <c r="CL718" s="47">
        <f t="shared" si="2267"/>
        <v>-1000</v>
      </c>
      <c r="CM718" s="47">
        <f t="shared" si="2267"/>
        <v>-1000</v>
      </c>
      <c r="CN718" s="47">
        <f t="shared" si="2267"/>
        <v>-1000</v>
      </c>
      <c r="CO718" s="47">
        <f t="shared" si="2267"/>
        <v>-1000</v>
      </c>
      <c r="CP718" s="47">
        <f t="shared" si="2267"/>
        <v>-1000</v>
      </c>
      <c r="CQ718" s="47">
        <f t="shared" si="2267"/>
        <v>-1000</v>
      </c>
      <c r="CR718" s="47"/>
      <c r="CS718" s="47"/>
      <c r="CT718" s="47"/>
      <c r="CU718" s="74"/>
      <c r="CV718" s="74"/>
      <c r="CW718" s="74" t="str">
        <f>IFERROR(__xludf.DUMMYFUNCTION("IF(REGEXMATCH(UPPER(CU718), ""DALLAS""),,CU718)"),"")</f>
        <v/>
      </c>
      <c r="CX718" s="74"/>
      <c r="CY718" s="74"/>
      <c r="CZ718" s="74"/>
      <c r="DA718" s="75"/>
      <c r="DB718" s="74"/>
      <c r="DC718" s="74"/>
      <c r="DD718" s="74"/>
      <c r="DE718" s="74"/>
      <c r="DF718" s="74"/>
      <c r="DG718" s="74"/>
      <c r="DH718" s="74"/>
      <c r="DI718" s="74"/>
      <c r="DJ718" s="74"/>
      <c r="DK718" s="74"/>
      <c r="DL718" s="74"/>
      <c r="DM718" s="74"/>
      <c r="DN718" s="74"/>
      <c r="DO718" s="74"/>
      <c r="DP718" s="74"/>
      <c r="DQ718" s="74"/>
      <c r="DR718" s="74"/>
      <c r="DS718" s="74"/>
      <c r="DT718" s="74"/>
      <c r="DU718" s="74"/>
      <c r="DV718" s="74"/>
      <c r="DW718" s="74"/>
    </row>
    <row r="719">
      <c r="A719" s="41" t="s">
        <v>64</v>
      </c>
      <c r="B719" s="41" t="s">
        <v>56</v>
      </c>
      <c r="C719" s="31" t="s">
        <v>85</v>
      </c>
      <c r="D719" s="25" t="str">
        <f>IFERROR(__xludf.DUMMYFUNCTION("SPLIT(C719,"" "")"),"Adam")</f>
        <v>Adam</v>
      </c>
      <c r="E719" s="40" t="str">
        <f>IFERROR(__xludf.DUMMYFUNCTION("""COMPUTED_VALUE"""),"McGough")</f>
        <v>McGough</v>
      </c>
      <c r="F719" s="40" t="str">
        <f>IFERROR(__xludf.DUMMYFUNCTION("""COMPUTED_VALUE"""),"for")</f>
        <v>for</v>
      </c>
      <c r="G719" s="40" t="str">
        <f>IFERROR(__xludf.DUMMYFUNCTION("""COMPUTED_VALUE"""),"Dallas")</f>
        <v>Dallas</v>
      </c>
      <c r="H719" s="40" t="str">
        <f>IFERROR(__xludf.DUMMYFUNCTION("""COMPUTED_VALUE"""),"Election")</f>
        <v>Election</v>
      </c>
      <c r="I719" s="40" t="str">
        <f>IFERROR(__xludf.DUMMYFUNCTION("""COMPUTED_VALUE"""),"Committee
5931")</f>
        <v>Committee
5931</v>
      </c>
      <c r="J719" s="40" t="str">
        <f>IFERROR(__xludf.DUMMYFUNCTION("""COMPUTED_VALUE"""),"Greenville")</f>
        <v>Greenville</v>
      </c>
      <c r="K719" s="40" t="str">
        <f>IFERROR(__xludf.DUMMYFUNCTION("""COMPUTED_VALUE"""),"Ave
Dallas,")</f>
        <v>Ave
Dallas,</v>
      </c>
      <c r="L719" s="40" t="str">
        <f>IFERROR(__xludf.DUMMYFUNCTION("""COMPUTED_VALUE"""),"TX")</f>
        <v>TX</v>
      </c>
      <c r="M719" s="40">
        <f>IFERROR(__xludf.DUMMYFUNCTION("""COMPUTED_VALUE"""),75206.0)</f>
        <v>75206</v>
      </c>
      <c r="N719" s="40"/>
      <c r="O719" s="40"/>
      <c r="P719" s="40"/>
      <c r="Q719" s="40"/>
      <c r="R719" s="40"/>
      <c r="S719" s="40"/>
      <c r="T719" s="40"/>
      <c r="U719" s="24" t="str">
        <f>IFERROR(__xludf.DUMMYFUNCTION("SPLIT(E719,""01234567890"")"),"McGough")</f>
        <v>McGough</v>
      </c>
      <c r="V719" s="24" t="str">
        <f>IFERROR(__xludf.DUMMYFUNCTION("SPLIT(D719,"","")"),"Adam")</f>
        <v>Adam</v>
      </c>
      <c r="W719" s="25" t="str">
        <f t="shared" si="1"/>
        <v>MCGOUGH ADAM</v>
      </c>
      <c r="X719" s="25" t="s">
        <v>86</v>
      </c>
      <c r="Y719" s="25">
        <v>75206.0</v>
      </c>
      <c r="Z719" s="25" t="str">
        <f>IFERROR(__xludf.DUMMYFUNCTION("SPLIT(C719,""
"")"),"Adam McGough for Dallas Election Committee")</f>
        <v>Adam McGough for Dallas Election Committee</v>
      </c>
      <c r="AA719" s="25" t="str">
        <f>IFERROR(__xludf.DUMMYFUNCTION("""COMPUTED_VALUE"""),"5931 Greenville Ave")</f>
        <v>5931 Greenville Ave</v>
      </c>
      <c r="AB719" s="25" t="str">
        <f>IFERROR(__xludf.DUMMYFUNCTION("""COMPUTED_VALUE"""),"Dallas, TX 75206")</f>
        <v>Dallas, TX 75206</v>
      </c>
      <c r="AC719" s="24" t="s">
        <v>87</v>
      </c>
      <c r="AD719" s="25"/>
      <c r="AE719" s="25"/>
      <c r="AF719" s="25"/>
      <c r="AG719" s="40" t="s">
        <v>60</v>
      </c>
      <c r="AH719" s="42">
        <v>2477.0</v>
      </c>
      <c r="AI719" s="40" t="s">
        <v>68</v>
      </c>
      <c r="AJ719" s="27">
        <v>1000.0</v>
      </c>
      <c r="AK719" s="31" t="s">
        <v>26</v>
      </c>
      <c r="AL719" s="43">
        <v>44883.0</v>
      </c>
      <c r="AM719" s="44">
        <v>44940.42346064815</v>
      </c>
      <c r="AN719" s="30">
        <v>2.0</v>
      </c>
      <c r="AO719" s="40"/>
      <c r="AP719" s="40"/>
      <c r="AQ719" s="40"/>
      <c r="AR719" s="40"/>
      <c r="AS719" s="40"/>
      <c r="AT719" s="47"/>
      <c r="AU719" s="40"/>
      <c r="AV719" s="46" t="str">
        <f>IFERROR(__xludf.DUMMYFUNCTION("""COMPUTED_VALUE"""),"Weiner")</f>
        <v>Weiner</v>
      </c>
      <c r="AW719" s="46">
        <f t="shared" si="7"/>
        <v>118</v>
      </c>
      <c r="AX719" s="47">
        <f t="shared" ref="AX719:BQ719" si="2268">SUMIFS($AJ:$AJ,$V:$V,$AV719,$AK:$AK,AX$2)</f>
        <v>0</v>
      </c>
      <c r="AY719" s="48">
        <f t="shared" si="2268"/>
        <v>0</v>
      </c>
      <c r="AZ719" s="48">
        <f t="shared" si="2268"/>
        <v>0</v>
      </c>
      <c r="BA719" s="48">
        <f t="shared" si="2268"/>
        <v>0</v>
      </c>
      <c r="BB719" s="48">
        <f t="shared" si="2268"/>
        <v>0</v>
      </c>
      <c r="BC719" s="48">
        <f t="shared" si="2268"/>
        <v>0</v>
      </c>
      <c r="BD719" s="48">
        <f t="shared" si="2268"/>
        <v>0</v>
      </c>
      <c r="BE719" s="48">
        <f t="shared" si="2268"/>
        <v>0</v>
      </c>
      <c r="BF719" s="48">
        <f t="shared" si="2268"/>
        <v>0</v>
      </c>
      <c r="BG719" s="48">
        <f t="shared" si="2268"/>
        <v>0</v>
      </c>
      <c r="BH719" s="48">
        <f t="shared" si="2268"/>
        <v>118</v>
      </c>
      <c r="BI719" s="48">
        <f t="shared" si="2268"/>
        <v>0</v>
      </c>
      <c r="BJ719" s="48">
        <f t="shared" si="2268"/>
        <v>0</v>
      </c>
      <c r="BK719" s="48">
        <f t="shared" si="2268"/>
        <v>0</v>
      </c>
      <c r="BL719" s="48">
        <f t="shared" si="2268"/>
        <v>0</v>
      </c>
      <c r="BM719" s="48">
        <f t="shared" si="2268"/>
        <v>0</v>
      </c>
      <c r="BN719" s="48">
        <f t="shared" si="2268"/>
        <v>0</v>
      </c>
      <c r="BO719" s="48">
        <f t="shared" si="2268"/>
        <v>0</v>
      </c>
      <c r="BP719" s="48">
        <f t="shared" si="2268"/>
        <v>0</v>
      </c>
      <c r="BQ719" s="48">
        <f t="shared" si="2268"/>
        <v>0</v>
      </c>
      <c r="BR719" s="36">
        <f t="shared" si="9"/>
        <v>0</v>
      </c>
      <c r="BS719" s="38">
        <f t="shared" si="10"/>
        <v>1</v>
      </c>
      <c r="BT719" s="49">
        <f t="shared" si="11"/>
        <v>0</v>
      </c>
      <c r="BU719" s="38">
        <f t="shared" si="12"/>
        <v>1000</v>
      </c>
      <c r="BV719" s="46" t="str">
        <f>IFERROR(__xludf.DUMMYFUNCTION("""COMPUTED_VALUE"""),"Weiner")</f>
        <v>Weiner</v>
      </c>
      <c r="BW719" s="46">
        <f t="shared" si="13"/>
        <v>118</v>
      </c>
      <c r="BX719" s="47">
        <f t="shared" ref="BX719:CA719" si="2269">AX719-$BU719</f>
        <v>-1000</v>
      </c>
      <c r="BY719" s="47">
        <f t="shared" si="2269"/>
        <v>-1000</v>
      </c>
      <c r="BZ719" s="47">
        <f t="shared" si="2269"/>
        <v>-1000</v>
      </c>
      <c r="CA719" s="47">
        <f t="shared" si="2269"/>
        <v>-1000</v>
      </c>
      <c r="CB719" s="47">
        <f t="shared" si="15"/>
        <v>-10000</v>
      </c>
      <c r="CC719" s="47">
        <f t="shared" ref="CC719:CQ719" si="2270">BC719-$BU719</f>
        <v>-1000</v>
      </c>
      <c r="CD719" s="47">
        <f t="shared" si="2270"/>
        <v>-1000</v>
      </c>
      <c r="CE719" s="47">
        <f t="shared" si="2270"/>
        <v>-1000</v>
      </c>
      <c r="CF719" s="47">
        <f t="shared" si="2270"/>
        <v>-1000</v>
      </c>
      <c r="CG719" s="47">
        <f t="shared" si="2270"/>
        <v>-1000</v>
      </c>
      <c r="CH719" s="47">
        <f t="shared" si="2270"/>
        <v>-882</v>
      </c>
      <c r="CI719" s="47">
        <f t="shared" si="2270"/>
        <v>-1000</v>
      </c>
      <c r="CJ719" s="47">
        <f t="shared" si="2270"/>
        <v>-1000</v>
      </c>
      <c r="CK719" s="47">
        <f t="shared" si="2270"/>
        <v>-1000</v>
      </c>
      <c r="CL719" s="47">
        <f t="shared" si="2270"/>
        <v>-1000</v>
      </c>
      <c r="CM719" s="47">
        <f t="shared" si="2270"/>
        <v>-1000</v>
      </c>
      <c r="CN719" s="47">
        <f t="shared" si="2270"/>
        <v>-1000</v>
      </c>
      <c r="CO719" s="47">
        <f t="shared" si="2270"/>
        <v>-1000</v>
      </c>
      <c r="CP719" s="47">
        <f t="shared" si="2270"/>
        <v>-1000</v>
      </c>
      <c r="CQ719" s="47">
        <f t="shared" si="2270"/>
        <v>-1000</v>
      </c>
      <c r="CR719" s="47"/>
      <c r="CS719" s="47"/>
      <c r="CT719" s="47"/>
      <c r="CU719" s="74"/>
      <c r="CV719" s="74"/>
      <c r="CW719" s="74" t="str">
        <f>IFERROR(__xludf.DUMMYFUNCTION("IF(REGEXMATCH(UPPER(CU719), ""DALLAS""),,CU719)"),"")</f>
        <v/>
      </c>
      <c r="CX719" s="74"/>
      <c r="CY719" s="74"/>
      <c r="CZ719" s="74"/>
      <c r="DA719" s="75"/>
      <c r="DB719" s="74"/>
      <c r="DC719" s="74"/>
      <c r="DD719" s="74"/>
      <c r="DE719" s="74"/>
      <c r="DF719" s="74"/>
      <c r="DG719" s="74"/>
      <c r="DH719" s="74"/>
      <c r="DI719" s="74"/>
      <c r="DJ719" s="74"/>
      <c r="DK719" s="74"/>
      <c r="DL719" s="74"/>
      <c r="DM719" s="74"/>
      <c r="DN719" s="74"/>
      <c r="DO719" s="74"/>
      <c r="DP719" s="74"/>
      <c r="DQ719" s="74"/>
      <c r="DR719" s="74"/>
      <c r="DS719" s="74"/>
      <c r="DT719" s="74"/>
      <c r="DU719" s="74"/>
      <c r="DV719" s="74"/>
      <c r="DW719" s="74"/>
    </row>
    <row r="720">
      <c r="A720" s="23" t="s">
        <v>64</v>
      </c>
      <c r="B720" s="23" t="s">
        <v>56</v>
      </c>
      <c r="C720" s="31" t="s">
        <v>1892</v>
      </c>
      <c r="D720" s="25" t="str">
        <f>IFERROR(__xludf.DUMMYFUNCTION("SPLIT(C720,"" "")"),"Burns,")</f>
        <v>Burns,</v>
      </c>
      <c r="E720" s="22" t="str">
        <f>IFERROR(__xludf.DUMMYFUNCTION("""COMPUTED_VALUE"""),"Sherman
9205")</f>
        <v>Sherman
9205</v>
      </c>
      <c r="F720" s="22" t="str">
        <f>IFERROR(__xludf.DUMMYFUNCTION("""COMPUTED_VALUE"""),"Clover")</f>
        <v>Clover</v>
      </c>
      <c r="G720" s="22" t="str">
        <f>IFERROR(__xludf.DUMMYFUNCTION("""COMPUTED_VALUE"""),"Valley
Dallas,")</f>
        <v>Valley
Dallas,</v>
      </c>
      <c r="H720" s="22" t="str">
        <f>IFERROR(__xludf.DUMMYFUNCTION("""COMPUTED_VALUE"""),"TX")</f>
        <v>TX</v>
      </c>
      <c r="I720" s="22">
        <f>IFERROR(__xludf.DUMMYFUNCTION("""COMPUTED_VALUE"""),75243.0)</f>
        <v>75243</v>
      </c>
      <c r="J720" s="22"/>
      <c r="K720" s="22"/>
      <c r="L720" s="22"/>
      <c r="M720" s="22"/>
      <c r="N720" s="22"/>
      <c r="O720" s="22"/>
      <c r="P720" s="22"/>
      <c r="Q720" s="22"/>
      <c r="R720" s="22"/>
      <c r="S720" s="22"/>
      <c r="T720" s="22"/>
      <c r="U720" s="24" t="str">
        <f>IFERROR(__xludf.DUMMYFUNCTION("SPLIT(E720,""01234567890"")"),"Sherman
")</f>
        <v>Sherman
</v>
      </c>
      <c r="V720" s="24" t="str">
        <f>IFERROR(__xludf.DUMMYFUNCTION("SPLIT(D720,"","")"),"Burns")</f>
        <v>Burns</v>
      </c>
      <c r="W720" s="25" t="str">
        <f t="shared" si="1"/>
        <v>SHERMAN
 BURNS</v>
      </c>
      <c r="X720" s="25" t="s">
        <v>1893</v>
      </c>
      <c r="Y720" s="25">
        <v>75243.0</v>
      </c>
      <c r="Z720" s="25" t="str">
        <f>IFERROR(__xludf.DUMMYFUNCTION("SPLIT(C720,""
"")"),"Burns, Sherman")</f>
        <v>Burns, Sherman</v>
      </c>
      <c r="AA720" s="25" t="str">
        <f>IFERROR(__xludf.DUMMYFUNCTION("""COMPUTED_VALUE"""),"9205 Clover Valley")</f>
        <v>9205 Clover Valley</v>
      </c>
      <c r="AB720" s="25" t="str">
        <f>IFERROR(__xludf.DUMMYFUNCTION("""COMPUTED_VALUE"""),"Dallas, TX 75243")</f>
        <v>Dallas, TX 75243</v>
      </c>
      <c r="AC720" s="24" t="s">
        <v>1894</v>
      </c>
      <c r="AD720" s="25"/>
      <c r="AE720" s="25"/>
      <c r="AF720" s="25"/>
      <c r="AG720" s="22" t="s">
        <v>60</v>
      </c>
      <c r="AH720" s="54">
        <v>2477.0</v>
      </c>
      <c r="AI720" s="22" t="s">
        <v>68</v>
      </c>
      <c r="AJ720" s="27">
        <v>100.0</v>
      </c>
      <c r="AK720" s="31" t="s">
        <v>26</v>
      </c>
      <c r="AL720" s="28">
        <v>44899.0</v>
      </c>
      <c r="AM720" s="29">
        <v>44940.42346064815</v>
      </c>
      <c r="AN720" s="30">
        <v>2.0</v>
      </c>
      <c r="AO720" s="22"/>
      <c r="AP720" s="22"/>
      <c r="AQ720" s="22"/>
      <c r="AR720" s="22"/>
      <c r="AS720" s="22"/>
      <c r="AT720" s="70"/>
      <c r="AU720" s="22"/>
      <c r="AV720" s="57" t="str">
        <f>IFERROR(__xludf.DUMMYFUNCTION("""COMPUTED_VALUE"""),"Cheirif")</f>
        <v>Cheirif</v>
      </c>
      <c r="AW720" s="46">
        <f t="shared" si="7"/>
        <v>25</v>
      </c>
      <c r="AX720" s="47">
        <f t="shared" ref="AX720:BQ720" si="2271">SUMIFS($AJ:$AJ,$V:$V,$AV720,$AK:$AK,AX$2)</f>
        <v>0</v>
      </c>
      <c r="AY720" s="48">
        <f t="shared" si="2271"/>
        <v>0</v>
      </c>
      <c r="AZ720" s="48">
        <f t="shared" si="2271"/>
        <v>0</v>
      </c>
      <c r="BA720" s="48">
        <f t="shared" si="2271"/>
        <v>0</v>
      </c>
      <c r="BB720" s="48">
        <f t="shared" si="2271"/>
        <v>0</v>
      </c>
      <c r="BC720" s="48">
        <f t="shared" si="2271"/>
        <v>0</v>
      </c>
      <c r="BD720" s="48">
        <f t="shared" si="2271"/>
        <v>0</v>
      </c>
      <c r="BE720" s="48">
        <f t="shared" si="2271"/>
        <v>0</v>
      </c>
      <c r="BF720" s="48">
        <f t="shared" si="2271"/>
        <v>0</v>
      </c>
      <c r="BG720" s="48">
        <f t="shared" si="2271"/>
        <v>0</v>
      </c>
      <c r="BH720" s="48">
        <f t="shared" si="2271"/>
        <v>25</v>
      </c>
      <c r="BI720" s="48">
        <f t="shared" si="2271"/>
        <v>0</v>
      </c>
      <c r="BJ720" s="48">
        <f t="shared" si="2271"/>
        <v>0</v>
      </c>
      <c r="BK720" s="48">
        <f t="shared" si="2271"/>
        <v>0</v>
      </c>
      <c r="BL720" s="48">
        <f t="shared" si="2271"/>
        <v>0</v>
      </c>
      <c r="BM720" s="48">
        <f t="shared" si="2271"/>
        <v>0</v>
      </c>
      <c r="BN720" s="48">
        <f t="shared" si="2271"/>
        <v>0</v>
      </c>
      <c r="BO720" s="48">
        <f t="shared" si="2271"/>
        <v>0</v>
      </c>
      <c r="BP720" s="48">
        <f t="shared" si="2271"/>
        <v>0</v>
      </c>
      <c r="BQ720" s="48">
        <f t="shared" si="2271"/>
        <v>0</v>
      </c>
      <c r="BR720" s="36">
        <f t="shared" si="9"/>
        <v>0</v>
      </c>
      <c r="BS720" s="38">
        <f t="shared" si="10"/>
        <v>1</v>
      </c>
      <c r="BT720" s="49">
        <f t="shared" si="11"/>
        <v>0</v>
      </c>
      <c r="BU720" s="38">
        <f t="shared" si="12"/>
        <v>1000</v>
      </c>
      <c r="BV720" s="57" t="str">
        <f>IFERROR(__xludf.DUMMYFUNCTION("""COMPUTED_VALUE"""),"Cheirif")</f>
        <v>Cheirif</v>
      </c>
      <c r="BW720" s="46">
        <f t="shared" si="13"/>
        <v>25</v>
      </c>
      <c r="BX720" s="47">
        <f t="shared" ref="BX720:CA720" si="2272">AX720-$BU720</f>
        <v>-1000</v>
      </c>
      <c r="BY720" s="47">
        <f t="shared" si="2272"/>
        <v>-1000</v>
      </c>
      <c r="BZ720" s="47">
        <f t="shared" si="2272"/>
        <v>-1000</v>
      </c>
      <c r="CA720" s="47">
        <f t="shared" si="2272"/>
        <v>-1000</v>
      </c>
      <c r="CB720" s="47">
        <f t="shared" si="15"/>
        <v>-10000</v>
      </c>
      <c r="CC720" s="47">
        <f t="shared" ref="CC720:CQ720" si="2273">BC720-$BU720</f>
        <v>-1000</v>
      </c>
      <c r="CD720" s="47">
        <f t="shared" si="2273"/>
        <v>-1000</v>
      </c>
      <c r="CE720" s="47">
        <f t="shared" si="2273"/>
        <v>-1000</v>
      </c>
      <c r="CF720" s="47">
        <f t="shared" si="2273"/>
        <v>-1000</v>
      </c>
      <c r="CG720" s="47">
        <f t="shared" si="2273"/>
        <v>-1000</v>
      </c>
      <c r="CH720" s="47">
        <f t="shared" si="2273"/>
        <v>-975</v>
      </c>
      <c r="CI720" s="47">
        <f t="shared" si="2273"/>
        <v>-1000</v>
      </c>
      <c r="CJ720" s="47">
        <f t="shared" si="2273"/>
        <v>-1000</v>
      </c>
      <c r="CK720" s="47">
        <f t="shared" si="2273"/>
        <v>-1000</v>
      </c>
      <c r="CL720" s="47">
        <f t="shared" si="2273"/>
        <v>-1000</v>
      </c>
      <c r="CM720" s="47">
        <f t="shared" si="2273"/>
        <v>-1000</v>
      </c>
      <c r="CN720" s="47">
        <f t="shared" si="2273"/>
        <v>-1000</v>
      </c>
      <c r="CO720" s="47">
        <f t="shared" si="2273"/>
        <v>-1000</v>
      </c>
      <c r="CP720" s="47">
        <f t="shared" si="2273"/>
        <v>-1000</v>
      </c>
      <c r="CQ720" s="47">
        <f t="shared" si="2273"/>
        <v>-1000</v>
      </c>
      <c r="CR720" s="47"/>
      <c r="CS720" s="47"/>
      <c r="CT720" s="47"/>
      <c r="CU720" s="74"/>
      <c r="CV720" s="74"/>
      <c r="CW720" s="74" t="str">
        <f>IFERROR(__xludf.DUMMYFUNCTION("IF(REGEXMATCH(UPPER(CU720), ""DALLAS""),,CU720)"),"")</f>
        <v/>
      </c>
      <c r="CX720" s="74"/>
      <c r="CY720" s="74"/>
      <c r="CZ720" s="74"/>
      <c r="DA720" s="75"/>
      <c r="DB720" s="74"/>
      <c r="DC720" s="74"/>
      <c r="DD720" s="74"/>
      <c r="DE720" s="74"/>
      <c r="DF720" s="74"/>
      <c r="DG720" s="74"/>
      <c r="DH720" s="74"/>
      <c r="DI720" s="74"/>
      <c r="DJ720" s="74"/>
      <c r="DK720" s="74"/>
      <c r="DL720" s="74"/>
      <c r="DM720" s="74"/>
      <c r="DN720" s="74"/>
      <c r="DO720" s="74"/>
      <c r="DP720" s="74"/>
      <c r="DQ720" s="74"/>
      <c r="DR720" s="74"/>
      <c r="DS720" s="74"/>
      <c r="DT720" s="74"/>
      <c r="DU720" s="74"/>
      <c r="DV720" s="74"/>
      <c r="DW720" s="74"/>
    </row>
    <row r="721">
      <c r="A721" s="41" t="s">
        <v>64</v>
      </c>
      <c r="B721" s="41" t="s">
        <v>56</v>
      </c>
      <c r="C721" s="31" t="s">
        <v>1895</v>
      </c>
      <c r="D721" s="25" t="str">
        <f>IFERROR(__xludf.DUMMYFUNCTION("SPLIT(C721,"" "")"),"Hughes,")</f>
        <v>Hughes,</v>
      </c>
      <c r="E721" s="40" t="str">
        <f>IFERROR(__xludf.DUMMYFUNCTION("""COMPUTED_VALUE"""),"Paula
8046")</f>
        <v>Paula
8046</v>
      </c>
      <c r="F721" s="40" t="str">
        <f>IFERROR(__xludf.DUMMYFUNCTION("""COMPUTED_VALUE"""),"Nimrod")</f>
        <v>Nimrod</v>
      </c>
      <c r="G721" s="40" t="str">
        <f>IFERROR(__xludf.DUMMYFUNCTION("""COMPUTED_VALUE"""),"Trail
Dallas,")</f>
        <v>Trail
Dallas,</v>
      </c>
      <c r="H721" s="40" t="str">
        <f>IFERROR(__xludf.DUMMYFUNCTION("""COMPUTED_VALUE"""),"TX")</f>
        <v>TX</v>
      </c>
      <c r="I721" s="40">
        <f>IFERROR(__xludf.DUMMYFUNCTION("""COMPUTED_VALUE"""),75238.0)</f>
        <v>75238</v>
      </c>
      <c r="J721" s="40"/>
      <c r="K721" s="40"/>
      <c r="L721" s="40"/>
      <c r="M721" s="40"/>
      <c r="N721" s="40"/>
      <c r="O721" s="40"/>
      <c r="P721" s="40"/>
      <c r="Q721" s="40"/>
      <c r="R721" s="40"/>
      <c r="S721" s="40"/>
      <c r="T721" s="40"/>
      <c r="U721" s="24" t="str">
        <f>IFERROR(__xludf.DUMMYFUNCTION("SPLIT(E721,""01234567890"")"),"Paula
")</f>
        <v>Paula
</v>
      </c>
      <c r="V721" s="24" t="str">
        <f>IFERROR(__xludf.DUMMYFUNCTION("SPLIT(D721,"","")"),"Hughes")</f>
        <v>Hughes</v>
      </c>
      <c r="W721" s="25" t="str">
        <f t="shared" si="1"/>
        <v>PAULA
 HUGHES</v>
      </c>
      <c r="X721" s="25" t="s">
        <v>1896</v>
      </c>
      <c r="Y721" s="25">
        <v>75238.0</v>
      </c>
      <c r="Z721" s="25" t="str">
        <f>IFERROR(__xludf.DUMMYFUNCTION("SPLIT(C721,""
"")"),"Hughes, Paula")</f>
        <v>Hughes, Paula</v>
      </c>
      <c r="AA721" s="25" t="str">
        <f>IFERROR(__xludf.DUMMYFUNCTION("""COMPUTED_VALUE"""),"8046 Nimrod Trail")</f>
        <v>8046 Nimrod Trail</v>
      </c>
      <c r="AB721" s="25" t="str">
        <f>IFERROR(__xludf.DUMMYFUNCTION("""COMPUTED_VALUE"""),"Dallas, TX 75238")</f>
        <v>Dallas, TX 75238</v>
      </c>
      <c r="AC721" s="24" t="s">
        <v>1897</v>
      </c>
      <c r="AD721" s="25"/>
      <c r="AE721" s="25"/>
      <c r="AF721" s="25"/>
      <c r="AG721" s="40" t="s">
        <v>60</v>
      </c>
      <c r="AH721" s="42">
        <v>2477.0</v>
      </c>
      <c r="AI721" s="40" t="s">
        <v>68</v>
      </c>
      <c r="AJ721" s="27">
        <v>500.0</v>
      </c>
      <c r="AK721" s="31" t="s">
        <v>26</v>
      </c>
      <c r="AL721" s="43">
        <v>44901.0</v>
      </c>
      <c r="AM721" s="44">
        <v>44940.42346064815</v>
      </c>
      <c r="AN721" s="30">
        <v>2.0</v>
      </c>
      <c r="AO721" s="40"/>
      <c r="AP721" s="40"/>
      <c r="AQ721" s="40"/>
      <c r="AR721" s="40"/>
      <c r="AS721" s="40"/>
      <c r="AT721" s="47"/>
      <c r="AU721" s="40"/>
      <c r="AV721" s="46" t="str">
        <f>IFERROR(__xludf.DUMMYFUNCTION("""COMPUTED_VALUE"""),"Steinbrecher")</f>
        <v>Steinbrecher</v>
      </c>
      <c r="AW721" s="46">
        <f t="shared" si="7"/>
        <v>1000</v>
      </c>
      <c r="AX721" s="47">
        <f t="shared" ref="AX721:BQ721" si="2274">SUMIFS($AJ:$AJ,$V:$V,$AV721,$AK:$AK,AX$2)</f>
        <v>0</v>
      </c>
      <c r="AY721" s="48">
        <f t="shared" si="2274"/>
        <v>0</v>
      </c>
      <c r="AZ721" s="48">
        <f t="shared" si="2274"/>
        <v>0</v>
      </c>
      <c r="BA721" s="48">
        <f t="shared" si="2274"/>
        <v>0</v>
      </c>
      <c r="BB721" s="48">
        <f t="shared" si="2274"/>
        <v>0</v>
      </c>
      <c r="BC721" s="48">
        <f t="shared" si="2274"/>
        <v>0</v>
      </c>
      <c r="BD721" s="48">
        <f t="shared" si="2274"/>
        <v>0</v>
      </c>
      <c r="BE721" s="48">
        <f t="shared" si="2274"/>
        <v>0</v>
      </c>
      <c r="BF721" s="48">
        <f t="shared" si="2274"/>
        <v>0</v>
      </c>
      <c r="BG721" s="48">
        <f t="shared" si="2274"/>
        <v>0</v>
      </c>
      <c r="BH721" s="48">
        <f t="shared" si="2274"/>
        <v>1000</v>
      </c>
      <c r="BI721" s="48">
        <f t="shared" si="2274"/>
        <v>0</v>
      </c>
      <c r="BJ721" s="48">
        <f t="shared" si="2274"/>
        <v>0</v>
      </c>
      <c r="BK721" s="48">
        <f t="shared" si="2274"/>
        <v>0</v>
      </c>
      <c r="BL721" s="48">
        <f t="shared" si="2274"/>
        <v>0</v>
      </c>
      <c r="BM721" s="48">
        <f t="shared" si="2274"/>
        <v>0</v>
      </c>
      <c r="BN721" s="48">
        <f t="shared" si="2274"/>
        <v>0</v>
      </c>
      <c r="BO721" s="48">
        <f t="shared" si="2274"/>
        <v>0</v>
      </c>
      <c r="BP721" s="48">
        <f t="shared" si="2274"/>
        <v>0</v>
      </c>
      <c r="BQ721" s="48">
        <f t="shared" si="2274"/>
        <v>0</v>
      </c>
      <c r="BR721" s="36">
        <f t="shared" si="9"/>
        <v>0</v>
      </c>
      <c r="BS721" s="38">
        <f t="shared" si="10"/>
        <v>1</v>
      </c>
      <c r="BT721" s="49">
        <f t="shared" si="11"/>
        <v>0</v>
      </c>
      <c r="BU721" s="38">
        <f t="shared" si="12"/>
        <v>1000</v>
      </c>
      <c r="BV721" s="46" t="str">
        <f>IFERROR(__xludf.DUMMYFUNCTION("""COMPUTED_VALUE"""),"Steinbrecher")</f>
        <v>Steinbrecher</v>
      </c>
      <c r="BW721" s="46">
        <f t="shared" si="13"/>
        <v>1000</v>
      </c>
      <c r="BX721" s="47">
        <f t="shared" ref="BX721:CA721" si="2275">AX721-$BU721</f>
        <v>-1000</v>
      </c>
      <c r="BY721" s="47">
        <f t="shared" si="2275"/>
        <v>-1000</v>
      </c>
      <c r="BZ721" s="47">
        <f t="shared" si="2275"/>
        <v>-1000</v>
      </c>
      <c r="CA721" s="47">
        <f t="shared" si="2275"/>
        <v>-1000</v>
      </c>
      <c r="CB721" s="47">
        <f t="shared" si="15"/>
        <v>-10000</v>
      </c>
      <c r="CC721" s="47">
        <f t="shared" ref="CC721:CQ721" si="2276">BC721-$BU721</f>
        <v>-1000</v>
      </c>
      <c r="CD721" s="47">
        <f t="shared" si="2276"/>
        <v>-1000</v>
      </c>
      <c r="CE721" s="47">
        <f t="shared" si="2276"/>
        <v>-1000</v>
      </c>
      <c r="CF721" s="47">
        <f t="shared" si="2276"/>
        <v>-1000</v>
      </c>
      <c r="CG721" s="47">
        <f t="shared" si="2276"/>
        <v>-1000</v>
      </c>
      <c r="CH721" s="47">
        <f t="shared" si="2276"/>
        <v>0</v>
      </c>
      <c r="CI721" s="47">
        <f t="shared" si="2276"/>
        <v>-1000</v>
      </c>
      <c r="CJ721" s="47">
        <f t="shared" si="2276"/>
        <v>-1000</v>
      </c>
      <c r="CK721" s="47">
        <f t="shared" si="2276"/>
        <v>-1000</v>
      </c>
      <c r="CL721" s="47">
        <f t="shared" si="2276"/>
        <v>-1000</v>
      </c>
      <c r="CM721" s="47">
        <f t="shared" si="2276"/>
        <v>-1000</v>
      </c>
      <c r="CN721" s="47">
        <f t="shared" si="2276"/>
        <v>-1000</v>
      </c>
      <c r="CO721" s="47">
        <f t="shared" si="2276"/>
        <v>-1000</v>
      </c>
      <c r="CP721" s="47">
        <f t="shared" si="2276"/>
        <v>-1000</v>
      </c>
      <c r="CQ721" s="47">
        <f t="shared" si="2276"/>
        <v>-1000</v>
      </c>
      <c r="CR721" s="47"/>
      <c r="CS721" s="47"/>
      <c r="CT721" s="47"/>
      <c r="CU721" s="74"/>
      <c r="CV721" s="74"/>
      <c r="CW721" s="74" t="str">
        <f>IFERROR(__xludf.DUMMYFUNCTION("IF(REGEXMATCH(UPPER(CU721), ""DALLAS""),,CU721)"),"")</f>
        <v/>
      </c>
      <c r="CX721" s="74"/>
      <c r="CY721" s="74"/>
      <c r="CZ721" s="74"/>
      <c r="DA721" s="75"/>
      <c r="DB721" s="74"/>
      <c r="DC721" s="74"/>
      <c r="DD721" s="74"/>
      <c r="DE721" s="74"/>
      <c r="DF721" s="74"/>
      <c r="DG721" s="74"/>
      <c r="DH721" s="74"/>
      <c r="DI721" s="74"/>
      <c r="DJ721" s="74"/>
      <c r="DK721" s="74"/>
      <c r="DL721" s="74"/>
      <c r="DM721" s="74"/>
      <c r="DN721" s="74"/>
      <c r="DO721" s="74"/>
      <c r="DP721" s="74"/>
      <c r="DQ721" s="74"/>
      <c r="DR721" s="74"/>
      <c r="DS721" s="74"/>
      <c r="DT721" s="74"/>
      <c r="DU721" s="74"/>
      <c r="DV721" s="74"/>
      <c r="DW721" s="74"/>
    </row>
    <row r="722">
      <c r="A722" s="23" t="s">
        <v>64</v>
      </c>
      <c r="B722" s="23" t="s">
        <v>56</v>
      </c>
      <c r="C722" s="31" t="s">
        <v>1898</v>
      </c>
      <c r="D722" s="25" t="str">
        <f>IFERROR(__xludf.DUMMYFUNCTION("SPLIT(C722,"" "")"),"Zreet,")</f>
        <v>Zreet,</v>
      </c>
      <c r="E722" s="22" t="str">
        <f>IFERROR(__xludf.DUMMYFUNCTION("""COMPUTED_VALUE"""),"Cheryl
9617")</f>
        <v>Cheryl
9617</v>
      </c>
      <c r="F722" s="22" t="str">
        <f>IFERROR(__xludf.DUMMYFUNCTION("""COMPUTED_VALUE"""),"Windy")</f>
        <v>Windy</v>
      </c>
      <c r="G722" s="22" t="str">
        <f>IFERROR(__xludf.DUMMYFUNCTION("""COMPUTED_VALUE"""),"Terrace
Dallas,")</f>
        <v>Terrace
Dallas,</v>
      </c>
      <c r="H722" s="22" t="str">
        <f>IFERROR(__xludf.DUMMYFUNCTION("""COMPUTED_VALUE"""),"TX")</f>
        <v>TX</v>
      </c>
      <c r="I722" s="22">
        <f>IFERROR(__xludf.DUMMYFUNCTION("""COMPUTED_VALUE"""),75231.0)</f>
        <v>75231</v>
      </c>
      <c r="J722" s="22"/>
      <c r="K722" s="22"/>
      <c r="L722" s="22"/>
      <c r="M722" s="22"/>
      <c r="N722" s="22"/>
      <c r="O722" s="22"/>
      <c r="P722" s="22"/>
      <c r="Q722" s="22"/>
      <c r="R722" s="22"/>
      <c r="S722" s="22"/>
      <c r="T722" s="22"/>
      <c r="U722" s="24" t="str">
        <f>IFERROR(__xludf.DUMMYFUNCTION("SPLIT(E722,""01234567890"")"),"Cheryl
")</f>
        <v>Cheryl
</v>
      </c>
      <c r="V722" s="24" t="str">
        <f>IFERROR(__xludf.DUMMYFUNCTION("SPLIT(D722,"","")"),"Zreet")</f>
        <v>Zreet</v>
      </c>
      <c r="W722" s="25" t="str">
        <f t="shared" si="1"/>
        <v>CHERYL
 ZREET</v>
      </c>
      <c r="X722" s="25" t="s">
        <v>1899</v>
      </c>
      <c r="Y722" s="25">
        <v>75231.0</v>
      </c>
      <c r="Z722" s="25" t="str">
        <f>IFERROR(__xludf.DUMMYFUNCTION("SPLIT(C722,""
"")"),"Zreet, Cheryl")</f>
        <v>Zreet, Cheryl</v>
      </c>
      <c r="AA722" s="25" t="str">
        <f>IFERROR(__xludf.DUMMYFUNCTION("""COMPUTED_VALUE"""),"9617 Windy Terrace")</f>
        <v>9617 Windy Terrace</v>
      </c>
      <c r="AB722" s="25" t="str">
        <f>IFERROR(__xludf.DUMMYFUNCTION("""COMPUTED_VALUE"""),"Dallas, TX 75231")</f>
        <v>Dallas, TX 75231</v>
      </c>
      <c r="AC722" s="24" t="s">
        <v>1900</v>
      </c>
      <c r="AD722" s="25"/>
      <c r="AE722" s="25"/>
      <c r="AF722" s="25"/>
      <c r="AG722" s="22" t="s">
        <v>60</v>
      </c>
      <c r="AH722" s="54">
        <v>2477.0</v>
      </c>
      <c r="AI722" s="22" t="s">
        <v>68</v>
      </c>
      <c r="AJ722" s="27">
        <v>250.0</v>
      </c>
      <c r="AK722" s="31" t="s">
        <v>26</v>
      </c>
      <c r="AL722" s="28">
        <v>44905.0</v>
      </c>
      <c r="AM722" s="29">
        <v>44940.42346064815</v>
      </c>
      <c r="AN722" s="30">
        <v>2.0</v>
      </c>
      <c r="AO722" s="22"/>
      <c r="AP722" s="22"/>
      <c r="AQ722" s="22"/>
      <c r="AR722" s="22"/>
      <c r="AS722" s="22"/>
      <c r="AT722" s="70"/>
      <c r="AU722" s="22"/>
      <c r="AV722" s="57" t="str">
        <f>IFERROR(__xludf.DUMMYFUNCTION("""COMPUTED_VALUE"""),"Hampton")</f>
        <v>Hampton</v>
      </c>
      <c r="AW722" s="46">
        <f t="shared" si="7"/>
        <v>439.7</v>
      </c>
      <c r="AX722" s="47">
        <f t="shared" ref="AX722:BQ722" si="2277">SUMIFS($AJ:$AJ,$V:$V,$AV722,$AK:$AK,AX$2)</f>
        <v>189.7</v>
      </c>
      <c r="AY722" s="48">
        <f t="shared" si="2277"/>
        <v>0</v>
      </c>
      <c r="AZ722" s="48">
        <f t="shared" si="2277"/>
        <v>0</v>
      </c>
      <c r="BA722" s="48">
        <f t="shared" si="2277"/>
        <v>0</v>
      </c>
      <c r="BB722" s="48">
        <f t="shared" si="2277"/>
        <v>0</v>
      </c>
      <c r="BC722" s="48">
        <f t="shared" si="2277"/>
        <v>0</v>
      </c>
      <c r="BD722" s="48">
        <f t="shared" si="2277"/>
        <v>0</v>
      </c>
      <c r="BE722" s="48">
        <f t="shared" si="2277"/>
        <v>0</v>
      </c>
      <c r="BF722" s="48">
        <f t="shared" si="2277"/>
        <v>0</v>
      </c>
      <c r="BG722" s="48">
        <f t="shared" si="2277"/>
        <v>0</v>
      </c>
      <c r="BH722" s="48">
        <f t="shared" si="2277"/>
        <v>250</v>
      </c>
      <c r="BI722" s="48">
        <f t="shared" si="2277"/>
        <v>0</v>
      </c>
      <c r="BJ722" s="48">
        <f t="shared" si="2277"/>
        <v>0</v>
      </c>
      <c r="BK722" s="48">
        <f t="shared" si="2277"/>
        <v>0</v>
      </c>
      <c r="BL722" s="48">
        <f t="shared" si="2277"/>
        <v>0</v>
      </c>
      <c r="BM722" s="48">
        <f t="shared" si="2277"/>
        <v>0</v>
      </c>
      <c r="BN722" s="48">
        <f t="shared" si="2277"/>
        <v>0</v>
      </c>
      <c r="BO722" s="48">
        <f t="shared" si="2277"/>
        <v>0</v>
      </c>
      <c r="BP722" s="48">
        <f t="shared" si="2277"/>
        <v>0</v>
      </c>
      <c r="BQ722" s="48">
        <f t="shared" si="2277"/>
        <v>0</v>
      </c>
      <c r="BR722" s="36">
        <f t="shared" si="9"/>
        <v>1</v>
      </c>
      <c r="BS722" s="38">
        <f t="shared" si="10"/>
        <v>2</v>
      </c>
      <c r="BT722" s="49">
        <f t="shared" si="11"/>
        <v>0</v>
      </c>
      <c r="BU722" s="38">
        <f t="shared" si="12"/>
        <v>2000</v>
      </c>
      <c r="BV722" s="57" t="str">
        <f>IFERROR(__xludf.DUMMYFUNCTION("""COMPUTED_VALUE"""),"Hampton")</f>
        <v>Hampton</v>
      </c>
      <c r="BW722" s="46">
        <f t="shared" si="13"/>
        <v>439.7</v>
      </c>
      <c r="BX722" s="47">
        <f t="shared" ref="BX722:CA722" si="2278">AX722-$BU722</f>
        <v>-1810.3</v>
      </c>
      <c r="BY722" s="47">
        <f t="shared" si="2278"/>
        <v>-2000</v>
      </c>
      <c r="BZ722" s="47">
        <f t="shared" si="2278"/>
        <v>-2000</v>
      </c>
      <c r="CA722" s="47">
        <f t="shared" si="2278"/>
        <v>-2000</v>
      </c>
      <c r="CB722" s="47">
        <f t="shared" si="15"/>
        <v>-20000</v>
      </c>
      <c r="CC722" s="47">
        <f t="shared" ref="CC722:CQ722" si="2279">BC722-$BU722</f>
        <v>-2000</v>
      </c>
      <c r="CD722" s="47">
        <f t="shared" si="2279"/>
        <v>-2000</v>
      </c>
      <c r="CE722" s="47">
        <f t="shared" si="2279"/>
        <v>-2000</v>
      </c>
      <c r="CF722" s="47">
        <f t="shared" si="2279"/>
        <v>-2000</v>
      </c>
      <c r="CG722" s="47">
        <f t="shared" si="2279"/>
        <v>-2000</v>
      </c>
      <c r="CH722" s="47">
        <f t="shared" si="2279"/>
        <v>-1750</v>
      </c>
      <c r="CI722" s="47">
        <f t="shared" si="2279"/>
        <v>-2000</v>
      </c>
      <c r="CJ722" s="47">
        <f t="shared" si="2279"/>
        <v>-2000</v>
      </c>
      <c r="CK722" s="47">
        <f t="shared" si="2279"/>
        <v>-2000</v>
      </c>
      <c r="CL722" s="47">
        <f t="shared" si="2279"/>
        <v>-2000</v>
      </c>
      <c r="CM722" s="47">
        <f t="shared" si="2279"/>
        <v>-2000</v>
      </c>
      <c r="CN722" s="47">
        <f t="shared" si="2279"/>
        <v>-2000</v>
      </c>
      <c r="CO722" s="47">
        <f t="shared" si="2279"/>
        <v>-2000</v>
      </c>
      <c r="CP722" s="47">
        <f t="shared" si="2279"/>
        <v>-2000</v>
      </c>
      <c r="CQ722" s="47">
        <f t="shared" si="2279"/>
        <v>-2000</v>
      </c>
      <c r="CR722" s="47"/>
      <c r="CS722" s="47"/>
      <c r="CT722" s="47"/>
      <c r="CU722" s="74"/>
      <c r="CV722" s="74"/>
      <c r="CW722" s="74" t="str">
        <f>IFERROR(__xludf.DUMMYFUNCTION("IF(REGEXMATCH(UPPER(CU722), ""DALLAS""),,CU722)"),"")</f>
        <v/>
      </c>
      <c r="CX722" s="74"/>
      <c r="CY722" s="74"/>
      <c r="CZ722" s="74"/>
      <c r="DA722" s="75"/>
      <c r="DB722" s="74"/>
      <c r="DC722" s="74"/>
      <c r="DD722" s="74"/>
      <c r="DE722" s="74"/>
      <c r="DF722" s="74"/>
      <c r="DG722" s="74"/>
      <c r="DH722" s="74"/>
      <c r="DI722" s="74"/>
      <c r="DJ722" s="74"/>
      <c r="DK722" s="74"/>
      <c r="DL722" s="74"/>
      <c r="DM722" s="74"/>
      <c r="DN722" s="74"/>
      <c r="DO722" s="74"/>
      <c r="DP722" s="74"/>
      <c r="DQ722" s="74"/>
      <c r="DR722" s="74"/>
      <c r="DS722" s="74"/>
      <c r="DT722" s="74"/>
      <c r="DU722" s="74"/>
      <c r="DV722" s="74"/>
      <c r="DW722" s="74"/>
    </row>
    <row r="723">
      <c r="A723" s="41" t="s">
        <v>64</v>
      </c>
      <c r="B723" s="41" t="s">
        <v>56</v>
      </c>
      <c r="C723" s="31" t="s">
        <v>1901</v>
      </c>
      <c r="D723" s="25" t="str">
        <f>IFERROR(__xludf.DUMMYFUNCTION("SPLIT(C723,"" "")"),"Woods,")</f>
        <v>Woods,</v>
      </c>
      <c r="E723" s="40" t="str">
        <f>IFERROR(__xludf.DUMMYFUNCTION("""COMPUTED_VALUE"""),"Brenda
9474")</f>
        <v>Brenda
9474</v>
      </c>
      <c r="F723" s="40" t="str">
        <f>IFERROR(__xludf.DUMMYFUNCTION("""COMPUTED_VALUE"""),"Dartridge
Dallas,")</f>
        <v>Dartridge
Dallas,</v>
      </c>
      <c r="G723" s="40" t="str">
        <f>IFERROR(__xludf.DUMMYFUNCTION("""COMPUTED_VALUE"""),"TX")</f>
        <v>TX</v>
      </c>
      <c r="H723" s="40">
        <f>IFERROR(__xludf.DUMMYFUNCTION("""COMPUTED_VALUE"""),75238.0)</f>
        <v>75238</v>
      </c>
      <c r="I723" s="40"/>
      <c r="J723" s="40"/>
      <c r="K723" s="40"/>
      <c r="L723" s="40"/>
      <c r="M723" s="40"/>
      <c r="N723" s="40"/>
      <c r="O723" s="40"/>
      <c r="P723" s="40"/>
      <c r="Q723" s="40"/>
      <c r="R723" s="40"/>
      <c r="S723" s="40"/>
      <c r="T723" s="40"/>
      <c r="U723" s="24" t="str">
        <f>IFERROR(__xludf.DUMMYFUNCTION("SPLIT(E723,""01234567890"")"),"Brenda
")</f>
        <v>Brenda
</v>
      </c>
      <c r="V723" s="24" t="str">
        <f>IFERROR(__xludf.DUMMYFUNCTION("SPLIT(D723,"","")"),"Woods")</f>
        <v>Woods</v>
      </c>
      <c r="W723" s="25" t="str">
        <f t="shared" si="1"/>
        <v>BRENDA
 WOODS</v>
      </c>
      <c r="X723" s="25" t="s">
        <v>1902</v>
      </c>
      <c r="Y723" s="25">
        <v>75238.0</v>
      </c>
      <c r="Z723" s="25" t="str">
        <f>IFERROR(__xludf.DUMMYFUNCTION("SPLIT(C723,""
"")"),"Woods, Brenda")</f>
        <v>Woods, Brenda</v>
      </c>
      <c r="AA723" s="25" t="str">
        <f>IFERROR(__xludf.DUMMYFUNCTION("""COMPUTED_VALUE"""),"9474 Dartridge")</f>
        <v>9474 Dartridge</v>
      </c>
      <c r="AB723" s="25" t="str">
        <f>IFERROR(__xludf.DUMMYFUNCTION("""COMPUTED_VALUE"""),"Dallas, TX 75238")</f>
        <v>Dallas, TX 75238</v>
      </c>
      <c r="AC723" s="24" t="s">
        <v>1903</v>
      </c>
      <c r="AD723" s="25"/>
      <c r="AE723" s="25"/>
      <c r="AF723" s="25"/>
      <c r="AG723" s="40" t="s">
        <v>60</v>
      </c>
      <c r="AH723" s="42">
        <v>2477.0</v>
      </c>
      <c r="AI723" s="40" t="s">
        <v>68</v>
      </c>
      <c r="AJ723" s="27">
        <v>50.0</v>
      </c>
      <c r="AK723" s="31" t="s">
        <v>26</v>
      </c>
      <c r="AL723" s="43">
        <v>44897.0</v>
      </c>
      <c r="AM723" s="44">
        <v>44940.42346064815</v>
      </c>
      <c r="AN723" s="30">
        <v>2.0</v>
      </c>
      <c r="AO723" s="40"/>
      <c r="AP723" s="40"/>
      <c r="AQ723" s="40"/>
      <c r="AR723" s="40"/>
      <c r="AS723" s="40"/>
      <c r="AT723" s="47"/>
      <c r="AU723" s="40"/>
      <c r="AV723" s="46" t="str">
        <f>IFERROR(__xludf.DUMMYFUNCTION("""COMPUTED_VALUE"""),"Seymour")</f>
        <v>Seymour</v>
      </c>
      <c r="AW723" s="46">
        <f t="shared" si="7"/>
        <v>100</v>
      </c>
      <c r="AX723" s="47">
        <f t="shared" ref="AX723:BQ723" si="2280">SUMIFS($AJ:$AJ,$V:$V,$AV723,$AK:$AK,AX$2)</f>
        <v>0</v>
      </c>
      <c r="AY723" s="48">
        <f t="shared" si="2280"/>
        <v>0</v>
      </c>
      <c r="AZ723" s="48">
        <f t="shared" si="2280"/>
        <v>0</v>
      </c>
      <c r="BA723" s="48">
        <f t="shared" si="2280"/>
        <v>0</v>
      </c>
      <c r="BB723" s="48">
        <f t="shared" si="2280"/>
        <v>0</v>
      </c>
      <c r="BC723" s="48">
        <f t="shared" si="2280"/>
        <v>0</v>
      </c>
      <c r="BD723" s="48">
        <f t="shared" si="2280"/>
        <v>0</v>
      </c>
      <c r="BE723" s="48">
        <f t="shared" si="2280"/>
        <v>0</v>
      </c>
      <c r="BF723" s="48">
        <f t="shared" si="2280"/>
        <v>0</v>
      </c>
      <c r="BG723" s="48">
        <f t="shared" si="2280"/>
        <v>0</v>
      </c>
      <c r="BH723" s="48">
        <f t="shared" si="2280"/>
        <v>100</v>
      </c>
      <c r="BI723" s="48">
        <f t="shared" si="2280"/>
        <v>0</v>
      </c>
      <c r="BJ723" s="48">
        <f t="shared" si="2280"/>
        <v>0</v>
      </c>
      <c r="BK723" s="48">
        <f t="shared" si="2280"/>
        <v>0</v>
      </c>
      <c r="BL723" s="48">
        <f t="shared" si="2280"/>
        <v>0</v>
      </c>
      <c r="BM723" s="48">
        <f t="shared" si="2280"/>
        <v>0</v>
      </c>
      <c r="BN723" s="48">
        <f t="shared" si="2280"/>
        <v>0</v>
      </c>
      <c r="BO723" s="48">
        <f t="shared" si="2280"/>
        <v>0</v>
      </c>
      <c r="BP723" s="48">
        <f t="shared" si="2280"/>
        <v>0</v>
      </c>
      <c r="BQ723" s="48">
        <f t="shared" si="2280"/>
        <v>0</v>
      </c>
      <c r="BR723" s="36">
        <f t="shared" si="9"/>
        <v>0</v>
      </c>
      <c r="BS723" s="38">
        <f t="shared" si="10"/>
        <v>1</v>
      </c>
      <c r="BT723" s="49">
        <f t="shared" si="11"/>
        <v>0</v>
      </c>
      <c r="BU723" s="38">
        <f t="shared" si="12"/>
        <v>1000</v>
      </c>
      <c r="BV723" s="46" t="str">
        <f>IFERROR(__xludf.DUMMYFUNCTION("""COMPUTED_VALUE"""),"Seymour")</f>
        <v>Seymour</v>
      </c>
      <c r="BW723" s="46">
        <f t="shared" si="13"/>
        <v>100</v>
      </c>
      <c r="BX723" s="47">
        <f t="shared" ref="BX723:CA723" si="2281">AX723-$BU723</f>
        <v>-1000</v>
      </c>
      <c r="BY723" s="47">
        <f t="shared" si="2281"/>
        <v>-1000</v>
      </c>
      <c r="BZ723" s="47">
        <f t="shared" si="2281"/>
        <v>-1000</v>
      </c>
      <c r="CA723" s="47">
        <f t="shared" si="2281"/>
        <v>-1000</v>
      </c>
      <c r="CB723" s="47">
        <f t="shared" si="15"/>
        <v>-10000</v>
      </c>
      <c r="CC723" s="47">
        <f t="shared" ref="CC723:CQ723" si="2282">BC723-$BU723</f>
        <v>-1000</v>
      </c>
      <c r="CD723" s="47">
        <f t="shared" si="2282"/>
        <v>-1000</v>
      </c>
      <c r="CE723" s="47">
        <f t="shared" si="2282"/>
        <v>-1000</v>
      </c>
      <c r="CF723" s="47">
        <f t="shared" si="2282"/>
        <v>-1000</v>
      </c>
      <c r="CG723" s="47">
        <f t="shared" si="2282"/>
        <v>-1000</v>
      </c>
      <c r="CH723" s="47">
        <f t="shared" si="2282"/>
        <v>-900</v>
      </c>
      <c r="CI723" s="47">
        <f t="shared" si="2282"/>
        <v>-1000</v>
      </c>
      <c r="CJ723" s="47">
        <f t="shared" si="2282"/>
        <v>-1000</v>
      </c>
      <c r="CK723" s="47">
        <f t="shared" si="2282"/>
        <v>-1000</v>
      </c>
      <c r="CL723" s="47">
        <f t="shared" si="2282"/>
        <v>-1000</v>
      </c>
      <c r="CM723" s="47">
        <f t="shared" si="2282"/>
        <v>-1000</v>
      </c>
      <c r="CN723" s="47">
        <f t="shared" si="2282"/>
        <v>-1000</v>
      </c>
      <c r="CO723" s="47">
        <f t="shared" si="2282"/>
        <v>-1000</v>
      </c>
      <c r="CP723" s="47">
        <f t="shared" si="2282"/>
        <v>-1000</v>
      </c>
      <c r="CQ723" s="47">
        <f t="shared" si="2282"/>
        <v>-1000</v>
      </c>
      <c r="CR723" s="47"/>
      <c r="CS723" s="47"/>
      <c r="CT723" s="47"/>
      <c r="CU723" s="74"/>
      <c r="CV723" s="74"/>
      <c r="CW723" s="74" t="str">
        <f>IFERROR(__xludf.DUMMYFUNCTION("IF(REGEXMATCH(UPPER(CU723), ""DALLAS""),,CU723)"),"")</f>
        <v/>
      </c>
      <c r="CX723" s="74"/>
      <c r="CY723" s="74"/>
      <c r="CZ723" s="74"/>
      <c r="DA723" s="75"/>
      <c r="DB723" s="74"/>
      <c r="DC723" s="74"/>
      <c r="DD723" s="74"/>
      <c r="DE723" s="74"/>
      <c r="DF723" s="74"/>
      <c r="DG723" s="74"/>
      <c r="DH723" s="74"/>
      <c r="DI723" s="74"/>
      <c r="DJ723" s="74"/>
      <c r="DK723" s="74"/>
      <c r="DL723" s="74"/>
      <c r="DM723" s="74"/>
      <c r="DN723" s="74"/>
      <c r="DO723" s="74"/>
      <c r="DP723" s="74"/>
      <c r="DQ723" s="74"/>
      <c r="DR723" s="74"/>
      <c r="DS723" s="74"/>
      <c r="DT723" s="74"/>
      <c r="DU723" s="74"/>
      <c r="DV723" s="74"/>
      <c r="DW723" s="74"/>
    </row>
    <row r="724">
      <c r="A724" s="23" t="s">
        <v>64</v>
      </c>
      <c r="B724" s="23" t="s">
        <v>56</v>
      </c>
      <c r="C724" s="31" t="s">
        <v>1904</v>
      </c>
      <c r="D724" s="25" t="str">
        <f>IFERROR(__xludf.DUMMYFUNCTION("SPLIT(C724,"" "")"),"Holmes,")</f>
        <v>Holmes,</v>
      </c>
      <c r="E724" s="22" t="str">
        <f>IFERROR(__xludf.DUMMYFUNCTION("""COMPUTED_VALUE"""),"Mark
9225")</f>
        <v>Mark
9225</v>
      </c>
      <c r="F724" s="22" t="str">
        <f>IFERROR(__xludf.DUMMYFUNCTION("""COMPUTED_VALUE"""),"Royalpine")</f>
        <v>Royalpine</v>
      </c>
      <c r="G724" s="22" t="str">
        <f>IFERROR(__xludf.DUMMYFUNCTION("""COMPUTED_VALUE"""),"Dr,
Dallas,")</f>
        <v>Dr,
Dallas,</v>
      </c>
      <c r="H724" s="22" t="str">
        <f>IFERROR(__xludf.DUMMYFUNCTION("""COMPUTED_VALUE"""),"TX")</f>
        <v>TX</v>
      </c>
      <c r="I724" s="22">
        <f>IFERROR(__xludf.DUMMYFUNCTION("""COMPUTED_VALUE"""),75238.0)</f>
        <v>75238</v>
      </c>
      <c r="J724" s="22"/>
      <c r="K724" s="22"/>
      <c r="L724" s="22"/>
      <c r="M724" s="22"/>
      <c r="N724" s="22"/>
      <c r="O724" s="22"/>
      <c r="P724" s="22"/>
      <c r="Q724" s="22"/>
      <c r="R724" s="22"/>
      <c r="S724" s="22"/>
      <c r="T724" s="22"/>
      <c r="U724" s="24" t="str">
        <f>IFERROR(__xludf.DUMMYFUNCTION("SPLIT(E724,""01234567890"")"),"Mark
")</f>
        <v>Mark
</v>
      </c>
      <c r="V724" s="24" t="str">
        <f>IFERROR(__xludf.DUMMYFUNCTION("SPLIT(D724,"","")"),"Holmes")</f>
        <v>Holmes</v>
      </c>
      <c r="W724" s="25" t="str">
        <f t="shared" si="1"/>
        <v>MARK
 HOLMES</v>
      </c>
      <c r="X724" s="25" t="s">
        <v>1905</v>
      </c>
      <c r="Y724" s="25">
        <v>75238.0</v>
      </c>
      <c r="Z724" s="25" t="str">
        <f>IFERROR(__xludf.DUMMYFUNCTION("SPLIT(C724,""
"")"),"Holmes, Mark")</f>
        <v>Holmes, Mark</v>
      </c>
      <c r="AA724" s="25" t="str">
        <f>IFERROR(__xludf.DUMMYFUNCTION("""COMPUTED_VALUE"""),"9225 Royalpine Dr,")</f>
        <v>9225 Royalpine Dr,</v>
      </c>
      <c r="AB724" s="25" t="str">
        <f>IFERROR(__xludf.DUMMYFUNCTION("""COMPUTED_VALUE"""),"Dallas, TX 75238")</f>
        <v>Dallas, TX 75238</v>
      </c>
      <c r="AC724" s="24" t="s">
        <v>1906</v>
      </c>
      <c r="AD724" s="25"/>
      <c r="AE724" s="25"/>
      <c r="AF724" s="25"/>
      <c r="AG724" s="22" t="s">
        <v>60</v>
      </c>
      <c r="AH724" s="54">
        <v>2477.0</v>
      </c>
      <c r="AI724" s="22" t="s">
        <v>68</v>
      </c>
      <c r="AJ724" s="27">
        <v>250.0</v>
      </c>
      <c r="AK724" s="31" t="s">
        <v>26</v>
      </c>
      <c r="AL724" s="28">
        <v>44917.0</v>
      </c>
      <c r="AM724" s="29">
        <v>44940.42346064815</v>
      </c>
      <c r="AN724" s="30">
        <v>2.0</v>
      </c>
      <c r="AO724" s="22"/>
      <c r="AP724" s="22"/>
      <c r="AQ724" s="22"/>
      <c r="AR724" s="22"/>
      <c r="AS724" s="22"/>
      <c r="AT724" s="70"/>
      <c r="AU724" s="22"/>
      <c r="AV724" s="57" t="str">
        <f>IFERROR(__xludf.DUMMYFUNCTION("""COMPUTED_VALUE"""),"Waldman")</f>
        <v>Waldman</v>
      </c>
      <c r="AW724" s="46">
        <f t="shared" si="7"/>
        <v>500</v>
      </c>
      <c r="AX724" s="47">
        <f t="shared" ref="AX724:BQ724" si="2283">SUMIFS($AJ:$AJ,$V:$V,$AV724,$AK:$AK,AX$2)</f>
        <v>0</v>
      </c>
      <c r="AY724" s="48">
        <f t="shared" si="2283"/>
        <v>0</v>
      </c>
      <c r="AZ724" s="48">
        <f t="shared" si="2283"/>
        <v>0</v>
      </c>
      <c r="BA724" s="48">
        <f t="shared" si="2283"/>
        <v>0</v>
      </c>
      <c r="BB724" s="48">
        <f t="shared" si="2283"/>
        <v>0</v>
      </c>
      <c r="BC724" s="48">
        <f t="shared" si="2283"/>
        <v>0</v>
      </c>
      <c r="BD724" s="48">
        <f t="shared" si="2283"/>
        <v>0</v>
      </c>
      <c r="BE724" s="48">
        <f t="shared" si="2283"/>
        <v>0</v>
      </c>
      <c r="BF724" s="48">
        <f t="shared" si="2283"/>
        <v>0</v>
      </c>
      <c r="BG724" s="48">
        <f t="shared" si="2283"/>
        <v>0</v>
      </c>
      <c r="BH724" s="48">
        <f t="shared" si="2283"/>
        <v>500</v>
      </c>
      <c r="BI724" s="48">
        <f t="shared" si="2283"/>
        <v>0</v>
      </c>
      <c r="BJ724" s="48">
        <f t="shared" si="2283"/>
        <v>0</v>
      </c>
      <c r="BK724" s="48">
        <f t="shared" si="2283"/>
        <v>0</v>
      </c>
      <c r="BL724" s="48">
        <f t="shared" si="2283"/>
        <v>0</v>
      </c>
      <c r="BM724" s="48">
        <f t="shared" si="2283"/>
        <v>0</v>
      </c>
      <c r="BN724" s="48">
        <f t="shared" si="2283"/>
        <v>0</v>
      </c>
      <c r="BO724" s="48">
        <f t="shared" si="2283"/>
        <v>0</v>
      </c>
      <c r="BP724" s="48">
        <f t="shared" si="2283"/>
        <v>0</v>
      </c>
      <c r="BQ724" s="48">
        <f t="shared" si="2283"/>
        <v>0</v>
      </c>
      <c r="BR724" s="36">
        <f t="shared" si="9"/>
        <v>0</v>
      </c>
      <c r="BS724" s="38">
        <f t="shared" si="10"/>
        <v>1</v>
      </c>
      <c r="BT724" s="49">
        <f t="shared" si="11"/>
        <v>0</v>
      </c>
      <c r="BU724" s="38">
        <f t="shared" si="12"/>
        <v>1000</v>
      </c>
      <c r="BV724" s="57" t="str">
        <f>IFERROR(__xludf.DUMMYFUNCTION("""COMPUTED_VALUE"""),"Waldman")</f>
        <v>Waldman</v>
      </c>
      <c r="BW724" s="46">
        <f t="shared" si="13"/>
        <v>500</v>
      </c>
      <c r="BX724" s="47">
        <f t="shared" ref="BX724:CA724" si="2284">AX724-$BU724</f>
        <v>-1000</v>
      </c>
      <c r="BY724" s="47">
        <f t="shared" si="2284"/>
        <v>-1000</v>
      </c>
      <c r="BZ724" s="47">
        <f t="shared" si="2284"/>
        <v>-1000</v>
      </c>
      <c r="CA724" s="47">
        <f t="shared" si="2284"/>
        <v>-1000</v>
      </c>
      <c r="CB724" s="47">
        <f t="shared" si="15"/>
        <v>-10000</v>
      </c>
      <c r="CC724" s="47">
        <f t="shared" ref="CC724:CQ724" si="2285">BC724-$BU724</f>
        <v>-1000</v>
      </c>
      <c r="CD724" s="47">
        <f t="shared" si="2285"/>
        <v>-1000</v>
      </c>
      <c r="CE724" s="47">
        <f t="shared" si="2285"/>
        <v>-1000</v>
      </c>
      <c r="CF724" s="47">
        <f t="shared" si="2285"/>
        <v>-1000</v>
      </c>
      <c r="CG724" s="47">
        <f t="shared" si="2285"/>
        <v>-1000</v>
      </c>
      <c r="CH724" s="47">
        <f t="shared" si="2285"/>
        <v>-500</v>
      </c>
      <c r="CI724" s="47">
        <f t="shared" si="2285"/>
        <v>-1000</v>
      </c>
      <c r="CJ724" s="47">
        <f t="shared" si="2285"/>
        <v>-1000</v>
      </c>
      <c r="CK724" s="47">
        <f t="shared" si="2285"/>
        <v>-1000</v>
      </c>
      <c r="CL724" s="47">
        <f t="shared" si="2285"/>
        <v>-1000</v>
      </c>
      <c r="CM724" s="47">
        <f t="shared" si="2285"/>
        <v>-1000</v>
      </c>
      <c r="CN724" s="47">
        <f t="shared" si="2285"/>
        <v>-1000</v>
      </c>
      <c r="CO724" s="47">
        <f t="shared" si="2285"/>
        <v>-1000</v>
      </c>
      <c r="CP724" s="47">
        <f t="shared" si="2285"/>
        <v>-1000</v>
      </c>
      <c r="CQ724" s="47">
        <f t="shared" si="2285"/>
        <v>-1000</v>
      </c>
      <c r="CR724" s="47"/>
      <c r="CS724" s="47"/>
      <c r="CT724" s="47"/>
      <c r="CU724" s="74"/>
      <c r="CV724" s="74"/>
      <c r="CW724" s="74" t="str">
        <f>IFERROR(__xludf.DUMMYFUNCTION("IF(REGEXMATCH(UPPER(CU724), ""DALLAS""),,CU724)"),"")</f>
        <v/>
      </c>
      <c r="CX724" s="74"/>
      <c r="CY724" s="74"/>
      <c r="CZ724" s="74"/>
      <c r="DA724" s="75"/>
      <c r="DB724" s="74"/>
      <c r="DC724" s="74"/>
      <c r="DD724" s="74"/>
      <c r="DE724" s="74"/>
      <c r="DF724" s="74"/>
      <c r="DG724" s="74"/>
      <c r="DH724" s="74"/>
      <c r="DI724" s="74"/>
      <c r="DJ724" s="74"/>
      <c r="DK724" s="74"/>
      <c r="DL724" s="74"/>
      <c r="DM724" s="74"/>
      <c r="DN724" s="74"/>
      <c r="DO724" s="74"/>
      <c r="DP724" s="74"/>
      <c r="DQ724" s="74"/>
      <c r="DR724" s="74"/>
      <c r="DS724" s="74"/>
      <c r="DT724" s="74"/>
      <c r="DU724" s="74"/>
      <c r="DV724" s="74"/>
      <c r="DW724" s="74"/>
    </row>
    <row r="725">
      <c r="A725" s="41" t="s">
        <v>64</v>
      </c>
      <c r="B725" s="41" t="s">
        <v>56</v>
      </c>
      <c r="C725" s="31" t="s">
        <v>1907</v>
      </c>
      <c r="D725" s="25" t="str">
        <f>IFERROR(__xludf.DUMMYFUNCTION("SPLIT(C725,"" "")"),"Stell,")</f>
        <v>Stell,</v>
      </c>
      <c r="E725" s="40" t="str">
        <f>IFERROR(__xludf.DUMMYFUNCTION("""COMPUTED_VALUE"""),"Jan
PO")</f>
        <v>Jan
PO</v>
      </c>
      <c r="F725" s="40" t="str">
        <f>IFERROR(__xludf.DUMMYFUNCTION("""COMPUTED_VALUE"""),"Box")</f>
        <v>Box</v>
      </c>
      <c r="G725" s="40" t="str">
        <f>IFERROR(__xludf.DUMMYFUNCTION("""COMPUTED_VALUE"""),"38298
Dallas,")</f>
        <v>38298
Dallas,</v>
      </c>
      <c r="H725" s="40" t="str">
        <f>IFERROR(__xludf.DUMMYFUNCTION("""COMPUTED_VALUE"""),"TX")</f>
        <v>TX</v>
      </c>
      <c r="I725" s="40">
        <f>IFERROR(__xludf.DUMMYFUNCTION("""COMPUTED_VALUE"""),75238.0)</f>
        <v>75238</v>
      </c>
      <c r="J725" s="40"/>
      <c r="K725" s="40"/>
      <c r="L725" s="40"/>
      <c r="M725" s="40"/>
      <c r="N725" s="40"/>
      <c r="O725" s="40"/>
      <c r="P725" s="40"/>
      <c r="Q725" s="40"/>
      <c r="R725" s="40"/>
      <c r="S725" s="40"/>
      <c r="T725" s="40"/>
      <c r="U725" s="24" t="str">
        <f>IFERROR(__xludf.DUMMYFUNCTION("SPLIT(E725,""01234567890"")"),"Jan
PO")</f>
        <v>Jan
PO</v>
      </c>
      <c r="V725" s="24" t="str">
        <f>IFERROR(__xludf.DUMMYFUNCTION("SPLIT(D725,"","")"),"Stell")</f>
        <v>Stell</v>
      </c>
      <c r="W725" s="25" t="str">
        <f t="shared" si="1"/>
        <v>JAN
PO STELL</v>
      </c>
      <c r="X725" s="25" t="s">
        <v>1908</v>
      </c>
      <c r="Y725" s="25">
        <v>75238.0</v>
      </c>
      <c r="Z725" s="25" t="str">
        <f>IFERROR(__xludf.DUMMYFUNCTION("SPLIT(C725,""
"")"),"Stell, Jan")</f>
        <v>Stell, Jan</v>
      </c>
      <c r="AA725" s="25" t="str">
        <f>IFERROR(__xludf.DUMMYFUNCTION("""COMPUTED_VALUE"""),"PO Box 38298")</f>
        <v>PO Box 38298</v>
      </c>
      <c r="AB725" s="25" t="str">
        <f>IFERROR(__xludf.DUMMYFUNCTION("""COMPUTED_VALUE"""),"Dallas, TX 75238")</f>
        <v>Dallas, TX 75238</v>
      </c>
      <c r="AC725" s="24" t="s">
        <v>1909</v>
      </c>
      <c r="AD725" s="25"/>
      <c r="AE725" s="25"/>
      <c r="AF725" s="25"/>
      <c r="AG725" s="40" t="s">
        <v>60</v>
      </c>
      <c r="AH725" s="42">
        <v>2477.0</v>
      </c>
      <c r="AI725" s="40" t="s">
        <v>68</v>
      </c>
      <c r="AJ725" s="27">
        <v>1000.0</v>
      </c>
      <c r="AK725" s="31" t="s">
        <v>26</v>
      </c>
      <c r="AL725" s="43">
        <v>44917.0</v>
      </c>
      <c r="AM725" s="44">
        <v>44940.42346064815</v>
      </c>
      <c r="AN725" s="30">
        <v>2.0</v>
      </c>
      <c r="AO725" s="40"/>
      <c r="AP725" s="40"/>
      <c r="AQ725" s="40"/>
      <c r="AR725" s="40"/>
      <c r="AS725" s="40"/>
      <c r="AT725" s="47"/>
      <c r="AU725" s="40"/>
      <c r="AV725" s="46" t="str">
        <f>IFERROR(__xludf.DUMMYFUNCTION("""COMPUTED_VALUE"""),"Schwarz")</f>
        <v>Schwarz</v>
      </c>
      <c r="AW725" s="46">
        <f t="shared" si="7"/>
        <v>100</v>
      </c>
      <c r="AX725" s="47">
        <f t="shared" ref="AX725:BQ725" si="2286">SUMIFS($AJ:$AJ,$V:$V,$AV725,$AK:$AK,AX$2)</f>
        <v>0</v>
      </c>
      <c r="AY725" s="48">
        <f t="shared" si="2286"/>
        <v>0</v>
      </c>
      <c r="AZ725" s="48">
        <f t="shared" si="2286"/>
        <v>0</v>
      </c>
      <c r="BA725" s="48">
        <f t="shared" si="2286"/>
        <v>0</v>
      </c>
      <c r="BB725" s="48">
        <f t="shared" si="2286"/>
        <v>0</v>
      </c>
      <c r="BC725" s="48">
        <f t="shared" si="2286"/>
        <v>0</v>
      </c>
      <c r="BD725" s="48">
        <f t="shared" si="2286"/>
        <v>0</v>
      </c>
      <c r="BE725" s="48">
        <f t="shared" si="2286"/>
        <v>0</v>
      </c>
      <c r="BF725" s="48">
        <f t="shared" si="2286"/>
        <v>0</v>
      </c>
      <c r="BG725" s="48">
        <f t="shared" si="2286"/>
        <v>0</v>
      </c>
      <c r="BH725" s="48">
        <f t="shared" si="2286"/>
        <v>100</v>
      </c>
      <c r="BI725" s="48">
        <f t="shared" si="2286"/>
        <v>0</v>
      </c>
      <c r="BJ725" s="48">
        <f t="shared" si="2286"/>
        <v>0</v>
      </c>
      <c r="BK725" s="48">
        <f t="shared" si="2286"/>
        <v>0</v>
      </c>
      <c r="BL725" s="48">
        <f t="shared" si="2286"/>
        <v>0</v>
      </c>
      <c r="BM725" s="48">
        <f t="shared" si="2286"/>
        <v>0</v>
      </c>
      <c r="BN725" s="48">
        <f t="shared" si="2286"/>
        <v>0</v>
      </c>
      <c r="BO725" s="48">
        <f t="shared" si="2286"/>
        <v>0</v>
      </c>
      <c r="BP725" s="48">
        <f t="shared" si="2286"/>
        <v>0</v>
      </c>
      <c r="BQ725" s="48">
        <f t="shared" si="2286"/>
        <v>0</v>
      </c>
      <c r="BR725" s="36">
        <f t="shared" si="9"/>
        <v>0</v>
      </c>
      <c r="BS725" s="38">
        <f t="shared" si="10"/>
        <v>1</v>
      </c>
      <c r="BT725" s="49">
        <f t="shared" si="11"/>
        <v>0</v>
      </c>
      <c r="BU725" s="38">
        <f t="shared" si="12"/>
        <v>1000</v>
      </c>
      <c r="BV725" s="46" t="str">
        <f>IFERROR(__xludf.DUMMYFUNCTION("""COMPUTED_VALUE"""),"Schwarz")</f>
        <v>Schwarz</v>
      </c>
      <c r="BW725" s="46">
        <f t="shared" si="13"/>
        <v>100</v>
      </c>
      <c r="BX725" s="47">
        <f t="shared" ref="BX725:CA725" si="2287">AX725-$BU725</f>
        <v>-1000</v>
      </c>
      <c r="BY725" s="47">
        <f t="shared" si="2287"/>
        <v>-1000</v>
      </c>
      <c r="BZ725" s="47">
        <f t="shared" si="2287"/>
        <v>-1000</v>
      </c>
      <c r="CA725" s="47">
        <f t="shared" si="2287"/>
        <v>-1000</v>
      </c>
      <c r="CB725" s="47">
        <f t="shared" si="15"/>
        <v>-10000</v>
      </c>
      <c r="CC725" s="47">
        <f t="shared" ref="CC725:CQ725" si="2288">BC725-$BU725</f>
        <v>-1000</v>
      </c>
      <c r="CD725" s="47">
        <f t="shared" si="2288"/>
        <v>-1000</v>
      </c>
      <c r="CE725" s="47">
        <f t="shared" si="2288"/>
        <v>-1000</v>
      </c>
      <c r="CF725" s="47">
        <f t="shared" si="2288"/>
        <v>-1000</v>
      </c>
      <c r="CG725" s="47">
        <f t="shared" si="2288"/>
        <v>-1000</v>
      </c>
      <c r="CH725" s="47">
        <f t="shared" si="2288"/>
        <v>-900</v>
      </c>
      <c r="CI725" s="47">
        <f t="shared" si="2288"/>
        <v>-1000</v>
      </c>
      <c r="CJ725" s="47">
        <f t="shared" si="2288"/>
        <v>-1000</v>
      </c>
      <c r="CK725" s="47">
        <f t="shared" si="2288"/>
        <v>-1000</v>
      </c>
      <c r="CL725" s="47">
        <f t="shared" si="2288"/>
        <v>-1000</v>
      </c>
      <c r="CM725" s="47">
        <f t="shared" si="2288"/>
        <v>-1000</v>
      </c>
      <c r="CN725" s="47">
        <f t="shared" si="2288"/>
        <v>-1000</v>
      </c>
      <c r="CO725" s="47">
        <f t="shared" si="2288"/>
        <v>-1000</v>
      </c>
      <c r="CP725" s="47">
        <f t="shared" si="2288"/>
        <v>-1000</v>
      </c>
      <c r="CQ725" s="47">
        <f t="shared" si="2288"/>
        <v>-1000</v>
      </c>
      <c r="CR725" s="47"/>
      <c r="CS725" s="47"/>
      <c r="CT725" s="47"/>
      <c r="CU725" s="74"/>
      <c r="CV725" s="74"/>
      <c r="CW725" s="74" t="str">
        <f>IFERROR(__xludf.DUMMYFUNCTION("IF(REGEXMATCH(UPPER(CU725), ""DALLAS""),,CU725)"),"")</f>
        <v/>
      </c>
      <c r="CX725" s="74"/>
      <c r="CY725" s="74"/>
      <c r="CZ725" s="74"/>
      <c r="DA725" s="75"/>
      <c r="DB725" s="74"/>
      <c r="DC725" s="74"/>
      <c r="DD725" s="74"/>
      <c r="DE725" s="74"/>
      <c r="DF725" s="74"/>
      <c r="DG725" s="74"/>
      <c r="DH725" s="74"/>
      <c r="DI725" s="74"/>
      <c r="DJ725" s="74"/>
      <c r="DK725" s="74"/>
      <c r="DL725" s="74"/>
      <c r="DM725" s="74"/>
      <c r="DN725" s="74"/>
      <c r="DO725" s="74"/>
      <c r="DP725" s="74"/>
      <c r="DQ725" s="74"/>
      <c r="DR725" s="74"/>
      <c r="DS725" s="74"/>
      <c r="DT725" s="74"/>
      <c r="DU725" s="74"/>
      <c r="DV725" s="74"/>
      <c r="DW725" s="74"/>
    </row>
    <row r="726">
      <c r="A726" s="23" t="s">
        <v>64</v>
      </c>
      <c r="B726" s="23" t="s">
        <v>56</v>
      </c>
      <c r="C726" s="31" t="s">
        <v>1910</v>
      </c>
      <c r="D726" s="25" t="str">
        <f>IFERROR(__xludf.DUMMYFUNCTION("SPLIT(C726,"" "")"),"Iyriad")</f>
        <v>Iyriad</v>
      </c>
      <c r="E726" s="22" t="str">
        <f>IFERROR(__xludf.DUMMYFUNCTION("""COMPUTED_VALUE"""),"Roofing")</f>
        <v>Roofing</v>
      </c>
      <c r="F726" s="22" t="str">
        <f>IFERROR(__xludf.DUMMYFUNCTION("""COMPUTED_VALUE"""),"&amp;")</f>
        <v>&amp;</v>
      </c>
      <c r="G726" s="22" t="str">
        <f>IFERROR(__xludf.DUMMYFUNCTION("""COMPUTED_VALUE"""),"Construction")</f>
        <v>Construction</v>
      </c>
      <c r="H726" s="22" t="str">
        <f>IFERROR(__xludf.DUMMYFUNCTION("""COMPUTED_VALUE"""),"LLC
6060")</f>
        <v>LLC
6060</v>
      </c>
      <c r="I726" s="22" t="str">
        <f>IFERROR(__xludf.DUMMYFUNCTION("""COMPUTED_VALUE"""),"Chevelia")</f>
        <v>Chevelia</v>
      </c>
      <c r="J726" s="22" t="str">
        <f>IFERROR(__xludf.DUMMYFUNCTION("""COMPUTED_VALUE"""),"Dr
Dallas,")</f>
        <v>Dr
Dallas,</v>
      </c>
      <c r="K726" s="22" t="str">
        <f>IFERROR(__xludf.DUMMYFUNCTION("""COMPUTED_VALUE"""),"TX")</f>
        <v>TX</v>
      </c>
      <c r="L726" s="22" t="str">
        <f>IFERROR(__xludf.DUMMYFUNCTION("""COMPUTED_VALUE"""),"75232-4159")</f>
        <v>75232-4159</v>
      </c>
      <c r="M726" s="22"/>
      <c r="N726" s="22"/>
      <c r="O726" s="22"/>
      <c r="P726" s="22"/>
      <c r="Q726" s="22"/>
      <c r="R726" s="22"/>
      <c r="S726" s="22"/>
      <c r="T726" s="22"/>
      <c r="U726" s="24" t="str">
        <f>IFERROR(__xludf.DUMMYFUNCTION("SPLIT(E726,""01234567890"")"),"Roofing")</f>
        <v>Roofing</v>
      </c>
      <c r="V726" s="24" t="str">
        <f>IFERROR(__xludf.DUMMYFUNCTION("SPLIT(D726,"","")"),"Iyriad")</f>
        <v>Iyriad</v>
      </c>
      <c r="W726" s="25" t="str">
        <f t="shared" si="1"/>
        <v>ROOFING IYRIAD</v>
      </c>
      <c r="X726" s="25" t="s">
        <v>1911</v>
      </c>
      <c r="Y726" s="25">
        <v>6060.0</v>
      </c>
      <c r="Z726" s="25" t="str">
        <f>IFERROR(__xludf.DUMMYFUNCTION("SPLIT(C726,""
"")"),"Iyriad Roofing &amp; Construction LLC")</f>
        <v>Iyriad Roofing &amp; Construction LLC</v>
      </c>
      <c r="AA726" s="25" t="str">
        <f>IFERROR(__xludf.DUMMYFUNCTION("""COMPUTED_VALUE"""),"6060 Chevelia Dr")</f>
        <v>6060 Chevelia Dr</v>
      </c>
      <c r="AB726" s="25" t="str">
        <f>IFERROR(__xludf.DUMMYFUNCTION("""COMPUTED_VALUE"""),"Dallas, TX 75232-4159")</f>
        <v>Dallas, TX 75232-4159</v>
      </c>
      <c r="AC726" s="24" t="s">
        <v>1912</v>
      </c>
      <c r="AD726" s="25"/>
      <c r="AE726" s="25"/>
      <c r="AF726" s="25"/>
      <c r="AG726" s="22" t="s">
        <v>60</v>
      </c>
      <c r="AH726" s="54">
        <v>2480.0</v>
      </c>
      <c r="AI726" s="22" t="s">
        <v>68</v>
      </c>
      <c r="AJ726" s="27">
        <v>1000.0</v>
      </c>
      <c r="AK726" s="31" t="s">
        <v>22</v>
      </c>
      <c r="AL726" s="28">
        <v>44869.0</v>
      </c>
      <c r="AM726" s="29">
        <v>44942.7278125</v>
      </c>
      <c r="AN726" s="30">
        <v>2.0</v>
      </c>
      <c r="AO726" s="22"/>
      <c r="AP726" s="22"/>
      <c r="AQ726" s="22"/>
      <c r="AR726" s="22"/>
      <c r="AS726" s="22"/>
      <c r="AT726" s="70"/>
      <c r="AU726" s="22"/>
      <c r="AV726" s="57" t="str">
        <f>IFERROR(__xludf.DUMMYFUNCTION("""COMPUTED_VALUE"""),"Steinfield")</f>
        <v>Steinfield</v>
      </c>
      <c r="AW726" s="46">
        <f t="shared" si="7"/>
        <v>500</v>
      </c>
      <c r="AX726" s="47">
        <f t="shared" ref="AX726:BQ726" si="2289">SUMIFS($AJ:$AJ,$V:$V,$AV726,$AK:$AK,AX$2)</f>
        <v>0</v>
      </c>
      <c r="AY726" s="48">
        <f t="shared" si="2289"/>
        <v>0</v>
      </c>
      <c r="AZ726" s="48">
        <f t="shared" si="2289"/>
        <v>0</v>
      </c>
      <c r="BA726" s="48">
        <f t="shared" si="2289"/>
        <v>0</v>
      </c>
      <c r="BB726" s="48">
        <f t="shared" si="2289"/>
        <v>0</v>
      </c>
      <c r="BC726" s="48">
        <f t="shared" si="2289"/>
        <v>0</v>
      </c>
      <c r="BD726" s="48">
        <f t="shared" si="2289"/>
        <v>0</v>
      </c>
      <c r="BE726" s="48">
        <f t="shared" si="2289"/>
        <v>0</v>
      </c>
      <c r="BF726" s="48">
        <f t="shared" si="2289"/>
        <v>0</v>
      </c>
      <c r="BG726" s="48">
        <f t="shared" si="2289"/>
        <v>0</v>
      </c>
      <c r="BH726" s="48">
        <f t="shared" si="2289"/>
        <v>500</v>
      </c>
      <c r="BI726" s="48">
        <f t="shared" si="2289"/>
        <v>0</v>
      </c>
      <c r="BJ726" s="48">
        <f t="shared" si="2289"/>
        <v>0</v>
      </c>
      <c r="BK726" s="48">
        <f t="shared" si="2289"/>
        <v>0</v>
      </c>
      <c r="BL726" s="48">
        <f t="shared" si="2289"/>
        <v>0</v>
      </c>
      <c r="BM726" s="48">
        <f t="shared" si="2289"/>
        <v>0</v>
      </c>
      <c r="BN726" s="48">
        <f t="shared" si="2289"/>
        <v>0</v>
      </c>
      <c r="BO726" s="48">
        <f t="shared" si="2289"/>
        <v>0</v>
      </c>
      <c r="BP726" s="48">
        <f t="shared" si="2289"/>
        <v>0</v>
      </c>
      <c r="BQ726" s="48">
        <f t="shared" si="2289"/>
        <v>0</v>
      </c>
      <c r="BR726" s="36">
        <f t="shared" si="9"/>
        <v>0</v>
      </c>
      <c r="BS726" s="38">
        <f t="shared" si="10"/>
        <v>1</v>
      </c>
      <c r="BT726" s="49">
        <f t="shared" si="11"/>
        <v>0</v>
      </c>
      <c r="BU726" s="38">
        <f t="shared" si="12"/>
        <v>1000</v>
      </c>
      <c r="BV726" s="57" t="str">
        <f>IFERROR(__xludf.DUMMYFUNCTION("""COMPUTED_VALUE"""),"Steinfield")</f>
        <v>Steinfield</v>
      </c>
      <c r="BW726" s="46">
        <f t="shared" si="13"/>
        <v>500</v>
      </c>
      <c r="BX726" s="47">
        <f t="shared" ref="BX726:CA726" si="2290">AX726-$BU726</f>
        <v>-1000</v>
      </c>
      <c r="BY726" s="47">
        <f t="shared" si="2290"/>
        <v>-1000</v>
      </c>
      <c r="BZ726" s="47">
        <f t="shared" si="2290"/>
        <v>-1000</v>
      </c>
      <c r="CA726" s="47">
        <f t="shared" si="2290"/>
        <v>-1000</v>
      </c>
      <c r="CB726" s="47">
        <f t="shared" si="15"/>
        <v>-10000</v>
      </c>
      <c r="CC726" s="47">
        <f t="shared" ref="CC726:CQ726" si="2291">BC726-$BU726</f>
        <v>-1000</v>
      </c>
      <c r="CD726" s="47">
        <f t="shared" si="2291"/>
        <v>-1000</v>
      </c>
      <c r="CE726" s="47">
        <f t="shared" si="2291"/>
        <v>-1000</v>
      </c>
      <c r="CF726" s="47">
        <f t="shared" si="2291"/>
        <v>-1000</v>
      </c>
      <c r="CG726" s="47">
        <f t="shared" si="2291"/>
        <v>-1000</v>
      </c>
      <c r="CH726" s="47">
        <f t="shared" si="2291"/>
        <v>-500</v>
      </c>
      <c r="CI726" s="47">
        <f t="shared" si="2291"/>
        <v>-1000</v>
      </c>
      <c r="CJ726" s="47">
        <f t="shared" si="2291"/>
        <v>-1000</v>
      </c>
      <c r="CK726" s="47">
        <f t="shared" si="2291"/>
        <v>-1000</v>
      </c>
      <c r="CL726" s="47">
        <f t="shared" si="2291"/>
        <v>-1000</v>
      </c>
      <c r="CM726" s="47">
        <f t="shared" si="2291"/>
        <v>-1000</v>
      </c>
      <c r="CN726" s="47">
        <f t="shared" si="2291"/>
        <v>-1000</v>
      </c>
      <c r="CO726" s="47">
        <f t="shared" si="2291"/>
        <v>-1000</v>
      </c>
      <c r="CP726" s="47">
        <f t="shared" si="2291"/>
        <v>-1000</v>
      </c>
      <c r="CQ726" s="47">
        <f t="shared" si="2291"/>
        <v>-1000</v>
      </c>
      <c r="CR726" s="47"/>
      <c r="CS726" s="47"/>
      <c r="CT726" s="47"/>
      <c r="CU726" s="74"/>
      <c r="CV726" s="74"/>
      <c r="CW726" s="74" t="str">
        <f>IFERROR(__xludf.DUMMYFUNCTION("IF(REGEXMATCH(UPPER(CU726), ""DALLAS""),,CU726)"),"")</f>
        <v/>
      </c>
      <c r="CX726" s="74"/>
      <c r="CY726" s="74"/>
      <c r="CZ726" s="74"/>
      <c r="DA726" s="75"/>
      <c r="DB726" s="74"/>
      <c r="DC726" s="74"/>
      <c r="DD726" s="74"/>
      <c r="DE726" s="74"/>
      <c r="DF726" s="74"/>
      <c r="DG726" s="74"/>
      <c r="DH726" s="74"/>
      <c r="DI726" s="74"/>
      <c r="DJ726" s="74"/>
      <c r="DK726" s="74"/>
      <c r="DL726" s="74"/>
      <c r="DM726" s="74"/>
      <c r="DN726" s="74"/>
      <c r="DO726" s="74"/>
      <c r="DP726" s="74"/>
      <c r="DQ726" s="74"/>
      <c r="DR726" s="74"/>
      <c r="DS726" s="74"/>
      <c r="DT726" s="74"/>
      <c r="DU726" s="74"/>
      <c r="DV726" s="74"/>
      <c r="DW726" s="74"/>
    </row>
    <row r="727">
      <c r="A727" s="40" t="s">
        <v>55</v>
      </c>
      <c r="B727" s="41" t="s">
        <v>56</v>
      </c>
      <c r="C727" s="31" t="s">
        <v>1913</v>
      </c>
      <c r="D727" s="25" t="str">
        <f>IFERROR(__xludf.DUMMYFUNCTION("SPLIT(C727,"" "")"),"Chopp,")</f>
        <v>Chopp,</v>
      </c>
      <c r="E727" s="40" t="str">
        <f>IFERROR(__xludf.DUMMYFUNCTION("""COMPUTED_VALUE"""),"Stephony
2448")</f>
        <v>Stephony
2448</v>
      </c>
      <c r="F727" s="40" t="str">
        <f>IFERROR(__xludf.DUMMYFUNCTION("""COMPUTED_VALUE"""),"Club")</f>
        <v>Club</v>
      </c>
      <c r="G727" s="40" t="str">
        <f>IFERROR(__xludf.DUMMYFUNCTION("""COMPUTED_VALUE"""),"Manor")</f>
        <v>Manor</v>
      </c>
      <c r="H727" s="40" t="str">
        <f>IFERROR(__xludf.DUMMYFUNCTION("""COMPUTED_VALUE"""),"Dr
Dallas,")</f>
        <v>Dr
Dallas,</v>
      </c>
      <c r="I727" s="40" t="str">
        <f>IFERROR(__xludf.DUMMYFUNCTION("""COMPUTED_VALUE"""),"TX")</f>
        <v>TX</v>
      </c>
      <c r="J727" s="40" t="str">
        <f>IFERROR(__xludf.DUMMYFUNCTION("""COMPUTED_VALUE"""),"75237-2702")</f>
        <v>75237-2702</v>
      </c>
      <c r="K727" s="40"/>
      <c r="L727" s="40"/>
      <c r="M727" s="40"/>
      <c r="N727" s="40"/>
      <c r="O727" s="40"/>
      <c r="P727" s="40"/>
      <c r="Q727" s="40"/>
      <c r="R727" s="40"/>
      <c r="S727" s="40"/>
      <c r="T727" s="40"/>
      <c r="U727" s="24" t="str">
        <f>IFERROR(__xludf.DUMMYFUNCTION("SPLIT(E727,""01234567890"")"),"Stephony
")</f>
        <v>Stephony
</v>
      </c>
      <c r="V727" s="24" t="str">
        <f>IFERROR(__xludf.DUMMYFUNCTION("SPLIT(D727,"","")"),"Chopp")</f>
        <v>Chopp</v>
      </c>
      <c r="W727" s="25" t="str">
        <f t="shared" si="1"/>
        <v>STEPHONY
 CHOPP</v>
      </c>
      <c r="X727" s="25" t="s">
        <v>1914</v>
      </c>
      <c r="Y727" s="25" t="s">
        <v>1915</v>
      </c>
      <c r="Z727" s="25" t="str">
        <f>IFERROR(__xludf.DUMMYFUNCTION("SPLIT(C727,""
"")"),"Chopp, Stephony")</f>
        <v>Chopp, Stephony</v>
      </c>
      <c r="AA727" s="25" t="str">
        <f>IFERROR(__xludf.DUMMYFUNCTION("""COMPUTED_VALUE"""),"2448 Club Manor Dr")</f>
        <v>2448 Club Manor Dr</v>
      </c>
      <c r="AB727" s="25" t="str">
        <f>IFERROR(__xludf.DUMMYFUNCTION("""COMPUTED_VALUE"""),"Dallas, TX 75237-2702")</f>
        <v>Dallas, TX 75237-2702</v>
      </c>
      <c r="AC727" s="24" t="s">
        <v>1916</v>
      </c>
      <c r="AD727" s="25"/>
      <c r="AE727" s="25"/>
      <c r="AF727" s="25"/>
      <c r="AG727" s="40" t="s">
        <v>60</v>
      </c>
      <c r="AH727" s="42">
        <v>2480.0</v>
      </c>
      <c r="AI727" s="40" t="s">
        <v>68</v>
      </c>
      <c r="AJ727" s="27">
        <v>1000.0</v>
      </c>
      <c r="AK727" s="31" t="s">
        <v>22</v>
      </c>
      <c r="AL727" s="43">
        <v>44869.0</v>
      </c>
      <c r="AM727" s="44">
        <v>44942.7278125</v>
      </c>
      <c r="AN727" s="30">
        <v>2.0</v>
      </c>
      <c r="AO727" s="40"/>
      <c r="AP727" s="40"/>
      <c r="AQ727" s="40"/>
      <c r="AR727" s="40"/>
      <c r="AS727" s="40"/>
      <c r="AT727" s="47"/>
      <c r="AU727" s="40"/>
      <c r="AV727" s="46" t="str">
        <f>IFERROR(__xludf.DUMMYFUNCTION("""COMPUTED_VALUE"""),"Rosenberg")</f>
        <v>Rosenberg</v>
      </c>
      <c r="AW727" s="46">
        <f t="shared" si="7"/>
        <v>500</v>
      </c>
      <c r="AX727" s="47">
        <f t="shared" ref="AX727:BQ727" si="2292">SUMIFS($AJ:$AJ,$V:$V,$AV727,$AK:$AK,AX$2)</f>
        <v>0</v>
      </c>
      <c r="AY727" s="48">
        <f t="shared" si="2292"/>
        <v>0</v>
      </c>
      <c r="AZ727" s="48">
        <f t="shared" si="2292"/>
        <v>0</v>
      </c>
      <c r="BA727" s="48">
        <f t="shared" si="2292"/>
        <v>0</v>
      </c>
      <c r="BB727" s="48">
        <f t="shared" si="2292"/>
        <v>0</v>
      </c>
      <c r="BC727" s="48">
        <f t="shared" si="2292"/>
        <v>0</v>
      </c>
      <c r="BD727" s="48">
        <f t="shared" si="2292"/>
        <v>0</v>
      </c>
      <c r="BE727" s="48">
        <f t="shared" si="2292"/>
        <v>0</v>
      </c>
      <c r="BF727" s="48">
        <f t="shared" si="2292"/>
        <v>0</v>
      </c>
      <c r="BG727" s="48">
        <f t="shared" si="2292"/>
        <v>0</v>
      </c>
      <c r="BH727" s="48">
        <f t="shared" si="2292"/>
        <v>500</v>
      </c>
      <c r="BI727" s="48">
        <f t="shared" si="2292"/>
        <v>0</v>
      </c>
      <c r="BJ727" s="48">
        <f t="shared" si="2292"/>
        <v>0</v>
      </c>
      <c r="BK727" s="48">
        <f t="shared" si="2292"/>
        <v>0</v>
      </c>
      <c r="BL727" s="48">
        <f t="shared" si="2292"/>
        <v>0</v>
      </c>
      <c r="BM727" s="48">
        <f t="shared" si="2292"/>
        <v>0</v>
      </c>
      <c r="BN727" s="48">
        <f t="shared" si="2292"/>
        <v>0</v>
      </c>
      <c r="BO727" s="48">
        <f t="shared" si="2292"/>
        <v>0</v>
      </c>
      <c r="BP727" s="48">
        <f t="shared" si="2292"/>
        <v>0</v>
      </c>
      <c r="BQ727" s="48">
        <f t="shared" si="2292"/>
        <v>0</v>
      </c>
      <c r="BR727" s="36">
        <f t="shared" si="9"/>
        <v>0</v>
      </c>
      <c r="BS727" s="38">
        <f t="shared" si="10"/>
        <v>1</v>
      </c>
      <c r="BT727" s="49">
        <f t="shared" si="11"/>
        <v>0</v>
      </c>
      <c r="BU727" s="38">
        <f t="shared" si="12"/>
        <v>1000</v>
      </c>
      <c r="BV727" s="46" t="str">
        <f>IFERROR(__xludf.DUMMYFUNCTION("""COMPUTED_VALUE"""),"Rosenberg")</f>
        <v>Rosenberg</v>
      </c>
      <c r="BW727" s="46">
        <f t="shared" si="13"/>
        <v>500</v>
      </c>
      <c r="BX727" s="47">
        <f t="shared" ref="BX727:CA727" si="2293">AX727-$BU727</f>
        <v>-1000</v>
      </c>
      <c r="BY727" s="47">
        <f t="shared" si="2293"/>
        <v>-1000</v>
      </c>
      <c r="BZ727" s="47">
        <f t="shared" si="2293"/>
        <v>-1000</v>
      </c>
      <c r="CA727" s="47">
        <f t="shared" si="2293"/>
        <v>-1000</v>
      </c>
      <c r="CB727" s="47">
        <f t="shared" si="15"/>
        <v>-10000</v>
      </c>
      <c r="CC727" s="47">
        <f t="shared" ref="CC727:CQ727" si="2294">BC727-$BU727</f>
        <v>-1000</v>
      </c>
      <c r="CD727" s="47">
        <f t="shared" si="2294"/>
        <v>-1000</v>
      </c>
      <c r="CE727" s="47">
        <f t="shared" si="2294"/>
        <v>-1000</v>
      </c>
      <c r="CF727" s="47">
        <f t="shared" si="2294"/>
        <v>-1000</v>
      </c>
      <c r="CG727" s="47">
        <f t="shared" si="2294"/>
        <v>-1000</v>
      </c>
      <c r="CH727" s="47">
        <f t="shared" si="2294"/>
        <v>-500</v>
      </c>
      <c r="CI727" s="47">
        <f t="shared" si="2294"/>
        <v>-1000</v>
      </c>
      <c r="CJ727" s="47">
        <f t="shared" si="2294"/>
        <v>-1000</v>
      </c>
      <c r="CK727" s="47">
        <f t="shared" si="2294"/>
        <v>-1000</v>
      </c>
      <c r="CL727" s="47">
        <f t="shared" si="2294"/>
        <v>-1000</v>
      </c>
      <c r="CM727" s="47">
        <f t="shared" si="2294"/>
        <v>-1000</v>
      </c>
      <c r="CN727" s="47">
        <f t="shared" si="2294"/>
        <v>-1000</v>
      </c>
      <c r="CO727" s="47">
        <f t="shared" si="2294"/>
        <v>-1000</v>
      </c>
      <c r="CP727" s="47">
        <f t="shared" si="2294"/>
        <v>-1000</v>
      </c>
      <c r="CQ727" s="47">
        <f t="shared" si="2294"/>
        <v>-1000</v>
      </c>
      <c r="CR727" s="47"/>
      <c r="CS727" s="47"/>
      <c r="CT727" s="47"/>
      <c r="CU727" s="74"/>
      <c r="CV727" s="74"/>
      <c r="CW727" s="74" t="str">
        <f>IFERROR(__xludf.DUMMYFUNCTION("IF(REGEXMATCH(UPPER(CU727), ""DALLAS""),,CU727)"),"")</f>
        <v/>
      </c>
      <c r="CX727" s="74"/>
      <c r="CY727" s="74"/>
      <c r="CZ727" s="74"/>
      <c r="DA727" s="75"/>
      <c r="DB727" s="74"/>
      <c r="DC727" s="74"/>
      <c r="DD727" s="74"/>
      <c r="DE727" s="74"/>
      <c r="DF727" s="74"/>
      <c r="DG727" s="74"/>
      <c r="DH727" s="74"/>
      <c r="DI727" s="74"/>
      <c r="DJ727" s="74"/>
      <c r="DK727" s="74"/>
      <c r="DL727" s="74"/>
      <c r="DM727" s="74"/>
      <c r="DN727" s="74"/>
      <c r="DO727" s="74"/>
      <c r="DP727" s="74"/>
      <c r="DQ727" s="74"/>
      <c r="DR727" s="74"/>
      <c r="DS727" s="74"/>
      <c r="DT727" s="74"/>
      <c r="DU727" s="74"/>
      <c r="DV727" s="74"/>
      <c r="DW727" s="74"/>
    </row>
    <row r="728">
      <c r="A728" s="23" t="s">
        <v>64</v>
      </c>
      <c r="B728" s="23" t="s">
        <v>56</v>
      </c>
      <c r="C728" s="31" t="s">
        <v>1917</v>
      </c>
      <c r="D728" s="25" t="str">
        <f>IFERROR(__xludf.DUMMYFUNCTION("SPLIT(C728,"" "")"),"SOUTHWEST")</f>
        <v>SOUTHWEST</v>
      </c>
      <c r="E728" s="22" t="str">
        <f>IFERROR(__xludf.DUMMYFUNCTION("""COMPUTED_VALUE"""),"AIRLINES")</f>
        <v>AIRLINES</v>
      </c>
      <c r="F728" s="22" t="str">
        <f>IFERROR(__xludf.DUMMYFUNCTION("""COMPUTED_VALUE"""),"CO")</f>
        <v>CO</v>
      </c>
      <c r="G728" s="22" t="str">
        <f>IFERROR(__xludf.DUMMYFUNCTION("""COMPUTED_VALUE"""),"FREEDOM")</f>
        <v>FREEDOM</v>
      </c>
      <c r="H728" s="22" t="str">
        <f>IFERROR(__xludf.DUMMYFUNCTION("""COMPUTED_VALUE"""),"FUND
PO")</f>
        <v>FUND
PO</v>
      </c>
      <c r="I728" s="22" t="str">
        <f>IFERROR(__xludf.DUMMYFUNCTION("""COMPUTED_VALUE"""),"Box")</f>
        <v>Box</v>
      </c>
      <c r="J728" s="22" t="str">
        <f>IFERROR(__xludf.DUMMYFUNCTION("""COMPUTED_VALUE"""),"36611
Dallas,")</f>
        <v>36611
Dallas,</v>
      </c>
      <c r="K728" s="22" t="str">
        <f>IFERROR(__xludf.DUMMYFUNCTION("""COMPUTED_VALUE"""),"TX")</f>
        <v>TX</v>
      </c>
      <c r="L728" s="22">
        <f>IFERROR(__xludf.DUMMYFUNCTION("""COMPUTED_VALUE"""),75235.0)</f>
        <v>75235</v>
      </c>
      <c r="M728" s="22"/>
      <c r="N728" s="22"/>
      <c r="O728" s="22"/>
      <c r="P728" s="22"/>
      <c r="Q728" s="22"/>
      <c r="R728" s="22"/>
      <c r="S728" s="22"/>
      <c r="T728" s="22"/>
      <c r="U728" s="24" t="str">
        <f>IFERROR(__xludf.DUMMYFUNCTION("SPLIT(E728,""01234567890"")"),"AIRLINES")</f>
        <v>AIRLINES</v>
      </c>
      <c r="V728" s="24" t="str">
        <f>IFERROR(__xludf.DUMMYFUNCTION("SPLIT(D728,"","")"),"SOUTHWEST")</f>
        <v>SOUTHWEST</v>
      </c>
      <c r="W728" s="25" t="str">
        <f t="shared" si="1"/>
        <v>AIRLINES SOUTHWEST</v>
      </c>
      <c r="X728" s="25" t="s">
        <v>1918</v>
      </c>
      <c r="Y728" s="25">
        <v>75235.0</v>
      </c>
      <c r="Z728" s="25" t="str">
        <f>IFERROR(__xludf.DUMMYFUNCTION("SPLIT(C728,""
"")"),"SOUTHWEST AIRLINES CO FREEDOM FUND")</f>
        <v>SOUTHWEST AIRLINES CO FREEDOM FUND</v>
      </c>
      <c r="AA728" s="25" t="str">
        <f>IFERROR(__xludf.DUMMYFUNCTION("""COMPUTED_VALUE"""),"PO Box 36611")</f>
        <v>PO Box 36611</v>
      </c>
      <c r="AB728" s="25" t="str">
        <f>IFERROR(__xludf.DUMMYFUNCTION("""COMPUTED_VALUE"""),"Dallas, TX 75235")</f>
        <v>Dallas, TX 75235</v>
      </c>
      <c r="AC728" s="24" t="s">
        <v>1919</v>
      </c>
      <c r="AD728" s="25"/>
      <c r="AE728" s="25"/>
      <c r="AF728" s="25"/>
      <c r="AG728" s="22" t="s">
        <v>60</v>
      </c>
      <c r="AH728" s="54">
        <v>2480.0</v>
      </c>
      <c r="AI728" s="22" t="s">
        <v>68</v>
      </c>
      <c r="AJ728" s="27">
        <v>1000.0</v>
      </c>
      <c r="AK728" s="31" t="s">
        <v>22</v>
      </c>
      <c r="AL728" s="28">
        <v>44771.0</v>
      </c>
      <c r="AM728" s="29">
        <v>44942.7278125</v>
      </c>
      <c r="AN728" s="30">
        <v>2.0</v>
      </c>
      <c r="AO728" s="22"/>
      <c r="AP728" s="22"/>
      <c r="AQ728" s="22"/>
      <c r="AR728" s="22"/>
      <c r="AS728" s="22"/>
      <c r="AT728" s="70"/>
      <c r="AU728" s="22"/>
      <c r="AV728" s="57" t="str">
        <f>IFERROR(__xludf.DUMMYFUNCTION("""COMPUTED_VALUE"""),"Presby")</f>
        <v>Presby</v>
      </c>
      <c r="AW728" s="46">
        <f t="shared" si="7"/>
        <v>500</v>
      </c>
      <c r="AX728" s="47">
        <f t="shared" ref="AX728:BQ728" si="2295">SUMIFS($AJ:$AJ,$V:$V,$AV728,$AK:$AK,AX$2)</f>
        <v>0</v>
      </c>
      <c r="AY728" s="48">
        <f t="shared" si="2295"/>
        <v>0</v>
      </c>
      <c r="AZ728" s="48">
        <f t="shared" si="2295"/>
        <v>0</v>
      </c>
      <c r="BA728" s="48">
        <f t="shared" si="2295"/>
        <v>0</v>
      </c>
      <c r="BB728" s="48">
        <f t="shared" si="2295"/>
        <v>0</v>
      </c>
      <c r="BC728" s="48">
        <f t="shared" si="2295"/>
        <v>0</v>
      </c>
      <c r="BD728" s="48">
        <f t="shared" si="2295"/>
        <v>0</v>
      </c>
      <c r="BE728" s="48">
        <f t="shared" si="2295"/>
        <v>0</v>
      </c>
      <c r="BF728" s="48">
        <f t="shared" si="2295"/>
        <v>0</v>
      </c>
      <c r="BG728" s="48">
        <f t="shared" si="2295"/>
        <v>0</v>
      </c>
      <c r="BH728" s="48">
        <f t="shared" si="2295"/>
        <v>500</v>
      </c>
      <c r="BI728" s="48">
        <f t="shared" si="2295"/>
        <v>0</v>
      </c>
      <c r="BJ728" s="48">
        <f t="shared" si="2295"/>
        <v>0</v>
      </c>
      <c r="BK728" s="48">
        <f t="shared" si="2295"/>
        <v>0</v>
      </c>
      <c r="BL728" s="48">
        <f t="shared" si="2295"/>
        <v>0</v>
      </c>
      <c r="BM728" s="48">
        <f t="shared" si="2295"/>
        <v>0</v>
      </c>
      <c r="BN728" s="48">
        <f t="shared" si="2295"/>
        <v>0</v>
      </c>
      <c r="BO728" s="48">
        <f t="shared" si="2295"/>
        <v>0</v>
      </c>
      <c r="BP728" s="48">
        <f t="shared" si="2295"/>
        <v>0</v>
      </c>
      <c r="BQ728" s="48">
        <f t="shared" si="2295"/>
        <v>0</v>
      </c>
      <c r="BR728" s="36">
        <f t="shared" si="9"/>
        <v>0</v>
      </c>
      <c r="BS728" s="38">
        <f t="shared" si="10"/>
        <v>1</v>
      </c>
      <c r="BT728" s="49">
        <f t="shared" si="11"/>
        <v>0</v>
      </c>
      <c r="BU728" s="38">
        <f t="shared" si="12"/>
        <v>1000</v>
      </c>
      <c r="BV728" s="57" t="str">
        <f>IFERROR(__xludf.DUMMYFUNCTION("""COMPUTED_VALUE"""),"Presby")</f>
        <v>Presby</v>
      </c>
      <c r="BW728" s="46">
        <f t="shared" si="13"/>
        <v>500</v>
      </c>
      <c r="BX728" s="47">
        <f t="shared" ref="BX728:CA728" si="2296">AX728-$BU728</f>
        <v>-1000</v>
      </c>
      <c r="BY728" s="47">
        <f t="shared" si="2296"/>
        <v>-1000</v>
      </c>
      <c r="BZ728" s="47">
        <f t="shared" si="2296"/>
        <v>-1000</v>
      </c>
      <c r="CA728" s="47">
        <f t="shared" si="2296"/>
        <v>-1000</v>
      </c>
      <c r="CB728" s="47">
        <f t="shared" si="15"/>
        <v>-10000</v>
      </c>
      <c r="CC728" s="47">
        <f t="shared" ref="CC728:CQ728" si="2297">BC728-$BU728</f>
        <v>-1000</v>
      </c>
      <c r="CD728" s="47">
        <f t="shared" si="2297"/>
        <v>-1000</v>
      </c>
      <c r="CE728" s="47">
        <f t="shared" si="2297"/>
        <v>-1000</v>
      </c>
      <c r="CF728" s="47">
        <f t="shared" si="2297"/>
        <v>-1000</v>
      </c>
      <c r="CG728" s="47">
        <f t="shared" si="2297"/>
        <v>-1000</v>
      </c>
      <c r="CH728" s="47">
        <f t="shared" si="2297"/>
        <v>-500</v>
      </c>
      <c r="CI728" s="47">
        <f t="shared" si="2297"/>
        <v>-1000</v>
      </c>
      <c r="CJ728" s="47">
        <f t="shared" si="2297"/>
        <v>-1000</v>
      </c>
      <c r="CK728" s="47">
        <f t="shared" si="2297"/>
        <v>-1000</v>
      </c>
      <c r="CL728" s="47">
        <f t="shared" si="2297"/>
        <v>-1000</v>
      </c>
      <c r="CM728" s="47">
        <f t="shared" si="2297"/>
        <v>-1000</v>
      </c>
      <c r="CN728" s="47">
        <f t="shared" si="2297"/>
        <v>-1000</v>
      </c>
      <c r="CO728" s="47">
        <f t="shared" si="2297"/>
        <v>-1000</v>
      </c>
      <c r="CP728" s="47">
        <f t="shared" si="2297"/>
        <v>-1000</v>
      </c>
      <c r="CQ728" s="47">
        <f t="shared" si="2297"/>
        <v>-1000</v>
      </c>
      <c r="CR728" s="47"/>
      <c r="CS728" s="47"/>
      <c r="CT728" s="47"/>
      <c r="CU728" s="74"/>
      <c r="CV728" s="74"/>
      <c r="CW728" s="74" t="str">
        <f>IFERROR(__xludf.DUMMYFUNCTION("IF(REGEXMATCH(UPPER(CU728), ""DALLAS""),,CU728)"),"")</f>
        <v/>
      </c>
      <c r="CX728" s="74"/>
      <c r="CY728" s="74"/>
      <c r="CZ728" s="74"/>
      <c r="DA728" s="75"/>
      <c r="DB728" s="74"/>
      <c r="DC728" s="74"/>
      <c r="DD728" s="74"/>
      <c r="DE728" s="74"/>
      <c r="DF728" s="74"/>
      <c r="DG728" s="74"/>
      <c r="DH728" s="74"/>
      <c r="DI728" s="74"/>
      <c r="DJ728" s="74"/>
      <c r="DK728" s="74"/>
      <c r="DL728" s="74"/>
      <c r="DM728" s="74"/>
      <c r="DN728" s="74"/>
      <c r="DO728" s="74"/>
      <c r="DP728" s="74"/>
      <c r="DQ728" s="74"/>
      <c r="DR728" s="74"/>
      <c r="DS728" s="74"/>
      <c r="DT728" s="74"/>
      <c r="DU728" s="74"/>
      <c r="DV728" s="74"/>
      <c r="DW728" s="74"/>
    </row>
    <row r="729">
      <c r="A729" s="40" t="s">
        <v>55</v>
      </c>
      <c r="B729" s="41" t="s">
        <v>56</v>
      </c>
      <c r="C729" s="31" t="s">
        <v>1920</v>
      </c>
      <c r="D729" s="25" t="str">
        <f>IFERROR(__xludf.DUMMYFUNCTION("SPLIT(C729,"" "")"),"Sampson,")</f>
        <v>Sampson,</v>
      </c>
      <c r="E729" s="40" t="str">
        <f>IFERROR(__xludf.DUMMYFUNCTION("""COMPUTED_VALUE"""),"Demetris
PO")</f>
        <v>Demetris
PO</v>
      </c>
      <c r="F729" s="40" t="str">
        <f>IFERROR(__xludf.DUMMYFUNCTION("""COMPUTED_VALUE"""),"Box")</f>
        <v>Box</v>
      </c>
      <c r="G729" s="40" t="str">
        <f>IFERROR(__xludf.DUMMYFUNCTION("""COMPUTED_VALUE"""),"763837
Dallas,")</f>
        <v>763837
Dallas,</v>
      </c>
      <c r="H729" s="40" t="str">
        <f>IFERROR(__xludf.DUMMYFUNCTION("""COMPUTED_VALUE"""),"TX")</f>
        <v>TX</v>
      </c>
      <c r="I729" s="40">
        <f>IFERROR(__xludf.DUMMYFUNCTION("""COMPUTED_VALUE"""),75376.0)</f>
        <v>75376</v>
      </c>
      <c r="J729" s="40"/>
      <c r="K729" s="40"/>
      <c r="L729" s="40"/>
      <c r="M729" s="40"/>
      <c r="N729" s="40"/>
      <c r="O729" s="40"/>
      <c r="P729" s="40"/>
      <c r="Q729" s="40"/>
      <c r="R729" s="40"/>
      <c r="S729" s="40"/>
      <c r="T729" s="40"/>
      <c r="U729" s="24" t="str">
        <f>IFERROR(__xludf.DUMMYFUNCTION("SPLIT(E729,""01234567890"")"),"Demetris
PO")</f>
        <v>Demetris
PO</v>
      </c>
      <c r="V729" s="24" t="str">
        <f>IFERROR(__xludf.DUMMYFUNCTION("SPLIT(D729,"","")"),"Sampson")</f>
        <v>Sampson</v>
      </c>
      <c r="W729" s="25" t="str">
        <f t="shared" si="1"/>
        <v>DEMETRIS
PO SAMPSON</v>
      </c>
      <c r="X729" s="25" t="s">
        <v>1921</v>
      </c>
      <c r="Y729" s="25">
        <v>75376.0</v>
      </c>
      <c r="Z729" s="25" t="str">
        <f>IFERROR(__xludf.DUMMYFUNCTION("SPLIT(C729,""
"")"),"Sampson, Demetris")</f>
        <v>Sampson, Demetris</v>
      </c>
      <c r="AA729" s="25" t="str">
        <f>IFERROR(__xludf.DUMMYFUNCTION("""COMPUTED_VALUE"""),"PO Box 763837")</f>
        <v>PO Box 763837</v>
      </c>
      <c r="AB729" s="25" t="str">
        <f>IFERROR(__xludf.DUMMYFUNCTION("""COMPUTED_VALUE"""),"Dallas, TX 75376")</f>
        <v>Dallas, TX 75376</v>
      </c>
      <c r="AC729" s="24" t="s">
        <v>814</v>
      </c>
      <c r="AD729" s="25"/>
      <c r="AE729" s="25"/>
      <c r="AF729" s="25"/>
      <c r="AG729" s="40" t="s">
        <v>60</v>
      </c>
      <c r="AH729" s="42">
        <v>2480.0</v>
      </c>
      <c r="AI729" s="40" t="s">
        <v>68</v>
      </c>
      <c r="AJ729" s="27">
        <v>250.0</v>
      </c>
      <c r="AK729" s="31" t="s">
        <v>22</v>
      </c>
      <c r="AL729" s="43">
        <v>44774.0</v>
      </c>
      <c r="AM729" s="44">
        <v>44942.7278125</v>
      </c>
      <c r="AN729" s="30">
        <v>2.0</v>
      </c>
      <c r="AO729" s="40"/>
      <c r="AP729" s="40"/>
      <c r="AQ729" s="40"/>
      <c r="AR729" s="40"/>
      <c r="AS729" s="40"/>
      <c r="AT729" s="47"/>
      <c r="AU729" s="40"/>
      <c r="AV729" s="46" t="str">
        <f>IFERROR(__xludf.DUMMYFUNCTION("""COMPUTED_VALUE"""),"Cheatham")</f>
        <v>Cheatham</v>
      </c>
      <c r="AW729" s="46">
        <f t="shared" si="7"/>
        <v>1000</v>
      </c>
      <c r="AX729" s="47">
        <f t="shared" ref="AX729:BQ729" si="2298">SUMIFS($AJ:$AJ,$V:$V,$AV729,$AK:$AK,AX$2)</f>
        <v>0</v>
      </c>
      <c r="AY729" s="48">
        <f t="shared" si="2298"/>
        <v>0</v>
      </c>
      <c r="AZ729" s="48">
        <f t="shared" si="2298"/>
        <v>0</v>
      </c>
      <c r="BA729" s="48">
        <f t="shared" si="2298"/>
        <v>0</v>
      </c>
      <c r="BB729" s="48">
        <f t="shared" si="2298"/>
        <v>0</v>
      </c>
      <c r="BC729" s="48">
        <f t="shared" si="2298"/>
        <v>0</v>
      </c>
      <c r="BD729" s="48">
        <f t="shared" si="2298"/>
        <v>0</v>
      </c>
      <c r="BE729" s="48">
        <f t="shared" si="2298"/>
        <v>0</v>
      </c>
      <c r="BF729" s="48">
        <f t="shared" si="2298"/>
        <v>0</v>
      </c>
      <c r="BG729" s="48">
        <f t="shared" si="2298"/>
        <v>0</v>
      </c>
      <c r="BH729" s="48">
        <f t="shared" si="2298"/>
        <v>1000</v>
      </c>
      <c r="BI729" s="48">
        <f t="shared" si="2298"/>
        <v>0</v>
      </c>
      <c r="BJ729" s="48">
        <f t="shared" si="2298"/>
        <v>0</v>
      </c>
      <c r="BK729" s="48">
        <f t="shared" si="2298"/>
        <v>0</v>
      </c>
      <c r="BL729" s="48">
        <f t="shared" si="2298"/>
        <v>0</v>
      </c>
      <c r="BM729" s="48">
        <f t="shared" si="2298"/>
        <v>0</v>
      </c>
      <c r="BN729" s="48">
        <f t="shared" si="2298"/>
        <v>0</v>
      </c>
      <c r="BO729" s="48">
        <f t="shared" si="2298"/>
        <v>0</v>
      </c>
      <c r="BP729" s="48">
        <f t="shared" si="2298"/>
        <v>0</v>
      </c>
      <c r="BQ729" s="48">
        <f t="shared" si="2298"/>
        <v>0</v>
      </c>
      <c r="BR729" s="36">
        <f t="shared" si="9"/>
        <v>0</v>
      </c>
      <c r="BS729" s="38">
        <f t="shared" si="10"/>
        <v>1</v>
      </c>
      <c r="BT729" s="49">
        <f t="shared" si="11"/>
        <v>0</v>
      </c>
      <c r="BU729" s="38">
        <f t="shared" si="12"/>
        <v>1000</v>
      </c>
      <c r="BV729" s="46" t="str">
        <f>IFERROR(__xludf.DUMMYFUNCTION("""COMPUTED_VALUE"""),"Cheatham")</f>
        <v>Cheatham</v>
      </c>
      <c r="BW729" s="46">
        <f t="shared" si="13"/>
        <v>1000</v>
      </c>
      <c r="BX729" s="47">
        <f t="shared" ref="BX729:CA729" si="2299">AX729-$BU729</f>
        <v>-1000</v>
      </c>
      <c r="BY729" s="47">
        <f t="shared" si="2299"/>
        <v>-1000</v>
      </c>
      <c r="BZ729" s="47">
        <f t="shared" si="2299"/>
        <v>-1000</v>
      </c>
      <c r="CA729" s="47">
        <f t="shared" si="2299"/>
        <v>-1000</v>
      </c>
      <c r="CB729" s="47">
        <f t="shared" si="15"/>
        <v>-10000</v>
      </c>
      <c r="CC729" s="47">
        <f t="shared" ref="CC729:CQ729" si="2300">BC729-$BU729</f>
        <v>-1000</v>
      </c>
      <c r="CD729" s="47">
        <f t="shared" si="2300"/>
        <v>-1000</v>
      </c>
      <c r="CE729" s="47">
        <f t="shared" si="2300"/>
        <v>-1000</v>
      </c>
      <c r="CF729" s="47">
        <f t="shared" si="2300"/>
        <v>-1000</v>
      </c>
      <c r="CG729" s="47">
        <f t="shared" si="2300"/>
        <v>-1000</v>
      </c>
      <c r="CH729" s="47">
        <f t="shared" si="2300"/>
        <v>0</v>
      </c>
      <c r="CI729" s="47">
        <f t="shared" si="2300"/>
        <v>-1000</v>
      </c>
      <c r="CJ729" s="47">
        <f t="shared" si="2300"/>
        <v>-1000</v>
      </c>
      <c r="CK729" s="47">
        <f t="shared" si="2300"/>
        <v>-1000</v>
      </c>
      <c r="CL729" s="47">
        <f t="shared" si="2300"/>
        <v>-1000</v>
      </c>
      <c r="CM729" s="47">
        <f t="shared" si="2300"/>
        <v>-1000</v>
      </c>
      <c r="CN729" s="47">
        <f t="shared" si="2300"/>
        <v>-1000</v>
      </c>
      <c r="CO729" s="47">
        <f t="shared" si="2300"/>
        <v>-1000</v>
      </c>
      <c r="CP729" s="47">
        <f t="shared" si="2300"/>
        <v>-1000</v>
      </c>
      <c r="CQ729" s="47">
        <f t="shared" si="2300"/>
        <v>-1000</v>
      </c>
      <c r="CR729" s="47"/>
      <c r="CS729" s="47"/>
      <c r="CT729" s="47"/>
      <c r="CU729" s="74"/>
      <c r="CV729" s="74"/>
      <c r="CW729" s="74" t="str">
        <f>IFERROR(__xludf.DUMMYFUNCTION("IF(REGEXMATCH(UPPER(CU729), ""DALLAS""),,CU729)"),"")</f>
        <v/>
      </c>
      <c r="CX729" s="74"/>
      <c r="CY729" s="74"/>
      <c r="CZ729" s="74"/>
      <c r="DA729" s="75"/>
      <c r="DB729" s="74"/>
      <c r="DC729" s="74"/>
      <c r="DD729" s="74"/>
      <c r="DE729" s="74"/>
      <c r="DF729" s="74"/>
      <c r="DG729" s="74"/>
      <c r="DH729" s="74"/>
      <c r="DI729" s="74"/>
      <c r="DJ729" s="74"/>
      <c r="DK729" s="74"/>
      <c r="DL729" s="74"/>
      <c r="DM729" s="74"/>
      <c r="DN729" s="74"/>
      <c r="DO729" s="74"/>
      <c r="DP729" s="74"/>
      <c r="DQ729" s="74"/>
      <c r="DR729" s="74"/>
      <c r="DS729" s="74"/>
      <c r="DT729" s="74"/>
      <c r="DU729" s="74"/>
      <c r="DV729" s="74"/>
      <c r="DW729" s="74"/>
    </row>
    <row r="730">
      <c r="A730" s="23" t="s">
        <v>64</v>
      </c>
      <c r="B730" s="23" t="s">
        <v>56</v>
      </c>
      <c r="C730" s="31" t="s">
        <v>1922</v>
      </c>
      <c r="D730" s="25" t="str">
        <f>IFERROR(__xludf.DUMMYFUNCTION("SPLIT(C730,"" "")"),"OLABIMTAN,")</f>
        <v>OLABIMTAN,</v>
      </c>
      <c r="E730" s="22" t="str">
        <f>IFERROR(__xludf.DUMMYFUNCTION("""COMPUTED_VALUE"""),"AFISU
74")</f>
        <v>AFISU
74</v>
      </c>
      <c r="F730" s="22" t="str">
        <f>IFERROR(__xludf.DUMMYFUNCTION("""COMPUTED_VALUE"""),"BUCK")</f>
        <v>BUCK</v>
      </c>
      <c r="G730" s="22" t="str">
        <f>IFERROR(__xludf.DUMMYFUNCTION("""COMPUTED_VALUE"""),"TRAIL
SADLER,")</f>
        <v>TRAIL
SADLER,</v>
      </c>
      <c r="H730" s="22" t="str">
        <f>IFERROR(__xludf.DUMMYFUNCTION("""COMPUTED_VALUE"""),"TX")</f>
        <v>TX</v>
      </c>
      <c r="I730" s="22">
        <f>IFERROR(__xludf.DUMMYFUNCTION("""COMPUTED_VALUE"""),76264.0)</f>
        <v>76264</v>
      </c>
      <c r="J730" s="22"/>
      <c r="K730" s="22"/>
      <c r="L730" s="22"/>
      <c r="M730" s="22"/>
      <c r="N730" s="22"/>
      <c r="O730" s="22"/>
      <c r="P730" s="22"/>
      <c r="Q730" s="22"/>
      <c r="R730" s="22"/>
      <c r="S730" s="22"/>
      <c r="T730" s="22"/>
      <c r="U730" s="24" t="str">
        <f>IFERROR(__xludf.DUMMYFUNCTION("SPLIT(E730,""01234567890"")"),"AFISU
")</f>
        <v>AFISU
</v>
      </c>
      <c r="V730" s="24" t="str">
        <f>IFERROR(__xludf.DUMMYFUNCTION("SPLIT(D730,"","")"),"OLABIMTAN")</f>
        <v>OLABIMTAN</v>
      </c>
      <c r="W730" s="25" t="str">
        <f t="shared" si="1"/>
        <v>AFISU
 OLABIMTAN</v>
      </c>
      <c r="X730" s="25" t="s">
        <v>1923</v>
      </c>
      <c r="Y730" s="25">
        <v>76264.0</v>
      </c>
      <c r="Z730" s="25" t="str">
        <f>IFERROR(__xludf.DUMMYFUNCTION("SPLIT(C730,""
"")"),"OLABIMTAN, AFISU")</f>
        <v>OLABIMTAN, AFISU</v>
      </c>
      <c r="AA730" s="25" t="str">
        <f>IFERROR(__xludf.DUMMYFUNCTION("""COMPUTED_VALUE"""),"74 BUCK TRAIL")</f>
        <v>74 BUCK TRAIL</v>
      </c>
      <c r="AB730" s="25" t="str">
        <f>IFERROR(__xludf.DUMMYFUNCTION("""COMPUTED_VALUE"""),"SADLER, TX 76264")</f>
        <v>SADLER, TX 76264</v>
      </c>
      <c r="AC730" s="24" t="s">
        <v>1924</v>
      </c>
      <c r="AD730" s="25"/>
      <c r="AE730" s="25"/>
      <c r="AF730" s="25"/>
      <c r="AG730" s="22" t="s">
        <v>60</v>
      </c>
      <c r="AH730" s="54">
        <v>2480.0</v>
      </c>
      <c r="AI730" s="22" t="s">
        <v>68</v>
      </c>
      <c r="AJ730" s="27">
        <v>1000.0</v>
      </c>
      <c r="AK730" s="31" t="s">
        <v>22</v>
      </c>
      <c r="AL730" s="28">
        <v>44755.0</v>
      </c>
      <c r="AM730" s="29">
        <v>44942.7278125</v>
      </c>
      <c r="AN730" s="30">
        <v>2.0</v>
      </c>
      <c r="AO730" s="22"/>
      <c r="AP730" s="22"/>
      <c r="AQ730" s="22"/>
      <c r="AR730" s="22"/>
      <c r="AS730" s="22"/>
      <c r="AT730" s="70"/>
      <c r="AU730" s="22"/>
      <c r="AV730" s="57" t="str">
        <f>IFERROR(__xludf.DUMMYFUNCTION("""COMPUTED_VALUE"""),"Hodes")</f>
        <v>Hodes</v>
      </c>
      <c r="AW730" s="46">
        <f t="shared" si="7"/>
        <v>1000</v>
      </c>
      <c r="AX730" s="47">
        <f t="shared" ref="AX730:BQ730" si="2301">SUMIFS($AJ:$AJ,$V:$V,$AV730,$AK:$AK,AX$2)</f>
        <v>0</v>
      </c>
      <c r="AY730" s="48">
        <f t="shared" si="2301"/>
        <v>0</v>
      </c>
      <c r="AZ730" s="48">
        <f t="shared" si="2301"/>
        <v>0</v>
      </c>
      <c r="BA730" s="48">
        <f t="shared" si="2301"/>
        <v>0</v>
      </c>
      <c r="BB730" s="48">
        <f t="shared" si="2301"/>
        <v>0</v>
      </c>
      <c r="BC730" s="48">
        <f t="shared" si="2301"/>
        <v>0</v>
      </c>
      <c r="BD730" s="48">
        <f t="shared" si="2301"/>
        <v>0</v>
      </c>
      <c r="BE730" s="48">
        <f t="shared" si="2301"/>
        <v>0</v>
      </c>
      <c r="BF730" s="48">
        <f t="shared" si="2301"/>
        <v>0</v>
      </c>
      <c r="BG730" s="48">
        <f t="shared" si="2301"/>
        <v>0</v>
      </c>
      <c r="BH730" s="48">
        <f t="shared" si="2301"/>
        <v>1000</v>
      </c>
      <c r="BI730" s="48">
        <f t="shared" si="2301"/>
        <v>0</v>
      </c>
      <c r="BJ730" s="48">
        <f t="shared" si="2301"/>
        <v>0</v>
      </c>
      <c r="BK730" s="48">
        <f t="shared" si="2301"/>
        <v>0</v>
      </c>
      <c r="BL730" s="48">
        <f t="shared" si="2301"/>
        <v>0</v>
      </c>
      <c r="BM730" s="48">
        <f t="shared" si="2301"/>
        <v>0</v>
      </c>
      <c r="BN730" s="48">
        <f t="shared" si="2301"/>
        <v>0</v>
      </c>
      <c r="BO730" s="48">
        <f t="shared" si="2301"/>
        <v>0</v>
      </c>
      <c r="BP730" s="48">
        <f t="shared" si="2301"/>
        <v>0</v>
      </c>
      <c r="BQ730" s="48">
        <f t="shared" si="2301"/>
        <v>0</v>
      </c>
      <c r="BR730" s="36">
        <f t="shared" si="9"/>
        <v>0</v>
      </c>
      <c r="BS730" s="38">
        <f t="shared" si="10"/>
        <v>1</v>
      </c>
      <c r="BT730" s="49">
        <f t="shared" si="11"/>
        <v>0</v>
      </c>
      <c r="BU730" s="38">
        <f t="shared" si="12"/>
        <v>1000</v>
      </c>
      <c r="BV730" s="57" t="str">
        <f>IFERROR(__xludf.DUMMYFUNCTION("""COMPUTED_VALUE"""),"Hodes")</f>
        <v>Hodes</v>
      </c>
      <c r="BW730" s="46">
        <f t="shared" si="13"/>
        <v>1000</v>
      </c>
      <c r="BX730" s="47">
        <f t="shared" ref="BX730:CA730" si="2302">AX730-$BU730</f>
        <v>-1000</v>
      </c>
      <c r="BY730" s="47">
        <f t="shared" si="2302"/>
        <v>-1000</v>
      </c>
      <c r="BZ730" s="47">
        <f t="shared" si="2302"/>
        <v>-1000</v>
      </c>
      <c r="CA730" s="47">
        <f t="shared" si="2302"/>
        <v>-1000</v>
      </c>
      <c r="CB730" s="47">
        <f t="shared" si="15"/>
        <v>-10000</v>
      </c>
      <c r="CC730" s="47">
        <f t="shared" ref="CC730:CQ730" si="2303">BC730-$BU730</f>
        <v>-1000</v>
      </c>
      <c r="CD730" s="47">
        <f t="shared" si="2303"/>
        <v>-1000</v>
      </c>
      <c r="CE730" s="47">
        <f t="shared" si="2303"/>
        <v>-1000</v>
      </c>
      <c r="CF730" s="47">
        <f t="shared" si="2303"/>
        <v>-1000</v>
      </c>
      <c r="CG730" s="47">
        <f t="shared" si="2303"/>
        <v>-1000</v>
      </c>
      <c r="CH730" s="47">
        <f t="shared" si="2303"/>
        <v>0</v>
      </c>
      <c r="CI730" s="47">
        <f t="shared" si="2303"/>
        <v>-1000</v>
      </c>
      <c r="CJ730" s="47">
        <f t="shared" si="2303"/>
        <v>-1000</v>
      </c>
      <c r="CK730" s="47">
        <f t="shared" si="2303"/>
        <v>-1000</v>
      </c>
      <c r="CL730" s="47">
        <f t="shared" si="2303"/>
        <v>-1000</v>
      </c>
      <c r="CM730" s="47">
        <f t="shared" si="2303"/>
        <v>-1000</v>
      </c>
      <c r="CN730" s="47">
        <f t="shared" si="2303"/>
        <v>-1000</v>
      </c>
      <c r="CO730" s="47">
        <f t="shared" si="2303"/>
        <v>-1000</v>
      </c>
      <c r="CP730" s="47">
        <f t="shared" si="2303"/>
        <v>-1000</v>
      </c>
      <c r="CQ730" s="47">
        <f t="shared" si="2303"/>
        <v>-1000</v>
      </c>
      <c r="CR730" s="47"/>
      <c r="CS730" s="47"/>
      <c r="CT730" s="47"/>
      <c r="CU730" s="74"/>
      <c r="CV730" s="74"/>
      <c r="CW730" s="74" t="str">
        <f>IFERROR(__xludf.DUMMYFUNCTION("IF(REGEXMATCH(UPPER(CU730), ""DALLAS""),,CU730)"),"")</f>
        <v/>
      </c>
      <c r="CX730" s="74"/>
      <c r="CY730" s="74"/>
      <c r="CZ730" s="74"/>
      <c r="DA730" s="75"/>
      <c r="DB730" s="74"/>
      <c r="DC730" s="74"/>
      <c r="DD730" s="74"/>
      <c r="DE730" s="74"/>
      <c r="DF730" s="74"/>
      <c r="DG730" s="74"/>
      <c r="DH730" s="74"/>
      <c r="DI730" s="74"/>
      <c r="DJ730" s="74"/>
      <c r="DK730" s="74"/>
      <c r="DL730" s="74"/>
      <c r="DM730" s="74"/>
      <c r="DN730" s="74"/>
      <c r="DO730" s="74"/>
      <c r="DP730" s="74"/>
      <c r="DQ730" s="74"/>
      <c r="DR730" s="74"/>
      <c r="DS730" s="74"/>
      <c r="DT730" s="74"/>
      <c r="DU730" s="74"/>
      <c r="DV730" s="74"/>
      <c r="DW730" s="74"/>
    </row>
    <row r="731">
      <c r="A731" s="40" t="s">
        <v>55</v>
      </c>
      <c r="B731" s="41" t="s">
        <v>56</v>
      </c>
      <c r="C731" s="31" t="s">
        <v>1925</v>
      </c>
      <c r="D731" s="25" t="str">
        <f>IFERROR(__xludf.DUMMYFUNCTION("SPLIT(C731,"" "")"),"Mapp,")</f>
        <v>Mapp,</v>
      </c>
      <c r="E731" s="40" t="str">
        <f>IFERROR(__xludf.DUMMYFUNCTION("""COMPUTED_VALUE"""),"Trelaine
12612")</f>
        <v>Trelaine
12612</v>
      </c>
      <c r="F731" s="40" t="str">
        <f>IFERROR(__xludf.DUMMYFUNCTION("""COMPUTED_VALUE"""),"Beech")</f>
        <v>Beech</v>
      </c>
      <c r="G731" s="40" t="str">
        <f>IFERROR(__xludf.DUMMYFUNCTION("""COMPUTED_VALUE"""),"Tree")</f>
        <v>Tree</v>
      </c>
      <c r="H731" s="40" t="str">
        <f>IFERROR(__xludf.DUMMYFUNCTION("""COMPUTED_VALUE"""),"Lane
Euless,")</f>
        <v>Lane
Euless,</v>
      </c>
      <c r="I731" s="40" t="str">
        <f>IFERROR(__xludf.DUMMYFUNCTION("""COMPUTED_VALUE"""),"TX")</f>
        <v>TX</v>
      </c>
      <c r="J731" s="40">
        <f>IFERROR(__xludf.DUMMYFUNCTION("""COMPUTED_VALUE"""),76040.0)</f>
        <v>76040</v>
      </c>
      <c r="K731" s="40"/>
      <c r="L731" s="40"/>
      <c r="M731" s="40"/>
      <c r="N731" s="40"/>
      <c r="O731" s="40"/>
      <c r="P731" s="40"/>
      <c r="Q731" s="40"/>
      <c r="R731" s="40"/>
      <c r="S731" s="40"/>
      <c r="T731" s="40"/>
      <c r="U731" s="24" t="str">
        <f>IFERROR(__xludf.DUMMYFUNCTION("SPLIT(E731,""01234567890"")"),"Trelaine
")</f>
        <v>Trelaine
</v>
      </c>
      <c r="V731" s="24" t="str">
        <f>IFERROR(__xludf.DUMMYFUNCTION("SPLIT(D731,"","")"),"Mapp")</f>
        <v>Mapp</v>
      </c>
      <c r="W731" s="25" t="str">
        <f t="shared" si="1"/>
        <v>TRELAINE
 MAPP</v>
      </c>
      <c r="X731" s="25" t="s">
        <v>1926</v>
      </c>
      <c r="Y731" s="25">
        <v>76040.0</v>
      </c>
      <c r="Z731" s="25" t="str">
        <f>IFERROR(__xludf.DUMMYFUNCTION("SPLIT(C731,""
"")"),"Mapp, Trelaine")</f>
        <v>Mapp, Trelaine</v>
      </c>
      <c r="AA731" s="25" t="str">
        <f>IFERROR(__xludf.DUMMYFUNCTION("""COMPUTED_VALUE"""),"12612 Beech Tree Lane")</f>
        <v>12612 Beech Tree Lane</v>
      </c>
      <c r="AB731" s="25" t="str">
        <f>IFERROR(__xludf.DUMMYFUNCTION("""COMPUTED_VALUE"""),"Euless, TX 76040")</f>
        <v>Euless, TX 76040</v>
      </c>
      <c r="AC731" s="24" t="s">
        <v>1927</v>
      </c>
      <c r="AD731" s="25"/>
      <c r="AE731" s="25"/>
      <c r="AF731" s="25"/>
      <c r="AG731" s="40" t="s">
        <v>60</v>
      </c>
      <c r="AH731" s="42">
        <v>2480.0</v>
      </c>
      <c r="AI731" s="40" t="s">
        <v>68</v>
      </c>
      <c r="AJ731" s="27">
        <v>750.0</v>
      </c>
      <c r="AK731" s="31" t="s">
        <v>22</v>
      </c>
      <c r="AL731" s="43">
        <v>44873.0</v>
      </c>
      <c r="AM731" s="44">
        <v>44942.7278125</v>
      </c>
      <c r="AN731" s="30">
        <v>2.0</v>
      </c>
      <c r="AO731" s="40"/>
      <c r="AP731" s="40"/>
      <c r="AQ731" s="40"/>
      <c r="AR731" s="40"/>
      <c r="AS731" s="40"/>
      <c r="AT731" s="47"/>
      <c r="AU731" s="40"/>
      <c r="AV731" s="46" t="str">
        <f>IFERROR(__xludf.DUMMYFUNCTION("""COMPUTED_VALUE"""),"Lyle")</f>
        <v>Lyle</v>
      </c>
      <c r="AW731" s="46">
        <f t="shared" si="7"/>
        <v>1000</v>
      </c>
      <c r="AX731" s="47">
        <f t="shared" ref="AX731:BQ731" si="2304">SUMIFS($AJ:$AJ,$V:$V,$AV731,$AK:$AK,AX$2)</f>
        <v>0</v>
      </c>
      <c r="AY731" s="48">
        <f t="shared" si="2304"/>
        <v>0</v>
      </c>
      <c r="AZ731" s="48">
        <f t="shared" si="2304"/>
        <v>0</v>
      </c>
      <c r="BA731" s="48">
        <f t="shared" si="2304"/>
        <v>0</v>
      </c>
      <c r="BB731" s="48">
        <f t="shared" si="2304"/>
        <v>0</v>
      </c>
      <c r="BC731" s="48">
        <f t="shared" si="2304"/>
        <v>0</v>
      </c>
      <c r="BD731" s="48">
        <f t="shared" si="2304"/>
        <v>0</v>
      </c>
      <c r="BE731" s="48">
        <f t="shared" si="2304"/>
        <v>0</v>
      </c>
      <c r="BF731" s="48">
        <f t="shared" si="2304"/>
        <v>0</v>
      </c>
      <c r="BG731" s="48">
        <f t="shared" si="2304"/>
        <v>0</v>
      </c>
      <c r="BH731" s="48">
        <f t="shared" si="2304"/>
        <v>1000</v>
      </c>
      <c r="BI731" s="48">
        <f t="shared" si="2304"/>
        <v>0</v>
      </c>
      <c r="BJ731" s="48">
        <f t="shared" si="2304"/>
        <v>0</v>
      </c>
      <c r="BK731" s="48">
        <f t="shared" si="2304"/>
        <v>0</v>
      </c>
      <c r="BL731" s="48">
        <f t="shared" si="2304"/>
        <v>0</v>
      </c>
      <c r="BM731" s="48">
        <f t="shared" si="2304"/>
        <v>0</v>
      </c>
      <c r="BN731" s="48">
        <f t="shared" si="2304"/>
        <v>0</v>
      </c>
      <c r="BO731" s="48">
        <f t="shared" si="2304"/>
        <v>0</v>
      </c>
      <c r="BP731" s="48">
        <f t="shared" si="2304"/>
        <v>0</v>
      </c>
      <c r="BQ731" s="48">
        <f t="shared" si="2304"/>
        <v>0</v>
      </c>
      <c r="BR731" s="36">
        <f t="shared" si="9"/>
        <v>0</v>
      </c>
      <c r="BS731" s="38">
        <f t="shared" si="10"/>
        <v>1</v>
      </c>
      <c r="BT731" s="49">
        <f t="shared" si="11"/>
        <v>0</v>
      </c>
      <c r="BU731" s="38">
        <f t="shared" si="12"/>
        <v>1000</v>
      </c>
      <c r="BV731" s="46" t="str">
        <f>IFERROR(__xludf.DUMMYFUNCTION("""COMPUTED_VALUE"""),"Lyle")</f>
        <v>Lyle</v>
      </c>
      <c r="BW731" s="46">
        <f t="shared" si="13"/>
        <v>1000</v>
      </c>
      <c r="BX731" s="47">
        <f t="shared" ref="BX731:CA731" si="2305">AX731-$BU731</f>
        <v>-1000</v>
      </c>
      <c r="BY731" s="47">
        <f t="shared" si="2305"/>
        <v>-1000</v>
      </c>
      <c r="BZ731" s="47">
        <f t="shared" si="2305"/>
        <v>-1000</v>
      </c>
      <c r="CA731" s="47">
        <f t="shared" si="2305"/>
        <v>-1000</v>
      </c>
      <c r="CB731" s="47">
        <f t="shared" si="15"/>
        <v>-10000</v>
      </c>
      <c r="CC731" s="47">
        <f t="shared" ref="CC731:CQ731" si="2306">BC731-$BU731</f>
        <v>-1000</v>
      </c>
      <c r="CD731" s="47">
        <f t="shared" si="2306"/>
        <v>-1000</v>
      </c>
      <c r="CE731" s="47">
        <f t="shared" si="2306"/>
        <v>-1000</v>
      </c>
      <c r="CF731" s="47">
        <f t="shared" si="2306"/>
        <v>-1000</v>
      </c>
      <c r="CG731" s="47">
        <f t="shared" si="2306"/>
        <v>-1000</v>
      </c>
      <c r="CH731" s="47">
        <f t="shared" si="2306"/>
        <v>0</v>
      </c>
      <c r="CI731" s="47">
        <f t="shared" si="2306"/>
        <v>-1000</v>
      </c>
      <c r="CJ731" s="47">
        <f t="shared" si="2306"/>
        <v>-1000</v>
      </c>
      <c r="CK731" s="47">
        <f t="shared" si="2306"/>
        <v>-1000</v>
      </c>
      <c r="CL731" s="47">
        <f t="shared" si="2306"/>
        <v>-1000</v>
      </c>
      <c r="CM731" s="47">
        <f t="shared" si="2306"/>
        <v>-1000</v>
      </c>
      <c r="CN731" s="47">
        <f t="shared" si="2306"/>
        <v>-1000</v>
      </c>
      <c r="CO731" s="47">
        <f t="shared" si="2306"/>
        <v>-1000</v>
      </c>
      <c r="CP731" s="47">
        <f t="shared" si="2306"/>
        <v>-1000</v>
      </c>
      <c r="CQ731" s="47">
        <f t="shared" si="2306"/>
        <v>-1000</v>
      </c>
      <c r="CR731" s="47"/>
      <c r="CS731" s="47"/>
      <c r="CT731" s="47"/>
      <c r="CU731" s="74"/>
      <c r="CV731" s="74"/>
      <c r="CW731" s="74" t="str">
        <f>IFERROR(__xludf.DUMMYFUNCTION("IF(REGEXMATCH(UPPER(CU731), ""DALLAS""),,CU731)"),"")</f>
        <v/>
      </c>
      <c r="CX731" s="74"/>
      <c r="CY731" s="74"/>
      <c r="CZ731" s="74"/>
      <c r="DA731" s="75"/>
      <c r="DB731" s="74"/>
      <c r="DC731" s="74"/>
      <c r="DD731" s="74"/>
      <c r="DE731" s="74"/>
      <c r="DF731" s="74"/>
      <c r="DG731" s="74"/>
      <c r="DH731" s="74"/>
      <c r="DI731" s="74"/>
      <c r="DJ731" s="74"/>
      <c r="DK731" s="74"/>
      <c r="DL731" s="74"/>
      <c r="DM731" s="74"/>
      <c r="DN731" s="74"/>
      <c r="DO731" s="74"/>
      <c r="DP731" s="74"/>
      <c r="DQ731" s="74"/>
      <c r="DR731" s="74"/>
      <c r="DS731" s="74"/>
      <c r="DT731" s="74"/>
      <c r="DU731" s="74"/>
      <c r="DV731" s="74"/>
      <c r="DW731" s="74"/>
    </row>
    <row r="732">
      <c r="A732" s="23" t="s">
        <v>64</v>
      </c>
      <c r="B732" s="23" t="s">
        <v>56</v>
      </c>
      <c r="C732" s="31" t="s">
        <v>1928</v>
      </c>
      <c r="D732" s="25" t="str">
        <f>IFERROR(__xludf.DUMMYFUNCTION("SPLIT(C732,"" "")"),"Warren,")</f>
        <v>Warren,</v>
      </c>
      <c r="E732" s="22" t="str">
        <f>IFERROR(__xludf.DUMMYFUNCTION("""COMPUTED_VALUE"""),"Wayne
7")</f>
        <v>Wayne
7</v>
      </c>
      <c r="F732" s="22" t="str">
        <f>IFERROR(__xludf.DUMMYFUNCTION("""COMPUTED_VALUE"""),"Equestrian")</f>
        <v>Equestrian</v>
      </c>
      <c r="G732" s="22" t="str">
        <f>IFERROR(__xludf.DUMMYFUNCTION("""COMPUTED_VALUE"""),"Trail
Duncanville,")</f>
        <v>Trail
Duncanville,</v>
      </c>
      <c r="H732" s="22" t="str">
        <f>IFERROR(__xludf.DUMMYFUNCTION("""COMPUTED_VALUE"""),"TX")</f>
        <v>TX</v>
      </c>
      <c r="I732" s="22">
        <f>IFERROR(__xludf.DUMMYFUNCTION("""COMPUTED_VALUE"""),75116.0)</f>
        <v>75116</v>
      </c>
      <c r="J732" s="22"/>
      <c r="K732" s="22"/>
      <c r="L732" s="22"/>
      <c r="M732" s="22"/>
      <c r="N732" s="22"/>
      <c r="O732" s="22"/>
      <c r="P732" s="22"/>
      <c r="Q732" s="22"/>
      <c r="R732" s="22"/>
      <c r="S732" s="22"/>
      <c r="T732" s="22"/>
      <c r="U732" s="24" t="str">
        <f>IFERROR(__xludf.DUMMYFUNCTION("SPLIT(E732,""01234567890"")"),"Wayne
")</f>
        <v>Wayne
</v>
      </c>
      <c r="V732" s="24" t="str">
        <f>IFERROR(__xludf.DUMMYFUNCTION("SPLIT(D732,"","")"),"Warren")</f>
        <v>Warren</v>
      </c>
      <c r="W732" s="25" t="str">
        <f t="shared" si="1"/>
        <v>WAYNE
 WARREN</v>
      </c>
      <c r="X732" s="25" t="s">
        <v>1929</v>
      </c>
      <c r="Y732" s="25">
        <v>75116.0</v>
      </c>
      <c r="Z732" s="25" t="str">
        <f>IFERROR(__xludf.DUMMYFUNCTION("SPLIT(C732,""
"")"),"Warren, Wayne")</f>
        <v>Warren, Wayne</v>
      </c>
      <c r="AA732" s="25" t="str">
        <f>IFERROR(__xludf.DUMMYFUNCTION("""COMPUTED_VALUE"""),"7 Equestrian Trail")</f>
        <v>7 Equestrian Trail</v>
      </c>
      <c r="AB732" s="25" t="str">
        <f>IFERROR(__xludf.DUMMYFUNCTION("""COMPUTED_VALUE"""),"Duncanville, TX 75116")</f>
        <v>Duncanville, TX 75116</v>
      </c>
      <c r="AC732" s="24" t="s">
        <v>1930</v>
      </c>
      <c r="AD732" s="25"/>
      <c r="AE732" s="25"/>
      <c r="AF732" s="25"/>
      <c r="AG732" s="22" t="s">
        <v>60</v>
      </c>
      <c r="AH732" s="54">
        <v>2480.0</v>
      </c>
      <c r="AI732" s="22" t="s">
        <v>68</v>
      </c>
      <c r="AJ732" s="27">
        <v>1000.0</v>
      </c>
      <c r="AK732" s="31" t="s">
        <v>22</v>
      </c>
      <c r="AL732" s="28">
        <v>44873.0</v>
      </c>
      <c r="AM732" s="29">
        <v>44942.7278125</v>
      </c>
      <c r="AN732" s="30">
        <v>2.0</v>
      </c>
      <c r="AO732" s="22"/>
      <c r="AP732" s="22"/>
      <c r="AQ732" s="22"/>
      <c r="AR732" s="22"/>
      <c r="AS732" s="22"/>
      <c r="AT732" s="70"/>
      <c r="AU732" s="22"/>
      <c r="AV732" s="57" t="str">
        <f>IFERROR(__xludf.DUMMYFUNCTION("""COMPUTED_VALUE"""),"Kleinman")</f>
        <v>Kleinman</v>
      </c>
      <c r="AW732" s="46">
        <f t="shared" si="7"/>
        <v>250</v>
      </c>
      <c r="AX732" s="47">
        <f t="shared" ref="AX732:BQ732" si="2307">SUMIFS($AJ:$AJ,$V:$V,$AV732,$AK:$AK,AX$2)</f>
        <v>0</v>
      </c>
      <c r="AY732" s="48">
        <f t="shared" si="2307"/>
        <v>0</v>
      </c>
      <c r="AZ732" s="48">
        <f t="shared" si="2307"/>
        <v>0</v>
      </c>
      <c r="BA732" s="48">
        <f t="shared" si="2307"/>
        <v>0</v>
      </c>
      <c r="BB732" s="48">
        <f t="shared" si="2307"/>
        <v>0</v>
      </c>
      <c r="BC732" s="48">
        <f t="shared" si="2307"/>
        <v>0</v>
      </c>
      <c r="BD732" s="48">
        <f t="shared" si="2307"/>
        <v>0</v>
      </c>
      <c r="BE732" s="48">
        <f t="shared" si="2307"/>
        <v>0</v>
      </c>
      <c r="BF732" s="48">
        <f t="shared" si="2307"/>
        <v>0</v>
      </c>
      <c r="BG732" s="48">
        <f t="shared" si="2307"/>
        <v>0</v>
      </c>
      <c r="BH732" s="48">
        <f t="shared" si="2307"/>
        <v>250</v>
      </c>
      <c r="BI732" s="48">
        <f t="shared" si="2307"/>
        <v>0</v>
      </c>
      <c r="BJ732" s="48">
        <f t="shared" si="2307"/>
        <v>0</v>
      </c>
      <c r="BK732" s="48">
        <f t="shared" si="2307"/>
        <v>0</v>
      </c>
      <c r="BL732" s="48">
        <f t="shared" si="2307"/>
        <v>0</v>
      </c>
      <c r="BM732" s="48">
        <f t="shared" si="2307"/>
        <v>0</v>
      </c>
      <c r="BN732" s="48">
        <f t="shared" si="2307"/>
        <v>0</v>
      </c>
      <c r="BO732" s="48">
        <f t="shared" si="2307"/>
        <v>0</v>
      </c>
      <c r="BP732" s="48">
        <f t="shared" si="2307"/>
        <v>0</v>
      </c>
      <c r="BQ732" s="48">
        <f t="shared" si="2307"/>
        <v>0</v>
      </c>
      <c r="BR732" s="36">
        <f t="shared" si="9"/>
        <v>0</v>
      </c>
      <c r="BS732" s="38">
        <f t="shared" si="10"/>
        <v>1</v>
      </c>
      <c r="BT732" s="49">
        <f t="shared" si="11"/>
        <v>0</v>
      </c>
      <c r="BU732" s="38">
        <f t="shared" si="12"/>
        <v>1000</v>
      </c>
      <c r="BV732" s="57" t="str">
        <f>IFERROR(__xludf.DUMMYFUNCTION("""COMPUTED_VALUE"""),"Kleinman")</f>
        <v>Kleinman</v>
      </c>
      <c r="BW732" s="46">
        <f t="shared" si="13"/>
        <v>250</v>
      </c>
      <c r="BX732" s="47">
        <f t="shared" ref="BX732:CA732" si="2308">AX732-$BU732</f>
        <v>-1000</v>
      </c>
      <c r="BY732" s="47">
        <f t="shared" si="2308"/>
        <v>-1000</v>
      </c>
      <c r="BZ732" s="47">
        <f t="shared" si="2308"/>
        <v>-1000</v>
      </c>
      <c r="CA732" s="47">
        <f t="shared" si="2308"/>
        <v>-1000</v>
      </c>
      <c r="CB732" s="47">
        <f t="shared" si="15"/>
        <v>-10000</v>
      </c>
      <c r="CC732" s="47">
        <f t="shared" ref="CC732:CQ732" si="2309">BC732-$BU732</f>
        <v>-1000</v>
      </c>
      <c r="CD732" s="47">
        <f t="shared" si="2309"/>
        <v>-1000</v>
      </c>
      <c r="CE732" s="47">
        <f t="shared" si="2309"/>
        <v>-1000</v>
      </c>
      <c r="CF732" s="47">
        <f t="shared" si="2309"/>
        <v>-1000</v>
      </c>
      <c r="CG732" s="47">
        <f t="shared" si="2309"/>
        <v>-1000</v>
      </c>
      <c r="CH732" s="47">
        <f t="shared" si="2309"/>
        <v>-750</v>
      </c>
      <c r="CI732" s="47">
        <f t="shared" si="2309"/>
        <v>-1000</v>
      </c>
      <c r="CJ732" s="47">
        <f t="shared" si="2309"/>
        <v>-1000</v>
      </c>
      <c r="CK732" s="47">
        <f t="shared" si="2309"/>
        <v>-1000</v>
      </c>
      <c r="CL732" s="47">
        <f t="shared" si="2309"/>
        <v>-1000</v>
      </c>
      <c r="CM732" s="47">
        <f t="shared" si="2309"/>
        <v>-1000</v>
      </c>
      <c r="CN732" s="47">
        <f t="shared" si="2309"/>
        <v>-1000</v>
      </c>
      <c r="CO732" s="47">
        <f t="shared" si="2309"/>
        <v>-1000</v>
      </c>
      <c r="CP732" s="47">
        <f t="shared" si="2309"/>
        <v>-1000</v>
      </c>
      <c r="CQ732" s="47">
        <f t="shared" si="2309"/>
        <v>-1000</v>
      </c>
      <c r="CR732" s="47"/>
      <c r="CS732" s="47"/>
      <c r="CT732" s="47"/>
      <c r="CU732" s="74"/>
      <c r="CV732" s="74"/>
      <c r="CW732" s="74" t="str">
        <f>IFERROR(__xludf.DUMMYFUNCTION("IF(REGEXMATCH(UPPER(CU732), ""DALLAS""),,CU732)"),"")</f>
        <v/>
      </c>
      <c r="CX732" s="74"/>
      <c r="CY732" s="74"/>
      <c r="CZ732" s="74"/>
      <c r="DA732" s="75"/>
      <c r="DB732" s="74"/>
      <c r="DC732" s="74"/>
      <c r="DD732" s="74"/>
      <c r="DE732" s="74"/>
      <c r="DF732" s="74"/>
      <c r="DG732" s="74"/>
      <c r="DH732" s="74"/>
      <c r="DI732" s="74"/>
      <c r="DJ732" s="74"/>
      <c r="DK732" s="74"/>
      <c r="DL732" s="74"/>
      <c r="DM732" s="74"/>
      <c r="DN732" s="74"/>
      <c r="DO732" s="74"/>
      <c r="DP732" s="74"/>
      <c r="DQ732" s="74"/>
      <c r="DR732" s="74"/>
      <c r="DS732" s="74"/>
      <c r="DT732" s="74"/>
      <c r="DU732" s="74"/>
      <c r="DV732" s="74"/>
      <c r="DW732" s="74"/>
    </row>
    <row r="733">
      <c r="A733" s="40" t="s">
        <v>55</v>
      </c>
      <c r="B733" s="41" t="s">
        <v>56</v>
      </c>
      <c r="C733" s="31" t="s">
        <v>1931</v>
      </c>
      <c r="D733" s="25" t="str">
        <f>IFERROR(__xludf.DUMMYFUNCTION("SPLIT(C733,"" "")"),"Levis")</f>
        <v>Levis</v>
      </c>
      <c r="E733" s="40" t="str">
        <f>IFERROR(__xludf.DUMMYFUNCTION("""COMPUTED_VALUE"""),"Consulting")</f>
        <v>Consulting</v>
      </c>
      <c r="F733" s="40" t="str">
        <f>IFERROR(__xludf.DUMMYFUNCTION("""COMPUTED_VALUE"""),"Group")</f>
        <v>Group</v>
      </c>
      <c r="G733" s="40" t="str">
        <f>IFERROR(__xludf.DUMMYFUNCTION("""COMPUTED_VALUE"""),"LLC
600")</f>
        <v>LLC
600</v>
      </c>
      <c r="H733" s="40" t="str">
        <f>IFERROR(__xludf.DUMMYFUNCTION("""COMPUTED_VALUE"""),"Six")</f>
        <v>Six</v>
      </c>
      <c r="I733" s="40" t="str">
        <f>IFERROR(__xludf.DUMMYFUNCTION("""COMPUTED_VALUE"""),"Flags")</f>
        <v>Flags</v>
      </c>
      <c r="J733" s="40" t="str">
        <f>IFERROR(__xludf.DUMMYFUNCTION("""COMPUTED_VALUE"""),"Dr
Arlington,")</f>
        <v>Dr
Arlington,</v>
      </c>
      <c r="K733" s="40" t="str">
        <f>IFERROR(__xludf.DUMMYFUNCTION("""COMPUTED_VALUE"""),"TX")</f>
        <v>TX</v>
      </c>
      <c r="L733" s="40">
        <f>IFERROR(__xludf.DUMMYFUNCTION("""COMPUTED_VALUE"""),76011.0)</f>
        <v>76011</v>
      </c>
      <c r="M733" s="40"/>
      <c r="N733" s="40"/>
      <c r="O733" s="40"/>
      <c r="P733" s="40"/>
      <c r="Q733" s="40"/>
      <c r="R733" s="40"/>
      <c r="S733" s="40"/>
      <c r="T733" s="40"/>
      <c r="U733" s="24" t="str">
        <f>IFERROR(__xludf.DUMMYFUNCTION("SPLIT(E733,""01234567890"")"),"Consulting")</f>
        <v>Consulting</v>
      </c>
      <c r="V733" s="24" t="str">
        <f>IFERROR(__xludf.DUMMYFUNCTION("SPLIT(D733,"","")"),"Levis")</f>
        <v>Levis</v>
      </c>
      <c r="W733" s="25" t="str">
        <f t="shared" si="1"/>
        <v>CONSULTING LEVIS</v>
      </c>
      <c r="X733" s="25" t="s">
        <v>1932</v>
      </c>
      <c r="Y733" s="25">
        <v>76011.0</v>
      </c>
      <c r="Z733" s="25" t="str">
        <f>IFERROR(__xludf.DUMMYFUNCTION("SPLIT(C733,""
"")"),"Levis Consulting Group LLC")</f>
        <v>Levis Consulting Group LLC</v>
      </c>
      <c r="AA733" s="25" t="str">
        <f>IFERROR(__xludf.DUMMYFUNCTION("""COMPUTED_VALUE"""),"600 Six Flags Dr")</f>
        <v>600 Six Flags Dr</v>
      </c>
      <c r="AB733" s="25" t="str">
        <f>IFERROR(__xludf.DUMMYFUNCTION("""COMPUTED_VALUE"""),"Arlington, TX 76011")</f>
        <v>Arlington, TX 76011</v>
      </c>
      <c r="AC733" s="24" t="s">
        <v>1933</v>
      </c>
      <c r="AD733" s="25"/>
      <c r="AE733" s="25"/>
      <c r="AF733" s="25"/>
      <c r="AG733" s="40" t="s">
        <v>60</v>
      </c>
      <c r="AH733" s="42">
        <v>2480.0</v>
      </c>
      <c r="AI733" s="40" t="s">
        <v>68</v>
      </c>
      <c r="AJ733" s="27">
        <v>1000.0</v>
      </c>
      <c r="AK733" s="31" t="s">
        <v>22</v>
      </c>
      <c r="AL733" s="43">
        <v>44875.0</v>
      </c>
      <c r="AM733" s="44">
        <v>44942.7278125</v>
      </c>
      <c r="AN733" s="30">
        <v>2.0</v>
      </c>
      <c r="AO733" s="40"/>
      <c r="AP733" s="40"/>
      <c r="AQ733" s="40"/>
      <c r="AR733" s="40"/>
      <c r="AS733" s="40"/>
      <c r="AT733" s="47"/>
      <c r="AU733" s="40"/>
      <c r="AV733" s="46" t="str">
        <f>IFERROR(__xludf.DUMMYFUNCTION("""COMPUTED_VALUE"""),"Hoppenstein")</f>
        <v>Hoppenstein</v>
      </c>
      <c r="AW733" s="46">
        <f t="shared" si="7"/>
        <v>500</v>
      </c>
      <c r="AX733" s="47">
        <f t="shared" ref="AX733:BQ733" si="2310">SUMIFS($AJ:$AJ,$V:$V,$AV733,$AK:$AK,AX$2)</f>
        <v>0</v>
      </c>
      <c r="AY733" s="48">
        <f t="shared" si="2310"/>
        <v>0</v>
      </c>
      <c r="AZ733" s="48">
        <f t="shared" si="2310"/>
        <v>0</v>
      </c>
      <c r="BA733" s="48">
        <f t="shared" si="2310"/>
        <v>0</v>
      </c>
      <c r="BB733" s="48">
        <f t="shared" si="2310"/>
        <v>0</v>
      </c>
      <c r="BC733" s="48">
        <f t="shared" si="2310"/>
        <v>0</v>
      </c>
      <c r="BD733" s="48">
        <f t="shared" si="2310"/>
        <v>0</v>
      </c>
      <c r="BE733" s="48">
        <f t="shared" si="2310"/>
        <v>0</v>
      </c>
      <c r="BF733" s="48">
        <f t="shared" si="2310"/>
        <v>0</v>
      </c>
      <c r="BG733" s="48">
        <f t="shared" si="2310"/>
        <v>0</v>
      </c>
      <c r="BH733" s="48">
        <f t="shared" si="2310"/>
        <v>500</v>
      </c>
      <c r="BI733" s="48">
        <f t="shared" si="2310"/>
        <v>0</v>
      </c>
      <c r="BJ733" s="48">
        <f t="shared" si="2310"/>
        <v>0</v>
      </c>
      <c r="BK733" s="48">
        <f t="shared" si="2310"/>
        <v>0</v>
      </c>
      <c r="BL733" s="48">
        <f t="shared" si="2310"/>
        <v>0</v>
      </c>
      <c r="BM733" s="48">
        <f t="shared" si="2310"/>
        <v>0</v>
      </c>
      <c r="BN733" s="48">
        <f t="shared" si="2310"/>
        <v>0</v>
      </c>
      <c r="BO733" s="48">
        <f t="shared" si="2310"/>
        <v>0</v>
      </c>
      <c r="BP733" s="48">
        <f t="shared" si="2310"/>
        <v>0</v>
      </c>
      <c r="BQ733" s="48">
        <f t="shared" si="2310"/>
        <v>0</v>
      </c>
      <c r="BR733" s="36">
        <f t="shared" si="9"/>
        <v>0</v>
      </c>
      <c r="BS733" s="38">
        <f t="shared" si="10"/>
        <v>1</v>
      </c>
      <c r="BT733" s="49">
        <f t="shared" si="11"/>
        <v>0</v>
      </c>
      <c r="BU733" s="38">
        <f t="shared" si="12"/>
        <v>1000</v>
      </c>
      <c r="BV733" s="46" t="str">
        <f>IFERROR(__xludf.DUMMYFUNCTION("""COMPUTED_VALUE"""),"Hoppenstein")</f>
        <v>Hoppenstein</v>
      </c>
      <c r="BW733" s="46">
        <f t="shared" si="13"/>
        <v>500</v>
      </c>
      <c r="BX733" s="47">
        <f t="shared" ref="BX733:CA733" si="2311">AX733-$BU733</f>
        <v>-1000</v>
      </c>
      <c r="BY733" s="47">
        <f t="shared" si="2311"/>
        <v>-1000</v>
      </c>
      <c r="BZ733" s="47">
        <f t="shared" si="2311"/>
        <v>-1000</v>
      </c>
      <c r="CA733" s="47">
        <f t="shared" si="2311"/>
        <v>-1000</v>
      </c>
      <c r="CB733" s="47">
        <f t="shared" si="15"/>
        <v>-10000</v>
      </c>
      <c r="CC733" s="47">
        <f t="shared" ref="CC733:CQ733" si="2312">BC733-$BU733</f>
        <v>-1000</v>
      </c>
      <c r="CD733" s="47">
        <f t="shared" si="2312"/>
        <v>-1000</v>
      </c>
      <c r="CE733" s="47">
        <f t="shared" si="2312"/>
        <v>-1000</v>
      </c>
      <c r="CF733" s="47">
        <f t="shared" si="2312"/>
        <v>-1000</v>
      </c>
      <c r="CG733" s="47">
        <f t="shared" si="2312"/>
        <v>-1000</v>
      </c>
      <c r="CH733" s="47">
        <f t="shared" si="2312"/>
        <v>-500</v>
      </c>
      <c r="CI733" s="47">
        <f t="shared" si="2312"/>
        <v>-1000</v>
      </c>
      <c r="CJ733" s="47">
        <f t="shared" si="2312"/>
        <v>-1000</v>
      </c>
      <c r="CK733" s="47">
        <f t="shared" si="2312"/>
        <v>-1000</v>
      </c>
      <c r="CL733" s="47">
        <f t="shared" si="2312"/>
        <v>-1000</v>
      </c>
      <c r="CM733" s="47">
        <f t="shared" si="2312"/>
        <v>-1000</v>
      </c>
      <c r="CN733" s="47">
        <f t="shared" si="2312"/>
        <v>-1000</v>
      </c>
      <c r="CO733" s="47">
        <f t="shared" si="2312"/>
        <v>-1000</v>
      </c>
      <c r="CP733" s="47">
        <f t="shared" si="2312"/>
        <v>-1000</v>
      </c>
      <c r="CQ733" s="47">
        <f t="shared" si="2312"/>
        <v>-1000</v>
      </c>
      <c r="CR733" s="47"/>
      <c r="CS733" s="47"/>
      <c r="CT733" s="47"/>
      <c r="CU733" s="74"/>
      <c r="CV733" s="74"/>
      <c r="CW733" s="74" t="str">
        <f>IFERROR(__xludf.DUMMYFUNCTION("IF(REGEXMATCH(UPPER(CU733), ""DALLAS""),,CU733)"),"")</f>
        <v/>
      </c>
      <c r="CX733" s="74"/>
      <c r="CY733" s="74"/>
      <c r="CZ733" s="74"/>
      <c r="DA733" s="75"/>
      <c r="DB733" s="74"/>
      <c r="DC733" s="74"/>
      <c r="DD733" s="74"/>
      <c r="DE733" s="74"/>
      <c r="DF733" s="74"/>
      <c r="DG733" s="74"/>
      <c r="DH733" s="74"/>
      <c r="DI733" s="74"/>
      <c r="DJ733" s="74"/>
      <c r="DK733" s="74"/>
      <c r="DL733" s="74"/>
      <c r="DM733" s="74"/>
      <c r="DN733" s="74"/>
      <c r="DO733" s="74"/>
      <c r="DP733" s="74"/>
      <c r="DQ733" s="74"/>
      <c r="DR733" s="74"/>
      <c r="DS733" s="74"/>
      <c r="DT733" s="74"/>
      <c r="DU733" s="74"/>
      <c r="DV733" s="74"/>
      <c r="DW733" s="74"/>
    </row>
    <row r="734">
      <c r="A734" s="23" t="s">
        <v>64</v>
      </c>
      <c r="B734" s="23" t="s">
        <v>56</v>
      </c>
      <c r="C734" s="31" t="s">
        <v>1934</v>
      </c>
      <c r="D734" s="25" t="str">
        <f>IFERROR(__xludf.DUMMYFUNCTION("SPLIT(C734,"" "")"),"Hixson,")</f>
        <v>Hixson,</v>
      </c>
      <c r="E734" s="22" t="str">
        <f>IFERROR(__xludf.DUMMYFUNCTION("""COMPUTED_VALUE"""),"Chuck
1030")</f>
        <v>Chuck
1030</v>
      </c>
      <c r="F734" s="22" t="str">
        <f>IFERROR(__xludf.DUMMYFUNCTION("""COMPUTED_VALUE"""),"Harvest")</f>
        <v>Harvest</v>
      </c>
      <c r="G734" s="22" t="str">
        <f>IFERROR(__xludf.DUMMYFUNCTION("""COMPUTED_VALUE"""),"Hill
Prosper,")</f>
        <v>Hill
Prosper,</v>
      </c>
      <c r="H734" s="22" t="str">
        <f>IFERROR(__xludf.DUMMYFUNCTION("""COMPUTED_VALUE"""),"TX")</f>
        <v>TX</v>
      </c>
      <c r="I734" s="22">
        <f>IFERROR(__xludf.DUMMYFUNCTION("""COMPUTED_VALUE"""),75078.0)</f>
        <v>75078</v>
      </c>
      <c r="J734" s="22"/>
      <c r="K734" s="22"/>
      <c r="L734" s="22"/>
      <c r="M734" s="22"/>
      <c r="N734" s="22"/>
      <c r="O734" s="22"/>
      <c r="P734" s="22"/>
      <c r="Q734" s="22"/>
      <c r="R734" s="22"/>
      <c r="S734" s="22"/>
      <c r="T734" s="22"/>
      <c r="U734" s="24" t="str">
        <f>IFERROR(__xludf.DUMMYFUNCTION("SPLIT(E734,""01234567890"")"),"Chuck
")</f>
        <v>Chuck
</v>
      </c>
      <c r="V734" s="24" t="str">
        <f>IFERROR(__xludf.DUMMYFUNCTION("SPLIT(D734,"","")"),"Hixson")</f>
        <v>Hixson</v>
      </c>
      <c r="W734" s="25" t="str">
        <f t="shared" si="1"/>
        <v>CHUCK
 HIXSON</v>
      </c>
      <c r="X734" s="25" t="s">
        <v>1935</v>
      </c>
      <c r="Y734" s="25">
        <v>75078.0</v>
      </c>
      <c r="Z734" s="25" t="str">
        <f>IFERROR(__xludf.DUMMYFUNCTION("SPLIT(C734,""
"")"),"Hixson, Chuck")</f>
        <v>Hixson, Chuck</v>
      </c>
      <c r="AA734" s="25" t="str">
        <f>IFERROR(__xludf.DUMMYFUNCTION("""COMPUTED_VALUE"""),"1030 Harvest Hill")</f>
        <v>1030 Harvest Hill</v>
      </c>
      <c r="AB734" s="25" t="str">
        <f>IFERROR(__xludf.DUMMYFUNCTION("""COMPUTED_VALUE"""),"Prosper, TX 75078")</f>
        <v>Prosper, TX 75078</v>
      </c>
      <c r="AC734" s="24" t="s">
        <v>1936</v>
      </c>
      <c r="AD734" s="25"/>
      <c r="AE734" s="25"/>
      <c r="AF734" s="25"/>
      <c r="AG734" s="22" t="s">
        <v>60</v>
      </c>
      <c r="AH734" s="54">
        <v>2480.0</v>
      </c>
      <c r="AI734" s="22" t="s">
        <v>68</v>
      </c>
      <c r="AJ734" s="27">
        <v>100.0</v>
      </c>
      <c r="AK734" s="31" t="s">
        <v>22</v>
      </c>
      <c r="AL734" s="28">
        <v>44870.0</v>
      </c>
      <c r="AM734" s="29">
        <v>44942.7278125</v>
      </c>
      <c r="AN734" s="30">
        <v>2.0</v>
      </c>
      <c r="AO734" s="22"/>
      <c r="AP734" s="22"/>
      <c r="AQ734" s="22"/>
      <c r="AR734" s="22"/>
      <c r="AS734" s="22"/>
      <c r="AT734" s="70"/>
      <c r="AU734" s="22"/>
      <c r="AV734" s="57" t="str">
        <f>IFERROR(__xludf.DUMMYFUNCTION("""COMPUTED_VALUE"""),"Meyerson")</f>
        <v>Meyerson</v>
      </c>
      <c r="AW734" s="46">
        <f t="shared" si="7"/>
        <v>1000</v>
      </c>
      <c r="AX734" s="47">
        <f t="shared" ref="AX734:BQ734" si="2313">SUMIFS($AJ:$AJ,$V:$V,$AV734,$AK:$AK,AX$2)</f>
        <v>0</v>
      </c>
      <c r="AY734" s="48">
        <f t="shared" si="2313"/>
        <v>0</v>
      </c>
      <c r="AZ734" s="48">
        <f t="shared" si="2313"/>
        <v>0</v>
      </c>
      <c r="BA734" s="48">
        <f t="shared" si="2313"/>
        <v>0</v>
      </c>
      <c r="BB734" s="48">
        <f t="shared" si="2313"/>
        <v>0</v>
      </c>
      <c r="BC734" s="48">
        <f t="shared" si="2313"/>
        <v>0</v>
      </c>
      <c r="BD734" s="48">
        <f t="shared" si="2313"/>
        <v>0</v>
      </c>
      <c r="BE734" s="48">
        <f t="shared" si="2313"/>
        <v>0</v>
      </c>
      <c r="BF734" s="48">
        <f t="shared" si="2313"/>
        <v>0</v>
      </c>
      <c r="BG734" s="48">
        <f t="shared" si="2313"/>
        <v>0</v>
      </c>
      <c r="BH734" s="48">
        <f t="shared" si="2313"/>
        <v>1000</v>
      </c>
      <c r="BI734" s="48">
        <f t="shared" si="2313"/>
        <v>0</v>
      </c>
      <c r="BJ734" s="48">
        <f t="shared" si="2313"/>
        <v>0</v>
      </c>
      <c r="BK734" s="48">
        <f t="shared" si="2313"/>
        <v>0</v>
      </c>
      <c r="BL734" s="48">
        <f t="shared" si="2313"/>
        <v>0</v>
      </c>
      <c r="BM734" s="48">
        <f t="shared" si="2313"/>
        <v>0</v>
      </c>
      <c r="BN734" s="48">
        <f t="shared" si="2313"/>
        <v>0</v>
      </c>
      <c r="BO734" s="48">
        <f t="shared" si="2313"/>
        <v>0</v>
      </c>
      <c r="BP734" s="48">
        <f t="shared" si="2313"/>
        <v>0</v>
      </c>
      <c r="BQ734" s="48">
        <f t="shared" si="2313"/>
        <v>0</v>
      </c>
      <c r="BR734" s="36">
        <f t="shared" si="9"/>
        <v>0</v>
      </c>
      <c r="BS734" s="38">
        <f t="shared" si="10"/>
        <v>1</v>
      </c>
      <c r="BT734" s="49">
        <f t="shared" si="11"/>
        <v>0</v>
      </c>
      <c r="BU734" s="38">
        <f t="shared" si="12"/>
        <v>1000</v>
      </c>
      <c r="BV734" s="57" t="str">
        <f>IFERROR(__xludf.DUMMYFUNCTION("""COMPUTED_VALUE"""),"Meyerson")</f>
        <v>Meyerson</v>
      </c>
      <c r="BW734" s="46">
        <f t="shared" si="13"/>
        <v>1000</v>
      </c>
      <c r="BX734" s="47">
        <f t="shared" ref="BX734:CA734" si="2314">AX734-$BU734</f>
        <v>-1000</v>
      </c>
      <c r="BY734" s="47">
        <f t="shared" si="2314"/>
        <v>-1000</v>
      </c>
      <c r="BZ734" s="47">
        <f t="shared" si="2314"/>
        <v>-1000</v>
      </c>
      <c r="CA734" s="47">
        <f t="shared" si="2314"/>
        <v>-1000</v>
      </c>
      <c r="CB734" s="47">
        <f t="shared" si="15"/>
        <v>-10000</v>
      </c>
      <c r="CC734" s="47">
        <f t="shared" ref="CC734:CQ734" si="2315">BC734-$BU734</f>
        <v>-1000</v>
      </c>
      <c r="CD734" s="47">
        <f t="shared" si="2315"/>
        <v>-1000</v>
      </c>
      <c r="CE734" s="47">
        <f t="shared" si="2315"/>
        <v>-1000</v>
      </c>
      <c r="CF734" s="47">
        <f t="shared" si="2315"/>
        <v>-1000</v>
      </c>
      <c r="CG734" s="47">
        <f t="shared" si="2315"/>
        <v>-1000</v>
      </c>
      <c r="CH734" s="47">
        <f t="shared" si="2315"/>
        <v>0</v>
      </c>
      <c r="CI734" s="47">
        <f t="shared" si="2315"/>
        <v>-1000</v>
      </c>
      <c r="CJ734" s="47">
        <f t="shared" si="2315"/>
        <v>-1000</v>
      </c>
      <c r="CK734" s="47">
        <f t="shared" si="2315"/>
        <v>-1000</v>
      </c>
      <c r="CL734" s="47">
        <f t="shared" si="2315"/>
        <v>-1000</v>
      </c>
      <c r="CM734" s="47">
        <f t="shared" si="2315"/>
        <v>-1000</v>
      </c>
      <c r="CN734" s="47">
        <f t="shared" si="2315"/>
        <v>-1000</v>
      </c>
      <c r="CO734" s="47">
        <f t="shared" si="2315"/>
        <v>-1000</v>
      </c>
      <c r="CP734" s="47">
        <f t="shared" si="2315"/>
        <v>-1000</v>
      </c>
      <c r="CQ734" s="47">
        <f t="shared" si="2315"/>
        <v>-1000</v>
      </c>
      <c r="CR734" s="47"/>
      <c r="CS734" s="47"/>
      <c r="CT734" s="47"/>
      <c r="CU734" s="74"/>
      <c r="CV734" s="74"/>
      <c r="CW734" s="74" t="str">
        <f>IFERROR(__xludf.DUMMYFUNCTION("IF(REGEXMATCH(UPPER(CU734), ""DALLAS""),,CU734)"),"")</f>
        <v/>
      </c>
      <c r="CX734" s="74"/>
      <c r="CY734" s="74"/>
      <c r="CZ734" s="74"/>
      <c r="DA734" s="75"/>
      <c r="DB734" s="74"/>
      <c r="DC734" s="74"/>
      <c r="DD734" s="74"/>
      <c r="DE734" s="74"/>
      <c r="DF734" s="74"/>
      <c r="DG734" s="74"/>
      <c r="DH734" s="74"/>
      <c r="DI734" s="74"/>
      <c r="DJ734" s="74"/>
      <c r="DK734" s="74"/>
      <c r="DL734" s="74"/>
      <c r="DM734" s="74"/>
      <c r="DN734" s="74"/>
      <c r="DO734" s="74"/>
      <c r="DP734" s="74"/>
      <c r="DQ734" s="74"/>
      <c r="DR734" s="74"/>
      <c r="DS734" s="74"/>
      <c r="DT734" s="74"/>
      <c r="DU734" s="74"/>
      <c r="DV734" s="74"/>
      <c r="DW734" s="74"/>
    </row>
    <row r="735">
      <c r="A735" s="40" t="s">
        <v>55</v>
      </c>
      <c r="B735" s="41" t="s">
        <v>56</v>
      </c>
      <c r="C735" s="31" t="s">
        <v>403</v>
      </c>
      <c r="D735" s="25" t="str">
        <f>IFERROR(__xludf.DUMMYFUNCTION("SPLIT(C735,"" "")"),"Beth")</f>
        <v>Beth</v>
      </c>
      <c r="E735" s="40" t="str">
        <f>IFERROR(__xludf.DUMMYFUNCTION("""COMPUTED_VALUE"""),"Freundlich")</f>
        <v>Freundlich</v>
      </c>
      <c r="F735" s="40" t="str">
        <f>IFERROR(__xludf.DUMMYFUNCTION("""COMPUTED_VALUE"""),"Trustee
4283")</f>
        <v>Trustee
4283</v>
      </c>
      <c r="G735" s="40" t="str">
        <f>IFERROR(__xludf.DUMMYFUNCTION("""COMPUTED_VALUE"""),"NW")</f>
        <v>NW</v>
      </c>
      <c r="H735" s="40" t="str">
        <f>IFERROR(__xludf.DUMMYFUNCTION("""COMPUTED_VALUE"""),"64th")</f>
        <v>64th</v>
      </c>
      <c r="I735" s="40" t="str">
        <f>IFERROR(__xludf.DUMMYFUNCTION("""COMPUTED_VALUE"""),"St
Boca")</f>
        <v>St
Boca</v>
      </c>
      <c r="J735" s="40" t="str">
        <f>IFERROR(__xludf.DUMMYFUNCTION("""COMPUTED_VALUE"""),"Raton,")</f>
        <v>Raton,</v>
      </c>
      <c r="K735" s="40" t="str">
        <f>IFERROR(__xludf.DUMMYFUNCTION("""COMPUTED_VALUE"""),"FL")</f>
        <v>FL</v>
      </c>
      <c r="L735" s="40">
        <f>IFERROR(__xludf.DUMMYFUNCTION("""COMPUTED_VALUE"""),33496.0)</f>
        <v>33496</v>
      </c>
      <c r="M735" s="40"/>
      <c r="N735" s="40"/>
      <c r="O735" s="40"/>
      <c r="P735" s="40"/>
      <c r="Q735" s="40"/>
      <c r="R735" s="40"/>
      <c r="S735" s="40"/>
      <c r="T735" s="40"/>
      <c r="U735" s="24" t="str">
        <f>IFERROR(__xludf.DUMMYFUNCTION("SPLIT(E735,""01234567890"")"),"Freundlich")</f>
        <v>Freundlich</v>
      </c>
      <c r="V735" s="24" t="str">
        <f>IFERROR(__xludf.DUMMYFUNCTION("SPLIT(D735,"","")"),"Beth")</f>
        <v>Beth</v>
      </c>
      <c r="W735" s="25" t="str">
        <f t="shared" si="1"/>
        <v>FREUNDLICH BETH</v>
      </c>
      <c r="X735" s="25" t="s">
        <v>404</v>
      </c>
      <c r="Y735" s="25">
        <v>64.0</v>
      </c>
      <c r="Z735" s="25" t="str">
        <f>IFERROR(__xludf.DUMMYFUNCTION("SPLIT(C735,""
"")"),"Beth Freundlich Trustee")</f>
        <v>Beth Freundlich Trustee</v>
      </c>
      <c r="AA735" s="25" t="str">
        <f>IFERROR(__xludf.DUMMYFUNCTION("""COMPUTED_VALUE"""),"4283 NW 64th St")</f>
        <v>4283 NW 64th St</v>
      </c>
      <c r="AB735" s="25" t="str">
        <f>IFERROR(__xludf.DUMMYFUNCTION("""COMPUTED_VALUE"""),"Boca Raton, FL 33496")</f>
        <v>Boca Raton, FL 33496</v>
      </c>
      <c r="AC735" s="24" t="s">
        <v>405</v>
      </c>
      <c r="AD735" s="25"/>
      <c r="AE735" s="25"/>
      <c r="AF735" s="25"/>
      <c r="AG735" s="40" t="s">
        <v>60</v>
      </c>
      <c r="AH735" s="42">
        <v>2480.0</v>
      </c>
      <c r="AI735" s="40" t="s">
        <v>68</v>
      </c>
      <c r="AJ735" s="27">
        <v>1000.0</v>
      </c>
      <c r="AK735" s="31" t="s">
        <v>22</v>
      </c>
      <c r="AL735" s="43">
        <v>44847.0</v>
      </c>
      <c r="AM735" s="44">
        <v>44942.7278125</v>
      </c>
      <c r="AN735" s="30">
        <v>2.0</v>
      </c>
      <c r="AO735" s="40"/>
      <c r="AP735" s="40"/>
      <c r="AQ735" s="40"/>
      <c r="AR735" s="40"/>
      <c r="AS735" s="40"/>
      <c r="AT735" s="47"/>
      <c r="AU735" s="40"/>
      <c r="AV735" s="46" t="str">
        <f>IFERROR(__xludf.DUMMYFUNCTION("""COMPUTED_VALUE"""),"Mackler")</f>
        <v>Mackler</v>
      </c>
      <c r="AW735" s="46">
        <f t="shared" si="7"/>
        <v>100</v>
      </c>
      <c r="AX735" s="47">
        <f t="shared" ref="AX735:BQ735" si="2316">SUMIFS($AJ:$AJ,$V:$V,$AV735,$AK:$AK,AX$2)</f>
        <v>0</v>
      </c>
      <c r="AY735" s="48">
        <f t="shared" si="2316"/>
        <v>0</v>
      </c>
      <c r="AZ735" s="48">
        <f t="shared" si="2316"/>
        <v>0</v>
      </c>
      <c r="BA735" s="48">
        <f t="shared" si="2316"/>
        <v>0</v>
      </c>
      <c r="BB735" s="48">
        <f t="shared" si="2316"/>
        <v>0</v>
      </c>
      <c r="BC735" s="48">
        <f t="shared" si="2316"/>
        <v>0</v>
      </c>
      <c r="BD735" s="48">
        <f t="shared" si="2316"/>
        <v>0</v>
      </c>
      <c r="BE735" s="48">
        <f t="shared" si="2316"/>
        <v>0</v>
      </c>
      <c r="BF735" s="48">
        <f t="shared" si="2316"/>
        <v>0</v>
      </c>
      <c r="BG735" s="48">
        <f t="shared" si="2316"/>
        <v>0</v>
      </c>
      <c r="BH735" s="48">
        <f t="shared" si="2316"/>
        <v>100</v>
      </c>
      <c r="BI735" s="48">
        <f t="shared" si="2316"/>
        <v>0</v>
      </c>
      <c r="BJ735" s="48">
        <f t="shared" si="2316"/>
        <v>0</v>
      </c>
      <c r="BK735" s="48">
        <f t="shared" si="2316"/>
        <v>0</v>
      </c>
      <c r="BL735" s="48">
        <f t="shared" si="2316"/>
        <v>0</v>
      </c>
      <c r="BM735" s="48">
        <f t="shared" si="2316"/>
        <v>0</v>
      </c>
      <c r="BN735" s="48">
        <f t="shared" si="2316"/>
        <v>0</v>
      </c>
      <c r="BO735" s="48">
        <f t="shared" si="2316"/>
        <v>0</v>
      </c>
      <c r="BP735" s="48">
        <f t="shared" si="2316"/>
        <v>0</v>
      </c>
      <c r="BQ735" s="48">
        <f t="shared" si="2316"/>
        <v>0</v>
      </c>
      <c r="BR735" s="36">
        <f t="shared" si="9"/>
        <v>0</v>
      </c>
      <c r="BS735" s="38">
        <f t="shared" si="10"/>
        <v>1</v>
      </c>
      <c r="BT735" s="49">
        <f t="shared" si="11"/>
        <v>0</v>
      </c>
      <c r="BU735" s="38">
        <f t="shared" si="12"/>
        <v>1000</v>
      </c>
      <c r="BV735" s="46" t="str">
        <f>IFERROR(__xludf.DUMMYFUNCTION("""COMPUTED_VALUE"""),"Mackler")</f>
        <v>Mackler</v>
      </c>
      <c r="BW735" s="46">
        <f t="shared" si="13"/>
        <v>100</v>
      </c>
      <c r="BX735" s="47">
        <f t="shared" ref="BX735:CA735" si="2317">AX735-$BU735</f>
        <v>-1000</v>
      </c>
      <c r="BY735" s="47">
        <f t="shared" si="2317"/>
        <v>-1000</v>
      </c>
      <c r="BZ735" s="47">
        <f t="shared" si="2317"/>
        <v>-1000</v>
      </c>
      <c r="CA735" s="47">
        <f t="shared" si="2317"/>
        <v>-1000</v>
      </c>
      <c r="CB735" s="47">
        <f t="shared" si="15"/>
        <v>-10000</v>
      </c>
      <c r="CC735" s="47">
        <f t="shared" ref="CC735:CQ735" si="2318">BC735-$BU735</f>
        <v>-1000</v>
      </c>
      <c r="CD735" s="47">
        <f t="shared" si="2318"/>
        <v>-1000</v>
      </c>
      <c r="CE735" s="47">
        <f t="shared" si="2318"/>
        <v>-1000</v>
      </c>
      <c r="CF735" s="47">
        <f t="shared" si="2318"/>
        <v>-1000</v>
      </c>
      <c r="CG735" s="47">
        <f t="shared" si="2318"/>
        <v>-1000</v>
      </c>
      <c r="CH735" s="47">
        <f t="shared" si="2318"/>
        <v>-900</v>
      </c>
      <c r="CI735" s="47">
        <f t="shared" si="2318"/>
        <v>-1000</v>
      </c>
      <c r="CJ735" s="47">
        <f t="shared" si="2318"/>
        <v>-1000</v>
      </c>
      <c r="CK735" s="47">
        <f t="shared" si="2318"/>
        <v>-1000</v>
      </c>
      <c r="CL735" s="47">
        <f t="shared" si="2318"/>
        <v>-1000</v>
      </c>
      <c r="CM735" s="47">
        <f t="shared" si="2318"/>
        <v>-1000</v>
      </c>
      <c r="CN735" s="47">
        <f t="shared" si="2318"/>
        <v>-1000</v>
      </c>
      <c r="CO735" s="47">
        <f t="shared" si="2318"/>
        <v>-1000</v>
      </c>
      <c r="CP735" s="47">
        <f t="shared" si="2318"/>
        <v>-1000</v>
      </c>
      <c r="CQ735" s="47">
        <f t="shared" si="2318"/>
        <v>-1000</v>
      </c>
      <c r="CR735" s="47"/>
      <c r="CS735" s="47"/>
      <c r="CT735" s="47"/>
      <c r="CU735" s="74"/>
      <c r="CV735" s="74"/>
      <c r="CW735" s="74" t="str">
        <f>IFERROR(__xludf.DUMMYFUNCTION("IF(REGEXMATCH(UPPER(CU735), ""DALLAS""),,CU735)"),"")</f>
        <v/>
      </c>
      <c r="CX735" s="74"/>
      <c r="CY735" s="74"/>
      <c r="CZ735" s="74"/>
      <c r="DA735" s="75"/>
      <c r="DB735" s="74"/>
      <c r="DC735" s="74"/>
      <c r="DD735" s="74"/>
      <c r="DE735" s="74"/>
      <c r="DF735" s="74"/>
      <c r="DG735" s="74"/>
      <c r="DH735" s="74"/>
      <c r="DI735" s="74"/>
      <c r="DJ735" s="74"/>
      <c r="DK735" s="74"/>
      <c r="DL735" s="74"/>
      <c r="DM735" s="74"/>
      <c r="DN735" s="74"/>
      <c r="DO735" s="74"/>
      <c r="DP735" s="74"/>
      <c r="DQ735" s="74"/>
      <c r="DR735" s="74"/>
      <c r="DS735" s="74"/>
      <c r="DT735" s="74"/>
      <c r="DU735" s="74"/>
      <c r="DV735" s="74"/>
      <c r="DW735" s="74"/>
    </row>
    <row r="736">
      <c r="A736" s="23" t="s">
        <v>64</v>
      </c>
      <c r="B736" s="23" t="s">
        <v>56</v>
      </c>
      <c r="C736" s="31" t="s">
        <v>1937</v>
      </c>
      <c r="D736" s="25" t="str">
        <f>IFERROR(__xludf.DUMMYFUNCTION("SPLIT(C736,"" "")"),"Hunt,")</f>
        <v>Hunt,</v>
      </c>
      <c r="E736" s="22" t="str">
        <f>IFERROR(__xludf.DUMMYFUNCTION("""COMPUTED_VALUE"""),"Ray
1900")</f>
        <v>Ray
1900</v>
      </c>
      <c r="F736" s="22" t="str">
        <f>IFERROR(__xludf.DUMMYFUNCTION("""COMPUTED_VALUE"""),"North")</f>
        <v>North</v>
      </c>
      <c r="G736" s="22" t="str">
        <f>IFERROR(__xludf.DUMMYFUNCTION("""COMPUTED_VALUE"""),"Akard")</f>
        <v>Akard</v>
      </c>
      <c r="H736" s="22" t="str">
        <f>IFERROR(__xludf.DUMMYFUNCTION("""COMPUTED_VALUE"""),"St
Dallas,")</f>
        <v>St
Dallas,</v>
      </c>
      <c r="I736" s="22" t="str">
        <f>IFERROR(__xludf.DUMMYFUNCTION("""COMPUTED_VALUE"""),"TX")</f>
        <v>TX</v>
      </c>
      <c r="J736" s="22">
        <f>IFERROR(__xludf.DUMMYFUNCTION("""COMPUTED_VALUE"""),75201.0)</f>
        <v>75201</v>
      </c>
      <c r="K736" s="22"/>
      <c r="L736" s="22"/>
      <c r="M736" s="22"/>
      <c r="N736" s="22"/>
      <c r="O736" s="22"/>
      <c r="P736" s="22"/>
      <c r="Q736" s="22"/>
      <c r="R736" s="22"/>
      <c r="S736" s="22"/>
      <c r="T736" s="22"/>
      <c r="U736" s="24" t="str">
        <f>IFERROR(__xludf.DUMMYFUNCTION("SPLIT(E736,""01234567890"")"),"Ray
")</f>
        <v>Ray
</v>
      </c>
      <c r="V736" s="24" t="str">
        <f>IFERROR(__xludf.DUMMYFUNCTION("SPLIT(D736,"","")"),"Hunt")</f>
        <v>Hunt</v>
      </c>
      <c r="W736" s="25" t="str">
        <f t="shared" si="1"/>
        <v>RAY
 HUNT</v>
      </c>
      <c r="X736" s="25" t="s">
        <v>1938</v>
      </c>
      <c r="Y736" s="25">
        <v>75201.0</v>
      </c>
      <c r="Z736" s="25" t="str">
        <f>IFERROR(__xludf.DUMMYFUNCTION("SPLIT(C736,""
"")"),"Hunt, Ray")</f>
        <v>Hunt, Ray</v>
      </c>
      <c r="AA736" s="25" t="str">
        <f>IFERROR(__xludf.DUMMYFUNCTION("""COMPUTED_VALUE"""),"1900 North Akard St")</f>
        <v>1900 North Akard St</v>
      </c>
      <c r="AB736" s="25" t="str">
        <f>IFERROR(__xludf.DUMMYFUNCTION("""COMPUTED_VALUE"""),"Dallas, TX 75201")</f>
        <v>Dallas, TX 75201</v>
      </c>
      <c r="AC736" s="24" t="s">
        <v>721</v>
      </c>
      <c r="AD736" s="25"/>
      <c r="AE736" s="25"/>
      <c r="AF736" s="25"/>
      <c r="AG736" s="22" t="s">
        <v>60</v>
      </c>
      <c r="AH736" s="54">
        <v>2480.0</v>
      </c>
      <c r="AI736" s="22" t="s">
        <v>68</v>
      </c>
      <c r="AJ736" s="27">
        <v>1000.0</v>
      </c>
      <c r="AK736" s="31" t="s">
        <v>22</v>
      </c>
      <c r="AL736" s="28">
        <v>44873.0</v>
      </c>
      <c r="AM736" s="29">
        <v>44942.7278125</v>
      </c>
      <c r="AN736" s="30">
        <v>2.0</v>
      </c>
      <c r="AO736" s="22"/>
      <c r="AP736" s="22"/>
      <c r="AQ736" s="22"/>
      <c r="AR736" s="22"/>
      <c r="AS736" s="22"/>
      <c r="AT736" s="70"/>
      <c r="AU736" s="22"/>
      <c r="AV736" s="57" t="str">
        <f>IFERROR(__xludf.DUMMYFUNCTION("""COMPUTED_VALUE"""),"Rabin")</f>
        <v>Rabin</v>
      </c>
      <c r="AW736" s="46">
        <f t="shared" si="7"/>
        <v>1000</v>
      </c>
      <c r="AX736" s="47">
        <f t="shared" ref="AX736:BQ736" si="2319">SUMIFS($AJ:$AJ,$V:$V,$AV736,$AK:$AK,AX$2)</f>
        <v>0</v>
      </c>
      <c r="AY736" s="48">
        <f t="shared" si="2319"/>
        <v>0</v>
      </c>
      <c r="AZ736" s="48">
        <f t="shared" si="2319"/>
        <v>0</v>
      </c>
      <c r="BA736" s="48">
        <f t="shared" si="2319"/>
        <v>0</v>
      </c>
      <c r="BB736" s="48">
        <f t="shared" si="2319"/>
        <v>0</v>
      </c>
      <c r="BC736" s="48">
        <f t="shared" si="2319"/>
        <v>0</v>
      </c>
      <c r="BD736" s="48">
        <f t="shared" si="2319"/>
        <v>0</v>
      </c>
      <c r="BE736" s="48">
        <f t="shared" si="2319"/>
        <v>0</v>
      </c>
      <c r="BF736" s="48">
        <f t="shared" si="2319"/>
        <v>0</v>
      </c>
      <c r="BG736" s="48">
        <f t="shared" si="2319"/>
        <v>0</v>
      </c>
      <c r="BH736" s="48">
        <f t="shared" si="2319"/>
        <v>1000</v>
      </c>
      <c r="BI736" s="48">
        <f t="shared" si="2319"/>
        <v>0</v>
      </c>
      <c r="BJ736" s="48">
        <f t="shared" si="2319"/>
        <v>0</v>
      </c>
      <c r="BK736" s="48">
        <f t="shared" si="2319"/>
        <v>0</v>
      </c>
      <c r="BL736" s="48">
        <f t="shared" si="2319"/>
        <v>0</v>
      </c>
      <c r="BM736" s="48">
        <f t="shared" si="2319"/>
        <v>0</v>
      </c>
      <c r="BN736" s="48">
        <f t="shared" si="2319"/>
        <v>0</v>
      </c>
      <c r="BO736" s="48">
        <f t="shared" si="2319"/>
        <v>0</v>
      </c>
      <c r="BP736" s="48">
        <f t="shared" si="2319"/>
        <v>0</v>
      </c>
      <c r="BQ736" s="48">
        <f t="shared" si="2319"/>
        <v>0</v>
      </c>
      <c r="BR736" s="36">
        <f t="shared" si="9"/>
        <v>0</v>
      </c>
      <c r="BS736" s="38">
        <f t="shared" si="10"/>
        <v>1</v>
      </c>
      <c r="BT736" s="49">
        <f t="shared" si="11"/>
        <v>0</v>
      </c>
      <c r="BU736" s="38">
        <f t="shared" si="12"/>
        <v>1000</v>
      </c>
      <c r="BV736" s="57" t="str">
        <f>IFERROR(__xludf.DUMMYFUNCTION("""COMPUTED_VALUE"""),"Rabin")</f>
        <v>Rabin</v>
      </c>
      <c r="BW736" s="46">
        <f t="shared" si="13"/>
        <v>1000</v>
      </c>
      <c r="BX736" s="47">
        <f t="shared" ref="BX736:CA736" si="2320">AX736-$BU736</f>
        <v>-1000</v>
      </c>
      <c r="BY736" s="47">
        <f t="shared" si="2320"/>
        <v>-1000</v>
      </c>
      <c r="BZ736" s="47">
        <f t="shared" si="2320"/>
        <v>-1000</v>
      </c>
      <c r="CA736" s="47">
        <f t="shared" si="2320"/>
        <v>-1000</v>
      </c>
      <c r="CB736" s="47">
        <f t="shared" si="15"/>
        <v>-10000</v>
      </c>
      <c r="CC736" s="47">
        <f t="shared" ref="CC736:CQ736" si="2321">BC736-$BU736</f>
        <v>-1000</v>
      </c>
      <c r="CD736" s="47">
        <f t="shared" si="2321"/>
        <v>-1000</v>
      </c>
      <c r="CE736" s="47">
        <f t="shared" si="2321"/>
        <v>-1000</v>
      </c>
      <c r="CF736" s="47">
        <f t="shared" si="2321"/>
        <v>-1000</v>
      </c>
      <c r="CG736" s="47">
        <f t="shared" si="2321"/>
        <v>-1000</v>
      </c>
      <c r="CH736" s="47">
        <f t="shared" si="2321"/>
        <v>0</v>
      </c>
      <c r="CI736" s="47">
        <f t="shared" si="2321"/>
        <v>-1000</v>
      </c>
      <c r="CJ736" s="47">
        <f t="shared" si="2321"/>
        <v>-1000</v>
      </c>
      <c r="CK736" s="47">
        <f t="shared" si="2321"/>
        <v>-1000</v>
      </c>
      <c r="CL736" s="47">
        <f t="shared" si="2321"/>
        <v>-1000</v>
      </c>
      <c r="CM736" s="47">
        <f t="shared" si="2321"/>
        <v>-1000</v>
      </c>
      <c r="CN736" s="47">
        <f t="shared" si="2321"/>
        <v>-1000</v>
      </c>
      <c r="CO736" s="47">
        <f t="shared" si="2321"/>
        <v>-1000</v>
      </c>
      <c r="CP736" s="47">
        <f t="shared" si="2321"/>
        <v>-1000</v>
      </c>
      <c r="CQ736" s="47">
        <f t="shared" si="2321"/>
        <v>-1000</v>
      </c>
      <c r="CR736" s="47"/>
      <c r="CS736" s="47"/>
      <c r="CT736" s="47"/>
      <c r="CU736" s="74"/>
      <c r="CV736" s="74"/>
      <c r="CW736" s="74" t="str">
        <f>IFERROR(__xludf.DUMMYFUNCTION("IF(REGEXMATCH(UPPER(CU736), ""DALLAS""),,CU736)"),"")</f>
        <v/>
      </c>
      <c r="CX736" s="74"/>
      <c r="CY736" s="74"/>
      <c r="CZ736" s="74"/>
      <c r="DA736" s="75"/>
      <c r="DB736" s="74"/>
      <c r="DC736" s="74"/>
      <c r="DD736" s="74"/>
      <c r="DE736" s="74"/>
      <c r="DF736" s="74"/>
      <c r="DG736" s="74"/>
      <c r="DH736" s="74"/>
      <c r="DI736" s="74"/>
      <c r="DJ736" s="74"/>
      <c r="DK736" s="74"/>
      <c r="DL736" s="74"/>
      <c r="DM736" s="74"/>
      <c r="DN736" s="74"/>
      <c r="DO736" s="74"/>
      <c r="DP736" s="74"/>
      <c r="DQ736" s="74"/>
      <c r="DR736" s="74"/>
      <c r="DS736" s="74"/>
      <c r="DT736" s="74"/>
      <c r="DU736" s="74"/>
      <c r="DV736" s="74"/>
      <c r="DW736" s="74"/>
    </row>
    <row r="737">
      <c r="A737" s="41" t="s">
        <v>64</v>
      </c>
      <c r="B737" s="41" t="s">
        <v>56</v>
      </c>
      <c r="C737" s="31" t="s">
        <v>1939</v>
      </c>
      <c r="D737" s="25" t="str">
        <f>IFERROR(__xludf.DUMMYFUNCTION("SPLIT(C737,"" "")"),"Clardy,")</f>
        <v>Clardy,</v>
      </c>
      <c r="E737" s="40" t="str">
        <f>IFERROR(__xludf.DUMMYFUNCTION("""COMPUTED_VALUE"""),"Karen
9314")</f>
        <v>Karen
9314</v>
      </c>
      <c r="F737" s="40" t="str">
        <f>IFERROR(__xludf.DUMMYFUNCTION("""COMPUTED_VALUE"""),"Bill")</f>
        <v>Bill</v>
      </c>
      <c r="G737" s="40" t="str">
        <f>IFERROR(__xludf.DUMMYFUNCTION("""COMPUTED_VALUE"""),"Browne")</f>
        <v>Browne</v>
      </c>
      <c r="H737" s="40" t="str">
        <f>IFERROR(__xludf.DUMMYFUNCTION("""COMPUTED_VALUE"""),"Lane
Dallas,")</f>
        <v>Lane
Dallas,</v>
      </c>
      <c r="I737" s="40" t="str">
        <f>IFERROR(__xludf.DUMMYFUNCTION("""COMPUTED_VALUE"""),"TX")</f>
        <v>TX</v>
      </c>
      <c r="J737" s="40">
        <f>IFERROR(__xludf.DUMMYFUNCTION("""COMPUTED_VALUE"""),75243.0)</f>
        <v>75243</v>
      </c>
      <c r="K737" s="40"/>
      <c r="L737" s="40"/>
      <c r="M737" s="40"/>
      <c r="N737" s="40"/>
      <c r="O737" s="40"/>
      <c r="P737" s="40"/>
      <c r="Q737" s="40"/>
      <c r="R737" s="40"/>
      <c r="S737" s="40"/>
      <c r="T737" s="40"/>
      <c r="U737" s="24" t="str">
        <f>IFERROR(__xludf.DUMMYFUNCTION("SPLIT(E737,""01234567890"")"),"Karen
")</f>
        <v>Karen
</v>
      </c>
      <c r="V737" s="24" t="str">
        <f>IFERROR(__xludf.DUMMYFUNCTION("SPLIT(D737,"","")"),"Clardy")</f>
        <v>Clardy</v>
      </c>
      <c r="W737" s="25" t="str">
        <f t="shared" si="1"/>
        <v>KAREN
 CLARDY</v>
      </c>
      <c r="X737" s="25" t="s">
        <v>1940</v>
      </c>
      <c r="Y737" s="25">
        <v>75243.0</v>
      </c>
      <c r="Z737" s="25" t="str">
        <f>IFERROR(__xludf.DUMMYFUNCTION("SPLIT(C737,""
"")"),"Clardy, Karen")</f>
        <v>Clardy, Karen</v>
      </c>
      <c r="AA737" s="25" t="str">
        <f>IFERROR(__xludf.DUMMYFUNCTION("""COMPUTED_VALUE"""),"9314 Bill Browne Lane")</f>
        <v>9314 Bill Browne Lane</v>
      </c>
      <c r="AB737" s="25" t="str">
        <f>IFERROR(__xludf.DUMMYFUNCTION("""COMPUTED_VALUE"""),"Dallas, TX 75243")</f>
        <v>Dallas, TX 75243</v>
      </c>
      <c r="AC737" s="24" t="s">
        <v>1941</v>
      </c>
      <c r="AD737" s="25"/>
      <c r="AE737" s="25"/>
      <c r="AF737" s="25"/>
      <c r="AG737" s="40" t="s">
        <v>60</v>
      </c>
      <c r="AH737" s="42">
        <v>2477.0</v>
      </c>
      <c r="AI737" s="40" t="s">
        <v>68</v>
      </c>
      <c r="AJ737" s="27">
        <v>300.0</v>
      </c>
      <c r="AK737" s="31" t="s">
        <v>26</v>
      </c>
      <c r="AL737" s="43">
        <v>44926.0</v>
      </c>
      <c r="AM737" s="44">
        <v>44940.42346064815</v>
      </c>
      <c r="AN737" s="30">
        <v>2.0</v>
      </c>
      <c r="AO737" s="40"/>
      <c r="AP737" s="40"/>
      <c r="AQ737" s="40"/>
      <c r="AR737" s="40"/>
      <c r="AS737" s="40"/>
      <c r="AT737" s="47"/>
      <c r="AU737" s="40"/>
      <c r="AV737" s="46" t="str">
        <f>IFERROR(__xludf.DUMMYFUNCTION("""COMPUTED_VALUE"""),"Polsky")</f>
        <v>Polsky</v>
      </c>
      <c r="AW737" s="46">
        <f t="shared" si="7"/>
        <v>100</v>
      </c>
      <c r="AX737" s="47">
        <f t="shared" ref="AX737:BQ737" si="2322">SUMIFS($AJ:$AJ,$V:$V,$AV737,$AK:$AK,AX$2)</f>
        <v>0</v>
      </c>
      <c r="AY737" s="48">
        <f t="shared" si="2322"/>
        <v>0</v>
      </c>
      <c r="AZ737" s="48">
        <f t="shared" si="2322"/>
        <v>0</v>
      </c>
      <c r="BA737" s="48">
        <f t="shared" si="2322"/>
        <v>0</v>
      </c>
      <c r="BB737" s="48">
        <f t="shared" si="2322"/>
        <v>0</v>
      </c>
      <c r="BC737" s="48">
        <f t="shared" si="2322"/>
        <v>0</v>
      </c>
      <c r="BD737" s="48">
        <f t="shared" si="2322"/>
        <v>0</v>
      </c>
      <c r="BE737" s="48">
        <f t="shared" si="2322"/>
        <v>0</v>
      </c>
      <c r="BF737" s="48">
        <f t="shared" si="2322"/>
        <v>0</v>
      </c>
      <c r="BG737" s="48">
        <f t="shared" si="2322"/>
        <v>0</v>
      </c>
      <c r="BH737" s="48">
        <f t="shared" si="2322"/>
        <v>100</v>
      </c>
      <c r="BI737" s="48">
        <f t="shared" si="2322"/>
        <v>0</v>
      </c>
      <c r="BJ737" s="48">
        <f t="shared" si="2322"/>
        <v>0</v>
      </c>
      <c r="BK737" s="48">
        <f t="shared" si="2322"/>
        <v>0</v>
      </c>
      <c r="BL737" s="48">
        <f t="shared" si="2322"/>
        <v>0</v>
      </c>
      <c r="BM737" s="48">
        <f t="shared" si="2322"/>
        <v>0</v>
      </c>
      <c r="BN737" s="48">
        <f t="shared" si="2322"/>
        <v>0</v>
      </c>
      <c r="BO737" s="48">
        <f t="shared" si="2322"/>
        <v>0</v>
      </c>
      <c r="BP737" s="48">
        <f t="shared" si="2322"/>
        <v>0</v>
      </c>
      <c r="BQ737" s="48">
        <f t="shared" si="2322"/>
        <v>0</v>
      </c>
      <c r="BR737" s="36">
        <f t="shared" si="9"/>
        <v>0</v>
      </c>
      <c r="BS737" s="38">
        <f t="shared" si="10"/>
        <v>1</v>
      </c>
      <c r="BT737" s="49">
        <f t="shared" si="11"/>
        <v>0</v>
      </c>
      <c r="BU737" s="38">
        <f t="shared" si="12"/>
        <v>1000</v>
      </c>
      <c r="BV737" s="46" t="str">
        <f>IFERROR(__xludf.DUMMYFUNCTION("""COMPUTED_VALUE"""),"Polsky")</f>
        <v>Polsky</v>
      </c>
      <c r="BW737" s="46">
        <f t="shared" si="13"/>
        <v>100</v>
      </c>
      <c r="BX737" s="47">
        <f t="shared" ref="BX737:CA737" si="2323">AX737-$BU737</f>
        <v>-1000</v>
      </c>
      <c r="BY737" s="47">
        <f t="shared" si="2323"/>
        <v>-1000</v>
      </c>
      <c r="BZ737" s="47">
        <f t="shared" si="2323"/>
        <v>-1000</v>
      </c>
      <c r="CA737" s="47">
        <f t="shared" si="2323"/>
        <v>-1000</v>
      </c>
      <c r="CB737" s="47">
        <f t="shared" si="15"/>
        <v>-10000</v>
      </c>
      <c r="CC737" s="47">
        <f t="shared" ref="CC737:CQ737" si="2324">BC737-$BU737</f>
        <v>-1000</v>
      </c>
      <c r="CD737" s="47">
        <f t="shared" si="2324"/>
        <v>-1000</v>
      </c>
      <c r="CE737" s="47">
        <f t="shared" si="2324"/>
        <v>-1000</v>
      </c>
      <c r="CF737" s="47">
        <f t="shared" si="2324"/>
        <v>-1000</v>
      </c>
      <c r="CG737" s="47">
        <f t="shared" si="2324"/>
        <v>-1000</v>
      </c>
      <c r="CH737" s="47">
        <f t="shared" si="2324"/>
        <v>-900</v>
      </c>
      <c r="CI737" s="47">
        <f t="shared" si="2324"/>
        <v>-1000</v>
      </c>
      <c r="CJ737" s="47">
        <f t="shared" si="2324"/>
        <v>-1000</v>
      </c>
      <c r="CK737" s="47">
        <f t="shared" si="2324"/>
        <v>-1000</v>
      </c>
      <c r="CL737" s="47">
        <f t="shared" si="2324"/>
        <v>-1000</v>
      </c>
      <c r="CM737" s="47">
        <f t="shared" si="2324"/>
        <v>-1000</v>
      </c>
      <c r="CN737" s="47">
        <f t="shared" si="2324"/>
        <v>-1000</v>
      </c>
      <c r="CO737" s="47">
        <f t="shared" si="2324"/>
        <v>-1000</v>
      </c>
      <c r="CP737" s="47">
        <f t="shared" si="2324"/>
        <v>-1000</v>
      </c>
      <c r="CQ737" s="47">
        <f t="shared" si="2324"/>
        <v>-1000</v>
      </c>
      <c r="CR737" s="47"/>
      <c r="CS737" s="47"/>
      <c r="CT737" s="47"/>
      <c r="CU737" s="74"/>
      <c r="CV737" s="74"/>
      <c r="CW737" s="74" t="str">
        <f>IFERROR(__xludf.DUMMYFUNCTION("IF(REGEXMATCH(UPPER(CU737), ""DALLAS""),,CU737)"),"")</f>
        <v/>
      </c>
      <c r="CX737" s="74"/>
      <c r="CY737" s="74"/>
      <c r="CZ737" s="74"/>
      <c r="DA737" s="75"/>
      <c r="DB737" s="74"/>
      <c r="DC737" s="74"/>
      <c r="DD737" s="74"/>
      <c r="DE737" s="74"/>
      <c r="DF737" s="74"/>
      <c r="DG737" s="74"/>
      <c r="DH737" s="74"/>
      <c r="DI737" s="74"/>
      <c r="DJ737" s="74"/>
      <c r="DK737" s="74"/>
      <c r="DL737" s="74"/>
      <c r="DM737" s="74"/>
      <c r="DN737" s="74"/>
      <c r="DO737" s="74"/>
      <c r="DP737" s="74"/>
      <c r="DQ737" s="74"/>
      <c r="DR737" s="74"/>
      <c r="DS737" s="74"/>
      <c r="DT737" s="74"/>
      <c r="DU737" s="74"/>
      <c r="DV737" s="74"/>
      <c r="DW737" s="74"/>
    </row>
    <row r="738">
      <c r="A738" s="23" t="s">
        <v>64</v>
      </c>
      <c r="B738" s="23" t="s">
        <v>56</v>
      </c>
      <c r="C738" s="31" t="s">
        <v>1942</v>
      </c>
      <c r="D738" s="25" t="str">
        <f>IFERROR(__xludf.DUMMYFUNCTION("SPLIT(C738,"" "")"),"Housewright,")</f>
        <v>Housewright,</v>
      </c>
      <c r="E738" s="22" t="str">
        <f>IFERROR(__xludf.DUMMYFUNCTION("""COMPUTED_VALUE"""),"Tipton
10102")</f>
        <v>Tipton
10102</v>
      </c>
      <c r="F738" s="22" t="str">
        <f>IFERROR(__xludf.DUMMYFUNCTION("""COMPUTED_VALUE"""),"Candlebrook")</f>
        <v>Candlebrook</v>
      </c>
      <c r="G738" s="22" t="str">
        <f>IFERROR(__xludf.DUMMYFUNCTION("""COMPUTED_VALUE"""),"Dr.
Dallas,")</f>
        <v>Dr.
Dallas,</v>
      </c>
      <c r="H738" s="22" t="str">
        <f>IFERROR(__xludf.DUMMYFUNCTION("""COMPUTED_VALUE"""),"TX")</f>
        <v>TX</v>
      </c>
      <c r="I738" s="22">
        <f>IFERROR(__xludf.DUMMYFUNCTION("""COMPUTED_VALUE"""),75243.0)</f>
        <v>75243</v>
      </c>
      <c r="J738" s="22"/>
      <c r="K738" s="22"/>
      <c r="L738" s="22"/>
      <c r="M738" s="22"/>
      <c r="N738" s="22"/>
      <c r="O738" s="22"/>
      <c r="P738" s="22"/>
      <c r="Q738" s="22"/>
      <c r="R738" s="22"/>
      <c r="S738" s="22"/>
      <c r="T738" s="22"/>
      <c r="U738" s="24" t="str">
        <f>IFERROR(__xludf.DUMMYFUNCTION("SPLIT(E738,""01234567890"")"),"Tipton
")</f>
        <v>Tipton
</v>
      </c>
      <c r="V738" s="24" t="str">
        <f>IFERROR(__xludf.DUMMYFUNCTION("SPLIT(D738,"","")"),"Housewright")</f>
        <v>Housewright</v>
      </c>
      <c r="W738" s="25" t="str">
        <f t="shared" si="1"/>
        <v>TIPTON
 HOUSEWRIGHT</v>
      </c>
      <c r="X738" s="25" t="s">
        <v>1943</v>
      </c>
      <c r="Y738" s="25">
        <v>75243.0</v>
      </c>
      <c r="Z738" s="25" t="str">
        <f>IFERROR(__xludf.DUMMYFUNCTION("SPLIT(C738,""
"")"),"Housewright, Tipton")</f>
        <v>Housewright, Tipton</v>
      </c>
      <c r="AA738" s="25" t="str">
        <f>IFERROR(__xludf.DUMMYFUNCTION("""COMPUTED_VALUE"""),"10102 Candlebrook Dr.")</f>
        <v>10102 Candlebrook Dr.</v>
      </c>
      <c r="AB738" s="25" t="str">
        <f>IFERROR(__xludf.DUMMYFUNCTION("""COMPUTED_VALUE"""),"Dallas, TX 75243")</f>
        <v>Dallas, TX 75243</v>
      </c>
      <c r="AC738" s="24" t="s">
        <v>1944</v>
      </c>
      <c r="AD738" s="25"/>
      <c r="AE738" s="25"/>
      <c r="AF738" s="25"/>
      <c r="AG738" s="22" t="s">
        <v>60</v>
      </c>
      <c r="AH738" s="54">
        <v>2477.0</v>
      </c>
      <c r="AI738" s="22" t="s">
        <v>68</v>
      </c>
      <c r="AJ738" s="27">
        <v>1000.0</v>
      </c>
      <c r="AK738" s="31" t="s">
        <v>26</v>
      </c>
      <c r="AL738" s="28">
        <v>44907.0</v>
      </c>
      <c r="AM738" s="29">
        <v>44940.42346064815</v>
      </c>
      <c r="AN738" s="30">
        <v>2.0</v>
      </c>
      <c r="AO738" s="22"/>
      <c r="AP738" s="22"/>
      <c r="AQ738" s="22"/>
      <c r="AR738" s="22"/>
      <c r="AS738" s="22"/>
      <c r="AT738" s="70"/>
      <c r="AU738" s="22"/>
      <c r="AV738" s="57" t="str">
        <f>IFERROR(__xludf.DUMMYFUNCTION("""COMPUTED_VALUE"""),"Kaseff")</f>
        <v>Kaseff</v>
      </c>
      <c r="AW738" s="46">
        <f t="shared" si="7"/>
        <v>180</v>
      </c>
      <c r="AX738" s="47">
        <f t="shared" ref="AX738:BQ738" si="2325">SUMIFS($AJ:$AJ,$V:$V,$AV738,$AK:$AK,AX$2)</f>
        <v>0</v>
      </c>
      <c r="AY738" s="48">
        <f t="shared" si="2325"/>
        <v>0</v>
      </c>
      <c r="AZ738" s="48">
        <f t="shared" si="2325"/>
        <v>0</v>
      </c>
      <c r="BA738" s="48">
        <f t="shared" si="2325"/>
        <v>0</v>
      </c>
      <c r="BB738" s="48">
        <f t="shared" si="2325"/>
        <v>0</v>
      </c>
      <c r="BC738" s="48">
        <f t="shared" si="2325"/>
        <v>0</v>
      </c>
      <c r="BD738" s="48">
        <f t="shared" si="2325"/>
        <v>0</v>
      </c>
      <c r="BE738" s="48">
        <f t="shared" si="2325"/>
        <v>0</v>
      </c>
      <c r="BF738" s="48">
        <f t="shared" si="2325"/>
        <v>0</v>
      </c>
      <c r="BG738" s="48">
        <f t="shared" si="2325"/>
        <v>0</v>
      </c>
      <c r="BH738" s="48">
        <f t="shared" si="2325"/>
        <v>180</v>
      </c>
      <c r="BI738" s="48">
        <f t="shared" si="2325"/>
        <v>0</v>
      </c>
      <c r="BJ738" s="48">
        <f t="shared" si="2325"/>
        <v>0</v>
      </c>
      <c r="BK738" s="48">
        <f t="shared" si="2325"/>
        <v>0</v>
      </c>
      <c r="BL738" s="48">
        <f t="shared" si="2325"/>
        <v>0</v>
      </c>
      <c r="BM738" s="48">
        <f t="shared" si="2325"/>
        <v>0</v>
      </c>
      <c r="BN738" s="48">
        <f t="shared" si="2325"/>
        <v>0</v>
      </c>
      <c r="BO738" s="48">
        <f t="shared" si="2325"/>
        <v>0</v>
      </c>
      <c r="BP738" s="48">
        <f t="shared" si="2325"/>
        <v>0</v>
      </c>
      <c r="BQ738" s="48">
        <f t="shared" si="2325"/>
        <v>0</v>
      </c>
      <c r="BR738" s="36">
        <f t="shared" si="9"/>
        <v>0</v>
      </c>
      <c r="BS738" s="38">
        <f t="shared" si="10"/>
        <v>1</v>
      </c>
      <c r="BT738" s="49">
        <f t="shared" si="11"/>
        <v>0</v>
      </c>
      <c r="BU738" s="38">
        <f t="shared" si="12"/>
        <v>1000</v>
      </c>
      <c r="BV738" s="57" t="str">
        <f>IFERROR(__xludf.DUMMYFUNCTION("""COMPUTED_VALUE"""),"Kaseff")</f>
        <v>Kaseff</v>
      </c>
      <c r="BW738" s="46">
        <f t="shared" si="13"/>
        <v>180</v>
      </c>
      <c r="BX738" s="47">
        <f t="shared" ref="BX738:CA738" si="2326">AX738-$BU738</f>
        <v>-1000</v>
      </c>
      <c r="BY738" s="47">
        <f t="shared" si="2326"/>
        <v>-1000</v>
      </c>
      <c r="BZ738" s="47">
        <f t="shared" si="2326"/>
        <v>-1000</v>
      </c>
      <c r="CA738" s="47">
        <f t="shared" si="2326"/>
        <v>-1000</v>
      </c>
      <c r="CB738" s="47">
        <f t="shared" si="15"/>
        <v>-10000</v>
      </c>
      <c r="CC738" s="47">
        <f t="shared" ref="CC738:CQ738" si="2327">BC738-$BU738</f>
        <v>-1000</v>
      </c>
      <c r="CD738" s="47">
        <f t="shared" si="2327"/>
        <v>-1000</v>
      </c>
      <c r="CE738" s="47">
        <f t="shared" si="2327"/>
        <v>-1000</v>
      </c>
      <c r="CF738" s="47">
        <f t="shared" si="2327"/>
        <v>-1000</v>
      </c>
      <c r="CG738" s="47">
        <f t="shared" si="2327"/>
        <v>-1000</v>
      </c>
      <c r="CH738" s="47">
        <f t="shared" si="2327"/>
        <v>-820</v>
      </c>
      <c r="CI738" s="47">
        <f t="shared" si="2327"/>
        <v>-1000</v>
      </c>
      <c r="CJ738" s="47">
        <f t="shared" si="2327"/>
        <v>-1000</v>
      </c>
      <c r="CK738" s="47">
        <f t="shared" si="2327"/>
        <v>-1000</v>
      </c>
      <c r="CL738" s="47">
        <f t="shared" si="2327"/>
        <v>-1000</v>
      </c>
      <c r="CM738" s="47">
        <f t="shared" si="2327"/>
        <v>-1000</v>
      </c>
      <c r="CN738" s="47">
        <f t="shared" si="2327"/>
        <v>-1000</v>
      </c>
      <c r="CO738" s="47">
        <f t="shared" si="2327"/>
        <v>-1000</v>
      </c>
      <c r="CP738" s="47">
        <f t="shared" si="2327"/>
        <v>-1000</v>
      </c>
      <c r="CQ738" s="47">
        <f t="shared" si="2327"/>
        <v>-1000</v>
      </c>
      <c r="CR738" s="47"/>
      <c r="CS738" s="47"/>
      <c r="CT738" s="47"/>
      <c r="CU738" s="74"/>
      <c r="CV738" s="74"/>
      <c r="CW738" s="74" t="str">
        <f>IFERROR(__xludf.DUMMYFUNCTION("IF(REGEXMATCH(UPPER(CU738), ""DALLAS""),,CU738)"),"")</f>
        <v/>
      </c>
      <c r="CX738" s="74"/>
      <c r="CY738" s="74"/>
      <c r="CZ738" s="74"/>
      <c r="DA738" s="75"/>
      <c r="DB738" s="74"/>
      <c r="DC738" s="74"/>
      <c r="DD738" s="74"/>
      <c r="DE738" s="74"/>
      <c r="DF738" s="74"/>
      <c r="DG738" s="74"/>
      <c r="DH738" s="74"/>
      <c r="DI738" s="74"/>
      <c r="DJ738" s="74"/>
      <c r="DK738" s="74"/>
      <c r="DL738" s="74"/>
      <c r="DM738" s="74"/>
      <c r="DN738" s="74"/>
      <c r="DO738" s="74"/>
      <c r="DP738" s="74"/>
      <c r="DQ738" s="74"/>
      <c r="DR738" s="74"/>
      <c r="DS738" s="74"/>
      <c r="DT738" s="74"/>
      <c r="DU738" s="74"/>
      <c r="DV738" s="74"/>
      <c r="DW738" s="74"/>
    </row>
    <row r="739">
      <c r="A739" s="41" t="s">
        <v>64</v>
      </c>
      <c r="B739" s="41" t="s">
        <v>56</v>
      </c>
      <c r="C739" s="31" t="s">
        <v>1945</v>
      </c>
      <c r="D739" s="25" t="str">
        <f>IFERROR(__xludf.DUMMYFUNCTION("SPLIT(C739,"" "")"),"Stewart,")</f>
        <v>Stewart,</v>
      </c>
      <c r="E739" s="40" t="str">
        <f>IFERROR(__xludf.DUMMYFUNCTION("""COMPUTED_VALUE"""),"Robb
9509")</f>
        <v>Robb
9509</v>
      </c>
      <c r="F739" s="40" t="str">
        <f>IFERROR(__xludf.DUMMYFUNCTION("""COMPUTED_VALUE"""),"Shady")</f>
        <v>Shady</v>
      </c>
      <c r="G739" s="40" t="str">
        <f>IFERROR(__xludf.DUMMYFUNCTION("""COMPUTED_VALUE"""),"Valley")</f>
        <v>Valley</v>
      </c>
      <c r="H739" s="40" t="str">
        <f>IFERROR(__xludf.DUMMYFUNCTION("""COMPUTED_VALUE"""),"Dr.
Dallas,")</f>
        <v>Dr.
Dallas,</v>
      </c>
      <c r="I739" s="40" t="str">
        <f>IFERROR(__xludf.DUMMYFUNCTION("""COMPUTED_VALUE"""),"TX")</f>
        <v>TX</v>
      </c>
      <c r="J739" s="40">
        <f>IFERROR(__xludf.DUMMYFUNCTION("""COMPUTED_VALUE"""),75238.0)</f>
        <v>75238</v>
      </c>
      <c r="K739" s="40"/>
      <c r="L739" s="40"/>
      <c r="M739" s="40"/>
      <c r="N739" s="40"/>
      <c r="O739" s="40"/>
      <c r="P739" s="40"/>
      <c r="Q739" s="40"/>
      <c r="R739" s="40"/>
      <c r="S739" s="40"/>
      <c r="T739" s="40"/>
      <c r="U739" s="24" t="str">
        <f>IFERROR(__xludf.DUMMYFUNCTION("SPLIT(E739,""01234567890"")"),"Robb
")</f>
        <v>Robb
</v>
      </c>
      <c r="V739" s="24" t="str">
        <f>IFERROR(__xludf.DUMMYFUNCTION("SPLIT(D739,"","")"),"Stewart")</f>
        <v>Stewart</v>
      </c>
      <c r="W739" s="25" t="str">
        <f t="shared" si="1"/>
        <v>ROBB
 STEWART</v>
      </c>
      <c r="X739" s="25" t="s">
        <v>1765</v>
      </c>
      <c r="Y739" s="25">
        <v>75238.0</v>
      </c>
      <c r="Z739" s="25" t="str">
        <f>IFERROR(__xludf.DUMMYFUNCTION("SPLIT(C739,""
"")"),"Stewart, Robb")</f>
        <v>Stewart, Robb</v>
      </c>
      <c r="AA739" s="25" t="str">
        <f>IFERROR(__xludf.DUMMYFUNCTION("""COMPUTED_VALUE"""),"9509 Shady Valley Dr.")</f>
        <v>9509 Shady Valley Dr.</v>
      </c>
      <c r="AB739" s="25" t="str">
        <f>IFERROR(__xludf.DUMMYFUNCTION("""COMPUTED_VALUE"""),"Dallas, TX 75238")</f>
        <v>Dallas, TX 75238</v>
      </c>
      <c r="AC739" s="24" t="s">
        <v>1946</v>
      </c>
      <c r="AD739" s="25"/>
      <c r="AE739" s="25"/>
      <c r="AF739" s="25"/>
      <c r="AG739" s="40" t="s">
        <v>60</v>
      </c>
      <c r="AH739" s="42">
        <v>2477.0</v>
      </c>
      <c r="AI739" s="40" t="s">
        <v>68</v>
      </c>
      <c r="AJ739" s="27">
        <v>1000.0</v>
      </c>
      <c r="AK739" s="31" t="s">
        <v>26</v>
      </c>
      <c r="AL739" s="43">
        <v>44908.0</v>
      </c>
      <c r="AM739" s="44">
        <v>44940.42346064815</v>
      </c>
      <c r="AN739" s="30">
        <v>2.0</v>
      </c>
      <c r="AO739" s="40"/>
      <c r="AP739" s="40"/>
      <c r="AQ739" s="40"/>
      <c r="AR739" s="40"/>
      <c r="AS739" s="40"/>
      <c r="AT739" s="47"/>
      <c r="AU739" s="40"/>
      <c r="AV739" s="46" t="str">
        <f>IFERROR(__xludf.DUMMYFUNCTION("""COMPUTED_VALUE"""),"Houck")</f>
        <v>Houck</v>
      </c>
      <c r="AW739" s="46">
        <f t="shared" si="7"/>
        <v>1000</v>
      </c>
      <c r="AX739" s="47">
        <f t="shared" ref="AX739:BQ739" si="2328">SUMIFS($AJ:$AJ,$V:$V,$AV739,$AK:$AK,AX$2)</f>
        <v>0</v>
      </c>
      <c r="AY739" s="48">
        <f t="shared" si="2328"/>
        <v>0</v>
      </c>
      <c r="AZ739" s="48">
        <f t="shared" si="2328"/>
        <v>0</v>
      </c>
      <c r="BA739" s="48">
        <f t="shared" si="2328"/>
        <v>0</v>
      </c>
      <c r="BB739" s="48">
        <f t="shared" si="2328"/>
        <v>0</v>
      </c>
      <c r="BC739" s="48">
        <f t="shared" si="2328"/>
        <v>0</v>
      </c>
      <c r="BD739" s="48">
        <f t="shared" si="2328"/>
        <v>0</v>
      </c>
      <c r="BE739" s="48">
        <f t="shared" si="2328"/>
        <v>0</v>
      </c>
      <c r="BF739" s="48">
        <f t="shared" si="2328"/>
        <v>0</v>
      </c>
      <c r="BG739" s="48">
        <f t="shared" si="2328"/>
        <v>0</v>
      </c>
      <c r="BH739" s="48">
        <f t="shared" si="2328"/>
        <v>1000</v>
      </c>
      <c r="BI739" s="48">
        <f t="shared" si="2328"/>
        <v>0</v>
      </c>
      <c r="BJ739" s="48">
        <f t="shared" si="2328"/>
        <v>0</v>
      </c>
      <c r="BK739" s="48">
        <f t="shared" si="2328"/>
        <v>0</v>
      </c>
      <c r="BL739" s="48">
        <f t="shared" si="2328"/>
        <v>0</v>
      </c>
      <c r="BM739" s="48">
        <f t="shared" si="2328"/>
        <v>0</v>
      </c>
      <c r="BN739" s="48">
        <f t="shared" si="2328"/>
        <v>0</v>
      </c>
      <c r="BO739" s="48">
        <f t="shared" si="2328"/>
        <v>0</v>
      </c>
      <c r="BP739" s="48">
        <f t="shared" si="2328"/>
        <v>0</v>
      </c>
      <c r="BQ739" s="48">
        <f t="shared" si="2328"/>
        <v>0</v>
      </c>
      <c r="BR739" s="36">
        <f t="shared" si="9"/>
        <v>0</v>
      </c>
      <c r="BS739" s="38">
        <f t="shared" si="10"/>
        <v>1</v>
      </c>
      <c r="BT739" s="49">
        <f t="shared" si="11"/>
        <v>0</v>
      </c>
      <c r="BU739" s="38">
        <f t="shared" si="12"/>
        <v>1000</v>
      </c>
      <c r="BV739" s="46" t="str">
        <f>IFERROR(__xludf.DUMMYFUNCTION("""COMPUTED_VALUE"""),"Houck")</f>
        <v>Houck</v>
      </c>
      <c r="BW739" s="46">
        <f t="shared" si="13"/>
        <v>1000</v>
      </c>
      <c r="BX739" s="47">
        <f t="shared" ref="BX739:CA739" si="2329">AX739-$BU739</f>
        <v>-1000</v>
      </c>
      <c r="BY739" s="47">
        <f t="shared" si="2329"/>
        <v>-1000</v>
      </c>
      <c r="BZ739" s="47">
        <f t="shared" si="2329"/>
        <v>-1000</v>
      </c>
      <c r="CA739" s="47">
        <f t="shared" si="2329"/>
        <v>-1000</v>
      </c>
      <c r="CB739" s="47">
        <f t="shared" si="15"/>
        <v>-10000</v>
      </c>
      <c r="CC739" s="47">
        <f t="shared" ref="CC739:CQ739" si="2330">BC739-$BU739</f>
        <v>-1000</v>
      </c>
      <c r="CD739" s="47">
        <f t="shared" si="2330"/>
        <v>-1000</v>
      </c>
      <c r="CE739" s="47">
        <f t="shared" si="2330"/>
        <v>-1000</v>
      </c>
      <c r="CF739" s="47">
        <f t="shared" si="2330"/>
        <v>-1000</v>
      </c>
      <c r="CG739" s="47">
        <f t="shared" si="2330"/>
        <v>-1000</v>
      </c>
      <c r="CH739" s="47">
        <f t="shared" si="2330"/>
        <v>0</v>
      </c>
      <c r="CI739" s="47">
        <f t="shared" si="2330"/>
        <v>-1000</v>
      </c>
      <c r="CJ739" s="47">
        <f t="shared" si="2330"/>
        <v>-1000</v>
      </c>
      <c r="CK739" s="47">
        <f t="shared" si="2330"/>
        <v>-1000</v>
      </c>
      <c r="CL739" s="47">
        <f t="shared" si="2330"/>
        <v>-1000</v>
      </c>
      <c r="CM739" s="47">
        <f t="shared" si="2330"/>
        <v>-1000</v>
      </c>
      <c r="CN739" s="47">
        <f t="shared" si="2330"/>
        <v>-1000</v>
      </c>
      <c r="CO739" s="47">
        <f t="shared" si="2330"/>
        <v>-1000</v>
      </c>
      <c r="CP739" s="47">
        <f t="shared" si="2330"/>
        <v>-1000</v>
      </c>
      <c r="CQ739" s="47">
        <f t="shared" si="2330"/>
        <v>-1000</v>
      </c>
      <c r="CR739" s="47"/>
      <c r="CS739" s="47"/>
      <c r="CT739" s="47"/>
      <c r="CU739" s="74"/>
      <c r="CV739" s="74"/>
      <c r="CW739" s="74" t="str">
        <f>IFERROR(__xludf.DUMMYFUNCTION("IF(REGEXMATCH(UPPER(CU739), ""DALLAS""),,CU739)"),"")</f>
        <v/>
      </c>
      <c r="CX739" s="74"/>
      <c r="CY739" s="74"/>
      <c r="CZ739" s="74"/>
      <c r="DA739" s="75"/>
      <c r="DB739" s="74"/>
      <c r="DC739" s="74"/>
      <c r="DD739" s="74"/>
      <c r="DE739" s="74"/>
      <c r="DF739" s="74"/>
      <c r="DG739" s="74"/>
      <c r="DH739" s="74"/>
      <c r="DI739" s="74"/>
      <c r="DJ739" s="74"/>
      <c r="DK739" s="74"/>
      <c r="DL739" s="74"/>
      <c r="DM739" s="74"/>
      <c r="DN739" s="74"/>
      <c r="DO739" s="74"/>
      <c r="DP739" s="74"/>
      <c r="DQ739" s="74"/>
      <c r="DR739" s="74"/>
      <c r="DS739" s="74"/>
      <c r="DT739" s="74"/>
      <c r="DU739" s="74"/>
      <c r="DV739" s="74"/>
      <c r="DW739" s="74"/>
    </row>
    <row r="740">
      <c r="A740" s="23" t="s">
        <v>64</v>
      </c>
      <c r="B740" s="23" t="s">
        <v>56</v>
      </c>
      <c r="C740" s="31" t="s">
        <v>1947</v>
      </c>
      <c r="D740" s="25" t="str">
        <f>IFERROR(__xludf.DUMMYFUNCTION("SPLIT(C740,"" "")"),"Mellinger,")</f>
        <v>Mellinger,</v>
      </c>
      <c r="E740" s="22" t="str">
        <f>IFERROR(__xludf.DUMMYFUNCTION("""COMPUTED_VALUE"""),"Jill
9210")</f>
        <v>Jill
9210</v>
      </c>
      <c r="F740" s="22" t="str">
        <f>IFERROR(__xludf.DUMMYFUNCTION("""COMPUTED_VALUE"""),"Westview")</f>
        <v>Westview</v>
      </c>
      <c r="G740" s="22" t="str">
        <f>IFERROR(__xludf.DUMMYFUNCTION("""COMPUTED_VALUE"""),"Cr
Dallas,")</f>
        <v>Cr
Dallas,</v>
      </c>
      <c r="H740" s="22" t="str">
        <f>IFERROR(__xludf.DUMMYFUNCTION("""COMPUTED_VALUE"""),"TX")</f>
        <v>TX</v>
      </c>
      <c r="I740" s="22">
        <f>IFERROR(__xludf.DUMMYFUNCTION("""COMPUTED_VALUE"""),75231.0)</f>
        <v>75231</v>
      </c>
      <c r="J740" s="22"/>
      <c r="K740" s="22"/>
      <c r="L740" s="22"/>
      <c r="M740" s="22"/>
      <c r="N740" s="22"/>
      <c r="O740" s="22"/>
      <c r="P740" s="22"/>
      <c r="Q740" s="22"/>
      <c r="R740" s="22"/>
      <c r="S740" s="22"/>
      <c r="T740" s="22"/>
      <c r="U740" s="24" t="str">
        <f>IFERROR(__xludf.DUMMYFUNCTION("SPLIT(E740,""01234567890"")"),"Jill
")</f>
        <v>Jill
</v>
      </c>
      <c r="V740" s="24" t="str">
        <f>IFERROR(__xludf.DUMMYFUNCTION("SPLIT(D740,"","")"),"Mellinger")</f>
        <v>Mellinger</v>
      </c>
      <c r="W740" s="25" t="str">
        <f t="shared" si="1"/>
        <v>JILL
 MELLINGER</v>
      </c>
      <c r="X740" s="25" t="s">
        <v>1948</v>
      </c>
      <c r="Y740" s="25">
        <v>75231.0</v>
      </c>
      <c r="Z740" s="25" t="str">
        <f>IFERROR(__xludf.DUMMYFUNCTION("SPLIT(C740,""
"")"),"Mellinger, Jill")</f>
        <v>Mellinger, Jill</v>
      </c>
      <c r="AA740" s="25" t="str">
        <f>IFERROR(__xludf.DUMMYFUNCTION("""COMPUTED_VALUE"""),"9210 Westview Cr")</f>
        <v>9210 Westview Cr</v>
      </c>
      <c r="AB740" s="25" t="str">
        <f>IFERROR(__xludf.DUMMYFUNCTION("""COMPUTED_VALUE"""),"Dallas, TX 75231")</f>
        <v>Dallas, TX 75231</v>
      </c>
      <c r="AC740" s="24" t="s">
        <v>1949</v>
      </c>
      <c r="AD740" s="25"/>
      <c r="AE740" s="25"/>
      <c r="AF740" s="25"/>
      <c r="AG740" s="22" t="s">
        <v>60</v>
      </c>
      <c r="AH740" s="54">
        <v>2477.0</v>
      </c>
      <c r="AI740" s="22" t="s">
        <v>68</v>
      </c>
      <c r="AJ740" s="27">
        <v>500.0</v>
      </c>
      <c r="AK740" s="31" t="s">
        <v>26</v>
      </c>
      <c r="AL740" s="28">
        <v>44908.0</v>
      </c>
      <c r="AM740" s="29">
        <v>44940.42346064815</v>
      </c>
      <c r="AN740" s="30">
        <v>2.0</v>
      </c>
      <c r="AO740" s="22"/>
      <c r="AP740" s="22"/>
      <c r="AQ740" s="22"/>
      <c r="AR740" s="22"/>
      <c r="AS740" s="22"/>
      <c r="AT740" s="70"/>
      <c r="AU740" s="22"/>
      <c r="AV740" s="57" t="str">
        <f>IFERROR(__xludf.DUMMYFUNCTION("""COMPUTED_VALUE"""),"Ward")</f>
        <v>Ward</v>
      </c>
      <c r="AW740" s="46">
        <f t="shared" si="7"/>
        <v>1500</v>
      </c>
      <c r="AX740" s="47">
        <f t="shared" ref="AX740:BQ740" si="2331">SUMIFS($AJ:$AJ,$V:$V,$AV740,$AK:$AK,AX$2)</f>
        <v>0</v>
      </c>
      <c r="AY740" s="48">
        <f t="shared" si="2331"/>
        <v>0</v>
      </c>
      <c r="AZ740" s="48">
        <f t="shared" si="2331"/>
        <v>0</v>
      </c>
      <c r="BA740" s="48">
        <f t="shared" si="2331"/>
        <v>0</v>
      </c>
      <c r="BB740" s="48">
        <f t="shared" si="2331"/>
        <v>0</v>
      </c>
      <c r="BC740" s="48">
        <f t="shared" si="2331"/>
        <v>0</v>
      </c>
      <c r="BD740" s="48">
        <f t="shared" si="2331"/>
        <v>500</v>
      </c>
      <c r="BE740" s="48">
        <f t="shared" si="2331"/>
        <v>0</v>
      </c>
      <c r="BF740" s="48">
        <f t="shared" si="2331"/>
        <v>0</v>
      </c>
      <c r="BG740" s="48">
        <f t="shared" si="2331"/>
        <v>0</v>
      </c>
      <c r="BH740" s="48">
        <f t="shared" si="2331"/>
        <v>1000</v>
      </c>
      <c r="BI740" s="48">
        <f t="shared" si="2331"/>
        <v>0</v>
      </c>
      <c r="BJ740" s="48">
        <f t="shared" si="2331"/>
        <v>0</v>
      </c>
      <c r="BK740" s="48">
        <f t="shared" si="2331"/>
        <v>0</v>
      </c>
      <c r="BL740" s="48">
        <f t="shared" si="2331"/>
        <v>0</v>
      </c>
      <c r="BM740" s="48">
        <f t="shared" si="2331"/>
        <v>0</v>
      </c>
      <c r="BN740" s="48">
        <f t="shared" si="2331"/>
        <v>0</v>
      </c>
      <c r="BO740" s="48">
        <f t="shared" si="2331"/>
        <v>0</v>
      </c>
      <c r="BP740" s="48">
        <f t="shared" si="2331"/>
        <v>0</v>
      </c>
      <c r="BQ740" s="48">
        <f t="shared" si="2331"/>
        <v>0</v>
      </c>
      <c r="BR740" s="36">
        <f t="shared" si="9"/>
        <v>1</v>
      </c>
      <c r="BS740" s="38">
        <f t="shared" si="10"/>
        <v>2</v>
      </c>
      <c r="BT740" s="49">
        <f t="shared" si="11"/>
        <v>0</v>
      </c>
      <c r="BU740" s="38">
        <f t="shared" si="12"/>
        <v>2000</v>
      </c>
      <c r="BV740" s="57" t="str">
        <f>IFERROR(__xludf.DUMMYFUNCTION("""COMPUTED_VALUE"""),"Ward")</f>
        <v>Ward</v>
      </c>
      <c r="BW740" s="46">
        <f t="shared" si="13"/>
        <v>1500</v>
      </c>
      <c r="BX740" s="47">
        <f t="shared" ref="BX740:CA740" si="2332">AX740-$BU740</f>
        <v>-2000</v>
      </c>
      <c r="BY740" s="47">
        <f t="shared" si="2332"/>
        <v>-2000</v>
      </c>
      <c r="BZ740" s="47">
        <f t="shared" si="2332"/>
        <v>-2000</v>
      </c>
      <c r="CA740" s="47">
        <f t="shared" si="2332"/>
        <v>-2000</v>
      </c>
      <c r="CB740" s="47">
        <f t="shared" si="15"/>
        <v>-20000</v>
      </c>
      <c r="CC740" s="47">
        <f t="shared" ref="CC740:CQ740" si="2333">BC740-$BU740</f>
        <v>-2000</v>
      </c>
      <c r="CD740" s="47">
        <f t="shared" si="2333"/>
        <v>-1500</v>
      </c>
      <c r="CE740" s="47">
        <f t="shared" si="2333"/>
        <v>-2000</v>
      </c>
      <c r="CF740" s="47">
        <f t="shared" si="2333"/>
        <v>-2000</v>
      </c>
      <c r="CG740" s="47">
        <f t="shared" si="2333"/>
        <v>-2000</v>
      </c>
      <c r="CH740" s="47">
        <f t="shared" si="2333"/>
        <v>-1000</v>
      </c>
      <c r="CI740" s="47">
        <f t="shared" si="2333"/>
        <v>-2000</v>
      </c>
      <c r="CJ740" s="47">
        <f t="shared" si="2333"/>
        <v>-2000</v>
      </c>
      <c r="CK740" s="47">
        <f t="shared" si="2333"/>
        <v>-2000</v>
      </c>
      <c r="CL740" s="47">
        <f t="shared" si="2333"/>
        <v>-2000</v>
      </c>
      <c r="CM740" s="47">
        <f t="shared" si="2333"/>
        <v>-2000</v>
      </c>
      <c r="CN740" s="47">
        <f t="shared" si="2333"/>
        <v>-2000</v>
      </c>
      <c r="CO740" s="47">
        <f t="shared" si="2333"/>
        <v>-2000</v>
      </c>
      <c r="CP740" s="47">
        <f t="shared" si="2333"/>
        <v>-2000</v>
      </c>
      <c r="CQ740" s="47">
        <f t="shared" si="2333"/>
        <v>-2000</v>
      </c>
      <c r="CR740" s="47"/>
      <c r="CS740" s="47"/>
      <c r="CT740" s="47"/>
      <c r="CU740" s="74"/>
      <c r="CV740" s="74"/>
      <c r="CW740" s="74" t="str">
        <f>IFERROR(__xludf.DUMMYFUNCTION("IF(REGEXMATCH(UPPER(CU740), ""DALLAS""),,CU740)"),"")</f>
        <v/>
      </c>
      <c r="CX740" s="74"/>
      <c r="CY740" s="74"/>
      <c r="CZ740" s="74"/>
      <c r="DA740" s="75"/>
      <c r="DB740" s="74"/>
      <c r="DC740" s="74"/>
      <c r="DD740" s="74"/>
      <c r="DE740" s="74"/>
      <c r="DF740" s="74"/>
      <c r="DG740" s="74"/>
      <c r="DH740" s="74"/>
      <c r="DI740" s="74"/>
      <c r="DJ740" s="74"/>
      <c r="DK740" s="74"/>
      <c r="DL740" s="74"/>
      <c r="DM740" s="74"/>
      <c r="DN740" s="74"/>
      <c r="DO740" s="74"/>
      <c r="DP740" s="74"/>
      <c r="DQ740" s="74"/>
      <c r="DR740" s="74"/>
      <c r="DS740" s="74"/>
      <c r="DT740" s="74"/>
      <c r="DU740" s="74"/>
      <c r="DV740" s="74"/>
      <c r="DW740" s="74"/>
    </row>
    <row r="741">
      <c r="A741" s="41" t="s">
        <v>64</v>
      </c>
      <c r="B741" s="41" t="s">
        <v>56</v>
      </c>
      <c r="C741" s="31" t="s">
        <v>1950</v>
      </c>
      <c r="D741" s="25" t="str">
        <f>IFERROR(__xludf.DUMMYFUNCTION("SPLIT(C741,"" "")"),"Rabe,")</f>
        <v>Rabe,</v>
      </c>
      <c r="E741" s="40" t="str">
        <f>IFERROR(__xludf.DUMMYFUNCTION("""COMPUTED_VALUE"""),"Doug
77")</f>
        <v>Doug
77</v>
      </c>
      <c r="F741" s="40" t="str">
        <f>IFERROR(__xludf.DUMMYFUNCTION("""COMPUTED_VALUE"""),"Eagle")</f>
        <v>Eagle</v>
      </c>
      <c r="G741" s="40" t="str">
        <f>IFERROR(__xludf.DUMMYFUNCTION("""COMPUTED_VALUE"""),"Trail
Dallas,")</f>
        <v>Trail
Dallas,</v>
      </c>
      <c r="H741" s="40" t="str">
        <f>IFERROR(__xludf.DUMMYFUNCTION("""COMPUTED_VALUE"""),"TX")</f>
        <v>TX</v>
      </c>
      <c r="I741" s="40">
        <f>IFERROR(__xludf.DUMMYFUNCTION("""COMPUTED_VALUE"""),75238.0)</f>
        <v>75238</v>
      </c>
      <c r="J741" s="40"/>
      <c r="K741" s="40"/>
      <c r="L741" s="40"/>
      <c r="M741" s="40"/>
      <c r="N741" s="40"/>
      <c r="O741" s="40"/>
      <c r="P741" s="40"/>
      <c r="Q741" s="40"/>
      <c r="R741" s="40"/>
      <c r="S741" s="40"/>
      <c r="T741" s="40"/>
      <c r="U741" s="24" t="str">
        <f>IFERROR(__xludf.DUMMYFUNCTION("SPLIT(E741,""01234567890"")"),"Doug
")</f>
        <v>Doug
</v>
      </c>
      <c r="V741" s="24" t="str">
        <f>IFERROR(__xludf.DUMMYFUNCTION("SPLIT(D741,"","")"),"Rabe")</f>
        <v>Rabe</v>
      </c>
      <c r="W741" s="25" t="str">
        <f t="shared" si="1"/>
        <v>DOUG
 RABE</v>
      </c>
      <c r="X741" s="25" t="s">
        <v>1951</v>
      </c>
      <c r="Y741" s="25">
        <v>75238.0</v>
      </c>
      <c r="Z741" s="25" t="str">
        <f>IFERROR(__xludf.DUMMYFUNCTION("SPLIT(C741,""
"")"),"Rabe, Doug")</f>
        <v>Rabe, Doug</v>
      </c>
      <c r="AA741" s="25" t="str">
        <f>IFERROR(__xludf.DUMMYFUNCTION("""COMPUTED_VALUE"""),"77 Eagle Trail")</f>
        <v>77 Eagle Trail</v>
      </c>
      <c r="AB741" s="25" t="str">
        <f>IFERROR(__xludf.DUMMYFUNCTION("""COMPUTED_VALUE"""),"Dallas, TX 75238")</f>
        <v>Dallas, TX 75238</v>
      </c>
      <c r="AC741" s="24" t="s">
        <v>1871</v>
      </c>
      <c r="AD741" s="25"/>
      <c r="AE741" s="25"/>
      <c r="AF741" s="25"/>
      <c r="AG741" s="40" t="s">
        <v>60</v>
      </c>
      <c r="AH741" s="42">
        <v>2477.0</v>
      </c>
      <c r="AI741" s="40" t="s">
        <v>68</v>
      </c>
      <c r="AJ741" s="27">
        <v>250.0</v>
      </c>
      <c r="AK741" s="31" t="s">
        <v>26</v>
      </c>
      <c r="AL741" s="43">
        <v>44908.0</v>
      </c>
      <c r="AM741" s="44">
        <v>44940.42346064815</v>
      </c>
      <c r="AN741" s="30">
        <v>2.0</v>
      </c>
      <c r="AO741" s="40"/>
      <c r="AP741" s="40"/>
      <c r="AQ741" s="40"/>
      <c r="AR741" s="40"/>
      <c r="AS741" s="40"/>
      <c r="AT741" s="47"/>
      <c r="AU741" s="40"/>
      <c r="AV741" s="46" t="str">
        <f>IFERROR(__xludf.DUMMYFUNCTION("""COMPUTED_VALUE"""),"HERMANN")</f>
        <v>HERMANN</v>
      </c>
      <c r="AW741" s="46">
        <f t="shared" si="7"/>
        <v>250</v>
      </c>
      <c r="AX741" s="47">
        <f t="shared" ref="AX741:BQ741" si="2334">SUMIFS($AJ:$AJ,$V:$V,$AV741,$AK:$AK,AX$2)</f>
        <v>0</v>
      </c>
      <c r="AY741" s="48">
        <f t="shared" si="2334"/>
        <v>0</v>
      </c>
      <c r="AZ741" s="48">
        <f t="shared" si="2334"/>
        <v>0</v>
      </c>
      <c r="BA741" s="48">
        <f t="shared" si="2334"/>
        <v>250</v>
      </c>
      <c r="BB741" s="48">
        <f t="shared" si="2334"/>
        <v>0</v>
      </c>
      <c r="BC741" s="48">
        <f t="shared" si="2334"/>
        <v>0</v>
      </c>
      <c r="BD741" s="48">
        <f t="shared" si="2334"/>
        <v>0</v>
      </c>
      <c r="BE741" s="48">
        <f t="shared" si="2334"/>
        <v>0</v>
      </c>
      <c r="BF741" s="48">
        <f t="shared" si="2334"/>
        <v>0</v>
      </c>
      <c r="BG741" s="48">
        <f t="shared" si="2334"/>
        <v>0</v>
      </c>
      <c r="BH741" s="48">
        <f t="shared" si="2334"/>
        <v>0</v>
      </c>
      <c r="BI741" s="48">
        <f t="shared" si="2334"/>
        <v>0</v>
      </c>
      <c r="BJ741" s="48">
        <f t="shared" si="2334"/>
        <v>0</v>
      </c>
      <c r="BK741" s="48">
        <f t="shared" si="2334"/>
        <v>0</v>
      </c>
      <c r="BL741" s="48">
        <f t="shared" si="2334"/>
        <v>0</v>
      </c>
      <c r="BM741" s="48">
        <f t="shared" si="2334"/>
        <v>0</v>
      </c>
      <c r="BN741" s="48">
        <f t="shared" si="2334"/>
        <v>0</v>
      </c>
      <c r="BO741" s="48">
        <f t="shared" si="2334"/>
        <v>0</v>
      </c>
      <c r="BP741" s="48">
        <f t="shared" si="2334"/>
        <v>0</v>
      </c>
      <c r="BQ741" s="48">
        <f t="shared" si="2334"/>
        <v>0</v>
      </c>
      <c r="BR741" s="36">
        <f t="shared" si="9"/>
        <v>0</v>
      </c>
      <c r="BS741" s="38">
        <f t="shared" si="10"/>
        <v>1</v>
      </c>
      <c r="BT741" s="49">
        <f t="shared" si="11"/>
        <v>0</v>
      </c>
      <c r="BU741" s="38">
        <f t="shared" si="12"/>
        <v>1000</v>
      </c>
      <c r="BV741" s="46" t="str">
        <f>IFERROR(__xludf.DUMMYFUNCTION("""COMPUTED_VALUE"""),"HERMANN")</f>
        <v>HERMANN</v>
      </c>
      <c r="BW741" s="46">
        <f t="shared" si="13"/>
        <v>250</v>
      </c>
      <c r="BX741" s="47">
        <f t="shared" ref="BX741:CA741" si="2335">AX741-$BU741</f>
        <v>-1000</v>
      </c>
      <c r="BY741" s="47">
        <f t="shared" si="2335"/>
        <v>-1000</v>
      </c>
      <c r="BZ741" s="47">
        <f t="shared" si="2335"/>
        <v>-1000</v>
      </c>
      <c r="CA741" s="47">
        <f t="shared" si="2335"/>
        <v>-750</v>
      </c>
      <c r="CB741" s="47">
        <f t="shared" si="15"/>
        <v>-10000</v>
      </c>
      <c r="CC741" s="47">
        <f t="shared" ref="CC741:CQ741" si="2336">BC741-$BU741</f>
        <v>-1000</v>
      </c>
      <c r="CD741" s="47">
        <f t="shared" si="2336"/>
        <v>-1000</v>
      </c>
      <c r="CE741" s="47">
        <f t="shared" si="2336"/>
        <v>-1000</v>
      </c>
      <c r="CF741" s="47">
        <f t="shared" si="2336"/>
        <v>-1000</v>
      </c>
      <c r="CG741" s="47">
        <f t="shared" si="2336"/>
        <v>-1000</v>
      </c>
      <c r="CH741" s="47">
        <f t="shared" si="2336"/>
        <v>-1000</v>
      </c>
      <c r="CI741" s="47">
        <f t="shared" si="2336"/>
        <v>-1000</v>
      </c>
      <c r="CJ741" s="47">
        <f t="shared" si="2336"/>
        <v>-1000</v>
      </c>
      <c r="CK741" s="47">
        <f t="shared" si="2336"/>
        <v>-1000</v>
      </c>
      <c r="CL741" s="47">
        <f t="shared" si="2336"/>
        <v>-1000</v>
      </c>
      <c r="CM741" s="47">
        <f t="shared" si="2336"/>
        <v>-1000</v>
      </c>
      <c r="CN741" s="47">
        <f t="shared" si="2336"/>
        <v>-1000</v>
      </c>
      <c r="CO741" s="47">
        <f t="shared" si="2336"/>
        <v>-1000</v>
      </c>
      <c r="CP741" s="47">
        <f t="shared" si="2336"/>
        <v>-1000</v>
      </c>
      <c r="CQ741" s="47">
        <f t="shared" si="2336"/>
        <v>-1000</v>
      </c>
      <c r="CR741" s="47"/>
      <c r="CS741" s="47"/>
      <c r="CT741" s="47"/>
      <c r="CU741" s="74"/>
      <c r="CV741" s="74"/>
      <c r="CW741" s="74" t="str">
        <f>IFERROR(__xludf.DUMMYFUNCTION("IF(REGEXMATCH(UPPER(CU741), ""DALLAS""),,CU741)"),"")</f>
        <v/>
      </c>
      <c r="CX741" s="74"/>
      <c r="CY741" s="74"/>
      <c r="CZ741" s="74"/>
      <c r="DA741" s="75"/>
      <c r="DB741" s="74"/>
      <c r="DC741" s="74"/>
      <c r="DD741" s="74"/>
      <c r="DE741" s="74"/>
      <c r="DF741" s="74"/>
      <c r="DG741" s="74"/>
      <c r="DH741" s="74"/>
      <c r="DI741" s="74"/>
      <c r="DJ741" s="74"/>
      <c r="DK741" s="74"/>
      <c r="DL741" s="74"/>
      <c r="DM741" s="74"/>
      <c r="DN741" s="74"/>
      <c r="DO741" s="74"/>
      <c r="DP741" s="74"/>
      <c r="DQ741" s="74"/>
      <c r="DR741" s="74"/>
      <c r="DS741" s="74"/>
      <c r="DT741" s="74"/>
      <c r="DU741" s="74"/>
      <c r="DV741" s="74"/>
      <c r="DW741" s="74"/>
    </row>
    <row r="742">
      <c r="A742" s="23" t="s">
        <v>64</v>
      </c>
      <c r="B742" s="23" t="s">
        <v>56</v>
      </c>
      <c r="C742" s="31" t="s">
        <v>366</v>
      </c>
      <c r="D742" s="25" t="str">
        <f>IFERROR(__xludf.DUMMYFUNCTION("SPLIT(C742,"" "")"),"Bell,")</f>
        <v>Bell,</v>
      </c>
      <c r="E742" s="22" t="str">
        <f>IFERROR(__xludf.DUMMYFUNCTION("""COMPUTED_VALUE"""),"Mitchell
3362")</f>
        <v>Mitchell
3362</v>
      </c>
      <c r="F742" s="22" t="str">
        <f>IFERROR(__xludf.DUMMYFUNCTION("""COMPUTED_VALUE"""),"Blackburn")</f>
        <v>Blackburn</v>
      </c>
      <c r="G742" s="22" t="str">
        <f>IFERROR(__xludf.DUMMYFUNCTION("""COMPUTED_VALUE"""),"St.
Dallas,")</f>
        <v>St.
Dallas,</v>
      </c>
      <c r="H742" s="22" t="str">
        <f>IFERROR(__xludf.DUMMYFUNCTION("""COMPUTED_VALUE"""),"TX")</f>
        <v>TX</v>
      </c>
      <c r="I742" s="22">
        <f>IFERROR(__xludf.DUMMYFUNCTION("""COMPUTED_VALUE"""),75204.0)</f>
        <v>75204</v>
      </c>
      <c r="J742" s="22"/>
      <c r="K742" s="22"/>
      <c r="L742" s="22"/>
      <c r="M742" s="22"/>
      <c r="N742" s="22"/>
      <c r="O742" s="22"/>
      <c r="P742" s="22"/>
      <c r="Q742" s="22"/>
      <c r="R742" s="22"/>
      <c r="S742" s="22"/>
      <c r="T742" s="22"/>
      <c r="U742" s="24" t="str">
        <f>IFERROR(__xludf.DUMMYFUNCTION("SPLIT(E742,""01234567890"")"),"Mitchell
")</f>
        <v>Mitchell
</v>
      </c>
      <c r="V742" s="24" t="str">
        <f>IFERROR(__xludf.DUMMYFUNCTION("SPLIT(D742,"","")"),"Bell")</f>
        <v>Bell</v>
      </c>
      <c r="W742" s="25" t="str">
        <f t="shared" si="1"/>
        <v>MITCHELL
 BELL</v>
      </c>
      <c r="X742" s="25" t="s">
        <v>367</v>
      </c>
      <c r="Y742" s="25">
        <v>75204.0</v>
      </c>
      <c r="Z742" s="25" t="str">
        <f>IFERROR(__xludf.DUMMYFUNCTION("SPLIT(C742,""
"")"),"Bell, Mitchell")</f>
        <v>Bell, Mitchell</v>
      </c>
      <c r="AA742" s="25" t="str">
        <f>IFERROR(__xludf.DUMMYFUNCTION("""COMPUTED_VALUE"""),"3362 Blackburn St.")</f>
        <v>3362 Blackburn St.</v>
      </c>
      <c r="AB742" s="25" t="str">
        <f>IFERROR(__xludf.DUMMYFUNCTION("""COMPUTED_VALUE"""),"Dallas, TX 75204")</f>
        <v>Dallas, TX 75204</v>
      </c>
      <c r="AC742" s="24" t="s">
        <v>368</v>
      </c>
      <c r="AD742" s="25"/>
      <c r="AE742" s="25"/>
      <c r="AF742" s="25"/>
      <c r="AG742" s="22" t="s">
        <v>60</v>
      </c>
      <c r="AH742" s="54">
        <v>2477.0</v>
      </c>
      <c r="AI742" s="22" t="s">
        <v>68</v>
      </c>
      <c r="AJ742" s="27">
        <v>1000.0</v>
      </c>
      <c r="AK742" s="31" t="s">
        <v>26</v>
      </c>
      <c r="AL742" s="28">
        <v>44913.0</v>
      </c>
      <c r="AM742" s="29">
        <v>44940.42346064815</v>
      </c>
      <c r="AN742" s="30">
        <v>2.0</v>
      </c>
      <c r="AO742" s="22"/>
      <c r="AP742" s="22"/>
      <c r="AQ742" s="22"/>
      <c r="AR742" s="22"/>
      <c r="AS742" s="22"/>
      <c r="AT742" s="70"/>
      <c r="AU742" s="22"/>
      <c r="AV742" s="57" t="str">
        <f>IFERROR(__xludf.DUMMYFUNCTION("""COMPUTED_VALUE"""),"Pankey")</f>
        <v>Pankey</v>
      </c>
      <c r="AW742" s="46">
        <f t="shared" si="7"/>
        <v>2300</v>
      </c>
      <c r="AX742" s="47">
        <f t="shared" ref="AX742:BQ742" si="2337">SUMIFS($AJ:$AJ,$V:$V,$AV742,$AK:$AK,AX$2)</f>
        <v>0</v>
      </c>
      <c r="AY742" s="48">
        <f t="shared" si="2337"/>
        <v>0</v>
      </c>
      <c r="AZ742" s="48">
        <f t="shared" si="2337"/>
        <v>0</v>
      </c>
      <c r="BA742" s="48">
        <f t="shared" si="2337"/>
        <v>1000</v>
      </c>
      <c r="BB742" s="48">
        <f t="shared" si="2337"/>
        <v>0</v>
      </c>
      <c r="BC742" s="48">
        <f t="shared" si="2337"/>
        <v>0</v>
      </c>
      <c r="BD742" s="48">
        <f t="shared" si="2337"/>
        <v>0</v>
      </c>
      <c r="BE742" s="48">
        <f t="shared" si="2337"/>
        <v>0</v>
      </c>
      <c r="BF742" s="48">
        <f t="shared" si="2337"/>
        <v>0</v>
      </c>
      <c r="BG742" s="48">
        <f t="shared" si="2337"/>
        <v>0</v>
      </c>
      <c r="BH742" s="48">
        <f t="shared" si="2337"/>
        <v>0</v>
      </c>
      <c r="BI742" s="48">
        <f t="shared" si="2337"/>
        <v>0</v>
      </c>
      <c r="BJ742" s="48">
        <f t="shared" si="2337"/>
        <v>0</v>
      </c>
      <c r="BK742" s="48">
        <f t="shared" si="2337"/>
        <v>1300</v>
      </c>
      <c r="BL742" s="48">
        <f t="shared" si="2337"/>
        <v>0</v>
      </c>
      <c r="BM742" s="48">
        <f t="shared" si="2337"/>
        <v>0</v>
      </c>
      <c r="BN742" s="48">
        <f t="shared" si="2337"/>
        <v>0</v>
      </c>
      <c r="BO742" s="48">
        <f t="shared" si="2337"/>
        <v>0</v>
      </c>
      <c r="BP742" s="48">
        <f t="shared" si="2337"/>
        <v>0</v>
      </c>
      <c r="BQ742" s="48">
        <f t="shared" si="2337"/>
        <v>0</v>
      </c>
      <c r="BR742" s="36">
        <f t="shared" si="9"/>
        <v>1</v>
      </c>
      <c r="BS742" s="38">
        <f t="shared" si="10"/>
        <v>2</v>
      </c>
      <c r="BT742" s="49">
        <f t="shared" si="11"/>
        <v>0</v>
      </c>
      <c r="BU742" s="38">
        <f t="shared" si="12"/>
        <v>2000</v>
      </c>
      <c r="BV742" s="57" t="str">
        <f>IFERROR(__xludf.DUMMYFUNCTION("""COMPUTED_VALUE"""),"Pankey")</f>
        <v>Pankey</v>
      </c>
      <c r="BW742" s="46">
        <f t="shared" si="13"/>
        <v>2300</v>
      </c>
      <c r="BX742" s="47">
        <f t="shared" ref="BX742:CA742" si="2338">AX742-$BU742</f>
        <v>-2000</v>
      </c>
      <c r="BY742" s="47">
        <f t="shared" si="2338"/>
        <v>-2000</v>
      </c>
      <c r="BZ742" s="47">
        <f t="shared" si="2338"/>
        <v>-2000</v>
      </c>
      <c r="CA742" s="47">
        <f t="shared" si="2338"/>
        <v>-1000</v>
      </c>
      <c r="CB742" s="47">
        <f t="shared" si="15"/>
        <v>-20000</v>
      </c>
      <c r="CC742" s="47">
        <f t="shared" ref="CC742:CQ742" si="2339">BC742-$BU742</f>
        <v>-2000</v>
      </c>
      <c r="CD742" s="47">
        <f t="shared" si="2339"/>
        <v>-2000</v>
      </c>
      <c r="CE742" s="47">
        <f t="shared" si="2339"/>
        <v>-2000</v>
      </c>
      <c r="CF742" s="47">
        <f t="shared" si="2339"/>
        <v>-2000</v>
      </c>
      <c r="CG742" s="47">
        <f t="shared" si="2339"/>
        <v>-2000</v>
      </c>
      <c r="CH742" s="47">
        <f t="shared" si="2339"/>
        <v>-2000</v>
      </c>
      <c r="CI742" s="47">
        <f t="shared" si="2339"/>
        <v>-2000</v>
      </c>
      <c r="CJ742" s="47">
        <f t="shared" si="2339"/>
        <v>-2000</v>
      </c>
      <c r="CK742" s="47">
        <f t="shared" si="2339"/>
        <v>-700</v>
      </c>
      <c r="CL742" s="47">
        <f t="shared" si="2339"/>
        <v>-2000</v>
      </c>
      <c r="CM742" s="47">
        <f t="shared" si="2339"/>
        <v>-2000</v>
      </c>
      <c r="CN742" s="47">
        <f t="shared" si="2339"/>
        <v>-2000</v>
      </c>
      <c r="CO742" s="47">
        <f t="shared" si="2339"/>
        <v>-2000</v>
      </c>
      <c r="CP742" s="47">
        <f t="shared" si="2339"/>
        <v>-2000</v>
      </c>
      <c r="CQ742" s="47">
        <f t="shared" si="2339"/>
        <v>-2000</v>
      </c>
      <c r="CR742" s="47"/>
      <c r="CS742" s="47"/>
      <c r="CT742" s="47"/>
      <c r="CU742" s="74"/>
      <c r="CV742" s="74"/>
      <c r="CW742" s="74" t="str">
        <f>IFERROR(__xludf.DUMMYFUNCTION("IF(REGEXMATCH(UPPER(CU742), ""DALLAS""),,CU742)"),"")</f>
        <v/>
      </c>
      <c r="CX742" s="74"/>
      <c r="CY742" s="74"/>
      <c r="CZ742" s="74"/>
      <c r="DA742" s="75"/>
      <c r="DB742" s="74"/>
      <c r="DC742" s="74"/>
      <c r="DD742" s="74"/>
      <c r="DE742" s="74"/>
      <c r="DF742" s="74"/>
      <c r="DG742" s="74"/>
      <c r="DH742" s="74"/>
      <c r="DI742" s="74"/>
      <c r="DJ742" s="74"/>
      <c r="DK742" s="74"/>
      <c r="DL742" s="74"/>
      <c r="DM742" s="74"/>
      <c r="DN742" s="74"/>
      <c r="DO742" s="74"/>
      <c r="DP742" s="74"/>
      <c r="DQ742" s="74"/>
      <c r="DR742" s="74"/>
      <c r="DS742" s="74"/>
      <c r="DT742" s="74"/>
      <c r="DU742" s="74"/>
      <c r="DV742" s="74"/>
      <c r="DW742" s="74"/>
    </row>
    <row r="743">
      <c r="A743" s="41" t="s">
        <v>64</v>
      </c>
      <c r="B743" s="41" t="s">
        <v>56</v>
      </c>
      <c r="C743" s="31" t="s">
        <v>360</v>
      </c>
      <c r="D743" s="25" t="str">
        <f>IFERROR(__xludf.DUMMYFUNCTION("SPLIT(C743,"" "")"),"Bell,")</f>
        <v>Bell,</v>
      </c>
      <c r="E743" s="40" t="str">
        <f>IFERROR(__xludf.DUMMYFUNCTION("""COMPUTED_VALUE"""),"Celia
8804")</f>
        <v>Celia
8804</v>
      </c>
      <c r="F743" s="40" t="str">
        <f>IFERROR(__xludf.DUMMYFUNCTION("""COMPUTED_VALUE"""),"Mariscal")</f>
        <v>Mariscal</v>
      </c>
      <c r="G743" s="40" t="str">
        <f>IFERROR(__xludf.DUMMYFUNCTION("""COMPUTED_VALUE"""),"Canyon")</f>
        <v>Canyon</v>
      </c>
      <c r="H743" s="40" t="str">
        <f>IFERROR(__xludf.DUMMYFUNCTION("""COMPUTED_VALUE"""),"Dr.
Austin,")</f>
        <v>Dr.
Austin,</v>
      </c>
      <c r="I743" s="40" t="str">
        <f>IFERROR(__xludf.DUMMYFUNCTION("""COMPUTED_VALUE"""),"TX")</f>
        <v>TX</v>
      </c>
      <c r="J743" s="40">
        <f>IFERROR(__xludf.DUMMYFUNCTION("""COMPUTED_VALUE"""),78759.0)</f>
        <v>78759</v>
      </c>
      <c r="K743" s="40"/>
      <c r="L743" s="40"/>
      <c r="M743" s="40"/>
      <c r="N743" s="40"/>
      <c r="O743" s="40"/>
      <c r="P743" s="40"/>
      <c r="Q743" s="40"/>
      <c r="R743" s="40"/>
      <c r="S743" s="40"/>
      <c r="T743" s="40"/>
      <c r="U743" s="24" t="str">
        <f>IFERROR(__xludf.DUMMYFUNCTION("SPLIT(E743,""01234567890"")"),"Celia
")</f>
        <v>Celia
</v>
      </c>
      <c r="V743" s="24" t="str">
        <f>IFERROR(__xludf.DUMMYFUNCTION("SPLIT(D743,"","")"),"Bell")</f>
        <v>Bell</v>
      </c>
      <c r="W743" s="25" t="str">
        <f t="shared" si="1"/>
        <v>CELIA
 BELL</v>
      </c>
      <c r="X743" s="25" t="s">
        <v>361</v>
      </c>
      <c r="Y743" s="25">
        <v>78759.0</v>
      </c>
      <c r="Z743" s="25" t="str">
        <f>IFERROR(__xludf.DUMMYFUNCTION("SPLIT(C743,""
"")"),"Bell, Celia")</f>
        <v>Bell, Celia</v>
      </c>
      <c r="AA743" s="25" t="str">
        <f>IFERROR(__xludf.DUMMYFUNCTION("""COMPUTED_VALUE"""),"8804 Mariscal Canyon Dr.")</f>
        <v>8804 Mariscal Canyon Dr.</v>
      </c>
      <c r="AB743" s="25" t="str">
        <f>IFERROR(__xludf.DUMMYFUNCTION("""COMPUTED_VALUE"""),"Austin, TX 78759")</f>
        <v>Austin, TX 78759</v>
      </c>
      <c r="AC743" s="24" t="s">
        <v>362</v>
      </c>
      <c r="AD743" s="25"/>
      <c r="AE743" s="25"/>
      <c r="AF743" s="25"/>
      <c r="AG743" s="40" t="s">
        <v>60</v>
      </c>
      <c r="AH743" s="42">
        <v>2477.0</v>
      </c>
      <c r="AI743" s="40" t="s">
        <v>68</v>
      </c>
      <c r="AJ743" s="27">
        <v>100.0</v>
      </c>
      <c r="AK743" s="31" t="s">
        <v>26</v>
      </c>
      <c r="AL743" s="43">
        <v>44913.0</v>
      </c>
      <c r="AM743" s="44">
        <v>44940.42346064815</v>
      </c>
      <c r="AN743" s="30">
        <v>2.0</v>
      </c>
      <c r="AO743" s="40"/>
      <c r="AP743" s="40"/>
      <c r="AQ743" s="40"/>
      <c r="AR743" s="40"/>
      <c r="AS743" s="40"/>
      <c r="AT743" s="47"/>
      <c r="AU743" s="40"/>
      <c r="AV743" s="46" t="str">
        <f>IFERROR(__xludf.DUMMYFUNCTION("""COMPUTED_VALUE"""),"Hurley")</f>
        <v>Hurley</v>
      </c>
      <c r="AW743" s="46">
        <f t="shared" si="7"/>
        <v>1000</v>
      </c>
      <c r="AX743" s="47">
        <f t="shared" ref="AX743:BQ743" si="2340">SUMIFS($AJ:$AJ,$V:$V,$AV743,$AK:$AK,AX$2)</f>
        <v>0</v>
      </c>
      <c r="AY743" s="48">
        <f t="shared" si="2340"/>
        <v>0</v>
      </c>
      <c r="AZ743" s="48">
        <f t="shared" si="2340"/>
        <v>0</v>
      </c>
      <c r="BA743" s="48">
        <f t="shared" si="2340"/>
        <v>1000</v>
      </c>
      <c r="BB743" s="48">
        <f t="shared" si="2340"/>
        <v>0</v>
      </c>
      <c r="BC743" s="48">
        <f t="shared" si="2340"/>
        <v>0</v>
      </c>
      <c r="BD743" s="48">
        <f t="shared" si="2340"/>
        <v>0</v>
      </c>
      <c r="BE743" s="48">
        <f t="shared" si="2340"/>
        <v>0</v>
      </c>
      <c r="BF743" s="48">
        <f t="shared" si="2340"/>
        <v>0</v>
      </c>
      <c r="BG743" s="48">
        <f t="shared" si="2340"/>
        <v>0</v>
      </c>
      <c r="BH743" s="48">
        <f t="shared" si="2340"/>
        <v>0</v>
      </c>
      <c r="BI743" s="48">
        <f t="shared" si="2340"/>
        <v>0</v>
      </c>
      <c r="BJ743" s="48">
        <f t="shared" si="2340"/>
        <v>0</v>
      </c>
      <c r="BK743" s="48">
        <f t="shared" si="2340"/>
        <v>0</v>
      </c>
      <c r="BL743" s="48">
        <f t="shared" si="2340"/>
        <v>0</v>
      </c>
      <c r="BM743" s="48">
        <f t="shared" si="2340"/>
        <v>0</v>
      </c>
      <c r="BN743" s="48">
        <f t="shared" si="2340"/>
        <v>0</v>
      </c>
      <c r="BO743" s="48">
        <f t="shared" si="2340"/>
        <v>0</v>
      </c>
      <c r="BP743" s="48">
        <f t="shared" si="2340"/>
        <v>0</v>
      </c>
      <c r="BQ743" s="48">
        <f t="shared" si="2340"/>
        <v>0</v>
      </c>
      <c r="BR743" s="36">
        <f t="shared" si="9"/>
        <v>0</v>
      </c>
      <c r="BS743" s="38">
        <f t="shared" si="10"/>
        <v>1</v>
      </c>
      <c r="BT743" s="49">
        <f t="shared" si="11"/>
        <v>0</v>
      </c>
      <c r="BU743" s="38">
        <f t="shared" si="12"/>
        <v>1000</v>
      </c>
      <c r="BV743" s="46" t="str">
        <f>IFERROR(__xludf.DUMMYFUNCTION("""COMPUTED_VALUE"""),"Hurley")</f>
        <v>Hurley</v>
      </c>
      <c r="BW743" s="46">
        <f t="shared" si="13"/>
        <v>1000</v>
      </c>
      <c r="BX743" s="47">
        <f t="shared" ref="BX743:CA743" si="2341">AX743-$BU743</f>
        <v>-1000</v>
      </c>
      <c r="BY743" s="47">
        <f t="shared" si="2341"/>
        <v>-1000</v>
      </c>
      <c r="BZ743" s="47">
        <f t="shared" si="2341"/>
        <v>-1000</v>
      </c>
      <c r="CA743" s="47">
        <f t="shared" si="2341"/>
        <v>0</v>
      </c>
      <c r="CB743" s="47">
        <f t="shared" si="15"/>
        <v>-10000</v>
      </c>
      <c r="CC743" s="47">
        <f t="shared" ref="CC743:CQ743" si="2342">BC743-$BU743</f>
        <v>-1000</v>
      </c>
      <c r="CD743" s="47">
        <f t="shared" si="2342"/>
        <v>-1000</v>
      </c>
      <c r="CE743" s="47">
        <f t="shared" si="2342"/>
        <v>-1000</v>
      </c>
      <c r="CF743" s="47">
        <f t="shared" si="2342"/>
        <v>-1000</v>
      </c>
      <c r="CG743" s="47">
        <f t="shared" si="2342"/>
        <v>-1000</v>
      </c>
      <c r="CH743" s="47">
        <f t="shared" si="2342"/>
        <v>-1000</v>
      </c>
      <c r="CI743" s="47">
        <f t="shared" si="2342"/>
        <v>-1000</v>
      </c>
      <c r="CJ743" s="47">
        <f t="shared" si="2342"/>
        <v>-1000</v>
      </c>
      <c r="CK743" s="47">
        <f t="shared" si="2342"/>
        <v>-1000</v>
      </c>
      <c r="CL743" s="47">
        <f t="shared" si="2342"/>
        <v>-1000</v>
      </c>
      <c r="CM743" s="47">
        <f t="shared" si="2342"/>
        <v>-1000</v>
      </c>
      <c r="CN743" s="47">
        <f t="shared" si="2342"/>
        <v>-1000</v>
      </c>
      <c r="CO743" s="47">
        <f t="shared" si="2342"/>
        <v>-1000</v>
      </c>
      <c r="CP743" s="47">
        <f t="shared" si="2342"/>
        <v>-1000</v>
      </c>
      <c r="CQ743" s="47">
        <f t="shared" si="2342"/>
        <v>-1000</v>
      </c>
      <c r="CR743" s="47"/>
      <c r="CS743" s="47"/>
      <c r="CT743" s="47"/>
      <c r="CU743" s="74"/>
      <c r="CV743" s="74"/>
      <c r="CW743" s="74" t="str">
        <f>IFERROR(__xludf.DUMMYFUNCTION("IF(REGEXMATCH(UPPER(CU743), ""DALLAS""),,CU743)"),"")</f>
        <v/>
      </c>
      <c r="CX743" s="74"/>
      <c r="CY743" s="74"/>
      <c r="CZ743" s="74"/>
      <c r="DA743" s="75"/>
      <c r="DB743" s="74"/>
      <c r="DC743" s="74"/>
      <c r="DD743" s="74"/>
      <c r="DE743" s="74"/>
      <c r="DF743" s="74"/>
      <c r="DG743" s="74"/>
      <c r="DH743" s="74"/>
      <c r="DI743" s="74"/>
      <c r="DJ743" s="74"/>
      <c r="DK743" s="74"/>
      <c r="DL743" s="74"/>
      <c r="DM743" s="74"/>
      <c r="DN743" s="74"/>
      <c r="DO743" s="74"/>
      <c r="DP743" s="74"/>
      <c r="DQ743" s="74"/>
      <c r="DR743" s="74"/>
      <c r="DS743" s="74"/>
      <c r="DT743" s="74"/>
      <c r="DU743" s="74"/>
      <c r="DV743" s="74"/>
      <c r="DW743" s="74"/>
    </row>
    <row r="744">
      <c r="A744" s="23" t="s">
        <v>64</v>
      </c>
      <c r="B744" s="23" t="s">
        <v>56</v>
      </c>
      <c r="C744" s="31" t="s">
        <v>1952</v>
      </c>
      <c r="D744" s="25" t="str">
        <f>IFERROR(__xludf.DUMMYFUNCTION("SPLIT(C744,"" "")"),"Connell,")</f>
        <v>Connell,</v>
      </c>
      <c r="E744" s="22" t="str">
        <f>IFERROR(__xludf.DUMMYFUNCTION("""COMPUTED_VALUE"""),"Fran
9736")</f>
        <v>Fran
9736</v>
      </c>
      <c r="F744" s="22" t="str">
        <f>IFERROR(__xludf.DUMMYFUNCTION("""COMPUTED_VALUE"""),"Broken")</f>
        <v>Broken</v>
      </c>
      <c r="G744" s="22" t="str">
        <f>IFERROR(__xludf.DUMMYFUNCTION("""COMPUTED_VALUE"""),"Bow
Dallas,")</f>
        <v>Bow
Dallas,</v>
      </c>
      <c r="H744" s="22" t="str">
        <f>IFERROR(__xludf.DUMMYFUNCTION("""COMPUTED_VALUE"""),"TX")</f>
        <v>TX</v>
      </c>
      <c r="I744" s="22">
        <f>IFERROR(__xludf.DUMMYFUNCTION("""COMPUTED_VALUE"""),75238.0)</f>
        <v>75238</v>
      </c>
      <c r="J744" s="22"/>
      <c r="K744" s="22"/>
      <c r="L744" s="22"/>
      <c r="M744" s="22"/>
      <c r="N744" s="22"/>
      <c r="O744" s="22"/>
      <c r="P744" s="22"/>
      <c r="Q744" s="22"/>
      <c r="R744" s="22"/>
      <c r="S744" s="22"/>
      <c r="T744" s="22"/>
      <c r="U744" s="24" t="str">
        <f>IFERROR(__xludf.DUMMYFUNCTION("SPLIT(E744,""01234567890"")"),"Fran
")</f>
        <v>Fran
</v>
      </c>
      <c r="V744" s="24" t="str">
        <f>IFERROR(__xludf.DUMMYFUNCTION("SPLIT(D744,"","")"),"Connell")</f>
        <v>Connell</v>
      </c>
      <c r="W744" s="25" t="str">
        <f t="shared" si="1"/>
        <v>FRAN
 CONNELL</v>
      </c>
      <c r="X744" s="25" t="s">
        <v>1953</v>
      </c>
      <c r="Y744" s="25">
        <v>75238.0</v>
      </c>
      <c r="Z744" s="25" t="str">
        <f>IFERROR(__xludf.DUMMYFUNCTION("SPLIT(C744,""
"")"),"Connell, Fran")</f>
        <v>Connell, Fran</v>
      </c>
      <c r="AA744" s="25" t="str">
        <f>IFERROR(__xludf.DUMMYFUNCTION("""COMPUTED_VALUE"""),"9736 Broken Bow")</f>
        <v>9736 Broken Bow</v>
      </c>
      <c r="AB744" s="25" t="str">
        <f>IFERROR(__xludf.DUMMYFUNCTION("""COMPUTED_VALUE"""),"Dallas, TX 75238")</f>
        <v>Dallas, TX 75238</v>
      </c>
      <c r="AC744" s="24" t="s">
        <v>1954</v>
      </c>
      <c r="AD744" s="25"/>
      <c r="AE744" s="25"/>
      <c r="AF744" s="25"/>
      <c r="AG744" s="22" t="s">
        <v>60</v>
      </c>
      <c r="AH744" s="54">
        <v>2477.0</v>
      </c>
      <c r="AI744" s="22" t="s">
        <v>68</v>
      </c>
      <c r="AJ744" s="27">
        <v>400.0</v>
      </c>
      <c r="AK744" s="31" t="s">
        <v>26</v>
      </c>
      <c r="AL744" s="28">
        <v>44915.0</v>
      </c>
      <c r="AM744" s="29">
        <v>44940.42346064815</v>
      </c>
      <c r="AN744" s="30">
        <v>2.0</v>
      </c>
      <c r="AO744" s="22"/>
      <c r="AP744" s="22"/>
      <c r="AQ744" s="22"/>
      <c r="AR744" s="22"/>
      <c r="AS744" s="22"/>
      <c r="AT744" s="70"/>
      <c r="AU744" s="22"/>
      <c r="AV744" s="57" t="str">
        <f>IFERROR(__xludf.DUMMYFUNCTION("""COMPUTED_VALUE"""),"Casto")</f>
        <v>Casto</v>
      </c>
      <c r="AW744" s="46">
        <f t="shared" si="7"/>
        <v>250</v>
      </c>
      <c r="AX744" s="47">
        <f t="shared" ref="AX744:BQ744" si="2343">SUMIFS($AJ:$AJ,$V:$V,$AV744,$AK:$AK,AX$2)</f>
        <v>0</v>
      </c>
      <c r="AY744" s="48">
        <f t="shared" si="2343"/>
        <v>0</v>
      </c>
      <c r="AZ744" s="48">
        <f t="shared" si="2343"/>
        <v>0</v>
      </c>
      <c r="BA744" s="48">
        <f t="shared" si="2343"/>
        <v>250</v>
      </c>
      <c r="BB744" s="48">
        <f t="shared" si="2343"/>
        <v>0</v>
      </c>
      <c r="BC744" s="48">
        <f t="shared" si="2343"/>
        <v>0</v>
      </c>
      <c r="BD744" s="48">
        <f t="shared" si="2343"/>
        <v>0</v>
      </c>
      <c r="BE744" s="48">
        <f t="shared" si="2343"/>
        <v>0</v>
      </c>
      <c r="BF744" s="48">
        <f t="shared" si="2343"/>
        <v>0</v>
      </c>
      <c r="BG744" s="48">
        <f t="shared" si="2343"/>
        <v>0</v>
      </c>
      <c r="BH744" s="48">
        <f t="shared" si="2343"/>
        <v>0</v>
      </c>
      <c r="BI744" s="48">
        <f t="shared" si="2343"/>
        <v>0</v>
      </c>
      <c r="BJ744" s="48">
        <f t="shared" si="2343"/>
        <v>0</v>
      </c>
      <c r="BK744" s="48">
        <f t="shared" si="2343"/>
        <v>0</v>
      </c>
      <c r="BL744" s="48">
        <f t="shared" si="2343"/>
        <v>0</v>
      </c>
      <c r="BM744" s="48">
        <f t="shared" si="2343"/>
        <v>0</v>
      </c>
      <c r="BN744" s="48">
        <f t="shared" si="2343"/>
        <v>0</v>
      </c>
      <c r="BO744" s="48">
        <f t="shared" si="2343"/>
        <v>0</v>
      </c>
      <c r="BP744" s="48">
        <f t="shared" si="2343"/>
        <v>0</v>
      </c>
      <c r="BQ744" s="48">
        <f t="shared" si="2343"/>
        <v>0</v>
      </c>
      <c r="BR744" s="36">
        <f t="shared" si="9"/>
        <v>0</v>
      </c>
      <c r="BS744" s="38">
        <f t="shared" si="10"/>
        <v>1</v>
      </c>
      <c r="BT744" s="49">
        <f t="shared" si="11"/>
        <v>0</v>
      </c>
      <c r="BU744" s="38">
        <f t="shared" si="12"/>
        <v>1000</v>
      </c>
      <c r="BV744" s="57" t="str">
        <f>IFERROR(__xludf.DUMMYFUNCTION("""COMPUTED_VALUE"""),"Casto")</f>
        <v>Casto</v>
      </c>
      <c r="BW744" s="46">
        <f t="shared" si="13"/>
        <v>250</v>
      </c>
      <c r="BX744" s="47">
        <f t="shared" ref="BX744:CA744" si="2344">AX744-$BU744</f>
        <v>-1000</v>
      </c>
      <c r="BY744" s="47">
        <f t="shared" si="2344"/>
        <v>-1000</v>
      </c>
      <c r="BZ744" s="47">
        <f t="shared" si="2344"/>
        <v>-1000</v>
      </c>
      <c r="CA744" s="47">
        <f t="shared" si="2344"/>
        <v>-750</v>
      </c>
      <c r="CB744" s="47">
        <f t="shared" si="15"/>
        <v>-10000</v>
      </c>
      <c r="CC744" s="47">
        <f t="shared" ref="CC744:CQ744" si="2345">BC744-$BU744</f>
        <v>-1000</v>
      </c>
      <c r="CD744" s="47">
        <f t="shared" si="2345"/>
        <v>-1000</v>
      </c>
      <c r="CE744" s="47">
        <f t="shared" si="2345"/>
        <v>-1000</v>
      </c>
      <c r="CF744" s="47">
        <f t="shared" si="2345"/>
        <v>-1000</v>
      </c>
      <c r="CG744" s="47">
        <f t="shared" si="2345"/>
        <v>-1000</v>
      </c>
      <c r="CH744" s="47">
        <f t="shared" si="2345"/>
        <v>-1000</v>
      </c>
      <c r="CI744" s="47">
        <f t="shared" si="2345"/>
        <v>-1000</v>
      </c>
      <c r="CJ744" s="47">
        <f t="shared" si="2345"/>
        <v>-1000</v>
      </c>
      <c r="CK744" s="47">
        <f t="shared" si="2345"/>
        <v>-1000</v>
      </c>
      <c r="CL744" s="47">
        <f t="shared" si="2345"/>
        <v>-1000</v>
      </c>
      <c r="CM744" s="47">
        <f t="shared" si="2345"/>
        <v>-1000</v>
      </c>
      <c r="CN744" s="47">
        <f t="shared" si="2345"/>
        <v>-1000</v>
      </c>
      <c r="CO744" s="47">
        <f t="shared" si="2345"/>
        <v>-1000</v>
      </c>
      <c r="CP744" s="47">
        <f t="shared" si="2345"/>
        <v>-1000</v>
      </c>
      <c r="CQ744" s="47">
        <f t="shared" si="2345"/>
        <v>-1000</v>
      </c>
      <c r="CR744" s="47"/>
      <c r="CS744" s="47"/>
      <c r="CT744" s="47"/>
      <c r="CU744" s="74"/>
      <c r="CV744" s="74"/>
      <c r="CW744" s="74" t="str">
        <f>IFERROR(__xludf.DUMMYFUNCTION("IF(REGEXMATCH(UPPER(CU744), ""DALLAS""),,CU744)"),"")</f>
        <v/>
      </c>
      <c r="CX744" s="74"/>
      <c r="CY744" s="74"/>
      <c r="CZ744" s="74"/>
      <c r="DA744" s="75"/>
      <c r="DB744" s="74"/>
      <c r="DC744" s="74"/>
      <c r="DD744" s="74"/>
      <c r="DE744" s="74"/>
      <c r="DF744" s="74"/>
      <c r="DG744" s="74"/>
      <c r="DH744" s="74"/>
      <c r="DI744" s="74"/>
      <c r="DJ744" s="74"/>
      <c r="DK744" s="74"/>
      <c r="DL744" s="74"/>
      <c r="DM744" s="74"/>
      <c r="DN744" s="74"/>
      <c r="DO744" s="74"/>
      <c r="DP744" s="74"/>
      <c r="DQ744" s="74"/>
      <c r="DR744" s="74"/>
      <c r="DS744" s="74"/>
      <c r="DT744" s="74"/>
      <c r="DU744" s="74"/>
      <c r="DV744" s="74"/>
      <c r="DW744" s="74"/>
    </row>
    <row r="745">
      <c r="A745" s="41" t="s">
        <v>64</v>
      </c>
      <c r="B745" s="41" t="s">
        <v>56</v>
      </c>
      <c r="C745" s="31" t="s">
        <v>1955</v>
      </c>
      <c r="D745" s="25" t="str">
        <f>IFERROR(__xludf.DUMMYFUNCTION("SPLIT(C745,"" "")"),"Thompson,")</f>
        <v>Thompson,</v>
      </c>
      <c r="E745" s="40" t="str">
        <f>IFERROR(__xludf.DUMMYFUNCTION("""COMPUTED_VALUE"""),"Alyson
12323")</f>
        <v>Alyson
12323</v>
      </c>
      <c r="F745" s="40" t="str">
        <f>IFERROR(__xludf.DUMMYFUNCTION("""COMPUTED_VALUE"""),"Creekspan
Dallas,")</f>
        <v>Creekspan
Dallas,</v>
      </c>
      <c r="G745" s="40" t="str">
        <f>IFERROR(__xludf.DUMMYFUNCTION("""COMPUTED_VALUE"""),"TX")</f>
        <v>TX</v>
      </c>
      <c r="H745" s="40">
        <f>IFERROR(__xludf.DUMMYFUNCTION("""COMPUTED_VALUE"""),75243.0)</f>
        <v>75243</v>
      </c>
      <c r="I745" s="40"/>
      <c r="J745" s="40"/>
      <c r="K745" s="40"/>
      <c r="L745" s="40"/>
      <c r="M745" s="40"/>
      <c r="N745" s="40"/>
      <c r="O745" s="40"/>
      <c r="P745" s="40"/>
      <c r="Q745" s="40"/>
      <c r="R745" s="40"/>
      <c r="S745" s="40"/>
      <c r="T745" s="40"/>
      <c r="U745" s="24" t="str">
        <f>IFERROR(__xludf.DUMMYFUNCTION("SPLIT(E745,""01234567890"")"),"Alyson
")</f>
        <v>Alyson
</v>
      </c>
      <c r="V745" s="24" t="str">
        <f>IFERROR(__xludf.DUMMYFUNCTION("SPLIT(D745,"","")"),"Thompson")</f>
        <v>Thompson</v>
      </c>
      <c r="W745" s="25" t="str">
        <f t="shared" si="1"/>
        <v>ALYSON
 THOMPSON</v>
      </c>
      <c r="X745" s="25" t="s">
        <v>1956</v>
      </c>
      <c r="Y745" s="25">
        <v>75243.0</v>
      </c>
      <c r="Z745" s="25" t="str">
        <f>IFERROR(__xludf.DUMMYFUNCTION("SPLIT(C745,""
"")"),"Thompson, Alyson")</f>
        <v>Thompson, Alyson</v>
      </c>
      <c r="AA745" s="25" t="str">
        <f>IFERROR(__xludf.DUMMYFUNCTION("""COMPUTED_VALUE"""),"12323 Creekspan")</f>
        <v>12323 Creekspan</v>
      </c>
      <c r="AB745" s="25" t="str">
        <f>IFERROR(__xludf.DUMMYFUNCTION("""COMPUTED_VALUE"""),"Dallas, TX 75243")</f>
        <v>Dallas, TX 75243</v>
      </c>
      <c r="AC745" s="24" t="s">
        <v>1957</v>
      </c>
      <c r="AD745" s="25"/>
      <c r="AE745" s="25"/>
      <c r="AF745" s="25"/>
      <c r="AG745" s="40" t="s">
        <v>60</v>
      </c>
      <c r="AH745" s="42">
        <v>2477.0</v>
      </c>
      <c r="AI745" s="40" t="s">
        <v>68</v>
      </c>
      <c r="AJ745" s="27">
        <v>100.0</v>
      </c>
      <c r="AK745" s="31" t="s">
        <v>26</v>
      </c>
      <c r="AL745" s="43">
        <v>44915.0</v>
      </c>
      <c r="AM745" s="44">
        <v>44940.42346064815</v>
      </c>
      <c r="AN745" s="30">
        <v>2.0</v>
      </c>
      <c r="AO745" s="40"/>
      <c r="AP745" s="40"/>
      <c r="AQ745" s="40"/>
      <c r="AR745" s="40"/>
      <c r="AS745" s="40"/>
      <c r="AT745" s="47"/>
      <c r="AU745" s="40"/>
      <c r="AV745" s="46" t="str">
        <f>IFERROR(__xludf.DUMMYFUNCTION("""COMPUTED_VALUE"""),"McCrary")</f>
        <v>McCrary</v>
      </c>
      <c r="AW745" s="46">
        <f t="shared" si="7"/>
        <v>500</v>
      </c>
      <c r="AX745" s="47">
        <f t="shared" ref="AX745:BQ745" si="2346">SUMIFS($AJ:$AJ,$V:$V,$AV745,$AK:$AK,AX$2)</f>
        <v>0</v>
      </c>
      <c r="AY745" s="48">
        <f t="shared" si="2346"/>
        <v>0</v>
      </c>
      <c r="AZ745" s="48">
        <f t="shared" si="2346"/>
        <v>0</v>
      </c>
      <c r="BA745" s="48">
        <f t="shared" si="2346"/>
        <v>500</v>
      </c>
      <c r="BB745" s="48">
        <f t="shared" si="2346"/>
        <v>0</v>
      </c>
      <c r="BC745" s="48">
        <f t="shared" si="2346"/>
        <v>0</v>
      </c>
      <c r="BD745" s="48">
        <f t="shared" si="2346"/>
        <v>0</v>
      </c>
      <c r="BE745" s="48">
        <f t="shared" si="2346"/>
        <v>0</v>
      </c>
      <c r="BF745" s="48">
        <f t="shared" si="2346"/>
        <v>0</v>
      </c>
      <c r="BG745" s="48">
        <f t="shared" si="2346"/>
        <v>0</v>
      </c>
      <c r="BH745" s="48">
        <f t="shared" si="2346"/>
        <v>0</v>
      </c>
      <c r="BI745" s="48">
        <f t="shared" si="2346"/>
        <v>0</v>
      </c>
      <c r="BJ745" s="48">
        <f t="shared" si="2346"/>
        <v>0</v>
      </c>
      <c r="BK745" s="48">
        <f t="shared" si="2346"/>
        <v>0</v>
      </c>
      <c r="BL745" s="48">
        <f t="shared" si="2346"/>
        <v>0</v>
      </c>
      <c r="BM745" s="48">
        <f t="shared" si="2346"/>
        <v>0</v>
      </c>
      <c r="BN745" s="48">
        <f t="shared" si="2346"/>
        <v>0</v>
      </c>
      <c r="BO745" s="48">
        <f t="shared" si="2346"/>
        <v>0</v>
      </c>
      <c r="BP745" s="48">
        <f t="shared" si="2346"/>
        <v>0</v>
      </c>
      <c r="BQ745" s="48">
        <f t="shared" si="2346"/>
        <v>0</v>
      </c>
      <c r="BR745" s="36">
        <f t="shared" si="9"/>
        <v>0</v>
      </c>
      <c r="BS745" s="38">
        <f t="shared" si="10"/>
        <v>1</v>
      </c>
      <c r="BT745" s="49">
        <f t="shared" si="11"/>
        <v>0</v>
      </c>
      <c r="BU745" s="38">
        <f t="shared" si="12"/>
        <v>1000</v>
      </c>
      <c r="BV745" s="46" t="str">
        <f>IFERROR(__xludf.DUMMYFUNCTION("""COMPUTED_VALUE"""),"McCrary")</f>
        <v>McCrary</v>
      </c>
      <c r="BW745" s="46">
        <f t="shared" si="13"/>
        <v>500</v>
      </c>
      <c r="BX745" s="47">
        <f t="shared" ref="BX745:CA745" si="2347">AX745-$BU745</f>
        <v>-1000</v>
      </c>
      <c r="BY745" s="47">
        <f t="shared" si="2347"/>
        <v>-1000</v>
      </c>
      <c r="BZ745" s="47">
        <f t="shared" si="2347"/>
        <v>-1000</v>
      </c>
      <c r="CA745" s="47">
        <f t="shared" si="2347"/>
        <v>-500</v>
      </c>
      <c r="CB745" s="47">
        <f t="shared" si="15"/>
        <v>-10000</v>
      </c>
      <c r="CC745" s="47">
        <f t="shared" ref="CC745:CQ745" si="2348">BC745-$BU745</f>
        <v>-1000</v>
      </c>
      <c r="CD745" s="47">
        <f t="shared" si="2348"/>
        <v>-1000</v>
      </c>
      <c r="CE745" s="47">
        <f t="shared" si="2348"/>
        <v>-1000</v>
      </c>
      <c r="CF745" s="47">
        <f t="shared" si="2348"/>
        <v>-1000</v>
      </c>
      <c r="CG745" s="47">
        <f t="shared" si="2348"/>
        <v>-1000</v>
      </c>
      <c r="CH745" s="47">
        <f t="shared" si="2348"/>
        <v>-1000</v>
      </c>
      <c r="CI745" s="47">
        <f t="shared" si="2348"/>
        <v>-1000</v>
      </c>
      <c r="CJ745" s="47">
        <f t="shared" si="2348"/>
        <v>-1000</v>
      </c>
      <c r="CK745" s="47">
        <f t="shared" si="2348"/>
        <v>-1000</v>
      </c>
      <c r="CL745" s="47">
        <f t="shared" si="2348"/>
        <v>-1000</v>
      </c>
      <c r="CM745" s="47">
        <f t="shared" si="2348"/>
        <v>-1000</v>
      </c>
      <c r="CN745" s="47">
        <f t="shared" si="2348"/>
        <v>-1000</v>
      </c>
      <c r="CO745" s="47">
        <f t="shared" si="2348"/>
        <v>-1000</v>
      </c>
      <c r="CP745" s="47">
        <f t="shared" si="2348"/>
        <v>-1000</v>
      </c>
      <c r="CQ745" s="47">
        <f t="shared" si="2348"/>
        <v>-1000</v>
      </c>
      <c r="CR745" s="47"/>
      <c r="CS745" s="47"/>
      <c r="CT745" s="47"/>
      <c r="CU745" s="74"/>
      <c r="CV745" s="74"/>
      <c r="CW745" s="74" t="str">
        <f>IFERROR(__xludf.DUMMYFUNCTION("IF(REGEXMATCH(UPPER(CU745), ""DALLAS""),,CU745)"),"")</f>
        <v/>
      </c>
      <c r="CX745" s="74"/>
      <c r="CY745" s="74"/>
      <c r="CZ745" s="74"/>
      <c r="DA745" s="75"/>
      <c r="DB745" s="74"/>
      <c r="DC745" s="74"/>
      <c r="DD745" s="74"/>
      <c r="DE745" s="74"/>
      <c r="DF745" s="74"/>
      <c r="DG745" s="74"/>
      <c r="DH745" s="74"/>
      <c r="DI745" s="74"/>
      <c r="DJ745" s="74"/>
      <c r="DK745" s="74"/>
      <c r="DL745" s="74"/>
      <c r="DM745" s="74"/>
      <c r="DN745" s="74"/>
      <c r="DO745" s="74"/>
      <c r="DP745" s="74"/>
      <c r="DQ745" s="74"/>
      <c r="DR745" s="74"/>
      <c r="DS745" s="74"/>
      <c r="DT745" s="74"/>
      <c r="DU745" s="74"/>
      <c r="DV745" s="74"/>
      <c r="DW745" s="74"/>
    </row>
    <row r="746">
      <c r="A746" s="23" t="s">
        <v>64</v>
      </c>
      <c r="B746" s="23" t="s">
        <v>56</v>
      </c>
      <c r="C746" s="31" t="s">
        <v>1872</v>
      </c>
      <c r="D746" s="25" t="str">
        <f>IFERROR(__xludf.DUMMYFUNCTION("SPLIT(C746,"" "")"),"Rabe,")</f>
        <v>Rabe,</v>
      </c>
      <c r="E746" s="22" t="str">
        <f>IFERROR(__xludf.DUMMYFUNCTION("""COMPUTED_VALUE"""),"Nancy
7746")</f>
        <v>Nancy
7746</v>
      </c>
      <c r="F746" s="22" t="str">
        <f>IFERROR(__xludf.DUMMYFUNCTION("""COMPUTED_VALUE"""),"Eagle")</f>
        <v>Eagle</v>
      </c>
      <c r="G746" s="22" t="str">
        <f>IFERROR(__xludf.DUMMYFUNCTION("""COMPUTED_VALUE"""),"Trail
Dallas,")</f>
        <v>Trail
Dallas,</v>
      </c>
      <c r="H746" s="22" t="str">
        <f>IFERROR(__xludf.DUMMYFUNCTION("""COMPUTED_VALUE"""),"TX")</f>
        <v>TX</v>
      </c>
      <c r="I746" s="22">
        <f>IFERROR(__xludf.DUMMYFUNCTION("""COMPUTED_VALUE"""),75238.0)</f>
        <v>75238</v>
      </c>
      <c r="J746" s="22"/>
      <c r="K746" s="22"/>
      <c r="L746" s="22"/>
      <c r="M746" s="22"/>
      <c r="N746" s="22"/>
      <c r="O746" s="22"/>
      <c r="P746" s="22"/>
      <c r="Q746" s="22"/>
      <c r="R746" s="22"/>
      <c r="S746" s="22"/>
      <c r="T746" s="22"/>
      <c r="U746" s="24" t="str">
        <f>IFERROR(__xludf.DUMMYFUNCTION("SPLIT(E746,""01234567890"")"),"Nancy
")</f>
        <v>Nancy
</v>
      </c>
      <c r="V746" s="24" t="str">
        <f>IFERROR(__xludf.DUMMYFUNCTION("SPLIT(D746,"","")"),"Rabe")</f>
        <v>Rabe</v>
      </c>
      <c r="W746" s="25" t="str">
        <f t="shared" si="1"/>
        <v>NANCY
 RABE</v>
      </c>
      <c r="X746" s="25" t="s">
        <v>1870</v>
      </c>
      <c r="Y746" s="25">
        <v>75238.0</v>
      </c>
      <c r="Z746" s="25" t="str">
        <f>IFERROR(__xludf.DUMMYFUNCTION("SPLIT(C746,""
"")"),"Rabe, Nancy")</f>
        <v>Rabe, Nancy</v>
      </c>
      <c r="AA746" s="25" t="str">
        <f>IFERROR(__xludf.DUMMYFUNCTION("""COMPUTED_VALUE"""),"7746 Eagle Trail")</f>
        <v>7746 Eagle Trail</v>
      </c>
      <c r="AB746" s="25" t="str">
        <f>IFERROR(__xludf.DUMMYFUNCTION("""COMPUTED_VALUE"""),"Dallas, TX 75238")</f>
        <v>Dallas, TX 75238</v>
      </c>
      <c r="AC746" s="24" t="s">
        <v>1873</v>
      </c>
      <c r="AD746" s="25"/>
      <c r="AE746" s="25"/>
      <c r="AF746" s="25"/>
      <c r="AG746" s="22" t="s">
        <v>60</v>
      </c>
      <c r="AH746" s="54">
        <v>2477.0</v>
      </c>
      <c r="AI746" s="22" t="s">
        <v>68</v>
      </c>
      <c r="AJ746" s="27">
        <v>250.0</v>
      </c>
      <c r="AK746" s="31" t="s">
        <v>26</v>
      </c>
      <c r="AL746" s="28">
        <v>44908.0</v>
      </c>
      <c r="AM746" s="29">
        <v>44940.42346064815</v>
      </c>
      <c r="AN746" s="30">
        <v>2.0</v>
      </c>
      <c r="AO746" s="22"/>
      <c r="AP746" s="22"/>
      <c r="AQ746" s="22"/>
      <c r="AR746" s="22"/>
      <c r="AS746" s="22"/>
      <c r="AT746" s="70"/>
      <c r="AU746" s="22"/>
      <c r="AV746" s="57" t="str">
        <f>IFERROR(__xludf.DUMMYFUNCTION("""COMPUTED_VALUE"""),"Courtwright")</f>
        <v>Courtwright</v>
      </c>
      <c r="AW746" s="46">
        <f t="shared" si="7"/>
        <v>2000</v>
      </c>
      <c r="AX746" s="47">
        <f t="shared" ref="AX746:BQ746" si="2349">SUMIFS($AJ:$AJ,$V:$V,$AV746,$AK:$AK,AX$2)</f>
        <v>0</v>
      </c>
      <c r="AY746" s="48">
        <f t="shared" si="2349"/>
        <v>0</v>
      </c>
      <c r="AZ746" s="48">
        <f t="shared" si="2349"/>
        <v>0</v>
      </c>
      <c r="BA746" s="48">
        <f t="shared" si="2349"/>
        <v>2000</v>
      </c>
      <c r="BB746" s="48">
        <f t="shared" si="2349"/>
        <v>0</v>
      </c>
      <c r="BC746" s="48">
        <f t="shared" si="2349"/>
        <v>0</v>
      </c>
      <c r="BD746" s="48">
        <f t="shared" si="2349"/>
        <v>0</v>
      </c>
      <c r="BE746" s="48">
        <f t="shared" si="2349"/>
        <v>0</v>
      </c>
      <c r="BF746" s="48">
        <f t="shared" si="2349"/>
        <v>0</v>
      </c>
      <c r="BG746" s="48">
        <f t="shared" si="2349"/>
        <v>0</v>
      </c>
      <c r="BH746" s="48">
        <f t="shared" si="2349"/>
        <v>0</v>
      </c>
      <c r="BI746" s="48">
        <f t="shared" si="2349"/>
        <v>0</v>
      </c>
      <c r="BJ746" s="48">
        <f t="shared" si="2349"/>
        <v>0</v>
      </c>
      <c r="BK746" s="48">
        <f t="shared" si="2349"/>
        <v>0</v>
      </c>
      <c r="BL746" s="48">
        <f t="shared" si="2349"/>
        <v>0</v>
      </c>
      <c r="BM746" s="48">
        <f t="shared" si="2349"/>
        <v>0</v>
      </c>
      <c r="BN746" s="48">
        <f t="shared" si="2349"/>
        <v>0</v>
      </c>
      <c r="BO746" s="48">
        <f t="shared" si="2349"/>
        <v>0</v>
      </c>
      <c r="BP746" s="48">
        <f t="shared" si="2349"/>
        <v>0</v>
      </c>
      <c r="BQ746" s="48">
        <f t="shared" si="2349"/>
        <v>0</v>
      </c>
      <c r="BR746" s="36">
        <f t="shared" si="9"/>
        <v>0</v>
      </c>
      <c r="BS746" s="38">
        <f t="shared" si="10"/>
        <v>1</v>
      </c>
      <c r="BT746" s="49">
        <f t="shared" si="11"/>
        <v>0</v>
      </c>
      <c r="BU746" s="38">
        <f t="shared" si="12"/>
        <v>1000</v>
      </c>
      <c r="BV746" s="57" t="str">
        <f>IFERROR(__xludf.DUMMYFUNCTION("""COMPUTED_VALUE"""),"Courtwright")</f>
        <v>Courtwright</v>
      </c>
      <c r="BW746" s="46">
        <f t="shared" si="13"/>
        <v>2000</v>
      </c>
      <c r="BX746" s="47">
        <f t="shared" ref="BX746:CA746" si="2350">AX746-$BU746</f>
        <v>-1000</v>
      </c>
      <c r="BY746" s="47">
        <f t="shared" si="2350"/>
        <v>-1000</v>
      </c>
      <c r="BZ746" s="47">
        <f t="shared" si="2350"/>
        <v>-1000</v>
      </c>
      <c r="CA746" s="47">
        <f t="shared" si="2350"/>
        <v>1000</v>
      </c>
      <c r="CB746" s="47">
        <f t="shared" si="15"/>
        <v>-10000</v>
      </c>
      <c r="CC746" s="47">
        <f t="shared" ref="CC746:CQ746" si="2351">BC746-$BU746</f>
        <v>-1000</v>
      </c>
      <c r="CD746" s="47">
        <f t="shared" si="2351"/>
        <v>-1000</v>
      </c>
      <c r="CE746" s="47">
        <f t="shared" si="2351"/>
        <v>-1000</v>
      </c>
      <c r="CF746" s="47">
        <f t="shared" si="2351"/>
        <v>-1000</v>
      </c>
      <c r="CG746" s="47">
        <f t="shared" si="2351"/>
        <v>-1000</v>
      </c>
      <c r="CH746" s="47">
        <f t="shared" si="2351"/>
        <v>-1000</v>
      </c>
      <c r="CI746" s="47">
        <f t="shared" si="2351"/>
        <v>-1000</v>
      </c>
      <c r="CJ746" s="47">
        <f t="shared" si="2351"/>
        <v>-1000</v>
      </c>
      <c r="CK746" s="47">
        <f t="shared" si="2351"/>
        <v>-1000</v>
      </c>
      <c r="CL746" s="47">
        <f t="shared" si="2351"/>
        <v>-1000</v>
      </c>
      <c r="CM746" s="47">
        <f t="shared" si="2351"/>
        <v>-1000</v>
      </c>
      <c r="CN746" s="47">
        <f t="shared" si="2351"/>
        <v>-1000</v>
      </c>
      <c r="CO746" s="47">
        <f t="shared" si="2351"/>
        <v>-1000</v>
      </c>
      <c r="CP746" s="47">
        <f t="shared" si="2351"/>
        <v>-1000</v>
      </c>
      <c r="CQ746" s="47">
        <f t="shared" si="2351"/>
        <v>-1000</v>
      </c>
      <c r="CR746" s="47"/>
      <c r="CS746" s="47"/>
      <c r="CT746" s="47"/>
      <c r="CU746" s="74"/>
      <c r="CV746" s="74"/>
      <c r="CW746" s="74" t="str">
        <f>IFERROR(__xludf.DUMMYFUNCTION("IF(REGEXMATCH(UPPER(CU746), ""DALLAS""),,CU746)"),"")</f>
        <v/>
      </c>
      <c r="CX746" s="74"/>
      <c r="CY746" s="74"/>
      <c r="CZ746" s="74"/>
      <c r="DA746" s="75"/>
      <c r="DB746" s="74"/>
      <c r="DC746" s="74"/>
      <c r="DD746" s="74"/>
      <c r="DE746" s="74"/>
      <c r="DF746" s="74"/>
      <c r="DG746" s="74"/>
      <c r="DH746" s="74"/>
      <c r="DI746" s="74"/>
      <c r="DJ746" s="74"/>
      <c r="DK746" s="74"/>
      <c r="DL746" s="74"/>
      <c r="DM746" s="74"/>
      <c r="DN746" s="74"/>
      <c r="DO746" s="74"/>
      <c r="DP746" s="74"/>
      <c r="DQ746" s="74"/>
      <c r="DR746" s="74"/>
      <c r="DS746" s="74"/>
      <c r="DT746" s="74"/>
      <c r="DU746" s="74"/>
      <c r="DV746" s="74"/>
      <c r="DW746" s="74"/>
    </row>
    <row r="747">
      <c r="A747" s="40" t="s">
        <v>55</v>
      </c>
      <c r="B747" s="41" t="s">
        <v>56</v>
      </c>
      <c r="C747" s="31" t="s">
        <v>1958</v>
      </c>
      <c r="D747" s="25" t="str">
        <f>IFERROR(__xludf.DUMMYFUNCTION("SPLIT(C747,"" "")"),"Hunt,")</f>
        <v>Hunt,</v>
      </c>
      <c r="E747" s="40" t="str">
        <f>IFERROR(__xludf.DUMMYFUNCTION("""COMPUTED_VALUE"""),"Clark
5956")</f>
        <v>Clark
5956</v>
      </c>
      <c r="F747" s="40" t="str">
        <f>IFERROR(__xludf.DUMMYFUNCTION("""COMPUTED_VALUE"""),"Sherry")</f>
        <v>Sherry</v>
      </c>
      <c r="G747" s="40" t="str">
        <f>IFERROR(__xludf.DUMMYFUNCTION("""COMPUTED_VALUE"""),"Lane
Dallas,")</f>
        <v>Lane
Dallas,</v>
      </c>
      <c r="H747" s="40" t="str">
        <f>IFERROR(__xludf.DUMMYFUNCTION("""COMPUTED_VALUE"""),"TX")</f>
        <v>TX</v>
      </c>
      <c r="I747" s="40">
        <f>IFERROR(__xludf.DUMMYFUNCTION("""COMPUTED_VALUE"""),75225.0)</f>
        <v>75225</v>
      </c>
      <c r="J747" s="40"/>
      <c r="K747" s="40"/>
      <c r="L747" s="40"/>
      <c r="M747" s="40"/>
      <c r="N747" s="40"/>
      <c r="O747" s="40"/>
      <c r="P747" s="40"/>
      <c r="Q747" s="40"/>
      <c r="R747" s="40"/>
      <c r="S747" s="40"/>
      <c r="T747" s="40"/>
      <c r="U747" s="24" t="str">
        <f>IFERROR(__xludf.DUMMYFUNCTION("SPLIT(E747,""01234567890"")"),"Clark
")</f>
        <v>Clark
</v>
      </c>
      <c r="V747" s="24" t="str">
        <f>IFERROR(__xludf.DUMMYFUNCTION("SPLIT(D747,"","")"),"Hunt")</f>
        <v>Hunt</v>
      </c>
      <c r="W747" s="25" t="str">
        <f t="shared" si="1"/>
        <v>CLARK
 HUNT</v>
      </c>
      <c r="X747" s="25" t="s">
        <v>1959</v>
      </c>
      <c r="Y747" s="25">
        <v>75225.0</v>
      </c>
      <c r="Z747" s="25" t="str">
        <f>IFERROR(__xludf.DUMMYFUNCTION("SPLIT(C747,""
"")"),"Hunt, Clark")</f>
        <v>Hunt, Clark</v>
      </c>
      <c r="AA747" s="25" t="str">
        <f>IFERROR(__xludf.DUMMYFUNCTION("""COMPUTED_VALUE"""),"5956 Sherry Lane")</f>
        <v>5956 Sherry Lane</v>
      </c>
      <c r="AB747" s="25" t="str">
        <f>IFERROR(__xludf.DUMMYFUNCTION("""COMPUTED_VALUE"""),"Dallas, TX 75225")</f>
        <v>Dallas, TX 75225</v>
      </c>
      <c r="AC747" s="24" t="s">
        <v>1960</v>
      </c>
      <c r="AD747" s="25"/>
      <c r="AE747" s="25"/>
      <c r="AF747" s="25"/>
      <c r="AG747" s="40" t="s">
        <v>60</v>
      </c>
      <c r="AH747" s="42">
        <v>2481.0</v>
      </c>
      <c r="AI747" s="40" t="s">
        <v>68</v>
      </c>
      <c r="AJ747" s="27">
        <v>5000.0</v>
      </c>
      <c r="AK747" s="31" t="s">
        <v>25</v>
      </c>
      <c r="AL747" s="43">
        <v>44917.0</v>
      </c>
      <c r="AM747" s="44">
        <v>44937.81995370371</v>
      </c>
      <c r="AN747" s="30">
        <v>2.0</v>
      </c>
      <c r="AO747" s="40"/>
      <c r="AP747" s="40"/>
      <c r="AQ747" s="40"/>
      <c r="AR747" s="40"/>
      <c r="AS747" s="40"/>
      <c r="AT747" s="47"/>
      <c r="AU747" s="40"/>
      <c r="AV747" s="46" t="str">
        <f>IFERROR(__xludf.DUMMYFUNCTION("""COMPUTED_VALUE"""),"Halfmann")</f>
        <v>Halfmann</v>
      </c>
      <c r="AW747" s="46">
        <f t="shared" si="7"/>
        <v>100</v>
      </c>
      <c r="AX747" s="47">
        <f t="shared" ref="AX747:BQ747" si="2352">SUMIFS($AJ:$AJ,$V:$V,$AV747,$AK:$AK,AX$2)</f>
        <v>0</v>
      </c>
      <c r="AY747" s="48">
        <f t="shared" si="2352"/>
        <v>0</v>
      </c>
      <c r="AZ747" s="48">
        <f t="shared" si="2352"/>
        <v>0</v>
      </c>
      <c r="BA747" s="48">
        <f t="shared" si="2352"/>
        <v>100</v>
      </c>
      <c r="BB747" s="48">
        <f t="shared" si="2352"/>
        <v>0</v>
      </c>
      <c r="BC747" s="48">
        <f t="shared" si="2352"/>
        <v>0</v>
      </c>
      <c r="BD747" s="48">
        <f t="shared" si="2352"/>
        <v>0</v>
      </c>
      <c r="BE747" s="48">
        <f t="shared" si="2352"/>
        <v>0</v>
      </c>
      <c r="BF747" s="48">
        <f t="shared" si="2352"/>
        <v>0</v>
      </c>
      <c r="BG747" s="48">
        <f t="shared" si="2352"/>
        <v>0</v>
      </c>
      <c r="BH747" s="48">
        <f t="shared" si="2352"/>
        <v>0</v>
      </c>
      <c r="BI747" s="48">
        <f t="shared" si="2352"/>
        <v>0</v>
      </c>
      <c r="BJ747" s="48">
        <f t="shared" si="2352"/>
        <v>0</v>
      </c>
      <c r="BK747" s="48">
        <f t="shared" si="2352"/>
        <v>0</v>
      </c>
      <c r="BL747" s="48">
        <f t="shared" si="2352"/>
        <v>0</v>
      </c>
      <c r="BM747" s="48">
        <f t="shared" si="2352"/>
        <v>0</v>
      </c>
      <c r="BN747" s="48">
        <f t="shared" si="2352"/>
        <v>0</v>
      </c>
      <c r="BO747" s="48">
        <f t="shared" si="2352"/>
        <v>0</v>
      </c>
      <c r="BP747" s="48">
        <f t="shared" si="2352"/>
        <v>0</v>
      </c>
      <c r="BQ747" s="48">
        <f t="shared" si="2352"/>
        <v>0</v>
      </c>
      <c r="BR747" s="36">
        <f t="shared" si="9"/>
        <v>0</v>
      </c>
      <c r="BS747" s="38">
        <f t="shared" si="10"/>
        <v>1</v>
      </c>
      <c r="BT747" s="49">
        <f t="shared" si="11"/>
        <v>0</v>
      </c>
      <c r="BU747" s="38">
        <f t="shared" si="12"/>
        <v>1000</v>
      </c>
      <c r="BV747" s="46" t="str">
        <f>IFERROR(__xludf.DUMMYFUNCTION("""COMPUTED_VALUE"""),"Halfmann")</f>
        <v>Halfmann</v>
      </c>
      <c r="BW747" s="46">
        <f t="shared" si="13"/>
        <v>100</v>
      </c>
      <c r="BX747" s="47">
        <f t="shared" ref="BX747:CA747" si="2353">AX747-$BU747</f>
        <v>-1000</v>
      </c>
      <c r="BY747" s="47">
        <f t="shared" si="2353"/>
        <v>-1000</v>
      </c>
      <c r="BZ747" s="47">
        <f t="shared" si="2353"/>
        <v>-1000</v>
      </c>
      <c r="CA747" s="47">
        <f t="shared" si="2353"/>
        <v>-900</v>
      </c>
      <c r="CB747" s="47">
        <f t="shared" si="15"/>
        <v>-10000</v>
      </c>
      <c r="CC747" s="47">
        <f t="shared" ref="CC747:CQ747" si="2354">BC747-$BU747</f>
        <v>-1000</v>
      </c>
      <c r="CD747" s="47">
        <f t="shared" si="2354"/>
        <v>-1000</v>
      </c>
      <c r="CE747" s="47">
        <f t="shared" si="2354"/>
        <v>-1000</v>
      </c>
      <c r="CF747" s="47">
        <f t="shared" si="2354"/>
        <v>-1000</v>
      </c>
      <c r="CG747" s="47">
        <f t="shared" si="2354"/>
        <v>-1000</v>
      </c>
      <c r="CH747" s="47">
        <f t="shared" si="2354"/>
        <v>-1000</v>
      </c>
      <c r="CI747" s="47">
        <f t="shared" si="2354"/>
        <v>-1000</v>
      </c>
      <c r="CJ747" s="47">
        <f t="shared" si="2354"/>
        <v>-1000</v>
      </c>
      <c r="CK747" s="47">
        <f t="shared" si="2354"/>
        <v>-1000</v>
      </c>
      <c r="CL747" s="47">
        <f t="shared" si="2354"/>
        <v>-1000</v>
      </c>
      <c r="CM747" s="47">
        <f t="shared" si="2354"/>
        <v>-1000</v>
      </c>
      <c r="CN747" s="47">
        <f t="shared" si="2354"/>
        <v>-1000</v>
      </c>
      <c r="CO747" s="47">
        <f t="shared" si="2354"/>
        <v>-1000</v>
      </c>
      <c r="CP747" s="47">
        <f t="shared" si="2354"/>
        <v>-1000</v>
      </c>
      <c r="CQ747" s="47">
        <f t="shared" si="2354"/>
        <v>-1000</v>
      </c>
      <c r="CR747" s="47"/>
      <c r="CS747" s="47"/>
      <c r="CT747" s="47"/>
      <c r="CU747" s="74"/>
      <c r="CV747" s="74"/>
      <c r="CW747" s="74" t="str">
        <f>IFERROR(__xludf.DUMMYFUNCTION("IF(REGEXMATCH(UPPER(CU747), ""DALLAS""),,CU747)"),"")</f>
        <v/>
      </c>
      <c r="CX747" s="74"/>
      <c r="CY747" s="74"/>
      <c r="CZ747" s="74"/>
      <c r="DA747" s="75"/>
      <c r="DB747" s="74"/>
      <c r="DC747" s="74"/>
      <c r="DD747" s="74"/>
      <c r="DE747" s="74"/>
      <c r="DF747" s="74"/>
      <c r="DG747" s="74"/>
      <c r="DH747" s="74"/>
      <c r="DI747" s="74"/>
      <c r="DJ747" s="74"/>
      <c r="DK747" s="74"/>
      <c r="DL747" s="74"/>
      <c r="DM747" s="74"/>
      <c r="DN747" s="74"/>
      <c r="DO747" s="74"/>
      <c r="DP747" s="74"/>
      <c r="DQ747" s="74"/>
      <c r="DR747" s="74"/>
      <c r="DS747" s="74"/>
      <c r="DT747" s="74"/>
      <c r="DU747" s="74"/>
      <c r="DV747" s="74"/>
      <c r="DW747" s="74"/>
    </row>
    <row r="748">
      <c r="A748" s="22" t="s">
        <v>55</v>
      </c>
      <c r="B748" s="23" t="s">
        <v>56</v>
      </c>
      <c r="C748" s="31" t="s">
        <v>1961</v>
      </c>
      <c r="D748" s="25" t="str">
        <f>IFERROR(__xludf.DUMMYFUNCTION("SPLIT(C748,"" "")"),"McIntyre,")</f>
        <v>McIntyre,</v>
      </c>
      <c r="E748" s="22" t="str">
        <f>IFERROR(__xludf.DUMMYFUNCTION("""COMPUTED_VALUE"""),"William
4815")</f>
        <v>William
4815</v>
      </c>
      <c r="F748" s="22" t="str">
        <f>IFERROR(__xludf.DUMMYFUNCTION("""COMPUTED_VALUE"""),"Shadywood")</f>
        <v>Shadywood</v>
      </c>
      <c r="G748" s="22" t="str">
        <f>IFERROR(__xludf.DUMMYFUNCTION("""COMPUTED_VALUE"""),"Lane
Dallas,")</f>
        <v>Lane
Dallas,</v>
      </c>
      <c r="H748" s="22" t="str">
        <f>IFERROR(__xludf.DUMMYFUNCTION("""COMPUTED_VALUE"""),"TX")</f>
        <v>TX</v>
      </c>
      <c r="I748" s="22">
        <f>IFERROR(__xludf.DUMMYFUNCTION("""COMPUTED_VALUE"""),75209.0)</f>
        <v>75209</v>
      </c>
      <c r="J748" s="22"/>
      <c r="K748" s="22"/>
      <c r="L748" s="22"/>
      <c r="M748" s="22"/>
      <c r="N748" s="22"/>
      <c r="O748" s="22"/>
      <c r="P748" s="22"/>
      <c r="Q748" s="22"/>
      <c r="R748" s="22"/>
      <c r="S748" s="22"/>
      <c r="T748" s="22"/>
      <c r="U748" s="24" t="str">
        <f>IFERROR(__xludf.DUMMYFUNCTION("SPLIT(E748,""01234567890"")"),"William
")</f>
        <v>William
</v>
      </c>
      <c r="V748" s="24" t="str">
        <f>IFERROR(__xludf.DUMMYFUNCTION("SPLIT(D748,"","")"),"McIntyre")</f>
        <v>McIntyre</v>
      </c>
      <c r="W748" s="25" t="str">
        <f t="shared" si="1"/>
        <v>WILLIAM
 MCINTYRE</v>
      </c>
      <c r="X748" s="25" t="s">
        <v>1962</v>
      </c>
      <c r="Y748" s="25">
        <v>75209.0</v>
      </c>
      <c r="Z748" s="25" t="str">
        <f>IFERROR(__xludf.DUMMYFUNCTION("SPLIT(C748,""
"")"),"McIntyre, William")</f>
        <v>McIntyre, William</v>
      </c>
      <c r="AA748" s="25" t="str">
        <f>IFERROR(__xludf.DUMMYFUNCTION("""COMPUTED_VALUE"""),"4815 Shadywood Lane")</f>
        <v>4815 Shadywood Lane</v>
      </c>
      <c r="AB748" s="25" t="str">
        <f>IFERROR(__xludf.DUMMYFUNCTION("""COMPUTED_VALUE"""),"Dallas, TX 75209")</f>
        <v>Dallas, TX 75209</v>
      </c>
      <c r="AC748" s="24" t="s">
        <v>1963</v>
      </c>
      <c r="AD748" s="25"/>
      <c r="AE748" s="25"/>
      <c r="AF748" s="25"/>
      <c r="AG748" s="22" t="s">
        <v>60</v>
      </c>
      <c r="AH748" s="54">
        <v>2481.0</v>
      </c>
      <c r="AI748" s="22" t="s">
        <v>68</v>
      </c>
      <c r="AJ748" s="27">
        <v>5000.0</v>
      </c>
      <c r="AK748" s="31" t="s">
        <v>25</v>
      </c>
      <c r="AL748" s="28">
        <v>44925.0</v>
      </c>
      <c r="AM748" s="29">
        <v>44937.81995370371</v>
      </c>
      <c r="AN748" s="30">
        <v>2.0</v>
      </c>
      <c r="AO748" s="22"/>
      <c r="AP748" s="22"/>
      <c r="AQ748" s="22"/>
      <c r="AR748" s="22"/>
      <c r="AS748" s="22"/>
      <c r="AT748" s="70"/>
      <c r="AU748" s="22"/>
      <c r="AV748" s="57" t="str">
        <f>IFERROR(__xludf.DUMMYFUNCTION("""COMPUTED_VALUE"""),"Robin")</f>
        <v>Robin</v>
      </c>
      <c r="AW748" s="46">
        <f t="shared" si="7"/>
        <v>1000</v>
      </c>
      <c r="AX748" s="47">
        <f t="shared" ref="AX748:BQ748" si="2355">SUMIFS($AJ:$AJ,$V:$V,$AV748,$AK:$AK,AX$2)</f>
        <v>0</v>
      </c>
      <c r="AY748" s="48">
        <f t="shared" si="2355"/>
        <v>0</v>
      </c>
      <c r="AZ748" s="48">
        <f t="shared" si="2355"/>
        <v>0</v>
      </c>
      <c r="BA748" s="48">
        <f t="shared" si="2355"/>
        <v>1000</v>
      </c>
      <c r="BB748" s="48">
        <f t="shared" si="2355"/>
        <v>0</v>
      </c>
      <c r="BC748" s="48">
        <f t="shared" si="2355"/>
        <v>0</v>
      </c>
      <c r="BD748" s="48">
        <f t="shared" si="2355"/>
        <v>0</v>
      </c>
      <c r="BE748" s="48">
        <f t="shared" si="2355"/>
        <v>0</v>
      </c>
      <c r="BF748" s="48">
        <f t="shared" si="2355"/>
        <v>0</v>
      </c>
      <c r="BG748" s="48">
        <f t="shared" si="2355"/>
        <v>0</v>
      </c>
      <c r="BH748" s="48">
        <f t="shared" si="2355"/>
        <v>0</v>
      </c>
      <c r="BI748" s="48">
        <f t="shared" si="2355"/>
        <v>0</v>
      </c>
      <c r="BJ748" s="48">
        <f t="shared" si="2355"/>
        <v>0</v>
      </c>
      <c r="BK748" s="48">
        <f t="shared" si="2355"/>
        <v>0</v>
      </c>
      <c r="BL748" s="48">
        <f t="shared" si="2355"/>
        <v>0</v>
      </c>
      <c r="BM748" s="48">
        <f t="shared" si="2355"/>
        <v>0</v>
      </c>
      <c r="BN748" s="48">
        <f t="shared" si="2355"/>
        <v>0</v>
      </c>
      <c r="BO748" s="48">
        <f t="shared" si="2355"/>
        <v>0</v>
      </c>
      <c r="BP748" s="48">
        <f t="shared" si="2355"/>
        <v>0</v>
      </c>
      <c r="BQ748" s="48">
        <f t="shared" si="2355"/>
        <v>0</v>
      </c>
      <c r="BR748" s="36">
        <f t="shared" si="9"/>
        <v>0</v>
      </c>
      <c r="BS748" s="38">
        <f t="shared" si="10"/>
        <v>1</v>
      </c>
      <c r="BT748" s="49">
        <f t="shared" si="11"/>
        <v>0</v>
      </c>
      <c r="BU748" s="38">
        <f t="shared" si="12"/>
        <v>1000</v>
      </c>
      <c r="BV748" s="57" t="str">
        <f>IFERROR(__xludf.DUMMYFUNCTION("""COMPUTED_VALUE"""),"Robin")</f>
        <v>Robin</v>
      </c>
      <c r="BW748" s="46">
        <f t="shared" si="13"/>
        <v>1000</v>
      </c>
      <c r="BX748" s="47">
        <f t="shared" ref="BX748:CA748" si="2356">AX748-$BU748</f>
        <v>-1000</v>
      </c>
      <c r="BY748" s="47">
        <f t="shared" si="2356"/>
        <v>-1000</v>
      </c>
      <c r="BZ748" s="47">
        <f t="shared" si="2356"/>
        <v>-1000</v>
      </c>
      <c r="CA748" s="47">
        <f t="shared" si="2356"/>
        <v>0</v>
      </c>
      <c r="CB748" s="47">
        <f t="shared" si="15"/>
        <v>-10000</v>
      </c>
      <c r="CC748" s="47">
        <f t="shared" ref="CC748:CQ748" si="2357">BC748-$BU748</f>
        <v>-1000</v>
      </c>
      <c r="CD748" s="47">
        <f t="shared" si="2357"/>
        <v>-1000</v>
      </c>
      <c r="CE748" s="47">
        <f t="shared" si="2357"/>
        <v>-1000</v>
      </c>
      <c r="CF748" s="47">
        <f t="shared" si="2357"/>
        <v>-1000</v>
      </c>
      <c r="CG748" s="47">
        <f t="shared" si="2357"/>
        <v>-1000</v>
      </c>
      <c r="CH748" s="47">
        <f t="shared" si="2357"/>
        <v>-1000</v>
      </c>
      <c r="CI748" s="47">
        <f t="shared" si="2357"/>
        <v>-1000</v>
      </c>
      <c r="CJ748" s="47">
        <f t="shared" si="2357"/>
        <v>-1000</v>
      </c>
      <c r="CK748" s="47">
        <f t="shared" si="2357"/>
        <v>-1000</v>
      </c>
      <c r="CL748" s="47">
        <f t="shared" si="2357"/>
        <v>-1000</v>
      </c>
      <c r="CM748" s="47">
        <f t="shared" si="2357"/>
        <v>-1000</v>
      </c>
      <c r="CN748" s="47">
        <f t="shared" si="2357"/>
        <v>-1000</v>
      </c>
      <c r="CO748" s="47">
        <f t="shared" si="2357"/>
        <v>-1000</v>
      </c>
      <c r="CP748" s="47">
        <f t="shared" si="2357"/>
        <v>-1000</v>
      </c>
      <c r="CQ748" s="47">
        <f t="shared" si="2357"/>
        <v>-1000</v>
      </c>
      <c r="CR748" s="47"/>
      <c r="CS748" s="47"/>
      <c r="CT748" s="47"/>
      <c r="CU748" s="74"/>
      <c r="CV748" s="74"/>
      <c r="CW748" s="74" t="str">
        <f>IFERROR(__xludf.DUMMYFUNCTION("IF(REGEXMATCH(UPPER(CU748), ""DALLAS""),,CU748)"),"")</f>
        <v/>
      </c>
      <c r="CX748" s="74"/>
      <c r="CY748" s="74"/>
      <c r="CZ748" s="74"/>
      <c r="DA748" s="75"/>
      <c r="DB748" s="74"/>
      <c r="DC748" s="74"/>
      <c r="DD748" s="74"/>
      <c r="DE748" s="74"/>
      <c r="DF748" s="74"/>
      <c r="DG748" s="74"/>
      <c r="DH748" s="74"/>
      <c r="DI748" s="74"/>
      <c r="DJ748" s="74"/>
      <c r="DK748" s="74"/>
      <c r="DL748" s="74"/>
      <c r="DM748" s="74"/>
      <c r="DN748" s="74"/>
      <c r="DO748" s="74"/>
      <c r="DP748" s="74"/>
      <c r="DQ748" s="74"/>
      <c r="DR748" s="74"/>
      <c r="DS748" s="74"/>
      <c r="DT748" s="74"/>
      <c r="DU748" s="74"/>
      <c r="DV748" s="74"/>
      <c r="DW748" s="74"/>
    </row>
    <row r="749">
      <c r="A749" s="40" t="s">
        <v>55</v>
      </c>
      <c r="B749" s="41" t="s">
        <v>56</v>
      </c>
      <c r="C749" s="31" t="s">
        <v>94</v>
      </c>
      <c r="D749" s="25" t="str">
        <f>IFERROR(__xludf.DUMMYFUNCTION("SPLIT(C749,"" "")"),"Adams,")</f>
        <v>Adams,</v>
      </c>
      <c r="E749" s="40" t="str">
        <f>IFERROR(__xludf.DUMMYFUNCTION("""COMPUTED_VALUE"""),"John
4011")</f>
        <v>John
4011</v>
      </c>
      <c r="F749" s="40" t="str">
        <f>IFERROR(__xludf.DUMMYFUNCTION("""COMPUTED_VALUE"""),"Miramar")</f>
        <v>Miramar</v>
      </c>
      <c r="G749" s="40" t="str">
        <f>IFERROR(__xludf.DUMMYFUNCTION("""COMPUTED_VALUE"""),"Avenue
Dallas,")</f>
        <v>Avenue
Dallas,</v>
      </c>
      <c r="H749" s="40" t="str">
        <f>IFERROR(__xludf.DUMMYFUNCTION("""COMPUTED_VALUE"""),"TX")</f>
        <v>TX</v>
      </c>
      <c r="I749" s="40">
        <f>IFERROR(__xludf.DUMMYFUNCTION("""COMPUTED_VALUE"""),75205.0)</f>
        <v>75205</v>
      </c>
      <c r="J749" s="40"/>
      <c r="K749" s="40"/>
      <c r="L749" s="40"/>
      <c r="M749" s="40"/>
      <c r="N749" s="40"/>
      <c r="O749" s="40"/>
      <c r="P749" s="40"/>
      <c r="Q749" s="40"/>
      <c r="R749" s="40"/>
      <c r="S749" s="40"/>
      <c r="T749" s="40"/>
      <c r="U749" s="24" t="str">
        <f>IFERROR(__xludf.DUMMYFUNCTION("SPLIT(E749,""01234567890"")"),"John
")</f>
        <v>John
</v>
      </c>
      <c r="V749" s="24" t="str">
        <f>IFERROR(__xludf.DUMMYFUNCTION("SPLIT(D749,"","")"),"Adams")</f>
        <v>Adams</v>
      </c>
      <c r="W749" s="25" t="str">
        <f t="shared" si="1"/>
        <v>JOHN
 ADAMS</v>
      </c>
      <c r="X749" s="25" t="s">
        <v>95</v>
      </c>
      <c r="Y749" s="25">
        <v>75205.0</v>
      </c>
      <c r="Z749" s="25" t="str">
        <f>IFERROR(__xludf.DUMMYFUNCTION("SPLIT(C749,""
"")"),"Adams, John")</f>
        <v>Adams, John</v>
      </c>
      <c r="AA749" s="25" t="str">
        <f>IFERROR(__xludf.DUMMYFUNCTION("""COMPUTED_VALUE"""),"4011 Miramar Avenue")</f>
        <v>4011 Miramar Avenue</v>
      </c>
      <c r="AB749" s="25" t="str">
        <f>IFERROR(__xludf.DUMMYFUNCTION("""COMPUTED_VALUE"""),"Dallas, TX 75205")</f>
        <v>Dallas, TX 75205</v>
      </c>
      <c r="AC749" s="24" t="s">
        <v>96</v>
      </c>
      <c r="AD749" s="25"/>
      <c r="AE749" s="25"/>
      <c r="AF749" s="25"/>
      <c r="AG749" s="40" t="s">
        <v>60</v>
      </c>
      <c r="AH749" s="42">
        <v>2481.0</v>
      </c>
      <c r="AI749" s="40" t="s">
        <v>68</v>
      </c>
      <c r="AJ749" s="27">
        <v>2500.0</v>
      </c>
      <c r="AK749" s="31" t="s">
        <v>25</v>
      </c>
      <c r="AL749" s="43">
        <v>44824.0</v>
      </c>
      <c r="AM749" s="44">
        <v>44937.81995370371</v>
      </c>
      <c r="AN749" s="30">
        <v>2.0</v>
      </c>
      <c r="AO749" s="40"/>
      <c r="AP749" s="40"/>
      <c r="AQ749" s="40"/>
      <c r="AR749" s="40"/>
      <c r="AS749" s="40"/>
      <c r="AT749" s="47"/>
      <c r="AU749" s="40"/>
      <c r="AV749" s="46" t="str">
        <f>IFERROR(__xludf.DUMMYFUNCTION("""COMPUTED_VALUE"""),"Coats")</f>
        <v>Coats</v>
      </c>
      <c r="AW749" s="46">
        <f t="shared" si="7"/>
        <v>2250</v>
      </c>
      <c r="AX749" s="47">
        <f t="shared" ref="AX749:BQ749" si="2358">SUMIFS($AJ:$AJ,$V:$V,$AV749,$AK:$AK,AX$2)</f>
        <v>0</v>
      </c>
      <c r="AY749" s="48">
        <f t="shared" si="2358"/>
        <v>0</v>
      </c>
      <c r="AZ749" s="48">
        <f t="shared" si="2358"/>
        <v>0</v>
      </c>
      <c r="BA749" s="48">
        <f t="shared" si="2358"/>
        <v>1250</v>
      </c>
      <c r="BB749" s="48">
        <f t="shared" si="2358"/>
        <v>0</v>
      </c>
      <c r="BC749" s="48">
        <f t="shared" si="2358"/>
        <v>0</v>
      </c>
      <c r="BD749" s="48">
        <f t="shared" si="2358"/>
        <v>0</v>
      </c>
      <c r="BE749" s="48">
        <f t="shared" si="2358"/>
        <v>0</v>
      </c>
      <c r="BF749" s="48">
        <f t="shared" si="2358"/>
        <v>0</v>
      </c>
      <c r="BG749" s="48">
        <f t="shared" si="2358"/>
        <v>0</v>
      </c>
      <c r="BH749" s="48">
        <f t="shared" si="2358"/>
        <v>0</v>
      </c>
      <c r="BI749" s="48">
        <f t="shared" si="2358"/>
        <v>0</v>
      </c>
      <c r="BJ749" s="48">
        <f t="shared" si="2358"/>
        <v>0</v>
      </c>
      <c r="BK749" s="48">
        <f t="shared" si="2358"/>
        <v>0</v>
      </c>
      <c r="BL749" s="48">
        <f t="shared" si="2358"/>
        <v>0</v>
      </c>
      <c r="BM749" s="48">
        <f t="shared" si="2358"/>
        <v>0</v>
      </c>
      <c r="BN749" s="48">
        <f t="shared" si="2358"/>
        <v>0</v>
      </c>
      <c r="BO749" s="48">
        <f t="shared" si="2358"/>
        <v>0</v>
      </c>
      <c r="BP749" s="48">
        <f t="shared" si="2358"/>
        <v>1000</v>
      </c>
      <c r="BQ749" s="48">
        <f t="shared" si="2358"/>
        <v>0</v>
      </c>
      <c r="BR749" s="36">
        <f t="shared" si="9"/>
        <v>1</v>
      </c>
      <c r="BS749" s="38">
        <f t="shared" si="10"/>
        <v>3</v>
      </c>
      <c r="BT749" s="49">
        <f t="shared" si="11"/>
        <v>0</v>
      </c>
      <c r="BU749" s="38">
        <f t="shared" si="12"/>
        <v>3000</v>
      </c>
      <c r="BV749" s="46" t="str">
        <f>IFERROR(__xludf.DUMMYFUNCTION("""COMPUTED_VALUE"""),"Coats")</f>
        <v>Coats</v>
      </c>
      <c r="BW749" s="46">
        <f t="shared" si="13"/>
        <v>2250</v>
      </c>
      <c r="BX749" s="47">
        <f t="shared" ref="BX749:CA749" si="2359">AX749-$BU749</f>
        <v>-3000</v>
      </c>
      <c r="BY749" s="47">
        <f t="shared" si="2359"/>
        <v>-3000</v>
      </c>
      <c r="BZ749" s="47">
        <f t="shared" si="2359"/>
        <v>-3000</v>
      </c>
      <c r="CA749" s="47">
        <f t="shared" si="2359"/>
        <v>-1750</v>
      </c>
      <c r="CB749" s="47">
        <f t="shared" si="15"/>
        <v>-30000</v>
      </c>
      <c r="CC749" s="47">
        <f t="shared" ref="CC749:CQ749" si="2360">BC749-$BU749</f>
        <v>-3000</v>
      </c>
      <c r="CD749" s="47">
        <f t="shared" si="2360"/>
        <v>-3000</v>
      </c>
      <c r="CE749" s="47">
        <f t="shared" si="2360"/>
        <v>-3000</v>
      </c>
      <c r="CF749" s="47">
        <f t="shared" si="2360"/>
        <v>-3000</v>
      </c>
      <c r="CG749" s="47">
        <f t="shared" si="2360"/>
        <v>-3000</v>
      </c>
      <c r="CH749" s="47">
        <f t="shared" si="2360"/>
        <v>-3000</v>
      </c>
      <c r="CI749" s="47">
        <f t="shared" si="2360"/>
        <v>-3000</v>
      </c>
      <c r="CJ749" s="47">
        <f t="shared" si="2360"/>
        <v>-3000</v>
      </c>
      <c r="CK749" s="47">
        <f t="shared" si="2360"/>
        <v>-3000</v>
      </c>
      <c r="CL749" s="47">
        <f t="shared" si="2360"/>
        <v>-3000</v>
      </c>
      <c r="CM749" s="47">
        <f t="shared" si="2360"/>
        <v>-3000</v>
      </c>
      <c r="CN749" s="47">
        <f t="shared" si="2360"/>
        <v>-3000</v>
      </c>
      <c r="CO749" s="47">
        <f t="shared" si="2360"/>
        <v>-3000</v>
      </c>
      <c r="CP749" s="47">
        <f t="shared" si="2360"/>
        <v>-2000</v>
      </c>
      <c r="CQ749" s="47">
        <f t="shared" si="2360"/>
        <v>-3000</v>
      </c>
      <c r="CR749" s="47"/>
      <c r="CS749" s="47"/>
      <c r="CT749" s="47"/>
      <c r="CU749" s="74"/>
      <c r="CV749" s="74"/>
      <c r="CW749" s="74" t="str">
        <f>IFERROR(__xludf.DUMMYFUNCTION("IF(REGEXMATCH(UPPER(CU749), ""DALLAS""),,CU749)"),"")</f>
        <v/>
      </c>
      <c r="CX749" s="74"/>
      <c r="CY749" s="74"/>
      <c r="CZ749" s="74"/>
      <c r="DA749" s="75"/>
      <c r="DB749" s="74"/>
      <c r="DC749" s="74"/>
      <c r="DD749" s="74"/>
      <c r="DE749" s="74"/>
      <c r="DF749" s="74"/>
      <c r="DG749" s="74"/>
      <c r="DH749" s="74"/>
      <c r="DI749" s="74"/>
      <c r="DJ749" s="74"/>
      <c r="DK749" s="74"/>
      <c r="DL749" s="74"/>
      <c r="DM749" s="74"/>
      <c r="DN749" s="74"/>
      <c r="DO749" s="74"/>
      <c r="DP749" s="74"/>
      <c r="DQ749" s="74"/>
      <c r="DR749" s="74"/>
      <c r="DS749" s="74"/>
      <c r="DT749" s="74"/>
      <c r="DU749" s="74"/>
      <c r="DV749" s="74"/>
      <c r="DW749" s="74"/>
    </row>
    <row r="750">
      <c r="A750" s="22" t="s">
        <v>55</v>
      </c>
      <c r="B750" s="23" t="s">
        <v>56</v>
      </c>
      <c r="C750" s="31" t="s">
        <v>319</v>
      </c>
      <c r="D750" s="25" t="str">
        <f>IFERROR(__xludf.DUMMYFUNCTION("SPLIT(C750,"" "")"),"Barnett,")</f>
        <v>Barnett,</v>
      </c>
      <c r="E750" s="22" t="str">
        <f>IFERROR(__xludf.DUMMYFUNCTION("""COMPUTED_VALUE"""),"Billy")</f>
        <v>Billy</v>
      </c>
      <c r="F750" s="22" t="str">
        <f>IFERROR(__xludf.DUMMYFUNCTION("""COMPUTED_VALUE"""),"Bob
310")</f>
        <v>Bob
310</v>
      </c>
      <c r="G750" s="22" t="str">
        <f>IFERROR(__xludf.DUMMYFUNCTION("""COMPUTED_VALUE"""),"Calvary")</f>
        <v>Calvary</v>
      </c>
      <c r="H750" s="22" t="str">
        <f>IFERROR(__xludf.DUMMYFUNCTION("""COMPUTED_VALUE"""),"Dr
Euless,")</f>
        <v>Dr
Euless,</v>
      </c>
      <c r="I750" s="22" t="str">
        <f>IFERROR(__xludf.DUMMYFUNCTION("""COMPUTED_VALUE"""),"TX")</f>
        <v>TX</v>
      </c>
      <c r="J750" s="22">
        <f>IFERROR(__xludf.DUMMYFUNCTION("""COMPUTED_VALUE"""),76040.0)</f>
        <v>76040</v>
      </c>
      <c r="K750" s="22"/>
      <c r="L750" s="22"/>
      <c r="M750" s="22"/>
      <c r="N750" s="22"/>
      <c r="O750" s="22"/>
      <c r="P750" s="22"/>
      <c r="Q750" s="22"/>
      <c r="R750" s="22"/>
      <c r="S750" s="22"/>
      <c r="T750" s="22"/>
      <c r="U750" s="24" t="str">
        <f>IFERROR(__xludf.DUMMYFUNCTION("SPLIT(E750,""01234567890"")"),"Billy")</f>
        <v>Billy</v>
      </c>
      <c r="V750" s="24" t="str">
        <f>IFERROR(__xludf.DUMMYFUNCTION("SPLIT(D750,"","")"),"Barnett")</f>
        <v>Barnett</v>
      </c>
      <c r="W750" s="25" t="str">
        <f t="shared" si="1"/>
        <v>BILLY BARNETT</v>
      </c>
      <c r="X750" s="25" t="s">
        <v>320</v>
      </c>
      <c r="Y750" s="25">
        <v>76040.0</v>
      </c>
      <c r="Z750" s="25" t="str">
        <f>IFERROR(__xludf.DUMMYFUNCTION("SPLIT(C750,""
"")"),"Barnett, Billy Bob")</f>
        <v>Barnett, Billy Bob</v>
      </c>
      <c r="AA750" s="25" t="str">
        <f>IFERROR(__xludf.DUMMYFUNCTION("""COMPUTED_VALUE"""),"310 Calvary Dr")</f>
        <v>310 Calvary Dr</v>
      </c>
      <c r="AB750" s="25" t="str">
        <f>IFERROR(__xludf.DUMMYFUNCTION("""COMPUTED_VALUE"""),"Euless, TX 76040")</f>
        <v>Euless, TX 76040</v>
      </c>
      <c r="AC750" s="24" t="s">
        <v>321</v>
      </c>
      <c r="AD750" s="25"/>
      <c r="AE750" s="25"/>
      <c r="AF750" s="25"/>
      <c r="AG750" s="22" t="s">
        <v>60</v>
      </c>
      <c r="AH750" s="54">
        <v>2481.0</v>
      </c>
      <c r="AI750" s="22" t="s">
        <v>68</v>
      </c>
      <c r="AJ750" s="27">
        <v>2500.0</v>
      </c>
      <c r="AK750" s="31" t="s">
        <v>25</v>
      </c>
      <c r="AL750" s="28">
        <v>44841.0</v>
      </c>
      <c r="AM750" s="29">
        <v>44937.81995370371</v>
      </c>
      <c r="AN750" s="30">
        <v>2.0</v>
      </c>
      <c r="AO750" s="22"/>
      <c r="AP750" s="22"/>
      <c r="AQ750" s="22"/>
      <c r="AR750" s="22"/>
      <c r="AS750" s="22"/>
      <c r="AT750" s="70"/>
      <c r="AU750" s="22"/>
      <c r="AV750" s="57" t="str">
        <f>IFERROR(__xludf.DUMMYFUNCTION("""COMPUTED_VALUE"""),"See")</f>
        <v>See</v>
      </c>
      <c r="AW750" s="46">
        <f t="shared" si="7"/>
        <v>1000</v>
      </c>
      <c r="AX750" s="47">
        <f t="shared" ref="AX750:BQ750" si="2361">SUMIFS($AJ:$AJ,$V:$V,$AV750,$AK:$AK,AX$2)</f>
        <v>0</v>
      </c>
      <c r="AY750" s="48">
        <f t="shared" si="2361"/>
        <v>0</v>
      </c>
      <c r="AZ750" s="48">
        <f t="shared" si="2361"/>
        <v>0</v>
      </c>
      <c r="BA750" s="48">
        <f t="shared" si="2361"/>
        <v>1000</v>
      </c>
      <c r="BB750" s="48">
        <f t="shared" si="2361"/>
        <v>0</v>
      </c>
      <c r="BC750" s="48">
        <f t="shared" si="2361"/>
        <v>0</v>
      </c>
      <c r="BD750" s="48">
        <f t="shared" si="2361"/>
        <v>0</v>
      </c>
      <c r="BE750" s="48">
        <f t="shared" si="2361"/>
        <v>0</v>
      </c>
      <c r="BF750" s="48">
        <f t="shared" si="2361"/>
        <v>0</v>
      </c>
      <c r="BG750" s="48">
        <f t="shared" si="2361"/>
        <v>0</v>
      </c>
      <c r="BH750" s="48">
        <f t="shared" si="2361"/>
        <v>0</v>
      </c>
      <c r="BI750" s="48">
        <f t="shared" si="2361"/>
        <v>0</v>
      </c>
      <c r="BJ750" s="48">
        <f t="shared" si="2361"/>
        <v>0</v>
      </c>
      <c r="BK750" s="48">
        <f t="shared" si="2361"/>
        <v>0</v>
      </c>
      <c r="BL750" s="48">
        <f t="shared" si="2361"/>
        <v>0</v>
      </c>
      <c r="BM750" s="48">
        <f t="shared" si="2361"/>
        <v>0</v>
      </c>
      <c r="BN750" s="48">
        <f t="shared" si="2361"/>
        <v>0</v>
      </c>
      <c r="BO750" s="48">
        <f t="shared" si="2361"/>
        <v>0</v>
      </c>
      <c r="BP750" s="48">
        <f t="shared" si="2361"/>
        <v>0</v>
      </c>
      <c r="BQ750" s="48">
        <f t="shared" si="2361"/>
        <v>0</v>
      </c>
      <c r="BR750" s="36">
        <f t="shared" si="9"/>
        <v>0</v>
      </c>
      <c r="BS750" s="38">
        <f t="shared" si="10"/>
        <v>1</v>
      </c>
      <c r="BT750" s="49">
        <f t="shared" si="11"/>
        <v>0</v>
      </c>
      <c r="BU750" s="38">
        <f t="shared" si="12"/>
        <v>1000</v>
      </c>
      <c r="BV750" s="57" t="str">
        <f>IFERROR(__xludf.DUMMYFUNCTION("""COMPUTED_VALUE"""),"See")</f>
        <v>See</v>
      </c>
      <c r="BW750" s="46">
        <f t="shared" si="13"/>
        <v>1000</v>
      </c>
      <c r="BX750" s="47">
        <f t="shared" ref="BX750:CA750" si="2362">AX750-$BU750</f>
        <v>-1000</v>
      </c>
      <c r="BY750" s="47">
        <f t="shared" si="2362"/>
        <v>-1000</v>
      </c>
      <c r="BZ750" s="47">
        <f t="shared" si="2362"/>
        <v>-1000</v>
      </c>
      <c r="CA750" s="47">
        <f t="shared" si="2362"/>
        <v>0</v>
      </c>
      <c r="CB750" s="47">
        <f t="shared" si="15"/>
        <v>-10000</v>
      </c>
      <c r="CC750" s="47">
        <f t="shared" ref="CC750:CQ750" si="2363">BC750-$BU750</f>
        <v>-1000</v>
      </c>
      <c r="CD750" s="47">
        <f t="shared" si="2363"/>
        <v>-1000</v>
      </c>
      <c r="CE750" s="47">
        <f t="shared" si="2363"/>
        <v>-1000</v>
      </c>
      <c r="CF750" s="47">
        <f t="shared" si="2363"/>
        <v>-1000</v>
      </c>
      <c r="CG750" s="47">
        <f t="shared" si="2363"/>
        <v>-1000</v>
      </c>
      <c r="CH750" s="47">
        <f t="shared" si="2363"/>
        <v>-1000</v>
      </c>
      <c r="CI750" s="47">
        <f t="shared" si="2363"/>
        <v>-1000</v>
      </c>
      <c r="CJ750" s="47">
        <f t="shared" si="2363"/>
        <v>-1000</v>
      </c>
      <c r="CK750" s="47">
        <f t="shared" si="2363"/>
        <v>-1000</v>
      </c>
      <c r="CL750" s="47">
        <f t="shared" si="2363"/>
        <v>-1000</v>
      </c>
      <c r="CM750" s="47">
        <f t="shared" si="2363"/>
        <v>-1000</v>
      </c>
      <c r="CN750" s="47">
        <f t="shared" si="2363"/>
        <v>-1000</v>
      </c>
      <c r="CO750" s="47">
        <f t="shared" si="2363"/>
        <v>-1000</v>
      </c>
      <c r="CP750" s="47">
        <f t="shared" si="2363"/>
        <v>-1000</v>
      </c>
      <c r="CQ750" s="47">
        <f t="shared" si="2363"/>
        <v>-1000</v>
      </c>
      <c r="CR750" s="47"/>
      <c r="CS750" s="47"/>
      <c r="CT750" s="47"/>
      <c r="CU750" s="74"/>
      <c r="CV750" s="74"/>
      <c r="CW750" s="74" t="str">
        <f>IFERROR(__xludf.DUMMYFUNCTION("IF(REGEXMATCH(UPPER(CU750), ""DALLAS""),,CU750)"),"")</f>
        <v/>
      </c>
      <c r="CX750" s="74"/>
      <c r="CY750" s="74"/>
      <c r="CZ750" s="74"/>
      <c r="DA750" s="75"/>
      <c r="DB750" s="74"/>
      <c r="DC750" s="74"/>
      <c r="DD750" s="74"/>
      <c r="DE750" s="74"/>
      <c r="DF750" s="74"/>
      <c r="DG750" s="74"/>
      <c r="DH750" s="74"/>
      <c r="DI750" s="74"/>
      <c r="DJ750" s="74"/>
      <c r="DK750" s="74"/>
      <c r="DL750" s="74"/>
      <c r="DM750" s="74"/>
      <c r="DN750" s="74"/>
      <c r="DO750" s="74"/>
      <c r="DP750" s="74"/>
      <c r="DQ750" s="74"/>
      <c r="DR750" s="74"/>
      <c r="DS750" s="74"/>
      <c r="DT750" s="74"/>
      <c r="DU750" s="74"/>
      <c r="DV750" s="74"/>
      <c r="DW750" s="74"/>
    </row>
    <row r="751">
      <c r="A751" s="40" t="s">
        <v>55</v>
      </c>
      <c r="B751" s="41" t="s">
        <v>56</v>
      </c>
      <c r="C751" s="31" t="s">
        <v>1964</v>
      </c>
      <c r="D751" s="25" t="str">
        <f>IFERROR(__xludf.DUMMYFUNCTION("SPLIT(C751,"" "")"),"Cook,")</f>
        <v>Cook,</v>
      </c>
      <c r="E751" s="40" t="str">
        <f>IFERROR(__xludf.DUMMYFUNCTION("""COMPUTED_VALUE"""),"Robby
PO")</f>
        <v>Robby
PO</v>
      </c>
      <c r="F751" s="40" t="str">
        <f>IFERROR(__xludf.DUMMYFUNCTION("""COMPUTED_VALUE"""),"Box")</f>
        <v>Box</v>
      </c>
      <c r="G751" s="40" t="str">
        <f>IFERROR(__xludf.DUMMYFUNCTION("""COMPUTED_VALUE"""),"716
Eagle")</f>
        <v>716
Eagle</v>
      </c>
      <c r="H751" s="40" t="str">
        <f>IFERROR(__xludf.DUMMYFUNCTION("""COMPUTED_VALUE"""),"Lake,")</f>
        <v>Lake,</v>
      </c>
      <c r="I751" s="40" t="str">
        <f>IFERROR(__xludf.DUMMYFUNCTION("""COMPUTED_VALUE"""),"TX")</f>
        <v>TX</v>
      </c>
      <c r="J751" s="40">
        <f>IFERROR(__xludf.DUMMYFUNCTION("""COMPUTED_VALUE"""),77434.0)</f>
        <v>77434</v>
      </c>
      <c r="K751" s="40"/>
      <c r="L751" s="40"/>
      <c r="M751" s="40"/>
      <c r="N751" s="40"/>
      <c r="O751" s="40"/>
      <c r="P751" s="40"/>
      <c r="Q751" s="40"/>
      <c r="R751" s="40"/>
      <c r="S751" s="40"/>
      <c r="T751" s="40"/>
      <c r="U751" s="24" t="str">
        <f>IFERROR(__xludf.DUMMYFUNCTION("SPLIT(E751,""01234567890"")"),"Robby
PO")</f>
        <v>Robby
PO</v>
      </c>
      <c r="V751" s="24" t="str">
        <f>IFERROR(__xludf.DUMMYFUNCTION("SPLIT(D751,"","")"),"Cook")</f>
        <v>Cook</v>
      </c>
      <c r="W751" s="25" t="str">
        <f t="shared" si="1"/>
        <v>ROBBY
PO COOK</v>
      </c>
      <c r="X751" s="25" t="s">
        <v>1965</v>
      </c>
      <c r="Y751" s="25">
        <v>77434.0</v>
      </c>
      <c r="Z751" s="25" t="str">
        <f>IFERROR(__xludf.DUMMYFUNCTION("SPLIT(C751,""
"")"),"Cook, Robby")</f>
        <v>Cook, Robby</v>
      </c>
      <c r="AA751" s="25" t="str">
        <f>IFERROR(__xludf.DUMMYFUNCTION("""COMPUTED_VALUE"""),"PO Box 716")</f>
        <v>PO Box 716</v>
      </c>
      <c r="AB751" s="25" t="str">
        <f>IFERROR(__xludf.DUMMYFUNCTION("""COMPUTED_VALUE"""),"Eagle Lake, TX 77434")</f>
        <v>Eagle Lake, TX 77434</v>
      </c>
      <c r="AC751" s="24" t="s">
        <v>1966</v>
      </c>
      <c r="AD751" s="25"/>
      <c r="AE751" s="25"/>
      <c r="AF751" s="25"/>
      <c r="AG751" s="40" t="s">
        <v>60</v>
      </c>
      <c r="AH751" s="42">
        <v>2481.0</v>
      </c>
      <c r="AI751" s="40" t="s">
        <v>68</v>
      </c>
      <c r="AJ751" s="27">
        <v>500.0</v>
      </c>
      <c r="AK751" s="31" t="s">
        <v>25</v>
      </c>
      <c r="AL751" s="43">
        <v>44851.0</v>
      </c>
      <c r="AM751" s="44">
        <v>44937.81995370371</v>
      </c>
      <c r="AN751" s="30">
        <v>2.0</v>
      </c>
      <c r="AO751" s="40"/>
      <c r="AP751" s="40"/>
      <c r="AQ751" s="40"/>
      <c r="AR751" s="40"/>
      <c r="AS751" s="40"/>
      <c r="AT751" s="47"/>
      <c r="AU751" s="40"/>
      <c r="AV751" s="46" t="str">
        <f>IFERROR(__xludf.DUMMYFUNCTION("""COMPUTED_VALUE"""),"Dann")</f>
        <v>Dann</v>
      </c>
      <c r="AW751" s="46">
        <f t="shared" si="7"/>
        <v>50</v>
      </c>
      <c r="AX751" s="47">
        <f t="shared" ref="AX751:BQ751" si="2364">SUMIFS($AJ:$AJ,$V:$V,$AV751,$AK:$AK,AX$2)</f>
        <v>0</v>
      </c>
      <c r="AY751" s="48">
        <f t="shared" si="2364"/>
        <v>0</v>
      </c>
      <c r="AZ751" s="48">
        <f t="shared" si="2364"/>
        <v>0</v>
      </c>
      <c r="BA751" s="48">
        <f t="shared" si="2364"/>
        <v>50</v>
      </c>
      <c r="BB751" s="48">
        <f t="shared" si="2364"/>
        <v>0</v>
      </c>
      <c r="BC751" s="48">
        <f t="shared" si="2364"/>
        <v>0</v>
      </c>
      <c r="BD751" s="48">
        <f t="shared" si="2364"/>
        <v>0</v>
      </c>
      <c r="BE751" s="48">
        <f t="shared" si="2364"/>
        <v>0</v>
      </c>
      <c r="BF751" s="48">
        <f t="shared" si="2364"/>
        <v>0</v>
      </c>
      <c r="BG751" s="48">
        <f t="shared" si="2364"/>
        <v>0</v>
      </c>
      <c r="BH751" s="48">
        <f t="shared" si="2364"/>
        <v>0</v>
      </c>
      <c r="BI751" s="48">
        <f t="shared" si="2364"/>
        <v>0</v>
      </c>
      <c r="BJ751" s="48">
        <f t="shared" si="2364"/>
        <v>0</v>
      </c>
      <c r="BK751" s="48">
        <f t="shared" si="2364"/>
        <v>0</v>
      </c>
      <c r="BL751" s="48">
        <f t="shared" si="2364"/>
        <v>0</v>
      </c>
      <c r="BM751" s="48">
        <f t="shared" si="2364"/>
        <v>0</v>
      </c>
      <c r="BN751" s="48">
        <f t="shared" si="2364"/>
        <v>0</v>
      </c>
      <c r="BO751" s="48">
        <f t="shared" si="2364"/>
        <v>0</v>
      </c>
      <c r="BP751" s="48">
        <f t="shared" si="2364"/>
        <v>0</v>
      </c>
      <c r="BQ751" s="48">
        <f t="shared" si="2364"/>
        <v>0</v>
      </c>
      <c r="BR751" s="36">
        <f t="shared" si="9"/>
        <v>0</v>
      </c>
      <c r="BS751" s="38">
        <f t="shared" si="10"/>
        <v>1</v>
      </c>
      <c r="BT751" s="49">
        <f t="shared" si="11"/>
        <v>0</v>
      </c>
      <c r="BU751" s="38">
        <f t="shared" si="12"/>
        <v>1000</v>
      </c>
      <c r="BV751" s="46" t="str">
        <f>IFERROR(__xludf.DUMMYFUNCTION("""COMPUTED_VALUE"""),"Dann")</f>
        <v>Dann</v>
      </c>
      <c r="BW751" s="46">
        <f t="shared" si="13"/>
        <v>50</v>
      </c>
      <c r="BX751" s="47">
        <f t="shared" ref="BX751:CA751" si="2365">AX751-$BU751</f>
        <v>-1000</v>
      </c>
      <c r="BY751" s="47">
        <f t="shared" si="2365"/>
        <v>-1000</v>
      </c>
      <c r="BZ751" s="47">
        <f t="shared" si="2365"/>
        <v>-1000</v>
      </c>
      <c r="CA751" s="47">
        <f t="shared" si="2365"/>
        <v>-950</v>
      </c>
      <c r="CB751" s="47">
        <f t="shared" si="15"/>
        <v>-10000</v>
      </c>
      <c r="CC751" s="47">
        <f t="shared" ref="CC751:CQ751" si="2366">BC751-$BU751</f>
        <v>-1000</v>
      </c>
      <c r="CD751" s="47">
        <f t="shared" si="2366"/>
        <v>-1000</v>
      </c>
      <c r="CE751" s="47">
        <f t="shared" si="2366"/>
        <v>-1000</v>
      </c>
      <c r="CF751" s="47">
        <f t="shared" si="2366"/>
        <v>-1000</v>
      </c>
      <c r="CG751" s="47">
        <f t="shared" si="2366"/>
        <v>-1000</v>
      </c>
      <c r="CH751" s="47">
        <f t="shared" si="2366"/>
        <v>-1000</v>
      </c>
      <c r="CI751" s="47">
        <f t="shared" si="2366"/>
        <v>-1000</v>
      </c>
      <c r="CJ751" s="47">
        <f t="shared" si="2366"/>
        <v>-1000</v>
      </c>
      <c r="CK751" s="47">
        <f t="shared" si="2366"/>
        <v>-1000</v>
      </c>
      <c r="CL751" s="47">
        <f t="shared" si="2366"/>
        <v>-1000</v>
      </c>
      <c r="CM751" s="47">
        <f t="shared" si="2366"/>
        <v>-1000</v>
      </c>
      <c r="CN751" s="47">
        <f t="shared" si="2366"/>
        <v>-1000</v>
      </c>
      <c r="CO751" s="47">
        <f t="shared" si="2366"/>
        <v>-1000</v>
      </c>
      <c r="CP751" s="47">
        <f t="shared" si="2366"/>
        <v>-1000</v>
      </c>
      <c r="CQ751" s="47">
        <f t="shared" si="2366"/>
        <v>-1000</v>
      </c>
      <c r="CR751" s="47"/>
      <c r="CS751" s="47"/>
      <c r="CT751" s="47"/>
      <c r="CU751" s="74"/>
      <c r="CV751" s="74"/>
      <c r="CW751" s="74" t="str">
        <f>IFERROR(__xludf.DUMMYFUNCTION("IF(REGEXMATCH(UPPER(CU751), ""DALLAS""),,CU751)"),"")</f>
        <v/>
      </c>
      <c r="CX751" s="74"/>
      <c r="CY751" s="74"/>
      <c r="CZ751" s="74"/>
      <c r="DA751" s="75"/>
      <c r="DB751" s="74"/>
      <c r="DC751" s="74"/>
      <c r="DD751" s="74"/>
      <c r="DE751" s="74"/>
      <c r="DF751" s="74"/>
      <c r="DG751" s="74"/>
      <c r="DH751" s="74"/>
      <c r="DI751" s="74"/>
      <c r="DJ751" s="74"/>
      <c r="DK751" s="74"/>
      <c r="DL751" s="74"/>
      <c r="DM751" s="74"/>
      <c r="DN751" s="74"/>
      <c r="DO751" s="74"/>
      <c r="DP751" s="74"/>
      <c r="DQ751" s="74"/>
      <c r="DR751" s="74"/>
      <c r="DS751" s="74"/>
      <c r="DT751" s="74"/>
      <c r="DU751" s="74"/>
      <c r="DV751" s="74"/>
      <c r="DW751" s="74"/>
    </row>
    <row r="752">
      <c r="A752" s="22" t="s">
        <v>55</v>
      </c>
      <c r="B752" s="23" t="s">
        <v>56</v>
      </c>
      <c r="C752" s="31" t="s">
        <v>767</v>
      </c>
      <c r="D752" s="25" t="str">
        <f>IFERROR(__xludf.DUMMYFUNCTION("SPLIT(C752,"" "")"),"Glendenning,")</f>
        <v>Glendenning,</v>
      </c>
      <c r="E752" s="22" t="str">
        <f>IFERROR(__xludf.DUMMYFUNCTION("""COMPUTED_VALUE"""),"Don
2200")</f>
        <v>Don
2200</v>
      </c>
      <c r="F752" s="22" t="str">
        <f>IFERROR(__xludf.DUMMYFUNCTION("""COMPUTED_VALUE"""),"Ross")</f>
        <v>Ross</v>
      </c>
      <c r="G752" s="22" t="str">
        <f>IFERROR(__xludf.DUMMYFUNCTION("""COMPUTED_VALUE"""),"Ave
Dallas,")</f>
        <v>Ave
Dallas,</v>
      </c>
      <c r="H752" s="22" t="str">
        <f>IFERROR(__xludf.DUMMYFUNCTION("""COMPUTED_VALUE"""),"TX")</f>
        <v>TX</v>
      </c>
      <c r="I752" s="22">
        <f>IFERROR(__xludf.DUMMYFUNCTION("""COMPUTED_VALUE"""),75201.0)</f>
        <v>75201</v>
      </c>
      <c r="J752" s="22"/>
      <c r="K752" s="22"/>
      <c r="L752" s="22"/>
      <c r="M752" s="22"/>
      <c r="N752" s="22"/>
      <c r="O752" s="22"/>
      <c r="P752" s="22"/>
      <c r="Q752" s="22"/>
      <c r="R752" s="22"/>
      <c r="S752" s="22"/>
      <c r="T752" s="22"/>
      <c r="U752" s="24" t="str">
        <f>IFERROR(__xludf.DUMMYFUNCTION("SPLIT(E752,""01234567890"")"),"Don
")</f>
        <v>Don
</v>
      </c>
      <c r="V752" s="24" t="str">
        <f>IFERROR(__xludf.DUMMYFUNCTION("SPLIT(D752,"","")"),"Glendenning")</f>
        <v>Glendenning</v>
      </c>
      <c r="W752" s="25" t="str">
        <f t="shared" si="1"/>
        <v>DON
 GLENDENNING</v>
      </c>
      <c r="X752" s="25" t="s">
        <v>768</v>
      </c>
      <c r="Y752" s="25">
        <v>75201.0</v>
      </c>
      <c r="Z752" s="25" t="str">
        <f>IFERROR(__xludf.DUMMYFUNCTION("SPLIT(C752,""
"")"),"Glendenning, Don")</f>
        <v>Glendenning, Don</v>
      </c>
      <c r="AA752" s="25" t="str">
        <f>IFERROR(__xludf.DUMMYFUNCTION("""COMPUTED_VALUE"""),"2200 Ross Ave")</f>
        <v>2200 Ross Ave</v>
      </c>
      <c r="AB752" s="25" t="str">
        <f>IFERROR(__xludf.DUMMYFUNCTION("""COMPUTED_VALUE"""),"Dallas, TX 75201")</f>
        <v>Dallas, TX 75201</v>
      </c>
      <c r="AC752" s="24" t="s">
        <v>769</v>
      </c>
      <c r="AD752" s="25"/>
      <c r="AE752" s="25"/>
      <c r="AF752" s="25"/>
      <c r="AG752" s="22" t="s">
        <v>60</v>
      </c>
      <c r="AH752" s="54">
        <v>2481.0</v>
      </c>
      <c r="AI752" s="22" t="s">
        <v>68</v>
      </c>
      <c r="AJ752" s="27">
        <v>2500.0</v>
      </c>
      <c r="AK752" s="31" t="s">
        <v>25</v>
      </c>
      <c r="AL752" s="28">
        <v>44841.0</v>
      </c>
      <c r="AM752" s="29">
        <v>44937.81995370371</v>
      </c>
      <c r="AN752" s="30">
        <v>2.0</v>
      </c>
      <c r="AO752" s="22"/>
      <c r="AP752" s="22"/>
      <c r="AQ752" s="22"/>
      <c r="AR752" s="22"/>
      <c r="AS752" s="22"/>
      <c r="AT752" s="70"/>
      <c r="AU752" s="22"/>
      <c r="AV752" s="57" t="str">
        <f>IFERROR(__xludf.DUMMYFUNCTION("""COMPUTED_VALUE"""),"Forsythe")</f>
        <v>Forsythe</v>
      </c>
      <c r="AW752" s="46">
        <f t="shared" si="7"/>
        <v>300</v>
      </c>
      <c r="AX752" s="47">
        <f t="shared" ref="AX752:BQ752" si="2367">SUMIFS($AJ:$AJ,$V:$V,$AV752,$AK:$AK,AX$2)</f>
        <v>100</v>
      </c>
      <c r="AY752" s="48">
        <f t="shared" si="2367"/>
        <v>0</v>
      </c>
      <c r="AZ752" s="48">
        <f t="shared" si="2367"/>
        <v>0</v>
      </c>
      <c r="BA752" s="48">
        <f t="shared" si="2367"/>
        <v>200</v>
      </c>
      <c r="BB752" s="48">
        <f t="shared" si="2367"/>
        <v>0</v>
      </c>
      <c r="BC752" s="48">
        <f t="shared" si="2367"/>
        <v>0</v>
      </c>
      <c r="BD752" s="48">
        <f t="shared" si="2367"/>
        <v>0</v>
      </c>
      <c r="BE752" s="48">
        <f t="shared" si="2367"/>
        <v>0</v>
      </c>
      <c r="BF752" s="48">
        <f t="shared" si="2367"/>
        <v>0</v>
      </c>
      <c r="BG752" s="48">
        <f t="shared" si="2367"/>
        <v>0</v>
      </c>
      <c r="BH752" s="48">
        <f t="shared" si="2367"/>
        <v>0</v>
      </c>
      <c r="BI752" s="48">
        <f t="shared" si="2367"/>
        <v>0</v>
      </c>
      <c r="BJ752" s="48">
        <f t="shared" si="2367"/>
        <v>0</v>
      </c>
      <c r="BK752" s="48">
        <f t="shared" si="2367"/>
        <v>0</v>
      </c>
      <c r="BL752" s="48">
        <f t="shared" si="2367"/>
        <v>0</v>
      </c>
      <c r="BM752" s="48">
        <f t="shared" si="2367"/>
        <v>0</v>
      </c>
      <c r="BN752" s="48">
        <f t="shared" si="2367"/>
        <v>0</v>
      </c>
      <c r="BO752" s="48">
        <f t="shared" si="2367"/>
        <v>0</v>
      </c>
      <c r="BP752" s="48">
        <f t="shared" si="2367"/>
        <v>0</v>
      </c>
      <c r="BQ752" s="48">
        <f t="shared" si="2367"/>
        <v>0</v>
      </c>
      <c r="BR752" s="36">
        <f t="shared" si="9"/>
        <v>0</v>
      </c>
      <c r="BS752" s="38">
        <f t="shared" si="10"/>
        <v>1</v>
      </c>
      <c r="BT752" s="49">
        <f t="shared" si="11"/>
        <v>0</v>
      </c>
      <c r="BU752" s="38">
        <f t="shared" si="12"/>
        <v>1000</v>
      </c>
      <c r="BV752" s="57" t="str">
        <f>IFERROR(__xludf.DUMMYFUNCTION("""COMPUTED_VALUE"""),"Forsythe")</f>
        <v>Forsythe</v>
      </c>
      <c r="BW752" s="46">
        <f t="shared" si="13"/>
        <v>300</v>
      </c>
      <c r="BX752" s="47">
        <f t="shared" ref="BX752:CA752" si="2368">AX752-$BU752</f>
        <v>-900</v>
      </c>
      <c r="BY752" s="47">
        <f t="shared" si="2368"/>
        <v>-1000</v>
      </c>
      <c r="BZ752" s="47">
        <f t="shared" si="2368"/>
        <v>-1000</v>
      </c>
      <c r="CA752" s="47">
        <f t="shared" si="2368"/>
        <v>-800</v>
      </c>
      <c r="CB752" s="47">
        <f t="shared" si="15"/>
        <v>-10000</v>
      </c>
      <c r="CC752" s="47">
        <f t="shared" ref="CC752:CQ752" si="2369">BC752-$BU752</f>
        <v>-1000</v>
      </c>
      <c r="CD752" s="47">
        <f t="shared" si="2369"/>
        <v>-1000</v>
      </c>
      <c r="CE752" s="47">
        <f t="shared" si="2369"/>
        <v>-1000</v>
      </c>
      <c r="CF752" s="47">
        <f t="shared" si="2369"/>
        <v>-1000</v>
      </c>
      <c r="CG752" s="47">
        <f t="shared" si="2369"/>
        <v>-1000</v>
      </c>
      <c r="CH752" s="47">
        <f t="shared" si="2369"/>
        <v>-1000</v>
      </c>
      <c r="CI752" s="47">
        <f t="shared" si="2369"/>
        <v>-1000</v>
      </c>
      <c r="CJ752" s="47">
        <f t="shared" si="2369"/>
        <v>-1000</v>
      </c>
      <c r="CK752" s="47">
        <f t="shared" si="2369"/>
        <v>-1000</v>
      </c>
      <c r="CL752" s="47">
        <f t="shared" si="2369"/>
        <v>-1000</v>
      </c>
      <c r="CM752" s="47">
        <f t="shared" si="2369"/>
        <v>-1000</v>
      </c>
      <c r="CN752" s="47">
        <f t="shared" si="2369"/>
        <v>-1000</v>
      </c>
      <c r="CO752" s="47">
        <f t="shared" si="2369"/>
        <v>-1000</v>
      </c>
      <c r="CP752" s="47">
        <f t="shared" si="2369"/>
        <v>-1000</v>
      </c>
      <c r="CQ752" s="47">
        <f t="shared" si="2369"/>
        <v>-1000</v>
      </c>
      <c r="CR752" s="47"/>
      <c r="CS752" s="47"/>
      <c r="CT752" s="47"/>
      <c r="CU752" s="74"/>
      <c r="CV752" s="74"/>
      <c r="CW752" s="74" t="str">
        <f>IFERROR(__xludf.DUMMYFUNCTION("IF(REGEXMATCH(UPPER(CU752), ""DALLAS""),,CU752)"),"")</f>
        <v/>
      </c>
      <c r="CX752" s="74"/>
      <c r="CY752" s="74"/>
      <c r="CZ752" s="74"/>
      <c r="DA752" s="75"/>
      <c r="DB752" s="74"/>
      <c r="DC752" s="74"/>
      <c r="DD752" s="74"/>
      <c r="DE752" s="74"/>
      <c r="DF752" s="74"/>
      <c r="DG752" s="74"/>
      <c r="DH752" s="74"/>
      <c r="DI752" s="74"/>
      <c r="DJ752" s="74"/>
      <c r="DK752" s="74"/>
      <c r="DL752" s="74"/>
      <c r="DM752" s="74"/>
      <c r="DN752" s="74"/>
      <c r="DO752" s="74"/>
      <c r="DP752" s="74"/>
      <c r="DQ752" s="74"/>
      <c r="DR752" s="74"/>
      <c r="DS752" s="74"/>
      <c r="DT752" s="74"/>
      <c r="DU752" s="74"/>
      <c r="DV752" s="74"/>
      <c r="DW752" s="74"/>
    </row>
    <row r="753">
      <c r="A753" s="40" t="s">
        <v>55</v>
      </c>
      <c r="B753" s="41" t="s">
        <v>56</v>
      </c>
      <c r="C753" s="31" t="s">
        <v>1967</v>
      </c>
      <c r="D753" s="25" t="str">
        <f>IFERROR(__xludf.DUMMYFUNCTION("SPLIT(C753,"" "")"),"McAtee,")</f>
        <v>McAtee,</v>
      </c>
      <c r="E753" s="40" t="str">
        <f>IFERROR(__xludf.DUMMYFUNCTION("""COMPUTED_VALUE"""),"David
6824")</f>
        <v>David
6824</v>
      </c>
      <c r="F753" s="40" t="str">
        <f>IFERROR(__xludf.DUMMYFUNCTION("""COMPUTED_VALUE"""),"Lupton")</f>
        <v>Lupton</v>
      </c>
      <c r="G753" s="40" t="str">
        <f>IFERROR(__xludf.DUMMYFUNCTION("""COMPUTED_VALUE"""),"Drive
Dallas,")</f>
        <v>Drive
Dallas,</v>
      </c>
      <c r="H753" s="40" t="str">
        <f>IFERROR(__xludf.DUMMYFUNCTION("""COMPUTED_VALUE"""),"TX")</f>
        <v>TX</v>
      </c>
      <c r="I753" s="40">
        <f>IFERROR(__xludf.DUMMYFUNCTION("""COMPUTED_VALUE"""),75225.0)</f>
        <v>75225</v>
      </c>
      <c r="J753" s="40"/>
      <c r="K753" s="40"/>
      <c r="L753" s="40"/>
      <c r="M753" s="40"/>
      <c r="N753" s="40"/>
      <c r="O753" s="40"/>
      <c r="P753" s="40"/>
      <c r="Q753" s="40"/>
      <c r="R753" s="40"/>
      <c r="S753" s="40"/>
      <c r="T753" s="40"/>
      <c r="U753" s="24" t="str">
        <f>IFERROR(__xludf.DUMMYFUNCTION("SPLIT(E753,""01234567890"")"),"David
")</f>
        <v>David
</v>
      </c>
      <c r="V753" s="24" t="str">
        <f>IFERROR(__xludf.DUMMYFUNCTION("SPLIT(D753,"","")"),"McAtee")</f>
        <v>McAtee</v>
      </c>
      <c r="W753" s="25" t="str">
        <f t="shared" si="1"/>
        <v>DAVID
 MCATEE</v>
      </c>
      <c r="X753" s="25" t="s">
        <v>1968</v>
      </c>
      <c r="Y753" s="25">
        <v>75225.0</v>
      </c>
      <c r="Z753" s="25" t="str">
        <f>IFERROR(__xludf.DUMMYFUNCTION("SPLIT(C753,""
"")"),"McAtee, David")</f>
        <v>McAtee, David</v>
      </c>
      <c r="AA753" s="25" t="str">
        <f>IFERROR(__xludf.DUMMYFUNCTION("""COMPUTED_VALUE"""),"6824 Lupton Drive")</f>
        <v>6824 Lupton Drive</v>
      </c>
      <c r="AB753" s="25" t="str">
        <f>IFERROR(__xludf.DUMMYFUNCTION("""COMPUTED_VALUE"""),"Dallas, TX 75225")</f>
        <v>Dallas, TX 75225</v>
      </c>
      <c r="AC753" s="24" t="s">
        <v>1969</v>
      </c>
      <c r="AD753" s="25"/>
      <c r="AE753" s="25"/>
      <c r="AF753" s="25"/>
      <c r="AG753" s="40" t="s">
        <v>60</v>
      </c>
      <c r="AH753" s="42">
        <v>2481.0</v>
      </c>
      <c r="AI753" s="40" t="s">
        <v>68</v>
      </c>
      <c r="AJ753" s="27">
        <v>5000.0</v>
      </c>
      <c r="AK753" s="31" t="s">
        <v>25</v>
      </c>
      <c r="AL753" s="43">
        <v>44851.0</v>
      </c>
      <c r="AM753" s="44">
        <v>44937.81995370371</v>
      </c>
      <c r="AN753" s="30">
        <v>2.0</v>
      </c>
      <c r="AO753" s="40"/>
      <c r="AP753" s="40"/>
      <c r="AQ753" s="40"/>
      <c r="AR753" s="40"/>
      <c r="AS753" s="40"/>
      <c r="AT753" s="47"/>
      <c r="AU753" s="40"/>
      <c r="AV753" s="46" t="str">
        <f>IFERROR(__xludf.DUMMYFUNCTION("""COMPUTED_VALUE"""),"Coyle")</f>
        <v>Coyle</v>
      </c>
      <c r="AW753" s="46">
        <f t="shared" si="7"/>
        <v>50</v>
      </c>
      <c r="AX753" s="47">
        <f t="shared" ref="AX753:BQ753" si="2370">SUMIFS($AJ:$AJ,$V:$V,$AV753,$AK:$AK,AX$2)</f>
        <v>0</v>
      </c>
      <c r="AY753" s="48">
        <f t="shared" si="2370"/>
        <v>0</v>
      </c>
      <c r="AZ753" s="48">
        <f t="shared" si="2370"/>
        <v>0</v>
      </c>
      <c r="BA753" s="48">
        <f t="shared" si="2370"/>
        <v>50</v>
      </c>
      <c r="BB753" s="48">
        <f t="shared" si="2370"/>
        <v>0</v>
      </c>
      <c r="BC753" s="48">
        <f t="shared" si="2370"/>
        <v>0</v>
      </c>
      <c r="BD753" s="48">
        <f t="shared" si="2370"/>
        <v>0</v>
      </c>
      <c r="BE753" s="48">
        <f t="shared" si="2370"/>
        <v>0</v>
      </c>
      <c r="BF753" s="48">
        <f t="shared" si="2370"/>
        <v>0</v>
      </c>
      <c r="BG753" s="48">
        <f t="shared" si="2370"/>
        <v>0</v>
      </c>
      <c r="BH753" s="48">
        <f t="shared" si="2370"/>
        <v>0</v>
      </c>
      <c r="BI753" s="48">
        <f t="shared" si="2370"/>
        <v>0</v>
      </c>
      <c r="BJ753" s="48">
        <f t="shared" si="2370"/>
        <v>0</v>
      </c>
      <c r="BK753" s="48">
        <f t="shared" si="2370"/>
        <v>0</v>
      </c>
      <c r="BL753" s="48">
        <f t="shared" si="2370"/>
        <v>0</v>
      </c>
      <c r="BM753" s="48">
        <f t="shared" si="2370"/>
        <v>0</v>
      </c>
      <c r="BN753" s="48">
        <f t="shared" si="2370"/>
        <v>0</v>
      </c>
      <c r="BO753" s="48">
        <f t="shared" si="2370"/>
        <v>0</v>
      </c>
      <c r="BP753" s="48">
        <f t="shared" si="2370"/>
        <v>0</v>
      </c>
      <c r="BQ753" s="48">
        <f t="shared" si="2370"/>
        <v>0</v>
      </c>
      <c r="BR753" s="36">
        <f t="shared" si="9"/>
        <v>0</v>
      </c>
      <c r="BS753" s="38">
        <f t="shared" si="10"/>
        <v>1</v>
      </c>
      <c r="BT753" s="49">
        <f t="shared" si="11"/>
        <v>0</v>
      </c>
      <c r="BU753" s="38">
        <f t="shared" si="12"/>
        <v>1000</v>
      </c>
      <c r="BV753" s="46" t="str">
        <f>IFERROR(__xludf.DUMMYFUNCTION("""COMPUTED_VALUE"""),"Coyle")</f>
        <v>Coyle</v>
      </c>
      <c r="BW753" s="46">
        <f t="shared" si="13"/>
        <v>50</v>
      </c>
      <c r="BX753" s="47">
        <f t="shared" ref="BX753:CA753" si="2371">AX753-$BU753</f>
        <v>-1000</v>
      </c>
      <c r="BY753" s="47">
        <f t="shared" si="2371"/>
        <v>-1000</v>
      </c>
      <c r="BZ753" s="47">
        <f t="shared" si="2371"/>
        <v>-1000</v>
      </c>
      <c r="CA753" s="47">
        <f t="shared" si="2371"/>
        <v>-950</v>
      </c>
      <c r="CB753" s="47">
        <f t="shared" si="15"/>
        <v>-10000</v>
      </c>
      <c r="CC753" s="47">
        <f t="shared" ref="CC753:CQ753" si="2372">BC753-$BU753</f>
        <v>-1000</v>
      </c>
      <c r="CD753" s="47">
        <f t="shared" si="2372"/>
        <v>-1000</v>
      </c>
      <c r="CE753" s="47">
        <f t="shared" si="2372"/>
        <v>-1000</v>
      </c>
      <c r="CF753" s="47">
        <f t="shared" si="2372"/>
        <v>-1000</v>
      </c>
      <c r="CG753" s="47">
        <f t="shared" si="2372"/>
        <v>-1000</v>
      </c>
      <c r="CH753" s="47">
        <f t="shared" si="2372"/>
        <v>-1000</v>
      </c>
      <c r="CI753" s="47">
        <f t="shared" si="2372"/>
        <v>-1000</v>
      </c>
      <c r="CJ753" s="47">
        <f t="shared" si="2372"/>
        <v>-1000</v>
      </c>
      <c r="CK753" s="47">
        <f t="shared" si="2372"/>
        <v>-1000</v>
      </c>
      <c r="CL753" s="47">
        <f t="shared" si="2372"/>
        <v>-1000</v>
      </c>
      <c r="CM753" s="47">
        <f t="shared" si="2372"/>
        <v>-1000</v>
      </c>
      <c r="CN753" s="47">
        <f t="shared" si="2372"/>
        <v>-1000</v>
      </c>
      <c r="CO753" s="47">
        <f t="shared" si="2372"/>
        <v>-1000</v>
      </c>
      <c r="CP753" s="47">
        <f t="shared" si="2372"/>
        <v>-1000</v>
      </c>
      <c r="CQ753" s="47">
        <f t="shared" si="2372"/>
        <v>-1000</v>
      </c>
      <c r="CR753" s="47"/>
      <c r="CS753" s="47"/>
      <c r="CT753" s="47"/>
      <c r="CU753" s="74"/>
      <c r="CV753" s="74"/>
      <c r="CW753" s="74" t="str">
        <f>IFERROR(__xludf.DUMMYFUNCTION("IF(REGEXMATCH(UPPER(CU753), ""DALLAS""),,CU753)"),"")</f>
        <v/>
      </c>
      <c r="CX753" s="74"/>
      <c r="CY753" s="74"/>
      <c r="CZ753" s="74"/>
      <c r="DA753" s="75"/>
      <c r="DB753" s="74"/>
      <c r="DC753" s="74"/>
      <c r="DD753" s="74"/>
      <c r="DE753" s="74"/>
      <c r="DF753" s="74"/>
      <c r="DG753" s="74"/>
      <c r="DH753" s="74"/>
      <c r="DI753" s="74"/>
      <c r="DJ753" s="74"/>
      <c r="DK753" s="74"/>
      <c r="DL753" s="74"/>
      <c r="DM753" s="74"/>
      <c r="DN753" s="74"/>
      <c r="DO753" s="74"/>
      <c r="DP753" s="74"/>
      <c r="DQ753" s="74"/>
      <c r="DR753" s="74"/>
      <c r="DS753" s="74"/>
      <c r="DT753" s="74"/>
      <c r="DU753" s="74"/>
      <c r="DV753" s="74"/>
      <c r="DW753" s="74"/>
    </row>
    <row r="754">
      <c r="A754" s="22" t="s">
        <v>55</v>
      </c>
      <c r="B754" s="23" t="s">
        <v>56</v>
      </c>
      <c r="C754" s="31" t="s">
        <v>1970</v>
      </c>
      <c r="D754" s="25" t="str">
        <f>IFERROR(__xludf.DUMMYFUNCTION("SPLIT(C754,"" "")"),"McDade,")</f>
        <v>McDade,</v>
      </c>
      <c r="E754" s="22" t="str">
        <f>IFERROR(__xludf.DUMMYFUNCTION("""COMPUTED_VALUE"""),"Jim
10956")</f>
        <v>Jim
10956</v>
      </c>
      <c r="F754" s="22" t="str">
        <f>IFERROR(__xludf.DUMMYFUNCTION("""COMPUTED_VALUE"""),"Audelia")</f>
        <v>Audelia</v>
      </c>
      <c r="G754" s="22" t="str">
        <f>IFERROR(__xludf.DUMMYFUNCTION("""COMPUTED_VALUE"""),"Rd
Dallas,")</f>
        <v>Rd
Dallas,</v>
      </c>
      <c r="H754" s="22" t="str">
        <f>IFERROR(__xludf.DUMMYFUNCTION("""COMPUTED_VALUE"""),"TX")</f>
        <v>TX</v>
      </c>
      <c r="I754" s="22">
        <f>IFERROR(__xludf.DUMMYFUNCTION("""COMPUTED_VALUE"""),75243.0)</f>
        <v>75243</v>
      </c>
      <c r="J754" s="22"/>
      <c r="K754" s="22"/>
      <c r="L754" s="22"/>
      <c r="M754" s="22"/>
      <c r="N754" s="22"/>
      <c r="O754" s="22"/>
      <c r="P754" s="22"/>
      <c r="Q754" s="22"/>
      <c r="R754" s="22"/>
      <c r="S754" s="22"/>
      <c r="T754" s="22"/>
      <c r="U754" s="24" t="str">
        <f>IFERROR(__xludf.DUMMYFUNCTION("SPLIT(E754,""01234567890"")"),"Jim
")</f>
        <v>Jim
</v>
      </c>
      <c r="V754" s="24" t="str">
        <f>IFERROR(__xludf.DUMMYFUNCTION("SPLIT(D754,"","")"),"McDade")</f>
        <v>McDade</v>
      </c>
      <c r="W754" s="25" t="str">
        <f t="shared" si="1"/>
        <v>JIM
 MCDADE</v>
      </c>
      <c r="X754" s="25" t="s">
        <v>1971</v>
      </c>
      <c r="Y754" s="25">
        <v>75243.0</v>
      </c>
      <c r="Z754" s="25" t="str">
        <f>IFERROR(__xludf.DUMMYFUNCTION("SPLIT(C754,""
"")"),"McDade, Jim")</f>
        <v>McDade, Jim</v>
      </c>
      <c r="AA754" s="25" t="str">
        <f>IFERROR(__xludf.DUMMYFUNCTION("""COMPUTED_VALUE"""),"10956 Audelia Rd")</f>
        <v>10956 Audelia Rd</v>
      </c>
      <c r="AB754" s="25" t="str">
        <f>IFERROR(__xludf.DUMMYFUNCTION("""COMPUTED_VALUE"""),"Dallas, TX 75243")</f>
        <v>Dallas, TX 75243</v>
      </c>
      <c r="AC754" s="24" t="s">
        <v>1972</v>
      </c>
      <c r="AD754" s="25"/>
      <c r="AE754" s="25"/>
      <c r="AF754" s="25"/>
      <c r="AG754" s="22" t="s">
        <v>60</v>
      </c>
      <c r="AH754" s="54">
        <v>2481.0</v>
      </c>
      <c r="AI754" s="22" t="s">
        <v>68</v>
      </c>
      <c r="AJ754" s="27">
        <v>5000.0</v>
      </c>
      <c r="AK754" s="31" t="s">
        <v>25</v>
      </c>
      <c r="AL754" s="28">
        <v>44841.0</v>
      </c>
      <c r="AM754" s="29">
        <v>44937.81995370371</v>
      </c>
      <c r="AN754" s="30">
        <v>2.0</v>
      </c>
      <c r="AO754" s="22"/>
      <c r="AP754" s="22"/>
      <c r="AQ754" s="22"/>
      <c r="AR754" s="22"/>
      <c r="AS754" s="22"/>
      <c r="AT754" s="70"/>
      <c r="AU754" s="22"/>
      <c r="AV754" s="57" t="str">
        <f>IFERROR(__xludf.DUMMYFUNCTION("""COMPUTED_VALUE"""),"Pouland")</f>
        <v>Pouland</v>
      </c>
      <c r="AW754" s="46">
        <f t="shared" si="7"/>
        <v>250</v>
      </c>
      <c r="AX754" s="47">
        <f t="shared" ref="AX754:BQ754" si="2373">SUMIFS($AJ:$AJ,$V:$V,$AV754,$AK:$AK,AX$2)</f>
        <v>0</v>
      </c>
      <c r="AY754" s="48">
        <f t="shared" si="2373"/>
        <v>0</v>
      </c>
      <c r="AZ754" s="48">
        <f t="shared" si="2373"/>
        <v>0</v>
      </c>
      <c r="BA754" s="48">
        <f t="shared" si="2373"/>
        <v>250</v>
      </c>
      <c r="BB754" s="48">
        <f t="shared" si="2373"/>
        <v>0</v>
      </c>
      <c r="BC754" s="48">
        <f t="shared" si="2373"/>
        <v>0</v>
      </c>
      <c r="BD754" s="48">
        <f t="shared" si="2373"/>
        <v>0</v>
      </c>
      <c r="BE754" s="48">
        <f t="shared" si="2373"/>
        <v>0</v>
      </c>
      <c r="BF754" s="48">
        <f t="shared" si="2373"/>
        <v>0</v>
      </c>
      <c r="BG754" s="48">
        <f t="shared" si="2373"/>
        <v>0</v>
      </c>
      <c r="BH754" s="48">
        <f t="shared" si="2373"/>
        <v>0</v>
      </c>
      <c r="BI754" s="48">
        <f t="shared" si="2373"/>
        <v>0</v>
      </c>
      <c r="BJ754" s="48">
        <f t="shared" si="2373"/>
        <v>0</v>
      </c>
      <c r="BK754" s="48">
        <f t="shared" si="2373"/>
        <v>0</v>
      </c>
      <c r="BL754" s="48">
        <f t="shared" si="2373"/>
        <v>0</v>
      </c>
      <c r="BM754" s="48">
        <f t="shared" si="2373"/>
        <v>0</v>
      </c>
      <c r="BN754" s="48">
        <f t="shared" si="2373"/>
        <v>0</v>
      </c>
      <c r="BO754" s="48">
        <f t="shared" si="2373"/>
        <v>0</v>
      </c>
      <c r="BP754" s="48">
        <f t="shared" si="2373"/>
        <v>0</v>
      </c>
      <c r="BQ754" s="48">
        <f t="shared" si="2373"/>
        <v>0</v>
      </c>
      <c r="BR754" s="36">
        <f t="shared" si="9"/>
        <v>0</v>
      </c>
      <c r="BS754" s="38">
        <f t="shared" si="10"/>
        <v>1</v>
      </c>
      <c r="BT754" s="49">
        <f t="shared" si="11"/>
        <v>0</v>
      </c>
      <c r="BU754" s="38">
        <f t="shared" si="12"/>
        <v>1000</v>
      </c>
      <c r="BV754" s="57" t="str">
        <f>IFERROR(__xludf.DUMMYFUNCTION("""COMPUTED_VALUE"""),"Pouland")</f>
        <v>Pouland</v>
      </c>
      <c r="BW754" s="46">
        <f t="shared" si="13"/>
        <v>250</v>
      </c>
      <c r="BX754" s="47">
        <f t="shared" ref="BX754:CA754" si="2374">AX754-$BU754</f>
        <v>-1000</v>
      </c>
      <c r="BY754" s="47">
        <f t="shared" si="2374"/>
        <v>-1000</v>
      </c>
      <c r="BZ754" s="47">
        <f t="shared" si="2374"/>
        <v>-1000</v>
      </c>
      <c r="CA754" s="47">
        <f t="shared" si="2374"/>
        <v>-750</v>
      </c>
      <c r="CB754" s="47">
        <f t="shared" si="15"/>
        <v>-10000</v>
      </c>
      <c r="CC754" s="47">
        <f t="shared" ref="CC754:CQ754" si="2375">BC754-$BU754</f>
        <v>-1000</v>
      </c>
      <c r="CD754" s="47">
        <f t="shared" si="2375"/>
        <v>-1000</v>
      </c>
      <c r="CE754" s="47">
        <f t="shared" si="2375"/>
        <v>-1000</v>
      </c>
      <c r="CF754" s="47">
        <f t="shared" si="2375"/>
        <v>-1000</v>
      </c>
      <c r="CG754" s="47">
        <f t="shared" si="2375"/>
        <v>-1000</v>
      </c>
      <c r="CH754" s="47">
        <f t="shared" si="2375"/>
        <v>-1000</v>
      </c>
      <c r="CI754" s="47">
        <f t="shared" si="2375"/>
        <v>-1000</v>
      </c>
      <c r="CJ754" s="47">
        <f t="shared" si="2375"/>
        <v>-1000</v>
      </c>
      <c r="CK754" s="47">
        <f t="shared" si="2375"/>
        <v>-1000</v>
      </c>
      <c r="CL754" s="47">
        <f t="shared" si="2375"/>
        <v>-1000</v>
      </c>
      <c r="CM754" s="47">
        <f t="shared" si="2375"/>
        <v>-1000</v>
      </c>
      <c r="CN754" s="47">
        <f t="shared" si="2375"/>
        <v>-1000</v>
      </c>
      <c r="CO754" s="47">
        <f t="shared" si="2375"/>
        <v>-1000</v>
      </c>
      <c r="CP754" s="47">
        <f t="shared" si="2375"/>
        <v>-1000</v>
      </c>
      <c r="CQ754" s="47">
        <f t="shared" si="2375"/>
        <v>-1000</v>
      </c>
      <c r="CR754" s="47"/>
      <c r="CS754" s="47"/>
      <c r="CT754" s="47"/>
      <c r="CU754" s="74"/>
      <c r="CV754" s="74"/>
      <c r="CW754" s="74" t="str">
        <f>IFERROR(__xludf.DUMMYFUNCTION("IF(REGEXMATCH(UPPER(CU754), ""DALLAS""),,CU754)"),"")</f>
        <v/>
      </c>
      <c r="CX754" s="74"/>
      <c r="CY754" s="74"/>
      <c r="CZ754" s="74"/>
      <c r="DA754" s="75"/>
      <c r="DB754" s="74"/>
      <c r="DC754" s="74"/>
      <c r="DD754" s="74"/>
      <c r="DE754" s="74"/>
      <c r="DF754" s="74"/>
      <c r="DG754" s="74"/>
      <c r="DH754" s="74"/>
      <c r="DI754" s="74"/>
      <c r="DJ754" s="74"/>
      <c r="DK754" s="74"/>
      <c r="DL754" s="74"/>
      <c r="DM754" s="74"/>
      <c r="DN754" s="74"/>
      <c r="DO754" s="74"/>
      <c r="DP754" s="74"/>
      <c r="DQ754" s="74"/>
      <c r="DR754" s="74"/>
      <c r="DS754" s="74"/>
      <c r="DT754" s="74"/>
      <c r="DU754" s="74"/>
      <c r="DV754" s="74"/>
      <c r="DW754" s="74"/>
    </row>
    <row r="755">
      <c r="A755" s="40" t="s">
        <v>55</v>
      </c>
      <c r="B755" s="41" t="s">
        <v>56</v>
      </c>
      <c r="C755" s="31" t="s">
        <v>791</v>
      </c>
      <c r="D755" s="25" t="str">
        <f>IFERROR(__xludf.DUMMYFUNCTION("SPLIT(C755,"" "")"),"Mihalopoulos,")</f>
        <v>Mihalopoulos,</v>
      </c>
      <c r="E755" s="40" t="str">
        <f>IFERROR(__xludf.DUMMYFUNCTION("""COMPUTED_VALUE"""),"Frank
4645")</f>
        <v>Frank
4645</v>
      </c>
      <c r="F755" s="40" t="str">
        <f>IFERROR(__xludf.DUMMYFUNCTION("""COMPUTED_VALUE"""),"N")</f>
        <v>N</v>
      </c>
      <c r="G755" s="40" t="str">
        <f>IFERROR(__xludf.DUMMYFUNCTION("""COMPUTED_VALUE"""),"Central")</f>
        <v>Central</v>
      </c>
      <c r="H755" s="40" t="str">
        <f>IFERROR(__xludf.DUMMYFUNCTION("""COMPUTED_VALUE"""),"Exp
Dallas,")</f>
        <v>Exp
Dallas,</v>
      </c>
      <c r="I755" s="40" t="str">
        <f>IFERROR(__xludf.DUMMYFUNCTION("""COMPUTED_VALUE"""),"TX")</f>
        <v>TX</v>
      </c>
      <c r="J755" s="40">
        <f>IFERROR(__xludf.DUMMYFUNCTION("""COMPUTED_VALUE"""),75205.0)</f>
        <v>75205</v>
      </c>
      <c r="K755" s="40"/>
      <c r="L755" s="40"/>
      <c r="M755" s="40"/>
      <c r="N755" s="40"/>
      <c r="O755" s="40"/>
      <c r="P755" s="40"/>
      <c r="Q755" s="40"/>
      <c r="R755" s="40"/>
      <c r="S755" s="40"/>
      <c r="T755" s="40"/>
      <c r="U755" s="24" t="str">
        <f>IFERROR(__xludf.DUMMYFUNCTION("SPLIT(E755,""01234567890"")"),"Frank
")</f>
        <v>Frank
</v>
      </c>
      <c r="V755" s="24" t="str">
        <f>IFERROR(__xludf.DUMMYFUNCTION("SPLIT(D755,"","")"),"Mihalopoulos")</f>
        <v>Mihalopoulos</v>
      </c>
      <c r="W755" s="25" t="str">
        <f t="shared" si="1"/>
        <v>FRANK
 MIHALOPOULOS</v>
      </c>
      <c r="X755" s="25" t="s">
        <v>792</v>
      </c>
      <c r="Y755" s="25">
        <v>75205.0</v>
      </c>
      <c r="Z755" s="25" t="str">
        <f>IFERROR(__xludf.DUMMYFUNCTION("SPLIT(C755,""
"")"),"Mihalopoulos, Frank")</f>
        <v>Mihalopoulos, Frank</v>
      </c>
      <c r="AA755" s="25" t="str">
        <f>IFERROR(__xludf.DUMMYFUNCTION("""COMPUTED_VALUE"""),"4645 N Central Exp")</f>
        <v>4645 N Central Exp</v>
      </c>
      <c r="AB755" s="25" t="str">
        <f>IFERROR(__xludf.DUMMYFUNCTION("""COMPUTED_VALUE"""),"Dallas, TX 75205")</f>
        <v>Dallas, TX 75205</v>
      </c>
      <c r="AC755" s="24" t="s">
        <v>793</v>
      </c>
      <c r="AD755" s="25"/>
      <c r="AE755" s="25"/>
      <c r="AF755" s="25"/>
      <c r="AG755" s="40" t="s">
        <v>60</v>
      </c>
      <c r="AH755" s="42">
        <v>2481.0</v>
      </c>
      <c r="AI755" s="40" t="s">
        <v>68</v>
      </c>
      <c r="AJ755" s="27">
        <v>1000.0</v>
      </c>
      <c r="AK755" s="31" t="s">
        <v>25</v>
      </c>
      <c r="AL755" s="43">
        <v>44825.0</v>
      </c>
      <c r="AM755" s="44">
        <v>44937.81995370371</v>
      </c>
      <c r="AN755" s="30">
        <v>2.0</v>
      </c>
      <c r="AO755" s="40"/>
      <c r="AP755" s="40"/>
      <c r="AQ755" s="40"/>
      <c r="AR755" s="40"/>
      <c r="AS755" s="40"/>
      <c r="AT755" s="47"/>
      <c r="AU755" s="40"/>
      <c r="AV755" s="46" t="str">
        <f>IFERROR(__xludf.DUMMYFUNCTION("""COMPUTED_VALUE"""),"Dawson")</f>
        <v>Dawson</v>
      </c>
      <c r="AW755" s="46">
        <f t="shared" si="7"/>
        <v>100</v>
      </c>
      <c r="AX755" s="47">
        <f t="shared" ref="AX755:BQ755" si="2376">SUMIFS($AJ:$AJ,$V:$V,$AV755,$AK:$AK,AX$2)</f>
        <v>0</v>
      </c>
      <c r="AY755" s="48">
        <f t="shared" si="2376"/>
        <v>0</v>
      </c>
      <c r="AZ755" s="48">
        <f t="shared" si="2376"/>
        <v>0</v>
      </c>
      <c r="BA755" s="48">
        <f t="shared" si="2376"/>
        <v>100</v>
      </c>
      <c r="BB755" s="48">
        <f t="shared" si="2376"/>
        <v>0</v>
      </c>
      <c r="BC755" s="48">
        <f t="shared" si="2376"/>
        <v>0</v>
      </c>
      <c r="BD755" s="48">
        <f t="shared" si="2376"/>
        <v>0</v>
      </c>
      <c r="BE755" s="48">
        <f t="shared" si="2376"/>
        <v>0</v>
      </c>
      <c r="BF755" s="48">
        <f t="shared" si="2376"/>
        <v>0</v>
      </c>
      <c r="BG755" s="48">
        <f t="shared" si="2376"/>
        <v>0</v>
      </c>
      <c r="BH755" s="48">
        <f t="shared" si="2376"/>
        <v>0</v>
      </c>
      <c r="BI755" s="48">
        <f t="shared" si="2376"/>
        <v>0</v>
      </c>
      <c r="BJ755" s="48">
        <f t="shared" si="2376"/>
        <v>0</v>
      </c>
      <c r="BK755" s="48">
        <f t="shared" si="2376"/>
        <v>0</v>
      </c>
      <c r="BL755" s="48">
        <f t="shared" si="2376"/>
        <v>0</v>
      </c>
      <c r="BM755" s="48">
        <f t="shared" si="2376"/>
        <v>0</v>
      </c>
      <c r="BN755" s="48">
        <f t="shared" si="2376"/>
        <v>0</v>
      </c>
      <c r="BO755" s="48">
        <f t="shared" si="2376"/>
        <v>0</v>
      </c>
      <c r="BP755" s="48">
        <f t="shared" si="2376"/>
        <v>0</v>
      </c>
      <c r="BQ755" s="48">
        <f t="shared" si="2376"/>
        <v>0</v>
      </c>
      <c r="BR755" s="36">
        <f t="shared" si="9"/>
        <v>0</v>
      </c>
      <c r="BS755" s="38">
        <f t="shared" si="10"/>
        <v>1</v>
      </c>
      <c r="BT755" s="49">
        <f t="shared" si="11"/>
        <v>0</v>
      </c>
      <c r="BU755" s="38">
        <f t="shared" si="12"/>
        <v>1000</v>
      </c>
      <c r="BV755" s="46" t="str">
        <f>IFERROR(__xludf.DUMMYFUNCTION("""COMPUTED_VALUE"""),"Dawson")</f>
        <v>Dawson</v>
      </c>
      <c r="BW755" s="46">
        <f t="shared" si="13"/>
        <v>100</v>
      </c>
      <c r="BX755" s="47">
        <f t="shared" ref="BX755:CA755" si="2377">AX755-$BU755</f>
        <v>-1000</v>
      </c>
      <c r="BY755" s="47">
        <f t="shared" si="2377"/>
        <v>-1000</v>
      </c>
      <c r="BZ755" s="47">
        <f t="shared" si="2377"/>
        <v>-1000</v>
      </c>
      <c r="CA755" s="47">
        <f t="shared" si="2377"/>
        <v>-900</v>
      </c>
      <c r="CB755" s="47">
        <f t="shared" si="15"/>
        <v>-10000</v>
      </c>
      <c r="CC755" s="47">
        <f t="shared" ref="CC755:CQ755" si="2378">BC755-$BU755</f>
        <v>-1000</v>
      </c>
      <c r="CD755" s="47">
        <f t="shared" si="2378"/>
        <v>-1000</v>
      </c>
      <c r="CE755" s="47">
        <f t="shared" si="2378"/>
        <v>-1000</v>
      </c>
      <c r="CF755" s="47">
        <f t="shared" si="2378"/>
        <v>-1000</v>
      </c>
      <c r="CG755" s="47">
        <f t="shared" si="2378"/>
        <v>-1000</v>
      </c>
      <c r="CH755" s="47">
        <f t="shared" si="2378"/>
        <v>-1000</v>
      </c>
      <c r="CI755" s="47">
        <f t="shared" si="2378"/>
        <v>-1000</v>
      </c>
      <c r="CJ755" s="47">
        <f t="shared" si="2378"/>
        <v>-1000</v>
      </c>
      <c r="CK755" s="47">
        <f t="shared" si="2378"/>
        <v>-1000</v>
      </c>
      <c r="CL755" s="47">
        <f t="shared" si="2378"/>
        <v>-1000</v>
      </c>
      <c r="CM755" s="47">
        <f t="shared" si="2378"/>
        <v>-1000</v>
      </c>
      <c r="CN755" s="47">
        <f t="shared" si="2378"/>
        <v>-1000</v>
      </c>
      <c r="CO755" s="47">
        <f t="shared" si="2378"/>
        <v>-1000</v>
      </c>
      <c r="CP755" s="47">
        <f t="shared" si="2378"/>
        <v>-1000</v>
      </c>
      <c r="CQ755" s="47">
        <f t="shared" si="2378"/>
        <v>-1000</v>
      </c>
      <c r="CR755" s="47"/>
      <c r="CS755" s="47"/>
      <c r="CT755" s="47"/>
      <c r="CU755" s="74"/>
      <c r="CV755" s="74"/>
      <c r="CW755" s="74" t="str">
        <f>IFERROR(__xludf.DUMMYFUNCTION("IF(REGEXMATCH(UPPER(CU755), ""DALLAS""),,CU755)"),"")</f>
        <v/>
      </c>
      <c r="CX755" s="74"/>
      <c r="CY755" s="74"/>
      <c r="CZ755" s="74"/>
      <c r="DA755" s="75"/>
      <c r="DB755" s="74"/>
      <c r="DC755" s="74"/>
      <c r="DD755" s="74"/>
      <c r="DE755" s="74"/>
      <c r="DF755" s="74"/>
      <c r="DG755" s="74"/>
      <c r="DH755" s="74"/>
      <c r="DI755" s="74"/>
      <c r="DJ755" s="74"/>
      <c r="DK755" s="74"/>
      <c r="DL755" s="74"/>
      <c r="DM755" s="74"/>
      <c r="DN755" s="74"/>
      <c r="DO755" s="74"/>
      <c r="DP755" s="74"/>
      <c r="DQ755" s="74"/>
      <c r="DR755" s="74"/>
      <c r="DS755" s="74"/>
      <c r="DT755" s="74"/>
      <c r="DU755" s="74"/>
      <c r="DV755" s="74"/>
      <c r="DW755" s="74"/>
    </row>
    <row r="756">
      <c r="A756" s="22" t="s">
        <v>55</v>
      </c>
      <c r="B756" s="23" t="s">
        <v>56</v>
      </c>
      <c r="C756" s="31" t="s">
        <v>1973</v>
      </c>
      <c r="D756" s="25" t="str">
        <f>IFERROR(__xludf.DUMMYFUNCTION("SPLIT(C756,"" "")"),"Nash,")</f>
        <v>Nash,</v>
      </c>
      <c r="E756" s="22" t="str">
        <f>IFERROR(__xludf.DUMMYFUNCTION("""COMPUTED_VALUE"""),"Susan")</f>
        <v>Susan</v>
      </c>
      <c r="F756" s="22" t="str">
        <f>IFERROR(__xludf.DUMMYFUNCTION("""COMPUTED_VALUE"""),"and")</f>
        <v>and</v>
      </c>
      <c r="G756" s="22" t="str">
        <f>IFERROR(__xludf.DUMMYFUNCTION("""COMPUTED_VALUE"""),"Ron
3505")</f>
        <v>Ron
3505</v>
      </c>
      <c r="H756" s="22" t="str">
        <f>IFERROR(__xludf.DUMMYFUNCTION("""COMPUTED_VALUE"""),"Turtle")</f>
        <v>Turtle</v>
      </c>
      <c r="I756" s="22" t="str">
        <f>IFERROR(__xludf.DUMMYFUNCTION("""COMPUTED_VALUE"""),"Creek")</f>
        <v>Creek</v>
      </c>
      <c r="J756" s="22" t="str">
        <f>IFERROR(__xludf.DUMMYFUNCTION("""COMPUTED_VALUE"""),"Blvd
Dallas,")</f>
        <v>Blvd
Dallas,</v>
      </c>
      <c r="K756" s="22" t="str">
        <f>IFERROR(__xludf.DUMMYFUNCTION("""COMPUTED_VALUE"""),"TX")</f>
        <v>TX</v>
      </c>
      <c r="L756" s="22">
        <f>IFERROR(__xludf.DUMMYFUNCTION("""COMPUTED_VALUE"""),75219.0)</f>
        <v>75219</v>
      </c>
      <c r="M756" s="22"/>
      <c r="N756" s="22"/>
      <c r="O756" s="22"/>
      <c r="P756" s="22"/>
      <c r="Q756" s="22"/>
      <c r="R756" s="22"/>
      <c r="S756" s="22"/>
      <c r="T756" s="22"/>
      <c r="U756" s="24" t="str">
        <f>IFERROR(__xludf.DUMMYFUNCTION("SPLIT(E756,""01234567890"")"),"Susan")</f>
        <v>Susan</v>
      </c>
      <c r="V756" s="24" t="str">
        <f>IFERROR(__xludf.DUMMYFUNCTION("SPLIT(D756,"","")"),"Nash")</f>
        <v>Nash</v>
      </c>
      <c r="W756" s="25" t="str">
        <f t="shared" si="1"/>
        <v>SUSAN NASH</v>
      </c>
      <c r="X756" s="25" t="s">
        <v>1974</v>
      </c>
      <c r="Y756" s="25">
        <v>75219.0</v>
      </c>
      <c r="Z756" s="25" t="str">
        <f>IFERROR(__xludf.DUMMYFUNCTION("SPLIT(C756,""
"")"),"Nash, Susan and Ron")</f>
        <v>Nash, Susan and Ron</v>
      </c>
      <c r="AA756" s="25" t="str">
        <f>IFERROR(__xludf.DUMMYFUNCTION("""COMPUTED_VALUE"""),"3505 Turtle Creek Blvd")</f>
        <v>3505 Turtle Creek Blvd</v>
      </c>
      <c r="AB756" s="25" t="str">
        <f>IFERROR(__xludf.DUMMYFUNCTION("""COMPUTED_VALUE"""),"Dallas, TX 75219")</f>
        <v>Dallas, TX 75219</v>
      </c>
      <c r="AC756" s="24" t="s">
        <v>1975</v>
      </c>
      <c r="AD756" s="25"/>
      <c r="AE756" s="25"/>
      <c r="AF756" s="25"/>
      <c r="AG756" s="22" t="s">
        <v>60</v>
      </c>
      <c r="AH756" s="54">
        <v>2481.0</v>
      </c>
      <c r="AI756" s="22" t="s">
        <v>68</v>
      </c>
      <c r="AJ756" s="27">
        <v>10000.0</v>
      </c>
      <c r="AK756" s="31" t="s">
        <v>25</v>
      </c>
      <c r="AL756" s="28">
        <v>44825.0</v>
      </c>
      <c r="AM756" s="29">
        <v>44937.81995370371</v>
      </c>
      <c r="AN756" s="30">
        <v>2.0</v>
      </c>
      <c r="AO756" s="22"/>
      <c r="AP756" s="22"/>
      <c r="AQ756" s="22"/>
      <c r="AR756" s="22"/>
      <c r="AS756" s="22"/>
      <c r="AT756" s="70"/>
      <c r="AU756" s="22"/>
      <c r="AV756" s="57" t="str">
        <f>IFERROR(__xludf.DUMMYFUNCTION("""COMPUTED_VALUE"""),"Saab")</f>
        <v>Saab</v>
      </c>
      <c r="AW756" s="46">
        <f t="shared" si="7"/>
        <v>100</v>
      </c>
      <c r="AX756" s="47">
        <f t="shared" ref="AX756:BQ756" si="2379">SUMIFS($AJ:$AJ,$V:$V,$AV756,$AK:$AK,AX$2)</f>
        <v>0</v>
      </c>
      <c r="AY756" s="48">
        <f t="shared" si="2379"/>
        <v>0</v>
      </c>
      <c r="AZ756" s="48">
        <f t="shared" si="2379"/>
        <v>0</v>
      </c>
      <c r="BA756" s="48">
        <f t="shared" si="2379"/>
        <v>100</v>
      </c>
      <c r="BB756" s="48">
        <f t="shared" si="2379"/>
        <v>0</v>
      </c>
      <c r="BC756" s="48">
        <f t="shared" si="2379"/>
        <v>0</v>
      </c>
      <c r="BD756" s="48">
        <f t="shared" si="2379"/>
        <v>0</v>
      </c>
      <c r="BE756" s="48">
        <f t="shared" si="2379"/>
        <v>0</v>
      </c>
      <c r="BF756" s="48">
        <f t="shared" si="2379"/>
        <v>0</v>
      </c>
      <c r="BG756" s="48">
        <f t="shared" si="2379"/>
        <v>0</v>
      </c>
      <c r="BH756" s="48">
        <f t="shared" si="2379"/>
        <v>0</v>
      </c>
      <c r="BI756" s="48">
        <f t="shared" si="2379"/>
        <v>0</v>
      </c>
      <c r="BJ756" s="48">
        <f t="shared" si="2379"/>
        <v>0</v>
      </c>
      <c r="BK756" s="48">
        <f t="shared" si="2379"/>
        <v>0</v>
      </c>
      <c r="BL756" s="48">
        <f t="shared" si="2379"/>
        <v>0</v>
      </c>
      <c r="BM756" s="48">
        <f t="shared" si="2379"/>
        <v>0</v>
      </c>
      <c r="BN756" s="48">
        <f t="shared" si="2379"/>
        <v>0</v>
      </c>
      <c r="BO756" s="48">
        <f t="shared" si="2379"/>
        <v>0</v>
      </c>
      <c r="BP756" s="48">
        <f t="shared" si="2379"/>
        <v>0</v>
      </c>
      <c r="BQ756" s="48">
        <f t="shared" si="2379"/>
        <v>0</v>
      </c>
      <c r="BR756" s="36">
        <f t="shared" si="9"/>
        <v>0</v>
      </c>
      <c r="BS756" s="38">
        <f t="shared" si="10"/>
        <v>1</v>
      </c>
      <c r="BT756" s="49">
        <f t="shared" si="11"/>
        <v>0</v>
      </c>
      <c r="BU756" s="38">
        <f t="shared" si="12"/>
        <v>1000</v>
      </c>
      <c r="BV756" s="57" t="str">
        <f>IFERROR(__xludf.DUMMYFUNCTION("""COMPUTED_VALUE"""),"Saab")</f>
        <v>Saab</v>
      </c>
      <c r="BW756" s="46">
        <f t="shared" si="13"/>
        <v>100</v>
      </c>
      <c r="BX756" s="47">
        <f t="shared" ref="BX756:CA756" si="2380">AX756-$BU756</f>
        <v>-1000</v>
      </c>
      <c r="BY756" s="47">
        <f t="shared" si="2380"/>
        <v>-1000</v>
      </c>
      <c r="BZ756" s="47">
        <f t="shared" si="2380"/>
        <v>-1000</v>
      </c>
      <c r="CA756" s="47">
        <f t="shared" si="2380"/>
        <v>-900</v>
      </c>
      <c r="CB756" s="47">
        <f t="shared" si="15"/>
        <v>-10000</v>
      </c>
      <c r="CC756" s="47">
        <f t="shared" ref="CC756:CQ756" si="2381">BC756-$BU756</f>
        <v>-1000</v>
      </c>
      <c r="CD756" s="47">
        <f t="shared" si="2381"/>
        <v>-1000</v>
      </c>
      <c r="CE756" s="47">
        <f t="shared" si="2381"/>
        <v>-1000</v>
      </c>
      <c r="CF756" s="47">
        <f t="shared" si="2381"/>
        <v>-1000</v>
      </c>
      <c r="CG756" s="47">
        <f t="shared" si="2381"/>
        <v>-1000</v>
      </c>
      <c r="CH756" s="47">
        <f t="shared" si="2381"/>
        <v>-1000</v>
      </c>
      <c r="CI756" s="47">
        <f t="shared" si="2381"/>
        <v>-1000</v>
      </c>
      <c r="CJ756" s="47">
        <f t="shared" si="2381"/>
        <v>-1000</v>
      </c>
      <c r="CK756" s="47">
        <f t="shared" si="2381"/>
        <v>-1000</v>
      </c>
      <c r="CL756" s="47">
        <f t="shared" si="2381"/>
        <v>-1000</v>
      </c>
      <c r="CM756" s="47">
        <f t="shared" si="2381"/>
        <v>-1000</v>
      </c>
      <c r="CN756" s="47">
        <f t="shared" si="2381"/>
        <v>-1000</v>
      </c>
      <c r="CO756" s="47">
        <f t="shared" si="2381"/>
        <v>-1000</v>
      </c>
      <c r="CP756" s="47">
        <f t="shared" si="2381"/>
        <v>-1000</v>
      </c>
      <c r="CQ756" s="47">
        <f t="shared" si="2381"/>
        <v>-1000</v>
      </c>
      <c r="CR756" s="47"/>
      <c r="CS756" s="47"/>
      <c r="CT756" s="47"/>
      <c r="CU756" s="74"/>
      <c r="CV756" s="74"/>
      <c r="CW756" s="74" t="str">
        <f>IFERROR(__xludf.DUMMYFUNCTION("IF(REGEXMATCH(UPPER(CU756), ""DALLAS""),,CU756)"),"")</f>
        <v/>
      </c>
      <c r="CX756" s="74"/>
      <c r="CY756" s="74"/>
      <c r="CZ756" s="74"/>
      <c r="DA756" s="75"/>
      <c r="DB756" s="74"/>
      <c r="DC756" s="74"/>
      <c r="DD756" s="74"/>
      <c r="DE756" s="74"/>
      <c r="DF756" s="74"/>
      <c r="DG756" s="74"/>
      <c r="DH756" s="74"/>
      <c r="DI756" s="74"/>
      <c r="DJ756" s="74"/>
      <c r="DK756" s="74"/>
      <c r="DL756" s="74"/>
      <c r="DM756" s="74"/>
      <c r="DN756" s="74"/>
      <c r="DO756" s="74"/>
      <c r="DP756" s="74"/>
      <c r="DQ756" s="74"/>
      <c r="DR756" s="74"/>
      <c r="DS756" s="74"/>
      <c r="DT756" s="74"/>
      <c r="DU756" s="74"/>
      <c r="DV756" s="74"/>
      <c r="DW756" s="74"/>
    </row>
    <row r="757">
      <c r="A757" s="40" t="s">
        <v>55</v>
      </c>
      <c r="B757" s="41" t="s">
        <v>56</v>
      </c>
      <c r="C757" s="31" t="s">
        <v>1976</v>
      </c>
      <c r="D757" s="25" t="str">
        <f>IFERROR(__xludf.DUMMYFUNCTION("SPLIT(C757,"" "")"),"Pitts,")</f>
        <v>Pitts,</v>
      </c>
      <c r="E757" s="40" t="str">
        <f>IFERROR(__xludf.DUMMYFUNCTION("""COMPUTED_VALUE"""),"John
3652")</f>
        <v>John
3652</v>
      </c>
      <c r="F757" s="40" t="str">
        <f>IFERROR(__xludf.DUMMYFUNCTION("""COMPUTED_VALUE"""),"Chevy")</f>
        <v>Chevy</v>
      </c>
      <c r="G757" s="40" t="str">
        <f>IFERROR(__xludf.DUMMYFUNCTION("""COMPUTED_VALUE"""),"Chase
Houston,")</f>
        <v>Chase
Houston,</v>
      </c>
      <c r="H757" s="40" t="str">
        <f>IFERROR(__xludf.DUMMYFUNCTION("""COMPUTED_VALUE"""),"TX")</f>
        <v>TX</v>
      </c>
      <c r="I757" s="40">
        <f>IFERROR(__xludf.DUMMYFUNCTION("""COMPUTED_VALUE"""),77019.0)</f>
        <v>77019</v>
      </c>
      <c r="J757" s="40"/>
      <c r="K757" s="40"/>
      <c r="L757" s="40"/>
      <c r="M757" s="40"/>
      <c r="N757" s="40"/>
      <c r="O757" s="40"/>
      <c r="P757" s="40"/>
      <c r="Q757" s="40"/>
      <c r="R757" s="40"/>
      <c r="S757" s="40"/>
      <c r="T757" s="40"/>
      <c r="U757" s="24" t="str">
        <f>IFERROR(__xludf.DUMMYFUNCTION("SPLIT(E757,""01234567890"")"),"John
")</f>
        <v>John
</v>
      </c>
      <c r="V757" s="24" t="str">
        <f>IFERROR(__xludf.DUMMYFUNCTION("SPLIT(D757,"","")"),"Pitts")</f>
        <v>Pitts</v>
      </c>
      <c r="W757" s="25" t="str">
        <f t="shared" si="1"/>
        <v>JOHN
 PITTS</v>
      </c>
      <c r="X757" s="25" t="s">
        <v>1977</v>
      </c>
      <c r="Y757" s="25">
        <v>77019.0</v>
      </c>
      <c r="Z757" s="25" t="str">
        <f>IFERROR(__xludf.DUMMYFUNCTION("SPLIT(C757,""
"")"),"Pitts, John")</f>
        <v>Pitts, John</v>
      </c>
      <c r="AA757" s="25" t="str">
        <f>IFERROR(__xludf.DUMMYFUNCTION("""COMPUTED_VALUE"""),"3652 Chevy Chase")</f>
        <v>3652 Chevy Chase</v>
      </c>
      <c r="AB757" s="25" t="str">
        <f>IFERROR(__xludf.DUMMYFUNCTION("""COMPUTED_VALUE"""),"Houston, TX 77019")</f>
        <v>Houston, TX 77019</v>
      </c>
      <c r="AC757" s="24" t="s">
        <v>1978</v>
      </c>
      <c r="AD757" s="25"/>
      <c r="AE757" s="25"/>
      <c r="AF757" s="25"/>
      <c r="AG757" s="40" t="s">
        <v>60</v>
      </c>
      <c r="AH757" s="42">
        <v>2481.0</v>
      </c>
      <c r="AI757" s="40" t="s">
        <v>68</v>
      </c>
      <c r="AJ757" s="27">
        <v>750.0</v>
      </c>
      <c r="AK757" s="31" t="s">
        <v>25</v>
      </c>
      <c r="AL757" s="43">
        <v>44841.0</v>
      </c>
      <c r="AM757" s="44">
        <v>44937.81995370371</v>
      </c>
      <c r="AN757" s="30">
        <v>2.0</v>
      </c>
      <c r="AO757" s="40"/>
      <c r="AP757" s="40"/>
      <c r="AQ757" s="40"/>
      <c r="AR757" s="40"/>
      <c r="AS757" s="40"/>
      <c r="AT757" s="47"/>
      <c r="AU757" s="40"/>
      <c r="AV757" s="46" t="str">
        <f>IFERROR(__xludf.DUMMYFUNCTION("""COMPUTED_VALUE"""),"Grant")</f>
        <v>Grant</v>
      </c>
      <c r="AW757" s="46">
        <f t="shared" si="7"/>
        <v>500</v>
      </c>
      <c r="AX757" s="47">
        <f t="shared" ref="AX757:BQ757" si="2382">SUMIFS($AJ:$AJ,$V:$V,$AV757,$AK:$AK,AX$2)</f>
        <v>0</v>
      </c>
      <c r="AY757" s="48">
        <f t="shared" si="2382"/>
        <v>0</v>
      </c>
      <c r="AZ757" s="48">
        <f t="shared" si="2382"/>
        <v>0</v>
      </c>
      <c r="BA757" s="48">
        <f t="shared" si="2382"/>
        <v>500</v>
      </c>
      <c r="BB757" s="48">
        <f t="shared" si="2382"/>
        <v>0</v>
      </c>
      <c r="BC757" s="48">
        <f t="shared" si="2382"/>
        <v>0</v>
      </c>
      <c r="BD757" s="48">
        <f t="shared" si="2382"/>
        <v>0</v>
      </c>
      <c r="BE757" s="48">
        <f t="shared" si="2382"/>
        <v>0</v>
      </c>
      <c r="BF757" s="48">
        <f t="shared" si="2382"/>
        <v>0</v>
      </c>
      <c r="BG757" s="48">
        <f t="shared" si="2382"/>
        <v>0</v>
      </c>
      <c r="BH757" s="48">
        <f t="shared" si="2382"/>
        <v>0</v>
      </c>
      <c r="BI757" s="48">
        <f t="shared" si="2382"/>
        <v>0</v>
      </c>
      <c r="BJ757" s="48">
        <f t="shared" si="2382"/>
        <v>0</v>
      </c>
      <c r="BK757" s="48">
        <f t="shared" si="2382"/>
        <v>0</v>
      </c>
      <c r="BL757" s="48">
        <f t="shared" si="2382"/>
        <v>0</v>
      </c>
      <c r="BM757" s="48">
        <f t="shared" si="2382"/>
        <v>0</v>
      </c>
      <c r="BN757" s="48">
        <f t="shared" si="2382"/>
        <v>0</v>
      </c>
      <c r="BO757" s="48">
        <f t="shared" si="2382"/>
        <v>0</v>
      </c>
      <c r="BP757" s="48">
        <f t="shared" si="2382"/>
        <v>0</v>
      </c>
      <c r="BQ757" s="48">
        <f t="shared" si="2382"/>
        <v>0</v>
      </c>
      <c r="BR757" s="36">
        <f t="shared" si="9"/>
        <v>0</v>
      </c>
      <c r="BS757" s="38">
        <f t="shared" si="10"/>
        <v>1</v>
      </c>
      <c r="BT757" s="49">
        <f t="shared" si="11"/>
        <v>0</v>
      </c>
      <c r="BU757" s="38">
        <f t="shared" si="12"/>
        <v>1000</v>
      </c>
      <c r="BV757" s="46" t="str">
        <f>IFERROR(__xludf.DUMMYFUNCTION("""COMPUTED_VALUE"""),"Grant")</f>
        <v>Grant</v>
      </c>
      <c r="BW757" s="46">
        <f t="shared" si="13"/>
        <v>500</v>
      </c>
      <c r="BX757" s="47">
        <f t="shared" ref="BX757:CA757" si="2383">AX757-$BU757</f>
        <v>-1000</v>
      </c>
      <c r="BY757" s="47">
        <f t="shared" si="2383"/>
        <v>-1000</v>
      </c>
      <c r="BZ757" s="47">
        <f t="shared" si="2383"/>
        <v>-1000</v>
      </c>
      <c r="CA757" s="47">
        <f t="shared" si="2383"/>
        <v>-500</v>
      </c>
      <c r="CB757" s="47">
        <f t="shared" si="15"/>
        <v>-10000</v>
      </c>
      <c r="CC757" s="47">
        <f t="shared" ref="CC757:CQ757" si="2384">BC757-$BU757</f>
        <v>-1000</v>
      </c>
      <c r="CD757" s="47">
        <f t="shared" si="2384"/>
        <v>-1000</v>
      </c>
      <c r="CE757" s="47">
        <f t="shared" si="2384"/>
        <v>-1000</v>
      </c>
      <c r="CF757" s="47">
        <f t="shared" si="2384"/>
        <v>-1000</v>
      </c>
      <c r="CG757" s="47">
        <f t="shared" si="2384"/>
        <v>-1000</v>
      </c>
      <c r="CH757" s="47">
        <f t="shared" si="2384"/>
        <v>-1000</v>
      </c>
      <c r="CI757" s="47">
        <f t="shared" si="2384"/>
        <v>-1000</v>
      </c>
      <c r="CJ757" s="47">
        <f t="shared" si="2384"/>
        <v>-1000</v>
      </c>
      <c r="CK757" s="47">
        <f t="shared" si="2384"/>
        <v>-1000</v>
      </c>
      <c r="CL757" s="47">
        <f t="shared" si="2384"/>
        <v>-1000</v>
      </c>
      <c r="CM757" s="47">
        <f t="shared" si="2384"/>
        <v>-1000</v>
      </c>
      <c r="CN757" s="47">
        <f t="shared" si="2384"/>
        <v>-1000</v>
      </c>
      <c r="CO757" s="47">
        <f t="shared" si="2384"/>
        <v>-1000</v>
      </c>
      <c r="CP757" s="47">
        <f t="shared" si="2384"/>
        <v>-1000</v>
      </c>
      <c r="CQ757" s="47">
        <f t="shared" si="2384"/>
        <v>-1000</v>
      </c>
      <c r="CR757" s="47"/>
      <c r="CS757" s="47"/>
      <c r="CT757" s="47"/>
      <c r="CU757" s="74"/>
      <c r="CV757" s="74"/>
      <c r="CW757" s="74" t="str">
        <f>IFERROR(__xludf.DUMMYFUNCTION("IF(REGEXMATCH(UPPER(CU757), ""DALLAS""),,CU757)"),"")</f>
        <v/>
      </c>
      <c r="CX757" s="74"/>
      <c r="CY757" s="74"/>
      <c r="CZ757" s="74"/>
      <c r="DA757" s="75"/>
      <c r="DB757" s="74"/>
      <c r="DC757" s="74"/>
      <c r="DD757" s="74"/>
      <c r="DE757" s="74"/>
      <c r="DF757" s="74"/>
      <c r="DG757" s="74"/>
      <c r="DH757" s="74"/>
      <c r="DI757" s="74"/>
      <c r="DJ757" s="74"/>
      <c r="DK757" s="74"/>
      <c r="DL757" s="74"/>
      <c r="DM757" s="74"/>
      <c r="DN757" s="74"/>
      <c r="DO757" s="74"/>
      <c r="DP757" s="74"/>
      <c r="DQ757" s="74"/>
      <c r="DR757" s="74"/>
      <c r="DS757" s="74"/>
      <c r="DT757" s="74"/>
      <c r="DU757" s="74"/>
      <c r="DV757" s="74"/>
      <c r="DW757" s="74"/>
    </row>
    <row r="758">
      <c r="A758" s="22" t="s">
        <v>55</v>
      </c>
      <c r="B758" s="23" t="s">
        <v>56</v>
      </c>
      <c r="C758" s="31" t="s">
        <v>1979</v>
      </c>
      <c r="D758" s="25" t="str">
        <f>IFERROR(__xludf.DUMMYFUNCTION("SPLIT(C758,"" "")"),"Polumbo,")</f>
        <v>Polumbo,</v>
      </c>
      <c r="E758" s="22" t="str">
        <f>IFERROR(__xludf.DUMMYFUNCTION("""COMPUTED_VALUE"""),"C.D.
210")</f>
        <v>C.D.
210</v>
      </c>
      <c r="F758" s="22" t="str">
        <f>IFERROR(__xludf.DUMMYFUNCTION("""COMPUTED_VALUE"""),"Lavaca")</f>
        <v>Lavaca</v>
      </c>
      <c r="G758" s="22" t="str">
        <f>IFERROR(__xludf.DUMMYFUNCTION("""COMPUTED_VALUE"""),"St.
Austin,")</f>
        <v>St.
Austin,</v>
      </c>
      <c r="H758" s="22" t="str">
        <f>IFERROR(__xludf.DUMMYFUNCTION("""COMPUTED_VALUE"""),"TX")</f>
        <v>TX</v>
      </c>
      <c r="I758" s="22">
        <f>IFERROR(__xludf.DUMMYFUNCTION("""COMPUTED_VALUE"""),78701.0)</f>
        <v>78701</v>
      </c>
      <c r="J758" s="22"/>
      <c r="K758" s="22"/>
      <c r="L758" s="22"/>
      <c r="M758" s="22"/>
      <c r="N758" s="22"/>
      <c r="O758" s="22"/>
      <c r="P758" s="22"/>
      <c r="Q758" s="22"/>
      <c r="R758" s="22"/>
      <c r="S758" s="22"/>
      <c r="T758" s="22"/>
      <c r="U758" s="24" t="str">
        <f>IFERROR(__xludf.DUMMYFUNCTION("SPLIT(E758,""01234567890"")"),"C.D.
")</f>
        <v>C.D.
</v>
      </c>
      <c r="V758" s="24" t="str">
        <f>IFERROR(__xludf.DUMMYFUNCTION("SPLIT(D758,"","")"),"Polumbo")</f>
        <v>Polumbo</v>
      </c>
      <c r="W758" s="25" t="str">
        <f t="shared" si="1"/>
        <v>C.D.
 POLUMBO</v>
      </c>
      <c r="X758" s="25" t="s">
        <v>1980</v>
      </c>
      <c r="Y758" s="25">
        <v>78701.0</v>
      </c>
      <c r="Z758" s="25" t="str">
        <f>IFERROR(__xludf.DUMMYFUNCTION("SPLIT(C758,""
"")"),"Polumbo, C.D.")</f>
        <v>Polumbo, C.D.</v>
      </c>
      <c r="AA758" s="25" t="str">
        <f>IFERROR(__xludf.DUMMYFUNCTION("""COMPUTED_VALUE"""),"210 Lavaca St.")</f>
        <v>210 Lavaca St.</v>
      </c>
      <c r="AB758" s="25" t="str">
        <f>IFERROR(__xludf.DUMMYFUNCTION("""COMPUTED_VALUE"""),"Austin, TX 78701")</f>
        <v>Austin, TX 78701</v>
      </c>
      <c r="AC758" s="24" t="s">
        <v>1981</v>
      </c>
      <c r="AD758" s="25"/>
      <c r="AE758" s="25"/>
      <c r="AF758" s="25"/>
      <c r="AG758" s="22" t="s">
        <v>60</v>
      </c>
      <c r="AH758" s="54">
        <v>2481.0</v>
      </c>
      <c r="AI758" s="22" t="s">
        <v>68</v>
      </c>
      <c r="AJ758" s="27">
        <v>2500.0</v>
      </c>
      <c r="AK758" s="31" t="s">
        <v>25</v>
      </c>
      <c r="AL758" s="28">
        <v>44841.0</v>
      </c>
      <c r="AM758" s="29">
        <v>44937.81995370371</v>
      </c>
      <c r="AN758" s="30">
        <v>2.0</v>
      </c>
      <c r="AO758" s="22"/>
      <c r="AP758" s="22"/>
      <c r="AQ758" s="22"/>
      <c r="AR758" s="22"/>
      <c r="AS758" s="22"/>
      <c r="AT758" s="70"/>
      <c r="AU758" s="22"/>
      <c r="AV758" s="57" t="str">
        <f>IFERROR(__xludf.DUMMYFUNCTION("""COMPUTED_VALUE"""),"Ybarra")</f>
        <v>Ybarra</v>
      </c>
      <c r="AW758" s="46">
        <f t="shared" si="7"/>
        <v>1000</v>
      </c>
      <c r="AX758" s="47">
        <f t="shared" ref="AX758:BQ758" si="2385">SUMIFS($AJ:$AJ,$V:$V,$AV758,$AK:$AK,AX$2)</f>
        <v>0</v>
      </c>
      <c r="AY758" s="48">
        <f t="shared" si="2385"/>
        <v>0</v>
      </c>
      <c r="AZ758" s="48">
        <f t="shared" si="2385"/>
        <v>0</v>
      </c>
      <c r="BA758" s="48">
        <f t="shared" si="2385"/>
        <v>1000</v>
      </c>
      <c r="BB758" s="48">
        <f t="shared" si="2385"/>
        <v>0</v>
      </c>
      <c r="BC758" s="48">
        <f t="shared" si="2385"/>
        <v>0</v>
      </c>
      <c r="BD758" s="48">
        <f t="shared" si="2385"/>
        <v>0</v>
      </c>
      <c r="BE758" s="48">
        <f t="shared" si="2385"/>
        <v>0</v>
      </c>
      <c r="BF758" s="48">
        <f t="shared" si="2385"/>
        <v>0</v>
      </c>
      <c r="BG758" s="48">
        <f t="shared" si="2385"/>
        <v>0</v>
      </c>
      <c r="BH758" s="48">
        <f t="shared" si="2385"/>
        <v>0</v>
      </c>
      <c r="BI758" s="48">
        <f t="shared" si="2385"/>
        <v>0</v>
      </c>
      <c r="BJ758" s="48">
        <f t="shared" si="2385"/>
        <v>0</v>
      </c>
      <c r="BK758" s="48">
        <f t="shared" si="2385"/>
        <v>0</v>
      </c>
      <c r="BL758" s="48">
        <f t="shared" si="2385"/>
        <v>0</v>
      </c>
      <c r="BM758" s="48">
        <f t="shared" si="2385"/>
        <v>0</v>
      </c>
      <c r="BN758" s="48">
        <f t="shared" si="2385"/>
        <v>0</v>
      </c>
      <c r="BO758" s="48">
        <f t="shared" si="2385"/>
        <v>0</v>
      </c>
      <c r="BP758" s="48">
        <f t="shared" si="2385"/>
        <v>0</v>
      </c>
      <c r="BQ758" s="48">
        <f t="shared" si="2385"/>
        <v>0</v>
      </c>
      <c r="BR758" s="36">
        <f t="shared" si="9"/>
        <v>0</v>
      </c>
      <c r="BS758" s="38">
        <f t="shared" si="10"/>
        <v>1</v>
      </c>
      <c r="BT758" s="49">
        <f t="shared" si="11"/>
        <v>0</v>
      </c>
      <c r="BU758" s="38">
        <f t="shared" si="12"/>
        <v>1000</v>
      </c>
      <c r="BV758" s="57" t="str">
        <f>IFERROR(__xludf.DUMMYFUNCTION("""COMPUTED_VALUE"""),"Ybarra")</f>
        <v>Ybarra</v>
      </c>
      <c r="BW758" s="46">
        <f t="shared" si="13"/>
        <v>1000</v>
      </c>
      <c r="BX758" s="47">
        <f t="shared" ref="BX758:CA758" si="2386">AX758-$BU758</f>
        <v>-1000</v>
      </c>
      <c r="BY758" s="47">
        <f t="shared" si="2386"/>
        <v>-1000</v>
      </c>
      <c r="BZ758" s="47">
        <f t="shared" si="2386"/>
        <v>-1000</v>
      </c>
      <c r="CA758" s="47">
        <f t="shared" si="2386"/>
        <v>0</v>
      </c>
      <c r="CB758" s="47">
        <f t="shared" si="15"/>
        <v>-10000</v>
      </c>
      <c r="CC758" s="47">
        <f t="shared" ref="CC758:CQ758" si="2387">BC758-$BU758</f>
        <v>-1000</v>
      </c>
      <c r="CD758" s="47">
        <f t="shared" si="2387"/>
        <v>-1000</v>
      </c>
      <c r="CE758" s="47">
        <f t="shared" si="2387"/>
        <v>-1000</v>
      </c>
      <c r="CF758" s="47">
        <f t="shared" si="2387"/>
        <v>-1000</v>
      </c>
      <c r="CG758" s="47">
        <f t="shared" si="2387"/>
        <v>-1000</v>
      </c>
      <c r="CH758" s="47">
        <f t="shared" si="2387"/>
        <v>-1000</v>
      </c>
      <c r="CI758" s="47">
        <f t="shared" si="2387"/>
        <v>-1000</v>
      </c>
      <c r="CJ758" s="47">
        <f t="shared" si="2387"/>
        <v>-1000</v>
      </c>
      <c r="CK758" s="47">
        <f t="shared" si="2387"/>
        <v>-1000</v>
      </c>
      <c r="CL758" s="47">
        <f t="shared" si="2387"/>
        <v>-1000</v>
      </c>
      <c r="CM758" s="47">
        <f t="shared" si="2387"/>
        <v>-1000</v>
      </c>
      <c r="CN758" s="47">
        <f t="shared" si="2387"/>
        <v>-1000</v>
      </c>
      <c r="CO758" s="47">
        <f t="shared" si="2387"/>
        <v>-1000</v>
      </c>
      <c r="CP758" s="47">
        <f t="shared" si="2387"/>
        <v>-1000</v>
      </c>
      <c r="CQ758" s="47">
        <f t="shared" si="2387"/>
        <v>-1000</v>
      </c>
      <c r="CR758" s="47"/>
      <c r="CS758" s="47"/>
      <c r="CT758" s="47"/>
      <c r="CU758" s="74"/>
      <c r="CV758" s="74"/>
      <c r="CW758" s="74" t="str">
        <f>IFERROR(__xludf.DUMMYFUNCTION("IF(REGEXMATCH(UPPER(CU758), ""DALLAS""),,CU758)"),"")</f>
        <v/>
      </c>
      <c r="CX758" s="74"/>
      <c r="CY758" s="74"/>
      <c r="CZ758" s="74"/>
      <c r="DA758" s="75"/>
      <c r="DB758" s="74"/>
      <c r="DC758" s="74"/>
      <c r="DD758" s="74"/>
      <c r="DE758" s="74"/>
      <c r="DF758" s="74"/>
      <c r="DG758" s="74"/>
      <c r="DH758" s="74"/>
      <c r="DI758" s="74"/>
      <c r="DJ758" s="74"/>
      <c r="DK758" s="74"/>
      <c r="DL758" s="74"/>
      <c r="DM758" s="74"/>
      <c r="DN758" s="74"/>
      <c r="DO758" s="74"/>
      <c r="DP758" s="74"/>
      <c r="DQ758" s="74"/>
      <c r="DR758" s="74"/>
      <c r="DS758" s="74"/>
      <c r="DT758" s="74"/>
      <c r="DU758" s="74"/>
      <c r="DV758" s="74"/>
      <c r="DW758" s="74"/>
    </row>
    <row r="759">
      <c r="A759" s="40" t="s">
        <v>55</v>
      </c>
      <c r="B759" s="41" t="s">
        <v>56</v>
      </c>
      <c r="C759" s="31" t="s">
        <v>1982</v>
      </c>
      <c r="D759" s="25" t="str">
        <f>IFERROR(__xludf.DUMMYFUNCTION("SPLIT(C759,"" "")"),"Rupani,")</f>
        <v>Rupani,</v>
      </c>
      <c r="E759" s="40" t="str">
        <f>IFERROR(__xludf.DUMMYFUNCTION("""COMPUTED_VALUE"""),"Amir
19555")</f>
        <v>Amir
19555</v>
      </c>
      <c r="F759" s="40" t="str">
        <f>IFERROR(__xludf.DUMMYFUNCTION("""COMPUTED_VALUE"""),"Preston")</f>
        <v>Preston</v>
      </c>
      <c r="G759" s="40" t="str">
        <f>IFERROR(__xludf.DUMMYFUNCTION("""COMPUTED_VALUE"""),"Trail")</f>
        <v>Trail</v>
      </c>
      <c r="H759" s="40" t="str">
        <f>IFERROR(__xludf.DUMMYFUNCTION("""COMPUTED_VALUE"""),"Dr
Dallas,")</f>
        <v>Dr
Dallas,</v>
      </c>
      <c r="I759" s="40" t="str">
        <f>IFERROR(__xludf.DUMMYFUNCTION("""COMPUTED_VALUE"""),"TX")</f>
        <v>TX</v>
      </c>
      <c r="J759" s="40">
        <f>IFERROR(__xludf.DUMMYFUNCTION("""COMPUTED_VALUE"""),75248.0)</f>
        <v>75248</v>
      </c>
      <c r="K759" s="40"/>
      <c r="L759" s="40"/>
      <c r="M759" s="40"/>
      <c r="N759" s="40"/>
      <c r="O759" s="40"/>
      <c r="P759" s="40"/>
      <c r="Q759" s="40"/>
      <c r="R759" s="40"/>
      <c r="S759" s="40"/>
      <c r="T759" s="40"/>
      <c r="U759" s="24" t="str">
        <f>IFERROR(__xludf.DUMMYFUNCTION("SPLIT(E759,""01234567890"")"),"Amir
")</f>
        <v>Amir
</v>
      </c>
      <c r="V759" s="24" t="str">
        <f>IFERROR(__xludf.DUMMYFUNCTION("SPLIT(D759,"","")"),"Rupani")</f>
        <v>Rupani</v>
      </c>
      <c r="W759" s="25" t="str">
        <f t="shared" si="1"/>
        <v>AMIR
 RUPANI</v>
      </c>
      <c r="X759" s="40"/>
      <c r="Y759" s="40"/>
      <c r="Z759" s="25" t="str">
        <f>IFERROR(__xludf.DUMMYFUNCTION("SPLIT(C759,""
"")"),"Rupani, Amir")</f>
        <v>Rupani, Amir</v>
      </c>
      <c r="AA759" s="40" t="str">
        <f>IFERROR(__xludf.DUMMYFUNCTION("""COMPUTED_VALUE"""),"19555 Preston Trail Dr")</f>
        <v>19555 Preston Trail Dr</v>
      </c>
      <c r="AB759" s="40" t="str">
        <f>IFERROR(__xludf.DUMMYFUNCTION("""COMPUTED_VALUE"""),"Dallas, TX 75248")</f>
        <v>Dallas, TX 75248</v>
      </c>
      <c r="AC759" s="31" t="s">
        <v>1983</v>
      </c>
      <c r="AD759" s="40"/>
      <c r="AE759" s="40"/>
      <c r="AF759" s="40"/>
      <c r="AG759" s="40" t="s">
        <v>60</v>
      </c>
      <c r="AH759" s="42">
        <v>2481.0</v>
      </c>
      <c r="AI759" s="40" t="s">
        <v>68</v>
      </c>
      <c r="AJ759" s="27">
        <v>2500.0</v>
      </c>
      <c r="AK759" s="31" t="s">
        <v>25</v>
      </c>
      <c r="AL759" s="43">
        <v>44841.0</v>
      </c>
      <c r="AM759" s="44">
        <v>44937.81995370371</v>
      </c>
      <c r="AN759" s="30">
        <v>2.0</v>
      </c>
      <c r="AO759" s="40"/>
      <c r="AP759" s="40"/>
      <c r="AQ759" s="40"/>
      <c r="AR759" s="40"/>
      <c r="AS759" s="40"/>
      <c r="AT759" s="47"/>
      <c r="AU759" s="40"/>
      <c r="AV759" s="46" t="str">
        <f>IFERROR(__xludf.DUMMYFUNCTION("""COMPUTED_VALUE"""),"Clay")</f>
        <v>Clay</v>
      </c>
      <c r="AW759" s="46">
        <f t="shared" si="7"/>
        <v>250</v>
      </c>
      <c r="AX759" s="47">
        <f t="shared" ref="AX759:BQ759" si="2388">SUMIFS($AJ:$AJ,$V:$V,$AV759,$AK:$AK,AX$2)</f>
        <v>0</v>
      </c>
      <c r="AY759" s="48">
        <f t="shared" si="2388"/>
        <v>0</v>
      </c>
      <c r="AZ759" s="48">
        <f t="shared" si="2388"/>
        <v>0</v>
      </c>
      <c r="BA759" s="48">
        <f t="shared" si="2388"/>
        <v>250</v>
      </c>
      <c r="BB759" s="48">
        <f t="shared" si="2388"/>
        <v>0</v>
      </c>
      <c r="BC759" s="48">
        <f t="shared" si="2388"/>
        <v>0</v>
      </c>
      <c r="BD759" s="48">
        <f t="shared" si="2388"/>
        <v>0</v>
      </c>
      <c r="BE759" s="48">
        <f t="shared" si="2388"/>
        <v>0</v>
      </c>
      <c r="BF759" s="48">
        <f t="shared" si="2388"/>
        <v>0</v>
      </c>
      <c r="BG759" s="48">
        <f t="shared" si="2388"/>
        <v>0</v>
      </c>
      <c r="BH759" s="48">
        <f t="shared" si="2388"/>
        <v>0</v>
      </c>
      <c r="BI759" s="48">
        <f t="shared" si="2388"/>
        <v>0</v>
      </c>
      <c r="BJ759" s="48">
        <f t="shared" si="2388"/>
        <v>0</v>
      </c>
      <c r="BK759" s="48">
        <f t="shared" si="2388"/>
        <v>0</v>
      </c>
      <c r="BL759" s="48">
        <f t="shared" si="2388"/>
        <v>0</v>
      </c>
      <c r="BM759" s="48">
        <f t="shared" si="2388"/>
        <v>0</v>
      </c>
      <c r="BN759" s="48">
        <f t="shared" si="2388"/>
        <v>0</v>
      </c>
      <c r="BO759" s="48">
        <f t="shared" si="2388"/>
        <v>0</v>
      </c>
      <c r="BP759" s="48">
        <f t="shared" si="2388"/>
        <v>0</v>
      </c>
      <c r="BQ759" s="48">
        <f t="shared" si="2388"/>
        <v>0</v>
      </c>
      <c r="BR759" s="36">
        <f t="shared" si="9"/>
        <v>0</v>
      </c>
      <c r="BS759" s="38">
        <f t="shared" si="10"/>
        <v>1</v>
      </c>
      <c r="BT759" s="49">
        <f t="shared" si="11"/>
        <v>0</v>
      </c>
      <c r="BU759" s="38">
        <f t="shared" si="12"/>
        <v>1000</v>
      </c>
      <c r="BV759" s="46" t="str">
        <f>IFERROR(__xludf.DUMMYFUNCTION("""COMPUTED_VALUE"""),"Clay")</f>
        <v>Clay</v>
      </c>
      <c r="BW759" s="46">
        <f t="shared" si="13"/>
        <v>250</v>
      </c>
      <c r="BX759" s="47">
        <f t="shared" ref="BX759:CA759" si="2389">AX759-$BU759</f>
        <v>-1000</v>
      </c>
      <c r="BY759" s="47">
        <f t="shared" si="2389"/>
        <v>-1000</v>
      </c>
      <c r="BZ759" s="47">
        <f t="shared" si="2389"/>
        <v>-1000</v>
      </c>
      <c r="CA759" s="47">
        <f t="shared" si="2389"/>
        <v>-750</v>
      </c>
      <c r="CB759" s="47">
        <f t="shared" si="15"/>
        <v>-10000</v>
      </c>
      <c r="CC759" s="47">
        <f t="shared" ref="CC759:CQ759" si="2390">BC759-$BU759</f>
        <v>-1000</v>
      </c>
      <c r="CD759" s="47">
        <f t="shared" si="2390"/>
        <v>-1000</v>
      </c>
      <c r="CE759" s="47">
        <f t="shared" si="2390"/>
        <v>-1000</v>
      </c>
      <c r="CF759" s="47">
        <f t="shared" si="2390"/>
        <v>-1000</v>
      </c>
      <c r="CG759" s="47">
        <f t="shared" si="2390"/>
        <v>-1000</v>
      </c>
      <c r="CH759" s="47">
        <f t="shared" si="2390"/>
        <v>-1000</v>
      </c>
      <c r="CI759" s="47">
        <f t="shared" si="2390"/>
        <v>-1000</v>
      </c>
      <c r="CJ759" s="47">
        <f t="shared" si="2390"/>
        <v>-1000</v>
      </c>
      <c r="CK759" s="47">
        <f t="shared" si="2390"/>
        <v>-1000</v>
      </c>
      <c r="CL759" s="47">
        <f t="shared" si="2390"/>
        <v>-1000</v>
      </c>
      <c r="CM759" s="47">
        <f t="shared" si="2390"/>
        <v>-1000</v>
      </c>
      <c r="CN759" s="47">
        <f t="shared" si="2390"/>
        <v>-1000</v>
      </c>
      <c r="CO759" s="47">
        <f t="shared" si="2390"/>
        <v>-1000</v>
      </c>
      <c r="CP759" s="47">
        <f t="shared" si="2390"/>
        <v>-1000</v>
      </c>
      <c r="CQ759" s="47">
        <f t="shared" si="2390"/>
        <v>-1000</v>
      </c>
      <c r="CR759" s="47"/>
      <c r="CS759" s="47"/>
      <c r="CT759" s="47"/>
      <c r="CU759" s="74"/>
      <c r="CV759" s="74"/>
      <c r="CW759" s="74" t="str">
        <f>IFERROR(__xludf.DUMMYFUNCTION("IF(REGEXMATCH(UPPER(CU759), ""DALLAS""),,CU759)"),"")</f>
        <v/>
      </c>
      <c r="CX759" s="74"/>
      <c r="CY759" s="74"/>
      <c r="CZ759" s="74"/>
      <c r="DA759" s="75"/>
      <c r="DB759" s="74"/>
      <c r="DC759" s="74"/>
      <c r="DD759" s="74"/>
      <c r="DE759" s="74"/>
      <c r="DF759" s="74"/>
      <c r="DG759" s="74"/>
      <c r="DH759" s="74"/>
      <c r="DI759" s="74"/>
      <c r="DJ759" s="74"/>
      <c r="DK759" s="74"/>
      <c r="DL759" s="74"/>
      <c r="DM759" s="74"/>
      <c r="DN759" s="74"/>
      <c r="DO759" s="74"/>
      <c r="DP759" s="74"/>
      <c r="DQ759" s="74"/>
      <c r="DR759" s="74"/>
      <c r="DS759" s="74"/>
      <c r="DT759" s="74"/>
      <c r="DU759" s="74"/>
      <c r="DV759" s="74"/>
      <c r="DW759" s="74"/>
    </row>
    <row r="760">
      <c r="A760" s="22" t="s">
        <v>55</v>
      </c>
      <c r="B760" s="23" t="s">
        <v>56</v>
      </c>
      <c r="C760" s="31" t="s">
        <v>1984</v>
      </c>
      <c r="D760" s="25" t="str">
        <f>IFERROR(__xludf.DUMMYFUNCTION("SPLIT(C760,"" "")"),"Schenkel,")</f>
        <v>Schenkel,</v>
      </c>
      <c r="E760" s="22" t="str">
        <f>IFERROR(__xludf.DUMMYFUNCTION("""COMPUTED_VALUE"""),"Pete
614")</f>
        <v>Pete
614</v>
      </c>
      <c r="F760" s="22" t="str">
        <f>IFERROR(__xludf.DUMMYFUNCTION("""COMPUTED_VALUE"""),"N")</f>
        <v>N</v>
      </c>
      <c r="G760" s="22" t="str">
        <f>IFERROR(__xludf.DUMMYFUNCTION("""COMPUTED_VALUE"""),"Bishop
Dallas,")</f>
        <v>Bishop
Dallas,</v>
      </c>
      <c r="H760" s="22" t="str">
        <f>IFERROR(__xludf.DUMMYFUNCTION("""COMPUTED_VALUE"""),"TX")</f>
        <v>TX</v>
      </c>
      <c r="I760" s="22">
        <f>IFERROR(__xludf.DUMMYFUNCTION("""COMPUTED_VALUE"""),75208.0)</f>
        <v>75208</v>
      </c>
      <c r="J760" s="22"/>
      <c r="K760" s="22"/>
      <c r="L760" s="22"/>
      <c r="M760" s="22"/>
      <c r="N760" s="22"/>
      <c r="O760" s="22"/>
      <c r="P760" s="22"/>
      <c r="Q760" s="22"/>
      <c r="R760" s="22"/>
      <c r="S760" s="22"/>
      <c r="T760" s="22"/>
      <c r="U760" s="24" t="str">
        <f>IFERROR(__xludf.DUMMYFUNCTION("SPLIT(E760,""01234567890"")"),"Pete
")</f>
        <v>Pete
</v>
      </c>
      <c r="V760" s="24" t="str">
        <f>IFERROR(__xludf.DUMMYFUNCTION("SPLIT(D760,"","")"),"Schenkel")</f>
        <v>Schenkel</v>
      </c>
      <c r="W760" s="25" t="str">
        <f t="shared" si="1"/>
        <v>PETE
 SCHENKEL</v>
      </c>
      <c r="X760" s="22"/>
      <c r="Y760" s="22"/>
      <c r="Z760" s="25" t="str">
        <f>IFERROR(__xludf.DUMMYFUNCTION("SPLIT(C760,""
"")"),"Schenkel, Pete")</f>
        <v>Schenkel, Pete</v>
      </c>
      <c r="AA760" s="22" t="str">
        <f>IFERROR(__xludf.DUMMYFUNCTION("""COMPUTED_VALUE"""),"614 N Bishop")</f>
        <v>614 N Bishop</v>
      </c>
      <c r="AB760" s="22" t="str">
        <f>IFERROR(__xludf.DUMMYFUNCTION("""COMPUTED_VALUE"""),"Dallas, TX 75208")</f>
        <v>Dallas, TX 75208</v>
      </c>
      <c r="AC760" s="31" t="s">
        <v>1309</v>
      </c>
      <c r="AD760" s="22"/>
      <c r="AE760" s="22"/>
      <c r="AF760" s="22"/>
      <c r="AG760" s="22" t="s">
        <v>60</v>
      </c>
      <c r="AH760" s="54">
        <v>2481.0</v>
      </c>
      <c r="AI760" s="22" t="s">
        <v>68</v>
      </c>
      <c r="AJ760" s="27">
        <v>2500.0</v>
      </c>
      <c r="AK760" s="31" t="s">
        <v>25</v>
      </c>
      <c r="AL760" s="28">
        <v>44851.0</v>
      </c>
      <c r="AM760" s="29">
        <v>44937.81995370371</v>
      </c>
      <c r="AN760" s="30">
        <v>2.0</v>
      </c>
      <c r="AO760" s="22"/>
      <c r="AP760" s="22"/>
      <c r="AQ760" s="22"/>
      <c r="AR760" s="22"/>
      <c r="AS760" s="22"/>
      <c r="AT760" s="70"/>
      <c r="AU760" s="22"/>
      <c r="AV760" s="57" t="str">
        <f>IFERROR(__xludf.DUMMYFUNCTION("""COMPUTED_VALUE"""),"Hoyt")</f>
        <v>Hoyt</v>
      </c>
      <c r="AW760" s="46">
        <f t="shared" si="7"/>
        <v>200</v>
      </c>
      <c r="AX760" s="47">
        <f t="shared" ref="AX760:BQ760" si="2391">SUMIFS($AJ:$AJ,$V:$V,$AV760,$AK:$AK,AX$2)</f>
        <v>0</v>
      </c>
      <c r="AY760" s="48">
        <f t="shared" si="2391"/>
        <v>0</v>
      </c>
      <c r="AZ760" s="48">
        <f t="shared" si="2391"/>
        <v>0</v>
      </c>
      <c r="BA760" s="48">
        <f t="shared" si="2391"/>
        <v>200</v>
      </c>
      <c r="BB760" s="48">
        <f t="shared" si="2391"/>
        <v>0</v>
      </c>
      <c r="BC760" s="48">
        <f t="shared" si="2391"/>
        <v>0</v>
      </c>
      <c r="BD760" s="48">
        <f t="shared" si="2391"/>
        <v>0</v>
      </c>
      <c r="BE760" s="48">
        <f t="shared" si="2391"/>
        <v>0</v>
      </c>
      <c r="BF760" s="48">
        <f t="shared" si="2391"/>
        <v>0</v>
      </c>
      <c r="BG760" s="48">
        <f t="shared" si="2391"/>
        <v>0</v>
      </c>
      <c r="BH760" s="48">
        <f t="shared" si="2391"/>
        <v>0</v>
      </c>
      <c r="BI760" s="48">
        <f t="shared" si="2391"/>
        <v>0</v>
      </c>
      <c r="BJ760" s="48">
        <f t="shared" si="2391"/>
        <v>0</v>
      </c>
      <c r="BK760" s="48">
        <f t="shared" si="2391"/>
        <v>0</v>
      </c>
      <c r="BL760" s="48">
        <f t="shared" si="2391"/>
        <v>0</v>
      </c>
      <c r="BM760" s="48">
        <f t="shared" si="2391"/>
        <v>0</v>
      </c>
      <c r="BN760" s="48">
        <f t="shared" si="2391"/>
        <v>0</v>
      </c>
      <c r="BO760" s="48">
        <f t="shared" si="2391"/>
        <v>0</v>
      </c>
      <c r="BP760" s="48">
        <f t="shared" si="2391"/>
        <v>0</v>
      </c>
      <c r="BQ760" s="48">
        <f t="shared" si="2391"/>
        <v>0</v>
      </c>
      <c r="BR760" s="36">
        <f t="shared" si="9"/>
        <v>0</v>
      </c>
      <c r="BS760" s="38">
        <f t="shared" si="10"/>
        <v>1</v>
      </c>
      <c r="BT760" s="49">
        <f t="shared" si="11"/>
        <v>0</v>
      </c>
      <c r="BU760" s="38">
        <f t="shared" si="12"/>
        <v>1000</v>
      </c>
      <c r="BV760" s="57" t="str">
        <f>IFERROR(__xludf.DUMMYFUNCTION("""COMPUTED_VALUE"""),"Hoyt")</f>
        <v>Hoyt</v>
      </c>
      <c r="BW760" s="46">
        <f t="shared" si="13"/>
        <v>200</v>
      </c>
      <c r="BX760" s="47">
        <f t="shared" ref="BX760:CA760" si="2392">AX760-$BU760</f>
        <v>-1000</v>
      </c>
      <c r="BY760" s="47">
        <f t="shared" si="2392"/>
        <v>-1000</v>
      </c>
      <c r="BZ760" s="47">
        <f t="shared" si="2392"/>
        <v>-1000</v>
      </c>
      <c r="CA760" s="47">
        <f t="shared" si="2392"/>
        <v>-800</v>
      </c>
      <c r="CB760" s="47">
        <f t="shared" si="15"/>
        <v>-10000</v>
      </c>
      <c r="CC760" s="47">
        <f t="shared" ref="CC760:CQ760" si="2393">BC760-$BU760</f>
        <v>-1000</v>
      </c>
      <c r="CD760" s="47">
        <f t="shared" si="2393"/>
        <v>-1000</v>
      </c>
      <c r="CE760" s="47">
        <f t="shared" si="2393"/>
        <v>-1000</v>
      </c>
      <c r="CF760" s="47">
        <f t="shared" si="2393"/>
        <v>-1000</v>
      </c>
      <c r="CG760" s="47">
        <f t="shared" si="2393"/>
        <v>-1000</v>
      </c>
      <c r="CH760" s="47">
        <f t="shared" si="2393"/>
        <v>-1000</v>
      </c>
      <c r="CI760" s="47">
        <f t="shared" si="2393"/>
        <v>-1000</v>
      </c>
      <c r="CJ760" s="47">
        <f t="shared" si="2393"/>
        <v>-1000</v>
      </c>
      <c r="CK760" s="47">
        <f t="shared" si="2393"/>
        <v>-1000</v>
      </c>
      <c r="CL760" s="47">
        <f t="shared" si="2393"/>
        <v>-1000</v>
      </c>
      <c r="CM760" s="47">
        <f t="shared" si="2393"/>
        <v>-1000</v>
      </c>
      <c r="CN760" s="47">
        <f t="shared" si="2393"/>
        <v>-1000</v>
      </c>
      <c r="CO760" s="47">
        <f t="shared" si="2393"/>
        <v>-1000</v>
      </c>
      <c r="CP760" s="47">
        <f t="shared" si="2393"/>
        <v>-1000</v>
      </c>
      <c r="CQ760" s="47">
        <f t="shared" si="2393"/>
        <v>-1000</v>
      </c>
      <c r="CR760" s="47"/>
      <c r="CS760" s="47"/>
      <c r="CT760" s="47"/>
      <c r="CU760" s="74"/>
      <c r="CV760" s="74"/>
      <c r="CW760" s="74" t="str">
        <f>IFERROR(__xludf.DUMMYFUNCTION("IF(REGEXMATCH(UPPER(CU760), ""DALLAS""),,CU760)"),"")</f>
        <v/>
      </c>
      <c r="CX760" s="74"/>
      <c r="CY760" s="74"/>
      <c r="CZ760" s="74"/>
      <c r="DA760" s="75"/>
      <c r="DB760" s="74"/>
      <c r="DC760" s="74"/>
      <c r="DD760" s="74"/>
      <c r="DE760" s="74"/>
      <c r="DF760" s="74"/>
      <c r="DG760" s="74"/>
      <c r="DH760" s="74"/>
      <c r="DI760" s="74"/>
      <c r="DJ760" s="74"/>
      <c r="DK760" s="74"/>
      <c r="DL760" s="74"/>
      <c r="DM760" s="74"/>
      <c r="DN760" s="74"/>
      <c r="DO760" s="74"/>
      <c r="DP760" s="74"/>
      <c r="DQ760" s="74"/>
      <c r="DR760" s="74"/>
      <c r="DS760" s="74"/>
      <c r="DT760" s="74"/>
      <c r="DU760" s="74"/>
      <c r="DV760" s="74"/>
      <c r="DW760" s="74"/>
    </row>
    <row r="761">
      <c r="A761" s="40" t="s">
        <v>55</v>
      </c>
      <c r="B761" s="41" t="s">
        <v>56</v>
      </c>
      <c r="C761" s="31" t="s">
        <v>1985</v>
      </c>
      <c r="D761" s="25" t="str">
        <f>IFERROR(__xludf.DUMMYFUNCTION("SPLIT(C761,"" "")"),"Schulz,")</f>
        <v>Schulz,</v>
      </c>
      <c r="E761" s="40" t="str">
        <f>IFERROR(__xludf.DUMMYFUNCTION("""COMPUTED_VALUE"""),"Amanda
5943")</f>
        <v>Amanda
5943</v>
      </c>
      <c r="F761" s="40" t="str">
        <f>IFERROR(__xludf.DUMMYFUNCTION("""COMPUTED_VALUE"""),"Palo")</f>
        <v>Palo</v>
      </c>
      <c r="G761" s="40" t="str">
        <f>IFERROR(__xludf.DUMMYFUNCTION("""COMPUTED_VALUE"""),"Pinto")</f>
        <v>Pinto</v>
      </c>
      <c r="H761" s="40" t="str">
        <f>IFERROR(__xludf.DUMMYFUNCTION("""COMPUTED_VALUE"""),"Ave
Dallas,")</f>
        <v>Ave
Dallas,</v>
      </c>
      <c r="I761" s="40" t="str">
        <f>IFERROR(__xludf.DUMMYFUNCTION("""COMPUTED_VALUE"""),"TX")</f>
        <v>TX</v>
      </c>
      <c r="J761" s="40">
        <f>IFERROR(__xludf.DUMMYFUNCTION("""COMPUTED_VALUE"""),75206.0)</f>
        <v>75206</v>
      </c>
      <c r="K761" s="40"/>
      <c r="L761" s="40"/>
      <c r="M761" s="40"/>
      <c r="N761" s="40"/>
      <c r="O761" s="40"/>
      <c r="P761" s="40"/>
      <c r="Q761" s="40"/>
      <c r="R761" s="40"/>
      <c r="S761" s="40"/>
      <c r="T761" s="40"/>
      <c r="U761" s="24" t="str">
        <f>IFERROR(__xludf.DUMMYFUNCTION("SPLIT(E761,""01234567890"")"),"Amanda
")</f>
        <v>Amanda
</v>
      </c>
      <c r="V761" s="24" t="str">
        <f>IFERROR(__xludf.DUMMYFUNCTION("SPLIT(D761,"","")"),"Schulz")</f>
        <v>Schulz</v>
      </c>
      <c r="W761" s="25" t="str">
        <f t="shared" si="1"/>
        <v>AMANDA
 SCHULZ</v>
      </c>
      <c r="X761" s="40"/>
      <c r="Y761" s="40"/>
      <c r="Z761" s="25" t="str">
        <f>IFERROR(__xludf.DUMMYFUNCTION("SPLIT(C761,""
"")"),"Schulz, Amanda")</f>
        <v>Schulz, Amanda</v>
      </c>
      <c r="AA761" s="40" t="str">
        <f>IFERROR(__xludf.DUMMYFUNCTION("""COMPUTED_VALUE"""),"5943 Palo Pinto Ave")</f>
        <v>5943 Palo Pinto Ave</v>
      </c>
      <c r="AB761" s="40" t="str">
        <f>IFERROR(__xludf.DUMMYFUNCTION("""COMPUTED_VALUE"""),"Dallas, TX 75206")</f>
        <v>Dallas, TX 75206</v>
      </c>
      <c r="AC761" s="31" t="s">
        <v>1986</v>
      </c>
      <c r="AD761" s="40"/>
      <c r="AE761" s="40"/>
      <c r="AF761" s="40"/>
      <c r="AG761" s="40" t="s">
        <v>60</v>
      </c>
      <c r="AH761" s="42">
        <v>2481.0</v>
      </c>
      <c r="AI761" s="40" t="s">
        <v>68</v>
      </c>
      <c r="AJ761" s="27">
        <v>500.0</v>
      </c>
      <c r="AK761" s="31" t="s">
        <v>25</v>
      </c>
      <c r="AL761" s="43">
        <v>44826.0</v>
      </c>
      <c r="AM761" s="44">
        <v>44937.81995370371</v>
      </c>
      <c r="AN761" s="30">
        <v>2.0</v>
      </c>
      <c r="AO761" s="40"/>
      <c r="AP761" s="40"/>
      <c r="AQ761" s="40"/>
      <c r="AR761" s="40"/>
      <c r="AS761" s="40"/>
      <c r="AT761" s="47"/>
      <c r="AU761" s="40"/>
      <c r="AV761" s="46" t="str">
        <f>IFERROR(__xludf.DUMMYFUNCTION("""COMPUTED_VALUE"""),"Hofland")</f>
        <v>Hofland</v>
      </c>
      <c r="AW761" s="46">
        <f t="shared" si="7"/>
        <v>250</v>
      </c>
      <c r="AX761" s="47">
        <f t="shared" ref="AX761:BQ761" si="2394">SUMIFS($AJ:$AJ,$V:$V,$AV761,$AK:$AK,AX$2)</f>
        <v>0</v>
      </c>
      <c r="AY761" s="48">
        <f t="shared" si="2394"/>
        <v>0</v>
      </c>
      <c r="AZ761" s="48">
        <f t="shared" si="2394"/>
        <v>0</v>
      </c>
      <c r="BA761" s="48">
        <f t="shared" si="2394"/>
        <v>250</v>
      </c>
      <c r="BB761" s="48">
        <f t="shared" si="2394"/>
        <v>0</v>
      </c>
      <c r="BC761" s="48">
        <f t="shared" si="2394"/>
        <v>0</v>
      </c>
      <c r="BD761" s="48">
        <f t="shared" si="2394"/>
        <v>0</v>
      </c>
      <c r="BE761" s="48">
        <f t="shared" si="2394"/>
        <v>0</v>
      </c>
      <c r="BF761" s="48">
        <f t="shared" si="2394"/>
        <v>0</v>
      </c>
      <c r="BG761" s="48">
        <f t="shared" si="2394"/>
        <v>0</v>
      </c>
      <c r="BH761" s="48">
        <f t="shared" si="2394"/>
        <v>0</v>
      </c>
      <c r="BI761" s="48">
        <f t="shared" si="2394"/>
        <v>0</v>
      </c>
      <c r="BJ761" s="48">
        <f t="shared" si="2394"/>
        <v>0</v>
      </c>
      <c r="BK761" s="48">
        <f t="shared" si="2394"/>
        <v>0</v>
      </c>
      <c r="BL761" s="48">
        <f t="shared" si="2394"/>
        <v>0</v>
      </c>
      <c r="BM761" s="48">
        <f t="shared" si="2394"/>
        <v>0</v>
      </c>
      <c r="BN761" s="48">
        <f t="shared" si="2394"/>
        <v>0</v>
      </c>
      <c r="BO761" s="48">
        <f t="shared" si="2394"/>
        <v>0</v>
      </c>
      <c r="BP761" s="48">
        <f t="shared" si="2394"/>
        <v>0</v>
      </c>
      <c r="BQ761" s="48">
        <f t="shared" si="2394"/>
        <v>0</v>
      </c>
      <c r="BR761" s="36">
        <f t="shared" si="9"/>
        <v>0</v>
      </c>
      <c r="BS761" s="38">
        <f t="shared" si="10"/>
        <v>1</v>
      </c>
      <c r="BT761" s="49">
        <f t="shared" si="11"/>
        <v>0</v>
      </c>
      <c r="BU761" s="38">
        <f t="shared" si="12"/>
        <v>1000</v>
      </c>
      <c r="BV761" s="46" t="str">
        <f>IFERROR(__xludf.DUMMYFUNCTION("""COMPUTED_VALUE"""),"Hofland")</f>
        <v>Hofland</v>
      </c>
      <c r="BW761" s="46">
        <f t="shared" si="13"/>
        <v>250</v>
      </c>
      <c r="BX761" s="47">
        <f t="shared" ref="BX761:CA761" si="2395">AX761-$BU761</f>
        <v>-1000</v>
      </c>
      <c r="BY761" s="47">
        <f t="shared" si="2395"/>
        <v>-1000</v>
      </c>
      <c r="BZ761" s="47">
        <f t="shared" si="2395"/>
        <v>-1000</v>
      </c>
      <c r="CA761" s="47">
        <f t="shared" si="2395"/>
        <v>-750</v>
      </c>
      <c r="CB761" s="47">
        <f t="shared" si="15"/>
        <v>-10000</v>
      </c>
      <c r="CC761" s="47">
        <f t="shared" ref="CC761:CQ761" si="2396">BC761-$BU761</f>
        <v>-1000</v>
      </c>
      <c r="CD761" s="47">
        <f t="shared" si="2396"/>
        <v>-1000</v>
      </c>
      <c r="CE761" s="47">
        <f t="shared" si="2396"/>
        <v>-1000</v>
      </c>
      <c r="CF761" s="47">
        <f t="shared" si="2396"/>
        <v>-1000</v>
      </c>
      <c r="CG761" s="47">
        <f t="shared" si="2396"/>
        <v>-1000</v>
      </c>
      <c r="CH761" s="47">
        <f t="shared" si="2396"/>
        <v>-1000</v>
      </c>
      <c r="CI761" s="47">
        <f t="shared" si="2396"/>
        <v>-1000</v>
      </c>
      <c r="CJ761" s="47">
        <f t="shared" si="2396"/>
        <v>-1000</v>
      </c>
      <c r="CK761" s="47">
        <f t="shared" si="2396"/>
        <v>-1000</v>
      </c>
      <c r="CL761" s="47">
        <f t="shared" si="2396"/>
        <v>-1000</v>
      </c>
      <c r="CM761" s="47">
        <f t="shared" si="2396"/>
        <v>-1000</v>
      </c>
      <c r="CN761" s="47">
        <f t="shared" si="2396"/>
        <v>-1000</v>
      </c>
      <c r="CO761" s="47">
        <f t="shared" si="2396"/>
        <v>-1000</v>
      </c>
      <c r="CP761" s="47">
        <f t="shared" si="2396"/>
        <v>-1000</v>
      </c>
      <c r="CQ761" s="47">
        <f t="shared" si="2396"/>
        <v>-1000</v>
      </c>
      <c r="CR761" s="47"/>
      <c r="CS761" s="47"/>
      <c r="CT761" s="47"/>
      <c r="CU761" s="74"/>
      <c r="CV761" s="74"/>
      <c r="CW761" s="74" t="str">
        <f>IFERROR(__xludf.DUMMYFUNCTION("IF(REGEXMATCH(UPPER(CU761), ""DALLAS""),,CU761)"),"")</f>
        <v/>
      </c>
      <c r="CX761" s="74"/>
      <c r="CY761" s="74"/>
      <c r="CZ761" s="74"/>
      <c r="DA761" s="75"/>
      <c r="DB761" s="74"/>
      <c r="DC761" s="74"/>
      <c r="DD761" s="74"/>
      <c r="DE761" s="74"/>
      <c r="DF761" s="74"/>
      <c r="DG761" s="74"/>
      <c r="DH761" s="74"/>
      <c r="DI761" s="74"/>
      <c r="DJ761" s="74"/>
      <c r="DK761" s="74"/>
      <c r="DL761" s="74"/>
      <c r="DM761" s="74"/>
      <c r="DN761" s="74"/>
      <c r="DO761" s="74"/>
      <c r="DP761" s="74"/>
      <c r="DQ761" s="74"/>
      <c r="DR761" s="74"/>
      <c r="DS761" s="74"/>
      <c r="DT761" s="74"/>
      <c r="DU761" s="74"/>
      <c r="DV761" s="74"/>
      <c r="DW761" s="74"/>
    </row>
    <row r="762">
      <c r="A762" s="22" t="s">
        <v>55</v>
      </c>
      <c r="B762" s="23" t="s">
        <v>56</v>
      </c>
      <c r="C762" s="31" t="s">
        <v>1987</v>
      </c>
      <c r="D762" s="25" t="str">
        <f>IFERROR(__xludf.DUMMYFUNCTION("SPLIT(C762,"" "")"),"Sewell,")</f>
        <v>Sewell,</v>
      </c>
      <c r="E762" s="22" t="str">
        <f>IFERROR(__xludf.DUMMYFUNCTION("""COMPUTED_VALUE"""),"Carl")</f>
        <v>Carl</v>
      </c>
      <c r="F762" s="22" t="str">
        <f>IFERROR(__xludf.DUMMYFUNCTION("""COMPUTED_VALUE"""),"&amp;")</f>
        <v>&amp;</v>
      </c>
      <c r="G762" s="22" t="str">
        <f>IFERROR(__xludf.DUMMYFUNCTION("""COMPUTED_VALUE"""),"Peggy
3860")</f>
        <v>Peggy
3860</v>
      </c>
      <c r="H762" s="22" t="str">
        <f>IFERROR(__xludf.DUMMYFUNCTION("""COMPUTED_VALUE"""),"W")</f>
        <v>W</v>
      </c>
      <c r="I762" s="22" t="str">
        <f>IFERROR(__xludf.DUMMYFUNCTION("""COMPUTED_VALUE"""),"Northwest")</f>
        <v>Northwest</v>
      </c>
      <c r="J762" s="22" t="str">
        <f>IFERROR(__xludf.DUMMYFUNCTION("""COMPUTED_VALUE"""),"Hwy
Dallas,")</f>
        <v>Hwy
Dallas,</v>
      </c>
      <c r="K762" s="22" t="str">
        <f>IFERROR(__xludf.DUMMYFUNCTION("""COMPUTED_VALUE"""),"TX")</f>
        <v>TX</v>
      </c>
      <c r="L762" s="22">
        <f>IFERROR(__xludf.DUMMYFUNCTION("""COMPUTED_VALUE"""),75220.0)</f>
        <v>75220</v>
      </c>
      <c r="M762" s="22"/>
      <c r="N762" s="22"/>
      <c r="O762" s="22"/>
      <c r="P762" s="22"/>
      <c r="Q762" s="22"/>
      <c r="R762" s="22"/>
      <c r="S762" s="22"/>
      <c r="T762" s="22"/>
      <c r="U762" s="24" t="str">
        <f>IFERROR(__xludf.DUMMYFUNCTION("SPLIT(E762,""01234567890"")"),"Carl")</f>
        <v>Carl</v>
      </c>
      <c r="V762" s="24" t="str">
        <f>IFERROR(__xludf.DUMMYFUNCTION("SPLIT(D762,"","")"),"Sewell")</f>
        <v>Sewell</v>
      </c>
      <c r="W762" s="25" t="str">
        <f t="shared" si="1"/>
        <v>CARL SEWELL</v>
      </c>
      <c r="X762" s="22"/>
      <c r="Y762" s="22"/>
      <c r="Z762" s="25" t="str">
        <f>IFERROR(__xludf.DUMMYFUNCTION("SPLIT(C762,""
"")"),"Sewell, Carl &amp; Peggy")</f>
        <v>Sewell, Carl &amp; Peggy</v>
      </c>
      <c r="AA762" s="22" t="str">
        <f>IFERROR(__xludf.DUMMYFUNCTION("""COMPUTED_VALUE"""),"3860 W Northwest Hwy")</f>
        <v>3860 W Northwest Hwy</v>
      </c>
      <c r="AB762" s="22" t="str">
        <f>IFERROR(__xludf.DUMMYFUNCTION("""COMPUTED_VALUE"""),"Dallas, TX 75220")</f>
        <v>Dallas, TX 75220</v>
      </c>
      <c r="AC762" s="31" t="s">
        <v>1988</v>
      </c>
      <c r="AD762" s="22"/>
      <c r="AE762" s="22"/>
      <c r="AF762" s="22"/>
      <c r="AG762" s="22" t="s">
        <v>60</v>
      </c>
      <c r="AH762" s="54">
        <v>2481.0</v>
      </c>
      <c r="AI762" s="22" t="s">
        <v>68</v>
      </c>
      <c r="AJ762" s="27">
        <v>10000.0</v>
      </c>
      <c r="AK762" s="31" t="s">
        <v>25</v>
      </c>
      <c r="AL762" s="28">
        <v>44826.0</v>
      </c>
      <c r="AM762" s="29">
        <v>44937.81995370371</v>
      </c>
      <c r="AN762" s="30">
        <v>2.0</v>
      </c>
      <c r="AO762" s="22"/>
      <c r="AP762" s="22"/>
      <c r="AQ762" s="22"/>
      <c r="AR762" s="22"/>
      <c r="AS762" s="22"/>
      <c r="AT762" s="70"/>
      <c r="AU762" s="22"/>
      <c r="AV762" s="57" t="str">
        <f>IFERROR(__xludf.DUMMYFUNCTION("""COMPUTED_VALUE"""),"Boone")</f>
        <v>Boone</v>
      </c>
      <c r="AW762" s="46">
        <f t="shared" si="7"/>
        <v>2000</v>
      </c>
      <c r="AX762" s="47">
        <f t="shared" ref="AX762:BQ762" si="2397">SUMIFS($AJ:$AJ,$V:$V,$AV762,$AK:$AK,AX$2)</f>
        <v>0</v>
      </c>
      <c r="AY762" s="48">
        <f t="shared" si="2397"/>
        <v>0</v>
      </c>
      <c r="AZ762" s="48">
        <f t="shared" si="2397"/>
        <v>0</v>
      </c>
      <c r="BA762" s="48">
        <f t="shared" si="2397"/>
        <v>1000</v>
      </c>
      <c r="BB762" s="48">
        <f t="shared" si="2397"/>
        <v>0</v>
      </c>
      <c r="BC762" s="48">
        <f t="shared" si="2397"/>
        <v>0</v>
      </c>
      <c r="BD762" s="48">
        <f t="shared" si="2397"/>
        <v>1000</v>
      </c>
      <c r="BE762" s="48">
        <f t="shared" si="2397"/>
        <v>0</v>
      </c>
      <c r="BF762" s="48">
        <f t="shared" si="2397"/>
        <v>0</v>
      </c>
      <c r="BG762" s="48">
        <f t="shared" si="2397"/>
        <v>0</v>
      </c>
      <c r="BH762" s="48">
        <f t="shared" si="2397"/>
        <v>0</v>
      </c>
      <c r="BI762" s="48">
        <f t="shared" si="2397"/>
        <v>0</v>
      </c>
      <c r="BJ762" s="48">
        <f t="shared" si="2397"/>
        <v>0</v>
      </c>
      <c r="BK762" s="48">
        <f t="shared" si="2397"/>
        <v>0</v>
      </c>
      <c r="BL762" s="48">
        <f t="shared" si="2397"/>
        <v>0</v>
      </c>
      <c r="BM762" s="48">
        <f t="shared" si="2397"/>
        <v>0</v>
      </c>
      <c r="BN762" s="48">
        <f t="shared" si="2397"/>
        <v>0</v>
      </c>
      <c r="BO762" s="48">
        <f t="shared" si="2397"/>
        <v>0</v>
      </c>
      <c r="BP762" s="48">
        <f t="shared" si="2397"/>
        <v>0</v>
      </c>
      <c r="BQ762" s="48">
        <f t="shared" si="2397"/>
        <v>0</v>
      </c>
      <c r="BR762" s="36">
        <f t="shared" si="9"/>
        <v>0</v>
      </c>
      <c r="BS762" s="38">
        <f t="shared" si="10"/>
        <v>1</v>
      </c>
      <c r="BT762" s="49">
        <f t="shared" si="11"/>
        <v>0</v>
      </c>
      <c r="BU762" s="38">
        <f t="shared" si="12"/>
        <v>1000</v>
      </c>
      <c r="BV762" s="57" t="str">
        <f>IFERROR(__xludf.DUMMYFUNCTION("""COMPUTED_VALUE"""),"Boone")</f>
        <v>Boone</v>
      </c>
      <c r="BW762" s="46">
        <f t="shared" si="13"/>
        <v>2000</v>
      </c>
      <c r="BX762" s="47">
        <f t="shared" ref="BX762:CA762" si="2398">AX762-$BU762</f>
        <v>-1000</v>
      </c>
      <c r="BY762" s="47">
        <f t="shared" si="2398"/>
        <v>-1000</v>
      </c>
      <c r="BZ762" s="47">
        <f t="shared" si="2398"/>
        <v>-1000</v>
      </c>
      <c r="CA762" s="47">
        <f t="shared" si="2398"/>
        <v>0</v>
      </c>
      <c r="CB762" s="47">
        <f t="shared" si="15"/>
        <v>-10000</v>
      </c>
      <c r="CC762" s="47">
        <f t="shared" ref="CC762:CQ762" si="2399">BC762-$BU762</f>
        <v>-1000</v>
      </c>
      <c r="CD762" s="47">
        <f t="shared" si="2399"/>
        <v>0</v>
      </c>
      <c r="CE762" s="47">
        <f t="shared" si="2399"/>
        <v>-1000</v>
      </c>
      <c r="CF762" s="47">
        <f t="shared" si="2399"/>
        <v>-1000</v>
      </c>
      <c r="CG762" s="47">
        <f t="shared" si="2399"/>
        <v>-1000</v>
      </c>
      <c r="CH762" s="47">
        <f t="shared" si="2399"/>
        <v>-1000</v>
      </c>
      <c r="CI762" s="47">
        <f t="shared" si="2399"/>
        <v>-1000</v>
      </c>
      <c r="CJ762" s="47">
        <f t="shared" si="2399"/>
        <v>-1000</v>
      </c>
      <c r="CK762" s="47">
        <f t="shared" si="2399"/>
        <v>-1000</v>
      </c>
      <c r="CL762" s="47">
        <f t="shared" si="2399"/>
        <v>-1000</v>
      </c>
      <c r="CM762" s="47">
        <f t="shared" si="2399"/>
        <v>-1000</v>
      </c>
      <c r="CN762" s="47">
        <f t="shared" si="2399"/>
        <v>-1000</v>
      </c>
      <c r="CO762" s="47">
        <f t="shared" si="2399"/>
        <v>-1000</v>
      </c>
      <c r="CP762" s="47">
        <f t="shared" si="2399"/>
        <v>-1000</v>
      </c>
      <c r="CQ762" s="47">
        <f t="shared" si="2399"/>
        <v>-1000</v>
      </c>
      <c r="CR762" s="47"/>
      <c r="CS762" s="47"/>
      <c r="CT762" s="47"/>
      <c r="CU762" s="74"/>
      <c r="CV762" s="74"/>
      <c r="CW762" s="74" t="str">
        <f>IFERROR(__xludf.DUMMYFUNCTION("IF(REGEXMATCH(UPPER(CU762), ""DALLAS""),,CU762)"),"")</f>
        <v/>
      </c>
      <c r="CX762" s="74"/>
      <c r="CY762" s="74"/>
      <c r="CZ762" s="74"/>
      <c r="DA762" s="75"/>
      <c r="DB762" s="74"/>
      <c r="DC762" s="74"/>
      <c r="DD762" s="74"/>
      <c r="DE762" s="74"/>
      <c r="DF762" s="74"/>
      <c r="DG762" s="74"/>
      <c r="DH762" s="74"/>
      <c r="DI762" s="74"/>
      <c r="DJ762" s="74"/>
      <c r="DK762" s="74"/>
      <c r="DL762" s="74"/>
      <c r="DM762" s="74"/>
      <c r="DN762" s="74"/>
      <c r="DO762" s="74"/>
      <c r="DP762" s="74"/>
      <c r="DQ762" s="74"/>
      <c r="DR762" s="74"/>
      <c r="DS762" s="74"/>
      <c r="DT762" s="74"/>
      <c r="DU762" s="74"/>
      <c r="DV762" s="74"/>
      <c r="DW762" s="74"/>
    </row>
    <row r="763">
      <c r="A763" s="40" t="s">
        <v>55</v>
      </c>
      <c r="B763" s="41" t="s">
        <v>56</v>
      </c>
      <c r="C763" s="31" t="s">
        <v>824</v>
      </c>
      <c r="D763" s="25" t="str">
        <f>IFERROR(__xludf.DUMMYFUNCTION("SPLIT(C763,"" "")"),"White,")</f>
        <v>White,</v>
      </c>
      <c r="E763" s="40" t="str">
        <f>IFERROR(__xludf.DUMMYFUNCTION("""COMPUTED_VALUE"""),"Carlos
733")</f>
        <v>Carlos
733</v>
      </c>
      <c r="F763" s="40" t="str">
        <f>IFERROR(__xludf.DUMMYFUNCTION("""COMPUTED_VALUE"""),"Mulberry")</f>
        <v>Mulberry</v>
      </c>
      <c r="G763" s="40" t="str">
        <f>IFERROR(__xludf.DUMMYFUNCTION("""COMPUTED_VALUE"""),"Lane
Desoto,")</f>
        <v>Lane
Desoto,</v>
      </c>
      <c r="H763" s="40" t="str">
        <f>IFERROR(__xludf.DUMMYFUNCTION("""COMPUTED_VALUE"""),"TX")</f>
        <v>TX</v>
      </c>
      <c r="I763" s="40">
        <f>IFERROR(__xludf.DUMMYFUNCTION("""COMPUTED_VALUE"""),75115.0)</f>
        <v>75115</v>
      </c>
      <c r="J763" s="40"/>
      <c r="K763" s="40"/>
      <c r="L763" s="40"/>
      <c r="M763" s="40"/>
      <c r="N763" s="40"/>
      <c r="O763" s="40"/>
      <c r="P763" s="40"/>
      <c r="Q763" s="40"/>
      <c r="R763" s="40"/>
      <c r="S763" s="40"/>
      <c r="T763" s="40"/>
      <c r="U763" s="24" t="str">
        <f>IFERROR(__xludf.DUMMYFUNCTION("SPLIT(E763,""01234567890"")"),"Carlos
")</f>
        <v>Carlos
</v>
      </c>
      <c r="V763" s="24" t="str">
        <f>IFERROR(__xludf.DUMMYFUNCTION("SPLIT(D763,"","")"),"White")</f>
        <v>White</v>
      </c>
      <c r="W763" s="25" t="str">
        <f t="shared" si="1"/>
        <v>CARLOS
 WHITE</v>
      </c>
      <c r="X763" s="40"/>
      <c r="Y763" s="40"/>
      <c r="Z763" s="25" t="str">
        <f>IFERROR(__xludf.DUMMYFUNCTION("SPLIT(C763,""
"")"),"White, Carlos")</f>
        <v>White, Carlos</v>
      </c>
      <c r="AA763" s="40" t="str">
        <f>IFERROR(__xludf.DUMMYFUNCTION("""COMPUTED_VALUE"""),"733 Mulberry Lane")</f>
        <v>733 Mulberry Lane</v>
      </c>
      <c r="AB763" s="40" t="str">
        <f>IFERROR(__xludf.DUMMYFUNCTION("""COMPUTED_VALUE"""),"Desoto, TX 75115")</f>
        <v>Desoto, TX 75115</v>
      </c>
      <c r="AC763" s="31" t="s">
        <v>826</v>
      </c>
      <c r="AD763" s="40"/>
      <c r="AE763" s="40"/>
      <c r="AF763" s="40"/>
      <c r="AG763" s="40" t="s">
        <v>60</v>
      </c>
      <c r="AH763" s="42">
        <v>2481.0</v>
      </c>
      <c r="AI763" s="40" t="s">
        <v>68</v>
      </c>
      <c r="AJ763" s="27">
        <v>1500.0</v>
      </c>
      <c r="AK763" s="31" t="s">
        <v>25</v>
      </c>
      <c r="AL763" s="43">
        <v>44824.0</v>
      </c>
      <c r="AM763" s="44">
        <v>44937.81995370371</v>
      </c>
      <c r="AN763" s="30">
        <v>2.0</v>
      </c>
      <c r="AO763" s="40"/>
      <c r="AP763" s="40"/>
      <c r="AQ763" s="40"/>
      <c r="AR763" s="40"/>
      <c r="AS763" s="40"/>
      <c r="AT763" s="47"/>
      <c r="AU763" s="40"/>
      <c r="AV763" s="46" t="str">
        <f>IFERROR(__xludf.DUMMYFUNCTION("""COMPUTED_VALUE"""),"Elevation")</f>
        <v>Elevation</v>
      </c>
      <c r="AW763" s="46">
        <f t="shared" si="7"/>
        <v>250</v>
      </c>
      <c r="AX763" s="47">
        <f t="shared" ref="AX763:BQ763" si="2400">SUMIFS($AJ:$AJ,$V:$V,$AV763,$AK:$AK,AX$2)</f>
        <v>0</v>
      </c>
      <c r="AY763" s="48">
        <f t="shared" si="2400"/>
        <v>0</v>
      </c>
      <c r="AZ763" s="48">
        <f t="shared" si="2400"/>
        <v>0</v>
      </c>
      <c r="BA763" s="48">
        <f t="shared" si="2400"/>
        <v>250</v>
      </c>
      <c r="BB763" s="48">
        <f t="shared" si="2400"/>
        <v>0</v>
      </c>
      <c r="BC763" s="48">
        <f t="shared" si="2400"/>
        <v>0</v>
      </c>
      <c r="BD763" s="48">
        <f t="shared" si="2400"/>
        <v>0</v>
      </c>
      <c r="BE763" s="48">
        <f t="shared" si="2400"/>
        <v>0</v>
      </c>
      <c r="BF763" s="48">
        <f t="shared" si="2400"/>
        <v>0</v>
      </c>
      <c r="BG763" s="48">
        <f t="shared" si="2400"/>
        <v>0</v>
      </c>
      <c r="BH763" s="48">
        <f t="shared" si="2400"/>
        <v>0</v>
      </c>
      <c r="BI763" s="48">
        <f t="shared" si="2400"/>
        <v>0</v>
      </c>
      <c r="BJ763" s="48">
        <f t="shared" si="2400"/>
        <v>0</v>
      </c>
      <c r="BK763" s="48">
        <f t="shared" si="2400"/>
        <v>0</v>
      </c>
      <c r="BL763" s="48">
        <f t="shared" si="2400"/>
        <v>0</v>
      </c>
      <c r="BM763" s="48">
        <f t="shared" si="2400"/>
        <v>0</v>
      </c>
      <c r="BN763" s="48">
        <f t="shared" si="2400"/>
        <v>0</v>
      </c>
      <c r="BO763" s="48">
        <f t="shared" si="2400"/>
        <v>0</v>
      </c>
      <c r="BP763" s="48">
        <f t="shared" si="2400"/>
        <v>0</v>
      </c>
      <c r="BQ763" s="48">
        <f t="shared" si="2400"/>
        <v>0</v>
      </c>
      <c r="BR763" s="36">
        <f t="shared" si="9"/>
        <v>0</v>
      </c>
      <c r="BS763" s="38">
        <f t="shared" si="10"/>
        <v>1</v>
      </c>
      <c r="BT763" s="49">
        <f t="shared" si="11"/>
        <v>0</v>
      </c>
      <c r="BU763" s="38">
        <f t="shared" si="12"/>
        <v>1000</v>
      </c>
      <c r="BV763" s="46" t="str">
        <f>IFERROR(__xludf.DUMMYFUNCTION("""COMPUTED_VALUE"""),"Elevation")</f>
        <v>Elevation</v>
      </c>
      <c r="BW763" s="46">
        <f t="shared" si="13"/>
        <v>250</v>
      </c>
      <c r="BX763" s="47">
        <f t="shared" ref="BX763:CA763" si="2401">AX763-$BU763</f>
        <v>-1000</v>
      </c>
      <c r="BY763" s="47">
        <f t="shared" si="2401"/>
        <v>-1000</v>
      </c>
      <c r="BZ763" s="47">
        <f t="shared" si="2401"/>
        <v>-1000</v>
      </c>
      <c r="CA763" s="47">
        <f t="shared" si="2401"/>
        <v>-750</v>
      </c>
      <c r="CB763" s="47">
        <f t="shared" si="15"/>
        <v>-10000</v>
      </c>
      <c r="CC763" s="47">
        <f t="shared" ref="CC763:CQ763" si="2402">BC763-$BU763</f>
        <v>-1000</v>
      </c>
      <c r="CD763" s="47">
        <f t="shared" si="2402"/>
        <v>-1000</v>
      </c>
      <c r="CE763" s="47">
        <f t="shared" si="2402"/>
        <v>-1000</v>
      </c>
      <c r="CF763" s="47">
        <f t="shared" si="2402"/>
        <v>-1000</v>
      </c>
      <c r="CG763" s="47">
        <f t="shared" si="2402"/>
        <v>-1000</v>
      </c>
      <c r="CH763" s="47">
        <f t="shared" si="2402"/>
        <v>-1000</v>
      </c>
      <c r="CI763" s="47">
        <f t="shared" si="2402"/>
        <v>-1000</v>
      </c>
      <c r="CJ763" s="47">
        <f t="shared" si="2402"/>
        <v>-1000</v>
      </c>
      <c r="CK763" s="47">
        <f t="shared" si="2402"/>
        <v>-1000</v>
      </c>
      <c r="CL763" s="47">
        <f t="shared" si="2402"/>
        <v>-1000</v>
      </c>
      <c r="CM763" s="47">
        <f t="shared" si="2402"/>
        <v>-1000</v>
      </c>
      <c r="CN763" s="47">
        <f t="shared" si="2402"/>
        <v>-1000</v>
      </c>
      <c r="CO763" s="47">
        <f t="shared" si="2402"/>
        <v>-1000</v>
      </c>
      <c r="CP763" s="47">
        <f t="shared" si="2402"/>
        <v>-1000</v>
      </c>
      <c r="CQ763" s="47">
        <f t="shared" si="2402"/>
        <v>-1000</v>
      </c>
      <c r="CR763" s="47"/>
      <c r="CS763" s="47"/>
      <c r="CT763" s="47"/>
      <c r="CU763" s="74"/>
      <c r="CV763" s="74"/>
      <c r="CW763" s="74" t="str">
        <f>IFERROR(__xludf.DUMMYFUNCTION("IF(REGEXMATCH(UPPER(CU763), ""DALLAS""),,CU763)"),"")</f>
        <v/>
      </c>
      <c r="CX763" s="74"/>
      <c r="CY763" s="74"/>
      <c r="CZ763" s="74"/>
      <c r="DA763" s="75"/>
      <c r="DB763" s="74"/>
      <c r="DC763" s="74"/>
      <c r="DD763" s="74"/>
      <c r="DE763" s="74"/>
      <c r="DF763" s="74"/>
      <c r="DG763" s="74"/>
      <c r="DH763" s="74"/>
      <c r="DI763" s="74"/>
      <c r="DJ763" s="74"/>
      <c r="DK763" s="74"/>
      <c r="DL763" s="74"/>
      <c r="DM763" s="74"/>
      <c r="DN763" s="74"/>
      <c r="DO763" s="74"/>
      <c r="DP763" s="74"/>
      <c r="DQ763" s="74"/>
      <c r="DR763" s="74"/>
      <c r="DS763" s="74"/>
      <c r="DT763" s="74"/>
      <c r="DU763" s="74"/>
      <c r="DV763" s="74"/>
      <c r="DW763" s="74"/>
    </row>
    <row r="764">
      <c r="A764" s="22" t="s">
        <v>55</v>
      </c>
      <c r="B764" s="23" t="s">
        <v>56</v>
      </c>
      <c r="C764" s="31" t="s">
        <v>253</v>
      </c>
      <c r="D764" s="25" t="str">
        <f>IFERROR(__xludf.DUMMYFUNCTION("SPLIT(C764,"" "")"),"AT&amp;T")</f>
        <v>AT&amp;T</v>
      </c>
      <c r="E764" s="22" t="str">
        <f>IFERROR(__xludf.DUMMYFUNCTION("""COMPUTED_VALUE"""),"PAC
816")</f>
        <v>PAC
816</v>
      </c>
      <c r="F764" s="22" t="str">
        <f>IFERROR(__xludf.DUMMYFUNCTION("""COMPUTED_VALUE"""),"Congress")</f>
        <v>Congress</v>
      </c>
      <c r="G764" s="22" t="str">
        <f>IFERROR(__xludf.DUMMYFUNCTION("""COMPUTED_VALUE"""),"Ave.
Austin,")</f>
        <v>Ave.
Austin,</v>
      </c>
      <c r="H764" s="22" t="str">
        <f>IFERROR(__xludf.DUMMYFUNCTION("""COMPUTED_VALUE"""),"TX")</f>
        <v>TX</v>
      </c>
      <c r="I764" s="22">
        <f>IFERROR(__xludf.DUMMYFUNCTION("""COMPUTED_VALUE"""),78701.0)</f>
        <v>78701</v>
      </c>
      <c r="J764" s="22"/>
      <c r="K764" s="22"/>
      <c r="L764" s="22"/>
      <c r="M764" s="22"/>
      <c r="N764" s="22"/>
      <c r="O764" s="22"/>
      <c r="P764" s="22"/>
      <c r="Q764" s="22"/>
      <c r="R764" s="22"/>
      <c r="S764" s="22"/>
      <c r="T764" s="22"/>
      <c r="U764" s="24" t="str">
        <f>IFERROR(__xludf.DUMMYFUNCTION("SPLIT(E764,""01234567890"")"),"PAC
")</f>
        <v>PAC
</v>
      </c>
      <c r="V764" s="24" t="str">
        <f>IFERROR(__xludf.DUMMYFUNCTION("SPLIT(D764,"","")"),"AT&amp;T")</f>
        <v>AT&amp;T</v>
      </c>
      <c r="W764" s="25" t="str">
        <f t="shared" si="1"/>
        <v>PAC
 AT&amp;T</v>
      </c>
      <c r="X764" s="22"/>
      <c r="Y764" s="22"/>
      <c r="Z764" s="25" t="str">
        <f>IFERROR(__xludf.DUMMYFUNCTION("SPLIT(C764,""
"")"),"AT&amp;T PAC")</f>
        <v>AT&amp;T PAC</v>
      </c>
      <c r="AA764" s="22" t="str">
        <f>IFERROR(__xludf.DUMMYFUNCTION("""COMPUTED_VALUE"""),"816 Congress Ave.")</f>
        <v>816 Congress Ave.</v>
      </c>
      <c r="AB764" s="22" t="str">
        <f>IFERROR(__xludf.DUMMYFUNCTION("""COMPUTED_VALUE"""),"Austin, TX 78701")</f>
        <v>Austin, TX 78701</v>
      </c>
      <c r="AC764" s="31" t="s">
        <v>255</v>
      </c>
      <c r="AD764" s="22"/>
      <c r="AE764" s="22"/>
      <c r="AF764" s="22"/>
      <c r="AG764" s="22" t="s">
        <v>60</v>
      </c>
      <c r="AH764" s="54">
        <v>2481.0</v>
      </c>
      <c r="AI764" s="22" t="s">
        <v>68</v>
      </c>
      <c r="AJ764" s="27">
        <v>5000.0</v>
      </c>
      <c r="AK764" s="31" t="s">
        <v>25</v>
      </c>
      <c r="AL764" s="28">
        <v>44841.0</v>
      </c>
      <c r="AM764" s="29">
        <v>44937.81995370371</v>
      </c>
      <c r="AN764" s="30">
        <v>2.0</v>
      </c>
      <c r="AO764" s="22"/>
      <c r="AP764" s="22"/>
      <c r="AQ764" s="22"/>
      <c r="AR764" s="22"/>
      <c r="AS764" s="22"/>
      <c r="AT764" s="70"/>
      <c r="AU764" s="22"/>
      <c r="AV764" s="57" t="str">
        <f>IFERROR(__xludf.DUMMYFUNCTION("""COMPUTED_VALUE"""),"England")</f>
        <v>England</v>
      </c>
      <c r="AW764" s="46">
        <f t="shared" si="7"/>
        <v>250</v>
      </c>
      <c r="AX764" s="47">
        <f t="shared" ref="AX764:BQ764" si="2403">SUMIFS($AJ:$AJ,$V:$V,$AV764,$AK:$AK,AX$2)</f>
        <v>0</v>
      </c>
      <c r="AY764" s="48">
        <f t="shared" si="2403"/>
        <v>0</v>
      </c>
      <c r="AZ764" s="48">
        <f t="shared" si="2403"/>
        <v>0</v>
      </c>
      <c r="BA764" s="48">
        <f t="shared" si="2403"/>
        <v>250</v>
      </c>
      <c r="BB764" s="48">
        <f t="shared" si="2403"/>
        <v>0</v>
      </c>
      <c r="BC764" s="48">
        <f t="shared" si="2403"/>
        <v>0</v>
      </c>
      <c r="BD764" s="48">
        <f t="shared" si="2403"/>
        <v>0</v>
      </c>
      <c r="BE764" s="48">
        <f t="shared" si="2403"/>
        <v>0</v>
      </c>
      <c r="BF764" s="48">
        <f t="shared" si="2403"/>
        <v>0</v>
      </c>
      <c r="BG764" s="48">
        <f t="shared" si="2403"/>
        <v>0</v>
      </c>
      <c r="BH764" s="48">
        <f t="shared" si="2403"/>
        <v>0</v>
      </c>
      <c r="BI764" s="48">
        <f t="shared" si="2403"/>
        <v>0</v>
      </c>
      <c r="BJ764" s="48">
        <f t="shared" si="2403"/>
        <v>0</v>
      </c>
      <c r="BK764" s="48">
        <f t="shared" si="2403"/>
        <v>0</v>
      </c>
      <c r="BL764" s="48">
        <f t="shared" si="2403"/>
        <v>0</v>
      </c>
      <c r="BM764" s="48">
        <f t="shared" si="2403"/>
        <v>0</v>
      </c>
      <c r="BN764" s="48">
        <f t="shared" si="2403"/>
        <v>0</v>
      </c>
      <c r="BO764" s="48">
        <f t="shared" si="2403"/>
        <v>0</v>
      </c>
      <c r="BP764" s="48">
        <f t="shared" si="2403"/>
        <v>0</v>
      </c>
      <c r="BQ764" s="48">
        <f t="shared" si="2403"/>
        <v>0</v>
      </c>
      <c r="BR764" s="36">
        <f t="shared" si="9"/>
        <v>0</v>
      </c>
      <c r="BS764" s="38">
        <f t="shared" si="10"/>
        <v>1</v>
      </c>
      <c r="BT764" s="49">
        <f t="shared" si="11"/>
        <v>0</v>
      </c>
      <c r="BU764" s="38">
        <f t="shared" si="12"/>
        <v>1000</v>
      </c>
      <c r="BV764" s="57" t="str">
        <f>IFERROR(__xludf.DUMMYFUNCTION("""COMPUTED_VALUE"""),"England")</f>
        <v>England</v>
      </c>
      <c r="BW764" s="46">
        <f t="shared" si="13"/>
        <v>250</v>
      </c>
      <c r="BX764" s="47">
        <f t="shared" ref="BX764:CA764" si="2404">AX764-$BU764</f>
        <v>-1000</v>
      </c>
      <c r="BY764" s="47">
        <f t="shared" si="2404"/>
        <v>-1000</v>
      </c>
      <c r="BZ764" s="47">
        <f t="shared" si="2404"/>
        <v>-1000</v>
      </c>
      <c r="CA764" s="47">
        <f t="shared" si="2404"/>
        <v>-750</v>
      </c>
      <c r="CB764" s="47">
        <f t="shared" si="15"/>
        <v>-10000</v>
      </c>
      <c r="CC764" s="47">
        <f t="shared" ref="CC764:CQ764" si="2405">BC764-$BU764</f>
        <v>-1000</v>
      </c>
      <c r="CD764" s="47">
        <f t="shared" si="2405"/>
        <v>-1000</v>
      </c>
      <c r="CE764" s="47">
        <f t="shared" si="2405"/>
        <v>-1000</v>
      </c>
      <c r="CF764" s="47">
        <f t="shared" si="2405"/>
        <v>-1000</v>
      </c>
      <c r="CG764" s="47">
        <f t="shared" si="2405"/>
        <v>-1000</v>
      </c>
      <c r="CH764" s="47">
        <f t="shared" si="2405"/>
        <v>-1000</v>
      </c>
      <c r="CI764" s="47">
        <f t="shared" si="2405"/>
        <v>-1000</v>
      </c>
      <c r="CJ764" s="47">
        <f t="shared" si="2405"/>
        <v>-1000</v>
      </c>
      <c r="CK764" s="47">
        <f t="shared" si="2405"/>
        <v>-1000</v>
      </c>
      <c r="CL764" s="47">
        <f t="shared" si="2405"/>
        <v>-1000</v>
      </c>
      <c r="CM764" s="47">
        <f t="shared" si="2405"/>
        <v>-1000</v>
      </c>
      <c r="CN764" s="47">
        <f t="shared" si="2405"/>
        <v>-1000</v>
      </c>
      <c r="CO764" s="47">
        <f t="shared" si="2405"/>
        <v>-1000</v>
      </c>
      <c r="CP764" s="47">
        <f t="shared" si="2405"/>
        <v>-1000</v>
      </c>
      <c r="CQ764" s="47">
        <f t="shared" si="2405"/>
        <v>-1000</v>
      </c>
      <c r="CR764" s="47"/>
      <c r="CS764" s="47"/>
      <c r="CT764" s="47"/>
      <c r="CU764" s="74"/>
      <c r="CV764" s="74"/>
      <c r="CW764" s="74" t="str">
        <f>IFERROR(__xludf.DUMMYFUNCTION("IF(REGEXMATCH(UPPER(CU764), ""DALLAS""),,CU764)"),"")</f>
        <v/>
      </c>
      <c r="CX764" s="74"/>
      <c r="CY764" s="74"/>
      <c r="CZ764" s="74"/>
      <c r="DA764" s="75"/>
      <c r="DB764" s="74"/>
      <c r="DC764" s="74"/>
      <c r="DD764" s="74"/>
      <c r="DE764" s="74"/>
      <c r="DF764" s="74"/>
      <c r="DG764" s="74"/>
      <c r="DH764" s="74"/>
      <c r="DI764" s="74"/>
      <c r="DJ764" s="74"/>
      <c r="DK764" s="74"/>
      <c r="DL764" s="74"/>
      <c r="DM764" s="74"/>
      <c r="DN764" s="74"/>
      <c r="DO764" s="74"/>
      <c r="DP764" s="74"/>
      <c r="DQ764" s="74"/>
      <c r="DR764" s="74"/>
      <c r="DS764" s="74"/>
      <c r="DT764" s="74"/>
      <c r="DU764" s="74"/>
      <c r="DV764" s="74"/>
      <c r="DW764" s="74"/>
    </row>
    <row r="765">
      <c r="A765" s="40" t="s">
        <v>55</v>
      </c>
      <c r="B765" s="41" t="s">
        <v>56</v>
      </c>
      <c r="C765" s="31" t="s">
        <v>1989</v>
      </c>
      <c r="D765" s="25" t="str">
        <f>IFERROR(__xludf.DUMMYFUNCTION("SPLIT(C765,"" "")"),"Charter")</f>
        <v>Charter</v>
      </c>
      <c r="E765" s="40" t="str">
        <f>IFERROR(__xludf.DUMMYFUNCTION("""COMPUTED_VALUE"""),"Texas")</f>
        <v>Texas</v>
      </c>
      <c r="F765" s="40" t="str">
        <f>IFERROR(__xludf.DUMMYFUNCTION("""COMPUTED_VALUE"""),"PAC
1001")</f>
        <v>PAC
1001</v>
      </c>
      <c r="G765" s="40" t="str">
        <f>IFERROR(__xludf.DUMMYFUNCTION("""COMPUTED_VALUE"""),"Congress")</f>
        <v>Congress</v>
      </c>
      <c r="H765" s="40" t="str">
        <f>IFERROR(__xludf.DUMMYFUNCTION("""COMPUTED_VALUE"""),"Ave
Austin,")</f>
        <v>Ave
Austin,</v>
      </c>
      <c r="I765" s="40" t="str">
        <f>IFERROR(__xludf.DUMMYFUNCTION("""COMPUTED_VALUE"""),"TX")</f>
        <v>TX</v>
      </c>
      <c r="J765" s="40">
        <f>IFERROR(__xludf.DUMMYFUNCTION("""COMPUTED_VALUE"""),78701.0)</f>
        <v>78701</v>
      </c>
      <c r="K765" s="40"/>
      <c r="L765" s="40"/>
      <c r="M765" s="40"/>
      <c r="N765" s="40"/>
      <c r="O765" s="40"/>
      <c r="P765" s="40"/>
      <c r="Q765" s="40"/>
      <c r="R765" s="40"/>
      <c r="S765" s="40"/>
      <c r="T765" s="40"/>
      <c r="U765" s="24" t="str">
        <f>IFERROR(__xludf.DUMMYFUNCTION("SPLIT(E765,""01234567890"")"),"Texas")</f>
        <v>Texas</v>
      </c>
      <c r="V765" s="24" t="str">
        <f>IFERROR(__xludf.DUMMYFUNCTION("SPLIT(D765,"","")"),"Charter")</f>
        <v>Charter</v>
      </c>
      <c r="W765" s="25" t="str">
        <f t="shared" si="1"/>
        <v>TEXAS CHARTER</v>
      </c>
      <c r="X765" s="40"/>
      <c r="Y765" s="40"/>
      <c r="Z765" s="25" t="str">
        <f>IFERROR(__xludf.DUMMYFUNCTION("SPLIT(C765,""
"")"),"Charter Texas PAC")</f>
        <v>Charter Texas PAC</v>
      </c>
      <c r="AA765" s="40" t="str">
        <f>IFERROR(__xludf.DUMMYFUNCTION("""COMPUTED_VALUE"""),"1001 Congress Ave")</f>
        <v>1001 Congress Ave</v>
      </c>
      <c r="AB765" s="40" t="str">
        <f>IFERROR(__xludf.DUMMYFUNCTION("""COMPUTED_VALUE"""),"Austin, TX 78701")</f>
        <v>Austin, TX 78701</v>
      </c>
      <c r="AC765" s="31" t="s">
        <v>1990</v>
      </c>
      <c r="AD765" s="40"/>
      <c r="AE765" s="40"/>
      <c r="AF765" s="40"/>
      <c r="AG765" s="40" t="s">
        <v>60</v>
      </c>
      <c r="AH765" s="42">
        <v>2481.0</v>
      </c>
      <c r="AI765" s="40" t="s">
        <v>68</v>
      </c>
      <c r="AJ765" s="27">
        <v>5000.0</v>
      </c>
      <c r="AK765" s="31" t="s">
        <v>25</v>
      </c>
      <c r="AL765" s="43">
        <v>44834.0</v>
      </c>
      <c r="AM765" s="44">
        <v>44937.81995370371</v>
      </c>
      <c r="AN765" s="30">
        <v>2.0</v>
      </c>
      <c r="AO765" s="40"/>
      <c r="AP765" s="40"/>
      <c r="AQ765" s="40"/>
      <c r="AR765" s="40"/>
      <c r="AS765" s="40"/>
      <c r="AT765" s="47"/>
      <c r="AU765" s="40"/>
      <c r="AV765" s="46" t="str">
        <f>IFERROR(__xludf.DUMMYFUNCTION("""COMPUTED_VALUE"""),"Linderman")</f>
        <v>Linderman</v>
      </c>
      <c r="AW765" s="46">
        <f t="shared" si="7"/>
        <v>100</v>
      </c>
      <c r="AX765" s="47">
        <f t="shared" ref="AX765:BQ765" si="2406">SUMIFS($AJ:$AJ,$V:$V,$AV765,$AK:$AK,AX$2)</f>
        <v>0</v>
      </c>
      <c r="AY765" s="48">
        <f t="shared" si="2406"/>
        <v>0</v>
      </c>
      <c r="AZ765" s="48">
        <f t="shared" si="2406"/>
        <v>0</v>
      </c>
      <c r="BA765" s="48">
        <f t="shared" si="2406"/>
        <v>100</v>
      </c>
      <c r="BB765" s="48">
        <f t="shared" si="2406"/>
        <v>0</v>
      </c>
      <c r="BC765" s="48">
        <f t="shared" si="2406"/>
        <v>0</v>
      </c>
      <c r="BD765" s="48">
        <f t="shared" si="2406"/>
        <v>0</v>
      </c>
      <c r="BE765" s="48">
        <f t="shared" si="2406"/>
        <v>0</v>
      </c>
      <c r="BF765" s="48">
        <f t="shared" si="2406"/>
        <v>0</v>
      </c>
      <c r="BG765" s="48">
        <f t="shared" si="2406"/>
        <v>0</v>
      </c>
      <c r="BH765" s="48">
        <f t="shared" si="2406"/>
        <v>0</v>
      </c>
      <c r="BI765" s="48">
        <f t="shared" si="2406"/>
        <v>0</v>
      </c>
      <c r="BJ765" s="48">
        <f t="shared" si="2406"/>
        <v>0</v>
      </c>
      <c r="BK765" s="48">
        <f t="shared" si="2406"/>
        <v>0</v>
      </c>
      <c r="BL765" s="48">
        <f t="shared" si="2406"/>
        <v>0</v>
      </c>
      <c r="BM765" s="48">
        <f t="shared" si="2406"/>
        <v>0</v>
      </c>
      <c r="BN765" s="48">
        <f t="shared" si="2406"/>
        <v>0</v>
      </c>
      <c r="BO765" s="48">
        <f t="shared" si="2406"/>
        <v>0</v>
      </c>
      <c r="BP765" s="48">
        <f t="shared" si="2406"/>
        <v>0</v>
      </c>
      <c r="BQ765" s="48">
        <f t="shared" si="2406"/>
        <v>0</v>
      </c>
      <c r="BR765" s="36">
        <f t="shared" si="9"/>
        <v>0</v>
      </c>
      <c r="BS765" s="38">
        <f t="shared" si="10"/>
        <v>1</v>
      </c>
      <c r="BT765" s="49">
        <f t="shared" si="11"/>
        <v>0</v>
      </c>
      <c r="BU765" s="38">
        <f t="shared" si="12"/>
        <v>1000</v>
      </c>
      <c r="BV765" s="46" t="str">
        <f>IFERROR(__xludf.DUMMYFUNCTION("""COMPUTED_VALUE"""),"Linderman")</f>
        <v>Linderman</v>
      </c>
      <c r="BW765" s="46">
        <f t="shared" si="13"/>
        <v>100</v>
      </c>
      <c r="BX765" s="47">
        <f t="shared" ref="BX765:CA765" si="2407">AX765-$BU765</f>
        <v>-1000</v>
      </c>
      <c r="BY765" s="47">
        <f t="shared" si="2407"/>
        <v>-1000</v>
      </c>
      <c r="BZ765" s="47">
        <f t="shared" si="2407"/>
        <v>-1000</v>
      </c>
      <c r="CA765" s="47">
        <f t="shared" si="2407"/>
        <v>-900</v>
      </c>
      <c r="CB765" s="47">
        <f t="shared" si="15"/>
        <v>-10000</v>
      </c>
      <c r="CC765" s="47">
        <f t="shared" ref="CC765:CQ765" si="2408">BC765-$BU765</f>
        <v>-1000</v>
      </c>
      <c r="CD765" s="47">
        <f t="shared" si="2408"/>
        <v>-1000</v>
      </c>
      <c r="CE765" s="47">
        <f t="shared" si="2408"/>
        <v>-1000</v>
      </c>
      <c r="CF765" s="47">
        <f t="shared" si="2408"/>
        <v>-1000</v>
      </c>
      <c r="CG765" s="47">
        <f t="shared" si="2408"/>
        <v>-1000</v>
      </c>
      <c r="CH765" s="47">
        <f t="shared" si="2408"/>
        <v>-1000</v>
      </c>
      <c r="CI765" s="47">
        <f t="shared" si="2408"/>
        <v>-1000</v>
      </c>
      <c r="CJ765" s="47">
        <f t="shared" si="2408"/>
        <v>-1000</v>
      </c>
      <c r="CK765" s="47">
        <f t="shared" si="2408"/>
        <v>-1000</v>
      </c>
      <c r="CL765" s="47">
        <f t="shared" si="2408"/>
        <v>-1000</v>
      </c>
      <c r="CM765" s="47">
        <f t="shared" si="2408"/>
        <v>-1000</v>
      </c>
      <c r="CN765" s="47">
        <f t="shared" si="2408"/>
        <v>-1000</v>
      </c>
      <c r="CO765" s="47">
        <f t="shared" si="2408"/>
        <v>-1000</v>
      </c>
      <c r="CP765" s="47">
        <f t="shared" si="2408"/>
        <v>-1000</v>
      </c>
      <c r="CQ765" s="47">
        <f t="shared" si="2408"/>
        <v>-1000</v>
      </c>
      <c r="CR765" s="47"/>
      <c r="CS765" s="47"/>
      <c r="CT765" s="47"/>
      <c r="CU765" s="74"/>
      <c r="CV765" s="74"/>
      <c r="CW765" s="74" t="str">
        <f>IFERROR(__xludf.DUMMYFUNCTION("IF(REGEXMATCH(UPPER(CU765), ""DALLAS""),,CU765)"),"")</f>
        <v/>
      </c>
      <c r="CX765" s="74"/>
      <c r="CY765" s="74"/>
      <c r="CZ765" s="74"/>
      <c r="DA765" s="75"/>
      <c r="DB765" s="74"/>
      <c r="DC765" s="74"/>
      <c r="DD765" s="74"/>
      <c r="DE765" s="74"/>
      <c r="DF765" s="74"/>
      <c r="DG765" s="74"/>
      <c r="DH765" s="74"/>
      <c r="DI765" s="74"/>
      <c r="DJ765" s="74"/>
      <c r="DK765" s="74"/>
      <c r="DL765" s="74"/>
      <c r="DM765" s="74"/>
      <c r="DN765" s="74"/>
      <c r="DO765" s="74"/>
      <c r="DP765" s="74"/>
      <c r="DQ765" s="74"/>
      <c r="DR765" s="74"/>
      <c r="DS765" s="74"/>
      <c r="DT765" s="74"/>
      <c r="DU765" s="74"/>
      <c r="DV765" s="74"/>
      <c r="DW765" s="74"/>
    </row>
    <row r="766">
      <c r="A766" s="22" t="s">
        <v>55</v>
      </c>
      <c r="B766" s="23" t="s">
        <v>56</v>
      </c>
      <c r="C766" s="31" t="s">
        <v>169</v>
      </c>
      <c r="D766" s="25" t="str">
        <f>IFERROR(__xludf.DUMMYFUNCTION("SPLIT(C766,"" "")"),"American")</f>
        <v>American</v>
      </c>
      <c r="E766" s="22" t="str">
        <f>IFERROR(__xludf.DUMMYFUNCTION("""COMPUTED_VALUE"""),"Airlines")</f>
        <v>Airlines</v>
      </c>
      <c r="F766" s="22" t="str">
        <f>IFERROR(__xludf.DUMMYFUNCTION("""COMPUTED_VALUE"""),"PAC
1200")</f>
        <v>PAC
1200</v>
      </c>
      <c r="G766" s="22" t="str">
        <f>IFERROR(__xludf.DUMMYFUNCTION("""COMPUTED_VALUE"""),"17th")</f>
        <v>17th</v>
      </c>
      <c r="H766" s="22" t="str">
        <f>IFERROR(__xludf.DUMMYFUNCTION("""COMPUTED_VALUE"""),"Street")</f>
        <v>Street</v>
      </c>
      <c r="I766" s="22" t="str">
        <f>IFERROR(__xludf.DUMMYFUNCTION("""COMPUTED_VALUE"""),"NW
Washington,")</f>
        <v>NW
Washington,</v>
      </c>
      <c r="J766" s="22" t="str">
        <f>IFERROR(__xludf.DUMMYFUNCTION("""COMPUTED_VALUE"""),"DC")</f>
        <v>DC</v>
      </c>
      <c r="K766" s="22">
        <f>IFERROR(__xludf.DUMMYFUNCTION("""COMPUTED_VALUE"""),20036.0)</f>
        <v>20036</v>
      </c>
      <c r="L766" s="22"/>
      <c r="M766" s="22"/>
      <c r="N766" s="22"/>
      <c r="O766" s="22"/>
      <c r="P766" s="22"/>
      <c r="Q766" s="22"/>
      <c r="R766" s="22"/>
      <c r="S766" s="22"/>
      <c r="T766" s="22"/>
      <c r="U766" s="24" t="str">
        <f>IFERROR(__xludf.DUMMYFUNCTION("SPLIT(E766,""01234567890"")"),"Airlines")</f>
        <v>Airlines</v>
      </c>
      <c r="V766" s="24" t="str">
        <f>IFERROR(__xludf.DUMMYFUNCTION("SPLIT(D766,"","")"),"American")</f>
        <v>American</v>
      </c>
      <c r="W766" s="25" t="str">
        <f t="shared" si="1"/>
        <v>AIRLINES AMERICAN</v>
      </c>
      <c r="X766" s="22"/>
      <c r="Y766" s="22"/>
      <c r="Z766" s="25" t="str">
        <f>IFERROR(__xludf.DUMMYFUNCTION("SPLIT(C766,""
"")"),"American Airlines PAC")</f>
        <v>American Airlines PAC</v>
      </c>
      <c r="AA766" s="22" t="str">
        <f>IFERROR(__xludf.DUMMYFUNCTION("""COMPUTED_VALUE"""),"1200 17th Street NW")</f>
        <v>1200 17th Street NW</v>
      </c>
      <c r="AB766" s="22" t="str">
        <f>IFERROR(__xludf.DUMMYFUNCTION("""COMPUTED_VALUE"""),"Washington, DC 20036")</f>
        <v>Washington, DC 20036</v>
      </c>
      <c r="AC766" s="31" t="s">
        <v>168</v>
      </c>
      <c r="AD766" s="22"/>
      <c r="AE766" s="22"/>
      <c r="AF766" s="22"/>
      <c r="AG766" s="22" t="s">
        <v>60</v>
      </c>
      <c r="AH766" s="54">
        <v>2481.0</v>
      </c>
      <c r="AI766" s="22" t="s">
        <v>68</v>
      </c>
      <c r="AJ766" s="27">
        <v>2500.0</v>
      </c>
      <c r="AK766" s="31" t="s">
        <v>25</v>
      </c>
      <c r="AL766" s="28">
        <v>44841.0</v>
      </c>
      <c r="AM766" s="29">
        <v>44937.81995370371</v>
      </c>
      <c r="AN766" s="30">
        <v>2.0</v>
      </c>
      <c r="AO766" s="22"/>
      <c r="AP766" s="22"/>
      <c r="AQ766" s="22"/>
      <c r="AR766" s="22"/>
      <c r="AS766" s="22"/>
      <c r="AT766" s="70"/>
      <c r="AU766" s="22"/>
      <c r="AV766" s="57" t="str">
        <f>IFERROR(__xludf.DUMMYFUNCTION("""COMPUTED_VALUE"""),"Hays")</f>
        <v>Hays</v>
      </c>
      <c r="AW766" s="46">
        <f t="shared" si="7"/>
        <v>50</v>
      </c>
      <c r="AX766" s="47">
        <f t="shared" ref="AX766:BQ766" si="2409">SUMIFS($AJ:$AJ,$V:$V,$AV766,$AK:$AK,AX$2)</f>
        <v>0</v>
      </c>
      <c r="AY766" s="48">
        <f t="shared" si="2409"/>
        <v>0</v>
      </c>
      <c r="AZ766" s="48">
        <f t="shared" si="2409"/>
        <v>0</v>
      </c>
      <c r="BA766" s="48">
        <f t="shared" si="2409"/>
        <v>50</v>
      </c>
      <c r="BB766" s="48">
        <f t="shared" si="2409"/>
        <v>0</v>
      </c>
      <c r="BC766" s="48">
        <f t="shared" si="2409"/>
        <v>0</v>
      </c>
      <c r="BD766" s="48">
        <f t="shared" si="2409"/>
        <v>0</v>
      </c>
      <c r="BE766" s="48">
        <f t="shared" si="2409"/>
        <v>0</v>
      </c>
      <c r="BF766" s="48">
        <f t="shared" si="2409"/>
        <v>0</v>
      </c>
      <c r="BG766" s="48">
        <f t="shared" si="2409"/>
        <v>0</v>
      </c>
      <c r="BH766" s="48">
        <f t="shared" si="2409"/>
        <v>0</v>
      </c>
      <c r="BI766" s="48">
        <f t="shared" si="2409"/>
        <v>0</v>
      </c>
      <c r="BJ766" s="48">
        <f t="shared" si="2409"/>
        <v>0</v>
      </c>
      <c r="BK766" s="48">
        <f t="shared" si="2409"/>
        <v>0</v>
      </c>
      <c r="BL766" s="48">
        <f t="shared" si="2409"/>
        <v>0</v>
      </c>
      <c r="BM766" s="48">
        <f t="shared" si="2409"/>
        <v>0</v>
      </c>
      <c r="BN766" s="48">
        <f t="shared" si="2409"/>
        <v>0</v>
      </c>
      <c r="BO766" s="48">
        <f t="shared" si="2409"/>
        <v>0</v>
      </c>
      <c r="BP766" s="48">
        <f t="shared" si="2409"/>
        <v>0</v>
      </c>
      <c r="BQ766" s="48">
        <f t="shared" si="2409"/>
        <v>0</v>
      </c>
      <c r="BR766" s="36">
        <f t="shared" si="9"/>
        <v>0</v>
      </c>
      <c r="BS766" s="38">
        <f t="shared" si="10"/>
        <v>1</v>
      </c>
      <c r="BT766" s="49">
        <f t="shared" si="11"/>
        <v>0</v>
      </c>
      <c r="BU766" s="38">
        <f t="shared" si="12"/>
        <v>1000</v>
      </c>
      <c r="BV766" s="57" t="str">
        <f>IFERROR(__xludf.DUMMYFUNCTION("""COMPUTED_VALUE"""),"Hays")</f>
        <v>Hays</v>
      </c>
      <c r="BW766" s="46">
        <f t="shared" si="13"/>
        <v>50</v>
      </c>
      <c r="BX766" s="47">
        <f t="shared" ref="BX766:CA766" si="2410">AX766-$BU766</f>
        <v>-1000</v>
      </c>
      <c r="BY766" s="47">
        <f t="shared" si="2410"/>
        <v>-1000</v>
      </c>
      <c r="BZ766" s="47">
        <f t="shared" si="2410"/>
        <v>-1000</v>
      </c>
      <c r="CA766" s="47">
        <f t="shared" si="2410"/>
        <v>-950</v>
      </c>
      <c r="CB766" s="47">
        <f t="shared" si="15"/>
        <v>-10000</v>
      </c>
      <c r="CC766" s="47">
        <f t="shared" ref="CC766:CQ766" si="2411">BC766-$BU766</f>
        <v>-1000</v>
      </c>
      <c r="CD766" s="47">
        <f t="shared" si="2411"/>
        <v>-1000</v>
      </c>
      <c r="CE766" s="47">
        <f t="shared" si="2411"/>
        <v>-1000</v>
      </c>
      <c r="CF766" s="47">
        <f t="shared" si="2411"/>
        <v>-1000</v>
      </c>
      <c r="CG766" s="47">
        <f t="shared" si="2411"/>
        <v>-1000</v>
      </c>
      <c r="CH766" s="47">
        <f t="shared" si="2411"/>
        <v>-1000</v>
      </c>
      <c r="CI766" s="47">
        <f t="shared" si="2411"/>
        <v>-1000</v>
      </c>
      <c r="CJ766" s="47">
        <f t="shared" si="2411"/>
        <v>-1000</v>
      </c>
      <c r="CK766" s="47">
        <f t="shared" si="2411"/>
        <v>-1000</v>
      </c>
      <c r="CL766" s="47">
        <f t="shared" si="2411"/>
        <v>-1000</v>
      </c>
      <c r="CM766" s="47">
        <f t="shared" si="2411"/>
        <v>-1000</v>
      </c>
      <c r="CN766" s="47">
        <f t="shared" si="2411"/>
        <v>-1000</v>
      </c>
      <c r="CO766" s="47">
        <f t="shared" si="2411"/>
        <v>-1000</v>
      </c>
      <c r="CP766" s="47">
        <f t="shared" si="2411"/>
        <v>-1000</v>
      </c>
      <c r="CQ766" s="47">
        <f t="shared" si="2411"/>
        <v>-1000</v>
      </c>
      <c r="CR766" s="47"/>
      <c r="CS766" s="47"/>
      <c r="CT766" s="47"/>
      <c r="CU766" s="74"/>
      <c r="CV766" s="74"/>
      <c r="CW766" s="74" t="str">
        <f>IFERROR(__xludf.DUMMYFUNCTION("IF(REGEXMATCH(UPPER(CU766), ""DALLAS""),,CU766)"),"")</f>
        <v/>
      </c>
      <c r="CX766" s="74"/>
      <c r="CY766" s="74"/>
      <c r="CZ766" s="74"/>
      <c r="DA766" s="75"/>
      <c r="DB766" s="74"/>
      <c r="DC766" s="74"/>
      <c r="DD766" s="74"/>
      <c r="DE766" s="74"/>
      <c r="DF766" s="74"/>
      <c r="DG766" s="74"/>
      <c r="DH766" s="74"/>
      <c r="DI766" s="74"/>
      <c r="DJ766" s="74"/>
      <c r="DK766" s="74"/>
      <c r="DL766" s="74"/>
      <c r="DM766" s="74"/>
      <c r="DN766" s="74"/>
      <c r="DO766" s="74"/>
      <c r="DP766" s="74"/>
      <c r="DQ766" s="74"/>
      <c r="DR766" s="74"/>
      <c r="DS766" s="74"/>
      <c r="DT766" s="74"/>
      <c r="DU766" s="74"/>
      <c r="DV766" s="74"/>
      <c r="DW766" s="74"/>
    </row>
    <row r="767">
      <c r="A767" s="40" t="s">
        <v>55</v>
      </c>
      <c r="B767" s="41" t="s">
        <v>56</v>
      </c>
      <c r="C767" s="31" t="s">
        <v>208</v>
      </c>
      <c r="D767" s="25" t="str">
        <f>IFERROR(__xludf.DUMMYFUNCTION("SPLIT(C767,"" "")"),"Apartment")</f>
        <v>Apartment</v>
      </c>
      <c r="E767" s="40" t="str">
        <f>IFERROR(__xludf.DUMMYFUNCTION("""COMPUTED_VALUE"""),"Association")</f>
        <v>Association</v>
      </c>
      <c r="F767" s="40" t="str">
        <f>IFERROR(__xludf.DUMMYFUNCTION("""COMPUTED_VALUE"""),"of")</f>
        <v>of</v>
      </c>
      <c r="G767" s="40" t="str">
        <f>IFERROR(__xludf.DUMMYFUNCTION("""COMPUTED_VALUE"""),"Greater")</f>
        <v>Greater</v>
      </c>
      <c r="H767" s="40" t="str">
        <f>IFERROR(__xludf.DUMMYFUNCTION("""COMPUTED_VALUE"""),"Dallas
5728")</f>
        <v>Dallas
5728</v>
      </c>
      <c r="I767" s="40" t="str">
        <f>IFERROR(__xludf.DUMMYFUNCTION("""COMPUTED_VALUE"""),"LBJ")</f>
        <v>LBJ</v>
      </c>
      <c r="J767" s="40" t="str">
        <f>IFERROR(__xludf.DUMMYFUNCTION("""COMPUTED_VALUE"""),"Fwy.
Dallas,")</f>
        <v>Fwy.
Dallas,</v>
      </c>
      <c r="K767" s="40" t="str">
        <f>IFERROR(__xludf.DUMMYFUNCTION("""COMPUTED_VALUE"""),"TX")</f>
        <v>TX</v>
      </c>
      <c r="L767" s="40">
        <f>IFERROR(__xludf.DUMMYFUNCTION("""COMPUTED_VALUE"""),75240.0)</f>
        <v>75240</v>
      </c>
      <c r="M767" s="40"/>
      <c r="N767" s="40"/>
      <c r="O767" s="40"/>
      <c r="P767" s="40"/>
      <c r="Q767" s="40"/>
      <c r="R767" s="40"/>
      <c r="S767" s="40"/>
      <c r="T767" s="40"/>
      <c r="U767" s="24" t="str">
        <f>IFERROR(__xludf.DUMMYFUNCTION("SPLIT(E767,""01234567890"")"),"Association")</f>
        <v>Association</v>
      </c>
      <c r="V767" s="24" t="str">
        <f>IFERROR(__xludf.DUMMYFUNCTION("SPLIT(D767,"","")"),"Apartment")</f>
        <v>Apartment</v>
      </c>
      <c r="W767" s="25" t="str">
        <f t="shared" si="1"/>
        <v>ASSOCIATION APARTMENT</v>
      </c>
      <c r="X767" s="40"/>
      <c r="Y767" s="40"/>
      <c r="Z767" s="25" t="str">
        <f>IFERROR(__xludf.DUMMYFUNCTION("SPLIT(C767,""
"")"),"Apartment Association of Greater Dallas")</f>
        <v>Apartment Association of Greater Dallas</v>
      </c>
      <c r="AA767" s="40" t="str">
        <f>IFERROR(__xludf.DUMMYFUNCTION("""COMPUTED_VALUE"""),"5728 LBJ Fwy.")</f>
        <v>5728 LBJ Fwy.</v>
      </c>
      <c r="AB767" s="40" t="str">
        <f>IFERROR(__xludf.DUMMYFUNCTION("""COMPUTED_VALUE"""),"Dallas, TX 75240")</f>
        <v>Dallas, TX 75240</v>
      </c>
      <c r="AC767" s="31" t="s">
        <v>210</v>
      </c>
      <c r="AD767" s="40"/>
      <c r="AE767" s="40"/>
      <c r="AF767" s="40"/>
      <c r="AG767" s="40" t="s">
        <v>60</v>
      </c>
      <c r="AH767" s="42">
        <v>2481.0</v>
      </c>
      <c r="AI767" s="40" t="s">
        <v>68</v>
      </c>
      <c r="AJ767" s="27">
        <v>2500.0</v>
      </c>
      <c r="AK767" s="31" t="s">
        <v>25</v>
      </c>
      <c r="AL767" s="43">
        <v>44841.0</v>
      </c>
      <c r="AM767" s="44">
        <v>44937.81995370371</v>
      </c>
      <c r="AN767" s="30">
        <v>2.0</v>
      </c>
      <c r="AO767" s="40"/>
      <c r="AP767" s="40"/>
      <c r="AQ767" s="40"/>
      <c r="AR767" s="40"/>
      <c r="AS767" s="40"/>
      <c r="AT767" s="47"/>
      <c r="AU767" s="40"/>
      <c r="AV767" s="46" t="str">
        <f>IFERROR(__xludf.DUMMYFUNCTION("""COMPUTED_VALUE"""),"SMITH")</f>
        <v>SMITH</v>
      </c>
      <c r="AW767" s="46">
        <f t="shared" si="7"/>
        <v>2950</v>
      </c>
      <c r="AX767" s="47">
        <f t="shared" ref="AX767:BQ767" si="2412">SUMIFS($AJ:$AJ,$V:$V,$AV767,$AK:$AK,AX$2)</f>
        <v>0</v>
      </c>
      <c r="AY767" s="48">
        <f t="shared" si="2412"/>
        <v>0</v>
      </c>
      <c r="AZ767" s="48">
        <f t="shared" si="2412"/>
        <v>0</v>
      </c>
      <c r="BA767" s="48">
        <f t="shared" si="2412"/>
        <v>300</v>
      </c>
      <c r="BB767" s="48">
        <f t="shared" si="2412"/>
        <v>1500</v>
      </c>
      <c r="BC767" s="48">
        <f t="shared" si="2412"/>
        <v>0</v>
      </c>
      <c r="BD767" s="48">
        <f t="shared" si="2412"/>
        <v>100</v>
      </c>
      <c r="BE767" s="48">
        <f t="shared" si="2412"/>
        <v>0</v>
      </c>
      <c r="BF767" s="48">
        <f t="shared" si="2412"/>
        <v>0</v>
      </c>
      <c r="BG767" s="48">
        <f t="shared" si="2412"/>
        <v>800</v>
      </c>
      <c r="BH767" s="48">
        <f t="shared" si="2412"/>
        <v>250</v>
      </c>
      <c r="BI767" s="48">
        <f t="shared" si="2412"/>
        <v>0</v>
      </c>
      <c r="BJ767" s="48">
        <f t="shared" si="2412"/>
        <v>0</v>
      </c>
      <c r="BK767" s="48">
        <f t="shared" si="2412"/>
        <v>0</v>
      </c>
      <c r="BL767" s="48">
        <f t="shared" si="2412"/>
        <v>0</v>
      </c>
      <c r="BM767" s="48">
        <f t="shared" si="2412"/>
        <v>0</v>
      </c>
      <c r="BN767" s="48">
        <f t="shared" si="2412"/>
        <v>0</v>
      </c>
      <c r="BO767" s="48">
        <f t="shared" si="2412"/>
        <v>0</v>
      </c>
      <c r="BP767" s="48">
        <f t="shared" si="2412"/>
        <v>0</v>
      </c>
      <c r="BQ767" s="48">
        <f t="shared" si="2412"/>
        <v>0</v>
      </c>
      <c r="BR767" s="36">
        <f t="shared" si="9"/>
        <v>1</v>
      </c>
      <c r="BS767" s="38">
        <f t="shared" si="10"/>
        <v>7</v>
      </c>
      <c r="BT767" s="49">
        <f t="shared" si="11"/>
        <v>0</v>
      </c>
      <c r="BU767" s="38">
        <f t="shared" si="12"/>
        <v>7000</v>
      </c>
      <c r="BV767" s="46" t="str">
        <f>IFERROR(__xludf.DUMMYFUNCTION("""COMPUTED_VALUE"""),"SMITH")</f>
        <v>SMITH</v>
      </c>
      <c r="BW767" s="46">
        <f t="shared" si="13"/>
        <v>2950</v>
      </c>
      <c r="BX767" s="47">
        <f t="shared" ref="BX767:CA767" si="2413">AX767-$BU767</f>
        <v>-7000</v>
      </c>
      <c r="BY767" s="47">
        <f t="shared" si="2413"/>
        <v>-7000</v>
      </c>
      <c r="BZ767" s="47">
        <f t="shared" si="2413"/>
        <v>-7000</v>
      </c>
      <c r="CA767" s="47">
        <f t="shared" si="2413"/>
        <v>-6700</v>
      </c>
      <c r="CB767" s="47">
        <f t="shared" si="15"/>
        <v>-68500</v>
      </c>
      <c r="CC767" s="47">
        <f t="shared" ref="CC767:CQ767" si="2414">BC767-$BU767</f>
        <v>-7000</v>
      </c>
      <c r="CD767" s="47">
        <f t="shared" si="2414"/>
        <v>-6900</v>
      </c>
      <c r="CE767" s="47">
        <f t="shared" si="2414"/>
        <v>-7000</v>
      </c>
      <c r="CF767" s="47">
        <f t="shared" si="2414"/>
        <v>-7000</v>
      </c>
      <c r="CG767" s="47">
        <f t="shared" si="2414"/>
        <v>-6200</v>
      </c>
      <c r="CH767" s="47">
        <f t="shared" si="2414"/>
        <v>-6750</v>
      </c>
      <c r="CI767" s="47">
        <f t="shared" si="2414"/>
        <v>-7000</v>
      </c>
      <c r="CJ767" s="47">
        <f t="shared" si="2414"/>
        <v>-7000</v>
      </c>
      <c r="CK767" s="47">
        <f t="shared" si="2414"/>
        <v>-7000</v>
      </c>
      <c r="CL767" s="47">
        <f t="shared" si="2414"/>
        <v>-7000</v>
      </c>
      <c r="CM767" s="47">
        <f t="shared" si="2414"/>
        <v>-7000</v>
      </c>
      <c r="CN767" s="47">
        <f t="shared" si="2414"/>
        <v>-7000</v>
      </c>
      <c r="CO767" s="47">
        <f t="shared" si="2414"/>
        <v>-7000</v>
      </c>
      <c r="CP767" s="47">
        <f t="shared" si="2414"/>
        <v>-7000</v>
      </c>
      <c r="CQ767" s="47">
        <f t="shared" si="2414"/>
        <v>-7000</v>
      </c>
      <c r="CR767" s="47"/>
      <c r="CS767" s="47"/>
      <c r="CT767" s="47"/>
      <c r="CU767" s="74"/>
      <c r="CV767" s="74"/>
      <c r="CW767" s="74" t="str">
        <f>IFERROR(__xludf.DUMMYFUNCTION("IF(REGEXMATCH(UPPER(CU767), ""DALLAS""),,CU767)"),"")</f>
        <v/>
      </c>
      <c r="CX767" s="74"/>
      <c r="CY767" s="74"/>
      <c r="CZ767" s="74"/>
      <c r="DA767" s="75"/>
      <c r="DB767" s="74"/>
      <c r="DC767" s="74"/>
      <c r="DD767" s="74"/>
      <c r="DE767" s="74"/>
      <c r="DF767" s="74"/>
      <c r="DG767" s="74"/>
      <c r="DH767" s="74"/>
      <c r="DI767" s="74"/>
      <c r="DJ767" s="74"/>
      <c r="DK767" s="74"/>
      <c r="DL767" s="74"/>
      <c r="DM767" s="74"/>
      <c r="DN767" s="74"/>
      <c r="DO767" s="74"/>
      <c r="DP767" s="74"/>
      <c r="DQ767" s="74"/>
      <c r="DR767" s="74"/>
      <c r="DS767" s="74"/>
      <c r="DT767" s="74"/>
      <c r="DU767" s="74"/>
      <c r="DV767" s="74"/>
      <c r="DW767" s="74"/>
    </row>
    <row r="768">
      <c r="A768" s="22" t="s">
        <v>55</v>
      </c>
      <c r="B768" s="23" t="s">
        <v>56</v>
      </c>
      <c r="C768" s="31" t="s">
        <v>1991</v>
      </c>
      <c r="D768" s="25" t="str">
        <f>IFERROR(__xludf.DUMMYFUNCTION("SPLIT(C768,"" "")"),"Norton")</f>
        <v>Norton</v>
      </c>
      <c r="E768" s="22" t="str">
        <f>IFERROR(__xludf.DUMMYFUNCTION("""COMPUTED_VALUE"""),"Rose")</f>
        <v>Rose</v>
      </c>
      <c r="F768" s="22" t="str">
        <f>IFERROR(__xludf.DUMMYFUNCTION("""COMPUTED_VALUE"""),"Fulbright")</f>
        <v>Fulbright</v>
      </c>
      <c r="G768" s="22" t="str">
        <f>IFERROR(__xludf.DUMMYFUNCTION("""COMPUTED_VALUE"""),"LLP")</f>
        <v>LLP</v>
      </c>
      <c r="H768" s="22" t="str">
        <f>IFERROR(__xludf.DUMMYFUNCTION("""COMPUTED_VALUE"""),"Texas")</f>
        <v>Texas</v>
      </c>
      <c r="I768" s="22" t="str">
        <f>IFERROR(__xludf.DUMMYFUNCTION("""COMPUTED_VALUE"""),"Cmte
1301")</f>
        <v>Cmte
1301</v>
      </c>
      <c r="J768" s="22" t="str">
        <f>IFERROR(__xludf.DUMMYFUNCTION("""COMPUTED_VALUE"""),"McKinney
Houston,")</f>
        <v>McKinney
Houston,</v>
      </c>
      <c r="K768" s="22" t="str">
        <f>IFERROR(__xludf.DUMMYFUNCTION("""COMPUTED_VALUE"""),"TX")</f>
        <v>TX</v>
      </c>
      <c r="L768" s="22">
        <f>IFERROR(__xludf.DUMMYFUNCTION("""COMPUTED_VALUE"""),77010.0)</f>
        <v>77010</v>
      </c>
      <c r="M768" s="22"/>
      <c r="N768" s="22"/>
      <c r="O768" s="22"/>
      <c r="P768" s="22"/>
      <c r="Q768" s="22"/>
      <c r="R768" s="22"/>
      <c r="S768" s="22"/>
      <c r="T768" s="22"/>
      <c r="U768" s="24" t="str">
        <f>IFERROR(__xludf.DUMMYFUNCTION("SPLIT(E768,""01234567890"")"),"Rose")</f>
        <v>Rose</v>
      </c>
      <c r="V768" s="24" t="str">
        <f>IFERROR(__xludf.DUMMYFUNCTION("SPLIT(D768,"","")"),"Norton")</f>
        <v>Norton</v>
      </c>
      <c r="W768" s="25" t="str">
        <f t="shared" si="1"/>
        <v>ROSE NORTON</v>
      </c>
      <c r="X768" s="22"/>
      <c r="Y768" s="22"/>
      <c r="Z768" s="25" t="str">
        <f>IFERROR(__xludf.DUMMYFUNCTION("SPLIT(C768,""
"")"),"Norton Rose Fulbright LLP Texas Cmte")</f>
        <v>Norton Rose Fulbright LLP Texas Cmte</v>
      </c>
      <c r="AA768" s="22" t="str">
        <f>IFERROR(__xludf.DUMMYFUNCTION("""COMPUTED_VALUE"""),"1301 McKinney")</f>
        <v>1301 McKinney</v>
      </c>
      <c r="AB768" s="22" t="str">
        <f>IFERROR(__xludf.DUMMYFUNCTION("""COMPUTED_VALUE"""),"Houston, TX 77010")</f>
        <v>Houston, TX 77010</v>
      </c>
      <c r="AC768" s="31" t="s">
        <v>1992</v>
      </c>
      <c r="AD768" s="22"/>
      <c r="AE768" s="22"/>
      <c r="AF768" s="22"/>
      <c r="AG768" s="22" t="s">
        <v>60</v>
      </c>
      <c r="AH768" s="54">
        <v>2481.0</v>
      </c>
      <c r="AI768" s="22" t="s">
        <v>68</v>
      </c>
      <c r="AJ768" s="27">
        <v>2500.0</v>
      </c>
      <c r="AK768" s="31" t="s">
        <v>25</v>
      </c>
      <c r="AL768" s="28">
        <v>44851.0</v>
      </c>
      <c r="AM768" s="29">
        <v>44937.81995370371</v>
      </c>
      <c r="AN768" s="30">
        <v>2.0</v>
      </c>
      <c r="AO768" s="22"/>
      <c r="AP768" s="22"/>
      <c r="AQ768" s="22"/>
      <c r="AR768" s="22"/>
      <c r="AS768" s="22"/>
      <c r="AT768" s="70"/>
      <c r="AU768" s="22"/>
      <c r="AV768" s="57" t="str">
        <f>IFERROR(__xludf.DUMMYFUNCTION("""COMPUTED_VALUE"""),"Hamilton")</f>
        <v>Hamilton</v>
      </c>
      <c r="AW768" s="46">
        <f t="shared" si="7"/>
        <v>500</v>
      </c>
      <c r="AX768" s="47">
        <f t="shared" ref="AX768:BQ768" si="2415">SUMIFS($AJ:$AJ,$V:$V,$AV768,$AK:$AK,AX$2)</f>
        <v>250</v>
      </c>
      <c r="AY768" s="48">
        <f t="shared" si="2415"/>
        <v>0</v>
      </c>
      <c r="AZ768" s="48">
        <f t="shared" si="2415"/>
        <v>0</v>
      </c>
      <c r="BA768" s="48">
        <f t="shared" si="2415"/>
        <v>250</v>
      </c>
      <c r="BB768" s="48">
        <f t="shared" si="2415"/>
        <v>0</v>
      </c>
      <c r="BC768" s="48">
        <f t="shared" si="2415"/>
        <v>0</v>
      </c>
      <c r="BD768" s="48">
        <f t="shared" si="2415"/>
        <v>0</v>
      </c>
      <c r="BE768" s="48">
        <f t="shared" si="2415"/>
        <v>0</v>
      </c>
      <c r="BF768" s="48">
        <f t="shared" si="2415"/>
        <v>0</v>
      </c>
      <c r="BG768" s="48">
        <f t="shared" si="2415"/>
        <v>0</v>
      </c>
      <c r="BH768" s="48">
        <f t="shared" si="2415"/>
        <v>0</v>
      </c>
      <c r="BI768" s="48">
        <f t="shared" si="2415"/>
        <v>0</v>
      </c>
      <c r="BJ768" s="48">
        <f t="shared" si="2415"/>
        <v>0</v>
      </c>
      <c r="BK768" s="48">
        <f t="shared" si="2415"/>
        <v>0</v>
      </c>
      <c r="BL768" s="48">
        <f t="shared" si="2415"/>
        <v>0</v>
      </c>
      <c r="BM768" s="48">
        <f t="shared" si="2415"/>
        <v>0</v>
      </c>
      <c r="BN768" s="48">
        <f t="shared" si="2415"/>
        <v>0</v>
      </c>
      <c r="BO768" s="48">
        <f t="shared" si="2415"/>
        <v>0</v>
      </c>
      <c r="BP768" s="48">
        <f t="shared" si="2415"/>
        <v>0</v>
      </c>
      <c r="BQ768" s="48">
        <f t="shared" si="2415"/>
        <v>0</v>
      </c>
      <c r="BR768" s="36">
        <f t="shared" si="9"/>
        <v>0</v>
      </c>
      <c r="BS768" s="38">
        <f t="shared" si="10"/>
        <v>1</v>
      </c>
      <c r="BT768" s="49">
        <f t="shared" si="11"/>
        <v>0</v>
      </c>
      <c r="BU768" s="38">
        <f t="shared" si="12"/>
        <v>1000</v>
      </c>
      <c r="BV768" s="57" t="str">
        <f>IFERROR(__xludf.DUMMYFUNCTION("""COMPUTED_VALUE"""),"Hamilton")</f>
        <v>Hamilton</v>
      </c>
      <c r="BW768" s="46">
        <f t="shared" si="13"/>
        <v>500</v>
      </c>
      <c r="BX768" s="47">
        <f t="shared" ref="BX768:CA768" si="2416">AX768-$BU768</f>
        <v>-750</v>
      </c>
      <c r="BY768" s="47">
        <f t="shared" si="2416"/>
        <v>-1000</v>
      </c>
      <c r="BZ768" s="47">
        <f t="shared" si="2416"/>
        <v>-1000</v>
      </c>
      <c r="CA768" s="47">
        <f t="shared" si="2416"/>
        <v>-750</v>
      </c>
      <c r="CB768" s="47">
        <f t="shared" si="15"/>
        <v>-10000</v>
      </c>
      <c r="CC768" s="47">
        <f t="shared" ref="CC768:CQ768" si="2417">BC768-$BU768</f>
        <v>-1000</v>
      </c>
      <c r="CD768" s="47">
        <f t="shared" si="2417"/>
        <v>-1000</v>
      </c>
      <c r="CE768" s="47">
        <f t="shared" si="2417"/>
        <v>-1000</v>
      </c>
      <c r="CF768" s="47">
        <f t="shared" si="2417"/>
        <v>-1000</v>
      </c>
      <c r="CG768" s="47">
        <f t="shared" si="2417"/>
        <v>-1000</v>
      </c>
      <c r="CH768" s="47">
        <f t="shared" si="2417"/>
        <v>-1000</v>
      </c>
      <c r="CI768" s="47">
        <f t="shared" si="2417"/>
        <v>-1000</v>
      </c>
      <c r="CJ768" s="47">
        <f t="shared" si="2417"/>
        <v>-1000</v>
      </c>
      <c r="CK768" s="47">
        <f t="shared" si="2417"/>
        <v>-1000</v>
      </c>
      <c r="CL768" s="47">
        <f t="shared" si="2417"/>
        <v>-1000</v>
      </c>
      <c r="CM768" s="47">
        <f t="shared" si="2417"/>
        <v>-1000</v>
      </c>
      <c r="CN768" s="47">
        <f t="shared" si="2417"/>
        <v>-1000</v>
      </c>
      <c r="CO768" s="47">
        <f t="shared" si="2417"/>
        <v>-1000</v>
      </c>
      <c r="CP768" s="47">
        <f t="shared" si="2417"/>
        <v>-1000</v>
      </c>
      <c r="CQ768" s="47">
        <f t="shared" si="2417"/>
        <v>-1000</v>
      </c>
      <c r="CR768" s="47"/>
      <c r="CS768" s="47"/>
      <c r="CT768" s="47"/>
      <c r="CU768" s="74"/>
      <c r="CV768" s="74"/>
      <c r="CW768" s="74" t="str">
        <f>IFERROR(__xludf.DUMMYFUNCTION("IF(REGEXMATCH(UPPER(CU768), ""DALLAS""),,CU768)"),"")</f>
        <v/>
      </c>
      <c r="CX768" s="74"/>
      <c r="CY768" s="74"/>
      <c r="CZ768" s="74"/>
      <c r="DA768" s="75"/>
      <c r="DB768" s="74"/>
      <c r="DC768" s="74"/>
      <c r="DD768" s="74"/>
      <c r="DE768" s="74"/>
      <c r="DF768" s="74"/>
      <c r="DG768" s="74"/>
      <c r="DH768" s="74"/>
      <c r="DI768" s="74"/>
      <c r="DJ768" s="74"/>
      <c r="DK768" s="74"/>
      <c r="DL768" s="74"/>
      <c r="DM768" s="74"/>
      <c r="DN768" s="74"/>
      <c r="DO768" s="74"/>
      <c r="DP768" s="74"/>
      <c r="DQ768" s="74"/>
      <c r="DR768" s="74"/>
      <c r="DS768" s="74"/>
      <c r="DT768" s="74"/>
      <c r="DU768" s="74"/>
      <c r="DV768" s="74"/>
      <c r="DW768" s="74"/>
    </row>
    <row r="769">
      <c r="A769" s="40" t="s">
        <v>55</v>
      </c>
      <c r="B769" s="41" t="s">
        <v>56</v>
      </c>
      <c r="C769" s="31" t="s">
        <v>1993</v>
      </c>
      <c r="D769" s="25" t="str">
        <f>IFERROR(__xludf.DUMMYFUNCTION("SPLIT(C769,"" "")"),"Dallas")</f>
        <v>Dallas</v>
      </c>
      <c r="E769" s="40" t="str">
        <f>IFERROR(__xludf.DUMMYFUNCTION("""COMPUTED_VALUE"""),"Police")</f>
        <v>Police</v>
      </c>
      <c r="F769" s="40" t="str">
        <f>IFERROR(__xludf.DUMMYFUNCTION("""COMPUTED_VALUE"""),"Officers")</f>
        <v>Officers</v>
      </c>
      <c r="G769" s="40" t="str">
        <f>IFERROR(__xludf.DUMMYFUNCTION("""COMPUTED_VALUE"""),"PAC
1412")</f>
        <v>PAC
1412</v>
      </c>
      <c r="H769" s="40" t="str">
        <f>IFERROR(__xludf.DUMMYFUNCTION("""COMPUTED_VALUE"""),"Griffin")</f>
        <v>Griffin</v>
      </c>
      <c r="I769" s="40" t="str">
        <f>IFERROR(__xludf.DUMMYFUNCTION("""COMPUTED_VALUE"""),"St")</f>
        <v>St</v>
      </c>
      <c r="J769" s="40" t="str">
        <f>IFERROR(__xludf.DUMMYFUNCTION("""COMPUTED_VALUE"""),"E
Dallas,")</f>
        <v>E
Dallas,</v>
      </c>
      <c r="K769" s="40" t="str">
        <f>IFERROR(__xludf.DUMMYFUNCTION("""COMPUTED_VALUE"""),"TX")</f>
        <v>TX</v>
      </c>
      <c r="L769" s="40">
        <f>IFERROR(__xludf.DUMMYFUNCTION("""COMPUTED_VALUE"""),75215.0)</f>
        <v>75215</v>
      </c>
      <c r="M769" s="40"/>
      <c r="N769" s="40"/>
      <c r="O769" s="40"/>
      <c r="P769" s="40"/>
      <c r="Q769" s="40"/>
      <c r="R769" s="40"/>
      <c r="S769" s="40"/>
      <c r="T769" s="40"/>
      <c r="U769" s="24" t="str">
        <f>IFERROR(__xludf.DUMMYFUNCTION("SPLIT(E769,""01234567890"")"),"Police")</f>
        <v>Police</v>
      </c>
      <c r="V769" s="24" t="str">
        <f>IFERROR(__xludf.DUMMYFUNCTION("SPLIT(D769,"","")"),"Dallas")</f>
        <v>Dallas</v>
      </c>
      <c r="W769" s="25" t="str">
        <f t="shared" si="1"/>
        <v>POLICE DALLAS</v>
      </c>
      <c r="X769" s="40"/>
      <c r="Y769" s="40"/>
      <c r="Z769" s="25" t="str">
        <f>IFERROR(__xludf.DUMMYFUNCTION("SPLIT(C769,""
"")"),"Dallas Police Officers PAC")</f>
        <v>Dallas Police Officers PAC</v>
      </c>
      <c r="AA769" s="40" t="str">
        <f>IFERROR(__xludf.DUMMYFUNCTION("""COMPUTED_VALUE"""),"1412 Griffin St E")</f>
        <v>1412 Griffin St E</v>
      </c>
      <c r="AB769" s="40" t="str">
        <f>IFERROR(__xludf.DUMMYFUNCTION("""COMPUTED_VALUE"""),"Dallas, TX 75215")</f>
        <v>Dallas, TX 75215</v>
      </c>
      <c r="AC769" s="31" t="s">
        <v>1994</v>
      </c>
      <c r="AD769" s="40"/>
      <c r="AE769" s="40"/>
      <c r="AF769" s="40"/>
      <c r="AG769" s="40" t="s">
        <v>60</v>
      </c>
      <c r="AH769" s="42">
        <v>2481.0</v>
      </c>
      <c r="AI769" s="40" t="s">
        <v>68</v>
      </c>
      <c r="AJ769" s="27">
        <v>1000.0</v>
      </c>
      <c r="AK769" s="31" t="s">
        <v>25</v>
      </c>
      <c r="AL769" s="43">
        <v>44841.0</v>
      </c>
      <c r="AM769" s="44">
        <v>44937.81995370371</v>
      </c>
      <c r="AN769" s="30">
        <v>2.0</v>
      </c>
      <c r="AO769" s="40"/>
      <c r="AP769" s="40"/>
      <c r="AQ769" s="40"/>
      <c r="AR769" s="40"/>
      <c r="AS769" s="40"/>
      <c r="AT769" s="47"/>
      <c r="AU769" s="40"/>
      <c r="AV769" s="46" t="str">
        <f>IFERROR(__xludf.DUMMYFUNCTION("""COMPUTED_VALUE"""),"Rigelsky")</f>
        <v>Rigelsky</v>
      </c>
      <c r="AW769" s="46">
        <f t="shared" si="7"/>
        <v>150</v>
      </c>
      <c r="AX769" s="47">
        <f t="shared" ref="AX769:BQ769" si="2418">SUMIFS($AJ:$AJ,$V:$V,$AV769,$AK:$AK,AX$2)</f>
        <v>0</v>
      </c>
      <c r="AY769" s="48">
        <f t="shared" si="2418"/>
        <v>0</v>
      </c>
      <c r="AZ769" s="48">
        <f t="shared" si="2418"/>
        <v>0</v>
      </c>
      <c r="BA769" s="48">
        <f t="shared" si="2418"/>
        <v>150</v>
      </c>
      <c r="BB769" s="48">
        <f t="shared" si="2418"/>
        <v>0</v>
      </c>
      <c r="BC769" s="48">
        <f t="shared" si="2418"/>
        <v>0</v>
      </c>
      <c r="BD769" s="48">
        <f t="shared" si="2418"/>
        <v>0</v>
      </c>
      <c r="BE769" s="48">
        <f t="shared" si="2418"/>
        <v>0</v>
      </c>
      <c r="BF769" s="48">
        <f t="shared" si="2418"/>
        <v>0</v>
      </c>
      <c r="BG769" s="48">
        <f t="shared" si="2418"/>
        <v>0</v>
      </c>
      <c r="BH769" s="48">
        <f t="shared" si="2418"/>
        <v>0</v>
      </c>
      <c r="BI769" s="48">
        <f t="shared" si="2418"/>
        <v>0</v>
      </c>
      <c r="BJ769" s="48">
        <f t="shared" si="2418"/>
        <v>0</v>
      </c>
      <c r="BK769" s="48">
        <f t="shared" si="2418"/>
        <v>0</v>
      </c>
      <c r="BL769" s="48">
        <f t="shared" si="2418"/>
        <v>0</v>
      </c>
      <c r="BM769" s="48">
        <f t="shared" si="2418"/>
        <v>0</v>
      </c>
      <c r="BN769" s="48">
        <f t="shared" si="2418"/>
        <v>0</v>
      </c>
      <c r="BO769" s="48">
        <f t="shared" si="2418"/>
        <v>0</v>
      </c>
      <c r="BP769" s="48">
        <f t="shared" si="2418"/>
        <v>0</v>
      </c>
      <c r="BQ769" s="48">
        <f t="shared" si="2418"/>
        <v>0</v>
      </c>
      <c r="BR769" s="36">
        <f t="shared" si="9"/>
        <v>0</v>
      </c>
      <c r="BS769" s="38">
        <f t="shared" si="10"/>
        <v>1</v>
      </c>
      <c r="BT769" s="49">
        <f t="shared" si="11"/>
        <v>0</v>
      </c>
      <c r="BU769" s="38">
        <f t="shared" si="12"/>
        <v>1000</v>
      </c>
      <c r="BV769" s="46" t="str">
        <f>IFERROR(__xludf.DUMMYFUNCTION("""COMPUTED_VALUE"""),"Rigelsky")</f>
        <v>Rigelsky</v>
      </c>
      <c r="BW769" s="46">
        <f t="shared" si="13"/>
        <v>150</v>
      </c>
      <c r="BX769" s="47">
        <f t="shared" ref="BX769:CA769" si="2419">AX769-$BU769</f>
        <v>-1000</v>
      </c>
      <c r="BY769" s="47">
        <f t="shared" si="2419"/>
        <v>-1000</v>
      </c>
      <c r="BZ769" s="47">
        <f t="shared" si="2419"/>
        <v>-1000</v>
      </c>
      <c r="CA769" s="47">
        <f t="shared" si="2419"/>
        <v>-850</v>
      </c>
      <c r="CB769" s="47">
        <f t="shared" si="15"/>
        <v>-10000</v>
      </c>
      <c r="CC769" s="47">
        <f t="shared" ref="CC769:CQ769" si="2420">BC769-$BU769</f>
        <v>-1000</v>
      </c>
      <c r="CD769" s="47">
        <f t="shared" si="2420"/>
        <v>-1000</v>
      </c>
      <c r="CE769" s="47">
        <f t="shared" si="2420"/>
        <v>-1000</v>
      </c>
      <c r="CF769" s="47">
        <f t="shared" si="2420"/>
        <v>-1000</v>
      </c>
      <c r="CG769" s="47">
        <f t="shared" si="2420"/>
        <v>-1000</v>
      </c>
      <c r="CH769" s="47">
        <f t="shared" si="2420"/>
        <v>-1000</v>
      </c>
      <c r="CI769" s="47">
        <f t="shared" si="2420"/>
        <v>-1000</v>
      </c>
      <c r="CJ769" s="47">
        <f t="shared" si="2420"/>
        <v>-1000</v>
      </c>
      <c r="CK769" s="47">
        <f t="shared" si="2420"/>
        <v>-1000</v>
      </c>
      <c r="CL769" s="47">
        <f t="shared" si="2420"/>
        <v>-1000</v>
      </c>
      <c r="CM769" s="47">
        <f t="shared" si="2420"/>
        <v>-1000</v>
      </c>
      <c r="CN769" s="47">
        <f t="shared" si="2420"/>
        <v>-1000</v>
      </c>
      <c r="CO769" s="47">
        <f t="shared" si="2420"/>
        <v>-1000</v>
      </c>
      <c r="CP769" s="47">
        <f t="shared" si="2420"/>
        <v>-1000</v>
      </c>
      <c r="CQ769" s="47">
        <f t="shared" si="2420"/>
        <v>-1000</v>
      </c>
      <c r="CR769" s="47"/>
      <c r="CS769" s="47"/>
      <c r="CT769" s="47"/>
      <c r="CU769" s="74"/>
      <c r="CV769" s="74"/>
      <c r="CW769" s="74" t="str">
        <f>IFERROR(__xludf.DUMMYFUNCTION("IF(REGEXMATCH(UPPER(CU769), ""DALLAS""),,CU769)"),"")</f>
        <v/>
      </c>
      <c r="CX769" s="74"/>
      <c r="CY769" s="74"/>
      <c r="CZ769" s="74"/>
      <c r="DA769" s="75"/>
      <c r="DB769" s="74"/>
      <c r="DC769" s="74"/>
      <c r="DD769" s="74"/>
      <c r="DE769" s="74"/>
      <c r="DF769" s="74"/>
      <c r="DG769" s="74"/>
      <c r="DH769" s="74"/>
      <c r="DI769" s="74"/>
      <c r="DJ769" s="74"/>
      <c r="DK769" s="74"/>
      <c r="DL769" s="74"/>
      <c r="DM769" s="74"/>
      <c r="DN769" s="74"/>
      <c r="DO769" s="74"/>
      <c r="DP769" s="74"/>
      <c r="DQ769" s="74"/>
      <c r="DR769" s="74"/>
      <c r="DS769" s="74"/>
      <c r="DT769" s="74"/>
      <c r="DU769" s="74"/>
      <c r="DV769" s="74"/>
      <c r="DW769" s="74"/>
    </row>
    <row r="770">
      <c r="A770" s="22" t="s">
        <v>55</v>
      </c>
      <c r="B770" s="23" t="s">
        <v>56</v>
      </c>
      <c r="C770" s="31" t="s">
        <v>1995</v>
      </c>
      <c r="D770" s="25" t="str">
        <f>IFERROR(__xludf.DUMMYFUNCTION("SPLIT(C770,"" "")"),"Southwest")</f>
        <v>Southwest</v>
      </c>
      <c r="E770" s="22" t="str">
        <f>IFERROR(__xludf.DUMMYFUNCTION("""COMPUTED_VALUE"""),"Airlines")</f>
        <v>Airlines</v>
      </c>
      <c r="F770" s="22" t="str">
        <f>IFERROR(__xludf.DUMMYFUNCTION("""COMPUTED_VALUE"""),"CO")</f>
        <v>CO</v>
      </c>
      <c r="G770" s="22" t="str">
        <f>IFERROR(__xludf.DUMMYFUNCTION("""COMPUTED_VALUE"""),"Freedom")</f>
        <v>Freedom</v>
      </c>
      <c r="H770" s="22" t="str">
        <f>IFERROR(__xludf.DUMMYFUNCTION("""COMPUTED_VALUE"""),"Fund")</f>
        <v>Fund</v>
      </c>
      <c r="I770" s="22" t="str">
        <f>IFERROR(__xludf.DUMMYFUNCTION("""COMPUTED_VALUE"""),"PAC
PO")</f>
        <v>PAC
PO</v>
      </c>
      <c r="J770" s="22" t="str">
        <f>IFERROR(__xludf.DUMMYFUNCTION("""COMPUTED_VALUE"""),"Box")</f>
        <v>Box</v>
      </c>
      <c r="K770" s="22" t="str">
        <f>IFERROR(__xludf.DUMMYFUNCTION("""COMPUTED_VALUE"""),"36611
Dallas,")</f>
        <v>36611
Dallas,</v>
      </c>
      <c r="L770" s="22" t="str">
        <f>IFERROR(__xludf.DUMMYFUNCTION("""COMPUTED_VALUE"""),"TX")</f>
        <v>TX</v>
      </c>
      <c r="M770" s="22">
        <f>IFERROR(__xludf.DUMMYFUNCTION("""COMPUTED_VALUE"""),75235.0)</f>
        <v>75235</v>
      </c>
      <c r="N770" s="22"/>
      <c r="O770" s="22"/>
      <c r="P770" s="22"/>
      <c r="Q770" s="22"/>
      <c r="R770" s="22"/>
      <c r="S770" s="22"/>
      <c r="T770" s="22"/>
      <c r="U770" s="24" t="str">
        <f>IFERROR(__xludf.DUMMYFUNCTION("SPLIT(E770,""01234567890"")"),"Airlines")</f>
        <v>Airlines</v>
      </c>
      <c r="V770" s="24" t="str">
        <f>IFERROR(__xludf.DUMMYFUNCTION("SPLIT(D770,"","")"),"Southwest")</f>
        <v>Southwest</v>
      </c>
      <c r="W770" s="25" t="str">
        <f t="shared" si="1"/>
        <v>AIRLINES SOUTHWEST</v>
      </c>
      <c r="X770" s="22"/>
      <c r="Y770" s="22"/>
      <c r="Z770" s="25" t="str">
        <f>IFERROR(__xludf.DUMMYFUNCTION("SPLIT(C770,""
"")"),"Southwest Airlines CO Freedom Fund PAC")</f>
        <v>Southwest Airlines CO Freedom Fund PAC</v>
      </c>
      <c r="AA770" s="22" t="str">
        <f>IFERROR(__xludf.DUMMYFUNCTION("""COMPUTED_VALUE"""),"PO Box 36611")</f>
        <v>PO Box 36611</v>
      </c>
      <c r="AB770" s="22" t="str">
        <f>IFERROR(__xludf.DUMMYFUNCTION("""COMPUTED_VALUE"""),"Dallas, TX 75235")</f>
        <v>Dallas, TX 75235</v>
      </c>
      <c r="AC770" s="31" t="s">
        <v>1996</v>
      </c>
      <c r="AD770" s="22"/>
      <c r="AE770" s="22"/>
      <c r="AF770" s="22"/>
      <c r="AG770" s="22" t="s">
        <v>60</v>
      </c>
      <c r="AH770" s="54">
        <v>2481.0</v>
      </c>
      <c r="AI770" s="22" t="s">
        <v>68</v>
      </c>
      <c r="AJ770" s="27">
        <v>1000.0</v>
      </c>
      <c r="AK770" s="31" t="s">
        <v>25</v>
      </c>
      <c r="AL770" s="28">
        <v>44851.0</v>
      </c>
      <c r="AM770" s="29">
        <v>44937.81995370371</v>
      </c>
      <c r="AN770" s="30">
        <v>2.0</v>
      </c>
      <c r="AO770" s="22"/>
      <c r="AP770" s="22"/>
      <c r="AQ770" s="22"/>
      <c r="AR770" s="22"/>
      <c r="AS770" s="22"/>
      <c r="AT770" s="70"/>
      <c r="AU770" s="22"/>
      <c r="AV770" s="57" t="str">
        <f>IFERROR(__xludf.DUMMYFUNCTION("""COMPUTED_VALUE"""),"Proctor")</f>
        <v>Proctor</v>
      </c>
      <c r="AW770" s="46">
        <f t="shared" si="7"/>
        <v>1000</v>
      </c>
      <c r="AX770" s="47">
        <f t="shared" ref="AX770:BQ770" si="2421">SUMIFS($AJ:$AJ,$V:$V,$AV770,$AK:$AK,AX$2)</f>
        <v>0</v>
      </c>
      <c r="AY770" s="48">
        <f t="shared" si="2421"/>
        <v>0</v>
      </c>
      <c r="AZ770" s="48">
        <f t="shared" si="2421"/>
        <v>0</v>
      </c>
      <c r="BA770" s="48">
        <f t="shared" si="2421"/>
        <v>1000</v>
      </c>
      <c r="BB770" s="48">
        <f t="shared" si="2421"/>
        <v>0</v>
      </c>
      <c r="BC770" s="48">
        <f t="shared" si="2421"/>
        <v>0</v>
      </c>
      <c r="BD770" s="48">
        <f t="shared" si="2421"/>
        <v>0</v>
      </c>
      <c r="BE770" s="48">
        <f t="shared" si="2421"/>
        <v>0</v>
      </c>
      <c r="BF770" s="48">
        <f t="shared" si="2421"/>
        <v>0</v>
      </c>
      <c r="BG770" s="48">
        <f t="shared" si="2421"/>
        <v>0</v>
      </c>
      <c r="BH770" s="48">
        <f t="shared" si="2421"/>
        <v>0</v>
      </c>
      <c r="BI770" s="48">
        <f t="shared" si="2421"/>
        <v>0</v>
      </c>
      <c r="BJ770" s="48">
        <f t="shared" si="2421"/>
        <v>0</v>
      </c>
      <c r="BK770" s="48">
        <f t="shared" si="2421"/>
        <v>0</v>
      </c>
      <c r="BL770" s="48">
        <f t="shared" si="2421"/>
        <v>0</v>
      </c>
      <c r="BM770" s="48">
        <f t="shared" si="2421"/>
        <v>0</v>
      </c>
      <c r="BN770" s="48">
        <f t="shared" si="2421"/>
        <v>0</v>
      </c>
      <c r="BO770" s="48">
        <f t="shared" si="2421"/>
        <v>0</v>
      </c>
      <c r="BP770" s="48">
        <f t="shared" si="2421"/>
        <v>0</v>
      </c>
      <c r="BQ770" s="48">
        <f t="shared" si="2421"/>
        <v>0</v>
      </c>
      <c r="BR770" s="36">
        <f t="shared" si="9"/>
        <v>0</v>
      </c>
      <c r="BS770" s="38">
        <f t="shared" si="10"/>
        <v>1</v>
      </c>
      <c r="BT770" s="49">
        <f t="shared" si="11"/>
        <v>0</v>
      </c>
      <c r="BU770" s="38">
        <f t="shared" si="12"/>
        <v>1000</v>
      </c>
      <c r="BV770" s="57" t="str">
        <f>IFERROR(__xludf.DUMMYFUNCTION("""COMPUTED_VALUE"""),"Proctor")</f>
        <v>Proctor</v>
      </c>
      <c r="BW770" s="46">
        <f t="shared" si="13"/>
        <v>1000</v>
      </c>
      <c r="BX770" s="47">
        <f t="shared" ref="BX770:CA770" si="2422">AX770-$BU770</f>
        <v>-1000</v>
      </c>
      <c r="BY770" s="47">
        <f t="shared" si="2422"/>
        <v>-1000</v>
      </c>
      <c r="BZ770" s="47">
        <f t="shared" si="2422"/>
        <v>-1000</v>
      </c>
      <c r="CA770" s="47">
        <f t="shared" si="2422"/>
        <v>0</v>
      </c>
      <c r="CB770" s="47">
        <f t="shared" si="15"/>
        <v>-10000</v>
      </c>
      <c r="CC770" s="47">
        <f t="shared" ref="CC770:CQ770" si="2423">BC770-$BU770</f>
        <v>-1000</v>
      </c>
      <c r="CD770" s="47">
        <f t="shared" si="2423"/>
        <v>-1000</v>
      </c>
      <c r="CE770" s="47">
        <f t="shared" si="2423"/>
        <v>-1000</v>
      </c>
      <c r="CF770" s="47">
        <f t="shared" si="2423"/>
        <v>-1000</v>
      </c>
      <c r="CG770" s="47">
        <f t="shared" si="2423"/>
        <v>-1000</v>
      </c>
      <c r="CH770" s="47">
        <f t="shared" si="2423"/>
        <v>-1000</v>
      </c>
      <c r="CI770" s="47">
        <f t="shared" si="2423"/>
        <v>-1000</v>
      </c>
      <c r="CJ770" s="47">
        <f t="shared" si="2423"/>
        <v>-1000</v>
      </c>
      <c r="CK770" s="47">
        <f t="shared" si="2423"/>
        <v>-1000</v>
      </c>
      <c r="CL770" s="47">
        <f t="shared" si="2423"/>
        <v>-1000</v>
      </c>
      <c r="CM770" s="47">
        <f t="shared" si="2423"/>
        <v>-1000</v>
      </c>
      <c r="CN770" s="47">
        <f t="shared" si="2423"/>
        <v>-1000</v>
      </c>
      <c r="CO770" s="47">
        <f t="shared" si="2423"/>
        <v>-1000</v>
      </c>
      <c r="CP770" s="47">
        <f t="shared" si="2423"/>
        <v>-1000</v>
      </c>
      <c r="CQ770" s="47">
        <f t="shared" si="2423"/>
        <v>-1000</v>
      </c>
      <c r="CR770" s="47"/>
      <c r="CS770" s="47"/>
      <c r="CT770" s="47"/>
      <c r="CU770" s="74"/>
      <c r="CV770" s="74"/>
      <c r="CW770" s="74" t="str">
        <f>IFERROR(__xludf.DUMMYFUNCTION("IF(REGEXMATCH(UPPER(CU770), ""DALLAS""),,CU770)"),"")</f>
        <v/>
      </c>
      <c r="CX770" s="74"/>
      <c r="CY770" s="74"/>
      <c r="CZ770" s="74"/>
      <c r="DA770" s="75"/>
      <c r="DB770" s="74"/>
      <c r="DC770" s="74"/>
      <c r="DD770" s="74"/>
      <c r="DE770" s="74"/>
      <c r="DF770" s="74"/>
      <c r="DG770" s="74"/>
      <c r="DH770" s="74"/>
      <c r="DI770" s="74"/>
      <c r="DJ770" s="74"/>
      <c r="DK770" s="74"/>
      <c r="DL770" s="74"/>
      <c r="DM770" s="74"/>
      <c r="DN770" s="74"/>
      <c r="DO770" s="74"/>
      <c r="DP770" s="74"/>
      <c r="DQ770" s="74"/>
      <c r="DR770" s="74"/>
      <c r="DS770" s="74"/>
      <c r="DT770" s="74"/>
      <c r="DU770" s="74"/>
      <c r="DV770" s="74"/>
      <c r="DW770" s="74"/>
    </row>
    <row r="771">
      <c r="A771" s="40" t="s">
        <v>55</v>
      </c>
      <c r="B771" s="41" t="s">
        <v>56</v>
      </c>
      <c r="C771" s="31" t="s">
        <v>1997</v>
      </c>
      <c r="D771" s="25" t="str">
        <f>IFERROR(__xludf.DUMMYFUNCTION("SPLIT(C771,"" "")"),"Texas")</f>
        <v>Texas</v>
      </c>
      <c r="E771" s="40" t="str">
        <f>IFERROR(__xludf.DUMMYFUNCTION("""COMPUTED_VALUE"""),"Automobile")</f>
        <v>Automobile</v>
      </c>
      <c r="F771" s="40" t="str">
        <f>IFERROR(__xludf.DUMMYFUNCTION("""COMPUTED_VALUE"""),"Dealers")</f>
        <v>Dealers</v>
      </c>
      <c r="G771" s="40" t="str">
        <f>IFERROR(__xludf.DUMMYFUNCTION("""COMPUTED_VALUE"""),"Association")</f>
        <v>Association</v>
      </c>
      <c r="H771" s="40" t="str">
        <f>IFERROR(__xludf.DUMMYFUNCTION("""COMPUTED_VALUE"""),"PAC
1108")</f>
        <v>PAC
1108</v>
      </c>
      <c r="I771" s="40" t="str">
        <f>IFERROR(__xludf.DUMMYFUNCTION("""COMPUTED_VALUE"""),"Lavaca")</f>
        <v>Lavaca</v>
      </c>
      <c r="J771" s="40" t="str">
        <f>IFERROR(__xludf.DUMMYFUNCTION("""COMPUTED_VALUE"""),"St
Austin,")</f>
        <v>St
Austin,</v>
      </c>
      <c r="K771" s="40" t="str">
        <f>IFERROR(__xludf.DUMMYFUNCTION("""COMPUTED_VALUE"""),"TX")</f>
        <v>TX</v>
      </c>
      <c r="L771" s="40">
        <f>IFERROR(__xludf.DUMMYFUNCTION("""COMPUTED_VALUE"""),78701.0)</f>
        <v>78701</v>
      </c>
      <c r="M771" s="40"/>
      <c r="N771" s="40"/>
      <c r="O771" s="40"/>
      <c r="P771" s="40"/>
      <c r="Q771" s="40"/>
      <c r="R771" s="40"/>
      <c r="S771" s="40"/>
      <c r="T771" s="40"/>
      <c r="U771" s="24" t="str">
        <f>IFERROR(__xludf.DUMMYFUNCTION("SPLIT(E771,""01234567890"")"),"Automobile")</f>
        <v>Automobile</v>
      </c>
      <c r="V771" s="24" t="str">
        <f>IFERROR(__xludf.DUMMYFUNCTION("SPLIT(D771,"","")"),"Texas")</f>
        <v>Texas</v>
      </c>
      <c r="W771" s="25" t="str">
        <f t="shared" si="1"/>
        <v>AUTOMOBILE TEXAS</v>
      </c>
      <c r="X771" s="40"/>
      <c r="Y771" s="40"/>
      <c r="Z771" s="25" t="str">
        <f>IFERROR(__xludf.DUMMYFUNCTION("SPLIT(C771,""
"")"),"Texas Automobile Dealers Association PAC")</f>
        <v>Texas Automobile Dealers Association PAC</v>
      </c>
      <c r="AA771" s="40" t="str">
        <f>IFERROR(__xludf.DUMMYFUNCTION("""COMPUTED_VALUE"""),"1108 Lavaca St")</f>
        <v>1108 Lavaca St</v>
      </c>
      <c r="AB771" s="40" t="str">
        <f>IFERROR(__xludf.DUMMYFUNCTION("""COMPUTED_VALUE"""),"Austin, TX 78701")</f>
        <v>Austin, TX 78701</v>
      </c>
      <c r="AC771" s="31" t="s">
        <v>1998</v>
      </c>
      <c r="AD771" s="40"/>
      <c r="AE771" s="40"/>
      <c r="AF771" s="40"/>
      <c r="AG771" s="40" t="s">
        <v>60</v>
      </c>
      <c r="AH771" s="42">
        <v>2481.0</v>
      </c>
      <c r="AI771" s="40" t="s">
        <v>68</v>
      </c>
      <c r="AJ771" s="27">
        <v>1000.0</v>
      </c>
      <c r="AK771" s="31" t="s">
        <v>25</v>
      </c>
      <c r="AL771" s="43">
        <v>44841.0</v>
      </c>
      <c r="AM771" s="44">
        <v>44937.81995370371</v>
      </c>
      <c r="AN771" s="30">
        <v>2.0</v>
      </c>
      <c r="AO771" s="40"/>
      <c r="AP771" s="40"/>
      <c r="AQ771" s="40"/>
      <c r="AR771" s="40"/>
      <c r="AS771" s="40"/>
      <c r="AT771" s="47"/>
      <c r="AU771" s="40"/>
      <c r="AV771" s="46" t="str">
        <f>IFERROR(__xludf.DUMMYFUNCTION("""COMPUTED_VALUE"""),"Lopez")</f>
        <v>Lopez</v>
      </c>
      <c r="AW771" s="46">
        <f t="shared" si="7"/>
        <v>2000</v>
      </c>
      <c r="AX771" s="47">
        <f t="shared" ref="AX771:BQ771" si="2424">SUMIFS($AJ:$AJ,$V:$V,$AV771,$AK:$AK,AX$2)</f>
        <v>500</v>
      </c>
      <c r="AY771" s="48">
        <f t="shared" si="2424"/>
        <v>0</v>
      </c>
      <c r="AZ771" s="48">
        <f t="shared" si="2424"/>
        <v>0</v>
      </c>
      <c r="BA771" s="48">
        <f t="shared" si="2424"/>
        <v>1000</v>
      </c>
      <c r="BB771" s="48">
        <f t="shared" si="2424"/>
        <v>0</v>
      </c>
      <c r="BC771" s="48">
        <f t="shared" si="2424"/>
        <v>0</v>
      </c>
      <c r="BD771" s="48">
        <f t="shared" si="2424"/>
        <v>500</v>
      </c>
      <c r="BE771" s="48">
        <f t="shared" si="2424"/>
        <v>0</v>
      </c>
      <c r="BF771" s="48">
        <f t="shared" si="2424"/>
        <v>0</v>
      </c>
      <c r="BG771" s="48">
        <f t="shared" si="2424"/>
        <v>0</v>
      </c>
      <c r="BH771" s="48">
        <f t="shared" si="2424"/>
        <v>0</v>
      </c>
      <c r="BI771" s="48">
        <f t="shared" si="2424"/>
        <v>0</v>
      </c>
      <c r="BJ771" s="48">
        <f t="shared" si="2424"/>
        <v>0</v>
      </c>
      <c r="BK771" s="48">
        <f t="shared" si="2424"/>
        <v>0</v>
      </c>
      <c r="BL771" s="48">
        <f t="shared" si="2424"/>
        <v>0</v>
      </c>
      <c r="BM771" s="48">
        <f t="shared" si="2424"/>
        <v>0</v>
      </c>
      <c r="BN771" s="48">
        <f t="shared" si="2424"/>
        <v>0</v>
      </c>
      <c r="BO771" s="48">
        <f t="shared" si="2424"/>
        <v>0</v>
      </c>
      <c r="BP771" s="48">
        <f t="shared" si="2424"/>
        <v>0</v>
      </c>
      <c r="BQ771" s="48">
        <f t="shared" si="2424"/>
        <v>0</v>
      </c>
      <c r="BR771" s="36">
        <f t="shared" si="9"/>
        <v>1</v>
      </c>
      <c r="BS771" s="38">
        <f t="shared" si="10"/>
        <v>2</v>
      </c>
      <c r="BT771" s="49">
        <f t="shared" si="11"/>
        <v>0</v>
      </c>
      <c r="BU771" s="38">
        <f t="shared" si="12"/>
        <v>2000</v>
      </c>
      <c r="BV771" s="46" t="str">
        <f>IFERROR(__xludf.DUMMYFUNCTION("""COMPUTED_VALUE"""),"Lopez")</f>
        <v>Lopez</v>
      </c>
      <c r="BW771" s="46">
        <f t="shared" si="13"/>
        <v>2000</v>
      </c>
      <c r="BX771" s="47">
        <f t="shared" ref="BX771:CA771" si="2425">AX771-$BU771</f>
        <v>-1500</v>
      </c>
      <c r="BY771" s="47">
        <f t="shared" si="2425"/>
        <v>-2000</v>
      </c>
      <c r="BZ771" s="47">
        <f t="shared" si="2425"/>
        <v>-2000</v>
      </c>
      <c r="CA771" s="47">
        <f t="shared" si="2425"/>
        <v>-1000</v>
      </c>
      <c r="CB771" s="47">
        <f t="shared" si="15"/>
        <v>-20000</v>
      </c>
      <c r="CC771" s="47">
        <f t="shared" ref="CC771:CQ771" si="2426">BC771-$BU771</f>
        <v>-2000</v>
      </c>
      <c r="CD771" s="47">
        <f t="shared" si="2426"/>
        <v>-1500</v>
      </c>
      <c r="CE771" s="47">
        <f t="shared" si="2426"/>
        <v>-2000</v>
      </c>
      <c r="CF771" s="47">
        <f t="shared" si="2426"/>
        <v>-2000</v>
      </c>
      <c r="CG771" s="47">
        <f t="shared" si="2426"/>
        <v>-2000</v>
      </c>
      <c r="CH771" s="47">
        <f t="shared" si="2426"/>
        <v>-2000</v>
      </c>
      <c r="CI771" s="47">
        <f t="shared" si="2426"/>
        <v>-2000</v>
      </c>
      <c r="CJ771" s="47">
        <f t="shared" si="2426"/>
        <v>-2000</v>
      </c>
      <c r="CK771" s="47">
        <f t="shared" si="2426"/>
        <v>-2000</v>
      </c>
      <c r="CL771" s="47">
        <f t="shared" si="2426"/>
        <v>-2000</v>
      </c>
      <c r="CM771" s="47">
        <f t="shared" si="2426"/>
        <v>-2000</v>
      </c>
      <c r="CN771" s="47">
        <f t="shared" si="2426"/>
        <v>-2000</v>
      </c>
      <c r="CO771" s="47">
        <f t="shared" si="2426"/>
        <v>-2000</v>
      </c>
      <c r="CP771" s="47">
        <f t="shared" si="2426"/>
        <v>-2000</v>
      </c>
      <c r="CQ771" s="47">
        <f t="shared" si="2426"/>
        <v>-2000</v>
      </c>
      <c r="CR771" s="47"/>
      <c r="CS771" s="47"/>
      <c r="CT771" s="47"/>
      <c r="CU771" s="74"/>
      <c r="CV771" s="74"/>
      <c r="CW771" s="74" t="str">
        <f>IFERROR(__xludf.DUMMYFUNCTION("IF(REGEXMATCH(UPPER(CU771), ""DALLAS""),,CU771)"),"")</f>
        <v/>
      </c>
      <c r="CX771" s="74"/>
      <c r="CY771" s="74"/>
      <c r="CZ771" s="74"/>
      <c r="DA771" s="75"/>
      <c r="DB771" s="74"/>
      <c r="DC771" s="74"/>
      <c r="DD771" s="74"/>
      <c r="DE771" s="74"/>
      <c r="DF771" s="74"/>
      <c r="DG771" s="74"/>
      <c r="DH771" s="74"/>
      <c r="DI771" s="74"/>
      <c r="DJ771" s="74"/>
      <c r="DK771" s="74"/>
      <c r="DL771" s="74"/>
      <c r="DM771" s="74"/>
      <c r="DN771" s="74"/>
      <c r="DO771" s="74"/>
      <c r="DP771" s="74"/>
      <c r="DQ771" s="74"/>
      <c r="DR771" s="74"/>
      <c r="DS771" s="74"/>
      <c r="DT771" s="74"/>
      <c r="DU771" s="74"/>
      <c r="DV771" s="74"/>
      <c r="DW771" s="74"/>
    </row>
    <row r="772">
      <c r="A772" s="22" t="s">
        <v>55</v>
      </c>
      <c r="B772" s="23" t="s">
        <v>56</v>
      </c>
      <c r="C772" s="31" t="s">
        <v>827</v>
      </c>
      <c r="D772" s="25" t="str">
        <f>IFERROR(__xludf.DUMMYFUNCTION("SPLIT(C772,"" "")"),"WSP")</f>
        <v>WSP</v>
      </c>
      <c r="E772" s="22" t="str">
        <f>IFERROR(__xludf.DUMMYFUNCTION("""COMPUTED_VALUE"""),"USA")</f>
        <v>USA</v>
      </c>
      <c r="F772" s="22" t="str">
        <f>IFERROR(__xludf.DUMMYFUNCTION("""COMPUTED_VALUE"""),"PAC
1")</f>
        <v>PAC
1</v>
      </c>
      <c r="G772" s="22" t="str">
        <f>IFERROR(__xludf.DUMMYFUNCTION("""COMPUTED_VALUE"""),"Penn")</f>
        <v>Penn</v>
      </c>
      <c r="H772" s="22" t="str">
        <f>IFERROR(__xludf.DUMMYFUNCTION("""COMPUTED_VALUE"""),"Plaza
New")</f>
        <v>Plaza
New</v>
      </c>
      <c r="I772" s="22" t="str">
        <f>IFERROR(__xludf.DUMMYFUNCTION("""COMPUTED_VALUE"""),"York,")</f>
        <v>York,</v>
      </c>
      <c r="J772" s="22" t="str">
        <f>IFERROR(__xludf.DUMMYFUNCTION("""COMPUTED_VALUE"""),"NY")</f>
        <v>NY</v>
      </c>
      <c r="K772" s="22">
        <f>IFERROR(__xludf.DUMMYFUNCTION("""COMPUTED_VALUE"""),10119.0)</f>
        <v>10119</v>
      </c>
      <c r="L772" s="22"/>
      <c r="M772" s="22"/>
      <c r="N772" s="22"/>
      <c r="O772" s="22"/>
      <c r="P772" s="22"/>
      <c r="Q772" s="22"/>
      <c r="R772" s="22"/>
      <c r="S772" s="22"/>
      <c r="T772" s="22"/>
      <c r="U772" s="24" t="str">
        <f>IFERROR(__xludf.DUMMYFUNCTION("SPLIT(E772,""01234567890"")"),"USA")</f>
        <v>USA</v>
      </c>
      <c r="V772" s="24" t="str">
        <f>IFERROR(__xludf.DUMMYFUNCTION("SPLIT(D772,"","")"),"WSP")</f>
        <v>WSP</v>
      </c>
      <c r="W772" s="25" t="str">
        <f t="shared" si="1"/>
        <v>USA WSP</v>
      </c>
      <c r="X772" s="22"/>
      <c r="Y772" s="22"/>
      <c r="Z772" s="25" t="str">
        <f>IFERROR(__xludf.DUMMYFUNCTION("SPLIT(C772,""
"")"),"WSP USA PAC")</f>
        <v>WSP USA PAC</v>
      </c>
      <c r="AA772" s="22" t="str">
        <f>IFERROR(__xludf.DUMMYFUNCTION("""COMPUTED_VALUE"""),"1 Penn Plaza")</f>
        <v>1 Penn Plaza</v>
      </c>
      <c r="AB772" s="22" t="str">
        <f>IFERROR(__xludf.DUMMYFUNCTION("""COMPUTED_VALUE"""),"New York, NY 10119")</f>
        <v>New York, NY 10119</v>
      </c>
      <c r="AC772" s="31" t="s">
        <v>829</v>
      </c>
      <c r="AD772" s="22"/>
      <c r="AE772" s="22"/>
      <c r="AF772" s="22"/>
      <c r="AG772" s="22" t="s">
        <v>60</v>
      </c>
      <c r="AH772" s="54">
        <v>2481.0</v>
      </c>
      <c r="AI772" s="22" t="s">
        <v>68</v>
      </c>
      <c r="AJ772" s="27">
        <v>1000.0</v>
      </c>
      <c r="AK772" s="31" t="s">
        <v>25</v>
      </c>
      <c r="AL772" s="28">
        <v>44841.0</v>
      </c>
      <c r="AM772" s="29">
        <v>44937.81995370371</v>
      </c>
      <c r="AN772" s="30">
        <v>2.0</v>
      </c>
      <c r="AO772" s="22"/>
      <c r="AP772" s="22"/>
      <c r="AQ772" s="22"/>
      <c r="AR772" s="22"/>
      <c r="AS772" s="22"/>
      <c r="AT772" s="70"/>
      <c r="AU772" s="22"/>
      <c r="AV772" s="57" t="str">
        <f>IFERROR(__xludf.DUMMYFUNCTION("""COMPUTED_VALUE"""),"Goldwater")</f>
        <v>Goldwater</v>
      </c>
      <c r="AW772" s="46">
        <f t="shared" si="7"/>
        <v>250</v>
      </c>
      <c r="AX772" s="47">
        <f t="shared" ref="AX772:BQ772" si="2427">SUMIFS($AJ:$AJ,$V:$V,$AV772,$AK:$AK,AX$2)</f>
        <v>0</v>
      </c>
      <c r="AY772" s="48">
        <f t="shared" si="2427"/>
        <v>0</v>
      </c>
      <c r="AZ772" s="48">
        <f t="shared" si="2427"/>
        <v>0</v>
      </c>
      <c r="BA772" s="48">
        <f t="shared" si="2427"/>
        <v>250</v>
      </c>
      <c r="BB772" s="48">
        <f t="shared" si="2427"/>
        <v>0</v>
      </c>
      <c r="BC772" s="48">
        <f t="shared" si="2427"/>
        <v>0</v>
      </c>
      <c r="BD772" s="48">
        <f t="shared" si="2427"/>
        <v>0</v>
      </c>
      <c r="BE772" s="48">
        <f t="shared" si="2427"/>
        <v>0</v>
      </c>
      <c r="BF772" s="48">
        <f t="shared" si="2427"/>
        <v>0</v>
      </c>
      <c r="BG772" s="48">
        <f t="shared" si="2427"/>
        <v>0</v>
      </c>
      <c r="BH772" s="48">
        <f t="shared" si="2427"/>
        <v>0</v>
      </c>
      <c r="BI772" s="48">
        <f t="shared" si="2427"/>
        <v>0</v>
      </c>
      <c r="BJ772" s="48">
        <f t="shared" si="2427"/>
        <v>0</v>
      </c>
      <c r="BK772" s="48">
        <f t="shared" si="2427"/>
        <v>0</v>
      </c>
      <c r="BL772" s="48">
        <f t="shared" si="2427"/>
        <v>0</v>
      </c>
      <c r="BM772" s="48">
        <f t="shared" si="2427"/>
        <v>0</v>
      </c>
      <c r="BN772" s="48">
        <f t="shared" si="2427"/>
        <v>0</v>
      </c>
      <c r="BO772" s="48">
        <f t="shared" si="2427"/>
        <v>0</v>
      </c>
      <c r="BP772" s="48">
        <f t="shared" si="2427"/>
        <v>0</v>
      </c>
      <c r="BQ772" s="48">
        <f t="shared" si="2427"/>
        <v>0</v>
      </c>
      <c r="BR772" s="36">
        <f t="shared" si="9"/>
        <v>0</v>
      </c>
      <c r="BS772" s="38">
        <f t="shared" si="10"/>
        <v>1</v>
      </c>
      <c r="BT772" s="49">
        <f t="shared" si="11"/>
        <v>0</v>
      </c>
      <c r="BU772" s="38">
        <f t="shared" si="12"/>
        <v>1000</v>
      </c>
      <c r="BV772" s="57" t="str">
        <f>IFERROR(__xludf.DUMMYFUNCTION("""COMPUTED_VALUE"""),"Goldwater")</f>
        <v>Goldwater</v>
      </c>
      <c r="BW772" s="46">
        <f t="shared" si="13"/>
        <v>250</v>
      </c>
      <c r="BX772" s="47">
        <f t="shared" ref="BX772:CA772" si="2428">AX772-$BU772</f>
        <v>-1000</v>
      </c>
      <c r="BY772" s="47">
        <f t="shared" si="2428"/>
        <v>-1000</v>
      </c>
      <c r="BZ772" s="47">
        <f t="shared" si="2428"/>
        <v>-1000</v>
      </c>
      <c r="CA772" s="47">
        <f t="shared" si="2428"/>
        <v>-750</v>
      </c>
      <c r="CB772" s="47">
        <f t="shared" si="15"/>
        <v>-10000</v>
      </c>
      <c r="CC772" s="47">
        <f t="shared" ref="CC772:CQ772" si="2429">BC772-$BU772</f>
        <v>-1000</v>
      </c>
      <c r="CD772" s="47">
        <f t="shared" si="2429"/>
        <v>-1000</v>
      </c>
      <c r="CE772" s="47">
        <f t="shared" si="2429"/>
        <v>-1000</v>
      </c>
      <c r="CF772" s="47">
        <f t="shared" si="2429"/>
        <v>-1000</v>
      </c>
      <c r="CG772" s="47">
        <f t="shared" si="2429"/>
        <v>-1000</v>
      </c>
      <c r="CH772" s="47">
        <f t="shared" si="2429"/>
        <v>-1000</v>
      </c>
      <c r="CI772" s="47">
        <f t="shared" si="2429"/>
        <v>-1000</v>
      </c>
      <c r="CJ772" s="47">
        <f t="shared" si="2429"/>
        <v>-1000</v>
      </c>
      <c r="CK772" s="47">
        <f t="shared" si="2429"/>
        <v>-1000</v>
      </c>
      <c r="CL772" s="47">
        <f t="shared" si="2429"/>
        <v>-1000</v>
      </c>
      <c r="CM772" s="47">
        <f t="shared" si="2429"/>
        <v>-1000</v>
      </c>
      <c r="CN772" s="47">
        <f t="shared" si="2429"/>
        <v>-1000</v>
      </c>
      <c r="CO772" s="47">
        <f t="shared" si="2429"/>
        <v>-1000</v>
      </c>
      <c r="CP772" s="47">
        <f t="shared" si="2429"/>
        <v>-1000</v>
      </c>
      <c r="CQ772" s="47">
        <f t="shared" si="2429"/>
        <v>-1000</v>
      </c>
      <c r="CR772" s="47"/>
      <c r="CS772" s="47"/>
      <c r="CT772" s="47"/>
      <c r="CU772" s="74"/>
      <c r="CV772" s="74"/>
      <c r="CW772" s="74" t="str">
        <f>IFERROR(__xludf.DUMMYFUNCTION("IF(REGEXMATCH(UPPER(CU772), ""DALLAS""),,CU772)"),"")</f>
        <v/>
      </c>
      <c r="CX772" s="74"/>
      <c r="CY772" s="74"/>
      <c r="CZ772" s="74"/>
      <c r="DA772" s="75"/>
      <c r="DB772" s="74"/>
      <c r="DC772" s="74"/>
      <c r="DD772" s="74"/>
      <c r="DE772" s="74"/>
      <c r="DF772" s="74"/>
      <c r="DG772" s="74"/>
      <c r="DH772" s="74"/>
      <c r="DI772" s="74"/>
      <c r="DJ772" s="74"/>
      <c r="DK772" s="74"/>
      <c r="DL772" s="74"/>
      <c r="DM772" s="74"/>
      <c r="DN772" s="74"/>
      <c r="DO772" s="74"/>
      <c r="DP772" s="74"/>
      <c r="DQ772" s="74"/>
      <c r="DR772" s="74"/>
      <c r="DS772" s="74"/>
      <c r="DT772" s="74"/>
      <c r="DU772" s="74"/>
      <c r="DV772" s="74"/>
      <c r="DW772" s="74"/>
    </row>
    <row r="773">
      <c r="A773" s="40" t="s">
        <v>55</v>
      </c>
      <c r="B773" s="41" t="s">
        <v>56</v>
      </c>
      <c r="C773" s="31" t="s">
        <v>1718</v>
      </c>
      <c r="D773" s="25" t="str">
        <f>IFERROR(__xludf.DUMMYFUNCTION("SPLIT(C773,"" "")"),"Byrne,")</f>
        <v>Byrne,</v>
      </c>
      <c r="E773" s="40" t="str">
        <f>IFERROR(__xludf.DUMMYFUNCTION("""COMPUTED_VALUE"""),"Tim
3720")</f>
        <v>Tim
3720</v>
      </c>
      <c r="F773" s="40" t="str">
        <f>IFERROR(__xludf.DUMMYFUNCTION("""COMPUTED_VALUE"""),"Miramar")</f>
        <v>Miramar</v>
      </c>
      <c r="G773" s="40" t="str">
        <f>IFERROR(__xludf.DUMMYFUNCTION("""COMPUTED_VALUE"""),"Ave
Dallas,")</f>
        <v>Ave
Dallas,</v>
      </c>
      <c r="H773" s="40" t="str">
        <f>IFERROR(__xludf.DUMMYFUNCTION("""COMPUTED_VALUE"""),"TX")</f>
        <v>TX</v>
      </c>
      <c r="I773" s="40">
        <f>IFERROR(__xludf.DUMMYFUNCTION("""COMPUTED_VALUE"""),75205.0)</f>
        <v>75205</v>
      </c>
      <c r="J773" s="40"/>
      <c r="K773" s="40"/>
      <c r="L773" s="40"/>
      <c r="M773" s="40"/>
      <c r="N773" s="40"/>
      <c r="O773" s="40"/>
      <c r="P773" s="40"/>
      <c r="Q773" s="40"/>
      <c r="R773" s="40"/>
      <c r="S773" s="40"/>
      <c r="T773" s="40"/>
      <c r="U773" s="24" t="str">
        <f>IFERROR(__xludf.DUMMYFUNCTION("SPLIT(E773,""01234567890"")"),"Tim
")</f>
        <v>Tim
</v>
      </c>
      <c r="V773" s="24" t="str">
        <f>IFERROR(__xludf.DUMMYFUNCTION("SPLIT(D773,"","")"),"Byrne")</f>
        <v>Byrne</v>
      </c>
      <c r="W773" s="25" t="str">
        <f t="shared" si="1"/>
        <v>TIM
 BYRNE</v>
      </c>
      <c r="X773" s="40"/>
      <c r="Y773" s="40"/>
      <c r="Z773" s="25" t="str">
        <f>IFERROR(__xludf.DUMMYFUNCTION("SPLIT(C773,""
"")"),"Byrne, Tim")</f>
        <v>Byrne, Tim</v>
      </c>
      <c r="AA773" s="40" t="str">
        <f>IFERROR(__xludf.DUMMYFUNCTION("""COMPUTED_VALUE"""),"3720 Miramar Ave")</f>
        <v>3720 Miramar Ave</v>
      </c>
      <c r="AB773" s="40" t="str">
        <f>IFERROR(__xludf.DUMMYFUNCTION("""COMPUTED_VALUE"""),"Dallas, TX 75205")</f>
        <v>Dallas, TX 75205</v>
      </c>
      <c r="AC773" s="31" t="s">
        <v>1158</v>
      </c>
      <c r="AD773" s="40"/>
      <c r="AE773" s="40"/>
      <c r="AF773" s="40"/>
      <c r="AG773" s="40" t="s">
        <v>60</v>
      </c>
      <c r="AH773" s="42">
        <v>2481.0</v>
      </c>
      <c r="AI773" s="40" t="s">
        <v>68</v>
      </c>
      <c r="AJ773" s="27">
        <v>5000.0</v>
      </c>
      <c r="AK773" s="31" t="s">
        <v>25</v>
      </c>
      <c r="AL773" s="43">
        <v>44907.0</v>
      </c>
      <c r="AM773" s="44">
        <v>44937.81995370371</v>
      </c>
      <c r="AN773" s="30">
        <v>2.0</v>
      </c>
      <c r="AO773" s="40"/>
      <c r="AP773" s="40"/>
      <c r="AQ773" s="40"/>
      <c r="AR773" s="40"/>
      <c r="AS773" s="40"/>
      <c r="AT773" s="47"/>
      <c r="AU773" s="40"/>
      <c r="AV773" s="46" t="str">
        <f>IFERROR(__xludf.DUMMYFUNCTION("""COMPUTED_VALUE"""),"Sievers")</f>
        <v>Sievers</v>
      </c>
      <c r="AW773" s="46">
        <f t="shared" si="7"/>
        <v>100</v>
      </c>
      <c r="AX773" s="47">
        <f t="shared" ref="AX773:BQ773" si="2430">SUMIFS($AJ:$AJ,$V:$V,$AV773,$AK:$AK,AX$2)</f>
        <v>50</v>
      </c>
      <c r="AY773" s="48">
        <f t="shared" si="2430"/>
        <v>0</v>
      </c>
      <c r="AZ773" s="48">
        <f t="shared" si="2430"/>
        <v>0</v>
      </c>
      <c r="BA773" s="48">
        <f t="shared" si="2430"/>
        <v>50</v>
      </c>
      <c r="BB773" s="48">
        <f t="shared" si="2430"/>
        <v>0</v>
      </c>
      <c r="BC773" s="48">
        <f t="shared" si="2430"/>
        <v>0</v>
      </c>
      <c r="BD773" s="48">
        <f t="shared" si="2430"/>
        <v>0</v>
      </c>
      <c r="BE773" s="48">
        <f t="shared" si="2430"/>
        <v>0</v>
      </c>
      <c r="BF773" s="48">
        <f t="shared" si="2430"/>
        <v>0</v>
      </c>
      <c r="BG773" s="48">
        <f t="shared" si="2430"/>
        <v>0</v>
      </c>
      <c r="BH773" s="48">
        <f t="shared" si="2430"/>
        <v>0</v>
      </c>
      <c r="BI773" s="48">
        <f t="shared" si="2430"/>
        <v>0</v>
      </c>
      <c r="BJ773" s="48">
        <f t="shared" si="2430"/>
        <v>0</v>
      </c>
      <c r="BK773" s="48">
        <f t="shared" si="2430"/>
        <v>0</v>
      </c>
      <c r="BL773" s="48">
        <f t="shared" si="2430"/>
        <v>0</v>
      </c>
      <c r="BM773" s="48">
        <f t="shared" si="2430"/>
        <v>0</v>
      </c>
      <c r="BN773" s="48">
        <f t="shared" si="2430"/>
        <v>0</v>
      </c>
      <c r="BO773" s="48">
        <f t="shared" si="2430"/>
        <v>0</v>
      </c>
      <c r="BP773" s="48">
        <f t="shared" si="2430"/>
        <v>0</v>
      </c>
      <c r="BQ773" s="48">
        <f t="shared" si="2430"/>
        <v>0</v>
      </c>
      <c r="BR773" s="36">
        <f t="shared" si="9"/>
        <v>0</v>
      </c>
      <c r="BS773" s="38">
        <f t="shared" si="10"/>
        <v>1</v>
      </c>
      <c r="BT773" s="49">
        <f t="shared" si="11"/>
        <v>0</v>
      </c>
      <c r="BU773" s="38">
        <f t="shared" si="12"/>
        <v>1000</v>
      </c>
      <c r="BV773" s="46" t="str">
        <f>IFERROR(__xludf.DUMMYFUNCTION("""COMPUTED_VALUE"""),"Sievers")</f>
        <v>Sievers</v>
      </c>
      <c r="BW773" s="46">
        <f t="shared" si="13"/>
        <v>100</v>
      </c>
      <c r="BX773" s="47">
        <f t="shared" ref="BX773:CA773" si="2431">AX773-$BU773</f>
        <v>-950</v>
      </c>
      <c r="BY773" s="47">
        <f t="shared" si="2431"/>
        <v>-1000</v>
      </c>
      <c r="BZ773" s="47">
        <f t="shared" si="2431"/>
        <v>-1000</v>
      </c>
      <c r="CA773" s="47">
        <f t="shared" si="2431"/>
        <v>-950</v>
      </c>
      <c r="CB773" s="47">
        <f t="shared" si="15"/>
        <v>-10000</v>
      </c>
      <c r="CC773" s="47">
        <f t="shared" ref="CC773:CQ773" si="2432">BC773-$BU773</f>
        <v>-1000</v>
      </c>
      <c r="CD773" s="47">
        <f t="shared" si="2432"/>
        <v>-1000</v>
      </c>
      <c r="CE773" s="47">
        <f t="shared" si="2432"/>
        <v>-1000</v>
      </c>
      <c r="CF773" s="47">
        <f t="shared" si="2432"/>
        <v>-1000</v>
      </c>
      <c r="CG773" s="47">
        <f t="shared" si="2432"/>
        <v>-1000</v>
      </c>
      <c r="CH773" s="47">
        <f t="shared" si="2432"/>
        <v>-1000</v>
      </c>
      <c r="CI773" s="47">
        <f t="shared" si="2432"/>
        <v>-1000</v>
      </c>
      <c r="CJ773" s="47">
        <f t="shared" si="2432"/>
        <v>-1000</v>
      </c>
      <c r="CK773" s="47">
        <f t="shared" si="2432"/>
        <v>-1000</v>
      </c>
      <c r="CL773" s="47">
        <f t="shared" si="2432"/>
        <v>-1000</v>
      </c>
      <c r="CM773" s="47">
        <f t="shared" si="2432"/>
        <v>-1000</v>
      </c>
      <c r="CN773" s="47">
        <f t="shared" si="2432"/>
        <v>-1000</v>
      </c>
      <c r="CO773" s="47">
        <f t="shared" si="2432"/>
        <v>-1000</v>
      </c>
      <c r="CP773" s="47">
        <f t="shared" si="2432"/>
        <v>-1000</v>
      </c>
      <c r="CQ773" s="47">
        <f t="shared" si="2432"/>
        <v>-1000</v>
      </c>
      <c r="CR773" s="47"/>
      <c r="CS773" s="47"/>
      <c r="CT773" s="47"/>
      <c r="CU773" s="74"/>
      <c r="CV773" s="74"/>
      <c r="CW773" s="74" t="str">
        <f>IFERROR(__xludf.DUMMYFUNCTION("IF(REGEXMATCH(UPPER(CU773), ""DALLAS""),,CU773)"),"")</f>
        <v/>
      </c>
      <c r="CX773" s="74"/>
      <c r="CY773" s="74"/>
      <c r="CZ773" s="74"/>
      <c r="DA773" s="75"/>
      <c r="DB773" s="74"/>
      <c r="DC773" s="74"/>
      <c r="DD773" s="74"/>
      <c r="DE773" s="74"/>
      <c r="DF773" s="74"/>
      <c r="DG773" s="74"/>
      <c r="DH773" s="74"/>
      <c r="DI773" s="74"/>
      <c r="DJ773" s="74"/>
      <c r="DK773" s="74"/>
      <c r="DL773" s="74"/>
      <c r="DM773" s="74"/>
      <c r="DN773" s="74"/>
      <c r="DO773" s="74"/>
      <c r="DP773" s="74"/>
      <c r="DQ773" s="74"/>
      <c r="DR773" s="74"/>
      <c r="DS773" s="74"/>
      <c r="DT773" s="74"/>
      <c r="DU773" s="74"/>
      <c r="DV773" s="74"/>
      <c r="DW773" s="74"/>
    </row>
    <row r="774">
      <c r="A774" s="22" t="s">
        <v>55</v>
      </c>
      <c r="B774" s="23" t="s">
        <v>56</v>
      </c>
      <c r="C774" s="31" t="s">
        <v>1999</v>
      </c>
      <c r="D774" s="25" t="str">
        <f>IFERROR(__xludf.DUMMYFUNCTION("SPLIT(C774,"" "")"),"Crow,")</f>
        <v>Crow,</v>
      </c>
      <c r="E774" s="22" t="str">
        <f>IFERROR(__xludf.DUMMYFUNCTION("""COMPUTED_VALUE"""),"Trammell
4000")</f>
        <v>Trammell
4000</v>
      </c>
      <c r="F774" s="22" t="str">
        <f>IFERROR(__xludf.DUMMYFUNCTION("""COMPUTED_VALUE"""),"Rock")</f>
        <v>Rock</v>
      </c>
      <c r="G774" s="22" t="str">
        <f>IFERROR(__xludf.DUMMYFUNCTION("""COMPUTED_VALUE"""),"Creek")</f>
        <v>Creek</v>
      </c>
      <c r="H774" s="22" t="str">
        <f>IFERROR(__xludf.DUMMYFUNCTION("""COMPUTED_VALUE"""),"Dr
Dallas,")</f>
        <v>Dr
Dallas,</v>
      </c>
      <c r="I774" s="22" t="str">
        <f>IFERROR(__xludf.DUMMYFUNCTION("""COMPUTED_VALUE"""),"TX")</f>
        <v>TX</v>
      </c>
      <c r="J774" s="22">
        <f>IFERROR(__xludf.DUMMYFUNCTION("""COMPUTED_VALUE"""),75204.0)</f>
        <v>75204</v>
      </c>
      <c r="K774" s="22"/>
      <c r="L774" s="22"/>
      <c r="M774" s="22"/>
      <c r="N774" s="22"/>
      <c r="O774" s="22"/>
      <c r="P774" s="22"/>
      <c r="Q774" s="22"/>
      <c r="R774" s="22"/>
      <c r="S774" s="22"/>
      <c r="T774" s="22"/>
      <c r="U774" s="24" t="str">
        <f>IFERROR(__xludf.DUMMYFUNCTION("SPLIT(E774,""01234567890"")"),"Trammell
")</f>
        <v>Trammell
</v>
      </c>
      <c r="V774" s="24" t="str">
        <f>IFERROR(__xludf.DUMMYFUNCTION("SPLIT(D774,"","")"),"Crow")</f>
        <v>Crow</v>
      </c>
      <c r="W774" s="25" t="str">
        <f t="shared" si="1"/>
        <v>TRAMMELL
 CROW</v>
      </c>
      <c r="X774" s="22"/>
      <c r="Y774" s="22"/>
      <c r="Z774" s="25" t="str">
        <f>IFERROR(__xludf.DUMMYFUNCTION("SPLIT(C774,""
"")"),"Crow, Trammell")</f>
        <v>Crow, Trammell</v>
      </c>
      <c r="AA774" s="22" t="str">
        <f>IFERROR(__xludf.DUMMYFUNCTION("""COMPUTED_VALUE"""),"4000 Rock Creek Dr")</f>
        <v>4000 Rock Creek Dr</v>
      </c>
      <c r="AB774" s="22" t="str">
        <f>IFERROR(__xludf.DUMMYFUNCTION("""COMPUTED_VALUE"""),"Dallas, TX 75204")</f>
        <v>Dallas, TX 75204</v>
      </c>
      <c r="AC774" s="31" t="s">
        <v>2000</v>
      </c>
      <c r="AD774" s="22"/>
      <c r="AE774" s="22"/>
      <c r="AF774" s="22"/>
      <c r="AG774" s="22" t="s">
        <v>60</v>
      </c>
      <c r="AH774" s="54">
        <v>2481.0</v>
      </c>
      <c r="AI774" s="22" t="s">
        <v>68</v>
      </c>
      <c r="AJ774" s="27">
        <v>5000.0</v>
      </c>
      <c r="AK774" s="31" t="s">
        <v>25</v>
      </c>
      <c r="AL774" s="28">
        <v>44904.0</v>
      </c>
      <c r="AM774" s="29">
        <v>44937.81995370371</v>
      </c>
      <c r="AN774" s="30">
        <v>2.0</v>
      </c>
      <c r="AO774" s="22"/>
      <c r="AP774" s="22"/>
      <c r="AQ774" s="22"/>
      <c r="AR774" s="22"/>
      <c r="AS774" s="22"/>
      <c r="AT774" s="70"/>
      <c r="AU774" s="22"/>
      <c r="AV774" s="57" t="str">
        <f>IFERROR(__xludf.DUMMYFUNCTION("""COMPUTED_VALUE"""),"Rodriguez")</f>
        <v>Rodriguez</v>
      </c>
      <c r="AW774" s="46">
        <f t="shared" si="7"/>
        <v>1500</v>
      </c>
      <c r="AX774" s="47">
        <f t="shared" ref="AX774:BQ774" si="2433">SUMIFS($AJ:$AJ,$V:$V,$AV774,$AK:$AK,AX$2)</f>
        <v>0</v>
      </c>
      <c r="AY774" s="48">
        <f t="shared" si="2433"/>
        <v>0</v>
      </c>
      <c r="AZ774" s="48">
        <f t="shared" si="2433"/>
        <v>0</v>
      </c>
      <c r="BA774" s="48">
        <f t="shared" si="2433"/>
        <v>500</v>
      </c>
      <c r="BB774" s="48">
        <f t="shared" si="2433"/>
        <v>0</v>
      </c>
      <c r="BC774" s="48">
        <f t="shared" si="2433"/>
        <v>0</v>
      </c>
      <c r="BD774" s="48">
        <f t="shared" si="2433"/>
        <v>1000</v>
      </c>
      <c r="BE774" s="48">
        <f t="shared" si="2433"/>
        <v>0</v>
      </c>
      <c r="BF774" s="48">
        <f t="shared" si="2433"/>
        <v>0</v>
      </c>
      <c r="BG774" s="48">
        <f t="shared" si="2433"/>
        <v>0</v>
      </c>
      <c r="BH774" s="48">
        <f t="shared" si="2433"/>
        <v>0</v>
      </c>
      <c r="BI774" s="48">
        <f t="shared" si="2433"/>
        <v>0</v>
      </c>
      <c r="BJ774" s="48">
        <f t="shared" si="2433"/>
        <v>0</v>
      </c>
      <c r="BK774" s="48">
        <f t="shared" si="2433"/>
        <v>0</v>
      </c>
      <c r="BL774" s="48">
        <f t="shared" si="2433"/>
        <v>0</v>
      </c>
      <c r="BM774" s="48">
        <f t="shared" si="2433"/>
        <v>0</v>
      </c>
      <c r="BN774" s="48">
        <f t="shared" si="2433"/>
        <v>0</v>
      </c>
      <c r="BO774" s="48">
        <f t="shared" si="2433"/>
        <v>0</v>
      </c>
      <c r="BP774" s="48">
        <f t="shared" si="2433"/>
        <v>0</v>
      </c>
      <c r="BQ774" s="48">
        <f t="shared" si="2433"/>
        <v>0</v>
      </c>
      <c r="BR774" s="36">
        <f t="shared" si="9"/>
        <v>0</v>
      </c>
      <c r="BS774" s="38">
        <f t="shared" si="10"/>
        <v>1</v>
      </c>
      <c r="BT774" s="49">
        <f t="shared" si="11"/>
        <v>0</v>
      </c>
      <c r="BU774" s="38">
        <f t="shared" si="12"/>
        <v>1000</v>
      </c>
      <c r="BV774" s="57" t="str">
        <f>IFERROR(__xludf.DUMMYFUNCTION("""COMPUTED_VALUE"""),"Rodriguez")</f>
        <v>Rodriguez</v>
      </c>
      <c r="BW774" s="46">
        <f t="shared" si="13"/>
        <v>1500</v>
      </c>
      <c r="BX774" s="47">
        <f t="shared" ref="BX774:CA774" si="2434">AX774-$BU774</f>
        <v>-1000</v>
      </c>
      <c r="BY774" s="47">
        <f t="shared" si="2434"/>
        <v>-1000</v>
      </c>
      <c r="BZ774" s="47">
        <f t="shared" si="2434"/>
        <v>-1000</v>
      </c>
      <c r="CA774" s="47">
        <f t="shared" si="2434"/>
        <v>-500</v>
      </c>
      <c r="CB774" s="47">
        <f t="shared" si="15"/>
        <v>-10000</v>
      </c>
      <c r="CC774" s="47">
        <f t="shared" ref="CC774:CQ774" si="2435">BC774-$BU774</f>
        <v>-1000</v>
      </c>
      <c r="CD774" s="47">
        <f t="shared" si="2435"/>
        <v>0</v>
      </c>
      <c r="CE774" s="47">
        <f t="shared" si="2435"/>
        <v>-1000</v>
      </c>
      <c r="CF774" s="47">
        <f t="shared" si="2435"/>
        <v>-1000</v>
      </c>
      <c r="CG774" s="47">
        <f t="shared" si="2435"/>
        <v>-1000</v>
      </c>
      <c r="CH774" s="47">
        <f t="shared" si="2435"/>
        <v>-1000</v>
      </c>
      <c r="CI774" s="47">
        <f t="shared" si="2435"/>
        <v>-1000</v>
      </c>
      <c r="CJ774" s="47">
        <f t="shared" si="2435"/>
        <v>-1000</v>
      </c>
      <c r="CK774" s="47">
        <f t="shared" si="2435"/>
        <v>-1000</v>
      </c>
      <c r="CL774" s="47">
        <f t="shared" si="2435"/>
        <v>-1000</v>
      </c>
      <c r="CM774" s="47">
        <f t="shared" si="2435"/>
        <v>-1000</v>
      </c>
      <c r="CN774" s="47">
        <f t="shared" si="2435"/>
        <v>-1000</v>
      </c>
      <c r="CO774" s="47">
        <f t="shared" si="2435"/>
        <v>-1000</v>
      </c>
      <c r="CP774" s="47">
        <f t="shared" si="2435"/>
        <v>-1000</v>
      </c>
      <c r="CQ774" s="47">
        <f t="shared" si="2435"/>
        <v>-1000</v>
      </c>
      <c r="CR774" s="47"/>
      <c r="CS774" s="47"/>
      <c r="CT774" s="47"/>
      <c r="CU774" s="74"/>
      <c r="CV774" s="74"/>
      <c r="CW774" s="74" t="str">
        <f>IFERROR(__xludf.DUMMYFUNCTION("IF(REGEXMATCH(UPPER(CU774), ""DALLAS""),,CU774)"),"")</f>
        <v/>
      </c>
      <c r="CX774" s="74"/>
      <c r="CY774" s="74"/>
      <c r="CZ774" s="74"/>
      <c r="DA774" s="75"/>
      <c r="DB774" s="74"/>
      <c r="DC774" s="74"/>
      <c r="DD774" s="74"/>
      <c r="DE774" s="74"/>
      <c r="DF774" s="74"/>
      <c r="DG774" s="74"/>
      <c r="DH774" s="74"/>
      <c r="DI774" s="74"/>
      <c r="DJ774" s="74"/>
      <c r="DK774" s="74"/>
      <c r="DL774" s="74"/>
      <c r="DM774" s="74"/>
      <c r="DN774" s="74"/>
      <c r="DO774" s="74"/>
      <c r="DP774" s="74"/>
      <c r="DQ774" s="74"/>
      <c r="DR774" s="74"/>
      <c r="DS774" s="74"/>
      <c r="DT774" s="74"/>
      <c r="DU774" s="74"/>
      <c r="DV774" s="74"/>
      <c r="DW774" s="74"/>
    </row>
    <row r="775">
      <c r="A775" s="40" t="s">
        <v>55</v>
      </c>
      <c r="B775" s="41" t="s">
        <v>56</v>
      </c>
      <c r="C775" s="31" t="s">
        <v>2001</v>
      </c>
      <c r="D775" s="25" t="str">
        <f>IFERROR(__xludf.DUMMYFUNCTION("SPLIT(C775,"" "")"),"Crow,")</f>
        <v>Crow,</v>
      </c>
      <c r="E775" s="40" t="str">
        <f>IFERROR(__xludf.DUMMYFUNCTION("""COMPUTED_VALUE"""),"Harlan
4700")</f>
        <v>Harlan
4700</v>
      </c>
      <c r="F775" s="40" t="str">
        <f>IFERROR(__xludf.DUMMYFUNCTION("""COMPUTED_VALUE"""),"Preston")</f>
        <v>Preston</v>
      </c>
      <c r="G775" s="40" t="str">
        <f>IFERROR(__xludf.DUMMYFUNCTION("""COMPUTED_VALUE"""),"Rd
Dallas,")</f>
        <v>Rd
Dallas,</v>
      </c>
      <c r="H775" s="40" t="str">
        <f>IFERROR(__xludf.DUMMYFUNCTION("""COMPUTED_VALUE"""),"TX")</f>
        <v>TX</v>
      </c>
      <c r="I775" s="40">
        <f>IFERROR(__xludf.DUMMYFUNCTION("""COMPUTED_VALUE"""),75205.0)</f>
        <v>75205</v>
      </c>
      <c r="J775" s="40"/>
      <c r="K775" s="40"/>
      <c r="L775" s="40"/>
      <c r="M775" s="40"/>
      <c r="N775" s="40"/>
      <c r="O775" s="40"/>
      <c r="P775" s="40"/>
      <c r="Q775" s="40"/>
      <c r="R775" s="40"/>
      <c r="S775" s="40"/>
      <c r="T775" s="40"/>
      <c r="U775" s="24" t="str">
        <f>IFERROR(__xludf.DUMMYFUNCTION("SPLIT(E775,""01234567890"")"),"Harlan
")</f>
        <v>Harlan
</v>
      </c>
      <c r="V775" s="24" t="str">
        <f>IFERROR(__xludf.DUMMYFUNCTION("SPLIT(D775,"","")"),"Crow")</f>
        <v>Crow</v>
      </c>
      <c r="W775" s="25" t="str">
        <f t="shared" si="1"/>
        <v>HARLAN
 CROW</v>
      </c>
      <c r="X775" s="40"/>
      <c r="Y775" s="40"/>
      <c r="Z775" s="25" t="str">
        <f>IFERROR(__xludf.DUMMYFUNCTION("SPLIT(C775,""
"")"),"Crow, Harlan")</f>
        <v>Crow, Harlan</v>
      </c>
      <c r="AA775" s="40" t="str">
        <f>IFERROR(__xludf.DUMMYFUNCTION("""COMPUTED_VALUE"""),"4700 Preston Rd")</f>
        <v>4700 Preston Rd</v>
      </c>
      <c r="AB775" s="40" t="str">
        <f>IFERROR(__xludf.DUMMYFUNCTION("""COMPUTED_VALUE"""),"Dallas, TX 75205")</f>
        <v>Dallas, TX 75205</v>
      </c>
      <c r="AC775" s="31" t="s">
        <v>2002</v>
      </c>
      <c r="AD775" s="40"/>
      <c r="AE775" s="40"/>
      <c r="AF775" s="40"/>
      <c r="AG775" s="40" t="s">
        <v>60</v>
      </c>
      <c r="AH775" s="42">
        <v>2481.0</v>
      </c>
      <c r="AI775" s="40" t="s">
        <v>68</v>
      </c>
      <c r="AJ775" s="27">
        <v>5000.0</v>
      </c>
      <c r="AK775" s="31" t="s">
        <v>25</v>
      </c>
      <c r="AL775" s="43">
        <v>44915.0</v>
      </c>
      <c r="AM775" s="44">
        <v>44937.81995370371</v>
      </c>
      <c r="AN775" s="30">
        <v>2.0</v>
      </c>
      <c r="AO775" s="40"/>
      <c r="AP775" s="40"/>
      <c r="AQ775" s="40"/>
      <c r="AR775" s="40"/>
      <c r="AS775" s="40"/>
      <c r="AT775" s="47"/>
      <c r="AU775" s="40"/>
      <c r="AV775" s="46" t="str">
        <f>IFERROR(__xludf.DUMMYFUNCTION("""COMPUTED_VALUE"""),"Valach")</f>
        <v>Valach</v>
      </c>
      <c r="AW775" s="46">
        <f t="shared" si="7"/>
        <v>3000</v>
      </c>
      <c r="AX775" s="47">
        <f t="shared" ref="AX775:BQ775" si="2436">SUMIFS($AJ:$AJ,$V:$V,$AV775,$AK:$AK,AX$2)</f>
        <v>0</v>
      </c>
      <c r="AY775" s="48">
        <f t="shared" si="2436"/>
        <v>0</v>
      </c>
      <c r="AZ775" s="48">
        <f t="shared" si="2436"/>
        <v>1000</v>
      </c>
      <c r="BA775" s="48">
        <f t="shared" si="2436"/>
        <v>1000</v>
      </c>
      <c r="BB775" s="48">
        <f t="shared" si="2436"/>
        <v>0</v>
      </c>
      <c r="BC775" s="48">
        <f t="shared" si="2436"/>
        <v>0</v>
      </c>
      <c r="BD775" s="48">
        <f t="shared" si="2436"/>
        <v>0</v>
      </c>
      <c r="BE775" s="48">
        <f t="shared" si="2436"/>
        <v>0</v>
      </c>
      <c r="BF775" s="48">
        <f t="shared" si="2436"/>
        <v>0</v>
      </c>
      <c r="BG775" s="48">
        <f t="shared" si="2436"/>
        <v>1000</v>
      </c>
      <c r="BH775" s="48">
        <f t="shared" si="2436"/>
        <v>0</v>
      </c>
      <c r="BI775" s="48">
        <f t="shared" si="2436"/>
        <v>0</v>
      </c>
      <c r="BJ775" s="48">
        <f t="shared" si="2436"/>
        <v>0</v>
      </c>
      <c r="BK775" s="48">
        <f t="shared" si="2436"/>
        <v>0</v>
      </c>
      <c r="BL775" s="48">
        <f t="shared" si="2436"/>
        <v>0</v>
      </c>
      <c r="BM775" s="48">
        <f t="shared" si="2436"/>
        <v>0</v>
      </c>
      <c r="BN775" s="48">
        <f t="shared" si="2436"/>
        <v>0</v>
      </c>
      <c r="BO775" s="48">
        <f t="shared" si="2436"/>
        <v>0</v>
      </c>
      <c r="BP775" s="48">
        <f t="shared" si="2436"/>
        <v>0</v>
      </c>
      <c r="BQ775" s="48">
        <f t="shared" si="2436"/>
        <v>0</v>
      </c>
      <c r="BR775" s="36">
        <f t="shared" si="9"/>
        <v>0</v>
      </c>
      <c r="BS775" s="38">
        <f t="shared" si="10"/>
        <v>1</v>
      </c>
      <c r="BT775" s="49">
        <f t="shared" si="11"/>
        <v>0</v>
      </c>
      <c r="BU775" s="38">
        <f t="shared" si="12"/>
        <v>1000</v>
      </c>
      <c r="BV775" s="46" t="str">
        <f>IFERROR(__xludf.DUMMYFUNCTION("""COMPUTED_VALUE"""),"Valach")</f>
        <v>Valach</v>
      </c>
      <c r="BW775" s="46">
        <f t="shared" si="13"/>
        <v>3000</v>
      </c>
      <c r="BX775" s="47">
        <f t="shared" ref="BX775:CA775" si="2437">AX775-$BU775</f>
        <v>-1000</v>
      </c>
      <c r="BY775" s="47">
        <f t="shared" si="2437"/>
        <v>-1000</v>
      </c>
      <c r="BZ775" s="47">
        <f t="shared" si="2437"/>
        <v>0</v>
      </c>
      <c r="CA775" s="47">
        <f t="shared" si="2437"/>
        <v>0</v>
      </c>
      <c r="CB775" s="47">
        <f t="shared" si="15"/>
        <v>-10000</v>
      </c>
      <c r="CC775" s="47">
        <f t="shared" ref="CC775:CQ775" si="2438">BC775-$BU775</f>
        <v>-1000</v>
      </c>
      <c r="CD775" s="47">
        <f t="shared" si="2438"/>
        <v>-1000</v>
      </c>
      <c r="CE775" s="47">
        <f t="shared" si="2438"/>
        <v>-1000</v>
      </c>
      <c r="CF775" s="47">
        <f t="shared" si="2438"/>
        <v>-1000</v>
      </c>
      <c r="CG775" s="47">
        <f t="shared" si="2438"/>
        <v>0</v>
      </c>
      <c r="CH775" s="47">
        <f t="shared" si="2438"/>
        <v>-1000</v>
      </c>
      <c r="CI775" s="47">
        <f t="shared" si="2438"/>
        <v>-1000</v>
      </c>
      <c r="CJ775" s="47">
        <f t="shared" si="2438"/>
        <v>-1000</v>
      </c>
      <c r="CK775" s="47">
        <f t="shared" si="2438"/>
        <v>-1000</v>
      </c>
      <c r="CL775" s="47">
        <f t="shared" si="2438"/>
        <v>-1000</v>
      </c>
      <c r="CM775" s="47">
        <f t="shared" si="2438"/>
        <v>-1000</v>
      </c>
      <c r="CN775" s="47">
        <f t="shared" si="2438"/>
        <v>-1000</v>
      </c>
      <c r="CO775" s="47">
        <f t="shared" si="2438"/>
        <v>-1000</v>
      </c>
      <c r="CP775" s="47">
        <f t="shared" si="2438"/>
        <v>-1000</v>
      </c>
      <c r="CQ775" s="47">
        <f t="shared" si="2438"/>
        <v>-1000</v>
      </c>
      <c r="CR775" s="47"/>
      <c r="CS775" s="47"/>
      <c r="CT775" s="47"/>
      <c r="CU775" s="74"/>
      <c r="CV775" s="74"/>
      <c r="CW775" s="74" t="str">
        <f>IFERROR(__xludf.DUMMYFUNCTION("IF(REGEXMATCH(UPPER(CU775), ""DALLAS""),,CU775)"),"")</f>
        <v/>
      </c>
      <c r="CX775" s="74"/>
      <c r="CY775" s="74"/>
      <c r="CZ775" s="74"/>
      <c r="DA775" s="75"/>
      <c r="DB775" s="74"/>
      <c r="DC775" s="74"/>
      <c r="DD775" s="74"/>
      <c r="DE775" s="74"/>
      <c r="DF775" s="74"/>
      <c r="DG775" s="74"/>
      <c r="DH775" s="74"/>
      <c r="DI775" s="74"/>
      <c r="DJ775" s="74"/>
      <c r="DK775" s="74"/>
      <c r="DL775" s="74"/>
      <c r="DM775" s="74"/>
      <c r="DN775" s="74"/>
      <c r="DO775" s="74"/>
      <c r="DP775" s="74"/>
      <c r="DQ775" s="74"/>
      <c r="DR775" s="74"/>
      <c r="DS775" s="74"/>
      <c r="DT775" s="74"/>
      <c r="DU775" s="74"/>
      <c r="DV775" s="74"/>
      <c r="DW775" s="74"/>
    </row>
    <row r="776">
      <c r="A776" s="22" t="s">
        <v>55</v>
      </c>
      <c r="B776" s="23" t="s">
        <v>56</v>
      </c>
      <c r="C776" s="31" t="s">
        <v>2003</v>
      </c>
      <c r="D776" s="25" t="str">
        <f>IFERROR(__xludf.DUMMYFUNCTION("SPLIT(C776,"" "")"),"Crow,")</f>
        <v>Crow,</v>
      </c>
      <c r="E776" s="22" t="str">
        <f>IFERROR(__xludf.DUMMYFUNCTION("""COMPUTED_VALUE"""),"Kathy
4700")</f>
        <v>Kathy
4700</v>
      </c>
      <c r="F776" s="22" t="str">
        <f>IFERROR(__xludf.DUMMYFUNCTION("""COMPUTED_VALUE"""),"Preston")</f>
        <v>Preston</v>
      </c>
      <c r="G776" s="22" t="str">
        <f>IFERROR(__xludf.DUMMYFUNCTION("""COMPUTED_VALUE"""),"Rd
Dallas,")</f>
        <v>Rd
Dallas,</v>
      </c>
      <c r="H776" s="22" t="str">
        <f>IFERROR(__xludf.DUMMYFUNCTION("""COMPUTED_VALUE"""),"TX")</f>
        <v>TX</v>
      </c>
      <c r="I776" s="22">
        <f>IFERROR(__xludf.DUMMYFUNCTION("""COMPUTED_VALUE"""),75205.0)</f>
        <v>75205</v>
      </c>
      <c r="J776" s="22"/>
      <c r="K776" s="22"/>
      <c r="L776" s="22"/>
      <c r="M776" s="22"/>
      <c r="N776" s="22"/>
      <c r="O776" s="22"/>
      <c r="P776" s="22"/>
      <c r="Q776" s="22"/>
      <c r="R776" s="22"/>
      <c r="S776" s="22"/>
      <c r="T776" s="22"/>
      <c r="U776" s="24" t="str">
        <f>IFERROR(__xludf.DUMMYFUNCTION("SPLIT(E776,""01234567890"")"),"Kathy
")</f>
        <v>Kathy
</v>
      </c>
      <c r="V776" s="24" t="str">
        <f>IFERROR(__xludf.DUMMYFUNCTION("SPLIT(D776,"","")"),"Crow")</f>
        <v>Crow</v>
      </c>
      <c r="W776" s="25" t="str">
        <f t="shared" si="1"/>
        <v>KATHY
 CROW</v>
      </c>
      <c r="X776" s="22"/>
      <c r="Y776" s="22"/>
      <c r="Z776" s="25" t="str">
        <f>IFERROR(__xludf.DUMMYFUNCTION("SPLIT(C776,""
"")"),"Crow, Kathy")</f>
        <v>Crow, Kathy</v>
      </c>
      <c r="AA776" s="22" t="str">
        <f>IFERROR(__xludf.DUMMYFUNCTION("""COMPUTED_VALUE"""),"4700 Preston Rd")</f>
        <v>4700 Preston Rd</v>
      </c>
      <c r="AB776" s="22" t="str">
        <f>IFERROR(__xludf.DUMMYFUNCTION("""COMPUTED_VALUE"""),"Dallas, TX 75205")</f>
        <v>Dallas, TX 75205</v>
      </c>
      <c r="AC776" s="31" t="s">
        <v>2004</v>
      </c>
      <c r="AD776" s="22"/>
      <c r="AE776" s="22"/>
      <c r="AF776" s="22"/>
      <c r="AG776" s="22" t="s">
        <v>60</v>
      </c>
      <c r="AH776" s="54">
        <v>2481.0</v>
      </c>
      <c r="AI776" s="22" t="s">
        <v>68</v>
      </c>
      <c r="AJ776" s="27">
        <v>5000.0</v>
      </c>
      <c r="AK776" s="31" t="s">
        <v>25</v>
      </c>
      <c r="AL776" s="28">
        <v>44911.0</v>
      </c>
      <c r="AM776" s="29">
        <v>44937.81995370371</v>
      </c>
      <c r="AN776" s="30">
        <v>2.0</v>
      </c>
      <c r="AO776" s="22"/>
      <c r="AP776" s="22"/>
      <c r="AQ776" s="22"/>
      <c r="AR776" s="22"/>
      <c r="AS776" s="22"/>
      <c r="AT776" s="70"/>
      <c r="AU776" s="22"/>
      <c r="AV776" s="57" t="str">
        <f>IFERROR(__xludf.DUMMYFUNCTION("""COMPUTED_VALUE"""),"Bratton")</f>
        <v>Bratton</v>
      </c>
      <c r="AW776" s="46">
        <f t="shared" si="7"/>
        <v>500</v>
      </c>
      <c r="AX776" s="47">
        <f t="shared" ref="AX776:BQ776" si="2439">SUMIFS($AJ:$AJ,$V:$V,$AV776,$AK:$AK,AX$2)</f>
        <v>0</v>
      </c>
      <c r="AY776" s="48">
        <f t="shared" si="2439"/>
        <v>0</v>
      </c>
      <c r="AZ776" s="48">
        <f t="shared" si="2439"/>
        <v>0</v>
      </c>
      <c r="BA776" s="48">
        <f t="shared" si="2439"/>
        <v>500</v>
      </c>
      <c r="BB776" s="48">
        <f t="shared" si="2439"/>
        <v>0</v>
      </c>
      <c r="BC776" s="48">
        <f t="shared" si="2439"/>
        <v>0</v>
      </c>
      <c r="BD776" s="48">
        <f t="shared" si="2439"/>
        <v>0</v>
      </c>
      <c r="BE776" s="48">
        <f t="shared" si="2439"/>
        <v>0</v>
      </c>
      <c r="BF776" s="48">
        <f t="shared" si="2439"/>
        <v>0</v>
      </c>
      <c r="BG776" s="48">
        <f t="shared" si="2439"/>
        <v>0</v>
      </c>
      <c r="BH776" s="48">
        <f t="shared" si="2439"/>
        <v>0</v>
      </c>
      <c r="BI776" s="48">
        <f t="shared" si="2439"/>
        <v>0</v>
      </c>
      <c r="BJ776" s="48">
        <f t="shared" si="2439"/>
        <v>0</v>
      </c>
      <c r="BK776" s="48">
        <f t="shared" si="2439"/>
        <v>0</v>
      </c>
      <c r="BL776" s="48">
        <f t="shared" si="2439"/>
        <v>0</v>
      </c>
      <c r="BM776" s="48">
        <f t="shared" si="2439"/>
        <v>0</v>
      </c>
      <c r="BN776" s="48">
        <f t="shared" si="2439"/>
        <v>0</v>
      </c>
      <c r="BO776" s="48">
        <f t="shared" si="2439"/>
        <v>0</v>
      </c>
      <c r="BP776" s="48">
        <f t="shared" si="2439"/>
        <v>0</v>
      </c>
      <c r="BQ776" s="48">
        <f t="shared" si="2439"/>
        <v>0</v>
      </c>
      <c r="BR776" s="36">
        <f t="shared" si="9"/>
        <v>0</v>
      </c>
      <c r="BS776" s="38">
        <f t="shared" si="10"/>
        <v>1</v>
      </c>
      <c r="BT776" s="49">
        <f t="shared" si="11"/>
        <v>0</v>
      </c>
      <c r="BU776" s="38">
        <f t="shared" si="12"/>
        <v>1000</v>
      </c>
      <c r="BV776" s="57" t="str">
        <f>IFERROR(__xludf.DUMMYFUNCTION("""COMPUTED_VALUE"""),"Bratton")</f>
        <v>Bratton</v>
      </c>
      <c r="BW776" s="46">
        <f t="shared" si="13"/>
        <v>500</v>
      </c>
      <c r="BX776" s="47">
        <f t="shared" ref="BX776:CA776" si="2440">AX776-$BU776</f>
        <v>-1000</v>
      </c>
      <c r="BY776" s="47">
        <f t="shared" si="2440"/>
        <v>-1000</v>
      </c>
      <c r="BZ776" s="47">
        <f t="shared" si="2440"/>
        <v>-1000</v>
      </c>
      <c r="CA776" s="47">
        <f t="shared" si="2440"/>
        <v>-500</v>
      </c>
      <c r="CB776" s="47">
        <f t="shared" si="15"/>
        <v>-10000</v>
      </c>
      <c r="CC776" s="47">
        <f t="shared" ref="CC776:CQ776" si="2441">BC776-$BU776</f>
        <v>-1000</v>
      </c>
      <c r="CD776" s="47">
        <f t="shared" si="2441"/>
        <v>-1000</v>
      </c>
      <c r="CE776" s="47">
        <f t="shared" si="2441"/>
        <v>-1000</v>
      </c>
      <c r="CF776" s="47">
        <f t="shared" si="2441"/>
        <v>-1000</v>
      </c>
      <c r="CG776" s="47">
        <f t="shared" si="2441"/>
        <v>-1000</v>
      </c>
      <c r="CH776" s="47">
        <f t="shared" si="2441"/>
        <v>-1000</v>
      </c>
      <c r="CI776" s="47">
        <f t="shared" si="2441"/>
        <v>-1000</v>
      </c>
      <c r="CJ776" s="47">
        <f t="shared" si="2441"/>
        <v>-1000</v>
      </c>
      <c r="CK776" s="47">
        <f t="shared" si="2441"/>
        <v>-1000</v>
      </c>
      <c r="CL776" s="47">
        <f t="shared" si="2441"/>
        <v>-1000</v>
      </c>
      <c r="CM776" s="47">
        <f t="shared" si="2441"/>
        <v>-1000</v>
      </c>
      <c r="CN776" s="47">
        <f t="shared" si="2441"/>
        <v>-1000</v>
      </c>
      <c r="CO776" s="47">
        <f t="shared" si="2441"/>
        <v>-1000</v>
      </c>
      <c r="CP776" s="47">
        <f t="shared" si="2441"/>
        <v>-1000</v>
      </c>
      <c r="CQ776" s="47">
        <f t="shared" si="2441"/>
        <v>-1000</v>
      </c>
      <c r="CR776" s="47"/>
      <c r="CS776" s="47"/>
      <c r="CT776" s="47"/>
      <c r="CU776" s="74"/>
      <c r="CV776" s="74"/>
      <c r="CW776" s="74" t="str">
        <f>IFERROR(__xludf.DUMMYFUNCTION("IF(REGEXMATCH(UPPER(CU776), ""DALLAS""),,CU776)"),"")</f>
        <v/>
      </c>
      <c r="CX776" s="74"/>
      <c r="CY776" s="74"/>
      <c r="CZ776" s="74"/>
      <c r="DA776" s="75"/>
      <c r="DB776" s="74"/>
      <c r="DC776" s="74"/>
      <c r="DD776" s="74"/>
      <c r="DE776" s="74"/>
      <c r="DF776" s="74"/>
      <c r="DG776" s="74"/>
      <c r="DH776" s="74"/>
      <c r="DI776" s="74"/>
      <c r="DJ776" s="74"/>
      <c r="DK776" s="74"/>
      <c r="DL776" s="74"/>
      <c r="DM776" s="74"/>
      <c r="DN776" s="74"/>
      <c r="DO776" s="74"/>
      <c r="DP776" s="74"/>
      <c r="DQ776" s="74"/>
      <c r="DR776" s="74"/>
      <c r="DS776" s="74"/>
      <c r="DT776" s="74"/>
      <c r="DU776" s="74"/>
      <c r="DV776" s="74"/>
      <c r="DW776" s="74"/>
    </row>
    <row r="777">
      <c r="A777" s="40" t="s">
        <v>55</v>
      </c>
      <c r="B777" s="41" t="s">
        <v>56</v>
      </c>
      <c r="C777" s="31" t="s">
        <v>2005</v>
      </c>
      <c r="D777" s="25" t="str">
        <f>IFERROR(__xludf.DUMMYFUNCTION("SPLIT(C777,"" "")"),"Deason,")</f>
        <v>Deason,</v>
      </c>
      <c r="E777" s="40" t="str">
        <f>IFERROR(__xludf.DUMMYFUNCTION("""COMPUTED_VALUE"""),"Kimberly")</f>
        <v>Kimberly</v>
      </c>
      <c r="F777" s="40" t="str">
        <f>IFERROR(__xludf.DUMMYFUNCTION("""COMPUTED_VALUE"""),"&amp;")</f>
        <v>&amp;</v>
      </c>
      <c r="G777" s="40" t="str">
        <f>IFERROR(__xludf.DUMMYFUNCTION("""COMPUTED_VALUE"""),"Darwin
3953")</f>
        <v>Darwin
3953</v>
      </c>
      <c r="H777" s="40" t="str">
        <f>IFERROR(__xludf.DUMMYFUNCTION("""COMPUTED_VALUE"""),"Maple")</f>
        <v>Maple</v>
      </c>
      <c r="I777" s="40" t="str">
        <f>IFERROR(__xludf.DUMMYFUNCTION("""COMPUTED_VALUE"""),"Ave
Dallas,")</f>
        <v>Ave
Dallas,</v>
      </c>
      <c r="J777" s="40" t="str">
        <f>IFERROR(__xludf.DUMMYFUNCTION("""COMPUTED_VALUE"""),"TX")</f>
        <v>TX</v>
      </c>
      <c r="K777" s="40">
        <f>IFERROR(__xludf.DUMMYFUNCTION("""COMPUTED_VALUE"""),75219.0)</f>
        <v>75219</v>
      </c>
      <c r="L777" s="40"/>
      <c r="M777" s="40"/>
      <c r="N777" s="40"/>
      <c r="O777" s="40"/>
      <c r="P777" s="40"/>
      <c r="Q777" s="40"/>
      <c r="R777" s="40"/>
      <c r="S777" s="40"/>
      <c r="T777" s="40"/>
      <c r="U777" s="24" t="str">
        <f>IFERROR(__xludf.DUMMYFUNCTION("SPLIT(E777,""01234567890"")"),"Kimberly")</f>
        <v>Kimberly</v>
      </c>
      <c r="V777" s="24" t="str">
        <f>IFERROR(__xludf.DUMMYFUNCTION("SPLIT(D777,"","")"),"Deason")</f>
        <v>Deason</v>
      </c>
      <c r="W777" s="25" t="str">
        <f t="shared" si="1"/>
        <v>KIMBERLY DEASON</v>
      </c>
      <c r="X777" s="40"/>
      <c r="Y777" s="40"/>
      <c r="Z777" s="25" t="str">
        <f>IFERROR(__xludf.DUMMYFUNCTION("SPLIT(C777,""
"")"),"Deason, Kimberly &amp; Darwin")</f>
        <v>Deason, Kimberly &amp; Darwin</v>
      </c>
      <c r="AA777" s="40" t="str">
        <f>IFERROR(__xludf.DUMMYFUNCTION("""COMPUTED_VALUE"""),"3953 Maple Ave")</f>
        <v>3953 Maple Ave</v>
      </c>
      <c r="AB777" s="40" t="str">
        <f>IFERROR(__xludf.DUMMYFUNCTION("""COMPUTED_VALUE"""),"Dallas, TX 75219")</f>
        <v>Dallas, TX 75219</v>
      </c>
      <c r="AC777" s="31" t="s">
        <v>2006</v>
      </c>
      <c r="AD777" s="40"/>
      <c r="AE777" s="40"/>
      <c r="AF777" s="40"/>
      <c r="AG777" s="40" t="s">
        <v>60</v>
      </c>
      <c r="AH777" s="42">
        <v>2481.0</v>
      </c>
      <c r="AI777" s="40" t="s">
        <v>68</v>
      </c>
      <c r="AJ777" s="27">
        <v>10000.0</v>
      </c>
      <c r="AK777" s="31" t="s">
        <v>25</v>
      </c>
      <c r="AL777" s="43">
        <v>44895.0</v>
      </c>
      <c r="AM777" s="44">
        <v>44937.81995370371</v>
      </c>
      <c r="AN777" s="30">
        <v>2.0</v>
      </c>
      <c r="AO777" s="40"/>
      <c r="AP777" s="40"/>
      <c r="AQ777" s="40"/>
      <c r="AR777" s="40"/>
      <c r="AS777" s="40"/>
      <c r="AT777" s="47"/>
      <c r="AU777" s="40"/>
      <c r="AV777" s="46" t="str">
        <f>IFERROR(__xludf.DUMMYFUNCTION("""COMPUTED_VALUE"""),"Kraft")</f>
        <v>Kraft</v>
      </c>
      <c r="AW777" s="46">
        <f t="shared" si="7"/>
        <v>100</v>
      </c>
      <c r="AX777" s="47">
        <f t="shared" ref="AX777:BQ777" si="2442">SUMIFS($AJ:$AJ,$V:$V,$AV777,$AK:$AK,AX$2)</f>
        <v>0</v>
      </c>
      <c r="AY777" s="48">
        <f t="shared" si="2442"/>
        <v>0</v>
      </c>
      <c r="AZ777" s="48">
        <f t="shared" si="2442"/>
        <v>0</v>
      </c>
      <c r="BA777" s="48">
        <f t="shared" si="2442"/>
        <v>100</v>
      </c>
      <c r="BB777" s="48">
        <f t="shared" si="2442"/>
        <v>0</v>
      </c>
      <c r="BC777" s="48">
        <f t="shared" si="2442"/>
        <v>0</v>
      </c>
      <c r="BD777" s="48">
        <f t="shared" si="2442"/>
        <v>0</v>
      </c>
      <c r="BE777" s="48">
        <f t="shared" si="2442"/>
        <v>0</v>
      </c>
      <c r="BF777" s="48">
        <f t="shared" si="2442"/>
        <v>0</v>
      </c>
      <c r="BG777" s="48">
        <f t="shared" si="2442"/>
        <v>0</v>
      </c>
      <c r="BH777" s="48">
        <f t="shared" si="2442"/>
        <v>0</v>
      </c>
      <c r="BI777" s="48">
        <f t="shared" si="2442"/>
        <v>0</v>
      </c>
      <c r="BJ777" s="48">
        <f t="shared" si="2442"/>
        <v>0</v>
      </c>
      <c r="BK777" s="48">
        <f t="shared" si="2442"/>
        <v>0</v>
      </c>
      <c r="BL777" s="48">
        <f t="shared" si="2442"/>
        <v>0</v>
      </c>
      <c r="BM777" s="48">
        <f t="shared" si="2442"/>
        <v>0</v>
      </c>
      <c r="BN777" s="48">
        <f t="shared" si="2442"/>
        <v>0</v>
      </c>
      <c r="BO777" s="48">
        <f t="shared" si="2442"/>
        <v>0</v>
      </c>
      <c r="BP777" s="48">
        <f t="shared" si="2442"/>
        <v>0</v>
      </c>
      <c r="BQ777" s="48">
        <f t="shared" si="2442"/>
        <v>0</v>
      </c>
      <c r="BR777" s="36">
        <f t="shared" si="9"/>
        <v>0</v>
      </c>
      <c r="BS777" s="38">
        <f t="shared" si="10"/>
        <v>1</v>
      </c>
      <c r="BT777" s="49">
        <f t="shared" si="11"/>
        <v>0</v>
      </c>
      <c r="BU777" s="38">
        <f t="shared" si="12"/>
        <v>1000</v>
      </c>
      <c r="BV777" s="46" t="str">
        <f>IFERROR(__xludf.DUMMYFUNCTION("""COMPUTED_VALUE"""),"Kraft")</f>
        <v>Kraft</v>
      </c>
      <c r="BW777" s="46">
        <f t="shared" si="13"/>
        <v>100</v>
      </c>
      <c r="BX777" s="47">
        <f t="shared" ref="BX777:CA777" si="2443">AX777-$BU777</f>
        <v>-1000</v>
      </c>
      <c r="BY777" s="47">
        <f t="shared" si="2443"/>
        <v>-1000</v>
      </c>
      <c r="BZ777" s="47">
        <f t="shared" si="2443"/>
        <v>-1000</v>
      </c>
      <c r="CA777" s="47">
        <f t="shared" si="2443"/>
        <v>-900</v>
      </c>
      <c r="CB777" s="47">
        <f t="shared" si="15"/>
        <v>-10000</v>
      </c>
      <c r="CC777" s="47">
        <f t="shared" ref="CC777:CQ777" si="2444">BC777-$BU777</f>
        <v>-1000</v>
      </c>
      <c r="CD777" s="47">
        <f t="shared" si="2444"/>
        <v>-1000</v>
      </c>
      <c r="CE777" s="47">
        <f t="shared" si="2444"/>
        <v>-1000</v>
      </c>
      <c r="CF777" s="47">
        <f t="shared" si="2444"/>
        <v>-1000</v>
      </c>
      <c r="CG777" s="47">
        <f t="shared" si="2444"/>
        <v>-1000</v>
      </c>
      <c r="CH777" s="47">
        <f t="shared" si="2444"/>
        <v>-1000</v>
      </c>
      <c r="CI777" s="47">
        <f t="shared" si="2444"/>
        <v>-1000</v>
      </c>
      <c r="CJ777" s="47">
        <f t="shared" si="2444"/>
        <v>-1000</v>
      </c>
      <c r="CK777" s="47">
        <f t="shared" si="2444"/>
        <v>-1000</v>
      </c>
      <c r="CL777" s="47">
        <f t="shared" si="2444"/>
        <v>-1000</v>
      </c>
      <c r="CM777" s="47">
        <f t="shared" si="2444"/>
        <v>-1000</v>
      </c>
      <c r="CN777" s="47">
        <f t="shared" si="2444"/>
        <v>-1000</v>
      </c>
      <c r="CO777" s="47">
        <f t="shared" si="2444"/>
        <v>-1000</v>
      </c>
      <c r="CP777" s="47">
        <f t="shared" si="2444"/>
        <v>-1000</v>
      </c>
      <c r="CQ777" s="47">
        <f t="shared" si="2444"/>
        <v>-1000</v>
      </c>
      <c r="CR777" s="47"/>
      <c r="CS777" s="47"/>
      <c r="CT777" s="47"/>
      <c r="CU777" s="74"/>
      <c r="CV777" s="74"/>
      <c r="CW777" s="74" t="str">
        <f>IFERROR(__xludf.DUMMYFUNCTION("IF(REGEXMATCH(UPPER(CU777), ""DALLAS""),,CU777)"),"")</f>
        <v/>
      </c>
      <c r="CX777" s="74"/>
      <c r="CY777" s="74"/>
      <c r="CZ777" s="74"/>
      <c r="DA777" s="75"/>
      <c r="DB777" s="74"/>
      <c r="DC777" s="74"/>
      <c r="DD777" s="74"/>
      <c r="DE777" s="74"/>
      <c r="DF777" s="74"/>
      <c r="DG777" s="74"/>
      <c r="DH777" s="74"/>
      <c r="DI777" s="74"/>
      <c r="DJ777" s="74"/>
      <c r="DK777" s="74"/>
      <c r="DL777" s="74"/>
      <c r="DM777" s="74"/>
      <c r="DN777" s="74"/>
      <c r="DO777" s="74"/>
      <c r="DP777" s="74"/>
      <c r="DQ777" s="74"/>
      <c r="DR777" s="74"/>
      <c r="DS777" s="74"/>
      <c r="DT777" s="74"/>
      <c r="DU777" s="74"/>
      <c r="DV777" s="74"/>
      <c r="DW777" s="74"/>
    </row>
    <row r="778">
      <c r="A778" s="22" t="s">
        <v>55</v>
      </c>
      <c r="B778" s="23" t="s">
        <v>56</v>
      </c>
      <c r="C778" s="31" t="s">
        <v>2007</v>
      </c>
      <c r="D778" s="25" t="str">
        <f>IFERROR(__xludf.DUMMYFUNCTION("SPLIT(C778,"" "")"),"Enzler,")</f>
        <v>Enzler,</v>
      </c>
      <c r="E778" s="22" t="str">
        <f>IFERROR(__xludf.DUMMYFUNCTION("""COMPUTED_VALUE"""),"Matthew
6027")</f>
        <v>Matthew
6027</v>
      </c>
      <c r="F778" s="22" t="str">
        <f>IFERROR(__xludf.DUMMYFUNCTION("""COMPUTED_VALUE"""),"Goliad")</f>
        <v>Goliad</v>
      </c>
      <c r="G778" s="22" t="str">
        <f>IFERROR(__xludf.DUMMYFUNCTION("""COMPUTED_VALUE"""),"Ave
Dallas,")</f>
        <v>Ave
Dallas,</v>
      </c>
      <c r="H778" s="22" t="str">
        <f>IFERROR(__xludf.DUMMYFUNCTION("""COMPUTED_VALUE"""),"TX")</f>
        <v>TX</v>
      </c>
      <c r="I778" s="22">
        <f>IFERROR(__xludf.DUMMYFUNCTION("""COMPUTED_VALUE"""),75206.0)</f>
        <v>75206</v>
      </c>
      <c r="J778" s="22"/>
      <c r="K778" s="22"/>
      <c r="L778" s="22"/>
      <c r="M778" s="22"/>
      <c r="N778" s="22"/>
      <c r="O778" s="22"/>
      <c r="P778" s="22"/>
      <c r="Q778" s="22"/>
      <c r="R778" s="22"/>
      <c r="S778" s="22"/>
      <c r="T778" s="22"/>
      <c r="U778" s="24" t="str">
        <f>IFERROR(__xludf.DUMMYFUNCTION("SPLIT(E778,""01234567890"")"),"Matthew
")</f>
        <v>Matthew
</v>
      </c>
      <c r="V778" s="24" t="str">
        <f>IFERROR(__xludf.DUMMYFUNCTION("SPLIT(D778,"","")"),"Enzler")</f>
        <v>Enzler</v>
      </c>
      <c r="W778" s="25" t="str">
        <f t="shared" si="1"/>
        <v>MATTHEW
 ENZLER</v>
      </c>
      <c r="X778" s="22"/>
      <c r="Y778" s="22"/>
      <c r="Z778" s="25" t="str">
        <f>IFERROR(__xludf.DUMMYFUNCTION("SPLIT(C778,""
"")"),"Enzler, Matthew")</f>
        <v>Enzler, Matthew</v>
      </c>
      <c r="AA778" s="22" t="str">
        <f>IFERROR(__xludf.DUMMYFUNCTION("""COMPUTED_VALUE"""),"6027 Goliad Ave")</f>
        <v>6027 Goliad Ave</v>
      </c>
      <c r="AB778" s="22" t="str">
        <f>IFERROR(__xludf.DUMMYFUNCTION("""COMPUTED_VALUE"""),"Dallas, TX 75206")</f>
        <v>Dallas, TX 75206</v>
      </c>
      <c r="AC778" s="31" t="s">
        <v>2008</v>
      </c>
      <c r="AD778" s="22"/>
      <c r="AE778" s="22"/>
      <c r="AF778" s="22"/>
      <c r="AG778" s="22" t="s">
        <v>60</v>
      </c>
      <c r="AH778" s="54">
        <v>2481.0</v>
      </c>
      <c r="AI778" s="22" t="s">
        <v>68</v>
      </c>
      <c r="AJ778" s="27">
        <v>1000.0</v>
      </c>
      <c r="AK778" s="31" t="s">
        <v>25</v>
      </c>
      <c r="AL778" s="28">
        <v>44855.0</v>
      </c>
      <c r="AM778" s="29">
        <v>44937.81995370371</v>
      </c>
      <c r="AN778" s="30">
        <v>2.0</v>
      </c>
      <c r="AO778" s="22"/>
      <c r="AP778" s="22"/>
      <c r="AQ778" s="22"/>
      <c r="AR778" s="22"/>
      <c r="AS778" s="22"/>
      <c r="AT778" s="70"/>
      <c r="AU778" s="22"/>
      <c r="AV778" s="57" t="str">
        <f>IFERROR(__xludf.DUMMYFUNCTION("""COMPUTED_VALUE"""),"Boruff")</f>
        <v>Boruff</v>
      </c>
      <c r="AW778" s="46">
        <f t="shared" si="7"/>
        <v>100</v>
      </c>
      <c r="AX778" s="47">
        <f t="shared" ref="AX778:BQ778" si="2445">SUMIFS($AJ:$AJ,$V:$V,$AV778,$AK:$AK,AX$2)</f>
        <v>0</v>
      </c>
      <c r="AY778" s="48">
        <f t="shared" si="2445"/>
        <v>0</v>
      </c>
      <c r="AZ778" s="48">
        <f t="shared" si="2445"/>
        <v>0</v>
      </c>
      <c r="BA778" s="48">
        <f t="shared" si="2445"/>
        <v>100</v>
      </c>
      <c r="BB778" s="48">
        <f t="shared" si="2445"/>
        <v>0</v>
      </c>
      <c r="BC778" s="48">
        <f t="shared" si="2445"/>
        <v>0</v>
      </c>
      <c r="BD778" s="48">
        <f t="shared" si="2445"/>
        <v>0</v>
      </c>
      <c r="BE778" s="48">
        <f t="shared" si="2445"/>
        <v>0</v>
      </c>
      <c r="BF778" s="48">
        <f t="shared" si="2445"/>
        <v>0</v>
      </c>
      <c r="BG778" s="48">
        <f t="shared" si="2445"/>
        <v>0</v>
      </c>
      <c r="BH778" s="48">
        <f t="shared" si="2445"/>
        <v>0</v>
      </c>
      <c r="BI778" s="48">
        <f t="shared" si="2445"/>
        <v>0</v>
      </c>
      <c r="BJ778" s="48">
        <f t="shared" si="2445"/>
        <v>0</v>
      </c>
      <c r="BK778" s="48">
        <f t="shared" si="2445"/>
        <v>0</v>
      </c>
      <c r="BL778" s="48">
        <f t="shared" si="2445"/>
        <v>0</v>
      </c>
      <c r="BM778" s="48">
        <f t="shared" si="2445"/>
        <v>0</v>
      </c>
      <c r="BN778" s="48">
        <f t="shared" si="2445"/>
        <v>0</v>
      </c>
      <c r="BO778" s="48">
        <f t="shared" si="2445"/>
        <v>0</v>
      </c>
      <c r="BP778" s="48">
        <f t="shared" si="2445"/>
        <v>0</v>
      </c>
      <c r="BQ778" s="48">
        <f t="shared" si="2445"/>
        <v>0</v>
      </c>
      <c r="BR778" s="36">
        <f t="shared" si="9"/>
        <v>0</v>
      </c>
      <c r="BS778" s="38">
        <f t="shared" si="10"/>
        <v>1</v>
      </c>
      <c r="BT778" s="49">
        <f t="shared" si="11"/>
        <v>0</v>
      </c>
      <c r="BU778" s="38">
        <f t="shared" si="12"/>
        <v>1000</v>
      </c>
      <c r="BV778" s="57" t="str">
        <f>IFERROR(__xludf.DUMMYFUNCTION("""COMPUTED_VALUE"""),"Boruff")</f>
        <v>Boruff</v>
      </c>
      <c r="BW778" s="46">
        <f t="shared" si="13"/>
        <v>100</v>
      </c>
      <c r="BX778" s="47">
        <f t="shared" ref="BX778:CA778" si="2446">AX778-$BU778</f>
        <v>-1000</v>
      </c>
      <c r="BY778" s="47">
        <f t="shared" si="2446"/>
        <v>-1000</v>
      </c>
      <c r="BZ778" s="47">
        <f t="shared" si="2446"/>
        <v>-1000</v>
      </c>
      <c r="CA778" s="47">
        <f t="shared" si="2446"/>
        <v>-900</v>
      </c>
      <c r="CB778" s="47">
        <f t="shared" si="15"/>
        <v>-10000</v>
      </c>
      <c r="CC778" s="47">
        <f t="shared" ref="CC778:CQ778" si="2447">BC778-$BU778</f>
        <v>-1000</v>
      </c>
      <c r="CD778" s="47">
        <f t="shared" si="2447"/>
        <v>-1000</v>
      </c>
      <c r="CE778" s="47">
        <f t="shared" si="2447"/>
        <v>-1000</v>
      </c>
      <c r="CF778" s="47">
        <f t="shared" si="2447"/>
        <v>-1000</v>
      </c>
      <c r="CG778" s="47">
        <f t="shared" si="2447"/>
        <v>-1000</v>
      </c>
      <c r="CH778" s="47">
        <f t="shared" si="2447"/>
        <v>-1000</v>
      </c>
      <c r="CI778" s="47">
        <f t="shared" si="2447"/>
        <v>-1000</v>
      </c>
      <c r="CJ778" s="47">
        <f t="shared" si="2447"/>
        <v>-1000</v>
      </c>
      <c r="CK778" s="47">
        <f t="shared" si="2447"/>
        <v>-1000</v>
      </c>
      <c r="CL778" s="47">
        <f t="shared" si="2447"/>
        <v>-1000</v>
      </c>
      <c r="CM778" s="47">
        <f t="shared" si="2447"/>
        <v>-1000</v>
      </c>
      <c r="CN778" s="47">
        <f t="shared" si="2447"/>
        <v>-1000</v>
      </c>
      <c r="CO778" s="47">
        <f t="shared" si="2447"/>
        <v>-1000</v>
      </c>
      <c r="CP778" s="47">
        <f t="shared" si="2447"/>
        <v>-1000</v>
      </c>
      <c r="CQ778" s="47">
        <f t="shared" si="2447"/>
        <v>-1000</v>
      </c>
      <c r="CR778" s="47"/>
      <c r="CS778" s="47"/>
      <c r="CT778" s="47"/>
      <c r="CU778" s="74"/>
      <c r="CV778" s="74"/>
      <c r="CW778" s="74" t="str">
        <f>IFERROR(__xludf.DUMMYFUNCTION("IF(REGEXMATCH(UPPER(CU778), ""DALLAS""),,CU778)"),"")</f>
        <v/>
      </c>
      <c r="CX778" s="74"/>
      <c r="CY778" s="74"/>
      <c r="CZ778" s="74"/>
      <c r="DA778" s="75"/>
      <c r="DB778" s="74"/>
      <c r="DC778" s="74"/>
      <c r="DD778" s="74"/>
      <c r="DE778" s="74"/>
      <c r="DF778" s="74"/>
      <c r="DG778" s="74"/>
      <c r="DH778" s="74"/>
      <c r="DI778" s="74"/>
      <c r="DJ778" s="74"/>
      <c r="DK778" s="74"/>
      <c r="DL778" s="74"/>
      <c r="DM778" s="74"/>
      <c r="DN778" s="74"/>
      <c r="DO778" s="74"/>
      <c r="DP778" s="74"/>
      <c r="DQ778" s="74"/>
      <c r="DR778" s="74"/>
      <c r="DS778" s="74"/>
      <c r="DT778" s="74"/>
      <c r="DU778" s="74"/>
      <c r="DV778" s="74"/>
      <c r="DW778" s="74"/>
    </row>
    <row r="779">
      <c r="A779" s="40" t="s">
        <v>55</v>
      </c>
      <c r="B779" s="41" t="s">
        <v>56</v>
      </c>
      <c r="C779" s="31" t="s">
        <v>2009</v>
      </c>
      <c r="D779" s="25" t="str">
        <f>IFERROR(__xludf.DUMMYFUNCTION("SPLIT(C779,"" "")"),"Farmer,")</f>
        <v>Farmer,</v>
      </c>
      <c r="E779" s="40" t="str">
        <f>IFERROR(__xludf.DUMMYFUNCTION("""COMPUTED_VALUE"""),"Curt
6307")</f>
        <v>Curt
6307</v>
      </c>
      <c r="F779" s="40" t="str">
        <f>IFERROR(__xludf.DUMMYFUNCTION("""COMPUTED_VALUE"""),"Prestonshire")</f>
        <v>Prestonshire</v>
      </c>
      <c r="G779" s="40" t="str">
        <f>IFERROR(__xludf.DUMMYFUNCTION("""COMPUTED_VALUE"""),"Lane
Dallas,")</f>
        <v>Lane
Dallas,</v>
      </c>
      <c r="H779" s="40" t="str">
        <f>IFERROR(__xludf.DUMMYFUNCTION("""COMPUTED_VALUE"""),"TX")</f>
        <v>TX</v>
      </c>
      <c r="I779" s="40">
        <f>IFERROR(__xludf.DUMMYFUNCTION("""COMPUTED_VALUE"""),75225.0)</f>
        <v>75225</v>
      </c>
      <c r="J779" s="40"/>
      <c r="K779" s="40"/>
      <c r="L779" s="40"/>
      <c r="M779" s="40"/>
      <c r="N779" s="40"/>
      <c r="O779" s="40"/>
      <c r="P779" s="40"/>
      <c r="Q779" s="40"/>
      <c r="R779" s="40"/>
      <c r="S779" s="40"/>
      <c r="T779" s="40"/>
      <c r="U779" s="24" t="str">
        <f>IFERROR(__xludf.DUMMYFUNCTION("SPLIT(E779,""01234567890"")"),"Curt
")</f>
        <v>Curt
</v>
      </c>
      <c r="V779" s="24" t="str">
        <f>IFERROR(__xludf.DUMMYFUNCTION("SPLIT(D779,"","")"),"Farmer")</f>
        <v>Farmer</v>
      </c>
      <c r="W779" s="25" t="str">
        <f t="shared" si="1"/>
        <v>CURT
 FARMER</v>
      </c>
      <c r="X779" s="40"/>
      <c r="Y779" s="40"/>
      <c r="Z779" s="25" t="str">
        <f>IFERROR(__xludf.DUMMYFUNCTION("SPLIT(C779,""
"")"),"Farmer, Curt")</f>
        <v>Farmer, Curt</v>
      </c>
      <c r="AA779" s="40" t="str">
        <f>IFERROR(__xludf.DUMMYFUNCTION("""COMPUTED_VALUE"""),"6307 Prestonshire Lane")</f>
        <v>6307 Prestonshire Lane</v>
      </c>
      <c r="AB779" s="40" t="str">
        <f>IFERROR(__xludf.DUMMYFUNCTION("""COMPUTED_VALUE"""),"Dallas, TX 75225")</f>
        <v>Dallas, TX 75225</v>
      </c>
      <c r="AC779" s="31" t="s">
        <v>2010</v>
      </c>
      <c r="AD779" s="40"/>
      <c r="AE779" s="40"/>
      <c r="AF779" s="40"/>
      <c r="AG779" s="40" t="s">
        <v>60</v>
      </c>
      <c r="AH779" s="42">
        <v>2481.0</v>
      </c>
      <c r="AI779" s="40" t="s">
        <v>68</v>
      </c>
      <c r="AJ779" s="27">
        <v>1000.0</v>
      </c>
      <c r="AK779" s="31" t="s">
        <v>25</v>
      </c>
      <c r="AL779" s="43">
        <v>44886.0</v>
      </c>
      <c r="AM779" s="44">
        <v>44937.81995370371</v>
      </c>
      <c r="AN779" s="30">
        <v>2.0</v>
      </c>
      <c r="AO779" s="40"/>
      <c r="AP779" s="40"/>
      <c r="AQ779" s="40"/>
      <c r="AR779" s="40"/>
      <c r="AS779" s="40"/>
      <c r="AT779" s="47"/>
      <c r="AU779" s="40"/>
      <c r="AV779" s="46" t="str">
        <f>IFERROR(__xludf.DUMMYFUNCTION("""COMPUTED_VALUE"""),"Finkelman")</f>
        <v>Finkelman</v>
      </c>
      <c r="AW779" s="46">
        <f t="shared" si="7"/>
        <v>100</v>
      </c>
      <c r="AX779" s="47">
        <f t="shared" ref="AX779:BQ779" si="2448">SUMIFS($AJ:$AJ,$V:$V,$AV779,$AK:$AK,AX$2)</f>
        <v>0</v>
      </c>
      <c r="AY779" s="48">
        <f t="shared" si="2448"/>
        <v>0</v>
      </c>
      <c r="AZ779" s="48">
        <f t="shared" si="2448"/>
        <v>0</v>
      </c>
      <c r="BA779" s="48">
        <f t="shared" si="2448"/>
        <v>100</v>
      </c>
      <c r="BB779" s="48">
        <f t="shared" si="2448"/>
        <v>0</v>
      </c>
      <c r="BC779" s="48">
        <f t="shared" si="2448"/>
        <v>0</v>
      </c>
      <c r="BD779" s="48">
        <f t="shared" si="2448"/>
        <v>0</v>
      </c>
      <c r="BE779" s="48">
        <f t="shared" si="2448"/>
        <v>0</v>
      </c>
      <c r="BF779" s="48">
        <f t="shared" si="2448"/>
        <v>0</v>
      </c>
      <c r="BG779" s="48">
        <f t="shared" si="2448"/>
        <v>0</v>
      </c>
      <c r="BH779" s="48">
        <f t="shared" si="2448"/>
        <v>0</v>
      </c>
      <c r="BI779" s="48">
        <f t="shared" si="2448"/>
        <v>0</v>
      </c>
      <c r="BJ779" s="48">
        <f t="shared" si="2448"/>
        <v>0</v>
      </c>
      <c r="BK779" s="48">
        <f t="shared" si="2448"/>
        <v>0</v>
      </c>
      <c r="BL779" s="48">
        <f t="shared" si="2448"/>
        <v>0</v>
      </c>
      <c r="BM779" s="48">
        <f t="shared" si="2448"/>
        <v>0</v>
      </c>
      <c r="BN779" s="48">
        <f t="shared" si="2448"/>
        <v>0</v>
      </c>
      <c r="BO779" s="48">
        <f t="shared" si="2448"/>
        <v>0</v>
      </c>
      <c r="BP779" s="48">
        <f t="shared" si="2448"/>
        <v>0</v>
      </c>
      <c r="BQ779" s="48">
        <f t="shared" si="2448"/>
        <v>0</v>
      </c>
      <c r="BR779" s="36">
        <f t="shared" si="9"/>
        <v>0</v>
      </c>
      <c r="BS779" s="38">
        <f t="shared" si="10"/>
        <v>1</v>
      </c>
      <c r="BT779" s="49">
        <f t="shared" si="11"/>
        <v>0</v>
      </c>
      <c r="BU779" s="38">
        <f t="shared" si="12"/>
        <v>1000</v>
      </c>
      <c r="BV779" s="46" t="str">
        <f>IFERROR(__xludf.DUMMYFUNCTION("""COMPUTED_VALUE"""),"Finkelman")</f>
        <v>Finkelman</v>
      </c>
      <c r="BW779" s="46">
        <f t="shared" si="13"/>
        <v>100</v>
      </c>
      <c r="BX779" s="47">
        <f t="shared" ref="BX779:CA779" si="2449">AX779-$BU779</f>
        <v>-1000</v>
      </c>
      <c r="BY779" s="47">
        <f t="shared" si="2449"/>
        <v>-1000</v>
      </c>
      <c r="BZ779" s="47">
        <f t="shared" si="2449"/>
        <v>-1000</v>
      </c>
      <c r="CA779" s="47">
        <f t="shared" si="2449"/>
        <v>-900</v>
      </c>
      <c r="CB779" s="47">
        <f t="shared" si="15"/>
        <v>-10000</v>
      </c>
      <c r="CC779" s="47">
        <f t="shared" ref="CC779:CQ779" si="2450">BC779-$BU779</f>
        <v>-1000</v>
      </c>
      <c r="CD779" s="47">
        <f t="shared" si="2450"/>
        <v>-1000</v>
      </c>
      <c r="CE779" s="47">
        <f t="shared" si="2450"/>
        <v>-1000</v>
      </c>
      <c r="CF779" s="47">
        <f t="shared" si="2450"/>
        <v>-1000</v>
      </c>
      <c r="CG779" s="47">
        <f t="shared" si="2450"/>
        <v>-1000</v>
      </c>
      <c r="CH779" s="47">
        <f t="shared" si="2450"/>
        <v>-1000</v>
      </c>
      <c r="CI779" s="47">
        <f t="shared" si="2450"/>
        <v>-1000</v>
      </c>
      <c r="CJ779" s="47">
        <f t="shared" si="2450"/>
        <v>-1000</v>
      </c>
      <c r="CK779" s="47">
        <f t="shared" si="2450"/>
        <v>-1000</v>
      </c>
      <c r="CL779" s="47">
        <f t="shared" si="2450"/>
        <v>-1000</v>
      </c>
      <c r="CM779" s="47">
        <f t="shared" si="2450"/>
        <v>-1000</v>
      </c>
      <c r="CN779" s="47">
        <f t="shared" si="2450"/>
        <v>-1000</v>
      </c>
      <c r="CO779" s="47">
        <f t="shared" si="2450"/>
        <v>-1000</v>
      </c>
      <c r="CP779" s="47">
        <f t="shared" si="2450"/>
        <v>-1000</v>
      </c>
      <c r="CQ779" s="47">
        <f t="shared" si="2450"/>
        <v>-1000</v>
      </c>
      <c r="CR779" s="47"/>
      <c r="CS779" s="47"/>
      <c r="CT779" s="47"/>
      <c r="CU779" s="74"/>
      <c r="CV779" s="74"/>
      <c r="CW779" s="74" t="str">
        <f>IFERROR(__xludf.DUMMYFUNCTION("IF(REGEXMATCH(UPPER(CU779), ""DALLAS""),,CU779)"),"")</f>
        <v/>
      </c>
      <c r="CX779" s="74"/>
      <c r="CY779" s="74"/>
      <c r="CZ779" s="74"/>
      <c r="DA779" s="75"/>
      <c r="DB779" s="74"/>
      <c r="DC779" s="74"/>
      <c r="DD779" s="74"/>
      <c r="DE779" s="74"/>
      <c r="DF779" s="74"/>
      <c r="DG779" s="74"/>
      <c r="DH779" s="74"/>
      <c r="DI779" s="74"/>
      <c r="DJ779" s="74"/>
      <c r="DK779" s="74"/>
      <c r="DL779" s="74"/>
      <c r="DM779" s="74"/>
      <c r="DN779" s="74"/>
      <c r="DO779" s="74"/>
      <c r="DP779" s="74"/>
      <c r="DQ779" s="74"/>
      <c r="DR779" s="74"/>
      <c r="DS779" s="74"/>
      <c r="DT779" s="74"/>
      <c r="DU779" s="74"/>
      <c r="DV779" s="74"/>
      <c r="DW779" s="74"/>
    </row>
    <row r="780">
      <c r="A780" s="22" t="s">
        <v>55</v>
      </c>
      <c r="B780" s="23" t="s">
        <v>56</v>
      </c>
      <c r="C780" s="31" t="s">
        <v>2011</v>
      </c>
      <c r="D780" s="25" t="str">
        <f>IFERROR(__xludf.DUMMYFUNCTION("SPLIT(C780,"" "")"),"Fertitta,")</f>
        <v>Fertitta,</v>
      </c>
      <c r="E780" s="22" t="str">
        <f>IFERROR(__xludf.DUMMYFUNCTION("""COMPUTED_VALUE"""),"Tilman
1510")</f>
        <v>Tilman
1510</v>
      </c>
      <c r="F780" s="22" t="str">
        <f>IFERROR(__xludf.DUMMYFUNCTION("""COMPUTED_VALUE"""),"West")</f>
        <v>West</v>
      </c>
      <c r="G780" s="22" t="str">
        <f>IFERROR(__xludf.DUMMYFUNCTION("""COMPUTED_VALUE"""),"Loop")</f>
        <v>Loop</v>
      </c>
      <c r="H780" s="22" t="str">
        <f>IFERROR(__xludf.DUMMYFUNCTION("""COMPUTED_VALUE"""),"South
Houston,")</f>
        <v>South
Houston,</v>
      </c>
      <c r="I780" s="22" t="str">
        <f>IFERROR(__xludf.DUMMYFUNCTION("""COMPUTED_VALUE"""),"TX")</f>
        <v>TX</v>
      </c>
      <c r="J780" s="22">
        <f>IFERROR(__xludf.DUMMYFUNCTION("""COMPUTED_VALUE"""),77027.0)</f>
        <v>77027</v>
      </c>
      <c r="K780" s="22"/>
      <c r="L780" s="22"/>
      <c r="M780" s="22"/>
      <c r="N780" s="22"/>
      <c r="O780" s="22"/>
      <c r="P780" s="22"/>
      <c r="Q780" s="22"/>
      <c r="R780" s="22"/>
      <c r="S780" s="22"/>
      <c r="T780" s="22"/>
      <c r="U780" s="24" t="str">
        <f>IFERROR(__xludf.DUMMYFUNCTION("SPLIT(E780,""01234567890"")"),"Tilman
")</f>
        <v>Tilman
</v>
      </c>
      <c r="V780" s="24" t="str">
        <f>IFERROR(__xludf.DUMMYFUNCTION("SPLIT(D780,"","")"),"Fertitta")</f>
        <v>Fertitta</v>
      </c>
      <c r="W780" s="25" t="str">
        <f t="shared" si="1"/>
        <v>TILMAN
 FERTITTA</v>
      </c>
      <c r="X780" s="22"/>
      <c r="Y780" s="22"/>
      <c r="Z780" s="25" t="str">
        <f>IFERROR(__xludf.DUMMYFUNCTION("SPLIT(C780,""
"")"),"Fertitta, Tilman")</f>
        <v>Fertitta, Tilman</v>
      </c>
      <c r="AA780" s="22" t="str">
        <f>IFERROR(__xludf.DUMMYFUNCTION("""COMPUTED_VALUE"""),"1510 West Loop South")</f>
        <v>1510 West Loop South</v>
      </c>
      <c r="AB780" s="22" t="str">
        <f>IFERROR(__xludf.DUMMYFUNCTION("""COMPUTED_VALUE"""),"Houston, TX 77027")</f>
        <v>Houston, TX 77027</v>
      </c>
      <c r="AC780" s="31" t="s">
        <v>2012</v>
      </c>
      <c r="AD780" s="22"/>
      <c r="AE780" s="22"/>
      <c r="AF780" s="22"/>
      <c r="AG780" s="22" t="s">
        <v>60</v>
      </c>
      <c r="AH780" s="54">
        <v>2481.0</v>
      </c>
      <c r="AI780" s="22" t="s">
        <v>68</v>
      </c>
      <c r="AJ780" s="27">
        <v>1000.0</v>
      </c>
      <c r="AK780" s="31" t="s">
        <v>25</v>
      </c>
      <c r="AL780" s="28">
        <v>44876.0</v>
      </c>
      <c r="AM780" s="29">
        <v>44937.81995370371</v>
      </c>
      <c r="AN780" s="30">
        <v>2.0</v>
      </c>
      <c r="AO780" s="22"/>
      <c r="AP780" s="22"/>
      <c r="AQ780" s="22"/>
      <c r="AR780" s="22"/>
      <c r="AS780" s="22"/>
      <c r="AT780" s="70"/>
      <c r="AU780" s="22"/>
      <c r="AV780" s="57" t="str">
        <f>IFERROR(__xludf.DUMMYFUNCTION("""COMPUTED_VALUE"""),"Dalton")</f>
        <v>Dalton</v>
      </c>
      <c r="AW780" s="46">
        <f t="shared" si="7"/>
        <v>250</v>
      </c>
      <c r="AX780" s="47">
        <f t="shared" ref="AX780:BQ780" si="2451">SUMIFS($AJ:$AJ,$V:$V,$AV780,$AK:$AK,AX$2)</f>
        <v>0</v>
      </c>
      <c r="AY780" s="48">
        <f t="shared" si="2451"/>
        <v>0</v>
      </c>
      <c r="AZ780" s="48">
        <f t="shared" si="2451"/>
        <v>0</v>
      </c>
      <c r="BA780" s="48">
        <f t="shared" si="2451"/>
        <v>0</v>
      </c>
      <c r="BB780" s="48">
        <f t="shared" si="2451"/>
        <v>0</v>
      </c>
      <c r="BC780" s="48">
        <f t="shared" si="2451"/>
        <v>0</v>
      </c>
      <c r="BD780" s="48">
        <f t="shared" si="2451"/>
        <v>0</v>
      </c>
      <c r="BE780" s="48">
        <f t="shared" si="2451"/>
        <v>0</v>
      </c>
      <c r="BF780" s="48">
        <f t="shared" si="2451"/>
        <v>0</v>
      </c>
      <c r="BG780" s="48">
        <f t="shared" si="2451"/>
        <v>0</v>
      </c>
      <c r="BH780" s="48">
        <f t="shared" si="2451"/>
        <v>0</v>
      </c>
      <c r="BI780" s="48">
        <f t="shared" si="2451"/>
        <v>250</v>
      </c>
      <c r="BJ780" s="48">
        <f t="shared" si="2451"/>
        <v>0</v>
      </c>
      <c r="BK780" s="48">
        <f t="shared" si="2451"/>
        <v>0</v>
      </c>
      <c r="BL780" s="48">
        <f t="shared" si="2451"/>
        <v>0</v>
      </c>
      <c r="BM780" s="48">
        <f t="shared" si="2451"/>
        <v>0</v>
      </c>
      <c r="BN780" s="48">
        <f t="shared" si="2451"/>
        <v>0</v>
      </c>
      <c r="BO780" s="48">
        <f t="shared" si="2451"/>
        <v>0</v>
      </c>
      <c r="BP780" s="48">
        <f t="shared" si="2451"/>
        <v>0</v>
      </c>
      <c r="BQ780" s="48">
        <f t="shared" si="2451"/>
        <v>0</v>
      </c>
      <c r="BR780" s="36">
        <f t="shared" si="9"/>
        <v>0</v>
      </c>
      <c r="BS780" s="38">
        <f t="shared" si="10"/>
        <v>1</v>
      </c>
      <c r="BT780" s="49">
        <f t="shared" si="11"/>
        <v>0</v>
      </c>
      <c r="BU780" s="38">
        <f t="shared" si="12"/>
        <v>1000</v>
      </c>
      <c r="BV780" s="57" t="str">
        <f>IFERROR(__xludf.DUMMYFUNCTION("""COMPUTED_VALUE"""),"Dalton")</f>
        <v>Dalton</v>
      </c>
      <c r="BW780" s="46">
        <f t="shared" si="13"/>
        <v>250</v>
      </c>
      <c r="BX780" s="47">
        <f t="shared" ref="BX780:CA780" si="2452">AX780-$BU780</f>
        <v>-1000</v>
      </c>
      <c r="BY780" s="47">
        <f t="shared" si="2452"/>
        <v>-1000</v>
      </c>
      <c r="BZ780" s="47">
        <f t="shared" si="2452"/>
        <v>-1000</v>
      </c>
      <c r="CA780" s="47">
        <f t="shared" si="2452"/>
        <v>-1000</v>
      </c>
      <c r="CB780" s="47">
        <f t="shared" si="15"/>
        <v>-10000</v>
      </c>
      <c r="CC780" s="47">
        <f t="shared" ref="CC780:CQ780" si="2453">BC780-$BU780</f>
        <v>-1000</v>
      </c>
      <c r="CD780" s="47">
        <f t="shared" si="2453"/>
        <v>-1000</v>
      </c>
      <c r="CE780" s="47">
        <f t="shared" si="2453"/>
        <v>-1000</v>
      </c>
      <c r="CF780" s="47">
        <f t="shared" si="2453"/>
        <v>-1000</v>
      </c>
      <c r="CG780" s="47">
        <f t="shared" si="2453"/>
        <v>-1000</v>
      </c>
      <c r="CH780" s="47">
        <f t="shared" si="2453"/>
        <v>-1000</v>
      </c>
      <c r="CI780" s="47">
        <f t="shared" si="2453"/>
        <v>-750</v>
      </c>
      <c r="CJ780" s="47">
        <f t="shared" si="2453"/>
        <v>-1000</v>
      </c>
      <c r="CK780" s="47">
        <f t="shared" si="2453"/>
        <v>-1000</v>
      </c>
      <c r="CL780" s="47">
        <f t="shared" si="2453"/>
        <v>-1000</v>
      </c>
      <c r="CM780" s="47">
        <f t="shared" si="2453"/>
        <v>-1000</v>
      </c>
      <c r="CN780" s="47">
        <f t="shared" si="2453"/>
        <v>-1000</v>
      </c>
      <c r="CO780" s="47">
        <f t="shared" si="2453"/>
        <v>-1000</v>
      </c>
      <c r="CP780" s="47">
        <f t="shared" si="2453"/>
        <v>-1000</v>
      </c>
      <c r="CQ780" s="47">
        <f t="shared" si="2453"/>
        <v>-1000</v>
      </c>
      <c r="CR780" s="47"/>
      <c r="CS780" s="47"/>
      <c r="CT780" s="47"/>
      <c r="CU780" s="74"/>
      <c r="CV780" s="74"/>
      <c r="CW780" s="74" t="str">
        <f>IFERROR(__xludf.DUMMYFUNCTION("IF(REGEXMATCH(UPPER(CU780), ""DALLAS""),,CU780)"),"")</f>
        <v/>
      </c>
      <c r="CX780" s="74"/>
      <c r="CY780" s="74"/>
      <c r="CZ780" s="74"/>
      <c r="DA780" s="75"/>
      <c r="DB780" s="74"/>
      <c r="DC780" s="74"/>
      <c r="DD780" s="74"/>
      <c r="DE780" s="74"/>
      <c r="DF780" s="74"/>
      <c r="DG780" s="74"/>
      <c r="DH780" s="74"/>
      <c r="DI780" s="74"/>
      <c r="DJ780" s="74"/>
      <c r="DK780" s="74"/>
      <c r="DL780" s="74"/>
      <c r="DM780" s="74"/>
      <c r="DN780" s="74"/>
      <c r="DO780" s="74"/>
      <c r="DP780" s="74"/>
      <c r="DQ780" s="74"/>
      <c r="DR780" s="74"/>
      <c r="DS780" s="74"/>
      <c r="DT780" s="74"/>
      <c r="DU780" s="74"/>
      <c r="DV780" s="74"/>
      <c r="DW780" s="74"/>
    </row>
    <row r="781">
      <c r="A781" s="40" t="s">
        <v>55</v>
      </c>
      <c r="B781" s="41" t="s">
        <v>56</v>
      </c>
      <c r="C781" s="31" t="s">
        <v>2013</v>
      </c>
      <c r="D781" s="25" t="str">
        <f>IFERROR(__xludf.DUMMYFUNCTION("SPLIT(C781,"" "")"),"Hunt,")</f>
        <v>Hunt,</v>
      </c>
      <c r="E781" s="40" t="str">
        <f>IFERROR(__xludf.DUMMYFUNCTION("""COMPUTED_VALUE"""),"Ray
1900")</f>
        <v>Ray
1900</v>
      </c>
      <c r="F781" s="40" t="str">
        <f>IFERROR(__xludf.DUMMYFUNCTION("""COMPUTED_VALUE"""),"N")</f>
        <v>N</v>
      </c>
      <c r="G781" s="40" t="str">
        <f>IFERROR(__xludf.DUMMYFUNCTION("""COMPUTED_VALUE"""),"Akard")</f>
        <v>Akard</v>
      </c>
      <c r="H781" s="40" t="str">
        <f>IFERROR(__xludf.DUMMYFUNCTION("""COMPUTED_VALUE"""),"St
Dallas,")</f>
        <v>St
Dallas,</v>
      </c>
      <c r="I781" s="40" t="str">
        <f>IFERROR(__xludf.DUMMYFUNCTION("""COMPUTED_VALUE"""),"TX")</f>
        <v>TX</v>
      </c>
      <c r="J781" s="40">
        <f>IFERROR(__xludf.DUMMYFUNCTION("""COMPUTED_VALUE"""),75201.0)</f>
        <v>75201</v>
      </c>
      <c r="K781" s="40"/>
      <c r="L781" s="40"/>
      <c r="M781" s="40"/>
      <c r="N781" s="40"/>
      <c r="O781" s="40"/>
      <c r="P781" s="40"/>
      <c r="Q781" s="40"/>
      <c r="R781" s="40"/>
      <c r="S781" s="40"/>
      <c r="T781" s="40"/>
      <c r="U781" s="24" t="str">
        <f>IFERROR(__xludf.DUMMYFUNCTION("SPLIT(E781,""01234567890"")"),"Ray
")</f>
        <v>Ray
</v>
      </c>
      <c r="V781" s="24" t="str">
        <f>IFERROR(__xludf.DUMMYFUNCTION("SPLIT(D781,"","")"),"Hunt")</f>
        <v>Hunt</v>
      </c>
      <c r="W781" s="25" t="str">
        <f t="shared" si="1"/>
        <v>RAY
 HUNT</v>
      </c>
      <c r="X781" s="40"/>
      <c r="Y781" s="40"/>
      <c r="Z781" s="25" t="str">
        <f>IFERROR(__xludf.DUMMYFUNCTION("SPLIT(C781,""
"")"),"Hunt, Ray")</f>
        <v>Hunt, Ray</v>
      </c>
      <c r="AA781" s="40" t="str">
        <f>IFERROR(__xludf.DUMMYFUNCTION("""COMPUTED_VALUE"""),"1900 N Akard St")</f>
        <v>1900 N Akard St</v>
      </c>
      <c r="AB781" s="40" t="str">
        <f>IFERROR(__xludf.DUMMYFUNCTION("""COMPUTED_VALUE"""),"Dallas, TX 75201")</f>
        <v>Dallas, TX 75201</v>
      </c>
      <c r="AC781" s="31" t="s">
        <v>721</v>
      </c>
      <c r="AD781" s="40"/>
      <c r="AE781" s="40"/>
      <c r="AF781" s="40"/>
      <c r="AG781" s="40" t="s">
        <v>60</v>
      </c>
      <c r="AH781" s="42">
        <v>2481.0</v>
      </c>
      <c r="AI781" s="40" t="s">
        <v>68</v>
      </c>
      <c r="AJ781" s="27">
        <v>5000.0</v>
      </c>
      <c r="AK781" s="31" t="s">
        <v>25</v>
      </c>
      <c r="AL781" s="43">
        <v>44886.0</v>
      </c>
      <c r="AM781" s="44">
        <v>44937.81995370371</v>
      </c>
      <c r="AN781" s="30">
        <v>2.0</v>
      </c>
      <c r="AO781" s="40"/>
      <c r="AP781" s="40"/>
      <c r="AQ781" s="40"/>
      <c r="AR781" s="40"/>
      <c r="AS781" s="40"/>
      <c r="AT781" s="47"/>
      <c r="AU781" s="40"/>
      <c r="AV781" s="46" t="str">
        <f>IFERROR(__xludf.DUMMYFUNCTION("""COMPUTED_VALUE"""),"Estrada")</f>
        <v>Estrada</v>
      </c>
      <c r="AW781" s="46">
        <f t="shared" si="7"/>
        <v>51</v>
      </c>
      <c r="AX781" s="47">
        <f t="shared" ref="AX781:BQ781" si="2454">SUMIFS($AJ:$AJ,$V:$V,$AV781,$AK:$AK,AX$2)</f>
        <v>0</v>
      </c>
      <c r="AY781" s="48">
        <f t="shared" si="2454"/>
        <v>0</v>
      </c>
      <c r="AZ781" s="48">
        <f t="shared" si="2454"/>
        <v>0</v>
      </c>
      <c r="BA781" s="48">
        <f t="shared" si="2454"/>
        <v>0</v>
      </c>
      <c r="BB781" s="48">
        <f t="shared" si="2454"/>
        <v>0</v>
      </c>
      <c r="BC781" s="48">
        <f t="shared" si="2454"/>
        <v>0</v>
      </c>
      <c r="BD781" s="48">
        <f t="shared" si="2454"/>
        <v>0</v>
      </c>
      <c r="BE781" s="48">
        <f t="shared" si="2454"/>
        <v>0</v>
      </c>
      <c r="BF781" s="48">
        <f t="shared" si="2454"/>
        <v>0</v>
      </c>
      <c r="BG781" s="48">
        <f t="shared" si="2454"/>
        <v>0</v>
      </c>
      <c r="BH781" s="48">
        <f t="shared" si="2454"/>
        <v>0</v>
      </c>
      <c r="BI781" s="48">
        <f t="shared" si="2454"/>
        <v>51</v>
      </c>
      <c r="BJ781" s="48">
        <f t="shared" si="2454"/>
        <v>0</v>
      </c>
      <c r="BK781" s="48">
        <f t="shared" si="2454"/>
        <v>0</v>
      </c>
      <c r="BL781" s="48">
        <f t="shared" si="2454"/>
        <v>0</v>
      </c>
      <c r="BM781" s="48">
        <f t="shared" si="2454"/>
        <v>0</v>
      </c>
      <c r="BN781" s="48">
        <f t="shared" si="2454"/>
        <v>0</v>
      </c>
      <c r="BO781" s="48">
        <f t="shared" si="2454"/>
        <v>0</v>
      </c>
      <c r="BP781" s="48">
        <f t="shared" si="2454"/>
        <v>0</v>
      </c>
      <c r="BQ781" s="48">
        <f t="shared" si="2454"/>
        <v>0</v>
      </c>
      <c r="BR781" s="36">
        <f t="shared" si="9"/>
        <v>0</v>
      </c>
      <c r="BS781" s="38">
        <f t="shared" si="10"/>
        <v>1</v>
      </c>
      <c r="BT781" s="49">
        <f t="shared" si="11"/>
        <v>0</v>
      </c>
      <c r="BU781" s="38">
        <f t="shared" si="12"/>
        <v>1000</v>
      </c>
      <c r="BV781" s="46" t="str">
        <f>IFERROR(__xludf.DUMMYFUNCTION("""COMPUTED_VALUE"""),"Estrada")</f>
        <v>Estrada</v>
      </c>
      <c r="BW781" s="46">
        <f t="shared" si="13"/>
        <v>51</v>
      </c>
      <c r="BX781" s="47">
        <f t="shared" ref="BX781:CA781" si="2455">AX781-$BU781</f>
        <v>-1000</v>
      </c>
      <c r="BY781" s="47">
        <f t="shared" si="2455"/>
        <v>-1000</v>
      </c>
      <c r="BZ781" s="47">
        <f t="shared" si="2455"/>
        <v>-1000</v>
      </c>
      <c r="CA781" s="47">
        <f t="shared" si="2455"/>
        <v>-1000</v>
      </c>
      <c r="CB781" s="47">
        <f t="shared" si="15"/>
        <v>-10000</v>
      </c>
      <c r="CC781" s="47">
        <f t="shared" ref="CC781:CQ781" si="2456">BC781-$BU781</f>
        <v>-1000</v>
      </c>
      <c r="CD781" s="47">
        <f t="shared" si="2456"/>
        <v>-1000</v>
      </c>
      <c r="CE781" s="47">
        <f t="shared" si="2456"/>
        <v>-1000</v>
      </c>
      <c r="CF781" s="47">
        <f t="shared" si="2456"/>
        <v>-1000</v>
      </c>
      <c r="CG781" s="47">
        <f t="shared" si="2456"/>
        <v>-1000</v>
      </c>
      <c r="CH781" s="47">
        <f t="shared" si="2456"/>
        <v>-1000</v>
      </c>
      <c r="CI781" s="47">
        <f t="shared" si="2456"/>
        <v>-949</v>
      </c>
      <c r="CJ781" s="47">
        <f t="shared" si="2456"/>
        <v>-1000</v>
      </c>
      <c r="CK781" s="47">
        <f t="shared" si="2456"/>
        <v>-1000</v>
      </c>
      <c r="CL781" s="47">
        <f t="shared" si="2456"/>
        <v>-1000</v>
      </c>
      <c r="CM781" s="47">
        <f t="shared" si="2456"/>
        <v>-1000</v>
      </c>
      <c r="CN781" s="47">
        <f t="shared" si="2456"/>
        <v>-1000</v>
      </c>
      <c r="CO781" s="47">
        <f t="shared" si="2456"/>
        <v>-1000</v>
      </c>
      <c r="CP781" s="47">
        <f t="shared" si="2456"/>
        <v>-1000</v>
      </c>
      <c r="CQ781" s="47">
        <f t="shared" si="2456"/>
        <v>-1000</v>
      </c>
      <c r="CR781" s="47"/>
      <c r="CS781" s="47"/>
      <c r="CT781" s="47"/>
      <c r="CU781" s="74"/>
      <c r="CV781" s="74"/>
      <c r="CW781" s="74" t="str">
        <f>IFERROR(__xludf.DUMMYFUNCTION("IF(REGEXMATCH(UPPER(CU781), ""DALLAS""),,CU781)"),"")</f>
        <v/>
      </c>
      <c r="CX781" s="74"/>
      <c r="CY781" s="74"/>
      <c r="CZ781" s="74"/>
      <c r="DA781" s="75"/>
      <c r="DB781" s="74"/>
      <c r="DC781" s="74"/>
      <c r="DD781" s="74"/>
      <c r="DE781" s="74"/>
      <c r="DF781" s="74"/>
      <c r="DG781" s="74"/>
      <c r="DH781" s="74"/>
      <c r="DI781" s="74"/>
      <c r="DJ781" s="74"/>
      <c r="DK781" s="74"/>
      <c r="DL781" s="74"/>
      <c r="DM781" s="74"/>
      <c r="DN781" s="74"/>
      <c r="DO781" s="74"/>
      <c r="DP781" s="74"/>
      <c r="DQ781" s="74"/>
      <c r="DR781" s="74"/>
      <c r="DS781" s="74"/>
      <c r="DT781" s="74"/>
      <c r="DU781" s="74"/>
      <c r="DV781" s="74"/>
      <c r="DW781" s="74"/>
    </row>
    <row r="782">
      <c r="A782" s="22" t="s">
        <v>55</v>
      </c>
      <c r="B782" s="23" t="s">
        <v>56</v>
      </c>
      <c r="C782" s="31" t="s">
        <v>2014</v>
      </c>
      <c r="D782" s="25" t="str">
        <f>IFERROR(__xludf.DUMMYFUNCTION("SPLIT(C782,"" "")"),"Hunt,")</f>
        <v>Hunt,</v>
      </c>
      <c r="E782" s="22" t="str">
        <f>IFERROR(__xludf.DUMMYFUNCTION("""COMPUTED_VALUE"""),"Hunter
1900")</f>
        <v>Hunter
1900</v>
      </c>
      <c r="F782" s="22" t="str">
        <f>IFERROR(__xludf.DUMMYFUNCTION("""COMPUTED_VALUE"""),"N")</f>
        <v>N</v>
      </c>
      <c r="G782" s="22" t="str">
        <f>IFERROR(__xludf.DUMMYFUNCTION("""COMPUTED_VALUE"""),"Akard")</f>
        <v>Akard</v>
      </c>
      <c r="H782" s="22" t="str">
        <f>IFERROR(__xludf.DUMMYFUNCTION("""COMPUTED_VALUE"""),"St
Dallas,")</f>
        <v>St
Dallas,</v>
      </c>
      <c r="I782" s="22" t="str">
        <f>IFERROR(__xludf.DUMMYFUNCTION("""COMPUTED_VALUE"""),"TX")</f>
        <v>TX</v>
      </c>
      <c r="J782" s="22">
        <f>IFERROR(__xludf.DUMMYFUNCTION("""COMPUTED_VALUE"""),75201.0)</f>
        <v>75201</v>
      </c>
      <c r="K782" s="22"/>
      <c r="L782" s="22"/>
      <c r="M782" s="22"/>
      <c r="N782" s="22"/>
      <c r="O782" s="22"/>
      <c r="P782" s="22"/>
      <c r="Q782" s="22"/>
      <c r="R782" s="22"/>
      <c r="S782" s="22"/>
      <c r="T782" s="22"/>
      <c r="U782" s="24" t="str">
        <f>IFERROR(__xludf.DUMMYFUNCTION("SPLIT(E782,""01234567890"")"),"Hunter
")</f>
        <v>Hunter
</v>
      </c>
      <c r="V782" s="24" t="str">
        <f>IFERROR(__xludf.DUMMYFUNCTION("SPLIT(D782,"","")"),"Hunt")</f>
        <v>Hunt</v>
      </c>
      <c r="W782" s="25" t="str">
        <f t="shared" si="1"/>
        <v>HUNTER
 HUNT</v>
      </c>
      <c r="X782" s="22"/>
      <c r="Y782" s="22"/>
      <c r="Z782" s="25" t="str">
        <f>IFERROR(__xludf.DUMMYFUNCTION("SPLIT(C782,""
"")"),"Hunt, Hunter")</f>
        <v>Hunt, Hunter</v>
      </c>
      <c r="AA782" s="22" t="str">
        <f>IFERROR(__xludf.DUMMYFUNCTION("""COMPUTED_VALUE"""),"1900 N Akard St")</f>
        <v>1900 N Akard St</v>
      </c>
      <c r="AB782" s="22" t="str">
        <f>IFERROR(__xludf.DUMMYFUNCTION("""COMPUTED_VALUE"""),"Dallas, TX 75201")</f>
        <v>Dallas, TX 75201</v>
      </c>
      <c r="AC782" s="31" t="s">
        <v>778</v>
      </c>
      <c r="AD782" s="22"/>
      <c r="AE782" s="22"/>
      <c r="AF782" s="22"/>
      <c r="AG782" s="22" t="s">
        <v>60</v>
      </c>
      <c r="AH782" s="54">
        <v>2481.0</v>
      </c>
      <c r="AI782" s="22" t="s">
        <v>68</v>
      </c>
      <c r="AJ782" s="27">
        <v>5000.0</v>
      </c>
      <c r="AK782" s="31" t="s">
        <v>25</v>
      </c>
      <c r="AL782" s="28">
        <v>44911.0</v>
      </c>
      <c r="AM782" s="29">
        <v>44937.81995370371</v>
      </c>
      <c r="AN782" s="30">
        <v>2.0</v>
      </c>
      <c r="AO782" s="22"/>
      <c r="AP782" s="22"/>
      <c r="AQ782" s="22"/>
      <c r="AR782" s="22"/>
      <c r="AS782" s="22"/>
      <c r="AT782" s="70"/>
      <c r="AU782" s="22"/>
      <c r="AV782" s="57" t="str">
        <f>IFERROR(__xludf.DUMMYFUNCTION("""COMPUTED_VALUE"""),"Hunter")</f>
        <v>Hunter</v>
      </c>
      <c r="AW782" s="46">
        <f t="shared" si="7"/>
        <v>51</v>
      </c>
      <c r="AX782" s="47">
        <f t="shared" ref="AX782:BQ782" si="2457">SUMIFS($AJ:$AJ,$V:$V,$AV782,$AK:$AK,AX$2)</f>
        <v>0</v>
      </c>
      <c r="AY782" s="48">
        <f t="shared" si="2457"/>
        <v>0</v>
      </c>
      <c r="AZ782" s="48">
        <f t="shared" si="2457"/>
        <v>0</v>
      </c>
      <c r="BA782" s="48">
        <f t="shared" si="2457"/>
        <v>0</v>
      </c>
      <c r="BB782" s="48">
        <f t="shared" si="2457"/>
        <v>0</v>
      </c>
      <c r="BC782" s="48">
        <f t="shared" si="2457"/>
        <v>0</v>
      </c>
      <c r="BD782" s="48">
        <f t="shared" si="2457"/>
        <v>0</v>
      </c>
      <c r="BE782" s="48">
        <f t="shared" si="2457"/>
        <v>0</v>
      </c>
      <c r="BF782" s="48">
        <f t="shared" si="2457"/>
        <v>0</v>
      </c>
      <c r="BG782" s="48">
        <f t="shared" si="2457"/>
        <v>0</v>
      </c>
      <c r="BH782" s="48">
        <f t="shared" si="2457"/>
        <v>0</v>
      </c>
      <c r="BI782" s="48">
        <f t="shared" si="2457"/>
        <v>51</v>
      </c>
      <c r="BJ782" s="48">
        <f t="shared" si="2457"/>
        <v>0</v>
      </c>
      <c r="BK782" s="48">
        <f t="shared" si="2457"/>
        <v>0</v>
      </c>
      <c r="BL782" s="48">
        <f t="shared" si="2457"/>
        <v>0</v>
      </c>
      <c r="BM782" s="48">
        <f t="shared" si="2457"/>
        <v>0</v>
      </c>
      <c r="BN782" s="48">
        <f t="shared" si="2457"/>
        <v>0</v>
      </c>
      <c r="BO782" s="48">
        <f t="shared" si="2457"/>
        <v>0</v>
      </c>
      <c r="BP782" s="48">
        <f t="shared" si="2457"/>
        <v>0</v>
      </c>
      <c r="BQ782" s="48">
        <f t="shared" si="2457"/>
        <v>0</v>
      </c>
      <c r="BR782" s="36">
        <f t="shared" si="9"/>
        <v>0</v>
      </c>
      <c r="BS782" s="38">
        <f t="shared" si="10"/>
        <v>1</v>
      </c>
      <c r="BT782" s="49">
        <f t="shared" si="11"/>
        <v>0</v>
      </c>
      <c r="BU782" s="38">
        <f t="shared" si="12"/>
        <v>1000</v>
      </c>
      <c r="BV782" s="57" t="str">
        <f>IFERROR(__xludf.DUMMYFUNCTION("""COMPUTED_VALUE"""),"Hunter")</f>
        <v>Hunter</v>
      </c>
      <c r="BW782" s="46">
        <f t="shared" si="13"/>
        <v>51</v>
      </c>
      <c r="BX782" s="47">
        <f t="shared" ref="BX782:CA782" si="2458">AX782-$BU782</f>
        <v>-1000</v>
      </c>
      <c r="BY782" s="47">
        <f t="shared" si="2458"/>
        <v>-1000</v>
      </c>
      <c r="BZ782" s="47">
        <f t="shared" si="2458"/>
        <v>-1000</v>
      </c>
      <c r="CA782" s="47">
        <f t="shared" si="2458"/>
        <v>-1000</v>
      </c>
      <c r="CB782" s="47">
        <f t="shared" si="15"/>
        <v>-10000</v>
      </c>
      <c r="CC782" s="47">
        <f t="shared" ref="CC782:CQ782" si="2459">BC782-$BU782</f>
        <v>-1000</v>
      </c>
      <c r="CD782" s="47">
        <f t="shared" si="2459"/>
        <v>-1000</v>
      </c>
      <c r="CE782" s="47">
        <f t="shared" si="2459"/>
        <v>-1000</v>
      </c>
      <c r="CF782" s="47">
        <f t="shared" si="2459"/>
        <v>-1000</v>
      </c>
      <c r="CG782" s="47">
        <f t="shared" si="2459"/>
        <v>-1000</v>
      </c>
      <c r="CH782" s="47">
        <f t="shared" si="2459"/>
        <v>-1000</v>
      </c>
      <c r="CI782" s="47">
        <f t="shared" si="2459"/>
        <v>-949</v>
      </c>
      <c r="CJ782" s="47">
        <f t="shared" si="2459"/>
        <v>-1000</v>
      </c>
      <c r="CK782" s="47">
        <f t="shared" si="2459"/>
        <v>-1000</v>
      </c>
      <c r="CL782" s="47">
        <f t="shared" si="2459"/>
        <v>-1000</v>
      </c>
      <c r="CM782" s="47">
        <f t="shared" si="2459"/>
        <v>-1000</v>
      </c>
      <c r="CN782" s="47">
        <f t="shared" si="2459"/>
        <v>-1000</v>
      </c>
      <c r="CO782" s="47">
        <f t="shared" si="2459"/>
        <v>-1000</v>
      </c>
      <c r="CP782" s="47">
        <f t="shared" si="2459"/>
        <v>-1000</v>
      </c>
      <c r="CQ782" s="47">
        <f t="shared" si="2459"/>
        <v>-1000</v>
      </c>
      <c r="CR782" s="47"/>
      <c r="CS782" s="47"/>
      <c r="CT782" s="47"/>
      <c r="CU782" s="74"/>
      <c r="CV782" s="74"/>
      <c r="CW782" s="74" t="str">
        <f>IFERROR(__xludf.DUMMYFUNCTION("IF(REGEXMATCH(UPPER(CU782), ""DALLAS""),,CU782)"),"")</f>
        <v/>
      </c>
      <c r="CX782" s="74"/>
      <c r="CY782" s="74"/>
      <c r="CZ782" s="74"/>
      <c r="DA782" s="75"/>
      <c r="DB782" s="74"/>
      <c r="DC782" s="74"/>
      <c r="DD782" s="74"/>
      <c r="DE782" s="74"/>
      <c r="DF782" s="74"/>
      <c r="DG782" s="74"/>
      <c r="DH782" s="74"/>
      <c r="DI782" s="74"/>
      <c r="DJ782" s="74"/>
      <c r="DK782" s="74"/>
      <c r="DL782" s="74"/>
      <c r="DM782" s="74"/>
      <c r="DN782" s="74"/>
      <c r="DO782" s="74"/>
      <c r="DP782" s="74"/>
      <c r="DQ782" s="74"/>
      <c r="DR782" s="74"/>
      <c r="DS782" s="74"/>
      <c r="DT782" s="74"/>
      <c r="DU782" s="74"/>
      <c r="DV782" s="74"/>
      <c r="DW782" s="74"/>
    </row>
    <row r="783">
      <c r="A783" s="40" t="s">
        <v>55</v>
      </c>
      <c r="B783" s="41" t="s">
        <v>56</v>
      </c>
      <c r="C783" s="31" t="s">
        <v>2015</v>
      </c>
      <c r="D783" s="25" t="str">
        <f>IFERROR(__xludf.DUMMYFUNCTION("SPLIT(C783,"" "")"),"Hunt,")</f>
        <v>Hunt,</v>
      </c>
      <c r="E783" s="40" t="str">
        <f>IFERROR(__xludf.DUMMYFUNCTION("""COMPUTED_VALUE"""),"Nancy")</f>
        <v>Nancy</v>
      </c>
      <c r="F783" s="40" t="str">
        <f>IFERROR(__xludf.DUMMYFUNCTION("""COMPUTED_VALUE"""),"Ann
1900")</f>
        <v>Ann
1900</v>
      </c>
      <c r="G783" s="40" t="str">
        <f>IFERROR(__xludf.DUMMYFUNCTION("""COMPUTED_VALUE"""),"N")</f>
        <v>N</v>
      </c>
      <c r="H783" s="40" t="str">
        <f>IFERROR(__xludf.DUMMYFUNCTION("""COMPUTED_VALUE"""),"Akard")</f>
        <v>Akard</v>
      </c>
      <c r="I783" s="40" t="str">
        <f>IFERROR(__xludf.DUMMYFUNCTION("""COMPUTED_VALUE"""),"St
Dallas,")</f>
        <v>St
Dallas,</v>
      </c>
      <c r="J783" s="40" t="str">
        <f>IFERROR(__xludf.DUMMYFUNCTION("""COMPUTED_VALUE"""),"TX")</f>
        <v>TX</v>
      </c>
      <c r="K783" s="40">
        <f>IFERROR(__xludf.DUMMYFUNCTION("""COMPUTED_VALUE"""),75201.0)</f>
        <v>75201</v>
      </c>
      <c r="L783" s="40"/>
      <c r="M783" s="40"/>
      <c r="N783" s="40"/>
      <c r="O783" s="40"/>
      <c r="P783" s="40"/>
      <c r="Q783" s="40"/>
      <c r="R783" s="40"/>
      <c r="S783" s="40"/>
      <c r="T783" s="40"/>
      <c r="U783" s="24" t="str">
        <f>IFERROR(__xludf.DUMMYFUNCTION("SPLIT(E783,""01234567890"")"),"Nancy")</f>
        <v>Nancy</v>
      </c>
      <c r="V783" s="24" t="str">
        <f>IFERROR(__xludf.DUMMYFUNCTION("SPLIT(D783,"","")"),"Hunt")</f>
        <v>Hunt</v>
      </c>
      <c r="W783" s="25" t="str">
        <f t="shared" si="1"/>
        <v>NANCY HUNT</v>
      </c>
      <c r="X783" s="40"/>
      <c r="Y783" s="40"/>
      <c r="Z783" s="25" t="str">
        <f>IFERROR(__xludf.DUMMYFUNCTION("SPLIT(C783,""
"")"),"Hunt, Nancy Ann")</f>
        <v>Hunt, Nancy Ann</v>
      </c>
      <c r="AA783" s="40" t="str">
        <f>IFERROR(__xludf.DUMMYFUNCTION("""COMPUTED_VALUE"""),"1900 N Akard St")</f>
        <v>1900 N Akard St</v>
      </c>
      <c r="AB783" s="40" t="str">
        <f>IFERROR(__xludf.DUMMYFUNCTION("""COMPUTED_VALUE"""),"Dallas, TX 75201")</f>
        <v>Dallas, TX 75201</v>
      </c>
      <c r="AC783" s="31" t="s">
        <v>2016</v>
      </c>
      <c r="AD783" s="40"/>
      <c r="AE783" s="40"/>
      <c r="AF783" s="40"/>
      <c r="AG783" s="40" t="s">
        <v>60</v>
      </c>
      <c r="AH783" s="42">
        <v>2481.0</v>
      </c>
      <c r="AI783" s="40" t="s">
        <v>68</v>
      </c>
      <c r="AJ783" s="27">
        <v>5000.0</v>
      </c>
      <c r="AK783" s="31" t="s">
        <v>25</v>
      </c>
      <c r="AL783" s="43">
        <v>44909.0</v>
      </c>
      <c r="AM783" s="44">
        <v>44937.81995370371</v>
      </c>
      <c r="AN783" s="30">
        <v>2.0</v>
      </c>
      <c r="AO783" s="40"/>
      <c r="AP783" s="40"/>
      <c r="AQ783" s="40"/>
      <c r="AR783" s="40"/>
      <c r="AS783" s="40"/>
      <c r="AT783" s="47"/>
      <c r="AU783" s="40"/>
      <c r="AV783" s="46" t="str">
        <f>IFERROR(__xludf.DUMMYFUNCTION("""COMPUTED_VALUE"""),"Kanthor")</f>
        <v>Kanthor</v>
      </c>
      <c r="AW783" s="46">
        <f t="shared" si="7"/>
        <v>10</v>
      </c>
      <c r="AX783" s="47">
        <f t="shared" ref="AX783:BQ783" si="2460">SUMIFS($AJ:$AJ,$V:$V,$AV783,$AK:$AK,AX$2)</f>
        <v>0</v>
      </c>
      <c r="AY783" s="48">
        <f t="shared" si="2460"/>
        <v>0</v>
      </c>
      <c r="AZ783" s="48">
        <f t="shared" si="2460"/>
        <v>0</v>
      </c>
      <c r="BA783" s="48">
        <f t="shared" si="2460"/>
        <v>0</v>
      </c>
      <c r="BB783" s="48">
        <f t="shared" si="2460"/>
        <v>0</v>
      </c>
      <c r="BC783" s="48">
        <f t="shared" si="2460"/>
        <v>0</v>
      </c>
      <c r="BD783" s="48">
        <f t="shared" si="2460"/>
        <v>0</v>
      </c>
      <c r="BE783" s="48">
        <f t="shared" si="2460"/>
        <v>0</v>
      </c>
      <c r="BF783" s="48">
        <f t="shared" si="2460"/>
        <v>0</v>
      </c>
      <c r="BG783" s="48">
        <f t="shared" si="2460"/>
        <v>0</v>
      </c>
      <c r="BH783" s="48">
        <f t="shared" si="2460"/>
        <v>0</v>
      </c>
      <c r="BI783" s="48">
        <f t="shared" si="2460"/>
        <v>10</v>
      </c>
      <c r="BJ783" s="48">
        <f t="shared" si="2460"/>
        <v>0</v>
      </c>
      <c r="BK783" s="48">
        <f t="shared" si="2460"/>
        <v>0</v>
      </c>
      <c r="BL783" s="48">
        <f t="shared" si="2460"/>
        <v>0</v>
      </c>
      <c r="BM783" s="48">
        <f t="shared" si="2460"/>
        <v>0</v>
      </c>
      <c r="BN783" s="48">
        <f t="shared" si="2460"/>
        <v>0</v>
      </c>
      <c r="BO783" s="48">
        <f t="shared" si="2460"/>
        <v>0</v>
      </c>
      <c r="BP783" s="48">
        <f t="shared" si="2460"/>
        <v>0</v>
      </c>
      <c r="BQ783" s="48">
        <f t="shared" si="2460"/>
        <v>0</v>
      </c>
      <c r="BR783" s="36">
        <f t="shared" si="9"/>
        <v>0</v>
      </c>
      <c r="BS783" s="38">
        <f t="shared" si="10"/>
        <v>1</v>
      </c>
      <c r="BT783" s="49">
        <f t="shared" si="11"/>
        <v>0</v>
      </c>
      <c r="BU783" s="38">
        <f t="shared" si="12"/>
        <v>1000</v>
      </c>
      <c r="BV783" s="46" t="str">
        <f>IFERROR(__xludf.DUMMYFUNCTION("""COMPUTED_VALUE"""),"Kanthor")</f>
        <v>Kanthor</v>
      </c>
      <c r="BW783" s="46">
        <f t="shared" si="13"/>
        <v>10</v>
      </c>
      <c r="BX783" s="47">
        <f t="shared" ref="BX783:CA783" si="2461">AX783-$BU783</f>
        <v>-1000</v>
      </c>
      <c r="BY783" s="47">
        <f t="shared" si="2461"/>
        <v>-1000</v>
      </c>
      <c r="BZ783" s="47">
        <f t="shared" si="2461"/>
        <v>-1000</v>
      </c>
      <c r="CA783" s="47">
        <f t="shared" si="2461"/>
        <v>-1000</v>
      </c>
      <c r="CB783" s="47">
        <f t="shared" si="15"/>
        <v>-10000</v>
      </c>
      <c r="CC783" s="47">
        <f t="shared" ref="CC783:CQ783" si="2462">BC783-$BU783</f>
        <v>-1000</v>
      </c>
      <c r="CD783" s="47">
        <f t="shared" si="2462"/>
        <v>-1000</v>
      </c>
      <c r="CE783" s="47">
        <f t="shared" si="2462"/>
        <v>-1000</v>
      </c>
      <c r="CF783" s="47">
        <f t="shared" si="2462"/>
        <v>-1000</v>
      </c>
      <c r="CG783" s="47">
        <f t="shared" si="2462"/>
        <v>-1000</v>
      </c>
      <c r="CH783" s="47">
        <f t="shared" si="2462"/>
        <v>-1000</v>
      </c>
      <c r="CI783" s="47">
        <f t="shared" si="2462"/>
        <v>-990</v>
      </c>
      <c r="CJ783" s="47">
        <f t="shared" si="2462"/>
        <v>-1000</v>
      </c>
      <c r="CK783" s="47">
        <f t="shared" si="2462"/>
        <v>-1000</v>
      </c>
      <c r="CL783" s="47">
        <f t="shared" si="2462"/>
        <v>-1000</v>
      </c>
      <c r="CM783" s="47">
        <f t="shared" si="2462"/>
        <v>-1000</v>
      </c>
      <c r="CN783" s="47">
        <f t="shared" si="2462"/>
        <v>-1000</v>
      </c>
      <c r="CO783" s="47">
        <f t="shared" si="2462"/>
        <v>-1000</v>
      </c>
      <c r="CP783" s="47">
        <f t="shared" si="2462"/>
        <v>-1000</v>
      </c>
      <c r="CQ783" s="47">
        <f t="shared" si="2462"/>
        <v>-1000</v>
      </c>
      <c r="CR783" s="47"/>
      <c r="CS783" s="47"/>
      <c r="CT783" s="47"/>
      <c r="CU783" s="74"/>
      <c r="CV783" s="74"/>
      <c r="CW783" s="74" t="str">
        <f>IFERROR(__xludf.DUMMYFUNCTION("IF(REGEXMATCH(UPPER(CU783), ""DALLAS""),,CU783)"),"")</f>
        <v/>
      </c>
      <c r="CX783" s="74"/>
      <c r="CY783" s="74"/>
      <c r="CZ783" s="74"/>
      <c r="DA783" s="75"/>
      <c r="DB783" s="74"/>
      <c r="DC783" s="74"/>
      <c r="DD783" s="74"/>
      <c r="DE783" s="74"/>
      <c r="DF783" s="74"/>
      <c r="DG783" s="74"/>
      <c r="DH783" s="74"/>
      <c r="DI783" s="74"/>
      <c r="DJ783" s="74"/>
      <c r="DK783" s="74"/>
      <c r="DL783" s="74"/>
      <c r="DM783" s="74"/>
      <c r="DN783" s="74"/>
      <c r="DO783" s="74"/>
      <c r="DP783" s="74"/>
      <c r="DQ783" s="74"/>
      <c r="DR783" s="74"/>
      <c r="DS783" s="74"/>
      <c r="DT783" s="74"/>
      <c r="DU783" s="74"/>
      <c r="DV783" s="74"/>
      <c r="DW783" s="74"/>
    </row>
    <row r="784">
      <c r="A784" s="22" t="s">
        <v>55</v>
      </c>
      <c r="B784" s="23" t="s">
        <v>56</v>
      </c>
      <c r="C784" s="31" t="s">
        <v>2017</v>
      </c>
      <c r="D784" s="25" t="str">
        <f>IFERROR(__xludf.DUMMYFUNCTION("SPLIT(C784,"" "")"),"Kleinert,")</f>
        <v>Kleinert,</v>
      </c>
      <c r="E784" s="22" t="str">
        <f>IFERROR(__xludf.DUMMYFUNCTION("""COMPUTED_VALUE"""),"Chris
1900")</f>
        <v>Chris
1900</v>
      </c>
      <c r="F784" s="22" t="str">
        <f>IFERROR(__xludf.DUMMYFUNCTION("""COMPUTED_VALUE"""),"N")</f>
        <v>N</v>
      </c>
      <c r="G784" s="22" t="str">
        <f>IFERROR(__xludf.DUMMYFUNCTION("""COMPUTED_VALUE"""),"Akard")</f>
        <v>Akard</v>
      </c>
      <c r="H784" s="22" t="str">
        <f>IFERROR(__xludf.DUMMYFUNCTION("""COMPUTED_VALUE"""),"St
Dallas,")</f>
        <v>St
Dallas,</v>
      </c>
      <c r="I784" s="22" t="str">
        <f>IFERROR(__xludf.DUMMYFUNCTION("""COMPUTED_VALUE"""),"TX")</f>
        <v>TX</v>
      </c>
      <c r="J784" s="22">
        <f>IFERROR(__xludf.DUMMYFUNCTION("""COMPUTED_VALUE"""),75201.0)</f>
        <v>75201</v>
      </c>
      <c r="K784" s="22"/>
      <c r="L784" s="22"/>
      <c r="M784" s="22"/>
      <c r="N784" s="22"/>
      <c r="O784" s="22"/>
      <c r="P784" s="22"/>
      <c r="Q784" s="22"/>
      <c r="R784" s="22"/>
      <c r="S784" s="22"/>
      <c r="T784" s="22"/>
      <c r="U784" s="24" t="str">
        <f>IFERROR(__xludf.DUMMYFUNCTION("SPLIT(E784,""01234567890"")"),"Chris
")</f>
        <v>Chris
</v>
      </c>
      <c r="V784" s="24" t="str">
        <f>IFERROR(__xludf.DUMMYFUNCTION("SPLIT(D784,"","")"),"Kleinert")</f>
        <v>Kleinert</v>
      </c>
      <c r="W784" s="25" t="str">
        <f t="shared" si="1"/>
        <v>CHRIS
 KLEINERT</v>
      </c>
      <c r="X784" s="22"/>
      <c r="Y784" s="22"/>
      <c r="Z784" s="25" t="str">
        <f>IFERROR(__xludf.DUMMYFUNCTION("SPLIT(C784,""
"")"),"Kleinert, Chris")</f>
        <v>Kleinert, Chris</v>
      </c>
      <c r="AA784" s="22" t="str">
        <f>IFERROR(__xludf.DUMMYFUNCTION("""COMPUTED_VALUE"""),"1900 N Akard St")</f>
        <v>1900 N Akard St</v>
      </c>
      <c r="AB784" s="22" t="str">
        <f>IFERROR(__xludf.DUMMYFUNCTION("""COMPUTED_VALUE"""),"Dallas, TX 75201")</f>
        <v>Dallas, TX 75201</v>
      </c>
      <c r="AC784" s="31" t="s">
        <v>2018</v>
      </c>
      <c r="AD784" s="22"/>
      <c r="AE784" s="22"/>
      <c r="AF784" s="22"/>
      <c r="AG784" s="22" t="s">
        <v>60</v>
      </c>
      <c r="AH784" s="54">
        <v>2481.0</v>
      </c>
      <c r="AI784" s="22" t="s">
        <v>68</v>
      </c>
      <c r="AJ784" s="27">
        <v>5000.0</v>
      </c>
      <c r="AK784" s="31" t="s">
        <v>25</v>
      </c>
      <c r="AL784" s="28">
        <v>44911.0</v>
      </c>
      <c r="AM784" s="29">
        <v>44937.81995370371</v>
      </c>
      <c r="AN784" s="30">
        <v>2.0</v>
      </c>
      <c r="AO784" s="22"/>
      <c r="AP784" s="22"/>
      <c r="AQ784" s="22"/>
      <c r="AR784" s="22"/>
      <c r="AS784" s="22"/>
      <c r="AT784" s="70"/>
      <c r="AU784" s="22"/>
      <c r="AV784" s="57" t="str">
        <f>IFERROR(__xludf.DUMMYFUNCTION("""COMPUTED_VALUE"""),"Reiss")</f>
        <v>Reiss</v>
      </c>
      <c r="AW784" s="46">
        <f t="shared" si="7"/>
        <v>50</v>
      </c>
      <c r="AX784" s="47">
        <f t="shared" ref="AX784:BQ784" si="2463">SUMIFS($AJ:$AJ,$V:$V,$AV784,$AK:$AK,AX$2)</f>
        <v>0</v>
      </c>
      <c r="AY784" s="48">
        <f t="shared" si="2463"/>
        <v>0</v>
      </c>
      <c r="AZ784" s="48">
        <f t="shared" si="2463"/>
        <v>0</v>
      </c>
      <c r="BA784" s="48">
        <f t="shared" si="2463"/>
        <v>0</v>
      </c>
      <c r="BB784" s="48">
        <f t="shared" si="2463"/>
        <v>0</v>
      </c>
      <c r="BC784" s="48">
        <f t="shared" si="2463"/>
        <v>0</v>
      </c>
      <c r="BD784" s="48">
        <f t="shared" si="2463"/>
        <v>0</v>
      </c>
      <c r="BE784" s="48">
        <f t="shared" si="2463"/>
        <v>0</v>
      </c>
      <c r="BF784" s="48">
        <f t="shared" si="2463"/>
        <v>0</v>
      </c>
      <c r="BG784" s="48">
        <f t="shared" si="2463"/>
        <v>0</v>
      </c>
      <c r="BH784" s="48">
        <f t="shared" si="2463"/>
        <v>0</v>
      </c>
      <c r="BI784" s="48">
        <f t="shared" si="2463"/>
        <v>50</v>
      </c>
      <c r="BJ784" s="48">
        <f t="shared" si="2463"/>
        <v>0</v>
      </c>
      <c r="BK784" s="48">
        <f t="shared" si="2463"/>
        <v>0</v>
      </c>
      <c r="BL784" s="48">
        <f t="shared" si="2463"/>
        <v>0</v>
      </c>
      <c r="BM784" s="48">
        <f t="shared" si="2463"/>
        <v>0</v>
      </c>
      <c r="BN784" s="48">
        <f t="shared" si="2463"/>
        <v>0</v>
      </c>
      <c r="BO784" s="48">
        <f t="shared" si="2463"/>
        <v>0</v>
      </c>
      <c r="BP784" s="48">
        <f t="shared" si="2463"/>
        <v>0</v>
      </c>
      <c r="BQ784" s="48">
        <f t="shared" si="2463"/>
        <v>0</v>
      </c>
      <c r="BR784" s="36">
        <f t="shared" si="9"/>
        <v>0</v>
      </c>
      <c r="BS784" s="38">
        <f t="shared" si="10"/>
        <v>1</v>
      </c>
      <c r="BT784" s="49">
        <f t="shared" si="11"/>
        <v>0</v>
      </c>
      <c r="BU784" s="38">
        <f t="shared" si="12"/>
        <v>1000</v>
      </c>
      <c r="BV784" s="57" t="str">
        <f>IFERROR(__xludf.DUMMYFUNCTION("""COMPUTED_VALUE"""),"Reiss")</f>
        <v>Reiss</v>
      </c>
      <c r="BW784" s="46">
        <f t="shared" si="13"/>
        <v>50</v>
      </c>
      <c r="BX784" s="47">
        <f t="shared" ref="BX784:CA784" si="2464">AX784-$BU784</f>
        <v>-1000</v>
      </c>
      <c r="BY784" s="47">
        <f t="shared" si="2464"/>
        <v>-1000</v>
      </c>
      <c r="BZ784" s="47">
        <f t="shared" si="2464"/>
        <v>-1000</v>
      </c>
      <c r="CA784" s="47">
        <f t="shared" si="2464"/>
        <v>-1000</v>
      </c>
      <c r="CB784" s="47">
        <f t="shared" si="15"/>
        <v>-10000</v>
      </c>
      <c r="CC784" s="47">
        <f t="shared" ref="CC784:CQ784" si="2465">BC784-$BU784</f>
        <v>-1000</v>
      </c>
      <c r="CD784" s="47">
        <f t="shared" si="2465"/>
        <v>-1000</v>
      </c>
      <c r="CE784" s="47">
        <f t="shared" si="2465"/>
        <v>-1000</v>
      </c>
      <c r="CF784" s="47">
        <f t="shared" si="2465"/>
        <v>-1000</v>
      </c>
      <c r="CG784" s="47">
        <f t="shared" si="2465"/>
        <v>-1000</v>
      </c>
      <c r="CH784" s="47">
        <f t="shared" si="2465"/>
        <v>-1000</v>
      </c>
      <c r="CI784" s="47">
        <f t="shared" si="2465"/>
        <v>-950</v>
      </c>
      <c r="CJ784" s="47">
        <f t="shared" si="2465"/>
        <v>-1000</v>
      </c>
      <c r="CK784" s="47">
        <f t="shared" si="2465"/>
        <v>-1000</v>
      </c>
      <c r="CL784" s="47">
        <f t="shared" si="2465"/>
        <v>-1000</v>
      </c>
      <c r="CM784" s="47">
        <f t="shared" si="2465"/>
        <v>-1000</v>
      </c>
      <c r="CN784" s="47">
        <f t="shared" si="2465"/>
        <v>-1000</v>
      </c>
      <c r="CO784" s="47">
        <f t="shared" si="2465"/>
        <v>-1000</v>
      </c>
      <c r="CP784" s="47">
        <f t="shared" si="2465"/>
        <v>-1000</v>
      </c>
      <c r="CQ784" s="47">
        <f t="shared" si="2465"/>
        <v>-1000</v>
      </c>
      <c r="CR784" s="47"/>
      <c r="CS784" s="47"/>
      <c r="CT784" s="47"/>
      <c r="CU784" s="74"/>
      <c r="CV784" s="74"/>
      <c r="CW784" s="74" t="str">
        <f>IFERROR(__xludf.DUMMYFUNCTION("IF(REGEXMATCH(UPPER(CU784), ""DALLAS""),,CU784)"),"")</f>
        <v/>
      </c>
      <c r="CX784" s="74"/>
      <c r="CY784" s="74"/>
      <c r="CZ784" s="74"/>
      <c r="DA784" s="75"/>
      <c r="DB784" s="74"/>
      <c r="DC784" s="74"/>
      <c r="DD784" s="74"/>
      <c r="DE784" s="74"/>
      <c r="DF784" s="74"/>
      <c r="DG784" s="74"/>
      <c r="DH784" s="74"/>
      <c r="DI784" s="74"/>
      <c r="DJ784" s="74"/>
      <c r="DK784" s="74"/>
      <c r="DL784" s="74"/>
      <c r="DM784" s="74"/>
      <c r="DN784" s="74"/>
      <c r="DO784" s="74"/>
      <c r="DP784" s="74"/>
      <c r="DQ784" s="74"/>
      <c r="DR784" s="74"/>
      <c r="DS784" s="74"/>
      <c r="DT784" s="74"/>
      <c r="DU784" s="74"/>
      <c r="DV784" s="74"/>
      <c r="DW784" s="74"/>
    </row>
    <row r="785">
      <c r="A785" s="40" t="s">
        <v>55</v>
      </c>
      <c r="B785" s="41" t="s">
        <v>56</v>
      </c>
      <c r="C785" s="31" t="s">
        <v>2019</v>
      </c>
      <c r="D785" s="25" t="str">
        <f>IFERROR(__xludf.DUMMYFUNCTION("SPLIT(C785,"" "")"),"Meurer,")</f>
        <v>Meurer,</v>
      </c>
      <c r="E785" s="40" t="str">
        <f>IFERROR(__xludf.DUMMYFUNCTION("""COMPUTED_VALUE"""),"Tom
5818")</f>
        <v>Tom
5818</v>
      </c>
      <c r="F785" s="40" t="str">
        <f>IFERROR(__xludf.DUMMYFUNCTION("""COMPUTED_VALUE"""),"Bent")</f>
        <v>Bent</v>
      </c>
      <c r="G785" s="40" t="str">
        <f>IFERROR(__xludf.DUMMYFUNCTION("""COMPUTED_VALUE"""),"Trail
Dallas,")</f>
        <v>Trail
Dallas,</v>
      </c>
      <c r="H785" s="40" t="str">
        <f>IFERROR(__xludf.DUMMYFUNCTION("""COMPUTED_VALUE"""),"TX")</f>
        <v>TX</v>
      </c>
      <c r="I785" s="40">
        <f>IFERROR(__xludf.DUMMYFUNCTION("""COMPUTED_VALUE"""),75248.0)</f>
        <v>75248</v>
      </c>
      <c r="J785" s="40"/>
      <c r="K785" s="40"/>
      <c r="L785" s="40"/>
      <c r="M785" s="40"/>
      <c r="N785" s="40"/>
      <c r="O785" s="40"/>
      <c r="P785" s="40"/>
      <c r="Q785" s="40"/>
      <c r="R785" s="40"/>
      <c r="S785" s="40"/>
      <c r="T785" s="40"/>
      <c r="U785" s="24" t="str">
        <f>IFERROR(__xludf.DUMMYFUNCTION("SPLIT(E785,""01234567890"")"),"Tom
")</f>
        <v>Tom
</v>
      </c>
      <c r="V785" s="24" t="str">
        <f>IFERROR(__xludf.DUMMYFUNCTION("SPLIT(D785,"","")"),"Meurer")</f>
        <v>Meurer</v>
      </c>
      <c r="W785" s="25" t="str">
        <f t="shared" si="1"/>
        <v>TOM
 MEURER</v>
      </c>
      <c r="X785" s="40"/>
      <c r="Y785" s="40"/>
      <c r="Z785" s="25" t="str">
        <f>IFERROR(__xludf.DUMMYFUNCTION("SPLIT(C785,""
"")"),"Meurer, Tom")</f>
        <v>Meurer, Tom</v>
      </c>
      <c r="AA785" s="40" t="str">
        <f>IFERROR(__xludf.DUMMYFUNCTION("""COMPUTED_VALUE"""),"5818 Bent Trail")</f>
        <v>5818 Bent Trail</v>
      </c>
      <c r="AB785" s="40" t="str">
        <f>IFERROR(__xludf.DUMMYFUNCTION("""COMPUTED_VALUE"""),"Dallas, TX 75248")</f>
        <v>Dallas, TX 75248</v>
      </c>
      <c r="AC785" s="31" t="s">
        <v>2020</v>
      </c>
      <c r="AD785" s="40"/>
      <c r="AE785" s="40"/>
      <c r="AF785" s="40"/>
      <c r="AG785" s="40" t="s">
        <v>60</v>
      </c>
      <c r="AH785" s="42">
        <v>2481.0</v>
      </c>
      <c r="AI785" s="40" t="s">
        <v>68</v>
      </c>
      <c r="AJ785" s="27">
        <v>5000.0</v>
      </c>
      <c r="AK785" s="31" t="s">
        <v>25</v>
      </c>
      <c r="AL785" s="43">
        <v>44885.0</v>
      </c>
      <c r="AM785" s="44">
        <v>44937.81995370371</v>
      </c>
      <c r="AN785" s="30">
        <v>2.0</v>
      </c>
      <c r="AO785" s="40"/>
      <c r="AP785" s="40"/>
      <c r="AQ785" s="40"/>
      <c r="AR785" s="40"/>
      <c r="AS785" s="40"/>
      <c r="AT785" s="47"/>
      <c r="AU785" s="40"/>
      <c r="AV785" s="46" t="str">
        <f>IFERROR(__xludf.DUMMYFUNCTION("""COMPUTED_VALUE"""),"Grazzini")</f>
        <v>Grazzini</v>
      </c>
      <c r="AW785" s="46">
        <f t="shared" si="7"/>
        <v>102</v>
      </c>
      <c r="AX785" s="47">
        <f t="shared" ref="AX785:BQ785" si="2466">SUMIFS($AJ:$AJ,$V:$V,$AV785,$AK:$AK,AX$2)</f>
        <v>0</v>
      </c>
      <c r="AY785" s="48">
        <f t="shared" si="2466"/>
        <v>0</v>
      </c>
      <c r="AZ785" s="48">
        <f t="shared" si="2466"/>
        <v>0</v>
      </c>
      <c r="BA785" s="48">
        <f t="shared" si="2466"/>
        <v>0</v>
      </c>
      <c r="BB785" s="48">
        <f t="shared" si="2466"/>
        <v>0</v>
      </c>
      <c r="BC785" s="48">
        <f t="shared" si="2466"/>
        <v>0</v>
      </c>
      <c r="BD785" s="48">
        <f t="shared" si="2466"/>
        <v>0</v>
      </c>
      <c r="BE785" s="48">
        <f t="shared" si="2466"/>
        <v>0</v>
      </c>
      <c r="BF785" s="48">
        <f t="shared" si="2466"/>
        <v>0</v>
      </c>
      <c r="BG785" s="48">
        <f t="shared" si="2466"/>
        <v>0</v>
      </c>
      <c r="BH785" s="48">
        <f t="shared" si="2466"/>
        <v>0</v>
      </c>
      <c r="BI785" s="48">
        <f t="shared" si="2466"/>
        <v>102</v>
      </c>
      <c r="BJ785" s="48">
        <f t="shared" si="2466"/>
        <v>0</v>
      </c>
      <c r="BK785" s="48">
        <f t="shared" si="2466"/>
        <v>0</v>
      </c>
      <c r="BL785" s="48">
        <f t="shared" si="2466"/>
        <v>0</v>
      </c>
      <c r="BM785" s="48">
        <f t="shared" si="2466"/>
        <v>0</v>
      </c>
      <c r="BN785" s="48">
        <f t="shared" si="2466"/>
        <v>0</v>
      </c>
      <c r="BO785" s="48">
        <f t="shared" si="2466"/>
        <v>0</v>
      </c>
      <c r="BP785" s="48">
        <f t="shared" si="2466"/>
        <v>0</v>
      </c>
      <c r="BQ785" s="48">
        <f t="shared" si="2466"/>
        <v>0</v>
      </c>
      <c r="BR785" s="36">
        <f t="shared" si="9"/>
        <v>0</v>
      </c>
      <c r="BS785" s="38">
        <f t="shared" si="10"/>
        <v>1</v>
      </c>
      <c r="BT785" s="49">
        <f t="shared" si="11"/>
        <v>0</v>
      </c>
      <c r="BU785" s="38">
        <f t="shared" si="12"/>
        <v>1000</v>
      </c>
      <c r="BV785" s="46" t="str">
        <f>IFERROR(__xludf.DUMMYFUNCTION("""COMPUTED_VALUE"""),"Grazzini")</f>
        <v>Grazzini</v>
      </c>
      <c r="BW785" s="46">
        <f t="shared" si="13"/>
        <v>102</v>
      </c>
      <c r="BX785" s="47">
        <f t="shared" ref="BX785:CA785" si="2467">AX785-$BU785</f>
        <v>-1000</v>
      </c>
      <c r="BY785" s="47">
        <f t="shared" si="2467"/>
        <v>-1000</v>
      </c>
      <c r="BZ785" s="47">
        <f t="shared" si="2467"/>
        <v>-1000</v>
      </c>
      <c r="CA785" s="47">
        <f t="shared" si="2467"/>
        <v>-1000</v>
      </c>
      <c r="CB785" s="47">
        <f t="shared" si="15"/>
        <v>-10000</v>
      </c>
      <c r="CC785" s="47">
        <f t="shared" ref="CC785:CQ785" si="2468">BC785-$BU785</f>
        <v>-1000</v>
      </c>
      <c r="CD785" s="47">
        <f t="shared" si="2468"/>
        <v>-1000</v>
      </c>
      <c r="CE785" s="47">
        <f t="shared" si="2468"/>
        <v>-1000</v>
      </c>
      <c r="CF785" s="47">
        <f t="shared" si="2468"/>
        <v>-1000</v>
      </c>
      <c r="CG785" s="47">
        <f t="shared" si="2468"/>
        <v>-1000</v>
      </c>
      <c r="CH785" s="47">
        <f t="shared" si="2468"/>
        <v>-1000</v>
      </c>
      <c r="CI785" s="47">
        <f t="shared" si="2468"/>
        <v>-898</v>
      </c>
      <c r="CJ785" s="47">
        <f t="shared" si="2468"/>
        <v>-1000</v>
      </c>
      <c r="CK785" s="47">
        <f t="shared" si="2468"/>
        <v>-1000</v>
      </c>
      <c r="CL785" s="47">
        <f t="shared" si="2468"/>
        <v>-1000</v>
      </c>
      <c r="CM785" s="47">
        <f t="shared" si="2468"/>
        <v>-1000</v>
      </c>
      <c r="CN785" s="47">
        <f t="shared" si="2468"/>
        <v>-1000</v>
      </c>
      <c r="CO785" s="47">
        <f t="shared" si="2468"/>
        <v>-1000</v>
      </c>
      <c r="CP785" s="47">
        <f t="shared" si="2468"/>
        <v>-1000</v>
      </c>
      <c r="CQ785" s="47">
        <f t="shared" si="2468"/>
        <v>-1000</v>
      </c>
      <c r="CR785" s="47"/>
      <c r="CS785" s="47"/>
      <c r="CT785" s="47"/>
      <c r="CU785" s="74"/>
      <c r="CV785" s="74"/>
      <c r="CW785" s="74" t="str">
        <f>IFERROR(__xludf.DUMMYFUNCTION("IF(REGEXMATCH(UPPER(CU785), ""DALLAS""),,CU785)"),"")</f>
        <v/>
      </c>
      <c r="CX785" s="74"/>
      <c r="CY785" s="74"/>
      <c r="CZ785" s="74"/>
      <c r="DA785" s="75"/>
      <c r="DB785" s="74"/>
      <c r="DC785" s="74"/>
      <c r="DD785" s="74"/>
      <c r="DE785" s="74"/>
      <c r="DF785" s="74"/>
      <c r="DG785" s="74"/>
      <c r="DH785" s="74"/>
      <c r="DI785" s="74"/>
      <c r="DJ785" s="74"/>
      <c r="DK785" s="74"/>
      <c r="DL785" s="74"/>
      <c r="DM785" s="74"/>
      <c r="DN785" s="74"/>
      <c r="DO785" s="74"/>
      <c r="DP785" s="74"/>
      <c r="DQ785" s="74"/>
      <c r="DR785" s="74"/>
      <c r="DS785" s="74"/>
      <c r="DT785" s="74"/>
      <c r="DU785" s="74"/>
      <c r="DV785" s="74"/>
      <c r="DW785" s="74"/>
    </row>
    <row r="786">
      <c r="A786" s="22" t="s">
        <v>55</v>
      </c>
      <c r="B786" s="23" t="s">
        <v>56</v>
      </c>
      <c r="C786" s="31" t="s">
        <v>2021</v>
      </c>
      <c r="D786" s="25" t="str">
        <f>IFERROR(__xludf.DUMMYFUNCTION("SPLIT(C786,"" "")"),"Myers,")</f>
        <v>Myers,</v>
      </c>
      <c r="E786" s="22" t="str">
        <f>IFERROR(__xludf.DUMMYFUNCTION("""COMPUTED_VALUE"""),"Mike
4009")</f>
        <v>Mike
4009</v>
      </c>
      <c r="F786" s="22" t="str">
        <f>IFERROR(__xludf.DUMMYFUNCTION("""COMPUTED_VALUE"""),"Miramar")</f>
        <v>Miramar</v>
      </c>
      <c r="G786" s="22" t="str">
        <f>IFERROR(__xludf.DUMMYFUNCTION("""COMPUTED_VALUE"""),"Ave
Dallas,")</f>
        <v>Ave
Dallas,</v>
      </c>
      <c r="H786" s="22" t="str">
        <f>IFERROR(__xludf.DUMMYFUNCTION("""COMPUTED_VALUE"""),"TX")</f>
        <v>TX</v>
      </c>
      <c r="I786" s="22">
        <f>IFERROR(__xludf.DUMMYFUNCTION("""COMPUTED_VALUE"""),75205.0)</f>
        <v>75205</v>
      </c>
      <c r="J786" s="22"/>
      <c r="K786" s="22"/>
      <c r="L786" s="22"/>
      <c r="M786" s="22"/>
      <c r="N786" s="22"/>
      <c r="O786" s="22"/>
      <c r="P786" s="22"/>
      <c r="Q786" s="22"/>
      <c r="R786" s="22"/>
      <c r="S786" s="22"/>
      <c r="T786" s="22"/>
      <c r="U786" s="24" t="str">
        <f>IFERROR(__xludf.DUMMYFUNCTION("SPLIT(E786,""01234567890"")"),"Mike
")</f>
        <v>Mike
</v>
      </c>
      <c r="V786" s="24" t="str">
        <f>IFERROR(__xludf.DUMMYFUNCTION("SPLIT(D786,"","")"),"Myers")</f>
        <v>Myers</v>
      </c>
      <c r="W786" s="25" t="str">
        <f t="shared" si="1"/>
        <v>MIKE
 MYERS</v>
      </c>
      <c r="X786" s="22"/>
      <c r="Y786" s="22"/>
      <c r="Z786" s="25" t="str">
        <f>IFERROR(__xludf.DUMMYFUNCTION("SPLIT(C786,""
"")"),"Myers, Mike")</f>
        <v>Myers, Mike</v>
      </c>
      <c r="AA786" s="22" t="str">
        <f>IFERROR(__xludf.DUMMYFUNCTION("""COMPUTED_VALUE"""),"4009 Miramar Ave")</f>
        <v>4009 Miramar Ave</v>
      </c>
      <c r="AB786" s="22" t="str">
        <f>IFERROR(__xludf.DUMMYFUNCTION("""COMPUTED_VALUE"""),"Dallas, TX 75205")</f>
        <v>Dallas, TX 75205</v>
      </c>
      <c r="AC786" s="31" t="s">
        <v>799</v>
      </c>
      <c r="AD786" s="22"/>
      <c r="AE786" s="22"/>
      <c r="AF786" s="22"/>
      <c r="AG786" s="22" t="s">
        <v>60</v>
      </c>
      <c r="AH786" s="54">
        <v>2481.0</v>
      </c>
      <c r="AI786" s="22" t="s">
        <v>68</v>
      </c>
      <c r="AJ786" s="27">
        <v>4000.0</v>
      </c>
      <c r="AK786" s="31" t="s">
        <v>25</v>
      </c>
      <c r="AL786" s="28">
        <v>44903.0</v>
      </c>
      <c r="AM786" s="29">
        <v>44937.81995370371</v>
      </c>
      <c r="AN786" s="30">
        <v>2.0</v>
      </c>
      <c r="AO786" s="22"/>
      <c r="AP786" s="22"/>
      <c r="AQ786" s="22"/>
      <c r="AR786" s="22"/>
      <c r="AS786" s="22"/>
      <c r="AT786" s="70"/>
      <c r="AU786" s="22"/>
      <c r="AV786" s="57" t="str">
        <f>IFERROR(__xludf.DUMMYFUNCTION("""COMPUTED_VALUE"""),"Lin")</f>
        <v>Lin</v>
      </c>
      <c r="AW786" s="46">
        <f t="shared" si="7"/>
        <v>51</v>
      </c>
      <c r="AX786" s="47">
        <f t="shared" ref="AX786:BQ786" si="2469">SUMIFS($AJ:$AJ,$V:$V,$AV786,$AK:$AK,AX$2)</f>
        <v>0</v>
      </c>
      <c r="AY786" s="48">
        <f t="shared" si="2469"/>
        <v>0</v>
      </c>
      <c r="AZ786" s="48">
        <f t="shared" si="2469"/>
        <v>0</v>
      </c>
      <c r="BA786" s="48">
        <f t="shared" si="2469"/>
        <v>0</v>
      </c>
      <c r="BB786" s="48">
        <f t="shared" si="2469"/>
        <v>0</v>
      </c>
      <c r="BC786" s="48">
        <f t="shared" si="2469"/>
        <v>0</v>
      </c>
      <c r="BD786" s="48">
        <f t="shared" si="2469"/>
        <v>0</v>
      </c>
      <c r="BE786" s="48">
        <f t="shared" si="2469"/>
        <v>0</v>
      </c>
      <c r="BF786" s="48">
        <f t="shared" si="2469"/>
        <v>0</v>
      </c>
      <c r="BG786" s="48">
        <f t="shared" si="2469"/>
        <v>0</v>
      </c>
      <c r="BH786" s="48">
        <f t="shared" si="2469"/>
        <v>0</v>
      </c>
      <c r="BI786" s="48">
        <f t="shared" si="2469"/>
        <v>51</v>
      </c>
      <c r="BJ786" s="48">
        <f t="shared" si="2469"/>
        <v>0</v>
      </c>
      <c r="BK786" s="48">
        <f t="shared" si="2469"/>
        <v>0</v>
      </c>
      <c r="BL786" s="48">
        <f t="shared" si="2469"/>
        <v>0</v>
      </c>
      <c r="BM786" s="48">
        <f t="shared" si="2469"/>
        <v>0</v>
      </c>
      <c r="BN786" s="48">
        <f t="shared" si="2469"/>
        <v>0</v>
      </c>
      <c r="BO786" s="48">
        <f t="shared" si="2469"/>
        <v>0</v>
      </c>
      <c r="BP786" s="48">
        <f t="shared" si="2469"/>
        <v>0</v>
      </c>
      <c r="BQ786" s="48">
        <f t="shared" si="2469"/>
        <v>0</v>
      </c>
      <c r="BR786" s="36">
        <f t="shared" si="9"/>
        <v>0</v>
      </c>
      <c r="BS786" s="38">
        <f t="shared" si="10"/>
        <v>1</v>
      </c>
      <c r="BT786" s="49">
        <f t="shared" si="11"/>
        <v>0</v>
      </c>
      <c r="BU786" s="38">
        <f t="shared" si="12"/>
        <v>1000</v>
      </c>
      <c r="BV786" s="57" t="str">
        <f>IFERROR(__xludf.DUMMYFUNCTION("""COMPUTED_VALUE"""),"Lin")</f>
        <v>Lin</v>
      </c>
      <c r="BW786" s="46">
        <f t="shared" si="13"/>
        <v>51</v>
      </c>
      <c r="BX786" s="47">
        <f t="shared" ref="BX786:CA786" si="2470">AX786-$BU786</f>
        <v>-1000</v>
      </c>
      <c r="BY786" s="47">
        <f t="shared" si="2470"/>
        <v>-1000</v>
      </c>
      <c r="BZ786" s="47">
        <f t="shared" si="2470"/>
        <v>-1000</v>
      </c>
      <c r="CA786" s="47">
        <f t="shared" si="2470"/>
        <v>-1000</v>
      </c>
      <c r="CB786" s="47">
        <f t="shared" si="15"/>
        <v>-10000</v>
      </c>
      <c r="CC786" s="47">
        <f t="shared" ref="CC786:CQ786" si="2471">BC786-$BU786</f>
        <v>-1000</v>
      </c>
      <c r="CD786" s="47">
        <f t="shared" si="2471"/>
        <v>-1000</v>
      </c>
      <c r="CE786" s="47">
        <f t="shared" si="2471"/>
        <v>-1000</v>
      </c>
      <c r="CF786" s="47">
        <f t="shared" si="2471"/>
        <v>-1000</v>
      </c>
      <c r="CG786" s="47">
        <f t="shared" si="2471"/>
        <v>-1000</v>
      </c>
      <c r="CH786" s="47">
        <f t="shared" si="2471"/>
        <v>-1000</v>
      </c>
      <c r="CI786" s="47">
        <f t="shared" si="2471"/>
        <v>-949</v>
      </c>
      <c r="CJ786" s="47">
        <f t="shared" si="2471"/>
        <v>-1000</v>
      </c>
      <c r="CK786" s="47">
        <f t="shared" si="2471"/>
        <v>-1000</v>
      </c>
      <c r="CL786" s="47">
        <f t="shared" si="2471"/>
        <v>-1000</v>
      </c>
      <c r="CM786" s="47">
        <f t="shared" si="2471"/>
        <v>-1000</v>
      </c>
      <c r="CN786" s="47">
        <f t="shared" si="2471"/>
        <v>-1000</v>
      </c>
      <c r="CO786" s="47">
        <f t="shared" si="2471"/>
        <v>-1000</v>
      </c>
      <c r="CP786" s="47">
        <f t="shared" si="2471"/>
        <v>-1000</v>
      </c>
      <c r="CQ786" s="47">
        <f t="shared" si="2471"/>
        <v>-1000</v>
      </c>
      <c r="CR786" s="47"/>
      <c r="CS786" s="47"/>
      <c r="CT786" s="47"/>
      <c r="CU786" s="74"/>
      <c r="CV786" s="74"/>
      <c r="CW786" s="74" t="str">
        <f>IFERROR(__xludf.DUMMYFUNCTION("IF(REGEXMATCH(UPPER(CU786), ""DALLAS""),,CU786)"),"")</f>
        <v/>
      </c>
      <c r="CX786" s="74"/>
      <c r="CY786" s="74"/>
      <c r="CZ786" s="74"/>
      <c r="DA786" s="75"/>
      <c r="DB786" s="74"/>
      <c r="DC786" s="74"/>
      <c r="DD786" s="74"/>
      <c r="DE786" s="74"/>
      <c r="DF786" s="74"/>
      <c r="DG786" s="74"/>
      <c r="DH786" s="74"/>
      <c r="DI786" s="74"/>
      <c r="DJ786" s="74"/>
      <c r="DK786" s="74"/>
      <c r="DL786" s="74"/>
      <c r="DM786" s="74"/>
      <c r="DN786" s="74"/>
      <c r="DO786" s="74"/>
      <c r="DP786" s="74"/>
      <c r="DQ786" s="74"/>
      <c r="DR786" s="74"/>
      <c r="DS786" s="74"/>
      <c r="DT786" s="74"/>
      <c r="DU786" s="74"/>
      <c r="DV786" s="74"/>
      <c r="DW786" s="74"/>
    </row>
    <row r="787">
      <c r="A787" s="40" t="s">
        <v>55</v>
      </c>
      <c r="B787" s="41" t="s">
        <v>56</v>
      </c>
      <c r="C787" s="31" t="s">
        <v>2022</v>
      </c>
      <c r="D787" s="25" t="str">
        <f>IFERROR(__xludf.DUMMYFUNCTION("SPLIT(C787,"" "")"),"Rose,")</f>
        <v>Rose,</v>
      </c>
      <c r="E787" s="40" t="str">
        <f>IFERROR(__xludf.DUMMYFUNCTION("""COMPUTED_VALUE"""),"Deedie
5")</f>
        <v>Deedie
5</v>
      </c>
      <c r="F787" s="40" t="str">
        <f>IFERROR(__xludf.DUMMYFUNCTION("""COMPUTED_VALUE"""),"Willowood")</f>
        <v>Willowood</v>
      </c>
      <c r="G787" s="40" t="str">
        <f>IFERROR(__xludf.DUMMYFUNCTION("""COMPUTED_VALUE"""),"St
Dallas,")</f>
        <v>St
Dallas,</v>
      </c>
      <c r="H787" s="40" t="str">
        <f>IFERROR(__xludf.DUMMYFUNCTION("""COMPUTED_VALUE"""),"TX")</f>
        <v>TX</v>
      </c>
      <c r="I787" s="40">
        <f>IFERROR(__xludf.DUMMYFUNCTION("""COMPUTED_VALUE"""),75205.0)</f>
        <v>75205</v>
      </c>
      <c r="J787" s="40"/>
      <c r="K787" s="40"/>
      <c r="L787" s="40"/>
      <c r="M787" s="40"/>
      <c r="N787" s="40"/>
      <c r="O787" s="40"/>
      <c r="P787" s="40"/>
      <c r="Q787" s="40"/>
      <c r="R787" s="40"/>
      <c r="S787" s="40"/>
      <c r="T787" s="40"/>
      <c r="U787" s="24" t="str">
        <f>IFERROR(__xludf.DUMMYFUNCTION("SPLIT(E787,""01234567890"")"),"Deedie
")</f>
        <v>Deedie
</v>
      </c>
      <c r="V787" s="24" t="str">
        <f>IFERROR(__xludf.DUMMYFUNCTION("SPLIT(D787,"","")"),"Rose")</f>
        <v>Rose</v>
      </c>
      <c r="W787" s="25" t="str">
        <f t="shared" si="1"/>
        <v>DEEDIE
 ROSE</v>
      </c>
      <c r="X787" s="40"/>
      <c r="Y787" s="40"/>
      <c r="Z787" s="25" t="str">
        <f>IFERROR(__xludf.DUMMYFUNCTION("SPLIT(C787,""
"")"),"Rose, Deedie")</f>
        <v>Rose, Deedie</v>
      </c>
      <c r="AA787" s="40" t="str">
        <f>IFERROR(__xludf.DUMMYFUNCTION("""COMPUTED_VALUE"""),"5 Willowood St")</f>
        <v>5 Willowood St</v>
      </c>
      <c r="AB787" s="40" t="str">
        <f>IFERROR(__xludf.DUMMYFUNCTION("""COMPUTED_VALUE"""),"Dallas, TX 75205")</f>
        <v>Dallas, TX 75205</v>
      </c>
      <c r="AC787" s="31" t="s">
        <v>811</v>
      </c>
      <c r="AD787" s="40"/>
      <c r="AE787" s="40"/>
      <c r="AF787" s="40"/>
      <c r="AG787" s="40" t="s">
        <v>60</v>
      </c>
      <c r="AH787" s="42">
        <v>2481.0</v>
      </c>
      <c r="AI787" s="40" t="s">
        <v>68</v>
      </c>
      <c r="AJ787" s="27">
        <v>2500.0</v>
      </c>
      <c r="AK787" s="31" t="s">
        <v>25</v>
      </c>
      <c r="AL787" s="43">
        <v>44904.0</v>
      </c>
      <c r="AM787" s="44">
        <v>44937.81995370371</v>
      </c>
      <c r="AN787" s="30">
        <v>2.0</v>
      </c>
      <c r="AO787" s="40"/>
      <c r="AP787" s="40"/>
      <c r="AQ787" s="40"/>
      <c r="AR787" s="40"/>
      <c r="AS787" s="40"/>
      <c r="AT787" s="47"/>
      <c r="AU787" s="40"/>
      <c r="AV787" s="46" t="str">
        <f>IFERROR(__xludf.DUMMYFUNCTION("""COMPUTED_VALUE"""),"Donovan")</f>
        <v>Donovan</v>
      </c>
      <c r="AW787" s="46">
        <f t="shared" si="7"/>
        <v>151</v>
      </c>
      <c r="AX787" s="47">
        <f t="shared" ref="AX787:BQ787" si="2472">SUMIFS($AJ:$AJ,$V:$V,$AV787,$AK:$AK,AX$2)</f>
        <v>0</v>
      </c>
      <c r="AY787" s="48">
        <f t="shared" si="2472"/>
        <v>0</v>
      </c>
      <c r="AZ787" s="48">
        <f t="shared" si="2472"/>
        <v>0</v>
      </c>
      <c r="BA787" s="48">
        <f t="shared" si="2472"/>
        <v>0</v>
      </c>
      <c r="BB787" s="48">
        <f t="shared" si="2472"/>
        <v>0</v>
      </c>
      <c r="BC787" s="48">
        <f t="shared" si="2472"/>
        <v>0</v>
      </c>
      <c r="BD787" s="48">
        <f t="shared" si="2472"/>
        <v>0</v>
      </c>
      <c r="BE787" s="48">
        <f t="shared" si="2472"/>
        <v>0</v>
      </c>
      <c r="BF787" s="48">
        <f t="shared" si="2472"/>
        <v>0</v>
      </c>
      <c r="BG787" s="48">
        <f t="shared" si="2472"/>
        <v>0</v>
      </c>
      <c r="BH787" s="48">
        <f t="shared" si="2472"/>
        <v>0</v>
      </c>
      <c r="BI787" s="48">
        <f t="shared" si="2472"/>
        <v>151</v>
      </c>
      <c r="BJ787" s="48">
        <f t="shared" si="2472"/>
        <v>0</v>
      </c>
      <c r="BK787" s="48">
        <f t="shared" si="2472"/>
        <v>0</v>
      </c>
      <c r="BL787" s="48">
        <f t="shared" si="2472"/>
        <v>0</v>
      </c>
      <c r="BM787" s="48">
        <f t="shared" si="2472"/>
        <v>0</v>
      </c>
      <c r="BN787" s="48">
        <f t="shared" si="2472"/>
        <v>0</v>
      </c>
      <c r="BO787" s="48">
        <f t="shared" si="2472"/>
        <v>0</v>
      </c>
      <c r="BP787" s="48">
        <f t="shared" si="2472"/>
        <v>0</v>
      </c>
      <c r="BQ787" s="48">
        <f t="shared" si="2472"/>
        <v>0</v>
      </c>
      <c r="BR787" s="36">
        <f t="shared" si="9"/>
        <v>0</v>
      </c>
      <c r="BS787" s="38">
        <f t="shared" si="10"/>
        <v>1</v>
      </c>
      <c r="BT787" s="49">
        <f t="shared" si="11"/>
        <v>0</v>
      </c>
      <c r="BU787" s="38">
        <f t="shared" si="12"/>
        <v>1000</v>
      </c>
      <c r="BV787" s="46" t="str">
        <f>IFERROR(__xludf.DUMMYFUNCTION("""COMPUTED_VALUE"""),"Donovan")</f>
        <v>Donovan</v>
      </c>
      <c r="BW787" s="46">
        <f t="shared" si="13"/>
        <v>151</v>
      </c>
      <c r="BX787" s="47">
        <f t="shared" ref="BX787:CA787" si="2473">AX787-$BU787</f>
        <v>-1000</v>
      </c>
      <c r="BY787" s="47">
        <f t="shared" si="2473"/>
        <v>-1000</v>
      </c>
      <c r="BZ787" s="47">
        <f t="shared" si="2473"/>
        <v>-1000</v>
      </c>
      <c r="CA787" s="47">
        <f t="shared" si="2473"/>
        <v>-1000</v>
      </c>
      <c r="CB787" s="47">
        <f t="shared" si="15"/>
        <v>-10000</v>
      </c>
      <c r="CC787" s="47">
        <f t="shared" ref="CC787:CQ787" si="2474">BC787-$BU787</f>
        <v>-1000</v>
      </c>
      <c r="CD787" s="47">
        <f t="shared" si="2474"/>
        <v>-1000</v>
      </c>
      <c r="CE787" s="47">
        <f t="shared" si="2474"/>
        <v>-1000</v>
      </c>
      <c r="CF787" s="47">
        <f t="shared" si="2474"/>
        <v>-1000</v>
      </c>
      <c r="CG787" s="47">
        <f t="shared" si="2474"/>
        <v>-1000</v>
      </c>
      <c r="CH787" s="47">
        <f t="shared" si="2474"/>
        <v>-1000</v>
      </c>
      <c r="CI787" s="47">
        <f t="shared" si="2474"/>
        <v>-849</v>
      </c>
      <c r="CJ787" s="47">
        <f t="shared" si="2474"/>
        <v>-1000</v>
      </c>
      <c r="CK787" s="47">
        <f t="shared" si="2474"/>
        <v>-1000</v>
      </c>
      <c r="CL787" s="47">
        <f t="shared" si="2474"/>
        <v>-1000</v>
      </c>
      <c r="CM787" s="47">
        <f t="shared" si="2474"/>
        <v>-1000</v>
      </c>
      <c r="CN787" s="47">
        <f t="shared" si="2474"/>
        <v>-1000</v>
      </c>
      <c r="CO787" s="47">
        <f t="shared" si="2474"/>
        <v>-1000</v>
      </c>
      <c r="CP787" s="47">
        <f t="shared" si="2474"/>
        <v>-1000</v>
      </c>
      <c r="CQ787" s="47">
        <f t="shared" si="2474"/>
        <v>-1000</v>
      </c>
      <c r="CR787" s="47"/>
      <c r="CS787" s="47"/>
      <c r="CT787" s="47"/>
      <c r="CU787" s="74"/>
      <c r="CV787" s="74"/>
      <c r="CW787" s="74" t="str">
        <f>IFERROR(__xludf.DUMMYFUNCTION("IF(REGEXMATCH(UPPER(CU787), ""DALLAS""),,CU787)"),"")</f>
        <v/>
      </c>
      <c r="CX787" s="74"/>
      <c r="CY787" s="74"/>
      <c r="CZ787" s="74"/>
      <c r="DA787" s="75"/>
      <c r="DB787" s="74"/>
      <c r="DC787" s="74"/>
      <c r="DD787" s="74"/>
      <c r="DE787" s="74"/>
      <c r="DF787" s="74"/>
      <c r="DG787" s="74"/>
      <c r="DH787" s="74"/>
      <c r="DI787" s="74"/>
      <c r="DJ787" s="74"/>
      <c r="DK787" s="74"/>
      <c r="DL787" s="74"/>
      <c r="DM787" s="74"/>
      <c r="DN787" s="74"/>
      <c r="DO787" s="74"/>
      <c r="DP787" s="74"/>
      <c r="DQ787" s="74"/>
      <c r="DR787" s="74"/>
      <c r="DS787" s="74"/>
      <c r="DT787" s="74"/>
      <c r="DU787" s="74"/>
      <c r="DV787" s="74"/>
      <c r="DW787" s="74"/>
    </row>
    <row r="788">
      <c r="A788" s="22" t="s">
        <v>55</v>
      </c>
      <c r="B788" s="23" t="s">
        <v>56</v>
      </c>
      <c r="C788" s="31" t="s">
        <v>2023</v>
      </c>
      <c r="D788" s="25" t="str">
        <f>IFERROR(__xludf.DUMMYFUNCTION("SPLIT(C788,"" "")"),"Rowling,")</f>
        <v>Rowling,</v>
      </c>
      <c r="E788" s="22" t="str">
        <f>IFERROR(__xludf.DUMMYFUNCTION("""COMPUTED_VALUE"""),"Bob
4001")</f>
        <v>Bob
4001</v>
      </c>
      <c r="F788" s="22" t="str">
        <f>IFERROR(__xludf.DUMMYFUNCTION("""COMPUTED_VALUE"""),"Maple")</f>
        <v>Maple</v>
      </c>
      <c r="G788" s="22" t="str">
        <f>IFERROR(__xludf.DUMMYFUNCTION("""COMPUTED_VALUE"""),"Ave
Dallas,")</f>
        <v>Ave
Dallas,</v>
      </c>
      <c r="H788" s="22" t="str">
        <f>IFERROR(__xludf.DUMMYFUNCTION("""COMPUTED_VALUE"""),"TX")</f>
        <v>TX</v>
      </c>
      <c r="I788" s="22">
        <f>IFERROR(__xludf.DUMMYFUNCTION("""COMPUTED_VALUE"""),75219.0)</f>
        <v>75219</v>
      </c>
      <c r="J788" s="22"/>
      <c r="K788" s="22"/>
      <c r="L788" s="22"/>
      <c r="M788" s="22"/>
      <c r="N788" s="22"/>
      <c r="O788" s="22"/>
      <c r="P788" s="22"/>
      <c r="Q788" s="22"/>
      <c r="R788" s="22"/>
      <c r="S788" s="22"/>
      <c r="T788" s="22"/>
      <c r="U788" s="24" t="str">
        <f>IFERROR(__xludf.DUMMYFUNCTION("SPLIT(E788,""01234567890"")"),"Bob
")</f>
        <v>Bob
</v>
      </c>
      <c r="V788" s="24" t="str">
        <f>IFERROR(__xludf.DUMMYFUNCTION("SPLIT(D788,"","")"),"Rowling")</f>
        <v>Rowling</v>
      </c>
      <c r="W788" s="25" t="str">
        <f t="shared" si="1"/>
        <v>BOB
 ROWLING</v>
      </c>
      <c r="X788" s="22"/>
      <c r="Y788" s="22"/>
      <c r="Z788" s="25" t="str">
        <f>IFERROR(__xludf.DUMMYFUNCTION("SPLIT(C788,""
"")"),"Rowling, Bob")</f>
        <v>Rowling, Bob</v>
      </c>
      <c r="AA788" s="22" t="str">
        <f>IFERROR(__xludf.DUMMYFUNCTION("""COMPUTED_VALUE"""),"4001 Maple Ave")</f>
        <v>4001 Maple Ave</v>
      </c>
      <c r="AB788" s="22" t="str">
        <f>IFERROR(__xludf.DUMMYFUNCTION("""COMPUTED_VALUE"""),"Dallas, TX 75219")</f>
        <v>Dallas, TX 75219</v>
      </c>
      <c r="AC788" s="31" t="s">
        <v>2024</v>
      </c>
      <c r="AD788" s="22"/>
      <c r="AE788" s="22"/>
      <c r="AF788" s="22"/>
      <c r="AG788" s="22" t="s">
        <v>60</v>
      </c>
      <c r="AH788" s="54">
        <v>2481.0</v>
      </c>
      <c r="AI788" s="22" t="s">
        <v>68</v>
      </c>
      <c r="AJ788" s="27">
        <v>5000.0</v>
      </c>
      <c r="AK788" s="31" t="s">
        <v>25</v>
      </c>
      <c r="AL788" s="28">
        <v>44907.0</v>
      </c>
      <c r="AM788" s="29">
        <v>44937.81995370371</v>
      </c>
      <c r="AN788" s="30">
        <v>2.0</v>
      </c>
      <c r="AO788" s="22"/>
      <c r="AP788" s="22"/>
      <c r="AQ788" s="22"/>
      <c r="AR788" s="22"/>
      <c r="AS788" s="22"/>
      <c r="AT788" s="70"/>
      <c r="AU788" s="22"/>
      <c r="AV788" s="57" t="str">
        <f>IFERROR(__xludf.DUMMYFUNCTION("""COMPUTED_VALUE"""),"Overby")</f>
        <v>Overby</v>
      </c>
      <c r="AW788" s="46">
        <f t="shared" si="7"/>
        <v>25</v>
      </c>
      <c r="AX788" s="47">
        <f t="shared" ref="AX788:BQ788" si="2475">SUMIFS($AJ:$AJ,$V:$V,$AV788,$AK:$AK,AX$2)</f>
        <v>0</v>
      </c>
      <c r="AY788" s="48">
        <f t="shared" si="2475"/>
        <v>0</v>
      </c>
      <c r="AZ788" s="48">
        <f t="shared" si="2475"/>
        <v>0</v>
      </c>
      <c r="BA788" s="48">
        <f t="shared" si="2475"/>
        <v>0</v>
      </c>
      <c r="BB788" s="48">
        <f t="shared" si="2475"/>
        <v>0</v>
      </c>
      <c r="BC788" s="48">
        <f t="shared" si="2475"/>
        <v>0</v>
      </c>
      <c r="BD788" s="48">
        <f t="shared" si="2475"/>
        <v>0</v>
      </c>
      <c r="BE788" s="48">
        <f t="shared" si="2475"/>
        <v>0</v>
      </c>
      <c r="BF788" s="48">
        <f t="shared" si="2475"/>
        <v>0</v>
      </c>
      <c r="BG788" s="48">
        <f t="shared" si="2475"/>
        <v>0</v>
      </c>
      <c r="BH788" s="48">
        <f t="shared" si="2475"/>
        <v>0</v>
      </c>
      <c r="BI788" s="48">
        <f t="shared" si="2475"/>
        <v>25</v>
      </c>
      <c r="BJ788" s="48">
        <f t="shared" si="2475"/>
        <v>0</v>
      </c>
      <c r="BK788" s="48">
        <f t="shared" si="2475"/>
        <v>0</v>
      </c>
      <c r="BL788" s="48">
        <f t="shared" si="2475"/>
        <v>0</v>
      </c>
      <c r="BM788" s="48">
        <f t="shared" si="2475"/>
        <v>0</v>
      </c>
      <c r="BN788" s="48">
        <f t="shared" si="2475"/>
        <v>0</v>
      </c>
      <c r="BO788" s="48">
        <f t="shared" si="2475"/>
        <v>0</v>
      </c>
      <c r="BP788" s="48">
        <f t="shared" si="2475"/>
        <v>0</v>
      </c>
      <c r="BQ788" s="48">
        <f t="shared" si="2475"/>
        <v>0</v>
      </c>
      <c r="BR788" s="36">
        <f t="shared" si="9"/>
        <v>0</v>
      </c>
      <c r="BS788" s="38">
        <f t="shared" si="10"/>
        <v>1</v>
      </c>
      <c r="BT788" s="49">
        <f t="shared" si="11"/>
        <v>0</v>
      </c>
      <c r="BU788" s="38">
        <f t="shared" si="12"/>
        <v>1000</v>
      </c>
      <c r="BV788" s="57" t="str">
        <f>IFERROR(__xludf.DUMMYFUNCTION("""COMPUTED_VALUE"""),"Overby")</f>
        <v>Overby</v>
      </c>
      <c r="BW788" s="46">
        <f t="shared" si="13"/>
        <v>25</v>
      </c>
      <c r="BX788" s="47">
        <f t="shared" ref="BX788:CA788" si="2476">AX788-$BU788</f>
        <v>-1000</v>
      </c>
      <c r="BY788" s="47">
        <f t="shared" si="2476"/>
        <v>-1000</v>
      </c>
      <c r="BZ788" s="47">
        <f t="shared" si="2476"/>
        <v>-1000</v>
      </c>
      <c r="CA788" s="47">
        <f t="shared" si="2476"/>
        <v>-1000</v>
      </c>
      <c r="CB788" s="47">
        <f t="shared" si="15"/>
        <v>-10000</v>
      </c>
      <c r="CC788" s="47">
        <f t="shared" ref="CC788:CQ788" si="2477">BC788-$BU788</f>
        <v>-1000</v>
      </c>
      <c r="CD788" s="47">
        <f t="shared" si="2477"/>
        <v>-1000</v>
      </c>
      <c r="CE788" s="47">
        <f t="shared" si="2477"/>
        <v>-1000</v>
      </c>
      <c r="CF788" s="47">
        <f t="shared" si="2477"/>
        <v>-1000</v>
      </c>
      <c r="CG788" s="47">
        <f t="shared" si="2477"/>
        <v>-1000</v>
      </c>
      <c r="CH788" s="47">
        <f t="shared" si="2477"/>
        <v>-1000</v>
      </c>
      <c r="CI788" s="47">
        <f t="shared" si="2477"/>
        <v>-975</v>
      </c>
      <c r="CJ788" s="47">
        <f t="shared" si="2477"/>
        <v>-1000</v>
      </c>
      <c r="CK788" s="47">
        <f t="shared" si="2477"/>
        <v>-1000</v>
      </c>
      <c r="CL788" s="47">
        <f t="shared" si="2477"/>
        <v>-1000</v>
      </c>
      <c r="CM788" s="47">
        <f t="shared" si="2477"/>
        <v>-1000</v>
      </c>
      <c r="CN788" s="47">
        <f t="shared" si="2477"/>
        <v>-1000</v>
      </c>
      <c r="CO788" s="47">
        <f t="shared" si="2477"/>
        <v>-1000</v>
      </c>
      <c r="CP788" s="47">
        <f t="shared" si="2477"/>
        <v>-1000</v>
      </c>
      <c r="CQ788" s="47">
        <f t="shared" si="2477"/>
        <v>-1000</v>
      </c>
      <c r="CR788" s="47"/>
      <c r="CS788" s="47"/>
      <c r="CT788" s="47"/>
      <c r="CU788" s="74"/>
      <c r="CV788" s="74"/>
      <c r="CW788" s="74" t="str">
        <f>IFERROR(__xludf.DUMMYFUNCTION("IF(REGEXMATCH(UPPER(CU788), ""DALLAS""),,CU788)"),"")</f>
        <v/>
      </c>
      <c r="CX788" s="74"/>
      <c r="CY788" s="74"/>
      <c r="CZ788" s="74"/>
      <c r="DA788" s="75"/>
      <c r="DB788" s="74"/>
      <c r="DC788" s="74"/>
      <c r="DD788" s="74"/>
      <c r="DE788" s="74"/>
      <c r="DF788" s="74"/>
      <c r="DG788" s="74"/>
      <c r="DH788" s="74"/>
      <c r="DI788" s="74"/>
      <c r="DJ788" s="74"/>
      <c r="DK788" s="74"/>
      <c r="DL788" s="74"/>
      <c r="DM788" s="74"/>
      <c r="DN788" s="74"/>
      <c r="DO788" s="74"/>
      <c r="DP788" s="74"/>
      <c r="DQ788" s="74"/>
      <c r="DR788" s="74"/>
      <c r="DS788" s="74"/>
      <c r="DT788" s="74"/>
      <c r="DU788" s="74"/>
      <c r="DV788" s="74"/>
      <c r="DW788" s="74"/>
    </row>
    <row r="789">
      <c r="A789" s="40" t="s">
        <v>55</v>
      </c>
      <c r="B789" s="41" t="s">
        <v>56</v>
      </c>
      <c r="C789" s="31" t="s">
        <v>2025</v>
      </c>
      <c r="D789" s="25" t="str">
        <f>IFERROR(__xludf.DUMMYFUNCTION("SPLIT(C789,"" "")"),"Sewell")</f>
        <v>Sewell</v>
      </c>
      <c r="E789" s="40" t="str">
        <f>IFERROR(__xludf.DUMMYFUNCTION("""COMPUTED_VALUE"""),"III,")</f>
        <v>III,</v>
      </c>
      <c r="F789" s="40" t="str">
        <f>IFERROR(__xludf.DUMMYFUNCTION("""COMPUTED_VALUE"""),"Carl")</f>
        <v>Carl</v>
      </c>
      <c r="G789" s="40" t="str">
        <f>IFERROR(__xludf.DUMMYFUNCTION("""COMPUTED_VALUE"""),"&amp;")</f>
        <v>&amp;</v>
      </c>
      <c r="H789" s="40" t="str">
        <f>IFERROR(__xludf.DUMMYFUNCTION("""COMPUTED_VALUE"""),"Josie
3911")</f>
        <v>Josie
3911</v>
      </c>
      <c r="I789" s="40" t="str">
        <f>IFERROR(__xludf.DUMMYFUNCTION("""COMPUTED_VALUE"""),"Gillon")</f>
        <v>Gillon</v>
      </c>
      <c r="J789" s="40" t="str">
        <f>IFERROR(__xludf.DUMMYFUNCTION("""COMPUTED_VALUE"""),"Ave
Dallas,")</f>
        <v>Ave
Dallas,</v>
      </c>
      <c r="K789" s="40" t="str">
        <f>IFERROR(__xludf.DUMMYFUNCTION("""COMPUTED_VALUE"""),"TX")</f>
        <v>TX</v>
      </c>
      <c r="L789" s="40">
        <f>IFERROR(__xludf.DUMMYFUNCTION("""COMPUTED_VALUE"""),75205.0)</f>
        <v>75205</v>
      </c>
      <c r="M789" s="40"/>
      <c r="N789" s="40"/>
      <c r="O789" s="40"/>
      <c r="P789" s="40"/>
      <c r="Q789" s="40"/>
      <c r="R789" s="40"/>
      <c r="S789" s="40"/>
      <c r="T789" s="40"/>
      <c r="U789" s="24" t="str">
        <f>IFERROR(__xludf.DUMMYFUNCTION("SPLIT(E789,""01234567890"")"),"III,")</f>
        <v>III,</v>
      </c>
      <c r="V789" s="24" t="str">
        <f>IFERROR(__xludf.DUMMYFUNCTION("SPLIT(D789,"","")"),"Sewell")</f>
        <v>Sewell</v>
      </c>
      <c r="W789" s="25" t="str">
        <f t="shared" si="1"/>
        <v>III, SEWELL</v>
      </c>
      <c r="X789" s="40"/>
      <c r="Y789" s="40"/>
      <c r="Z789" s="25" t="str">
        <f>IFERROR(__xludf.DUMMYFUNCTION("SPLIT(C789,""
"")"),"Sewell III, Carl &amp; Josie")</f>
        <v>Sewell III, Carl &amp; Josie</v>
      </c>
      <c r="AA789" s="40" t="str">
        <f>IFERROR(__xludf.DUMMYFUNCTION("""COMPUTED_VALUE"""),"3911 Gillon Ave")</f>
        <v>3911 Gillon Ave</v>
      </c>
      <c r="AB789" s="40" t="str">
        <f>IFERROR(__xludf.DUMMYFUNCTION("""COMPUTED_VALUE"""),"Dallas, TX 75205")</f>
        <v>Dallas, TX 75205</v>
      </c>
      <c r="AC789" s="31" t="s">
        <v>2026</v>
      </c>
      <c r="AD789" s="40"/>
      <c r="AE789" s="40"/>
      <c r="AF789" s="40"/>
      <c r="AG789" s="40" t="s">
        <v>60</v>
      </c>
      <c r="AH789" s="42">
        <v>2481.0</v>
      </c>
      <c r="AI789" s="40" t="s">
        <v>68</v>
      </c>
      <c r="AJ789" s="27">
        <v>10000.0</v>
      </c>
      <c r="AK789" s="31" t="s">
        <v>25</v>
      </c>
      <c r="AL789" s="43">
        <v>44907.0</v>
      </c>
      <c r="AM789" s="44">
        <v>44937.81995370371</v>
      </c>
      <c r="AN789" s="30">
        <v>2.0</v>
      </c>
      <c r="AO789" s="40"/>
      <c r="AP789" s="40"/>
      <c r="AQ789" s="40"/>
      <c r="AR789" s="40"/>
      <c r="AS789" s="40"/>
      <c r="AT789" s="47"/>
      <c r="AU789" s="40"/>
      <c r="AV789" s="46" t="str">
        <f>IFERROR(__xludf.DUMMYFUNCTION("""COMPUTED_VALUE"""),"Ginsberg")</f>
        <v>Ginsberg</v>
      </c>
      <c r="AW789" s="46">
        <f t="shared" si="7"/>
        <v>102</v>
      </c>
      <c r="AX789" s="47">
        <f t="shared" ref="AX789:BQ789" si="2478">SUMIFS($AJ:$AJ,$V:$V,$AV789,$AK:$AK,AX$2)</f>
        <v>0</v>
      </c>
      <c r="AY789" s="48">
        <f t="shared" si="2478"/>
        <v>0</v>
      </c>
      <c r="AZ789" s="48">
        <f t="shared" si="2478"/>
        <v>0</v>
      </c>
      <c r="BA789" s="48">
        <f t="shared" si="2478"/>
        <v>0</v>
      </c>
      <c r="BB789" s="48">
        <f t="shared" si="2478"/>
        <v>0</v>
      </c>
      <c r="BC789" s="48">
        <f t="shared" si="2478"/>
        <v>0</v>
      </c>
      <c r="BD789" s="48">
        <f t="shared" si="2478"/>
        <v>0</v>
      </c>
      <c r="BE789" s="48">
        <f t="shared" si="2478"/>
        <v>0</v>
      </c>
      <c r="BF789" s="48">
        <f t="shared" si="2478"/>
        <v>0</v>
      </c>
      <c r="BG789" s="48">
        <f t="shared" si="2478"/>
        <v>0</v>
      </c>
      <c r="BH789" s="48">
        <f t="shared" si="2478"/>
        <v>0</v>
      </c>
      <c r="BI789" s="48">
        <f t="shared" si="2478"/>
        <v>102</v>
      </c>
      <c r="BJ789" s="48">
        <f t="shared" si="2478"/>
        <v>0</v>
      </c>
      <c r="BK789" s="48">
        <f t="shared" si="2478"/>
        <v>0</v>
      </c>
      <c r="BL789" s="48">
        <f t="shared" si="2478"/>
        <v>0</v>
      </c>
      <c r="BM789" s="48">
        <f t="shared" si="2478"/>
        <v>0</v>
      </c>
      <c r="BN789" s="48">
        <f t="shared" si="2478"/>
        <v>0</v>
      </c>
      <c r="BO789" s="48">
        <f t="shared" si="2478"/>
        <v>0</v>
      </c>
      <c r="BP789" s="48">
        <f t="shared" si="2478"/>
        <v>0</v>
      </c>
      <c r="BQ789" s="48">
        <f t="shared" si="2478"/>
        <v>0</v>
      </c>
      <c r="BR789" s="36">
        <f t="shared" si="9"/>
        <v>0</v>
      </c>
      <c r="BS789" s="38">
        <f t="shared" si="10"/>
        <v>1</v>
      </c>
      <c r="BT789" s="49">
        <f t="shared" si="11"/>
        <v>0</v>
      </c>
      <c r="BU789" s="38">
        <f t="shared" si="12"/>
        <v>1000</v>
      </c>
      <c r="BV789" s="46" t="str">
        <f>IFERROR(__xludf.DUMMYFUNCTION("""COMPUTED_VALUE"""),"Ginsberg")</f>
        <v>Ginsberg</v>
      </c>
      <c r="BW789" s="46">
        <f t="shared" si="13"/>
        <v>102</v>
      </c>
      <c r="BX789" s="47">
        <f t="shared" ref="BX789:CA789" si="2479">AX789-$BU789</f>
        <v>-1000</v>
      </c>
      <c r="BY789" s="47">
        <f t="shared" si="2479"/>
        <v>-1000</v>
      </c>
      <c r="BZ789" s="47">
        <f t="shared" si="2479"/>
        <v>-1000</v>
      </c>
      <c r="CA789" s="47">
        <f t="shared" si="2479"/>
        <v>-1000</v>
      </c>
      <c r="CB789" s="47">
        <f t="shared" si="15"/>
        <v>-10000</v>
      </c>
      <c r="CC789" s="47">
        <f t="shared" ref="CC789:CQ789" si="2480">BC789-$BU789</f>
        <v>-1000</v>
      </c>
      <c r="CD789" s="47">
        <f t="shared" si="2480"/>
        <v>-1000</v>
      </c>
      <c r="CE789" s="47">
        <f t="shared" si="2480"/>
        <v>-1000</v>
      </c>
      <c r="CF789" s="47">
        <f t="shared" si="2480"/>
        <v>-1000</v>
      </c>
      <c r="CG789" s="47">
        <f t="shared" si="2480"/>
        <v>-1000</v>
      </c>
      <c r="CH789" s="47">
        <f t="shared" si="2480"/>
        <v>-1000</v>
      </c>
      <c r="CI789" s="47">
        <f t="shared" si="2480"/>
        <v>-898</v>
      </c>
      <c r="CJ789" s="47">
        <f t="shared" si="2480"/>
        <v>-1000</v>
      </c>
      <c r="CK789" s="47">
        <f t="shared" si="2480"/>
        <v>-1000</v>
      </c>
      <c r="CL789" s="47">
        <f t="shared" si="2480"/>
        <v>-1000</v>
      </c>
      <c r="CM789" s="47">
        <f t="shared" si="2480"/>
        <v>-1000</v>
      </c>
      <c r="CN789" s="47">
        <f t="shared" si="2480"/>
        <v>-1000</v>
      </c>
      <c r="CO789" s="47">
        <f t="shared" si="2480"/>
        <v>-1000</v>
      </c>
      <c r="CP789" s="47">
        <f t="shared" si="2480"/>
        <v>-1000</v>
      </c>
      <c r="CQ789" s="47">
        <f t="shared" si="2480"/>
        <v>-1000</v>
      </c>
      <c r="CR789" s="47"/>
      <c r="CS789" s="47"/>
      <c r="CT789" s="47"/>
      <c r="CU789" s="74"/>
      <c r="CV789" s="74"/>
      <c r="CW789" s="74" t="str">
        <f>IFERROR(__xludf.DUMMYFUNCTION("IF(REGEXMATCH(UPPER(CU789), ""DALLAS""),,CU789)"),"")</f>
        <v/>
      </c>
      <c r="CX789" s="74"/>
      <c r="CY789" s="74"/>
      <c r="CZ789" s="74"/>
      <c r="DA789" s="75"/>
      <c r="DB789" s="74"/>
      <c r="DC789" s="74"/>
      <c r="DD789" s="74"/>
      <c r="DE789" s="74"/>
      <c r="DF789" s="74"/>
      <c r="DG789" s="74"/>
      <c r="DH789" s="74"/>
      <c r="DI789" s="74"/>
      <c r="DJ789" s="74"/>
      <c r="DK789" s="74"/>
      <c r="DL789" s="74"/>
      <c r="DM789" s="74"/>
      <c r="DN789" s="74"/>
      <c r="DO789" s="74"/>
      <c r="DP789" s="74"/>
      <c r="DQ789" s="74"/>
      <c r="DR789" s="74"/>
      <c r="DS789" s="74"/>
      <c r="DT789" s="74"/>
      <c r="DU789" s="74"/>
      <c r="DV789" s="74"/>
      <c r="DW789" s="74"/>
    </row>
    <row r="790">
      <c r="A790" s="22" t="s">
        <v>55</v>
      </c>
      <c r="B790" s="23" t="s">
        <v>56</v>
      </c>
      <c r="C790" s="31" t="s">
        <v>2027</v>
      </c>
      <c r="D790" s="25" t="str">
        <f>IFERROR(__xludf.DUMMYFUNCTION("SPLIT(C790,"" "")"),"Walker,")</f>
        <v>Walker,</v>
      </c>
      <c r="E790" s="22" t="str">
        <f>IFERROR(__xludf.DUMMYFUNCTION("""COMPUTED_VALUE"""),"Brenda
310")</f>
        <v>Brenda
310</v>
      </c>
      <c r="F790" s="22" t="str">
        <f>IFERROR(__xludf.DUMMYFUNCTION("""COMPUTED_VALUE"""),"Calvary")</f>
        <v>Calvary</v>
      </c>
      <c r="G790" s="22" t="str">
        <f>IFERROR(__xludf.DUMMYFUNCTION("""COMPUTED_VALUE"""),"Dr
Euless,")</f>
        <v>Dr
Euless,</v>
      </c>
      <c r="H790" s="22" t="str">
        <f>IFERROR(__xludf.DUMMYFUNCTION("""COMPUTED_VALUE"""),"TX")</f>
        <v>TX</v>
      </c>
      <c r="I790" s="22">
        <f>IFERROR(__xludf.DUMMYFUNCTION("""COMPUTED_VALUE"""),76040.0)</f>
        <v>76040</v>
      </c>
      <c r="J790" s="22"/>
      <c r="K790" s="22"/>
      <c r="L790" s="22"/>
      <c r="M790" s="22"/>
      <c r="N790" s="22"/>
      <c r="O790" s="22"/>
      <c r="P790" s="22"/>
      <c r="Q790" s="22"/>
      <c r="R790" s="22"/>
      <c r="S790" s="22"/>
      <c r="T790" s="22"/>
      <c r="U790" s="24" t="str">
        <f>IFERROR(__xludf.DUMMYFUNCTION("SPLIT(E790,""01234567890"")"),"Brenda
")</f>
        <v>Brenda
</v>
      </c>
      <c r="V790" s="24" t="str">
        <f>IFERROR(__xludf.DUMMYFUNCTION("SPLIT(D790,"","")"),"Walker")</f>
        <v>Walker</v>
      </c>
      <c r="W790" s="25" t="str">
        <f t="shared" si="1"/>
        <v>BRENDA
 WALKER</v>
      </c>
      <c r="X790" s="22"/>
      <c r="Y790" s="22"/>
      <c r="Z790" s="25" t="str">
        <f>IFERROR(__xludf.DUMMYFUNCTION("SPLIT(C790,""
"")"),"Walker, Brenda")</f>
        <v>Walker, Brenda</v>
      </c>
      <c r="AA790" s="22" t="str">
        <f>IFERROR(__xludf.DUMMYFUNCTION("""COMPUTED_VALUE"""),"310 Calvary Dr")</f>
        <v>310 Calvary Dr</v>
      </c>
      <c r="AB790" s="22" t="str">
        <f>IFERROR(__xludf.DUMMYFUNCTION("""COMPUTED_VALUE"""),"Euless, TX 76040")</f>
        <v>Euless, TX 76040</v>
      </c>
      <c r="AC790" s="31" t="s">
        <v>2028</v>
      </c>
      <c r="AD790" s="22"/>
      <c r="AE790" s="22"/>
      <c r="AF790" s="22"/>
      <c r="AG790" s="22" t="s">
        <v>60</v>
      </c>
      <c r="AH790" s="54">
        <v>2481.0</v>
      </c>
      <c r="AI790" s="22" t="s">
        <v>68</v>
      </c>
      <c r="AJ790" s="27">
        <v>2500.0</v>
      </c>
      <c r="AK790" s="31" t="s">
        <v>25</v>
      </c>
      <c r="AL790" s="28">
        <v>44907.0</v>
      </c>
      <c r="AM790" s="29">
        <v>44937.81995370371</v>
      </c>
      <c r="AN790" s="30">
        <v>2.0</v>
      </c>
      <c r="AO790" s="22"/>
      <c r="AP790" s="22"/>
      <c r="AQ790" s="22"/>
      <c r="AR790" s="22"/>
      <c r="AS790" s="22"/>
      <c r="AT790" s="70"/>
      <c r="AU790" s="22"/>
      <c r="AV790" s="57" t="str">
        <f>IFERROR(__xludf.DUMMYFUNCTION("""COMPUTED_VALUE"""),"Feustel")</f>
        <v>Feustel</v>
      </c>
      <c r="AW790" s="46">
        <f t="shared" si="7"/>
        <v>102</v>
      </c>
      <c r="AX790" s="47">
        <f t="shared" ref="AX790:BQ790" si="2481">SUMIFS($AJ:$AJ,$V:$V,$AV790,$AK:$AK,AX$2)</f>
        <v>0</v>
      </c>
      <c r="AY790" s="48">
        <f t="shared" si="2481"/>
        <v>0</v>
      </c>
      <c r="AZ790" s="48">
        <f t="shared" si="2481"/>
        <v>0</v>
      </c>
      <c r="BA790" s="48">
        <f t="shared" si="2481"/>
        <v>0</v>
      </c>
      <c r="BB790" s="48">
        <f t="shared" si="2481"/>
        <v>0</v>
      </c>
      <c r="BC790" s="48">
        <f t="shared" si="2481"/>
        <v>0</v>
      </c>
      <c r="BD790" s="48">
        <f t="shared" si="2481"/>
        <v>0</v>
      </c>
      <c r="BE790" s="48">
        <f t="shared" si="2481"/>
        <v>0</v>
      </c>
      <c r="BF790" s="48">
        <f t="shared" si="2481"/>
        <v>0</v>
      </c>
      <c r="BG790" s="48">
        <f t="shared" si="2481"/>
        <v>0</v>
      </c>
      <c r="BH790" s="48">
        <f t="shared" si="2481"/>
        <v>0</v>
      </c>
      <c r="BI790" s="48">
        <f t="shared" si="2481"/>
        <v>102</v>
      </c>
      <c r="BJ790" s="48">
        <f t="shared" si="2481"/>
        <v>0</v>
      </c>
      <c r="BK790" s="48">
        <f t="shared" si="2481"/>
        <v>0</v>
      </c>
      <c r="BL790" s="48">
        <f t="shared" si="2481"/>
        <v>0</v>
      </c>
      <c r="BM790" s="48">
        <f t="shared" si="2481"/>
        <v>0</v>
      </c>
      <c r="BN790" s="48">
        <f t="shared" si="2481"/>
        <v>0</v>
      </c>
      <c r="BO790" s="48">
        <f t="shared" si="2481"/>
        <v>0</v>
      </c>
      <c r="BP790" s="48">
        <f t="shared" si="2481"/>
        <v>0</v>
      </c>
      <c r="BQ790" s="48">
        <f t="shared" si="2481"/>
        <v>0</v>
      </c>
      <c r="BR790" s="36">
        <f t="shared" si="9"/>
        <v>0</v>
      </c>
      <c r="BS790" s="38">
        <f t="shared" si="10"/>
        <v>1</v>
      </c>
      <c r="BT790" s="49">
        <f t="shared" si="11"/>
        <v>0</v>
      </c>
      <c r="BU790" s="38">
        <f t="shared" si="12"/>
        <v>1000</v>
      </c>
      <c r="BV790" s="57" t="str">
        <f>IFERROR(__xludf.DUMMYFUNCTION("""COMPUTED_VALUE"""),"Feustel")</f>
        <v>Feustel</v>
      </c>
      <c r="BW790" s="46">
        <f t="shared" si="13"/>
        <v>102</v>
      </c>
      <c r="BX790" s="47">
        <f t="shared" ref="BX790:CA790" si="2482">AX790-$BU790</f>
        <v>-1000</v>
      </c>
      <c r="BY790" s="47">
        <f t="shared" si="2482"/>
        <v>-1000</v>
      </c>
      <c r="BZ790" s="47">
        <f t="shared" si="2482"/>
        <v>-1000</v>
      </c>
      <c r="CA790" s="47">
        <f t="shared" si="2482"/>
        <v>-1000</v>
      </c>
      <c r="CB790" s="47">
        <f t="shared" si="15"/>
        <v>-10000</v>
      </c>
      <c r="CC790" s="47">
        <f t="shared" ref="CC790:CQ790" si="2483">BC790-$BU790</f>
        <v>-1000</v>
      </c>
      <c r="CD790" s="47">
        <f t="shared" si="2483"/>
        <v>-1000</v>
      </c>
      <c r="CE790" s="47">
        <f t="shared" si="2483"/>
        <v>-1000</v>
      </c>
      <c r="CF790" s="47">
        <f t="shared" si="2483"/>
        <v>-1000</v>
      </c>
      <c r="CG790" s="47">
        <f t="shared" si="2483"/>
        <v>-1000</v>
      </c>
      <c r="CH790" s="47">
        <f t="shared" si="2483"/>
        <v>-1000</v>
      </c>
      <c r="CI790" s="47">
        <f t="shared" si="2483"/>
        <v>-898</v>
      </c>
      <c r="CJ790" s="47">
        <f t="shared" si="2483"/>
        <v>-1000</v>
      </c>
      <c r="CK790" s="47">
        <f t="shared" si="2483"/>
        <v>-1000</v>
      </c>
      <c r="CL790" s="47">
        <f t="shared" si="2483"/>
        <v>-1000</v>
      </c>
      <c r="CM790" s="47">
        <f t="shared" si="2483"/>
        <v>-1000</v>
      </c>
      <c r="CN790" s="47">
        <f t="shared" si="2483"/>
        <v>-1000</v>
      </c>
      <c r="CO790" s="47">
        <f t="shared" si="2483"/>
        <v>-1000</v>
      </c>
      <c r="CP790" s="47">
        <f t="shared" si="2483"/>
        <v>-1000</v>
      </c>
      <c r="CQ790" s="47">
        <f t="shared" si="2483"/>
        <v>-1000</v>
      </c>
      <c r="CR790" s="47"/>
      <c r="CS790" s="47"/>
      <c r="CT790" s="47"/>
      <c r="CU790" s="74"/>
      <c r="CV790" s="74"/>
      <c r="CW790" s="74" t="str">
        <f>IFERROR(__xludf.DUMMYFUNCTION("IF(REGEXMATCH(UPPER(CU790), ""DALLAS""),,CU790)"),"")</f>
        <v/>
      </c>
      <c r="CX790" s="74"/>
      <c r="CY790" s="74"/>
      <c r="CZ790" s="74"/>
      <c r="DA790" s="75"/>
      <c r="DB790" s="74"/>
      <c r="DC790" s="74"/>
      <c r="DD790" s="74"/>
      <c r="DE790" s="74"/>
      <c r="DF790" s="74"/>
      <c r="DG790" s="74"/>
      <c r="DH790" s="74"/>
      <c r="DI790" s="74"/>
      <c r="DJ790" s="74"/>
      <c r="DK790" s="74"/>
      <c r="DL790" s="74"/>
      <c r="DM790" s="74"/>
      <c r="DN790" s="74"/>
      <c r="DO790" s="74"/>
      <c r="DP790" s="74"/>
      <c r="DQ790" s="74"/>
      <c r="DR790" s="74"/>
      <c r="DS790" s="74"/>
      <c r="DT790" s="74"/>
      <c r="DU790" s="74"/>
      <c r="DV790" s="74"/>
      <c r="DW790" s="74"/>
    </row>
    <row r="791">
      <c r="A791" s="40" t="s">
        <v>55</v>
      </c>
      <c r="B791" s="41" t="s">
        <v>56</v>
      </c>
      <c r="C791" s="31" t="s">
        <v>2029</v>
      </c>
      <c r="D791" s="25" t="str">
        <f>IFERROR(__xludf.DUMMYFUNCTION("SPLIT(C791,"" "")"),"Zulejkic,")</f>
        <v>Zulejkic,</v>
      </c>
      <c r="E791" s="40" t="str">
        <f>IFERROR(__xludf.DUMMYFUNCTION("""COMPUTED_VALUE"""),"David
PO")</f>
        <v>David
PO</v>
      </c>
      <c r="F791" s="40" t="str">
        <f>IFERROR(__xludf.DUMMYFUNCTION("""COMPUTED_VALUE"""),"Box")</f>
        <v>Box</v>
      </c>
      <c r="G791" s="40" t="str">
        <f>IFERROR(__xludf.DUMMYFUNCTION("""COMPUTED_VALUE"""),"2590
Wylie,")</f>
        <v>2590
Wylie,</v>
      </c>
      <c r="H791" s="40" t="str">
        <f>IFERROR(__xludf.DUMMYFUNCTION("""COMPUTED_VALUE"""),"TX")</f>
        <v>TX</v>
      </c>
      <c r="I791" s="40">
        <f>IFERROR(__xludf.DUMMYFUNCTION("""COMPUTED_VALUE"""),75098.0)</f>
        <v>75098</v>
      </c>
      <c r="J791" s="40"/>
      <c r="K791" s="40"/>
      <c r="L791" s="40"/>
      <c r="M791" s="40"/>
      <c r="N791" s="40"/>
      <c r="O791" s="40"/>
      <c r="P791" s="40"/>
      <c r="Q791" s="40"/>
      <c r="R791" s="40"/>
      <c r="S791" s="40"/>
      <c r="T791" s="40"/>
      <c r="U791" s="24" t="str">
        <f>IFERROR(__xludf.DUMMYFUNCTION("SPLIT(E791,""01234567890"")"),"David
PO")</f>
        <v>David
PO</v>
      </c>
      <c r="V791" s="24" t="str">
        <f>IFERROR(__xludf.DUMMYFUNCTION("SPLIT(D791,"","")"),"Zulejkic")</f>
        <v>Zulejkic</v>
      </c>
      <c r="W791" s="25" t="str">
        <f t="shared" si="1"/>
        <v>DAVID
PO ZULEJKIC</v>
      </c>
      <c r="X791" s="40"/>
      <c r="Y791" s="40"/>
      <c r="Z791" s="25" t="str">
        <f>IFERROR(__xludf.DUMMYFUNCTION("SPLIT(C791,""
"")"),"Zulejkic, David")</f>
        <v>Zulejkic, David</v>
      </c>
      <c r="AA791" s="40" t="str">
        <f>IFERROR(__xludf.DUMMYFUNCTION("""COMPUTED_VALUE"""),"PO Box 2590")</f>
        <v>PO Box 2590</v>
      </c>
      <c r="AB791" s="40" t="str">
        <f>IFERROR(__xludf.DUMMYFUNCTION("""COMPUTED_VALUE"""),"Wylie, TX 75098")</f>
        <v>Wylie, TX 75098</v>
      </c>
      <c r="AC791" s="31" t="s">
        <v>2030</v>
      </c>
      <c r="AD791" s="40"/>
      <c r="AE791" s="40"/>
      <c r="AF791" s="40"/>
      <c r="AG791" s="40" t="s">
        <v>60</v>
      </c>
      <c r="AH791" s="42">
        <v>2481.0</v>
      </c>
      <c r="AI791" s="40" t="s">
        <v>68</v>
      </c>
      <c r="AJ791" s="27">
        <v>5000.0</v>
      </c>
      <c r="AK791" s="31" t="s">
        <v>25</v>
      </c>
      <c r="AL791" s="43">
        <v>44907.0</v>
      </c>
      <c r="AM791" s="44">
        <v>44937.81995370371</v>
      </c>
      <c r="AN791" s="30">
        <v>2.0</v>
      </c>
      <c r="AO791" s="40"/>
      <c r="AP791" s="40"/>
      <c r="AQ791" s="40"/>
      <c r="AR791" s="40"/>
      <c r="AS791" s="40"/>
      <c r="AT791" s="47"/>
      <c r="AU791" s="40"/>
      <c r="AV791" s="46" t="str">
        <f>IFERROR(__xludf.DUMMYFUNCTION("""COMPUTED_VALUE"""),"Piper")</f>
        <v>Piper</v>
      </c>
      <c r="AW791" s="46">
        <f t="shared" si="7"/>
        <v>51</v>
      </c>
      <c r="AX791" s="47">
        <f t="shared" ref="AX791:BQ791" si="2484">SUMIFS($AJ:$AJ,$V:$V,$AV791,$AK:$AK,AX$2)</f>
        <v>0</v>
      </c>
      <c r="AY791" s="48">
        <f t="shared" si="2484"/>
        <v>0</v>
      </c>
      <c r="AZ791" s="48">
        <f t="shared" si="2484"/>
        <v>0</v>
      </c>
      <c r="BA791" s="48">
        <f t="shared" si="2484"/>
        <v>0</v>
      </c>
      <c r="BB791" s="48">
        <f t="shared" si="2484"/>
        <v>0</v>
      </c>
      <c r="BC791" s="48">
        <f t="shared" si="2484"/>
        <v>0</v>
      </c>
      <c r="BD791" s="48">
        <f t="shared" si="2484"/>
        <v>0</v>
      </c>
      <c r="BE791" s="48">
        <f t="shared" si="2484"/>
        <v>0</v>
      </c>
      <c r="BF791" s="48">
        <f t="shared" si="2484"/>
        <v>0</v>
      </c>
      <c r="BG791" s="48">
        <f t="shared" si="2484"/>
        <v>0</v>
      </c>
      <c r="BH791" s="48">
        <f t="shared" si="2484"/>
        <v>0</v>
      </c>
      <c r="BI791" s="48">
        <f t="shared" si="2484"/>
        <v>51</v>
      </c>
      <c r="BJ791" s="48">
        <f t="shared" si="2484"/>
        <v>0</v>
      </c>
      <c r="BK791" s="48">
        <f t="shared" si="2484"/>
        <v>0</v>
      </c>
      <c r="BL791" s="48">
        <f t="shared" si="2484"/>
        <v>0</v>
      </c>
      <c r="BM791" s="48">
        <f t="shared" si="2484"/>
        <v>0</v>
      </c>
      <c r="BN791" s="48">
        <f t="shared" si="2484"/>
        <v>0</v>
      </c>
      <c r="BO791" s="48">
        <f t="shared" si="2484"/>
        <v>0</v>
      </c>
      <c r="BP791" s="48">
        <f t="shared" si="2484"/>
        <v>0</v>
      </c>
      <c r="BQ791" s="48">
        <f t="shared" si="2484"/>
        <v>0</v>
      </c>
      <c r="BR791" s="36">
        <f t="shared" si="9"/>
        <v>0</v>
      </c>
      <c r="BS791" s="38">
        <f t="shared" si="10"/>
        <v>1</v>
      </c>
      <c r="BT791" s="49">
        <f t="shared" si="11"/>
        <v>0</v>
      </c>
      <c r="BU791" s="38">
        <f t="shared" si="12"/>
        <v>1000</v>
      </c>
      <c r="BV791" s="46" t="str">
        <f>IFERROR(__xludf.DUMMYFUNCTION("""COMPUTED_VALUE"""),"Piper")</f>
        <v>Piper</v>
      </c>
      <c r="BW791" s="46">
        <f t="shared" si="13"/>
        <v>51</v>
      </c>
      <c r="BX791" s="47">
        <f t="shared" ref="BX791:CA791" si="2485">AX791-$BU791</f>
        <v>-1000</v>
      </c>
      <c r="BY791" s="47">
        <f t="shared" si="2485"/>
        <v>-1000</v>
      </c>
      <c r="BZ791" s="47">
        <f t="shared" si="2485"/>
        <v>-1000</v>
      </c>
      <c r="CA791" s="47">
        <f t="shared" si="2485"/>
        <v>-1000</v>
      </c>
      <c r="CB791" s="47">
        <f t="shared" si="15"/>
        <v>-10000</v>
      </c>
      <c r="CC791" s="47">
        <f t="shared" ref="CC791:CQ791" si="2486">BC791-$BU791</f>
        <v>-1000</v>
      </c>
      <c r="CD791" s="47">
        <f t="shared" si="2486"/>
        <v>-1000</v>
      </c>
      <c r="CE791" s="47">
        <f t="shared" si="2486"/>
        <v>-1000</v>
      </c>
      <c r="CF791" s="47">
        <f t="shared" si="2486"/>
        <v>-1000</v>
      </c>
      <c r="CG791" s="47">
        <f t="shared" si="2486"/>
        <v>-1000</v>
      </c>
      <c r="CH791" s="47">
        <f t="shared" si="2486"/>
        <v>-1000</v>
      </c>
      <c r="CI791" s="47">
        <f t="shared" si="2486"/>
        <v>-949</v>
      </c>
      <c r="CJ791" s="47">
        <f t="shared" si="2486"/>
        <v>-1000</v>
      </c>
      <c r="CK791" s="47">
        <f t="shared" si="2486"/>
        <v>-1000</v>
      </c>
      <c r="CL791" s="47">
        <f t="shared" si="2486"/>
        <v>-1000</v>
      </c>
      <c r="CM791" s="47">
        <f t="shared" si="2486"/>
        <v>-1000</v>
      </c>
      <c r="CN791" s="47">
        <f t="shared" si="2486"/>
        <v>-1000</v>
      </c>
      <c r="CO791" s="47">
        <f t="shared" si="2486"/>
        <v>-1000</v>
      </c>
      <c r="CP791" s="47">
        <f t="shared" si="2486"/>
        <v>-1000</v>
      </c>
      <c r="CQ791" s="47">
        <f t="shared" si="2486"/>
        <v>-1000</v>
      </c>
      <c r="CR791" s="47"/>
      <c r="CS791" s="47"/>
      <c r="CT791" s="47"/>
      <c r="CU791" s="74"/>
      <c r="CV791" s="74"/>
      <c r="CW791" s="74" t="str">
        <f>IFERROR(__xludf.DUMMYFUNCTION("IF(REGEXMATCH(UPPER(CU791), ""DALLAS""),,CU791)"),"")</f>
        <v/>
      </c>
      <c r="CX791" s="74"/>
      <c r="CY791" s="74"/>
      <c r="CZ791" s="74"/>
      <c r="DA791" s="75"/>
      <c r="DB791" s="74"/>
      <c r="DC791" s="74"/>
      <c r="DD791" s="74"/>
      <c r="DE791" s="74"/>
      <c r="DF791" s="74"/>
      <c r="DG791" s="74"/>
      <c r="DH791" s="74"/>
      <c r="DI791" s="74"/>
      <c r="DJ791" s="74"/>
      <c r="DK791" s="74"/>
      <c r="DL791" s="74"/>
      <c r="DM791" s="74"/>
      <c r="DN791" s="74"/>
      <c r="DO791" s="74"/>
      <c r="DP791" s="74"/>
      <c r="DQ791" s="74"/>
      <c r="DR791" s="74"/>
      <c r="DS791" s="74"/>
      <c r="DT791" s="74"/>
      <c r="DU791" s="74"/>
      <c r="DV791" s="74"/>
      <c r="DW791" s="74"/>
    </row>
    <row r="792">
      <c r="A792" s="22" t="s">
        <v>55</v>
      </c>
      <c r="B792" s="23" t="s">
        <v>56</v>
      </c>
      <c r="C792" s="31" t="s">
        <v>122</v>
      </c>
      <c r="D792" s="25" t="str">
        <f>IFERROR(__xludf.DUMMYFUNCTION("SPLIT(C792,"" "")"),"Agarwal,")</f>
        <v>Agarwal,</v>
      </c>
      <c r="E792" s="22" t="str">
        <f>IFERROR(__xludf.DUMMYFUNCTION("""COMPUTED_VALUE"""),"Durga
2921")</f>
        <v>Durga
2921</v>
      </c>
      <c r="F792" s="22" t="str">
        <f>IFERROR(__xludf.DUMMYFUNCTION("""COMPUTED_VALUE"""),"University")</f>
        <v>University</v>
      </c>
      <c r="G792" s="22" t="str">
        <f>IFERROR(__xludf.DUMMYFUNCTION("""COMPUTED_VALUE"""),"Blvd
Houston,")</f>
        <v>Blvd
Houston,</v>
      </c>
      <c r="H792" s="22" t="str">
        <f>IFERROR(__xludf.DUMMYFUNCTION("""COMPUTED_VALUE"""),"TX")</f>
        <v>TX</v>
      </c>
      <c r="I792" s="22">
        <f>IFERROR(__xludf.DUMMYFUNCTION("""COMPUTED_VALUE"""),77005.0)</f>
        <v>77005</v>
      </c>
      <c r="J792" s="22"/>
      <c r="K792" s="22"/>
      <c r="L792" s="22"/>
      <c r="M792" s="22"/>
      <c r="N792" s="22"/>
      <c r="O792" s="22"/>
      <c r="P792" s="22"/>
      <c r="Q792" s="22"/>
      <c r="R792" s="22"/>
      <c r="S792" s="22"/>
      <c r="T792" s="22"/>
      <c r="U792" s="24" t="str">
        <f>IFERROR(__xludf.DUMMYFUNCTION("SPLIT(E792,""01234567890"")"),"Durga
")</f>
        <v>Durga
</v>
      </c>
      <c r="V792" s="24" t="str">
        <f>IFERROR(__xludf.DUMMYFUNCTION("SPLIT(D792,"","")"),"Agarwal")</f>
        <v>Agarwal</v>
      </c>
      <c r="W792" s="25" t="str">
        <f t="shared" si="1"/>
        <v>DURGA
 AGARWAL</v>
      </c>
      <c r="X792" s="22"/>
      <c r="Y792" s="22"/>
      <c r="Z792" s="25" t="str">
        <f>IFERROR(__xludf.DUMMYFUNCTION("SPLIT(C792,""
"")"),"Agarwal, Durga")</f>
        <v>Agarwal, Durga</v>
      </c>
      <c r="AA792" s="22" t="str">
        <f>IFERROR(__xludf.DUMMYFUNCTION("""COMPUTED_VALUE"""),"2921 University Blvd")</f>
        <v>2921 University Blvd</v>
      </c>
      <c r="AB792" s="22" t="str">
        <f>IFERROR(__xludf.DUMMYFUNCTION("""COMPUTED_VALUE"""),"Houston, TX 77005")</f>
        <v>Houston, TX 77005</v>
      </c>
      <c r="AC792" s="31" t="s">
        <v>124</v>
      </c>
      <c r="AD792" s="22"/>
      <c r="AE792" s="22"/>
      <c r="AF792" s="22"/>
      <c r="AG792" s="22" t="s">
        <v>60</v>
      </c>
      <c r="AH792" s="54">
        <v>2481.0</v>
      </c>
      <c r="AI792" s="22" t="s">
        <v>68</v>
      </c>
      <c r="AJ792" s="27">
        <v>1000.0</v>
      </c>
      <c r="AK792" s="31" t="s">
        <v>25</v>
      </c>
      <c r="AL792" s="28">
        <v>44861.0</v>
      </c>
      <c r="AM792" s="29">
        <v>44937.81995370371</v>
      </c>
      <c r="AN792" s="30">
        <v>2.0</v>
      </c>
      <c r="AO792" s="22"/>
      <c r="AP792" s="22"/>
      <c r="AQ792" s="22"/>
      <c r="AR792" s="22"/>
      <c r="AS792" s="22"/>
      <c r="AT792" s="70"/>
      <c r="AU792" s="22"/>
      <c r="AV792" s="57" t="str">
        <f>IFERROR(__xludf.DUMMYFUNCTION("""COMPUTED_VALUE"""),"Dorminy")</f>
        <v>Dorminy</v>
      </c>
      <c r="AW792" s="46">
        <f t="shared" si="7"/>
        <v>51</v>
      </c>
      <c r="AX792" s="47">
        <f t="shared" ref="AX792:BQ792" si="2487">SUMIFS($AJ:$AJ,$V:$V,$AV792,$AK:$AK,AX$2)</f>
        <v>0</v>
      </c>
      <c r="AY792" s="48">
        <f t="shared" si="2487"/>
        <v>0</v>
      </c>
      <c r="AZ792" s="48">
        <f t="shared" si="2487"/>
        <v>0</v>
      </c>
      <c r="BA792" s="48">
        <f t="shared" si="2487"/>
        <v>0</v>
      </c>
      <c r="BB792" s="48">
        <f t="shared" si="2487"/>
        <v>0</v>
      </c>
      <c r="BC792" s="48">
        <f t="shared" si="2487"/>
        <v>0</v>
      </c>
      <c r="BD792" s="48">
        <f t="shared" si="2487"/>
        <v>0</v>
      </c>
      <c r="BE792" s="48">
        <f t="shared" si="2487"/>
        <v>0</v>
      </c>
      <c r="BF792" s="48">
        <f t="shared" si="2487"/>
        <v>0</v>
      </c>
      <c r="BG792" s="48">
        <f t="shared" si="2487"/>
        <v>0</v>
      </c>
      <c r="BH792" s="48">
        <f t="shared" si="2487"/>
        <v>0</v>
      </c>
      <c r="BI792" s="48">
        <f t="shared" si="2487"/>
        <v>51</v>
      </c>
      <c r="BJ792" s="48">
        <f t="shared" si="2487"/>
        <v>0</v>
      </c>
      <c r="BK792" s="48">
        <f t="shared" si="2487"/>
        <v>0</v>
      </c>
      <c r="BL792" s="48">
        <f t="shared" si="2487"/>
        <v>0</v>
      </c>
      <c r="BM792" s="48">
        <f t="shared" si="2487"/>
        <v>0</v>
      </c>
      <c r="BN792" s="48">
        <f t="shared" si="2487"/>
        <v>0</v>
      </c>
      <c r="BO792" s="48">
        <f t="shared" si="2487"/>
        <v>0</v>
      </c>
      <c r="BP792" s="48">
        <f t="shared" si="2487"/>
        <v>0</v>
      </c>
      <c r="BQ792" s="48">
        <f t="shared" si="2487"/>
        <v>0</v>
      </c>
      <c r="BR792" s="36">
        <f t="shared" si="9"/>
        <v>0</v>
      </c>
      <c r="BS792" s="38">
        <f t="shared" si="10"/>
        <v>1</v>
      </c>
      <c r="BT792" s="49">
        <f t="shared" si="11"/>
        <v>0</v>
      </c>
      <c r="BU792" s="38">
        <f t="shared" si="12"/>
        <v>1000</v>
      </c>
      <c r="BV792" s="57" t="str">
        <f>IFERROR(__xludf.DUMMYFUNCTION("""COMPUTED_VALUE"""),"Dorminy")</f>
        <v>Dorminy</v>
      </c>
      <c r="BW792" s="46">
        <f t="shared" si="13"/>
        <v>51</v>
      </c>
      <c r="BX792" s="47">
        <f t="shared" ref="BX792:CA792" si="2488">AX792-$BU792</f>
        <v>-1000</v>
      </c>
      <c r="BY792" s="47">
        <f t="shared" si="2488"/>
        <v>-1000</v>
      </c>
      <c r="BZ792" s="47">
        <f t="shared" si="2488"/>
        <v>-1000</v>
      </c>
      <c r="CA792" s="47">
        <f t="shared" si="2488"/>
        <v>-1000</v>
      </c>
      <c r="CB792" s="47">
        <f t="shared" si="15"/>
        <v>-10000</v>
      </c>
      <c r="CC792" s="47">
        <f t="shared" ref="CC792:CQ792" si="2489">BC792-$BU792</f>
        <v>-1000</v>
      </c>
      <c r="CD792" s="47">
        <f t="shared" si="2489"/>
        <v>-1000</v>
      </c>
      <c r="CE792" s="47">
        <f t="shared" si="2489"/>
        <v>-1000</v>
      </c>
      <c r="CF792" s="47">
        <f t="shared" si="2489"/>
        <v>-1000</v>
      </c>
      <c r="CG792" s="47">
        <f t="shared" si="2489"/>
        <v>-1000</v>
      </c>
      <c r="CH792" s="47">
        <f t="shared" si="2489"/>
        <v>-1000</v>
      </c>
      <c r="CI792" s="47">
        <f t="shared" si="2489"/>
        <v>-949</v>
      </c>
      <c r="CJ792" s="47">
        <f t="shared" si="2489"/>
        <v>-1000</v>
      </c>
      <c r="CK792" s="47">
        <f t="shared" si="2489"/>
        <v>-1000</v>
      </c>
      <c r="CL792" s="47">
        <f t="shared" si="2489"/>
        <v>-1000</v>
      </c>
      <c r="CM792" s="47">
        <f t="shared" si="2489"/>
        <v>-1000</v>
      </c>
      <c r="CN792" s="47">
        <f t="shared" si="2489"/>
        <v>-1000</v>
      </c>
      <c r="CO792" s="47">
        <f t="shared" si="2489"/>
        <v>-1000</v>
      </c>
      <c r="CP792" s="47">
        <f t="shared" si="2489"/>
        <v>-1000</v>
      </c>
      <c r="CQ792" s="47">
        <f t="shared" si="2489"/>
        <v>-1000</v>
      </c>
      <c r="CR792" s="47"/>
      <c r="CS792" s="47"/>
      <c r="CT792" s="47"/>
      <c r="CU792" s="74"/>
      <c r="CV792" s="74"/>
      <c r="CW792" s="74" t="str">
        <f>IFERROR(__xludf.DUMMYFUNCTION("IF(REGEXMATCH(UPPER(CU792), ""DALLAS""),,CU792)"),"")</f>
        <v/>
      </c>
      <c r="CX792" s="74"/>
      <c r="CY792" s="74"/>
      <c r="CZ792" s="74"/>
      <c r="DA792" s="75"/>
      <c r="DB792" s="74"/>
      <c r="DC792" s="74"/>
      <c r="DD792" s="74"/>
      <c r="DE792" s="74"/>
      <c r="DF792" s="74"/>
      <c r="DG792" s="74"/>
      <c r="DH792" s="74"/>
      <c r="DI792" s="74"/>
      <c r="DJ792" s="74"/>
      <c r="DK792" s="74"/>
      <c r="DL792" s="74"/>
      <c r="DM792" s="74"/>
      <c r="DN792" s="74"/>
      <c r="DO792" s="74"/>
      <c r="DP792" s="74"/>
      <c r="DQ792" s="74"/>
      <c r="DR792" s="74"/>
      <c r="DS792" s="74"/>
      <c r="DT792" s="74"/>
      <c r="DU792" s="74"/>
      <c r="DV792" s="74"/>
      <c r="DW792" s="74"/>
    </row>
    <row r="793">
      <c r="A793" s="40" t="s">
        <v>55</v>
      </c>
      <c r="B793" s="41" t="s">
        <v>56</v>
      </c>
      <c r="C793" s="31" t="s">
        <v>2031</v>
      </c>
      <c r="D793" s="25" t="str">
        <f>IFERROR(__xludf.DUMMYFUNCTION("SPLIT(C793,"" "")"),"Eisenberg,")</f>
        <v>Eisenberg,</v>
      </c>
      <c r="E793" s="40" t="str">
        <f>IFERROR(__xludf.DUMMYFUNCTION("""COMPUTED_VALUE"""),"Phil
3215")</f>
        <v>Phil
3215</v>
      </c>
      <c r="F793" s="40" t="str">
        <f>IFERROR(__xludf.DUMMYFUNCTION("""COMPUTED_VALUE"""),"Plumb")</f>
        <v>Plumb</v>
      </c>
      <c r="G793" s="40" t="str">
        <f>IFERROR(__xludf.DUMMYFUNCTION("""COMPUTED_VALUE"""),"Street
Houston,")</f>
        <v>Street
Houston,</v>
      </c>
      <c r="H793" s="40" t="str">
        <f>IFERROR(__xludf.DUMMYFUNCTION("""COMPUTED_VALUE"""),"TX")</f>
        <v>TX</v>
      </c>
      <c r="I793" s="40">
        <f>IFERROR(__xludf.DUMMYFUNCTION("""COMPUTED_VALUE"""),77005.0)</f>
        <v>77005</v>
      </c>
      <c r="J793" s="40"/>
      <c r="K793" s="40"/>
      <c r="L793" s="40"/>
      <c r="M793" s="40"/>
      <c r="N793" s="40"/>
      <c r="O793" s="40"/>
      <c r="P793" s="40"/>
      <c r="Q793" s="40"/>
      <c r="R793" s="40"/>
      <c r="S793" s="40"/>
      <c r="T793" s="40"/>
      <c r="U793" s="24" t="str">
        <f>IFERROR(__xludf.DUMMYFUNCTION("SPLIT(E793,""01234567890"")"),"Phil
")</f>
        <v>Phil
</v>
      </c>
      <c r="V793" s="24" t="str">
        <f>IFERROR(__xludf.DUMMYFUNCTION("SPLIT(D793,"","")"),"Eisenberg")</f>
        <v>Eisenberg</v>
      </c>
      <c r="W793" s="25" t="str">
        <f t="shared" si="1"/>
        <v>PHIL
 EISENBERG</v>
      </c>
      <c r="X793" s="40"/>
      <c r="Y793" s="40"/>
      <c r="Z793" s="25" t="str">
        <f>IFERROR(__xludf.DUMMYFUNCTION("SPLIT(C793,""
"")"),"Eisenberg, Phil")</f>
        <v>Eisenberg, Phil</v>
      </c>
      <c r="AA793" s="40" t="str">
        <f>IFERROR(__xludf.DUMMYFUNCTION("""COMPUTED_VALUE"""),"3215 Plumb Street")</f>
        <v>3215 Plumb Street</v>
      </c>
      <c r="AB793" s="40" t="str">
        <f>IFERROR(__xludf.DUMMYFUNCTION("""COMPUTED_VALUE"""),"Houston, TX 77005")</f>
        <v>Houston, TX 77005</v>
      </c>
      <c r="AC793" s="31" t="s">
        <v>2032</v>
      </c>
      <c r="AD793" s="40"/>
      <c r="AE793" s="40"/>
      <c r="AF793" s="40"/>
      <c r="AG793" s="40" t="s">
        <v>60</v>
      </c>
      <c r="AH793" s="42">
        <v>2481.0</v>
      </c>
      <c r="AI793" s="40" t="s">
        <v>68</v>
      </c>
      <c r="AJ793" s="27">
        <v>1000.0</v>
      </c>
      <c r="AK793" s="31" t="s">
        <v>25</v>
      </c>
      <c r="AL793" s="43">
        <v>44861.0</v>
      </c>
      <c r="AM793" s="44">
        <v>44937.81995370371</v>
      </c>
      <c r="AN793" s="30">
        <v>2.0</v>
      </c>
      <c r="AO793" s="40"/>
      <c r="AP793" s="40"/>
      <c r="AQ793" s="40"/>
      <c r="AR793" s="40"/>
      <c r="AS793" s="40"/>
      <c r="AT793" s="47"/>
      <c r="AU793" s="40"/>
      <c r="AV793" s="46" t="str">
        <f>IFERROR(__xludf.DUMMYFUNCTION("""COMPUTED_VALUE"""),"Nettles")</f>
        <v>Nettles</v>
      </c>
      <c r="AW793" s="46">
        <f t="shared" si="7"/>
        <v>25</v>
      </c>
      <c r="AX793" s="47">
        <f t="shared" ref="AX793:BQ793" si="2490">SUMIFS($AJ:$AJ,$V:$V,$AV793,$AK:$AK,AX$2)</f>
        <v>0</v>
      </c>
      <c r="AY793" s="48">
        <f t="shared" si="2490"/>
        <v>0</v>
      </c>
      <c r="AZ793" s="48">
        <f t="shared" si="2490"/>
        <v>0</v>
      </c>
      <c r="BA793" s="48">
        <f t="shared" si="2490"/>
        <v>0</v>
      </c>
      <c r="BB793" s="48">
        <f t="shared" si="2490"/>
        <v>0</v>
      </c>
      <c r="BC793" s="48">
        <f t="shared" si="2490"/>
        <v>0</v>
      </c>
      <c r="BD793" s="48">
        <f t="shared" si="2490"/>
        <v>0</v>
      </c>
      <c r="BE793" s="48">
        <f t="shared" si="2490"/>
        <v>0</v>
      </c>
      <c r="BF793" s="48">
        <f t="shared" si="2490"/>
        <v>0</v>
      </c>
      <c r="BG793" s="48">
        <f t="shared" si="2490"/>
        <v>0</v>
      </c>
      <c r="BH793" s="48">
        <f t="shared" si="2490"/>
        <v>0</v>
      </c>
      <c r="BI793" s="48">
        <f t="shared" si="2490"/>
        <v>25</v>
      </c>
      <c r="BJ793" s="48">
        <f t="shared" si="2490"/>
        <v>0</v>
      </c>
      <c r="BK793" s="48">
        <f t="shared" si="2490"/>
        <v>0</v>
      </c>
      <c r="BL793" s="48">
        <f t="shared" si="2490"/>
        <v>0</v>
      </c>
      <c r="BM793" s="48">
        <f t="shared" si="2490"/>
        <v>0</v>
      </c>
      <c r="BN793" s="48">
        <f t="shared" si="2490"/>
        <v>0</v>
      </c>
      <c r="BO793" s="48">
        <f t="shared" si="2490"/>
        <v>0</v>
      </c>
      <c r="BP793" s="48">
        <f t="shared" si="2490"/>
        <v>0</v>
      </c>
      <c r="BQ793" s="48">
        <f t="shared" si="2490"/>
        <v>0</v>
      </c>
      <c r="BR793" s="36">
        <f t="shared" si="9"/>
        <v>0</v>
      </c>
      <c r="BS793" s="38">
        <f t="shared" si="10"/>
        <v>1</v>
      </c>
      <c r="BT793" s="49">
        <f t="shared" si="11"/>
        <v>0</v>
      </c>
      <c r="BU793" s="38">
        <f t="shared" si="12"/>
        <v>1000</v>
      </c>
      <c r="BV793" s="46" t="str">
        <f>IFERROR(__xludf.DUMMYFUNCTION("""COMPUTED_VALUE"""),"Nettles")</f>
        <v>Nettles</v>
      </c>
      <c r="BW793" s="46">
        <f t="shared" si="13"/>
        <v>25</v>
      </c>
      <c r="BX793" s="47">
        <f t="shared" ref="BX793:CA793" si="2491">AX793-$BU793</f>
        <v>-1000</v>
      </c>
      <c r="BY793" s="47">
        <f t="shared" si="2491"/>
        <v>-1000</v>
      </c>
      <c r="BZ793" s="47">
        <f t="shared" si="2491"/>
        <v>-1000</v>
      </c>
      <c r="CA793" s="47">
        <f t="shared" si="2491"/>
        <v>-1000</v>
      </c>
      <c r="CB793" s="47">
        <f t="shared" si="15"/>
        <v>-10000</v>
      </c>
      <c r="CC793" s="47">
        <f t="shared" ref="CC793:CQ793" si="2492">BC793-$BU793</f>
        <v>-1000</v>
      </c>
      <c r="CD793" s="47">
        <f t="shared" si="2492"/>
        <v>-1000</v>
      </c>
      <c r="CE793" s="47">
        <f t="shared" si="2492"/>
        <v>-1000</v>
      </c>
      <c r="CF793" s="47">
        <f t="shared" si="2492"/>
        <v>-1000</v>
      </c>
      <c r="CG793" s="47">
        <f t="shared" si="2492"/>
        <v>-1000</v>
      </c>
      <c r="CH793" s="47">
        <f t="shared" si="2492"/>
        <v>-1000</v>
      </c>
      <c r="CI793" s="47">
        <f t="shared" si="2492"/>
        <v>-975</v>
      </c>
      <c r="CJ793" s="47">
        <f t="shared" si="2492"/>
        <v>-1000</v>
      </c>
      <c r="CK793" s="47">
        <f t="shared" si="2492"/>
        <v>-1000</v>
      </c>
      <c r="CL793" s="47">
        <f t="shared" si="2492"/>
        <v>-1000</v>
      </c>
      <c r="CM793" s="47">
        <f t="shared" si="2492"/>
        <v>-1000</v>
      </c>
      <c r="CN793" s="47">
        <f t="shared" si="2492"/>
        <v>-1000</v>
      </c>
      <c r="CO793" s="47">
        <f t="shared" si="2492"/>
        <v>-1000</v>
      </c>
      <c r="CP793" s="47">
        <f t="shared" si="2492"/>
        <v>-1000</v>
      </c>
      <c r="CQ793" s="47">
        <f t="shared" si="2492"/>
        <v>-1000</v>
      </c>
      <c r="CR793" s="47"/>
      <c r="CS793" s="47"/>
      <c r="CT793" s="47"/>
      <c r="CU793" s="74"/>
      <c r="CV793" s="74"/>
      <c r="CW793" s="74" t="str">
        <f>IFERROR(__xludf.DUMMYFUNCTION("IF(REGEXMATCH(UPPER(CU793), ""DALLAS""),,CU793)"),"")</f>
        <v/>
      </c>
      <c r="CX793" s="74"/>
      <c r="CY793" s="74"/>
      <c r="CZ793" s="74"/>
      <c r="DA793" s="75"/>
      <c r="DB793" s="74"/>
      <c r="DC793" s="74"/>
      <c r="DD793" s="74"/>
      <c r="DE793" s="74"/>
      <c r="DF793" s="74"/>
      <c r="DG793" s="74"/>
      <c r="DH793" s="74"/>
      <c r="DI793" s="74"/>
      <c r="DJ793" s="74"/>
      <c r="DK793" s="74"/>
      <c r="DL793" s="74"/>
      <c r="DM793" s="74"/>
      <c r="DN793" s="74"/>
      <c r="DO793" s="74"/>
      <c r="DP793" s="74"/>
      <c r="DQ793" s="74"/>
      <c r="DR793" s="74"/>
      <c r="DS793" s="74"/>
      <c r="DT793" s="74"/>
      <c r="DU793" s="74"/>
      <c r="DV793" s="74"/>
      <c r="DW793" s="74"/>
    </row>
    <row r="794">
      <c r="A794" s="22" t="s">
        <v>55</v>
      </c>
      <c r="B794" s="23" t="s">
        <v>56</v>
      </c>
      <c r="C794" s="31" t="s">
        <v>2033</v>
      </c>
      <c r="D794" s="25" t="str">
        <f>IFERROR(__xludf.DUMMYFUNCTION("SPLIT(C794,"" "")"),"Grace,")</f>
        <v>Grace,</v>
      </c>
      <c r="E794" s="22" t="str">
        <f>IFERROR(__xludf.DUMMYFUNCTION("""COMPUTED_VALUE"""),"Jim
1305")</f>
        <v>Jim
1305</v>
      </c>
      <c r="F794" s="22" t="str">
        <f>IFERROR(__xludf.DUMMYFUNCTION("""COMPUTED_VALUE"""),"Guadalupe")</f>
        <v>Guadalupe</v>
      </c>
      <c r="G794" s="22" t="str">
        <f>IFERROR(__xludf.DUMMYFUNCTION("""COMPUTED_VALUE"""),"St
Austin,")</f>
        <v>St
Austin,</v>
      </c>
      <c r="H794" s="22" t="str">
        <f>IFERROR(__xludf.DUMMYFUNCTION("""COMPUTED_VALUE"""),"TX")</f>
        <v>TX</v>
      </c>
      <c r="I794" s="22">
        <f>IFERROR(__xludf.DUMMYFUNCTION("""COMPUTED_VALUE"""),78701.0)</f>
        <v>78701</v>
      </c>
      <c r="J794" s="22"/>
      <c r="K794" s="22"/>
      <c r="L794" s="22"/>
      <c r="M794" s="22"/>
      <c r="N794" s="22"/>
      <c r="O794" s="22"/>
      <c r="P794" s="22"/>
      <c r="Q794" s="22"/>
      <c r="R794" s="22"/>
      <c r="S794" s="22"/>
      <c r="T794" s="22"/>
      <c r="U794" s="24" t="str">
        <f>IFERROR(__xludf.DUMMYFUNCTION("SPLIT(E794,""01234567890"")"),"Jim
")</f>
        <v>Jim
</v>
      </c>
      <c r="V794" s="24" t="str">
        <f>IFERROR(__xludf.DUMMYFUNCTION("SPLIT(D794,"","")"),"Grace")</f>
        <v>Grace</v>
      </c>
      <c r="W794" s="25" t="str">
        <f t="shared" si="1"/>
        <v>JIM
 GRACE</v>
      </c>
      <c r="X794" s="22"/>
      <c r="Y794" s="22"/>
      <c r="Z794" s="25" t="str">
        <f>IFERROR(__xludf.DUMMYFUNCTION("SPLIT(C794,""
"")"),"Grace, Jim")</f>
        <v>Grace, Jim</v>
      </c>
      <c r="AA794" s="22" t="str">
        <f>IFERROR(__xludf.DUMMYFUNCTION("""COMPUTED_VALUE"""),"1305 Guadalupe St")</f>
        <v>1305 Guadalupe St</v>
      </c>
      <c r="AB794" s="22" t="str">
        <f>IFERROR(__xludf.DUMMYFUNCTION("""COMPUTED_VALUE"""),"Austin, TX 78701")</f>
        <v>Austin, TX 78701</v>
      </c>
      <c r="AC794" s="31" t="s">
        <v>2034</v>
      </c>
      <c r="AD794" s="22"/>
      <c r="AE794" s="22"/>
      <c r="AF794" s="22"/>
      <c r="AG794" s="22" t="s">
        <v>60</v>
      </c>
      <c r="AH794" s="54">
        <v>2481.0</v>
      </c>
      <c r="AI794" s="22" t="s">
        <v>68</v>
      </c>
      <c r="AJ794" s="27">
        <v>1000.0</v>
      </c>
      <c r="AK794" s="31" t="s">
        <v>25</v>
      </c>
      <c r="AL794" s="28">
        <v>44861.0</v>
      </c>
      <c r="AM794" s="29">
        <v>44937.81995370371</v>
      </c>
      <c r="AN794" s="30">
        <v>2.0</v>
      </c>
      <c r="AO794" s="22"/>
      <c r="AP794" s="22"/>
      <c r="AQ794" s="22"/>
      <c r="AR794" s="22"/>
      <c r="AS794" s="22"/>
      <c r="AT794" s="70"/>
      <c r="AU794" s="22"/>
      <c r="AV794" s="57" t="str">
        <f>IFERROR(__xludf.DUMMYFUNCTION("""COMPUTED_VALUE"""),"Hasenbauer")</f>
        <v>Hasenbauer</v>
      </c>
      <c r="AW794" s="46">
        <f t="shared" si="7"/>
        <v>175</v>
      </c>
      <c r="AX794" s="47">
        <f t="shared" ref="AX794:BQ794" si="2493">SUMIFS($AJ:$AJ,$V:$V,$AV794,$AK:$AK,AX$2)</f>
        <v>0</v>
      </c>
      <c r="AY794" s="48">
        <f t="shared" si="2493"/>
        <v>0</v>
      </c>
      <c r="AZ794" s="48">
        <f t="shared" si="2493"/>
        <v>0</v>
      </c>
      <c r="BA794" s="48">
        <f t="shared" si="2493"/>
        <v>0</v>
      </c>
      <c r="BB794" s="48">
        <f t="shared" si="2493"/>
        <v>0</v>
      </c>
      <c r="BC794" s="48">
        <f t="shared" si="2493"/>
        <v>0</v>
      </c>
      <c r="BD794" s="48">
        <f t="shared" si="2493"/>
        <v>0</v>
      </c>
      <c r="BE794" s="48">
        <f t="shared" si="2493"/>
        <v>0</v>
      </c>
      <c r="BF794" s="48">
        <f t="shared" si="2493"/>
        <v>0</v>
      </c>
      <c r="BG794" s="48">
        <f t="shared" si="2493"/>
        <v>0</v>
      </c>
      <c r="BH794" s="48">
        <f t="shared" si="2493"/>
        <v>0</v>
      </c>
      <c r="BI794" s="48">
        <f t="shared" si="2493"/>
        <v>175</v>
      </c>
      <c r="BJ794" s="48">
        <f t="shared" si="2493"/>
        <v>0</v>
      </c>
      <c r="BK794" s="48">
        <f t="shared" si="2493"/>
        <v>0</v>
      </c>
      <c r="BL794" s="48">
        <f t="shared" si="2493"/>
        <v>0</v>
      </c>
      <c r="BM794" s="48">
        <f t="shared" si="2493"/>
        <v>0</v>
      </c>
      <c r="BN794" s="48">
        <f t="shared" si="2493"/>
        <v>0</v>
      </c>
      <c r="BO794" s="48">
        <f t="shared" si="2493"/>
        <v>0</v>
      </c>
      <c r="BP794" s="48">
        <f t="shared" si="2493"/>
        <v>0</v>
      </c>
      <c r="BQ794" s="48">
        <f t="shared" si="2493"/>
        <v>0</v>
      </c>
      <c r="BR794" s="36">
        <f t="shared" si="9"/>
        <v>0</v>
      </c>
      <c r="BS794" s="38">
        <f t="shared" si="10"/>
        <v>1</v>
      </c>
      <c r="BT794" s="49">
        <f t="shared" si="11"/>
        <v>0</v>
      </c>
      <c r="BU794" s="38">
        <f t="shared" si="12"/>
        <v>1000</v>
      </c>
      <c r="BV794" s="57" t="str">
        <f>IFERROR(__xludf.DUMMYFUNCTION("""COMPUTED_VALUE"""),"Hasenbauer")</f>
        <v>Hasenbauer</v>
      </c>
      <c r="BW794" s="46">
        <f t="shared" si="13"/>
        <v>175</v>
      </c>
      <c r="BX794" s="47">
        <f t="shared" ref="BX794:CA794" si="2494">AX794-$BU794</f>
        <v>-1000</v>
      </c>
      <c r="BY794" s="47">
        <f t="shared" si="2494"/>
        <v>-1000</v>
      </c>
      <c r="BZ794" s="47">
        <f t="shared" si="2494"/>
        <v>-1000</v>
      </c>
      <c r="CA794" s="47">
        <f t="shared" si="2494"/>
        <v>-1000</v>
      </c>
      <c r="CB794" s="47">
        <f t="shared" si="15"/>
        <v>-10000</v>
      </c>
      <c r="CC794" s="47">
        <f t="shared" ref="CC794:CQ794" si="2495">BC794-$BU794</f>
        <v>-1000</v>
      </c>
      <c r="CD794" s="47">
        <f t="shared" si="2495"/>
        <v>-1000</v>
      </c>
      <c r="CE794" s="47">
        <f t="shared" si="2495"/>
        <v>-1000</v>
      </c>
      <c r="CF794" s="47">
        <f t="shared" si="2495"/>
        <v>-1000</v>
      </c>
      <c r="CG794" s="47">
        <f t="shared" si="2495"/>
        <v>-1000</v>
      </c>
      <c r="CH794" s="47">
        <f t="shared" si="2495"/>
        <v>-1000</v>
      </c>
      <c r="CI794" s="47">
        <f t="shared" si="2495"/>
        <v>-825</v>
      </c>
      <c r="CJ794" s="47">
        <f t="shared" si="2495"/>
        <v>-1000</v>
      </c>
      <c r="CK794" s="47">
        <f t="shared" si="2495"/>
        <v>-1000</v>
      </c>
      <c r="CL794" s="47">
        <f t="shared" si="2495"/>
        <v>-1000</v>
      </c>
      <c r="CM794" s="47">
        <f t="shared" si="2495"/>
        <v>-1000</v>
      </c>
      <c r="CN794" s="47">
        <f t="shared" si="2495"/>
        <v>-1000</v>
      </c>
      <c r="CO794" s="47">
        <f t="shared" si="2495"/>
        <v>-1000</v>
      </c>
      <c r="CP794" s="47">
        <f t="shared" si="2495"/>
        <v>-1000</v>
      </c>
      <c r="CQ794" s="47">
        <f t="shared" si="2495"/>
        <v>-1000</v>
      </c>
      <c r="CR794" s="47"/>
      <c r="CS794" s="47"/>
      <c r="CT794" s="47"/>
      <c r="CU794" s="74"/>
      <c r="CV794" s="74"/>
      <c r="CW794" s="74" t="str">
        <f>IFERROR(__xludf.DUMMYFUNCTION("IF(REGEXMATCH(UPPER(CU794), ""DALLAS""),,CU794)"),"")</f>
        <v/>
      </c>
      <c r="CX794" s="74"/>
      <c r="CY794" s="74"/>
      <c r="CZ794" s="74"/>
      <c r="DA794" s="75"/>
      <c r="DB794" s="74"/>
      <c r="DC794" s="74"/>
      <c r="DD794" s="74"/>
      <c r="DE794" s="74"/>
      <c r="DF794" s="74"/>
      <c r="DG794" s="74"/>
      <c r="DH794" s="74"/>
      <c r="DI794" s="74"/>
      <c r="DJ794" s="74"/>
      <c r="DK794" s="74"/>
      <c r="DL794" s="74"/>
      <c r="DM794" s="74"/>
      <c r="DN794" s="74"/>
      <c r="DO794" s="74"/>
      <c r="DP794" s="74"/>
      <c r="DQ794" s="74"/>
      <c r="DR794" s="74"/>
      <c r="DS794" s="74"/>
      <c r="DT794" s="74"/>
      <c r="DU794" s="74"/>
      <c r="DV794" s="74"/>
      <c r="DW794" s="74"/>
    </row>
    <row r="795">
      <c r="A795" s="40" t="s">
        <v>55</v>
      </c>
      <c r="B795" s="41" t="s">
        <v>56</v>
      </c>
      <c r="C795" s="31" t="s">
        <v>2035</v>
      </c>
      <c r="D795" s="25" t="str">
        <f>IFERROR(__xludf.DUMMYFUNCTION("SPLIT(C795,"" "")"),"Gutierrez,")</f>
        <v>Gutierrez,</v>
      </c>
      <c r="E795" s="40" t="str">
        <f>IFERROR(__xludf.DUMMYFUNCTION("""COMPUTED_VALUE"""),"Hugo
10322")</f>
        <v>Hugo
10322</v>
      </c>
      <c r="F795" s="40" t="str">
        <f>IFERROR(__xludf.DUMMYFUNCTION("""COMPUTED_VALUE"""),"Sugar")</f>
        <v>Sugar</v>
      </c>
      <c r="G795" s="40" t="str">
        <f>IFERROR(__xludf.DUMMYFUNCTION("""COMPUTED_VALUE"""),"Hill
Houston,")</f>
        <v>Hill
Houston,</v>
      </c>
      <c r="H795" s="40" t="str">
        <f>IFERROR(__xludf.DUMMYFUNCTION("""COMPUTED_VALUE"""),"TX")</f>
        <v>TX</v>
      </c>
      <c r="I795" s="40">
        <f>IFERROR(__xludf.DUMMYFUNCTION("""COMPUTED_VALUE"""),77042.0)</f>
        <v>77042</v>
      </c>
      <c r="J795" s="40"/>
      <c r="K795" s="40"/>
      <c r="L795" s="40"/>
      <c r="M795" s="40"/>
      <c r="N795" s="40"/>
      <c r="O795" s="40"/>
      <c r="P795" s="40"/>
      <c r="Q795" s="40"/>
      <c r="R795" s="40"/>
      <c r="S795" s="40"/>
      <c r="T795" s="40"/>
      <c r="U795" s="24" t="str">
        <f>IFERROR(__xludf.DUMMYFUNCTION("SPLIT(E795,""01234567890"")"),"Hugo
")</f>
        <v>Hugo
</v>
      </c>
      <c r="V795" s="24" t="str">
        <f>IFERROR(__xludf.DUMMYFUNCTION("SPLIT(D795,"","")"),"Gutierrez")</f>
        <v>Gutierrez</v>
      </c>
      <c r="W795" s="25" t="str">
        <f t="shared" si="1"/>
        <v>HUGO
 GUTIERREZ</v>
      </c>
      <c r="X795" s="40"/>
      <c r="Y795" s="40"/>
      <c r="Z795" s="25" t="str">
        <f>IFERROR(__xludf.DUMMYFUNCTION("SPLIT(C795,""
"")"),"Gutierrez, Hugo")</f>
        <v>Gutierrez, Hugo</v>
      </c>
      <c r="AA795" s="40" t="str">
        <f>IFERROR(__xludf.DUMMYFUNCTION("""COMPUTED_VALUE"""),"10322 Sugar Hill")</f>
        <v>10322 Sugar Hill</v>
      </c>
      <c r="AB795" s="40" t="str">
        <f>IFERROR(__xludf.DUMMYFUNCTION("""COMPUTED_VALUE"""),"Houston, TX 77042")</f>
        <v>Houston, TX 77042</v>
      </c>
      <c r="AC795" s="31" t="s">
        <v>2036</v>
      </c>
      <c r="AD795" s="40"/>
      <c r="AE795" s="40"/>
      <c r="AF795" s="40"/>
      <c r="AG795" s="40" t="s">
        <v>60</v>
      </c>
      <c r="AH795" s="42">
        <v>2481.0</v>
      </c>
      <c r="AI795" s="40" t="s">
        <v>68</v>
      </c>
      <c r="AJ795" s="27">
        <v>500.0</v>
      </c>
      <c r="AK795" s="31" t="s">
        <v>25</v>
      </c>
      <c r="AL795" s="43">
        <v>44861.0</v>
      </c>
      <c r="AM795" s="44">
        <v>44937.81995370371</v>
      </c>
      <c r="AN795" s="30">
        <v>2.0</v>
      </c>
      <c r="AO795" s="40"/>
      <c r="AP795" s="40"/>
      <c r="AQ795" s="40"/>
      <c r="AR795" s="40"/>
      <c r="AS795" s="40"/>
      <c r="AT795" s="47"/>
      <c r="AU795" s="40"/>
      <c r="AV795" s="46" t="str">
        <f>IFERROR(__xludf.DUMMYFUNCTION("""COMPUTED_VALUE"""),"Mills")</f>
        <v>Mills</v>
      </c>
      <c r="AW795" s="46">
        <f t="shared" si="7"/>
        <v>60</v>
      </c>
      <c r="AX795" s="47">
        <f t="shared" ref="AX795:BQ795" si="2496">SUMIFS($AJ:$AJ,$V:$V,$AV795,$AK:$AK,AX$2)</f>
        <v>0</v>
      </c>
      <c r="AY795" s="48">
        <f t="shared" si="2496"/>
        <v>0</v>
      </c>
      <c r="AZ795" s="48">
        <f t="shared" si="2496"/>
        <v>0</v>
      </c>
      <c r="BA795" s="48">
        <f t="shared" si="2496"/>
        <v>0</v>
      </c>
      <c r="BB795" s="48">
        <f t="shared" si="2496"/>
        <v>0</v>
      </c>
      <c r="BC795" s="48">
        <f t="shared" si="2496"/>
        <v>0</v>
      </c>
      <c r="BD795" s="48">
        <f t="shared" si="2496"/>
        <v>0</v>
      </c>
      <c r="BE795" s="48">
        <f t="shared" si="2496"/>
        <v>0</v>
      </c>
      <c r="BF795" s="48">
        <f t="shared" si="2496"/>
        <v>0</v>
      </c>
      <c r="BG795" s="48">
        <f t="shared" si="2496"/>
        <v>0</v>
      </c>
      <c r="BH795" s="48">
        <f t="shared" si="2496"/>
        <v>0</v>
      </c>
      <c r="BI795" s="48">
        <f t="shared" si="2496"/>
        <v>60</v>
      </c>
      <c r="BJ795" s="48">
        <f t="shared" si="2496"/>
        <v>0</v>
      </c>
      <c r="BK795" s="48">
        <f t="shared" si="2496"/>
        <v>0</v>
      </c>
      <c r="BL795" s="48">
        <f t="shared" si="2496"/>
        <v>0</v>
      </c>
      <c r="BM795" s="48">
        <f t="shared" si="2496"/>
        <v>0</v>
      </c>
      <c r="BN795" s="48">
        <f t="shared" si="2496"/>
        <v>0</v>
      </c>
      <c r="BO795" s="48">
        <f t="shared" si="2496"/>
        <v>0</v>
      </c>
      <c r="BP795" s="48">
        <f t="shared" si="2496"/>
        <v>0</v>
      </c>
      <c r="BQ795" s="48">
        <f t="shared" si="2496"/>
        <v>0</v>
      </c>
      <c r="BR795" s="36">
        <f t="shared" si="9"/>
        <v>0</v>
      </c>
      <c r="BS795" s="38">
        <f t="shared" si="10"/>
        <v>1</v>
      </c>
      <c r="BT795" s="49">
        <f t="shared" si="11"/>
        <v>0</v>
      </c>
      <c r="BU795" s="38">
        <f t="shared" si="12"/>
        <v>1000</v>
      </c>
      <c r="BV795" s="46" t="str">
        <f>IFERROR(__xludf.DUMMYFUNCTION("""COMPUTED_VALUE"""),"Mills")</f>
        <v>Mills</v>
      </c>
      <c r="BW795" s="46">
        <f t="shared" si="13"/>
        <v>60</v>
      </c>
      <c r="BX795" s="47">
        <f t="shared" ref="BX795:CA795" si="2497">AX795-$BU795</f>
        <v>-1000</v>
      </c>
      <c r="BY795" s="47">
        <f t="shared" si="2497"/>
        <v>-1000</v>
      </c>
      <c r="BZ795" s="47">
        <f t="shared" si="2497"/>
        <v>-1000</v>
      </c>
      <c r="CA795" s="47">
        <f t="shared" si="2497"/>
        <v>-1000</v>
      </c>
      <c r="CB795" s="47">
        <f t="shared" si="15"/>
        <v>-10000</v>
      </c>
      <c r="CC795" s="47">
        <f t="shared" ref="CC795:CQ795" si="2498">BC795-$BU795</f>
        <v>-1000</v>
      </c>
      <c r="CD795" s="47">
        <f t="shared" si="2498"/>
        <v>-1000</v>
      </c>
      <c r="CE795" s="47">
        <f t="shared" si="2498"/>
        <v>-1000</v>
      </c>
      <c r="CF795" s="47">
        <f t="shared" si="2498"/>
        <v>-1000</v>
      </c>
      <c r="CG795" s="47">
        <f t="shared" si="2498"/>
        <v>-1000</v>
      </c>
      <c r="CH795" s="47">
        <f t="shared" si="2498"/>
        <v>-1000</v>
      </c>
      <c r="CI795" s="47">
        <f t="shared" si="2498"/>
        <v>-940</v>
      </c>
      <c r="CJ795" s="47">
        <f t="shared" si="2498"/>
        <v>-1000</v>
      </c>
      <c r="CK795" s="47">
        <f t="shared" si="2498"/>
        <v>-1000</v>
      </c>
      <c r="CL795" s="47">
        <f t="shared" si="2498"/>
        <v>-1000</v>
      </c>
      <c r="CM795" s="47">
        <f t="shared" si="2498"/>
        <v>-1000</v>
      </c>
      <c r="CN795" s="47">
        <f t="shared" si="2498"/>
        <v>-1000</v>
      </c>
      <c r="CO795" s="47">
        <f t="shared" si="2498"/>
        <v>-1000</v>
      </c>
      <c r="CP795" s="47">
        <f t="shared" si="2498"/>
        <v>-1000</v>
      </c>
      <c r="CQ795" s="47">
        <f t="shared" si="2498"/>
        <v>-1000</v>
      </c>
      <c r="CR795" s="47"/>
      <c r="CS795" s="47"/>
      <c r="CT795" s="47"/>
      <c r="CU795" s="74"/>
      <c r="CV795" s="74"/>
      <c r="CW795" s="74" t="str">
        <f>IFERROR(__xludf.DUMMYFUNCTION("IF(REGEXMATCH(UPPER(CU795), ""DALLAS""),,CU795)"),"")</f>
        <v/>
      </c>
      <c r="CX795" s="74"/>
      <c r="CY795" s="74"/>
      <c r="CZ795" s="74"/>
      <c r="DA795" s="75"/>
      <c r="DB795" s="74"/>
      <c r="DC795" s="74"/>
      <c r="DD795" s="74"/>
      <c r="DE795" s="74"/>
      <c r="DF795" s="74"/>
      <c r="DG795" s="74"/>
      <c r="DH795" s="74"/>
      <c r="DI795" s="74"/>
      <c r="DJ795" s="74"/>
      <c r="DK795" s="74"/>
      <c r="DL795" s="74"/>
      <c r="DM795" s="74"/>
      <c r="DN795" s="74"/>
      <c r="DO795" s="74"/>
      <c r="DP795" s="74"/>
      <c r="DQ795" s="74"/>
      <c r="DR795" s="74"/>
      <c r="DS795" s="74"/>
      <c r="DT795" s="74"/>
      <c r="DU795" s="74"/>
      <c r="DV795" s="74"/>
      <c r="DW795" s="74"/>
    </row>
    <row r="796">
      <c r="A796" s="22" t="s">
        <v>55</v>
      </c>
      <c r="B796" s="23" t="s">
        <v>56</v>
      </c>
      <c r="C796" s="31" t="s">
        <v>2037</v>
      </c>
      <c r="D796" s="25" t="str">
        <f>IFERROR(__xludf.DUMMYFUNCTION("SPLIT(C796,"" "")"),"Hooey,")</f>
        <v>Hooey,</v>
      </c>
      <c r="E796" s="22" t="str">
        <f>IFERROR(__xludf.DUMMYFUNCTION("""COMPUTED_VALUE"""),"Betty
2621")</f>
        <v>Betty
2621</v>
      </c>
      <c r="F796" s="22" t="str">
        <f>IFERROR(__xludf.DUMMYFUNCTION("""COMPUTED_VALUE"""),"Exline")</f>
        <v>Exline</v>
      </c>
      <c r="G796" s="22" t="str">
        <f>IFERROR(__xludf.DUMMYFUNCTION("""COMPUTED_VALUE"""),"Street
Dallas,")</f>
        <v>Street
Dallas,</v>
      </c>
      <c r="H796" s="22" t="str">
        <f>IFERROR(__xludf.DUMMYFUNCTION("""COMPUTED_VALUE"""),"TX")</f>
        <v>TX</v>
      </c>
      <c r="I796" s="22">
        <f>IFERROR(__xludf.DUMMYFUNCTION("""COMPUTED_VALUE"""),75215.0)</f>
        <v>75215</v>
      </c>
      <c r="J796" s="22"/>
      <c r="K796" s="22"/>
      <c r="L796" s="22"/>
      <c r="M796" s="22"/>
      <c r="N796" s="22"/>
      <c r="O796" s="22"/>
      <c r="P796" s="22"/>
      <c r="Q796" s="22"/>
      <c r="R796" s="22"/>
      <c r="S796" s="22"/>
      <c r="T796" s="22"/>
      <c r="U796" s="24" t="str">
        <f>IFERROR(__xludf.DUMMYFUNCTION("SPLIT(E796,""01234567890"")"),"Betty
")</f>
        <v>Betty
</v>
      </c>
      <c r="V796" s="24" t="str">
        <f>IFERROR(__xludf.DUMMYFUNCTION("SPLIT(D796,"","")"),"Hooey")</f>
        <v>Hooey</v>
      </c>
      <c r="W796" s="25" t="str">
        <f t="shared" si="1"/>
        <v>BETTY
 HOOEY</v>
      </c>
      <c r="X796" s="22"/>
      <c r="Y796" s="22"/>
      <c r="Z796" s="25" t="str">
        <f>IFERROR(__xludf.DUMMYFUNCTION("SPLIT(C796,""
"")"),"Hooey, Betty")</f>
        <v>Hooey, Betty</v>
      </c>
      <c r="AA796" s="22" t="str">
        <f>IFERROR(__xludf.DUMMYFUNCTION("""COMPUTED_VALUE"""),"2621 Exline Street")</f>
        <v>2621 Exline Street</v>
      </c>
      <c r="AB796" s="22" t="str">
        <f>IFERROR(__xludf.DUMMYFUNCTION("""COMPUTED_VALUE"""),"Dallas, TX 75215")</f>
        <v>Dallas, TX 75215</v>
      </c>
      <c r="AC796" s="31" t="s">
        <v>2038</v>
      </c>
      <c r="AD796" s="22"/>
      <c r="AE796" s="22"/>
      <c r="AF796" s="22"/>
      <c r="AG796" s="22" t="s">
        <v>60</v>
      </c>
      <c r="AH796" s="54">
        <v>2481.0</v>
      </c>
      <c r="AI796" s="22" t="s">
        <v>68</v>
      </c>
      <c r="AJ796" s="27">
        <v>100.0</v>
      </c>
      <c r="AK796" s="31" t="s">
        <v>25</v>
      </c>
      <c r="AL796" s="28">
        <v>44861.0</v>
      </c>
      <c r="AM796" s="29">
        <v>44937.81995370371</v>
      </c>
      <c r="AN796" s="30">
        <v>2.0</v>
      </c>
      <c r="AO796" s="22"/>
      <c r="AP796" s="22"/>
      <c r="AQ796" s="22"/>
      <c r="AR796" s="22"/>
      <c r="AS796" s="22"/>
      <c r="AT796" s="70"/>
      <c r="AU796" s="22"/>
      <c r="AV796" s="57" t="str">
        <f>IFERROR(__xludf.DUMMYFUNCTION("""COMPUTED_VALUE"""),"Odum")</f>
        <v>Odum</v>
      </c>
      <c r="AW796" s="46">
        <f t="shared" si="7"/>
        <v>25</v>
      </c>
      <c r="AX796" s="47">
        <f t="shared" ref="AX796:BQ796" si="2499">SUMIFS($AJ:$AJ,$V:$V,$AV796,$AK:$AK,AX$2)</f>
        <v>0</v>
      </c>
      <c r="AY796" s="48">
        <f t="shared" si="2499"/>
        <v>0</v>
      </c>
      <c r="AZ796" s="48">
        <f t="shared" si="2499"/>
        <v>0</v>
      </c>
      <c r="BA796" s="48">
        <f t="shared" si="2499"/>
        <v>0</v>
      </c>
      <c r="BB796" s="48">
        <f t="shared" si="2499"/>
        <v>0</v>
      </c>
      <c r="BC796" s="48">
        <f t="shared" si="2499"/>
        <v>0</v>
      </c>
      <c r="BD796" s="48">
        <f t="shared" si="2499"/>
        <v>0</v>
      </c>
      <c r="BE796" s="48">
        <f t="shared" si="2499"/>
        <v>0</v>
      </c>
      <c r="BF796" s="48">
        <f t="shared" si="2499"/>
        <v>0</v>
      </c>
      <c r="BG796" s="48">
        <f t="shared" si="2499"/>
        <v>0</v>
      </c>
      <c r="BH796" s="48">
        <f t="shared" si="2499"/>
        <v>0</v>
      </c>
      <c r="BI796" s="48">
        <f t="shared" si="2499"/>
        <v>25</v>
      </c>
      <c r="BJ796" s="48">
        <f t="shared" si="2499"/>
        <v>0</v>
      </c>
      <c r="BK796" s="48">
        <f t="shared" si="2499"/>
        <v>0</v>
      </c>
      <c r="BL796" s="48">
        <f t="shared" si="2499"/>
        <v>0</v>
      </c>
      <c r="BM796" s="48">
        <f t="shared" si="2499"/>
        <v>0</v>
      </c>
      <c r="BN796" s="48">
        <f t="shared" si="2499"/>
        <v>0</v>
      </c>
      <c r="BO796" s="48">
        <f t="shared" si="2499"/>
        <v>0</v>
      </c>
      <c r="BP796" s="48">
        <f t="shared" si="2499"/>
        <v>0</v>
      </c>
      <c r="BQ796" s="48">
        <f t="shared" si="2499"/>
        <v>0</v>
      </c>
      <c r="BR796" s="36">
        <f t="shared" si="9"/>
        <v>0</v>
      </c>
      <c r="BS796" s="38">
        <f t="shared" si="10"/>
        <v>1</v>
      </c>
      <c r="BT796" s="49">
        <f t="shared" si="11"/>
        <v>0</v>
      </c>
      <c r="BU796" s="38">
        <f t="shared" si="12"/>
        <v>1000</v>
      </c>
      <c r="BV796" s="57" t="str">
        <f>IFERROR(__xludf.DUMMYFUNCTION("""COMPUTED_VALUE"""),"Odum")</f>
        <v>Odum</v>
      </c>
      <c r="BW796" s="46">
        <f t="shared" si="13"/>
        <v>25</v>
      </c>
      <c r="BX796" s="47">
        <f t="shared" ref="BX796:CA796" si="2500">AX796-$BU796</f>
        <v>-1000</v>
      </c>
      <c r="BY796" s="47">
        <f t="shared" si="2500"/>
        <v>-1000</v>
      </c>
      <c r="BZ796" s="47">
        <f t="shared" si="2500"/>
        <v>-1000</v>
      </c>
      <c r="CA796" s="47">
        <f t="shared" si="2500"/>
        <v>-1000</v>
      </c>
      <c r="CB796" s="47">
        <f t="shared" si="15"/>
        <v>-10000</v>
      </c>
      <c r="CC796" s="47">
        <f t="shared" ref="CC796:CQ796" si="2501">BC796-$BU796</f>
        <v>-1000</v>
      </c>
      <c r="CD796" s="47">
        <f t="shared" si="2501"/>
        <v>-1000</v>
      </c>
      <c r="CE796" s="47">
        <f t="shared" si="2501"/>
        <v>-1000</v>
      </c>
      <c r="CF796" s="47">
        <f t="shared" si="2501"/>
        <v>-1000</v>
      </c>
      <c r="CG796" s="47">
        <f t="shared" si="2501"/>
        <v>-1000</v>
      </c>
      <c r="CH796" s="47">
        <f t="shared" si="2501"/>
        <v>-1000</v>
      </c>
      <c r="CI796" s="47">
        <f t="shared" si="2501"/>
        <v>-975</v>
      </c>
      <c r="CJ796" s="47">
        <f t="shared" si="2501"/>
        <v>-1000</v>
      </c>
      <c r="CK796" s="47">
        <f t="shared" si="2501"/>
        <v>-1000</v>
      </c>
      <c r="CL796" s="47">
        <f t="shared" si="2501"/>
        <v>-1000</v>
      </c>
      <c r="CM796" s="47">
        <f t="shared" si="2501"/>
        <v>-1000</v>
      </c>
      <c r="CN796" s="47">
        <f t="shared" si="2501"/>
        <v>-1000</v>
      </c>
      <c r="CO796" s="47">
        <f t="shared" si="2501"/>
        <v>-1000</v>
      </c>
      <c r="CP796" s="47">
        <f t="shared" si="2501"/>
        <v>-1000</v>
      </c>
      <c r="CQ796" s="47">
        <f t="shared" si="2501"/>
        <v>-1000</v>
      </c>
      <c r="CR796" s="47"/>
      <c r="CS796" s="47"/>
      <c r="CT796" s="47"/>
      <c r="CU796" s="74"/>
      <c r="CV796" s="74"/>
      <c r="CW796" s="74" t="str">
        <f>IFERROR(__xludf.DUMMYFUNCTION("IF(REGEXMATCH(UPPER(CU796), ""DALLAS""),,CU796)"),"")</f>
        <v/>
      </c>
      <c r="CX796" s="74"/>
      <c r="CY796" s="74"/>
      <c r="CZ796" s="74"/>
      <c r="DA796" s="75"/>
      <c r="DB796" s="74"/>
      <c r="DC796" s="74"/>
      <c r="DD796" s="74"/>
      <c r="DE796" s="74"/>
      <c r="DF796" s="74"/>
      <c r="DG796" s="74"/>
      <c r="DH796" s="74"/>
      <c r="DI796" s="74"/>
      <c r="DJ796" s="74"/>
      <c r="DK796" s="74"/>
      <c r="DL796" s="74"/>
      <c r="DM796" s="74"/>
      <c r="DN796" s="74"/>
      <c r="DO796" s="74"/>
      <c r="DP796" s="74"/>
      <c r="DQ796" s="74"/>
      <c r="DR796" s="74"/>
      <c r="DS796" s="74"/>
      <c r="DT796" s="74"/>
      <c r="DU796" s="74"/>
      <c r="DV796" s="74"/>
      <c r="DW796" s="74"/>
    </row>
    <row r="797">
      <c r="A797" s="40" t="s">
        <v>55</v>
      </c>
      <c r="B797" s="41" t="s">
        <v>56</v>
      </c>
      <c r="C797" s="31" t="s">
        <v>2039</v>
      </c>
      <c r="D797" s="25" t="str">
        <f>IFERROR(__xludf.DUMMYFUNCTION("SPLIT(C797,"" "")"),"Love,")</f>
        <v>Love,</v>
      </c>
      <c r="E797" s="40" t="str">
        <f>IFERROR(__xludf.DUMMYFUNCTION("""COMPUTED_VALUE"""),"Jeff
3744")</f>
        <v>Jeff
3744</v>
      </c>
      <c r="F797" s="40" t="str">
        <f>IFERROR(__xludf.DUMMYFUNCTION("""COMPUTED_VALUE"""),"Inwood
Houston,")</f>
        <v>Inwood
Houston,</v>
      </c>
      <c r="G797" s="40" t="str">
        <f>IFERROR(__xludf.DUMMYFUNCTION("""COMPUTED_VALUE"""),"TX")</f>
        <v>TX</v>
      </c>
      <c r="H797" s="40">
        <f>IFERROR(__xludf.DUMMYFUNCTION("""COMPUTED_VALUE"""),77019.0)</f>
        <v>77019</v>
      </c>
      <c r="I797" s="40"/>
      <c r="J797" s="40"/>
      <c r="K797" s="40"/>
      <c r="L797" s="40"/>
      <c r="M797" s="40"/>
      <c r="N797" s="40"/>
      <c r="O797" s="40"/>
      <c r="P797" s="40"/>
      <c r="Q797" s="40"/>
      <c r="R797" s="40"/>
      <c r="S797" s="40"/>
      <c r="T797" s="40"/>
      <c r="U797" s="24" t="str">
        <f>IFERROR(__xludf.DUMMYFUNCTION("SPLIT(E797,""01234567890"")"),"Jeff
")</f>
        <v>Jeff
</v>
      </c>
      <c r="V797" s="24" t="str">
        <f>IFERROR(__xludf.DUMMYFUNCTION("SPLIT(D797,"","")"),"Love")</f>
        <v>Love</v>
      </c>
      <c r="W797" s="25" t="str">
        <f t="shared" si="1"/>
        <v>JEFF
 LOVE</v>
      </c>
      <c r="X797" s="40"/>
      <c r="Y797" s="40"/>
      <c r="Z797" s="25" t="str">
        <f>IFERROR(__xludf.DUMMYFUNCTION("SPLIT(C797,""
"")"),"Love, Jeff")</f>
        <v>Love, Jeff</v>
      </c>
      <c r="AA797" s="40" t="str">
        <f>IFERROR(__xludf.DUMMYFUNCTION("""COMPUTED_VALUE"""),"3744 Inwood")</f>
        <v>3744 Inwood</v>
      </c>
      <c r="AB797" s="40" t="str">
        <f>IFERROR(__xludf.DUMMYFUNCTION("""COMPUTED_VALUE"""),"Houston, TX 77019")</f>
        <v>Houston, TX 77019</v>
      </c>
      <c r="AC797" s="31" t="s">
        <v>2040</v>
      </c>
      <c r="AD797" s="40"/>
      <c r="AE797" s="40"/>
      <c r="AF797" s="40"/>
      <c r="AG797" s="40" t="s">
        <v>60</v>
      </c>
      <c r="AH797" s="42">
        <v>2481.0</v>
      </c>
      <c r="AI797" s="40" t="s">
        <v>68</v>
      </c>
      <c r="AJ797" s="27">
        <v>2500.0</v>
      </c>
      <c r="AK797" s="31" t="s">
        <v>25</v>
      </c>
      <c r="AL797" s="43">
        <v>44851.0</v>
      </c>
      <c r="AM797" s="44">
        <v>44937.81995370371</v>
      </c>
      <c r="AN797" s="30">
        <v>2.0</v>
      </c>
      <c r="AO797" s="40"/>
      <c r="AP797" s="40"/>
      <c r="AQ797" s="40"/>
      <c r="AR797" s="40"/>
      <c r="AS797" s="40"/>
      <c r="AT797" s="47"/>
      <c r="AU797" s="40"/>
      <c r="AV797" s="46" t="str">
        <f>IFERROR(__xludf.DUMMYFUNCTION("""COMPUTED_VALUE"""),"Guynes")</f>
        <v>Guynes</v>
      </c>
      <c r="AW797" s="46">
        <f t="shared" si="7"/>
        <v>25</v>
      </c>
      <c r="AX797" s="47">
        <f t="shared" ref="AX797:BQ797" si="2502">SUMIFS($AJ:$AJ,$V:$V,$AV797,$AK:$AK,AX$2)</f>
        <v>0</v>
      </c>
      <c r="AY797" s="48">
        <f t="shared" si="2502"/>
        <v>0</v>
      </c>
      <c r="AZ797" s="48">
        <f t="shared" si="2502"/>
        <v>0</v>
      </c>
      <c r="BA797" s="48">
        <f t="shared" si="2502"/>
        <v>0</v>
      </c>
      <c r="BB797" s="48">
        <f t="shared" si="2502"/>
        <v>0</v>
      </c>
      <c r="BC797" s="48">
        <f t="shared" si="2502"/>
        <v>0</v>
      </c>
      <c r="BD797" s="48">
        <f t="shared" si="2502"/>
        <v>0</v>
      </c>
      <c r="BE797" s="48">
        <f t="shared" si="2502"/>
        <v>0</v>
      </c>
      <c r="BF797" s="48">
        <f t="shared" si="2502"/>
        <v>0</v>
      </c>
      <c r="BG797" s="48">
        <f t="shared" si="2502"/>
        <v>0</v>
      </c>
      <c r="BH797" s="48">
        <f t="shared" si="2502"/>
        <v>0</v>
      </c>
      <c r="BI797" s="48">
        <f t="shared" si="2502"/>
        <v>25</v>
      </c>
      <c r="BJ797" s="48">
        <f t="shared" si="2502"/>
        <v>0</v>
      </c>
      <c r="BK797" s="48">
        <f t="shared" si="2502"/>
        <v>0</v>
      </c>
      <c r="BL797" s="48">
        <f t="shared" si="2502"/>
        <v>0</v>
      </c>
      <c r="BM797" s="48">
        <f t="shared" si="2502"/>
        <v>0</v>
      </c>
      <c r="BN797" s="48">
        <f t="shared" si="2502"/>
        <v>0</v>
      </c>
      <c r="BO797" s="48">
        <f t="shared" si="2502"/>
        <v>0</v>
      </c>
      <c r="BP797" s="48">
        <f t="shared" si="2502"/>
        <v>0</v>
      </c>
      <c r="BQ797" s="48">
        <f t="shared" si="2502"/>
        <v>0</v>
      </c>
      <c r="BR797" s="36">
        <f t="shared" si="9"/>
        <v>0</v>
      </c>
      <c r="BS797" s="38">
        <f t="shared" si="10"/>
        <v>1</v>
      </c>
      <c r="BT797" s="49">
        <f t="shared" si="11"/>
        <v>0</v>
      </c>
      <c r="BU797" s="38">
        <f t="shared" si="12"/>
        <v>1000</v>
      </c>
      <c r="BV797" s="46" t="str">
        <f>IFERROR(__xludf.DUMMYFUNCTION("""COMPUTED_VALUE"""),"Guynes")</f>
        <v>Guynes</v>
      </c>
      <c r="BW797" s="46">
        <f t="shared" si="13"/>
        <v>25</v>
      </c>
      <c r="BX797" s="47">
        <f t="shared" ref="BX797:CA797" si="2503">AX797-$BU797</f>
        <v>-1000</v>
      </c>
      <c r="BY797" s="47">
        <f t="shared" si="2503"/>
        <v>-1000</v>
      </c>
      <c r="BZ797" s="47">
        <f t="shared" si="2503"/>
        <v>-1000</v>
      </c>
      <c r="CA797" s="47">
        <f t="shared" si="2503"/>
        <v>-1000</v>
      </c>
      <c r="CB797" s="47">
        <f t="shared" si="15"/>
        <v>-10000</v>
      </c>
      <c r="CC797" s="47">
        <f t="shared" ref="CC797:CQ797" si="2504">BC797-$BU797</f>
        <v>-1000</v>
      </c>
      <c r="CD797" s="47">
        <f t="shared" si="2504"/>
        <v>-1000</v>
      </c>
      <c r="CE797" s="47">
        <f t="shared" si="2504"/>
        <v>-1000</v>
      </c>
      <c r="CF797" s="47">
        <f t="shared" si="2504"/>
        <v>-1000</v>
      </c>
      <c r="CG797" s="47">
        <f t="shared" si="2504"/>
        <v>-1000</v>
      </c>
      <c r="CH797" s="47">
        <f t="shared" si="2504"/>
        <v>-1000</v>
      </c>
      <c r="CI797" s="47">
        <f t="shared" si="2504"/>
        <v>-975</v>
      </c>
      <c r="CJ797" s="47">
        <f t="shared" si="2504"/>
        <v>-1000</v>
      </c>
      <c r="CK797" s="47">
        <f t="shared" si="2504"/>
        <v>-1000</v>
      </c>
      <c r="CL797" s="47">
        <f t="shared" si="2504"/>
        <v>-1000</v>
      </c>
      <c r="CM797" s="47">
        <f t="shared" si="2504"/>
        <v>-1000</v>
      </c>
      <c r="CN797" s="47">
        <f t="shared" si="2504"/>
        <v>-1000</v>
      </c>
      <c r="CO797" s="47">
        <f t="shared" si="2504"/>
        <v>-1000</v>
      </c>
      <c r="CP797" s="47">
        <f t="shared" si="2504"/>
        <v>-1000</v>
      </c>
      <c r="CQ797" s="47">
        <f t="shared" si="2504"/>
        <v>-1000</v>
      </c>
      <c r="CR797" s="47"/>
      <c r="CS797" s="47"/>
      <c r="CT797" s="47"/>
      <c r="CU797" s="74"/>
      <c r="CV797" s="74"/>
      <c r="CW797" s="74" t="str">
        <f>IFERROR(__xludf.DUMMYFUNCTION("IF(REGEXMATCH(UPPER(CU797), ""DALLAS""),,CU797)"),"")</f>
        <v/>
      </c>
      <c r="CX797" s="74"/>
      <c r="CY797" s="74"/>
      <c r="CZ797" s="74"/>
      <c r="DA797" s="75"/>
      <c r="DB797" s="74"/>
      <c r="DC797" s="74"/>
      <c r="DD797" s="74"/>
      <c r="DE797" s="74"/>
      <c r="DF797" s="74"/>
      <c r="DG797" s="74"/>
      <c r="DH797" s="74"/>
      <c r="DI797" s="74"/>
      <c r="DJ797" s="74"/>
      <c r="DK797" s="74"/>
      <c r="DL797" s="74"/>
      <c r="DM797" s="74"/>
      <c r="DN797" s="74"/>
      <c r="DO797" s="74"/>
      <c r="DP797" s="74"/>
      <c r="DQ797" s="74"/>
      <c r="DR797" s="74"/>
      <c r="DS797" s="74"/>
      <c r="DT797" s="74"/>
      <c r="DU797" s="74"/>
      <c r="DV797" s="74"/>
      <c r="DW797" s="74"/>
    </row>
    <row r="798">
      <c r="A798" s="22" t="s">
        <v>55</v>
      </c>
      <c r="B798" s="23" t="s">
        <v>56</v>
      </c>
      <c r="C798" s="31" t="s">
        <v>2041</v>
      </c>
      <c r="D798" s="25" t="str">
        <f>IFERROR(__xludf.DUMMYFUNCTION("SPLIT(C798,"" "")"),"Peters,")</f>
        <v>Peters,</v>
      </c>
      <c r="E798" s="22" t="str">
        <f>IFERROR(__xludf.DUMMYFUNCTION("""COMPUTED_VALUE"""),"Mike
11007")</f>
        <v>Mike
11007</v>
      </c>
      <c r="F798" s="22" t="str">
        <f>IFERROR(__xludf.DUMMYFUNCTION("""COMPUTED_VALUE"""),"Hunters")</f>
        <v>Hunters</v>
      </c>
      <c r="G798" s="22" t="str">
        <f>IFERROR(__xludf.DUMMYFUNCTION("""COMPUTED_VALUE"""),"Park")</f>
        <v>Park</v>
      </c>
      <c r="H798" s="22" t="str">
        <f>IFERROR(__xludf.DUMMYFUNCTION("""COMPUTED_VALUE"""),"Dr
Houston,")</f>
        <v>Dr
Houston,</v>
      </c>
      <c r="I798" s="22" t="str">
        <f>IFERROR(__xludf.DUMMYFUNCTION("""COMPUTED_VALUE"""),"TX")</f>
        <v>TX</v>
      </c>
      <c r="J798" s="22">
        <f>IFERROR(__xludf.DUMMYFUNCTION("""COMPUTED_VALUE"""),77024.0)</f>
        <v>77024</v>
      </c>
      <c r="K798" s="22"/>
      <c r="L798" s="22"/>
      <c r="M798" s="22"/>
      <c r="N798" s="22"/>
      <c r="O798" s="22"/>
      <c r="P798" s="22"/>
      <c r="Q798" s="22"/>
      <c r="R798" s="22"/>
      <c r="S798" s="22"/>
      <c r="T798" s="22"/>
      <c r="U798" s="24" t="str">
        <f>IFERROR(__xludf.DUMMYFUNCTION("SPLIT(E798,""01234567890"")"),"Mike
")</f>
        <v>Mike
</v>
      </c>
      <c r="V798" s="24" t="str">
        <f>IFERROR(__xludf.DUMMYFUNCTION("SPLIT(D798,"","")"),"Peters")</f>
        <v>Peters</v>
      </c>
      <c r="W798" s="25" t="str">
        <f t="shared" si="1"/>
        <v>MIKE
 PETERS</v>
      </c>
      <c r="X798" s="22"/>
      <c r="Y798" s="22"/>
      <c r="Z798" s="25" t="str">
        <f>IFERROR(__xludf.DUMMYFUNCTION("SPLIT(C798,""
"")"),"Peters, Mike")</f>
        <v>Peters, Mike</v>
      </c>
      <c r="AA798" s="22" t="str">
        <f>IFERROR(__xludf.DUMMYFUNCTION("""COMPUTED_VALUE"""),"11007 Hunters Park Dr")</f>
        <v>11007 Hunters Park Dr</v>
      </c>
      <c r="AB798" s="22" t="str">
        <f>IFERROR(__xludf.DUMMYFUNCTION("""COMPUTED_VALUE"""),"Houston, TX 77024")</f>
        <v>Houston, TX 77024</v>
      </c>
      <c r="AC798" s="31" t="s">
        <v>2042</v>
      </c>
      <c r="AD798" s="22"/>
      <c r="AE798" s="22"/>
      <c r="AF798" s="22"/>
      <c r="AG798" s="22" t="s">
        <v>60</v>
      </c>
      <c r="AH798" s="54">
        <v>2481.0</v>
      </c>
      <c r="AI798" s="22" t="s">
        <v>68</v>
      </c>
      <c r="AJ798" s="27">
        <v>250.0</v>
      </c>
      <c r="AK798" s="31" t="s">
        <v>25</v>
      </c>
      <c r="AL798" s="28">
        <v>44861.0</v>
      </c>
      <c r="AM798" s="29">
        <v>44937.81995370371</v>
      </c>
      <c r="AN798" s="30">
        <v>2.0</v>
      </c>
      <c r="AO798" s="22"/>
      <c r="AP798" s="22"/>
      <c r="AQ798" s="22"/>
      <c r="AR798" s="22"/>
      <c r="AS798" s="22"/>
      <c r="AT798" s="70"/>
      <c r="AU798" s="22"/>
      <c r="AV798" s="57" t="str">
        <f>IFERROR(__xludf.DUMMYFUNCTION("""COMPUTED_VALUE"""),"Skemp")</f>
        <v>Skemp</v>
      </c>
      <c r="AW798" s="46">
        <f t="shared" si="7"/>
        <v>100</v>
      </c>
      <c r="AX798" s="47">
        <f t="shared" ref="AX798:BQ798" si="2505">SUMIFS($AJ:$AJ,$V:$V,$AV798,$AK:$AK,AX$2)</f>
        <v>0</v>
      </c>
      <c r="AY798" s="48">
        <f t="shared" si="2505"/>
        <v>0</v>
      </c>
      <c r="AZ798" s="48">
        <f t="shared" si="2505"/>
        <v>0</v>
      </c>
      <c r="BA798" s="48">
        <f t="shared" si="2505"/>
        <v>0</v>
      </c>
      <c r="BB798" s="48">
        <f t="shared" si="2505"/>
        <v>0</v>
      </c>
      <c r="BC798" s="48">
        <f t="shared" si="2505"/>
        <v>0</v>
      </c>
      <c r="BD798" s="48">
        <f t="shared" si="2505"/>
        <v>0</v>
      </c>
      <c r="BE798" s="48">
        <f t="shared" si="2505"/>
        <v>0</v>
      </c>
      <c r="BF798" s="48">
        <f t="shared" si="2505"/>
        <v>0</v>
      </c>
      <c r="BG798" s="48">
        <f t="shared" si="2505"/>
        <v>0</v>
      </c>
      <c r="BH798" s="48">
        <f t="shared" si="2505"/>
        <v>0</v>
      </c>
      <c r="BI798" s="48">
        <f t="shared" si="2505"/>
        <v>100</v>
      </c>
      <c r="BJ798" s="48">
        <f t="shared" si="2505"/>
        <v>0</v>
      </c>
      <c r="BK798" s="48">
        <f t="shared" si="2505"/>
        <v>0</v>
      </c>
      <c r="BL798" s="48">
        <f t="shared" si="2505"/>
        <v>0</v>
      </c>
      <c r="BM798" s="48">
        <f t="shared" si="2505"/>
        <v>0</v>
      </c>
      <c r="BN798" s="48">
        <f t="shared" si="2505"/>
        <v>0</v>
      </c>
      <c r="BO798" s="48">
        <f t="shared" si="2505"/>
        <v>0</v>
      </c>
      <c r="BP798" s="48">
        <f t="shared" si="2505"/>
        <v>0</v>
      </c>
      <c r="BQ798" s="48">
        <f t="shared" si="2505"/>
        <v>0</v>
      </c>
      <c r="BR798" s="36">
        <f t="shared" si="9"/>
        <v>0</v>
      </c>
      <c r="BS798" s="38">
        <f t="shared" si="10"/>
        <v>1</v>
      </c>
      <c r="BT798" s="49">
        <f t="shared" si="11"/>
        <v>0</v>
      </c>
      <c r="BU798" s="38">
        <f t="shared" si="12"/>
        <v>1000</v>
      </c>
      <c r="BV798" s="57" t="str">
        <f>IFERROR(__xludf.DUMMYFUNCTION("""COMPUTED_VALUE"""),"Skemp")</f>
        <v>Skemp</v>
      </c>
      <c r="BW798" s="46">
        <f t="shared" si="13"/>
        <v>100</v>
      </c>
      <c r="BX798" s="47">
        <f t="shared" ref="BX798:CA798" si="2506">AX798-$BU798</f>
        <v>-1000</v>
      </c>
      <c r="BY798" s="47">
        <f t="shared" si="2506"/>
        <v>-1000</v>
      </c>
      <c r="BZ798" s="47">
        <f t="shared" si="2506"/>
        <v>-1000</v>
      </c>
      <c r="CA798" s="47">
        <f t="shared" si="2506"/>
        <v>-1000</v>
      </c>
      <c r="CB798" s="47">
        <f t="shared" si="15"/>
        <v>-10000</v>
      </c>
      <c r="CC798" s="47">
        <f t="shared" ref="CC798:CQ798" si="2507">BC798-$BU798</f>
        <v>-1000</v>
      </c>
      <c r="CD798" s="47">
        <f t="shared" si="2507"/>
        <v>-1000</v>
      </c>
      <c r="CE798" s="47">
        <f t="shared" si="2507"/>
        <v>-1000</v>
      </c>
      <c r="CF798" s="47">
        <f t="shared" si="2507"/>
        <v>-1000</v>
      </c>
      <c r="CG798" s="47">
        <f t="shared" si="2507"/>
        <v>-1000</v>
      </c>
      <c r="CH798" s="47">
        <f t="shared" si="2507"/>
        <v>-1000</v>
      </c>
      <c r="CI798" s="47">
        <f t="shared" si="2507"/>
        <v>-900</v>
      </c>
      <c r="CJ798" s="47">
        <f t="shared" si="2507"/>
        <v>-1000</v>
      </c>
      <c r="CK798" s="47">
        <f t="shared" si="2507"/>
        <v>-1000</v>
      </c>
      <c r="CL798" s="47">
        <f t="shared" si="2507"/>
        <v>-1000</v>
      </c>
      <c r="CM798" s="47">
        <f t="shared" si="2507"/>
        <v>-1000</v>
      </c>
      <c r="CN798" s="47">
        <f t="shared" si="2507"/>
        <v>-1000</v>
      </c>
      <c r="CO798" s="47">
        <f t="shared" si="2507"/>
        <v>-1000</v>
      </c>
      <c r="CP798" s="47">
        <f t="shared" si="2507"/>
        <v>-1000</v>
      </c>
      <c r="CQ798" s="47">
        <f t="shared" si="2507"/>
        <v>-1000</v>
      </c>
      <c r="CR798" s="47"/>
      <c r="CS798" s="47"/>
      <c r="CT798" s="47"/>
      <c r="CU798" s="74"/>
      <c r="CV798" s="74"/>
      <c r="CW798" s="74" t="str">
        <f>IFERROR(__xludf.DUMMYFUNCTION("IF(REGEXMATCH(UPPER(CU798), ""DALLAS""),,CU798)"),"")</f>
        <v/>
      </c>
      <c r="CX798" s="74"/>
      <c r="CY798" s="74"/>
      <c r="CZ798" s="74"/>
      <c r="DA798" s="75"/>
      <c r="DB798" s="74"/>
      <c r="DC798" s="74"/>
      <c r="DD798" s="74"/>
      <c r="DE798" s="74"/>
      <c r="DF798" s="74"/>
      <c r="DG798" s="74"/>
      <c r="DH798" s="74"/>
      <c r="DI798" s="74"/>
      <c r="DJ798" s="74"/>
      <c r="DK798" s="74"/>
      <c r="DL798" s="74"/>
      <c r="DM798" s="74"/>
      <c r="DN798" s="74"/>
      <c r="DO798" s="74"/>
      <c r="DP798" s="74"/>
      <c r="DQ798" s="74"/>
      <c r="DR798" s="74"/>
      <c r="DS798" s="74"/>
      <c r="DT798" s="74"/>
      <c r="DU798" s="74"/>
      <c r="DV798" s="74"/>
      <c r="DW798" s="74"/>
    </row>
    <row r="799">
      <c r="A799" s="40" t="s">
        <v>55</v>
      </c>
      <c r="B799" s="41" t="s">
        <v>56</v>
      </c>
      <c r="C799" s="31" t="s">
        <v>183</v>
      </c>
      <c r="D799" s="25" t="str">
        <f>IFERROR(__xludf.DUMMYFUNCTION("SPLIT(C799,"" "")"),"Anderson,")</f>
        <v>Anderson,</v>
      </c>
      <c r="E799" s="40" t="str">
        <f>IFERROR(__xludf.DUMMYFUNCTION("""COMPUTED_VALUE"""),"Dick
3700")</f>
        <v>Dick
3700</v>
      </c>
      <c r="F799" s="40" t="str">
        <f>IFERROR(__xludf.DUMMYFUNCTION("""COMPUTED_VALUE"""),"N")</f>
        <v>N</v>
      </c>
      <c r="G799" s="40" t="str">
        <f>IFERROR(__xludf.DUMMYFUNCTION("""COMPUTED_VALUE"""),"Capital")</f>
        <v>Capital</v>
      </c>
      <c r="H799" s="40" t="str">
        <f>IFERROR(__xludf.DUMMYFUNCTION("""COMPUTED_VALUE"""),"of")</f>
        <v>of</v>
      </c>
      <c r="I799" s="40" t="str">
        <f>IFERROR(__xludf.DUMMYFUNCTION("""COMPUTED_VALUE"""),"TX")</f>
        <v>TX</v>
      </c>
      <c r="J799" s="40" t="str">
        <f>IFERROR(__xludf.DUMMYFUNCTION("""COMPUTED_VALUE"""),"Hwy
Austin,")</f>
        <v>Hwy
Austin,</v>
      </c>
      <c r="K799" s="40" t="str">
        <f>IFERROR(__xludf.DUMMYFUNCTION("""COMPUTED_VALUE"""),"TX")</f>
        <v>TX</v>
      </c>
      <c r="L799" s="40">
        <f>IFERROR(__xludf.DUMMYFUNCTION("""COMPUTED_VALUE"""),78746.0)</f>
        <v>78746</v>
      </c>
      <c r="M799" s="40"/>
      <c r="N799" s="40"/>
      <c r="O799" s="40"/>
      <c r="P799" s="40"/>
      <c r="Q799" s="40"/>
      <c r="R799" s="40"/>
      <c r="S799" s="40"/>
      <c r="T799" s="40"/>
      <c r="U799" s="24" t="str">
        <f>IFERROR(__xludf.DUMMYFUNCTION("SPLIT(E799,""01234567890"")"),"Dick
")</f>
        <v>Dick
</v>
      </c>
      <c r="V799" s="24" t="str">
        <f>IFERROR(__xludf.DUMMYFUNCTION("SPLIT(D799,"","")"),"Anderson")</f>
        <v>Anderson</v>
      </c>
      <c r="W799" s="25" t="str">
        <f t="shared" si="1"/>
        <v>DICK
 ANDERSON</v>
      </c>
      <c r="X799" s="40"/>
      <c r="Y799" s="40"/>
      <c r="Z799" s="25" t="str">
        <f>IFERROR(__xludf.DUMMYFUNCTION("SPLIT(C799,""
"")"),"Anderson, Dick")</f>
        <v>Anderson, Dick</v>
      </c>
      <c r="AA799" s="40" t="str">
        <f>IFERROR(__xludf.DUMMYFUNCTION("""COMPUTED_VALUE"""),"3700 N Capital of TX Hwy")</f>
        <v>3700 N Capital of TX Hwy</v>
      </c>
      <c r="AB799" s="40" t="str">
        <f>IFERROR(__xludf.DUMMYFUNCTION("""COMPUTED_VALUE"""),"Austin, TX 78746")</f>
        <v>Austin, TX 78746</v>
      </c>
      <c r="AC799" s="31" t="s">
        <v>185</v>
      </c>
      <c r="AD799" s="40"/>
      <c r="AE799" s="40"/>
      <c r="AF799" s="40"/>
      <c r="AG799" s="40" t="s">
        <v>60</v>
      </c>
      <c r="AH799" s="42">
        <v>2481.0</v>
      </c>
      <c r="AI799" s="40" t="s">
        <v>68</v>
      </c>
      <c r="AJ799" s="27">
        <v>1000.0</v>
      </c>
      <c r="AK799" s="31" t="s">
        <v>25</v>
      </c>
      <c r="AL799" s="43">
        <v>44826.0</v>
      </c>
      <c r="AM799" s="44">
        <v>44937.81995370371</v>
      </c>
      <c r="AN799" s="30">
        <v>2.0</v>
      </c>
      <c r="AO799" s="40"/>
      <c r="AP799" s="40"/>
      <c r="AQ799" s="40"/>
      <c r="AR799" s="40"/>
      <c r="AS799" s="40"/>
      <c r="AT799" s="47"/>
      <c r="AU799" s="40"/>
      <c r="AV799" s="46" t="str">
        <f>IFERROR(__xludf.DUMMYFUNCTION("""COMPUTED_VALUE"""),"Christen")</f>
        <v>Christen</v>
      </c>
      <c r="AW799" s="46">
        <f t="shared" si="7"/>
        <v>25</v>
      </c>
      <c r="AX799" s="47">
        <f t="shared" ref="AX799:BQ799" si="2508">SUMIFS($AJ:$AJ,$V:$V,$AV799,$AK:$AK,AX$2)</f>
        <v>0</v>
      </c>
      <c r="AY799" s="48">
        <f t="shared" si="2508"/>
        <v>0</v>
      </c>
      <c r="AZ799" s="48">
        <f t="shared" si="2508"/>
        <v>0</v>
      </c>
      <c r="BA799" s="48">
        <f t="shared" si="2508"/>
        <v>0</v>
      </c>
      <c r="BB799" s="48">
        <f t="shared" si="2508"/>
        <v>0</v>
      </c>
      <c r="BC799" s="48">
        <f t="shared" si="2508"/>
        <v>0</v>
      </c>
      <c r="BD799" s="48">
        <f t="shared" si="2508"/>
        <v>0</v>
      </c>
      <c r="BE799" s="48">
        <f t="shared" si="2508"/>
        <v>0</v>
      </c>
      <c r="BF799" s="48">
        <f t="shared" si="2508"/>
        <v>0</v>
      </c>
      <c r="BG799" s="48">
        <f t="shared" si="2508"/>
        <v>0</v>
      </c>
      <c r="BH799" s="48">
        <f t="shared" si="2508"/>
        <v>0</v>
      </c>
      <c r="BI799" s="48">
        <f t="shared" si="2508"/>
        <v>25</v>
      </c>
      <c r="BJ799" s="48">
        <f t="shared" si="2508"/>
        <v>0</v>
      </c>
      <c r="BK799" s="48">
        <f t="shared" si="2508"/>
        <v>0</v>
      </c>
      <c r="BL799" s="48">
        <f t="shared" si="2508"/>
        <v>0</v>
      </c>
      <c r="BM799" s="48">
        <f t="shared" si="2508"/>
        <v>0</v>
      </c>
      <c r="BN799" s="48">
        <f t="shared" si="2508"/>
        <v>0</v>
      </c>
      <c r="BO799" s="48">
        <f t="shared" si="2508"/>
        <v>0</v>
      </c>
      <c r="BP799" s="48">
        <f t="shared" si="2508"/>
        <v>0</v>
      </c>
      <c r="BQ799" s="48">
        <f t="shared" si="2508"/>
        <v>0</v>
      </c>
      <c r="BR799" s="36">
        <f t="shared" si="9"/>
        <v>0</v>
      </c>
      <c r="BS799" s="38">
        <f t="shared" si="10"/>
        <v>1</v>
      </c>
      <c r="BT799" s="49">
        <f t="shared" si="11"/>
        <v>0</v>
      </c>
      <c r="BU799" s="38">
        <f t="shared" si="12"/>
        <v>1000</v>
      </c>
      <c r="BV799" s="46" t="str">
        <f>IFERROR(__xludf.DUMMYFUNCTION("""COMPUTED_VALUE"""),"Christen")</f>
        <v>Christen</v>
      </c>
      <c r="BW799" s="46">
        <f t="shared" si="13"/>
        <v>25</v>
      </c>
      <c r="BX799" s="47">
        <f t="shared" ref="BX799:CA799" si="2509">AX799-$BU799</f>
        <v>-1000</v>
      </c>
      <c r="BY799" s="47">
        <f t="shared" si="2509"/>
        <v>-1000</v>
      </c>
      <c r="BZ799" s="47">
        <f t="shared" si="2509"/>
        <v>-1000</v>
      </c>
      <c r="CA799" s="47">
        <f t="shared" si="2509"/>
        <v>-1000</v>
      </c>
      <c r="CB799" s="47">
        <f t="shared" si="15"/>
        <v>-10000</v>
      </c>
      <c r="CC799" s="47">
        <f t="shared" ref="CC799:CQ799" si="2510">BC799-$BU799</f>
        <v>-1000</v>
      </c>
      <c r="CD799" s="47">
        <f t="shared" si="2510"/>
        <v>-1000</v>
      </c>
      <c r="CE799" s="47">
        <f t="shared" si="2510"/>
        <v>-1000</v>
      </c>
      <c r="CF799" s="47">
        <f t="shared" si="2510"/>
        <v>-1000</v>
      </c>
      <c r="CG799" s="47">
        <f t="shared" si="2510"/>
        <v>-1000</v>
      </c>
      <c r="CH799" s="47">
        <f t="shared" si="2510"/>
        <v>-1000</v>
      </c>
      <c r="CI799" s="47">
        <f t="shared" si="2510"/>
        <v>-975</v>
      </c>
      <c r="CJ799" s="47">
        <f t="shared" si="2510"/>
        <v>-1000</v>
      </c>
      <c r="CK799" s="47">
        <f t="shared" si="2510"/>
        <v>-1000</v>
      </c>
      <c r="CL799" s="47">
        <f t="shared" si="2510"/>
        <v>-1000</v>
      </c>
      <c r="CM799" s="47">
        <f t="shared" si="2510"/>
        <v>-1000</v>
      </c>
      <c r="CN799" s="47">
        <f t="shared" si="2510"/>
        <v>-1000</v>
      </c>
      <c r="CO799" s="47">
        <f t="shared" si="2510"/>
        <v>-1000</v>
      </c>
      <c r="CP799" s="47">
        <f t="shared" si="2510"/>
        <v>-1000</v>
      </c>
      <c r="CQ799" s="47">
        <f t="shared" si="2510"/>
        <v>-1000</v>
      </c>
      <c r="CR799" s="47"/>
      <c r="CS799" s="47"/>
      <c r="CT799" s="47"/>
      <c r="CU799" s="74"/>
      <c r="CV799" s="74"/>
      <c r="CW799" s="74" t="str">
        <f>IFERROR(__xludf.DUMMYFUNCTION("IF(REGEXMATCH(UPPER(CU799), ""DALLAS""),,CU799)"),"")</f>
        <v/>
      </c>
      <c r="CX799" s="74"/>
      <c r="CY799" s="74"/>
      <c r="CZ799" s="74"/>
      <c r="DA799" s="75"/>
      <c r="DB799" s="74"/>
      <c r="DC799" s="74"/>
      <c r="DD799" s="74"/>
      <c r="DE799" s="74"/>
      <c r="DF799" s="74"/>
      <c r="DG799" s="74"/>
      <c r="DH799" s="74"/>
      <c r="DI799" s="74"/>
      <c r="DJ799" s="74"/>
      <c r="DK799" s="74"/>
      <c r="DL799" s="74"/>
      <c r="DM799" s="74"/>
      <c r="DN799" s="74"/>
      <c r="DO799" s="74"/>
      <c r="DP799" s="74"/>
      <c r="DQ799" s="74"/>
      <c r="DR799" s="74"/>
      <c r="DS799" s="74"/>
      <c r="DT799" s="74"/>
      <c r="DU799" s="74"/>
      <c r="DV799" s="74"/>
      <c r="DW799" s="74"/>
    </row>
    <row r="800">
      <c r="A800" s="22" t="s">
        <v>55</v>
      </c>
      <c r="B800" s="23" t="s">
        <v>56</v>
      </c>
      <c r="C800" s="31" t="s">
        <v>2043</v>
      </c>
      <c r="D800" s="25" t="str">
        <f>IFERROR(__xludf.DUMMYFUNCTION("SPLIT(C800,"" "")"),"Cammack,")</f>
        <v>Cammack,</v>
      </c>
      <c r="E800" s="22" t="str">
        <f>IFERROR(__xludf.DUMMYFUNCTION("""COMPUTED_VALUE"""),"Kerry
919")</f>
        <v>Kerry
919</v>
      </c>
      <c r="F800" s="22" t="str">
        <f>IFERROR(__xludf.DUMMYFUNCTION("""COMPUTED_VALUE"""),"Congress")</f>
        <v>Congress</v>
      </c>
      <c r="G800" s="22" t="str">
        <f>IFERROR(__xludf.DUMMYFUNCTION("""COMPUTED_VALUE"""),"Ave
Austin,")</f>
        <v>Ave
Austin,</v>
      </c>
      <c r="H800" s="22" t="str">
        <f>IFERROR(__xludf.DUMMYFUNCTION("""COMPUTED_VALUE"""),"TX")</f>
        <v>TX</v>
      </c>
      <c r="I800" s="22">
        <f>IFERROR(__xludf.DUMMYFUNCTION("""COMPUTED_VALUE"""),78701.0)</f>
        <v>78701</v>
      </c>
      <c r="J800" s="22"/>
      <c r="K800" s="22"/>
      <c r="L800" s="22"/>
      <c r="M800" s="22"/>
      <c r="N800" s="22"/>
      <c r="O800" s="22"/>
      <c r="P800" s="22"/>
      <c r="Q800" s="22"/>
      <c r="R800" s="22"/>
      <c r="S800" s="22"/>
      <c r="T800" s="22"/>
      <c r="U800" s="24" t="str">
        <f>IFERROR(__xludf.DUMMYFUNCTION("SPLIT(E800,""01234567890"")"),"Kerry
")</f>
        <v>Kerry
</v>
      </c>
      <c r="V800" s="24" t="str">
        <f>IFERROR(__xludf.DUMMYFUNCTION("SPLIT(D800,"","")"),"Cammack")</f>
        <v>Cammack</v>
      </c>
      <c r="W800" s="25" t="str">
        <f t="shared" si="1"/>
        <v>KERRY
 CAMMACK</v>
      </c>
      <c r="X800" s="22"/>
      <c r="Y800" s="22"/>
      <c r="Z800" s="25" t="str">
        <f>IFERROR(__xludf.DUMMYFUNCTION("SPLIT(C800,""
"")"),"Cammack, Kerry")</f>
        <v>Cammack, Kerry</v>
      </c>
      <c r="AA800" s="22" t="str">
        <f>IFERROR(__xludf.DUMMYFUNCTION("""COMPUTED_VALUE"""),"919 Congress Ave")</f>
        <v>919 Congress Ave</v>
      </c>
      <c r="AB800" s="22" t="str">
        <f>IFERROR(__xludf.DUMMYFUNCTION("""COMPUTED_VALUE"""),"Austin, TX 78701")</f>
        <v>Austin, TX 78701</v>
      </c>
      <c r="AC800" s="31" t="s">
        <v>2044</v>
      </c>
      <c r="AD800" s="22"/>
      <c r="AE800" s="22"/>
      <c r="AF800" s="22"/>
      <c r="AG800" s="22" t="s">
        <v>60</v>
      </c>
      <c r="AH800" s="54">
        <v>2481.0</v>
      </c>
      <c r="AI800" s="22" t="s">
        <v>68</v>
      </c>
      <c r="AJ800" s="27">
        <v>1000.0</v>
      </c>
      <c r="AK800" s="31" t="s">
        <v>25</v>
      </c>
      <c r="AL800" s="28">
        <v>44826.0</v>
      </c>
      <c r="AM800" s="29">
        <v>44937.81995370371</v>
      </c>
      <c r="AN800" s="30">
        <v>2.0</v>
      </c>
      <c r="AO800" s="22"/>
      <c r="AP800" s="22"/>
      <c r="AQ800" s="22"/>
      <c r="AR800" s="22"/>
      <c r="AS800" s="22"/>
      <c r="AT800" s="70"/>
      <c r="AU800" s="22"/>
      <c r="AV800" s="57" t="str">
        <f>IFERROR(__xludf.DUMMYFUNCTION("""COMPUTED_VALUE"""),"Keen")</f>
        <v>Keen</v>
      </c>
      <c r="AW800" s="46">
        <f t="shared" si="7"/>
        <v>50</v>
      </c>
      <c r="AX800" s="47">
        <f t="shared" ref="AX800:BQ800" si="2511">SUMIFS($AJ:$AJ,$V:$V,$AV800,$AK:$AK,AX$2)</f>
        <v>0</v>
      </c>
      <c r="AY800" s="48">
        <f t="shared" si="2511"/>
        <v>0</v>
      </c>
      <c r="AZ800" s="48">
        <f t="shared" si="2511"/>
        <v>0</v>
      </c>
      <c r="BA800" s="48">
        <f t="shared" si="2511"/>
        <v>50</v>
      </c>
      <c r="BB800" s="48">
        <f t="shared" si="2511"/>
        <v>0</v>
      </c>
      <c r="BC800" s="48">
        <f t="shared" si="2511"/>
        <v>0</v>
      </c>
      <c r="BD800" s="48">
        <f t="shared" si="2511"/>
        <v>0</v>
      </c>
      <c r="BE800" s="48">
        <f t="shared" si="2511"/>
        <v>0</v>
      </c>
      <c r="BF800" s="48">
        <f t="shared" si="2511"/>
        <v>0</v>
      </c>
      <c r="BG800" s="48">
        <f t="shared" si="2511"/>
        <v>0</v>
      </c>
      <c r="BH800" s="48">
        <f t="shared" si="2511"/>
        <v>0</v>
      </c>
      <c r="BI800" s="48">
        <f t="shared" si="2511"/>
        <v>0</v>
      </c>
      <c r="BJ800" s="48">
        <f t="shared" si="2511"/>
        <v>0</v>
      </c>
      <c r="BK800" s="48">
        <f t="shared" si="2511"/>
        <v>0</v>
      </c>
      <c r="BL800" s="48">
        <f t="shared" si="2511"/>
        <v>0</v>
      </c>
      <c r="BM800" s="48">
        <f t="shared" si="2511"/>
        <v>0</v>
      </c>
      <c r="BN800" s="48">
        <f t="shared" si="2511"/>
        <v>0</v>
      </c>
      <c r="BO800" s="48">
        <f t="shared" si="2511"/>
        <v>0</v>
      </c>
      <c r="BP800" s="48">
        <f t="shared" si="2511"/>
        <v>0</v>
      </c>
      <c r="BQ800" s="48">
        <f t="shared" si="2511"/>
        <v>0</v>
      </c>
      <c r="BR800" s="36">
        <f t="shared" si="9"/>
        <v>0</v>
      </c>
      <c r="BS800" s="38">
        <f t="shared" si="10"/>
        <v>1</v>
      </c>
      <c r="BT800" s="49">
        <f t="shared" si="11"/>
        <v>0</v>
      </c>
      <c r="BU800" s="38">
        <f t="shared" si="12"/>
        <v>1000</v>
      </c>
      <c r="BV800" s="57" t="str">
        <f>IFERROR(__xludf.DUMMYFUNCTION("""COMPUTED_VALUE"""),"Keen")</f>
        <v>Keen</v>
      </c>
      <c r="BW800" s="46">
        <f t="shared" si="13"/>
        <v>50</v>
      </c>
      <c r="BX800" s="47">
        <f t="shared" ref="BX800:CA800" si="2512">AX800-$BU800</f>
        <v>-1000</v>
      </c>
      <c r="BY800" s="47">
        <f t="shared" si="2512"/>
        <v>-1000</v>
      </c>
      <c r="BZ800" s="47">
        <f t="shared" si="2512"/>
        <v>-1000</v>
      </c>
      <c r="CA800" s="47">
        <f t="shared" si="2512"/>
        <v>-950</v>
      </c>
      <c r="CB800" s="47">
        <f t="shared" si="15"/>
        <v>-10000</v>
      </c>
      <c r="CC800" s="47">
        <f t="shared" ref="CC800:CQ800" si="2513">BC800-$BU800</f>
        <v>-1000</v>
      </c>
      <c r="CD800" s="47">
        <f t="shared" si="2513"/>
        <v>-1000</v>
      </c>
      <c r="CE800" s="47">
        <f t="shared" si="2513"/>
        <v>-1000</v>
      </c>
      <c r="CF800" s="47">
        <f t="shared" si="2513"/>
        <v>-1000</v>
      </c>
      <c r="CG800" s="47">
        <f t="shared" si="2513"/>
        <v>-1000</v>
      </c>
      <c r="CH800" s="47">
        <f t="shared" si="2513"/>
        <v>-1000</v>
      </c>
      <c r="CI800" s="47">
        <f t="shared" si="2513"/>
        <v>-1000</v>
      </c>
      <c r="CJ800" s="47">
        <f t="shared" si="2513"/>
        <v>-1000</v>
      </c>
      <c r="CK800" s="47">
        <f t="shared" si="2513"/>
        <v>-1000</v>
      </c>
      <c r="CL800" s="47">
        <f t="shared" si="2513"/>
        <v>-1000</v>
      </c>
      <c r="CM800" s="47">
        <f t="shared" si="2513"/>
        <v>-1000</v>
      </c>
      <c r="CN800" s="47">
        <f t="shared" si="2513"/>
        <v>-1000</v>
      </c>
      <c r="CO800" s="47">
        <f t="shared" si="2513"/>
        <v>-1000</v>
      </c>
      <c r="CP800" s="47">
        <f t="shared" si="2513"/>
        <v>-1000</v>
      </c>
      <c r="CQ800" s="47">
        <f t="shared" si="2513"/>
        <v>-1000</v>
      </c>
      <c r="CR800" s="47"/>
      <c r="CS800" s="47"/>
      <c r="CT800" s="47"/>
      <c r="CU800" s="74"/>
      <c r="CV800" s="74"/>
      <c r="CW800" s="74" t="str">
        <f>IFERROR(__xludf.DUMMYFUNCTION("IF(REGEXMATCH(UPPER(CU800), ""DALLAS""),,CU800)"),"")</f>
        <v/>
      </c>
      <c r="CX800" s="74"/>
      <c r="CY800" s="74"/>
      <c r="CZ800" s="74"/>
      <c r="DA800" s="75"/>
      <c r="DB800" s="74"/>
      <c r="DC800" s="74"/>
      <c r="DD800" s="74"/>
      <c r="DE800" s="74"/>
      <c r="DF800" s="74"/>
      <c r="DG800" s="74"/>
      <c r="DH800" s="74"/>
      <c r="DI800" s="74"/>
      <c r="DJ800" s="74"/>
      <c r="DK800" s="74"/>
      <c r="DL800" s="74"/>
      <c r="DM800" s="74"/>
      <c r="DN800" s="74"/>
      <c r="DO800" s="74"/>
      <c r="DP800" s="74"/>
      <c r="DQ800" s="74"/>
      <c r="DR800" s="74"/>
      <c r="DS800" s="74"/>
      <c r="DT800" s="74"/>
      <c r="DU800" s="74"/>
      <c r="DV800" s="74"/>
      <c r="DW800" s="74"/>
    </row>
    <row r="801">
      <c r="A801" s="40" t="s">
        <v>55</v>
      </c>
      <c r="B801" s="41" t="s">
        <v>56</v>
      </c>
      <c r="C801" s="31" t="s">
        <v>2045</v>
      </c>
      <c r="D801" s="25" t="str">
        <f>IFERROR(__xludf.DUMMYFUNCTION("SPLIT(C801,"" "")"),"Glenn,")</f>
        <v>Glenn,</v>
      </c>
      <c r="E801" s="40" t="str">
        <f>IFERROR(__xludf.DUMMYFUNCTION("""COMPUTED_VALUE"""),"Eric
3916")</f>
        <v>Eric
3916</v>
      </c>
      <c r="F801" s="40" t="str">
        <f>IFERROR(__xludf.DUMMYFUNCTION("""COMPUTED_VALUE"""),"Coopers")</f>
        <v>Coopers</v>
      </c>
      <c r="G801" s="40" t="str">
        <f>IFERROR(__xludf.DUMMYFUNCTION("""COMPUTED_VALUE"""),"Hawk")</f>
        <v>Hawk</v>
      </c>
      <c r="H801" s="40" t="str">
        <f>IFERROR(__xludf.DUMMYFUNCTION("""COMPUTED_VALUE"""),"Cove
Austin,")</f>
        <v>Cove
Austin,</v>
      </c>
      <c r="I801" s="40" t="str">
        <f>IFERROR(__xludf.DUMMYFUNCTION("""COMPUTED_VALUE"""),"TX")</f>
        <v>TX</v>
      </c>
      <c r="J801" s="40">
        <f>IFERROR(__xludf.DUMMYFUNCTION("""COMPUTED_VALUE"""),78738.0)</f>
        <v>78738</v>
      </c>
      <c r="K801" s="40"/>
      <c r="L801" s="40"/>
      <c r="M801" s="40"/>
      <c r="N801" s="40"/>
      <c r="O801" s="40"/>
      <c r="P801" s="40"/>
      <c r="Q801" s="40"/>
      <c r="R801" s="40"/>
      <c r="S801" s="40"/>
      <c r="T801" s="40"/>
      <c r="U801" s="24" t="str">
        <f>IFERROR(__xludf.DUMMYFUNCTION("SPLIT(E801,""01234567890"")"),"Eric
")</f>
        <v>Eric
</v>
      </c>
      <c r="V801" s="24" t="str">
        <f>IFERROR(__xludf.DUMMYFUNCTION("SPLIT(D801,"","")"),"Glenn")</f>
        <v>Glenn</v>
      </c>
      <c r="W801" s="25" t="str">
        <f t="shared" si="1"/>
        <v>ERIC
 GLENN</v>
      </c>
      <c r="X801" s="40"/>
      <c r="Y801" s="40"/>
      <c r="Z801" s="25" t="str">
        <f>IFERROR(__xludf.DUMMYFUNCTION("SPLIT(C801,""
"")"),"Glenn, Eric")</f>
        <v>Glenn, Eric</v>
      </c>
      <c r="AA801" s="40" t="str">
        <f>IFERROR(__xludf.DUMMYFUNCTION("""COMPUTED_VALUE"""),"3916 Coopers Hawk Cove")</f>
        <v>3916 Coopers Hawk Cove</v>
      </c>
      <c r="AB801" s="40" t="str">
        <f>IFERROR(__xludf.DUMMYFUNCTION("""COMPUTED_VALUE"""),"Austin, TX 78738")</f>
        <v>Austin, TX 78738</v>
      </c>
      <c r="AC801" s="31" t="s">
        <v>2046</v>
      </c>
      <c r="AD801" s="40"/>
      <c r="AE801" s="40"/>
      <c r="AF801" s="40"/>
      <c r="AG801" s="40" t="s">
        <v>60</v>
      </c>
      <c r="AH801" s="42">
        <v>2481.0</v>
      </c>
      <c r="AI801" s="40" t="s">
        <v>68</v>
      </c>
      <c r="AJ801" s="27">
        <v>1000.0</v>
      </c>
      <c r="AK801" s="31" t="s">
        <v>25</v>
      </c>
      <c r="AL801" s="43">
        <v>44826.0</v>
      </c>
      <c r="AM801" s="44">
        <v>44937.81995370371</v>
      </c>
      <c r="AN801" s="30">
        <v>2.0</v>
      </c>
      <c r="AO801" s="40"/>
      <c r="AP801" s="40"/>
      <c r="AQ801" s="40"/>
      <c r="AR801" s="40"/>
      <c r="AS801" s="40"/>
      <c r="AT801" s="47"/>
      <c r="AU801" s="40"/>
      <c r="AV801" s="46" t="str">
        <f>IFERROR(__xludf.DUMMYFUNCTION("""COMPUTED_VALUE"""),"Caldwell")</f>
        <v>Caldwell</v>
      </c>
      <c r="AW801" s="46">
        <f t="shared" si="7"/>
        <v>5000</v>
      </c>
      <c r="AX801" s="47">
        <f t="shared" ref="AX801:BQ801" si="2514">SUMIFS($AJ:$AJ,$V:$V,$AV801,$AK:$AK,AX$2)</f>
        <v>0</v>
      </c>
      <c r="AY801" s="48">
        <f t="shared" si="2514"/>
        <v>0</v>
      </c>
      <c r="AZ801" s="48">
        <f t="shared" si="2514"/>
        <v>0</v>
      </c>
      <c r="BA801" s="48">
        <f t="shared" si="2514"/>
        <v>5000</v>
      </c>
      <c r="BB801" s="48">
        <f t="shared" si="2514"/>
        <v>0</v>
      </c>
      <c r="BC801" s="48">
        <f t="shared" si="2514"/>
        <v>0</v>
      </c>
      <c r="BD801" s="48">
        <f t="shared" si="2514"/>
        <v>0</v>
      </c>
      <c r="BE801" s="48">
        <f t="shared" si="2514"/>
        <v>0</v>
      </c>
      <c r="BF801" s="48">
        <f t="shared" si="2514"/>
        <v>0</v>
      </c>
      <c r="BG801" s="48">
        <f t="shared" si="2514"/>
        <v>0</v>
      </c>
      <c r="BH801" s="48">
        <f t="shared" si="2514"/>
        <v>0</v>
      </c>
      <c r="BI801" s="48">
        <f t="shared" si="2514"/>
        <v>0</v>
      </c>
      <c r="BJ801" s="48">
        <f t="shared" si="2514"/>
        <v>0</v>
      </c>
      <c r="BK801" s="48">
        <f t="shared" si="2514"/>
        <v>0</v>
      </c>
      <c r="BL801" s="48">
        <f t="shared" si="2514"/>
        <v>0</v>
      </c>
      <c r="BM801" s="48">
        <f t="shared" si="2514"/>
        <v>0</v>
      </c>
      <c r="BN801" s="48">
        <f t="shared" si="2514"/>
        <v>0</v>
      </c>
      <c r="BO801" s="48">
        <f t="shared" si="2514"/>
        <v>0</v>
      </c>
      <c r="BP801" s="48">
        <f t="shared" si="2514"/>
        <v>0</v>
      </c>
      <c r="BQ801" s="48">
        <f t="shared" si="2514"/>
        <v>0</v>
      </c>
      <c r="BR801" s="36">
        <f t="shared" si="9"/>
        <v>0</v>
      </c>
      <c r="BS801" s="38">
        <f t="shared" si="10"/>
        <v>1</v>
      </c>
      <c r="BT801" s="49">
        <f t="shared" si="11"/>
        <v>0</v>
      </c>
      <c r="BU801" s="38">
        <f t="shared" si="12"/>
        <v>1000</v>
      </c>
      <c r="BV801" s="46" t="str">
        <f>IFERROR(__xludf.DUMMYFUNCTION("""COMPUTED_VALUE"""),"Caldwell")</f>
        <v>Caldwell</v>
      </c>
      <c r="BW801" s="46">
        <f t="shared" si="13"/>
        <v>5000</v>
      </c>
      <c r="BX801" s="47">
        <f t="shared" ref="BX801:CA801" si="2515">AX801-$BU801</f>
        <v>-1000</v>
      </c>
      <c r="BY801" s="47">
        <f t="shared" si="2515"/>
        <v>-1000</v>
      </c>
      <c r="BZ801" s="47">
        <f t="shared" si="2515"/>
        <v>-1000</v>
      </c>
      <c r="CA801" s="47">
        <f t="shared" si="2515"/>
        <v>4000</v>
      </c>
      <c r="CB801" s="47">
        <f t="shared" si="15"/>
        <v>-10000</v>
      </c>
      <c r="CC801" s="47">
        <f t="shared" ref="CC801:CQ801" si="2516">BC801-$BU801</f>
        <v>-1000</v>
      </c>
      <c r="CD801" s="47">
        <f t="shared" si="2516"/>
        <v>-1000</v>
      </c>
      <c r="CE801" s="47">
        <f t="shared" si="2516"/>
        <v>-1000</v>
      </c>
      <c r="CF801" s="47">
        <f t="shared" si="2516"/>
        <v>-1000</v>
      </c>
      <c r="CG801" s="47">
        <f t="shared" si="2516"/>
        <v>-1000</v>
      </c>
      <c r="CH801" s="47">
        <f t="shared" si="2516"/>
        <v>-1000</v>
      </c>
      <c r="CI801" s="47">
        <f t="shared" si="2516"/>
        <v>-1000</v>
      </c>
      <c r="CJ801" s="47">
        <f t="shared" si="2516"/>
        <v>-1000</v>
      </c>
      <c r="CK801" s="47">
        <f t="shared" si="2516"/>
        <v>-1000</v>
      </c>
      <c r="CL801" s="47">
        <f t="shared" si="2516"/>
        <v>-1000</v>
      </c>
      <c r="CM801" s="47">
        <f t="shared" si="2516"/>
        <v>-1000</v>
      </c>
      <c r="CN801" s="47">
        <f t="shared" si="2516"/>
        <v>-1000</v>
      </c>
      <c r="CO801" s="47">
        <f t="shared" si="2516"/>
        <v>-1000</v>
      </c>
      <c r="CP801" s="47">
        <f t="shared" si="2516"/>
        <v>-1000</v>
      </c>
      <c r="CQ801" s="47">
        <f t="shared" si="2516"/>
        <v>-1000</v>
      </c>
      <c r="CR801" s="47"/>
      <c r="CS801" s="47"/>
      <c r="CT801" s="47"/>
      <c r="CU801" s="74"/>
      <c r="CV801" s="74"/>
      <c r="CW801" s="74" t="str">
        <f>IFERROR(__xludf.DUMMYFUNCTION("IF(REGEXMATCH(UPPER(CU801), ""DALLAS""),,CU801)"),"")</f>
        <v/>
      </c>
      <c r="CX801" s="74"/>
      <c r="CY801" s="74"/>
      <c r="CZ801" s="74"/>
      <c r="DA801" s="75"/>
      <c r="DB801" s="74"/>
      <c r="DC801" s="74"/>
      <c r="DD801" s="74"/>
      <c r="DE801" s="74"/>
      <c r="DF801" s="74"/>
      <c r="DG801" s="74"/>
      <c r="DH801" s="74"/>
      <c r="DI801" s="74"/>
      <c r="DJ801" s="74"/>
      <c r="DK801" s="74"/>
      <c r="DL801" s="74"/>
      <c r="DM801" s="74"/>
      <c r="DN801" s="74"/>
      <c r="DO801" s="74"/>
      <c r="DP801" s="74"/>
      <c r="DQ801" s="74"/>
      <c r="DR801" s="74"/>
      <c r="DS801" s="74"/>
      <c r="DT801" s="74"/>
      <c r="DU801" s="74"/>
      <c r="DV801" s="74"/>
      <c r="DW801" s="74"/>
    </row>
    <row r="802">
      <c r="A802" s="22" t="s">
        <v>55</v>
      </c>
      <c r="B802" s="23" t="s">
        <v>56</v>
      </c>
      <c r="C802" s="31" t="s">
        <v>2047</v>
      </c>
      <c r="D802" s="25" t="str">
        <f>IFERROR(__xludf.DUMMYFUNCTION("SPLIT(C802,"" "")"),"Hawley,")</f>
        <v>Hawley,</v>
      </c>
      <c r="E802" s="22" t="str">
        <f>IFERROR(__xludf.DUMMYFUNCTION("""COMPUTED_VALUE"""),"Brad
600")</f>
        <v>Brad
600</v>
      </c>
      <c r="F802" s="22" t="str">
        <f>IFERROR(__xludf.DUMMYFUNCTION("""COMPUTED_VALUE"""),"Congress")</f>
        <v>Congress</v>
      </c>
      <c r="G802" s="22" t="str">
        <f>IFERROR(__xludf.DUMMYFUNCTION("""COMPUTED_VALUE"""),"Ave
Austin,")</f>
        <v>Ave
Austin,</v>
      </c>
      <c r="H802" s="22" t="str">
        <f>IFERROR(__xludf.DUMMYFUNCTION("""COMPUTED_VALUE"""),"TX")</f>
        <v>TX</v>
      </c>
      <c r="I802" s="22">
        <f>IFERROR(__xludf.DUMMYFUNCTION("""COMPUTED_VALUE"""),78738.0)</f>
        <v>78738</v>
      </c>
      <c r="J802" s="22"/>
      <c r="K802" s="22"/>
      <c r="L802" s="22"/>
      <c r="M802" s="22"/>
      <c r="N802" s="22"/>
      <c r="O802" s="22"/>
      <c r="P802" s="22"/>
      <c r="Q802" s="22"/>
      <c r="R802" s="22"/>
      <c r="S802" s="22"/>
      <c r="T802" s="22"/>
      <c r="U802" s="24" t="str">
        <f>IFERROR(__xludf.DUMMYFUNCTION("SPLIT(E802,""01234567890"")"),"Brad
")</f>
        <v>Brad
</v>
      </c>
      <c r="V802" s="24" t="str">
        <f>IFERROR(__xludf.DUMMYFUNCTION("SPLIT(D802,"","")"),"Hawley")</f>
        <v>Hawley</v>
      </c>
      <c r="W802" s="25" t="str">
        <f t="shared" si="1"/>
        <v>BRAD
 HAWLEY</v>
      </c>
      <c r="X802" s="22"/>
      <c r="Y802" s="22"/>
      <c r="Z802" s="25" t="str">
        <f>IFERROR(__xludf.DUMMYFUNCTION("SPLIT(C802,""
"")"),"Hawley, Brad")</f>
        <v>Hawley, Brad</v>
      </c>
      <c r="AA802" s="22" t="str">
        <f>IFERROR(__xludf.DUMMYFUNCTION("""COMPUTED_VALUE"""),"600 Congress Ave")</f>
        <v>600 Congress Ave</v>
      </c>
      <c r="AB802" s="22" t="str">
        <f>IFERROR(__xludf.DUMMYFUNCTION("""COMPUTED_VALUE"""),"Austin, TX 78738")</f>
        <v>Austin, TX 78738</v>
      </c>
      <c r="AC802" s="31" t="s">
        <v>2048</v>
      </c>
      <c r="AD802" s="22"/>
      <c r="AE802" s="22"/>
      <c r="AF802" s="22"/>
      <c r="AG802" s="22" t="s">
        <v>60</v>
      </c>
      <c r="AH802" s="54">
        <v>2481.0</v>
      </c>
      <c r="AI802" s="22" t="s">
        <v>68</v>
      </c>
      <c r="AJ802" s="27">
        <v>1000.0</v>
      </c>
      <c r="AK802" s="31" t="s">
        <v>25</v>
      </c>
      <c r="AL802" s="28">
        <v>44826.0</v>
      </c>
      <c r="AM802" s="29">
        <v>44937.81995370371</v>
      </c>
      <c r="AN802" s="30">
        <v>2.0</v>
      </c>
      <c r="AO802" s="22"/>
      <c r="AP802" s="22"/>
      <c r="AQ802" s="22"/>
      <c r="AR802" s="22"/>
      <c r="AS802" s="22"/>
      <c r="AT802" s="70"/>
      <c r="AU802" s="22"/>
      <c r="AV802" s="57" t="str">
        <f>IFERROR(__xludf.DUMMYFUNCTION("""COMPUTED_VALUE"""),"Puente")</f>
        <v>Puente</v>
      </c>
      <c r="AW802" s="46">
        <f t="shared" si="7"/>
        <v>500</v>
      </c>
      <c r="AX802" s="47">
        <f t="shared" ref="AX802:BQ802" si="2517">SUMIFS($AJ:$AJ,$V:$V,$AV802,$AK:$AK,AX$2)</f>
        <v>0</v>
      </c>
      <c r="AY802" s="48">
        <f t="shared" si="2517"/>
        <v>0</v>
      </c>
      <c r="AZ802" s="48">
        <f t="shared" si="2517"/>
        <v>0</v>
      </c>
      <c r="BA802" s="48">
        <f t="shared" si="2517"/>
        <v>0</v>
      </c>
      <c r="BB802" s="48">
        <f t="shared" si="2517"/>
        <v>0</v>
      </c>
      <c r="BC802" s="48">
        <f t="shared" si="2517"/>
        <v>0</v>
      </c>
      <c r="BD802" s="48">
        <f t="shared" si="2517"/>
        <v>0</v>
      </c>
      <c r="BE802" s="48">
        <f t="shared" si="2517"/>
        <v>0</v>
      </c>
      <c r="BF802" s="48">
        <f t="shared" si="2517"/>
        <v>0</v>
      </c>
      <c r="BG802" s="48">
        <f t="shared" si="2517"/>
        <v>0</v>
      </c>
      <c r="BH802" s="48">
        <f t="shared" si="2517"/>
        <v>0</v>
      </c>
      <c r="BI802" s="48">
        <f t="shared" si="2517"/>
        <v>0</v>
      </c>
      <c r="BJ802" s="48">
        <f t="shared" si="2517"/>
        <v>0</v>
      </c>
      <c r="BK802" s="48">
        <f t="shared" si="2517"/>
        <v>0</v>
      </c>
      <c r="BL802" s="48">
        <f t="shared" si="2517"/>
        <v>0</v>
      </c>
      <c r="BM802" s="48">
        <f t="shared" si="2517"/>
        <v>0</v>
      </c>
      <c r="BN802" s="48">
        <f t="shared" si="2517"/>
        <v>500</v>
      </c>
      <c r="BO802" s="48">
        <f t="shared" si="2517"/>
        <v>0</v>
      </c>
      <c r="BP802" s="48">
        <f t="shared" si="2517"/>
        <v>0</v>
      </c>
      <c r="BQ802" s="48">
        <f t="shared" si="2517"/>
        <v>0</v>
      </c>
      <c r="BR802" s="36">
        <f t="shared" si="9"/>
        <v>0</v>
      </c>
      <c r="BS802" s="38">
        <f t="shared" si="10"/>
        <v>1</v>
      </c>
      <c r="BT802" s="49">
        <f t="shared" si="11"/>
        <v>0</v>
      </c>
      <c r="BU802" s="38">
        <f t="shared" si="12"/>
        <v>1000</v>
      </c>
      <c r="BV802" s="57" t="str">
        <f>IFERROR(__xludf.DUMMYFUNCTION("""COMPUTED_VALUE"""),"Puente")</f>
        <v>Puente</v>
      </c>
      <c r="BW802" s="46">
        <f t="shared" si="13"/>
        <v>500</v>
      </c>
      <c r="BX802" s="47">
        <f t="shared" ref="BX802:CA802" si="2518">AX802-$BU802</f>
        <v>-1000</v>
      </c>
      <c r="BY802" s="47">
        <f t="shared" si="2518"/>
        <v>-1000</v>
      </c>
      <c r="BZ802" s="47">
        <f t="shared" si="2518"/>
        <v>-1000</v>
      </c>
      <c r="CA802" s="47">
        <f t="shared" si="2518"/>
        <v>-1000</v>
      </c>
      <c r="CB802" s="47">
        <f t="shared" si="15"/>
        <v>-10000</v>
      </c>
      <c r="CC802" s="47">
        <f t="shared" ref="CC802:CQ802" si="2519">BC802-$BU802</f>
        <v>-1000</v>
      </c>
      <c r="CD802" s="47">
        <f t="shared" si="2519"/>
        <v>-1000</v>
      </c>
      <c r="CE802" s="47">
        <f t="shared" si="2519"/>
        <v>-1000</v>
      </c>
      <c r="CF802" s="47">
        <f t="shared" si="2519"/>
        <v>-1000</v>
      </c>
      <c r="CG802" s="47">
        <f t="shared" si="2519"/>
        <v>-1000</v>
      </c>
      <c r="CH802" s="47">
        <f t="shared" si="2519"/>
        <v>-1000</v>
      </c>
      <c r="CI802" s="47">
        <f t="shared" si="2519"/>
        <v>-1000</v>
      </c>
      <c r="CJ802" s="47">
        <f t="shared" si="2519"/>
        <v>-1000</v>
      </c>
      <c r="CK802" s="47">
        <f t="shared" si="2519"/>
        <v>-1000</v>
      </c>
      <c r="CL802" s="47">
        <f t="shared" si="2519"/>
        <v>-1000</v>
      </c>
      <c r="CM802" s="47">
        <f t="shared" si="2519"/>
        <v>-1000</v>
      </c>
      <c r="CN802" s="47">
        <f t="shared" si="2519"/>
        <v>-500</v>
      </c>
      <c r="CO802" s="47">
        <f t="shared" si="2519"/>
        <v>-1000</v>
      </c>
      <c r="CP802" s="47">
        <f t="shared" si="2519"/>
        <v>-1000</v>
      </c>
      <c r="CQ802" s="47">
        <f t="shared" si="2519"/>
        <v>-1000</v>
      </c>
      <c r="CR802" s="47"/>
      <c r="CS802" s="47"/>
      <c r="CT802" s="47"/>
      <c r="CU802" s="74"/>
      <c r="CV802" s="74"/>
      <c r="CW802" s="74" t="str">
        <f>IFERROR(__xludf.DUMMYFUNCTION("IF(REGEXMATCH(UPPER(CU802), ""DALLAS""),,CU802)"),"")</f>
        <v/>
      </c>
      <c r="CX802" s="74"/>
      <c r="CY802" s="74"/>
      <c r="CZ802" s="74"/>
      <c r="DA802" s="75"/>
      <c r="DB802" s="74"/>
      <c r="DC802" s="74"/>
      <c r="DD802" s="74"/>
      <c r="DE802" s="74"/>
      <c r="DF802" s="74"/>
      <c r="DG802" s="74"/>
      <c r="DH802" s="74"/>
      <c r="DI802" s="74"/>
      <c r="DJ802" s="74"/>
      <c r="DK802" s="74"/>
      <c r="DL802" s="74"/>
      <c r="DM802" s="74"/>
      <c r="DN802" s="74"/>
      <c r="DO802" s="74"/>
      <c r="DP802" s="74"/>
      <c r="DQ802" s="74"/>
      <c r="DR802" s="74"/>
      <c r="DS802" s="74"/>
      <c r="DT802" s="74"/>
      <c r="DU802" s="74"/>
      <c r="DV802" s="74"/>
      <c r="DW802" s="74"/>
    </row>
    <row r="803">
      <c r="A803" s="40" t="s">
        <v>55</v>
      </c>
      <c r="B803" s="41" t="s">
        <v>56</v>
      </c>
      <c r="C803" s="31" t="s">
        <v>2049</v>
      </c>
      <c r="D803" s="25" t="str">
        <f>IFERROR(__xludf.DUMMYFUNCTION("SPLIT(C803,"" "")"),"Hodge,")</f>
        <v>Hodge,</v>
      </c>
      <c r="E803" s="40" t="str">
        <f>IFERROR(__xludf.DUMMYFUNCTION("""COMPUTED_VALUE"""),"Daniel
405")</f>
        <v>Daniel
405</v>
      </c>
      <c r="F803" s="40" t="str">
        <f>IFERROR(__xludf.DUMMYFUNCTION("""COMPUTED_VALUE"""),"W")</f>
        <v>W</v>
      </c>
      <c r="G803" s="40" t="str">
        <f>IFERROR(__xludf.DUMMYFUNCTION("""COMPUTED_VALUE"""),"14th")</f>
        <v>14th</v>
      </c>
      <c r="H803" s="40" t="str">
        <f>IFERROR(__xludf.DUMMYFUNCTION("""COMPUTED_VALUE"""),"St
Austin,")</f>
        <v>St
Austin,</v>
      </c>
      <c r="I803" s="40" t="str">
        <f>IFERROR(__xludf.DUMMYFUNCTION("""COMPUTED_VALUE"""),"TX")</f>
        <v>TX</v>
      </c>
      <c r="J803" s="40">
        <f>IFERROR(__xludf.DUMMYFUNCTION("""COMPUTED_VALUE"""),78701.0)</f>
        <v>78701</v>
      </c>
      <c r="K803" s="40"/>
      <c r="L803" s="40"/>
      <c r="M803" s="40"/>
      <c r="N803" s="40"/>
      <c r="O803" s="40"/>
      <c r="P803" s="40"/>
      <c r="Q803" s="40"/>
      <c r="R803" s="40"/>
      <c r="S803" s="40"/>
      <c r="T803" s="40"/>
      <c r="U803" s="24" t="str">
        <f>IFERROR(__xludf.DUMMYFUNCTION("SPLIT(E803,""01234567890"")"),"Daniel
")</f>
        <v>Daniel
</v>
      </c>
      <c r="V803" s="24" t="str">
        <f>IFERROR(__xludf.DUMMYFUNCTION("SPLIT(D803,"","")"),"Hodge")</f>
        <v>Hodge</v>
      </c>
      <c r="W803" s="25" t="str">
        <f t="shared" si="1"/>
        <v>DANIEL
 HODGE</v>
      </c>
      <c r="X803" s="40"/>
      <c r="Y803" s="40"/>
      <c r="Z803" s="25" t="str">
        <f>IFERROR(__xludf.DUMMYFUNCTION("SPLIT(C803,""
"")"),"Hodge, Daniel")</f>
        <v>Hodge, Daniel</v>
      </c>
      <c r="AA803" s="40" t="str">
        <f>IFERROR(__xludf.DUMMYFUNCTION("""COMPUTED_VALUE"""),"405 W 14th St")</f>
        <v>405 W 14th St</v>
      </c>
      <c r="AB803" s="40" t="str">
        <f>IFERROR(__xludf.DUMMYFUNCTION("""COMPUTED_VALUE"""),"Austin, TX 78701")</f>
        <v>Austin, TX 78701</v>
      </c>
      <c r="AC803" s="31" t="s">
        <v>2050</v>
      </c>
      <c r="AD803" s="40"/>
      <c r="AE803" s="40"/>
      <c r="AF803" s="40"/>
      <c r="AG803" s="40" t="s">
        <v>60</v>
      </c>
      <c r="AH803" s="42">
        <v>2481.0</v>
      </c>
      <c r="AI803" s="40" t="s">
        <v>68</v>
      </c>
      <c r="AJ803" s="27">
        <v>1000.0</v>
      </c>
      <c r="AK803" s="31" t="s">
        <v>25</v>
      </c>
      <c r="AL803" s="43">
        <v>44826.0</v>
      </c>
      <c r="AM803" s="44">
        <v>44937.81995370371</v>
      </c>
      <c r="AN803" s="30">
        <v>2.0</v>
      </c>
      <c r="AO803" s="40"/>
      <c r="AP803" s="40"/>
      <c r="AQ803" s="40"/>
      <c r="AR803" s="40"/>
      <c r="AS803" s="40"/>
      <c r="AT803" s="47"/>
      <c r="AU803" s="40"/>
      <c r="AV803" s="46" t="str">
        <f>IFERROR(__xludf.DUMMYFUNCTION("""COMPUTED_VALUE"""),"Sanders")</f>
        <v>Sanders</v>
      </c>
      <c r="AW803" s="46">
        <f t="shared" si="7"/>
        <v>1100</v>
      </c>
      <c r="AX803" s="47">
        <f t="shared" ref="AX803:BQ803" si="2520">SUMIFS($AJ:$AJ,$V:$V,$AV803,$AK:$AK,AX$2)</f>
        <v>0</v>
      </c>
      <c r="AY803" s="48">
        <f t="shared" si="2520"/>
        <v>0</v>
      </c>
      <c r="AZ803" s="48">
        <f t="shared" si="2520"/>
        <v>100</v>
      </c>
      <c r="BA803" s="48">
        <f t="shared" si="2520"/>
        <v>0</v>
      </c>
      <c r="BB803" s="48">
        <f t="shared" si="2520"/>
        <v>0</v>
      </c>
      <c r="BC803" s="48">
        <f t="shared" si="2520"/>
        <v>0</v>
      </c>
      <c r="BD803" s="48">
        <f t="shared" si="2520"/>
        <v>0</v>
      </c>
      <c r="BE803" s="48">
        <f t="shared" si="2520"/>
        <v>0</v>
      </c>
      <c r="BF803" s="48">
        <f t="shared" si="2520"/>
        <v>0</v>
      </c>
      <c r="BG803" s="48">
        <f t="shared" si="2520"/>
        <v>0</v>
      </c>
      <c r="BH803" s="48">
        <f t="shared" si="2520"/>
        <v>0</v>
      </c>
      <c r="BI803" s="48">
        <f t="shared" si="2520"/>
        <v>0</v>
      </c>
      <c r="BJ803" s="48">
        <f t="shared" si="2520"/>
        <v>0</v>
      </c>
      <c r="BK803" s="48">
        <f t="shared" si="2520"/>
        <v>0</v>
      </c>
      <c r="BL803" s="48">
        <f t="shared" si="2520"/>
        <v>0</v>
      </c>
      <c r="BM803" s="48">
        <f t="shared" si="2520"/>
        <v>0</v>
      </c>
      <c r="BN803" s="48">
        <f t="shared" si="2520"/>
        <v>1000</v>
      </c>
      <c r="BO803" s="48">
        <f t="shared" si="2520"/>
        <v>0</v>
      </c>
      <c r="BP803" s="48">
        <f t="shared" si="2520"/>
        <v>0</v>
      </c>
      <c r="BQ803" s="48">
        <f t="shared" si="2520"/>
        <v>0</v>
      </c>
      <c r="BR803" s="36">
        <f t="shared" si="9"/>
        <v>1</v>
      </c>
      <c r="BS803" s="38">
        <f t="shared" si="10"/>
        <v>2</v>
      </c>
      <c r="BT803" s="49">
        <f t="shared" si="11"/>
        <v>0</v>
      </c>
      <c r="BU803" s="38">
        <f t="shared" si="12"/>
        <v>2000</v>
      </c>
      <c r="BV803" s="46" t="str">
        <f>IFERROR(__xludf.DUMMYFUNCTION("""COMPUTED_VALUE"""),"Sanders")</f>
        <v>Sanders</v>
      </c>
      <c r="BW803" s="46">
        <f t="shared" si="13"/>
        <v>1100</v>
      </c>
      <c r="BX803" s="47">
        <f t="shared" ref="BX803:CA803" si="2521">AX803-$BU803</f>
        <v>-2000</v>
      </c>
      <c r="BY803" s="47">
        <f t="shared" si="2521"/>
        <v>-2000</v>
      </c>
      <c r="BZ803" s="47">
        <f t="shared" si="2521"/>
        <v>-1900</v>
      </c>
      <c r="CA803" s="47">
        <f t="shared" si="2521"/>
        <v>-2000</v>
      </c>
      <c r="CB803" s="47">
        <f t="shared" si="15"/>
        <v>-20000</v>
      </c>
      <c r="CC803" s="47">
        <f t="shared" ref="CC803:CQ803" si="2522">BC803-$BU803</f>
        <v>-2000</v>
      </c>
      <c r="CD803" s="47">
        <f t="shared" si="2522"/>
        <v>-2000</v>
      </c>
      <c r="CE803" s="47">
        <f t="shared" si="2522"/>
        <v>-2000</v>
      </c>
      <c r="CF803" s="47">
        <f t="shared" si="2522"/>
        <v>-2000</v>
      </c>
      <c r="CG803" s="47">
        <f t="shared" si="2522"/>
        <v>-2000</v>
      </c>
      <c r="CH803" s="47">
        <f t="shared" si="2522"/>
        <v>-2000</v>
      </c>
      <c r="CI803" s="47">
        <f t="shared" si="2522"/>
        <v>-2000</v>
      </c>
      <c r="CJ803" s="47">
        <f t="shared" si="2522"/>
        <v>-2000</v>
      </c>
      <c r="CK803" s="47">
        <f t="shared" si="2522"/>
        <v>-2000</v>
      </c>
      <c r="CL803" s="47">
        <f t="shared" si="2522"/>
        <v>-2000</v>
      </c>
      <c r="CM803" s="47">
        <f t="shared" si="2522"/>
        <v>-2000</v>
      </c>
      <c r="CN803" s="47">
        <f t="shared" si="2522"/>
        <v>-1000</v>
      </c>
      <c r="CO803" s="47">
        <f t="shared" si="2522"/>
        <v>-2000</v>
      </c>
      <c r="CP803" s="47">
        <f t="shared" si="2522"/>
        <v>-2000</v>
      </c>
      <c r="CQ803" s="47">
        <f t="shared" si="2522"/>
        <v>-2000</v>
      </c>
      <c r="CR803" s="47"/>
      <c r="CS803" s="47"/>
      <c r="CT803" s="47"/>
      <c r="CU803" s="74"/>
      <c r="CV803" s="74"/>
      <c r="CW803" s="74" t="str">
        <f>IFERROR(__xludf.DUMMYFUNCTION("IF(REGEXMATCH(UPPER(CU803), ""DALLAS""),,CU803)"),"")</f>
        <v/>
      </c>
      <c r="CX803" s="74"/>
      <c r="CY803" s="74"/>
      <c r="CZ803" s="74"/>
      <c r="DA803" s="75"/>
      <c r="DB803" s="74"/>
      <c r="DC803" s="74"/>
      <c r="DD803" s="74"/>
      <c r="DE803" s="74"/>
      <c r="DF803" s="74"/>
      <c r="DG803" s="74"/>
      <c r="DH803" s="74"/>
      <c r="DI803" s="74"/>
      <c r="DJ803" s="74"/>
      <c r="DK803" s="74"/>
      <c r="DL803" s="74"/>
      <c r="DM803" s="74"/>
      <c r="DN803" s="74"/>
      <c r="DO803" s="74"/>
      <c r="DP803" s="74"/>
      <c r="DQ803" s="74"/>
      <c r="DR803" s="74"/>
      <c r="DS803" s="74"/>
      <c r="DT803" s="74"/>
      <c r="DU803" s="74"/>
      <c r="DV803" s="74"/>
      <c r="DW803" s="74"/>
    </row>
    <row r="804">
      <c r="A804" s="22" t="s">
        <v>55</v>
      </c>
      <c r="B804" s="23" t="s">
        <v>56</v>
      </c>
      <c r="C804" s="31" t="s">
        <v>2051</v>
      </c>
      <c r="D804" s="25" t="str">
        <f>IFERROR(__xludf.DUMMYFUNCTION("SPLIT(C804,"" "")"),"Jones,")</f>
        <v>Jones,</v>
      </c>
      <c r="E804" s="22" t="str">
        <f>IFERROR(__xludf.DUMMYFUNCTION("""COMPUTED_VALUE"""),"Buddy
823")</f>
        <v>Buddy
823</v>
      </c>
      <c r="F804" s="22" t="str">
        <f>IFERROR(__xludf.DUMMYFUNCTION("""COMPUTED_VALUE"""),"Congress")</f>
        <v>Congress</v>
      </c>
      <c r="G804" s="22" t="str">
        <f>IFERROR(__xludf.DUMMYFUNCTION("""COMPUTED_VALUE"""),"Ave
Austin,")</f>
        <v>Ave
Austin,</v>
      </c>
      <c r="H804" s="22" t="str">
        <f>IFERROR(__xludf.DUMMYFUNCTION("""COMPUTED_VALUE"""),"TX")</f>
        <v>TX</v>
      </c>
      <c r="I804" s="22">
        <f>IFERROR(__xludf.DUMMYFUNCTION("""COMPUTED_VALUE"""),78701.0)</f>
        <v>78701</v>
      </c>
      <c r="J804" s="22"/>
      <c r="K804" s="22"/>
      <c r="L804" s="22"/>
      <c r="M804" s="22"/>
      <c r="N804" s="22"/>
      <c r="O804" s="22"/>
      <c r="P804" s="22"/>
      <c r="Q804" s="22"/>
      <c r="R804" s="22"/>
      <c r="S804" s="22"/>
      <c r="T804" s="22"/>
      <c r="U804" s="24" t="str">
        <f>IFERROR(__xludf.DUMMYFUNCTION("SPLIT(E804,""01234567890"")"),"Buddy
")</f>
        <v>Buddy
</v>
      </c>
      <c r="V804" s="24" t="str">
        <f>IFERROR(__xludf.DUMMYFUNCTION("SPLIT(D804,"","")"),"Jones")</f>
        <v>Jones</v>
      </c>
      <c r="W804" s="25" t="str">
        <f t="shared" si="1"/>
        <v>BUDDY
 JONES</v>
      </c>
      <c r="X804" s="22"/>
      <c r="Y804" s="22"/>
      <c r="Z804" s="25" t="str">
        <f>IFERROR(__xludf.DUMMYFUNCTION("SPLIT(C804,""
"")"),"Jones, Buddy")</f>
        <v>Jones, Buddy</v>
      </c>
      <c r="AA804" s="22" t="str">
        <f>IFERROR(__xludf.DUMMYFUNCTION("""COMPUTED_VALUE"""),"823 Congress Ave")</f>
        <v>823 Congress Ave</v>
      </c>
      <c r="AB804" s="22" t="str">
        <f>IFERROR(__xludf.DUMMYFUNCTION("""COMPUTED_VALUE"""),"Austin, TX 78701")</f>
        <v>Austin, TX 78701</v>
      </c>
      <c r="AC804" s="31" t="s">
        <v>2052</v>
      </c>
      <c r="AD804" s="22"/>
      <c r="AE804" s="22"/>
      <c r="AF804" s="22"/>
      <c r="AG804" s="22" t="s">
        <v>60</v>
      </c>
      <c r="AH804" s="54">
        <v>2481.0</v>
      </c>
      <c r="AI804" s="22" t="s">
        <v>68</v>
      </c>
      <c r="AJ804" s="27">
        <v>1000.0</v>
      </c>
      <c r="AK804" s="31" t="s">
        <v>25</v>
      </c>
      <c r="AL804" s="28">
        <v>44826.0</v>
      </c>
      <c r="AM804" s="29">
        <v>44937.81995370371</v>
      </c>
      <c r="AN804" s="30">
        <v>2.0</v>
      </c>
      <c r="AO804" s="22"/>
      <c r="AP804" s="22"/>
      <c r="AQ804" s="22"/>
      <c r="AR804" s="22"/>
      <c r="AS804" s="22"/>
      <c r="AT804" s="70"/>
      <c r="AU804" s="22"/>
      <c r="AV804" s="57" t="str">
        <f>IFERROR(__xludf.DUMMYFUNCTION("""COMPUTED_VALUE"""),"Park")</f>
        <v>Park</v>
      </c>
      <c r="AW804" s="46">
        <f t="shared" si="7"/>
        <v>1000</v>
      </c>
      <c r="AX804" s="47">
        <f t="shared" ref="AX804:BQ804" si="2523">SUMIFS($AJ:$AJ,$V:$V,$AV804,$AK:$AK,AX$2)</f>
        <v>0</v>
      </c>
      <c r="AY804" s="48">
        <f t="shared" si="2523"/>
        <v>0</v>
      </c>
      <c r="AZ804" s="48">
        <f t="shared" si="2523"/>
        <v>0</v>
      </c>
      <c r="BA804" s="48">
        <f t="shared" si="2523"/>
        <v>0</v>
      </c>
      <c r="BB804" s="48">
        <f t="shared" si="2523"/>
        <v>0</v>
      </c>
      <c r="BC804" s="48">
        <f t="shared" si="2523"/>
        <v>0</v>
      </c>
      <c r="BD804" s="48">
        <f t="shared" si="2523"/>
        <v>0</v>
      </c>
      <c r="BE804" s="48">
        <f t="shared" si="2523"/>
        <v>0</v>
      </c>
      <c r="BF804" s="48">
        <f t="shared" si="2523"/>
        <v>0</v>
      </c>
      <c r="BG804" s="48">
        <f t="shared" si="2523"/>
        <v>0</v>
      </c>
      <c r="BH804" s="48">
        <f t="shared" si="2523"/>
        <v>0</v>
      </c>
      <c r="BI804" s="48">
        <f t="shared" si="2523"/>
        <v>0</v>
      </c>
      <c r="BJ804" s="48">
        <f t="shared" si="2523"/>
        <v>0</v>
      </c>
      <c r="BK804" s="48">
        <f t="shared" si="2523"/>
        <v>0</v>
      </c>
      <c r="BL804" s="48">
        <f t="shared" si="2523"/>
        <v>0</v>
      </c>
      <c r="BM804" s="48">
        <f t="shared" si="2523"/>
        <v>0</v>
      </c>
      <c r="BN804" s="48">
        <f t="shared" si="2523"/>
        <v>1000</v>
      </c>
      <c r="BO804" s="48">
        <f t="shared" si="2523"/>
        <v>0</v>
      </c>
      <c r="BP804" s="48">
        <f t="shared" si="2523"/>
        <v>0</v>
      </c>
      <c r="BQ804" s="48">
        <f t="shared" si="2523"/>
        <v>0</v>
      </c>
      <c r="BR804" s="36">
        <f t="shared" si="9"/>
        <v>0</v>
      </c>
      <c r="BS804" s="38">
        <f t="shared" si="10"/>
        <v>1</v>
      </c>
      <c r="BT804" s="49">
        <f t="shared" si="11"/>
        <v>0</v>
      </c>
      <c r="BU804" s="38">
        <f t="shared" si="12"/>
        <v>1000</v>
      </c>
      <c r="BV804" s="57" t="str">
        <f>IFERROR(__xludf.DUMMYFUNCTION("""COMPUTED_VALUE"""),"Park")</f>
        <v>Park</v>
      </c>
      <c r="BW804" s="46">
        <f t="shared" si="13"/>
        <v>1000</v>
      </c>
      <c r="BX804" s="47">
        <f t="shared" ref="BX804:CA804" si="2524">AX804-$BU804</f>
        <v>-1000</v>
      </c>
      <c r="BY804" s="47">
        <f t="shared" si="2524"/>
        <v>-1000</v>
      </c>
      <c r="BZ804" s="47">
        <f t="shared" si="2524"/>
        <v>-1000</v>
      </c>
      <c r="CA804" s="47">
        <f t="shared" si="2524"/>
        <v>-1000</v>
      </c>
      <c r="CB804" s="47">
        <f t="shared" si="15"/>
        <v>-10000</v>
      </c>
      <c r="CC804" s="47">
        <f t="shared" ref="CC804:CQ804" si="2525">BC804-$BU804</f>
        <v>-1000</v>
      </c>
      <c r="CD804" s="47">
        <f t="shared" si="2525"/>
        <v>-1000</v>
      </c>
      <c r="CE804" s="47">
        <f t="shared" si="2525"/>
        <v>-1000</v>
      </c>
      <c r="CF804" s="47">
        <f t="shared" si="2525"/>
        <v>-1000</v>
      </c>
      <c r="CG804" s="47">
        <f t="shared" si="2525"/>
        <v>-1000</v>
      </c>
      <c r="CH804" s="47">
        <f t="shared" si="2525"/>
        <v>-1000</v>
      </c>
      <c r="CI804" s="47">
        <f t="shared" si="2525"/>
        <v>-1000</v>
      </c>
      <c r="CJ804" s="47">
        <f t="shared" si="2525"/>
        <v>-1000</v>
      </c>
      <c r="CK804" s="47">
        <f t="shared" si="2525"/>
        <v>-1000</v>
      </c>
      <c r="CL804" s="47">
        <f t="shared" si="2525"/>
        <v>-1000</v>
      </c>
      <c r="CM804" s="47">
        <f t="shared" si="2525"/>
        <v>-1000</v>
      </c>
      <c r="CN804" s="47">
        <f t="shared" si="2525"/>
        <v>0</v>
      </c>
      <c r="CO804" s="47">
        <f t="shared" si="2525"/>
        <v>-1000</v>
      </c>
      <c r="CP804" s="47">
        <f t="shared" si="2525"/>
        <v>-1000</v>
      </c>
      <c r="CQ804" s="47">
        <f t="shared" si="2525"/>
        <v>-1000</v>
      </c>
      <c r="CR804" s="47"/>
      <c r="CS804" s="47"/>
      <c r="CT804" s="47"/>
      <c r="CU804" s="74"/>
      <c r="CV804" s="74"/>
      <c r="CW804" s="74" t="str">
        <f>IFERROR(__xludf.DUMMYFUNCTION("IF(REGEXMATCH(UPPER(CU804), ""DALLAS""),,CU804)"),"")</f>
        <v/>
      </c>
      <c r="CX804" s="74"/>
      <c r="CY804" s="74"/>
      <c r="CZ804" s="74"/>
      <c r="DA804" s="75"/>
      <c r="DB804" s="74"/>
      <c r="DC804" s="74"/>
      <c r="DD804" s="74"/>
      <c r="DE804" s="74"/>
      <c r="DF804" s="74"/>
      <c r="DG804" s="74"/>
      <c r="DH804" s="74"/>
      <c r="DI804" s="74"/>
      <c r="DJ804" s="74"/>
      <c r="DK804" s="74"/>
      <c r="DL804" s="74"/>
      <c r="DM804" s="74"/>
      <c r="DN804" s="74"/>
      <c r="DO804" s="74"/>
      <c r="DP804" s="74"/>
      <c r="DQ804" s="74"/>
      <c r="DR804" s="74"/>
      <c r="DS804" s="74"/>
      <c r="DT804" s="74"/>
      <c r="DU804" s="74"/>
      <c r="DV804" s="74"/>
      <c r="DW804" s="74"/>
    </row>
    <row r="805">
      <c r="A805" s="40" t="s">
        <v>55</v>
      </c>
      <c r="B805" s="41" t="s">
        <v>56</v>
      </c>
      <c r="C805" s="31" t="s">
        <v>2053</v>
      </c>
      <c r="D805" s="25" t="str">
        <f>IFERROR(__xludf.DUMMYFUNCTION("SPLIT(C805,"" "")"),"Keffer,")</f>
        <v>Keffer,</v>
      </c>
      <c r="E805" s="40" t="str">
        <f>IFERROR(__xludf.DUMMYFUNCTION("""COMPUTED_VALUE"""),"James
1105")</f>
        <v>James
1105</v>
      </c>
      <c r="F805" s="40" t="str">
        <f>IFERROR(__xludf.DUMMYFUNCTION("""COMPUTED_VALUE"""),"S")</f>
        <v>S</v>
      </c>
      <c r="G805" s="40" t="str">
        <f>IFERROR(__xludf.DUMMYFUNCTION("""COMPUTED_VALUE"""),"Seaman")</f>
        <v>Seaman</v>
      </c>
      <c r="H805" s="40" t="str">
        <f>IFERROR(__xludf.DUMMYFUNCTION("""COMPUTED_VALUE"""),"St
Eastland,")</f>
        <v>St
Eastland,</v>
      </c>
      <c r="I805" s="40" t="str">
        <f>IFERROR(__xludf.DUMMYFUNCTION("""COMPUTED_VALUE"""),"TX")</f>
        <v>TX</v>
      </c>
      <c r="J805" s="40">
        <f>IFERROR(__xludf.DUMMYFUNCTION("""COMPUTED_VALUE"""),76448.0)</f>
        <v>76448</v>
      </c>
      <c r="K805" s="40"/>
      <c r="L805" s="40"/>
      <c r="M805" s="40"/>
      <c r="N805" s="40"/>
      <c r="O805" s="40"/>
      <c r="P805" s="40"/>
      <c r="Q805" s="40"/>
      <c r="R805" s="40"/>
      <c r="S805" s="40"/>
      <c r="T805" s="40"/>
      <c r="U805" s="24" t="str">
        <f>IFERROR(__xludf.DUMMYFUNCTION("SPLIT(E805,""01234567890"")"),"James
")</f>
        <v>James
</v>
      </c>
      <c r="V805" s="24" t="str">
        <f>IFERROR(__xludf.DUMMYFUNCTION("SPLIT(D805,"","")"),"Keffer")</f>
        <v>Keffer</v>
      </c>
      <c r="W805" s="25" t="str">
        <f t="shared" si="1"/>
        <v>JAMES
 KEFFER</v>
      </c>
      <c r="X805" s="40"/>
      <c r="Y805" s="40"/>
      <c r="Z805" s="25" t="str">
        <f>IFERROR(__xludf.DUMMYFUNCTION("SPLIT(C805,""
"")"),"Keffer, James")</f>
        <v>Keffer, James</v>
      </c>
      <c r="AA805" s="40" t="str">
        <f>IFERROR(__xludf.DUMMYFUNCTION("""COMPUTED_VALUE"""),"1105 S Seaman St")</f>
        <v>1105 S Seaman St</v>
      </c>
      <c r="AB805" s="40" t="str">
        <f>IFERROR(__xludf.DUMMYFUNCTION("""COMPUTED_VALUE"""),"Eastland, TX 76448")</f>
        <v>Eastland, TX 76448</v>
      </c>
      <c r="AC805" s="31" t="s">
        <v>2054</v>
      </c>
      <c r="AD805" s="40"/>
      <c r="AE805" s="40"/>
      <c r="AF805" s="40"/>
      <c r="AG805" s="40" t="s">
        <v>60</v>
      </c>
      <c r="AH805" s="42">
        <v>2481.0</v>
      </c>
      <c r="AI805" s="40" t="s">
        <v>68</v>
      </c>
      <c r="AJ805" s="27">
        <v>1500.0</v>
      </c>
      <c r="AK805" s="31" t="s">
        <v>25</v>
      </c>
      <c r="AL805" s="43">
        <v>44826.0</v>
      </c>
      <c r="AM805" s="44">
        <v>44937.81995370371</v>
      </c>
      <c r="AN805" s="30">
        <v>2.0</v>
      </c>
      <c r="AO805" s="40"/>
      <c r="AP805" s="40"/>
      <c r="AQ805" s="40"/>
      <c r="AR805" s="40"/>
      <c r="AS805" s="40"/>
      <c r="AT805" s="47"/>
      <c r="AU805" s="40"/>
      <c r="AV805" s="46" t="str">
        <f>IFERROR(__xludf.DUMMYFUNCTION("""COMPUTED_VALUE"""),"Pitchford")</f>
        <v>Pitchford</v>
      </c>
      <c r="AW805" s="46">
        <f t="shared" si="7"/>
        <v>1000</v>
      </c>
      <c r="AX805" s="47">
        <f t="shared" ref="AX805:BQ805" si="2526">SUMIFS($AJ:$AJ,$V:$V,$AV805,$AK:$AK,AX$2)</f>
        <v>0</v>
      </c>
      <c r="AY805" s="48">
        <f t="shared" si="2526"/>
        <v>0</v>
      </c>
      <c r="AZ805" s="48">
        <f t="shared" si="2526"/>
        <v>0</v>
      </c>
      <c r="BA805" s="48">
        <f t="shared" si="2526"/>
        <v>0</v>
      </c>
      <c r="BB805" s="48">
        <f t="shared" si="2526"/>
        <v>0</v>
      </c>
      <c r="BC805" s="48">
        <f t="shared" si="2526"/>
        <v>0</v>
      </c>
      <c r="BD805" s="48">
        <f t="shared" si="2526"/>
        <v>0</v>
      </c>
      <c r="BE805" s="48">
        <f t="shared" si="2526"/>
        <v>0</v>
      </c>
      <c r="BF805" s="48">
        <f t="shared" si="2526"/>
        <v>0</v>
      </c>
      <c r="BG805" s="48">
        <f t="shared" si="2526"/>
        <v>0</v>
      </c>
      <c r="BH805" s="48">
        <f t="shared" si="2526"/>
        <v>0</v>
      </c>
      <c r="BI805" s="48">
        <f t="shared" si="2526"/>
        <v>0</v>
      </c>
      <c r="BJ805" s="48">
        <f t="shared" si="2526"/>
        <v>0</v>
      </c>
      <c r="BK805" s="48">
        <f t="shared" si="2526"/>
        <v>1000</v>
      </c>
      <c r="BL805" s="48">
        <f t="shared" si="2526"/>
        <v>0</v>
      </c>
      <c r="BM805" s="48">
        <f t="shared" si="2526"/>
        <v>0</v>
      </c>
      <c r="BN805" s="48">
        <f t="shared" si="2526"/>
        <v>0</v>
      </c>
      <c r="BO805" s="48">
        <f t="shared" si="2526"/>
        <v>0</v>
      </c>
      <c r="BP805" s="48">
        <f t="shared" si="2526"/>
        <v>0</v>
      </c>
      <c r="BQ805" s="48">
        <f t="shared" si="2526"/>
        <v>0</v>
      </c>
      <c r="BR805" s="36">
        <f t="shared" si="9"/>
        <v>0</v>
      </c>
      <c r="BS805" s="38">
        <f t="shared" si="10"/>
        <v>1</v>
      </c>
      <c r="BT805" s="49">
        <f t="shared" si="11"/>
        <v>0</v>
      </c>
      <c r="BU805" s="38">
        <f t="shared" si="12"/>
        <v>1000</v>
      </c>
      <c r="BV805" s="46" t="str">
        <f>IFERROR(__xludf.DUMMYFUNCTION("""COMPUTED_VALUE"""),"Pitchford")</f>
        <v>Pitchford</v>
      </c>
      <c r="BW805" s="46">
        <f t="shared" si="13"/>
        <v>1000</v>
      </c>
      <c r="BX805" s="47">
        <f t="shared" ref="BX805:CA805" si="2527">AX805-$BU805</f>
        <v>-1000</v>
      </c>
      <c r="BY805" s="47">
        <f t="shared" si="2527"/>
        <v>-1000</v>
      </c>
      <c r="BZ805" s="47">
        <f t="shared" si="2527"/>
        <v>-1000</v>
      </c>
      <c r="CA805" s="47">
        <f t="shared" si="2527"/>
        <v>-1000</v>
      </c>
      <c r="CB805" s="47">
        <f t="shared" si="15"/>
        <v>-10000</v>
      </c>
      <c r="CC805" s="47">
        <f t="shared" ref="CC805:CQ805" si="2528">BC805-$BU805</f>
        <v>-1000</v>
      </c>
      <c r="CD805" s="47">
        <f t="shared" si="2528"/>
        <v>-1000</v>
      </c>
      <c r="CE805" s="47">
        <f t="shared" si="2528"/>
        <v>-1000</v>
      </c>
      <c r="CF805" s="47">
        <f t="shared" si="2528"/>
        <v>-1000</v>
      </c>
      <c r="CG805" s="47">
        <f t="shared" si="2528"/>
        <v>-1000</v>
      </c>
      <c r="CH805" s="47">
        <f t="shared" si="2528"/>
        <v>-1000</v>
      </c>
      <c r="CI805" s="47">
        <f t="shared" si="2528"/>
        <v>-1000</v>
      </c>
      <c r="CJ805" s="47">
        <f t="shared" si="2528"/>
        <v>-1000</v>
      </c>
      <c r="CK805" s="47">
        <f t="shared" si="2528"/>
        <v>0</v>
      </c>
      <c r="CL805" s="47">
        <f t="shared" si="2528"/>
        <v>-1000</v>
      </c>
      <c r="CM805" s="47">
        <f t="shared" si="2528"/>
        <v>-1000</v>
      </c>
      <c r="CN805" s="47">
        <f t="shared" si="2528"/>
        <v>-1000</v>
      </c>
      <c r="CO805" s="47">
        <f t="shared" si="2528"/>
        <v>-1000</v>
      </c>
      <c r="CP805" s="47">
        <f t="shared" si="2528"/>
        <v>-1000</v>
      </c>
      <c r="CQ805" s="47">
        <f t="shared" si="2528"/>
        <v>-1000</v>
      </c>
      <c r="CR805" s="47"/>
      <c r="CS805" s="47"/>
      <c r="CT805" s="47"/>
      <c r="CU805" s="74"/>
      <c r="CV805" s="74"/>
      <c r="CW805" s="74" t="str">
        <f>IFERROR(__xludf.DUMMYFUNCTION("IF(REGEXMATCH(UPPER(CU805), ""DALLAS""),,CU805)"),"")</f>
        <v/>
      </c>
      <c r="CX805" s="74"/>
      <c r="CY805" s="74"/>
      <c r="CZ805" s="74"/>
      <c r="DA805" s="75"/>
      <c r="DB805" s="74"/>
      <c r="DC805" s="74"/>
      <c r="DD805" s="74"/>
      <c r="DE805" s="74"/>
      <c r="DF805" s="74"/>
      <c r="DG805" s="74"/>
      <c r="DH805" s="74"/>
      <c r="DI805" s="74"/>
      <c r="DJ805" s="74"/>
      <c r="DK805" s="74"/>
      <c r="DL805" s="74"/>
      <c r="DM805" s="74"/>
      <c r="DN805" s="74"/>
      <c r="DO805" s="74"/>
      <c r="DP805" s="74"/>
      <c r="DQ805" s="74"/>
      <c r="DR805" s="74"/>
      <c r="DS805" s="74"/>
      <c r="DT805" s="74"/>
      <c r="DU805" s="74"/>
      <c r="DV805" s="74"/>
      <c r="DW805" s="74"/>
    </row>
    <row r="806">
      <c r="A806" s="22" t="s">
        <v>55</v>
      </c>
      <c r="B806" s="23" t="s">
        <v>56</v>
      </c>
      <c r="C806" s="31" t="s">
        <v>2055</v>
      </c>
      <c r="D806" s="25" t="str">
        <f>IFERROR(__xludf.DUMMYFUNCTION("SPLIT(C806,"" "")"),"Bracewell")</f>
        <v>Bracewell</v>
      </c>
      <c r="E806" s="22" t="str">
        <f>IFERROR(__xludf.DUMMYFUNCTION("""COMPUTED_VALUE"""),"PAC
711")</f>
        <v>PAC
711</v>
      </c>
      <c r="F806" s="22" t="str">
        <f>IFERROR(__xludf.DUMMYFUNCTION("""COMPUTED_VALUE"""),"Louisiana")</f>
        <v>Louisiana</v>
      </c>
      <c r="G806" s="22" t="str">
        <f>IFERROR(__xludf.DUMMYFUNCTION("""COMPUTED_VALUE"""),"St
Houston,")</f>
        <v>St
Houston,</v>
      </c>
      <c r="H806" s="22" t="str">
        <f>IFERROR(__xludf.DUMMYFUNCTION("""COMPUTED_VALUE"""),"TX")</f>
        <v>TX</v>
      </c>
      <c r="I806" s="22">
        <f>IFERROR(__xludf.DUMMYFUNCTION("""COMPUTED_VALUE"""),77002.0)</f>
        <v>77002</v>
      </c>
      <c r="J806" s="22"/>
      <c r="K806" s="22"/>
      <c r="L806" s="22"/>
      <c r="M806" s="22"/>
      <c r="N806" s="22"/>
      <c r="O806" s="22"/>
      <c r="P806" s="22"/>
      <c r="Q806" s="22"/>
      <c r="R806" s="22"/>
      <c r="S806" s="22"/>
      <c r="T806" s="22"/>
      <c r="U806" s="24" t="str">
        <f>IFERROR(__xludf.DUMMYFUNCTION("SPLIT(E806,""01234567890"")"),"PAC
")</f>
        <v>PAC
</v>
      </c>
      <c r="V806" s="24" t="str">
        <f>IFERROR(__xludf.DUMMYFUNCTION("SPLIT(D806,"","")"),"Bracewell")</f>
        <v>Bracewell</v>
      </c>
      <c r="W806" s="25" t="str">
        <f t="shared" si="1"/>
        <v>PAC
 BRACEWELL</v>
      </c>
      <c r="X806" s="22"/>
      <c r="Y806" s="22"/>
      <c r="Z806" s="25" t="str">
        <f>IFERROR(__xludf.DUMMYFUNCTION("SPLIT(C806,""
"")"),"Bracewell PAC")</f>
        <v>Bracewell PAC</v>
      </c>
      <c r="AA806" s="22" t="str">
        <f>IFERROR(__xludf.DUMMYFUNCTION("""COMPUTED_VALUE"""),"711 Louisiana St")</f>
        <v>711 Louisiana St</v>
      </c>
      <c r="AB806" s="22" t="str">
        <f>IFERROR(__xludf.DUMMYFUNCTION("""COMPUTED_VALUE"""),"Houston, TX 77002")</f>
        <v>Houston, TX 77002</v>
      </c>
      <c r="AC806" s="31" t="s">
        <v>2056</v>
      </c>
      <c r="AD806" s="22"/>
      <c r="AE806" s="22"/>
      <c r="AF806" s="22"/>
      <c r="AG806" s="22" t="s">
        <v>60</v>
      </c>
      <c r="AH806" s="54">
        <v>2481.0</v>
      </c>
      <c r="AI806" s="22" t="s">
        <v>68</v>
      </c>
      <c r="AJ806" s="27">
        <v>2500.0</v>
      </c>
      <c r="AK806" s="31" t="s">
        <v>25</v>
      </c>
      <c r="AL806" s="28">
        <v>44861.0</v>
      </c>
      <c r="AM806" s="29">
        <v>44937.81995370371</v>
      </c>
      <c r="AN806" s="30">
        <v>2.0</v>
      </c>
      <c r="AO806" s="22"/>
      <c r="AP806" s="22"/>
      <c r="AQ806" s="22"/>
      <c r="AR806" s="22"/>
      <c r="AS806" s="22"/>
      <c r="AT806" s="70"/>
      <c r="AU806" s="22"/>
      <c r="AV806" s="57" t="str">
        <f>IFERROR(__xludf.DUMMYFUNCTION("""COMPUTED_VALUE"""),"Butts")</f>
        <v>Butts</v>
      </c>
      <c r="AW806" s="46">
        <f t="shared" si="7"/>
        <v>206.46</v>
      </c>
      <c r="AX806" s="47">
        <f t="shared" ref="AX806:BQ806" si="2529">SUMIFS($AJ:$AJ,$V:$V,$AV806,$AK:$AK,AX$2)</f>
        <v>0</v>
      </c>
      <c r="AY806" s="48">
        <f t="shared" si="2529"/>
        <v>0</v>
      </c>
      <c r="AZ806" s="48">
        <f t="shared" si="2529"/>
        <v>0</v>
      </c>
      <c r="BA806" s="48">
        <f t="shared" si="2529"/>
        <v>0</v>
      </c>
      <c r="BB806" s="48">
        <f t="shared" si="2529"/>
        <v>0</v>
      </c>
      <c r="BC806" s="48">
        <f t="shared" si="2529"/>
        <v>0</v>
      </c>
      <c r="BD806" s="48">
        <f t="shared" si="2529"/>
        <v>0</v>
      </c>
      <c r="BE806" s="48">
        <f t="shared" si="2529"/>
        <v>0</v>
      </c>
      <c r="BF806" s="48">
        <f t="shared" si="2529"/>
        <v>0</v>
      </c>
      <c r="BG806" s="48">
        <f t="shared" si="2529"/>
        <v>0</v>
      </c>
      <c r="BH806" s="48">
        <f t="shared" si="2529"/>
        <v>0</v>
      </c>
      <c r="BI806" s="48">
        <f t="shared" si="2529"/>
        <v>0</v>
      </c>
      <c r="BJ806" s="48">
        <f t="shared" si="2529"/>
        <v>0</v>
      </c>
      <c r="BK806" s="48">
        <f t="shared" si="2529"/>
        <v>206.46</v>
      </c>
      <c r="BL806" s="48">
        <f t="shared" si="2529"/>
        <v>0</v>
      </c>
      <c r="BM806" s="48">
        <f t="shared" si="2529"/>
        <v>0</v>
      </c>
      <c r="BN806" s="48">
        <f t="shared" si="2529"/>
        <v>0</v>
      </c>
      <c r="BO806" s="48">
        <f t="shared" si="2529"/>
        <v>0</v>
      </c>
      <c r="BP806" s="48">
        <f t="shared" si="2529"/>
        <v>0</v>
      </c>
      <c r="BQ806" s="48">
        <f t="shared" si="2529"/>
        <v>0</v>
      </c>
      <c r="BR806" s="36">
        <f t="shared" si="9"/>
        <v>0</v>
      </c>
      <c r="BS806" s="38">
        <f t="shared" si="10"/>
        <v>1</v>
      </c>
      <c r="BT806" s="49">
        <f t="shared" si="11"/>
        <v>0</v>
      </c>
      <c r="BU806" s="38">
        <f t="shared" si="12"/>
        <v>1000</v>
      </c>
      <c r="BV806" s="57" t="str">
        <f>IFERROR(__xludf.DUMMYFUNCTION("""COMPUTED_VALUE"""),"Butts")</f>
        <v>Butts</v>
      </c>
      <c r="BW806" s="46">
        <f t="shared" si="13"/>
        <v>206.46</v>
      </c>
      <c r="BX806" s="47">
        <f t="shared" ref="BX806:CA806" si="2530">AX806-$BU806</f>
        <v>-1000</v>
      </c>
      <c r="BY806" s="47">
        <f t="shared" si="2530"/>
        <v>-1000</v>
      </c>
      <c r="BZ806" s="47">
        <f t="shared" si="2530"/>
        <v>-1000</v>
      </c>
      <c r="CA806" s="47">
        <f t="shared" si="2530"/>
        <v>-1000</v>
      </c>
      <c r="CB806" s="47">
        <f t="shared" si="15"/>
        <v>-10000</v>
      </c>
      <c r="CC806" s="47">
        <f t="shared" ref="CC806:CQ806" si="2531">BC806-$BU806</f>
        <v>-1000</v>
      </c>
      <c r="CD806" s="47">
        <f t="shared" si="2531"/>
        <v>-1000</v>
      </c>
      <c r="CE806" s="47">
        <f t="shared" si="2531"/>
        <v>-1000</v>
      </c>
      <c r="CF806" s="47">
        <f t="shared" si="2531"/>
        <v>-1000</v>
      </c>
      <c r="CG806" s="47">
        <f t="shared" si="2531"/>
        <v>-1000</v>
      </c>
      <c r="CH806" s="47">
        <f t="shared" si="2531"/>
        <v>-1000</v>
      </c>
      <c r="CI806" s="47">
        <f t="shared" si="2531"/>
        <v>-1000</v>
      </c>
      <c r="CJ806" s="47">
        <f t="shared" si="2531"/>
        <v>-1000</v>
      </c>
      <c r="CK806" s="47">
        <f t="shared" si="2531"/>
        <v>-793.54</v>
      </c>
      <c r="CL806" s="47">
        <f t="shared" si="2531"/>
        <v>-1000</v>
      </c>
      <c r="CM806" s="47">
        <f t="shared" si="2531"/>
        <v>-1000</v>
      </c>
      <c r="CN806" s="47">
        <f t="shared" si="2531"/>
        <v>-1000</v>
      </c>
      <c r="CO806" s="47">
        <f t="shared" si="2531"/>
        <v>-1000</v>
      </c>
      <c r="CP806" s="47">
        <f t="shared" si="2531"/>
        <v>-1000</v>
      </c>
      <c r="CQ806" s="47">
        <f t="shared" si="2531"/>
        <v>-1000</v>
      </c>
      <c r="CR806" s="47"/>
      <c r="CS806" s="47"/>
      <c r="CT806" s="47"/>
      <c r="CU806" s="74"/>
      <c r="CV806" s="74"/>
      <c r="CW806" s="74" t="str">
        <f>IFERROR(__xludf.DUMMYFUNCTION("IF(REGEXMATCH(UPPER(CU806), ""DALLAS""),,CU806)"),"")</f>
        <v/>
      </c>
      <c r="CX806" s="74"/>
      <c r="CY806" s="74"/>
      <c r="CZ806" s="74"/>
      <c r="DA806" s="75"/>
      <c r="DB806" s="74"/>
      <c r="DC806" s="74"/>
      <c r="DD806" s="74"/>
      <c r="DE806" s="74"/>
      <c r="DF806" s="74"/>
      <c r="DG806" s="74"/>
      <c r="DH806" s="74"/>
      <c r="DI806" s="74"/>
      <c r="DJ806" s="74"/>
      <c r="DK806" s="74"/>
      <c r="DL806" s="74"/>
      <c r="DM806" s="74"/>
      <c r="DN806" s="74"/>
      <c r="DO806" s="74"/>
      <c r="DP806" s="74"/>
      <c r="DQ806" s="74"/>
      <c r="DR806" s="74"/>
      <c r="DS806" s="74"/>
      <c r="DT806" s="74"/>
      <c r="DU806" s="74"/>
      <c r="DV806" s="74"/>
      <c r="DW806" s="74"/>
    </row>
    <row r="807">
      <c r="A807" s="40" t="s">
        <v>55</v>
      </c>
      <c r="B807" s="41" t="s">
        <v>56</v>
      </c>
      <c r="C807" s="31" t="s">
        <v>2057</v>
      </c>
      <c r="D807" s="25" t="str">
        <f>IFERROR(__xludf.DUMMYFUNCTION("SPLIT(C807,"" "")"),"Gulf")</f>
        <v>Gulf</v>
      </c>
      <c r="E807" s="40" t="str">
        <f>IFERROR(__xludf.DUMMYFUNCTION("""COMPUTED_VALUE"""),"States")</f>
        <v>States</v>
      </c>
      <c r="F807" s="40" t="str">
        <f>IFERROR(__xludf.DUMMYFUNCTION("""COMPUTED_VALUE"""),"Toyota")</f>
        <v>Toyota</v>
      </c>
      <c r="G807" s="40" t="str">
        <f>IFERROR(__xludf.DUMMYFUNCTION("""COMPUTED_VALUE"""),"State")</f>
        <v>State</v>
      </c>
      <c r="H807" s="40" t="str">
        <f>IFERROR(__xludf.DUMMYFUNCTION("""COMPUTED_VALUE"""),"PAC
1375")</f>
        <v>PAC
1375</v>
      </c>
      <c r="I807" s="40" t="str">
        <f>IFERROR(__xludf.DUMMYFUNCTION("""COMPUTED_VALUE"""),"Enclave")</f>
        <v>Enclave</v>
      </c>
      <c r="J807" s="40" t="str">
        <f>IFERROR(__xludf.DUMMYFUNCTION("""COMPUTED_VALUE"""),"Parkway
Houston,")</f>
        <v>Parkway
Houston,</v>
      </c>
      <c r="K807" s="40" t="str">
        <f>IFERROR(__xludf.DUMMYFUNCTION("""COMPUTED_VALUE"""),"TX")</f>
        <v>TX</v>
      </c>
      <c r="L807" s="40">
        <f>IFERROR(__xludf.DUMMYFUNCTION("""COMPUTED_VALUE"""),77077.0)</f>
        <v>77077</v>
      </c>
      <c r="M807" s="40"/>
      <c r="N807" s="40"/>
      <c r="O807" s="40"/>
      <c r="P807" s="40"/>
      <c r="Q807" s="40"/>
      <c r="R807" s="40"/>
      <c r="S807" s="40"/>
      <c r="T807" s="40"/>
      <c r="U807" s="24" t="str">
        <f>IFERROR(__xludf.DUMMYFUNCTION("SPLIT(E807,""01234567890"")"),"States")</f>
        <v>States</v>
      </c>
      <c r="V807" s="24" t="str">
        <f>IFERROR(__xludf.DUMMYFUNCTION("SPLIT(D807,"","")"),"Gulf")</f>
        <v>Gulf</v>
      </c>
      <c r="W807" s="25" t="str">
        <f t="shared" si="1"/>
        <v>STATES GULF</v>
      </c>
      <c r="X807" s="40"/>
      <c r="Y807" s="40"/>
      <c r="Z807" s="25" t="str">
        <f>IFERROR(__xludf.DUMMYFUNCTION("SPLIT(C807,""
"")"),"Gulf States Toyota State PAC")</f>
        <v>Gulf States Toyota State PAC</v>
      </c>
      <c r="AA807" s="40" t="str">
        <f>IFERROR(__xludf.DUMMYFUNCTION("""COMPUTED_VALUE"""),"1375 Enclave Parkway")</f>
        <v>1375 Enclave Parkway</v>
      </c>
      <c r="AB807" s="40" t="str">
        <f>IFERROR(__xludf.DUMMYFUNCTION("""COMPUTED_VALUE"""),"Houston, TX 77077")</f>
        <v>Houston, TX 77077</v>
      </c>
      <c r="AC807" s="31" t="s">
        <v>2058</v>
      </c>
      <c r="AD807" s="40"/>
      <c r="AE807" s="40"/>
      <c r="AF807" s="40"/>
      <c r="AG807" s="40" t="s">
        <v>60</v>
      </c>
      <c r="AH807" s="42">
        <v>2481.0</v>
      </c>
      <c r="AI807" s="40" t="s">
        <v>68</v>
      </c>
      <c r="AJ807" s="27">
        <v>1000.0</v>
      </c>
      <c r="AK807" s="31" t="s">
        <v>25</v>
      </c>
      <c r="AL807" s="43">
        <v>44861.0</v>
      </c>
      <c r="AM807" s="44">
        <v>44937.81995370371</v>
      </c>
      <c r="AN807" s="30">
        <v>2.0</v>
      </c>
      <c r="AO807" s="40"/>
      <c r="AP807" s="40"/>
      <c r="AQ807" s="40"/>
      <c r="AR807" s="40"/>
      <c r="AS807" s="40"/>
      <c r="AT807" s="47"/>
      <c r="AU807" s="40"/>
      <c r="AV807" s="46" t="str">
        <f>IFERROR(__xludf.DUMMYFUNCTION("""COMPUTED_VALUE"""),"Naul")</f>
        <v>Naul</v>
      </c>
      <c r="AW807" s="46">
        <f t="shared" si="7"/>
        <v>1000</v>
      </c>
      <c r="AX807" s="47">
        <f t="shared" ref="AX807:BQ807" si="2532">SUMIFS($AJ:$AJ,$V:$V,$AV807,$AK:$AK,AX$2)</f>
        <v>0</v>
      </c>
      <c r="AY807" s="48">
        <f t="shared" si="2532"/>
        <v>0</v>
      </c>
      <c r="AZ807" s="48">
        <f t="shared" si="2532"/>
        <v>0</v>
      </c>
      <c r="BA807" s="48">
        <f t="shared" si="2532"/>
        <v>0</v>
      </c>
      <c r="BB807" s="48">
        <f t="shared" si="2532"/>
        <v>0</v>
      </c>
      <c r="BC807" s="48">
        <f t="shared" si="2532"/>
        <v>0</v>
      </c>
      <c r="BD807" s="48">
        <f t="shared" si="2532"/>
        <v>0</v>
      </c>
      <c r="BE807" s="48">
        <f t="shared" si="2532"/>
        <v>0</v>
      </c>
      <c r="BF807" s="48">
        <f t="shared" si="2532"/>
        <v>0</v>
      </c>
      <c r="BG807" s="48">
        <f t="shared" si="2532"/>
        <v>0</v>
      </c>
      <c r="BH807" s="48">
        <f t="shared" si="2532"/>
        <v>0</v>
      </c>
      <c r="BI807" s="48">
        <f t="shared" si="2532"/>
        <v>0</v>
      </c>
      <c r="BJ807" s="48">
        <f t="shared" si="2532"/>
        <v>0</v>
      </c>
      <c r="BK807" s="48">
        <f t="shared" si="2532"/>
        <v>1000</v>
      </c>
      <c r="BL807" s="48">
        <f t="shared" si="2532"/>
        <v>0</v>
      </c>
      <c r="BM807" s="48">
        <f t="shared" si="2532"/>
        <v>0</v>
      </c>
      <c r="BN807" s="48">
        <f t="shared" si="2532"/>
        <v>0</v>
      </c>
      <c r="BO807" s="48">
        <f t="shared" si="2532"/>
        <v>0</v>
      </c>
      <c r="BP807" s="48">
        <f t="shared" si="2532"/>
        <v>0</v>
      </c>
      <c r="BQ807" s="48">
        <f t="shared" si="2532"/>
        <v>0</v>
      </c>
      <c r="BR807" s="36">
        <f t="shared" si="9"/>
        <v>0</v>
      </c>
      <c r="BS807" s="38">
        <f t="shared" si="10"/>
        <v>1</v>
      </c>
      <c r="BT807" s="49">
        <f t="shared" si="11"/>
        <v>0</v>
      </c>
      <c r="BU807" s="38">
        <f t="shared" si="12"/>
        <v>1000</v>
      </c>
      <c r="BV807" s="46" t="str">
        <f>IFERROR(__xludf.DUMMYFUNCTION("""COMPUTED_VALUE"""),"Naul")</f>
        <v>Naul</v>
      </c>
      <c r="BW807" s="46">
        <f t="shared" si="13"/>
        <v>1000</v>
      </c>
      <c r="BX807" s="47">
        <f t="shared" ref="BX807:CA807" si="2533">AX807-$BU807</f>
        <v>-1000</v>
      </c>
      <c r="BY807" s="47">
        <f t="shared" si="2533"/>
        <v>-1000</v>
      </c>
      <c r="BZ807" s="47">
        <f t="shared" si="2533"/>
        <v>-1000</v>
      </c>
      <c r="CA807" s="47">
        <f t="shared" si="2533"/>
        <v>-1000</v>
      </c>
      <c r="CB807" s="47">
        <f t="shared" si="15"/>
        <v>-10000</v>
      </c>
      <c r="CC807" s="47">
        <f t="shared" ref="CC807:CQ807" si="2534">BC807-$BU807</f>
        <v>-1000</v>
      </c>
      <c r="CD807" s="47">
        <f t="shared" si="2534"/>
        <v>-1000</v>
      </c>
      <c r="CE807" s="47">
        <f t="shared" si="2534"/>
        <v>-1000</v>
      </c>
      <c r="CF807" s="47">
        <f t="shared" si="2534"/>
        <v>-1000</v>
      </c>
      <c r="CG807" s="47">
        <f t="shared" si="2534"/>
        <v>-1000</v>
      </c>
      <c r="CH807" s="47">
        <f t="shared" si="2534"/>
        <v>-1000</v>
      </c>
      <c r="CI807" s="47">
        <f t="shared" si="2534"/>
        <v>-1000</v>
      </c>
      <c r="CJ807" s="47">
        <f t="shared" si="2534"/>
        <v>-1000</v>
      </c>
      <c r="CK807" s="47">
        <f t="shared" si="2534"/>
        <v>0</v>
      </c>
      <c r="CL807" s="47">
        <f t="shared" si="2534"/>
        <v>-1000</v>
      </c>
      <c r="CM807" s="47">
        <f t="shared" si="2534"/>
        <v>-1000</v>
      </c>
      <c r="CN807" s="47">
        <f t="shared" si="2534"/>
        <v>-1000</v>
      </c>
      <c r="CO807" s="47">
        <f t="shared" si="2534"/>
        <v>-1000</v>
      </c>
      <c r="CP807" s="47">
        <f t="shared" si="2534"/>
        <v>-1000</v>
      </c>
      <c r="CQ807" s="47">
        <f t="shared" si="2534"/>
        <v>-1000</v>
      </c>
      <c r="CR807" s="47"/>
      <c r="CS807" s="47"/>
      <c r="CT807" s="47"/>
      <c r="CU807" s="74"/>
      <c r="CV807" s="74"/>
      <c r="CW807" s="74" t="str">
        <f>IFERROR(__xludf.DUMMYFUNCTION("IF(REGEXMATCH(UPPER(CU807), ""DALLAS""),,CU807)"),"")</f>
        <v/>
      </c>
      <c r="CX807" s="74"/>
      <c r="CY807" s="74"/>
      <c r="CZ807" s="74"/>
      <c r="DA807" s="75"/>
      <c r="DB807" s="74"/>
      <c r="DC807" s="74"/>
      <c r="DD807" s="74"/>
      <c r="DE807" s="74"/>
      <c r="DF807" s="74"/>
      <c r="DG807" s="74"/>
      <c r="DH807" s="74"/>
      <c r="DI807" s="74"/>
      <c r="DJ807" s="74"/>
      <c r="DK807" s="74"/>
      <c r="DL807" s="74"/>
      <c r="DM807" s="74"/>
      <c r="DN807" s="74"/>
      <c r="DO807" s="74"/>
      <c r="DP807" s="74"/>
      <c r="DQ807" s="74"/>
      <c r="DR807" s="74"/>
      <c r="DS807" s="74"/>
      <c r="DT807" s="74"/>
      <c r="DU807" s="74"/>
      <c r="DV807" s="74"/>
      <c r="DW807" s="74"/>
    </row>
    <row r="808">
      <c r="A808" s="22" t="s">
        <v>55</v>
      </c>
      <c r="B808" s="23" t="s">
        <v>56</v>
      </c>
      <c r="C808" s="31" t="s">
        <v>2059</v>
      </c>
      <c r="D808" s="25" t="str">
        <f>IFERROR(__xludf.DUMMYFUNCTION("SPLIT(C808,"" "")"),"Kelley,")</f>
        <v>Kelley,</v>
      </c>
      <c r="E808" s="22" t="str">
        <f>IFERROR(__xludf.DUMMYFUNCTION("""COMPUTED_VALUE"""),"Rusty
919")</f>
        <v>Rusty
919</v>
      </c>
      <c r="F808" s="22" t="str">
        <f>IFERROR(__xludf.DUMMYFUNCTION("""COMPUTED_VALUE"""),"Congress")</f>
        <v>Congress</v>
      </c>
      <c r="G808" s="22" t="str">
        <f>IFERROR(__xludf.DUMMYFUNCTION("""COMPUTED_VALUE"""),"Ave
Austin,")</f>
        <v>Ave
Austin,</v>
      </c>
      <c r="H808" s="22" t="str">
        <f>IFERROR(__xludf.DUMMYFUNCTION("""COMPUTED_VALUE"""),"TX")</f>
        <v>TX</v>
      </c>
      <c r="I808" s="22">
        <f>IFERROR(__xludf.DUMMYFUNCTION("""COMPUTED_VALUE"""),78701.0)</f>
        <v>78701</v>
      </c>
      <c r="J808" s="22"/>
      <c r="K808" s="22"/>
      <c r="L808" s="22"/>
      <c r="M808" s="22"/>
      <c r="N808" s="22"/>
      <c r="O808" s="22"/>
      <c r="P808" s="22"/>
      <c r="Q808" s="22"/>
      <c r="R808" s="22"/>
      <c r="S808" s="22"/>
      <c r="T808" s="22"/>
      <c r="U808" s="24" t="str">
        <f>IFERROR(__xludf.DUMMYFUNCTION("SPLIT(E808,""01234567890"")"),"Rusty
")</f>
        <v>Rusty
</v>
      </c>
      <c r="V808" s="24" t="str">
        <f>IFERROR(__xludf.DUMMYFUNCTION("SPLIT(D808,"","")"),"Kelley")</f>
        <v>Kelley</v>
      </c>
      <c r="W808" s="25" t="str">
        <f t="shared" si="1"/>
        <v>RUSTY
 KELLEY</v>
      </c>
      <c r="X808" s="22"/>
      <c r="Y808" s="22"/>
      <c r="Z808" s="25" t="str">
        <f>IFERROR(__xludf.DUMMYFUNCTION("SPLIT(C808,""
"")"),"Kelley, Rusty")</f>
        <v>Kelley, Rusty</v>
      </c>
      <c r="AA808" s="22" t="str">
        <f>IFERROR(__xludf.DUMMYFUNCTION("""COMPUTED_VALUE"""),"919 Congress Ave")</f>
        <v>919 Congress Ave</v>
      </c>
      <c r="AB808" s="22" t="str">
        <f>IFERROR(__xludf.DUMMYFUNCTION("""COMPUTED_VALUE"""),"Austin, TX 78701")</f>
        <v>Austin, TX 78701</v>
      </c>
      <c r="AC808" s="31" t="s">
        <v>2060</v>
      </c>
      <c r="AD808" s="22"/>
      <c r="AE808" s="22"/>
      <c r="AF808" s="22"/>
      <c r="AG808" s="22" t="s">
        <v>60</v>
      </c>
      <c r="AH808" s="54">
        <v>2481.0</v>
      </c>
      <c r="AI808" s="22" t="s">
        <v>68</v>
      </c>
      <c r="AJ808" s="27">
        <v>5000.0</v>
      </c>
      <c r="AK808" s="31" t="s">
        <v>25</v>
      </c>
      <c r="AL808" s="28">
        <v>44826.0</v>
      </c>
      <c r="AM808" s="29">
        <v>44937.81995370371</v>
      </c>
      <c r="AN808" s="30">
        <v>2.0</v>
      </c>
      <c r="AO808" s="22"/>
      <c r="AP808" s="22"/>
      <c r="AQ808" s="22"/>
      <c r="AR808" s="22"/>
      <c r="AS808" s="22"/>
      <c r="AT808" s="70"/>
      <c r="AU808" s="22"/>
      <c r="AV808" s="57" t="str">
        <f>IFERROR(__xludf.DUMMYFUNCTION("""COMPUTED_VALUE"""),"Ohland")</f>
        <v>Ohland</v>
      </c>
      <c r="AW808" s="46">
        <f t="shared" si="7"/>
        <v>1000</v>
      </c>
      <c r="AX808" s="47">
        <f t="shared" ref="AX808:BQ808" si="2535">SUMIFS($AJ:$AJ,$V:$V,$AV808,$AK:$AK,AX$2)</f>
        <v>0</v>
      </c>
      <c r="AY808" s="48">
        <f t="shared" si="2535"/>
        <v>0</v>
      </c>
      <c r="AZ808" s="48">
        <f t="shared" si="2535"/>
        <v>0</v>
      </c>
      <c r="BA808" s="48">
        <f t="shared" si="2535"/>
        <v>0</v>
      </c>
      <c r="BB808" s="48">
        <f t="shared" si="2535"/>
        <v>0</v>
      </c>
      <c r="BC808" s="48">
        <f t="shared" si="2535"/>
        <v>0</v>
      </c>
      <c r="BD808" s="48">
        <f t="shared" si="2535"/>
        <v>0</v>
      </c>
      <c r="BE808" s="48">
        <f t="shared" si="2535"/>
        <v>0</v>
      </c>
      <c r="BF808" s="48">
        <f t="shared" si="2535"/>
        <v>0</v>
      </c>
      <c r="BG808" s="48">
        <f t="shared" si="2535"/>
        <v>0</v>
      </c>
      <c r="BH808" s="48">
        <f t="shared" si="2535"/>
        <v>0</v>
      </c>
      <c r="BI808" s="48">
        <f t="shared" si="2535"/>
        <v>0</v>
      </c>
      <c r="BJ808" s="48">
        <f t="shared" si="2535"/>
        <v>0</v>
      </c>
      <c r="BK808" s="48">
        <f t="shared" si="2535"/>
        <v>1000</v>
      </c>
      <c r="BL808" s="48">
        <f t="shared" si="2535"/>
        <v>0</v>
      </c>
      <c r="BM808" s="48">
        <f t="shared" si="2535"/>
        <v>0</v>
      </c>
      <c r="BN808" s="48">
        <f t="shared" si="2535"/>
        <v>0</v>
      </c>
      <c r="BO808" s="48">
        <f t="shared" si="2535"/>
        <v>0</v>
      </c>
      <c r="BP808" s="48">
        <f t="shared" si="2535"/>
        <v>0</v>
      </c>
      <c r="BQ808" s="48">
        <f t="shared" si="2535"/>
        <v>0</v>
      </c>
      <c r="BR808" s="36">
        <f t="shared" si="9"/>
        <v>0</v>
      </c>
      <c r="BS808" s="38">
        <f t="shared" si="10"/>
        <v>1</v>
      </c>
      <c r="BT808" s="49">
        <f t="shared" si="11"/>
        <v>0</v>
      </c>
      <c r="BU808" s="38">
        <f t="shared" si="12"/>
        <v>1000</v>
      </c>
      <c r="BV808" s="57" t="str">
        <f>IFERROR(__xludf.DUMMYFUNCTION("""COMPUTED_VALUE"""),"Ohland")</f>
        <v>Ohland</v>
      </c>
      <c r="BW808" s="46">
        <f t="shared" si="13"/>
        <v>1000</v>
      </c>
      <c r="BX808" s="47">
        <f t="shared" ref="BX808:CA808" si="2536">AX808-$BU808</f>
        <v>-1000</v>
      </c>
      <c r="BY808" s="47">
        <f t="shared" si="2536"/>
        <v>-1000</v>
      </c>
      <c r="BZ808" s="47">
        <f t="shared" si="2536"/>
        <v>-1000</v>
      </c>
      <c r="CA808" s="47">
        <f t="shared" si="2536"/>
        <v>-1000</v>
      </c>
      <c r="CB808" s="47">
        <f t="shared" si="15"/>
        <v>-10000</v>
      </c>
      <c r="CC808" s="47">
        <f t="shared" ref="CC808:CQ808" si="2537">BC808-$BU808</f>
        <v>-1000</v>
      </c>
      <c r="CD808" s="47">
        <f t="shared" si="2537"/>
        <v>-1000</v>
      </c>
      <c r="CE808" s="47">
        <f t="shared" si="2537"/>
        <v>-1000</v>
      </c>
      <c r="CF808" s="47">
        <f t="shared" si="2537"/>
        <v>-1000</v>
      </c>
      <c r="CG808" s="47">
        <f t="shared" si="2537"/>
        <v>-1000</v>
      </c>
      <c r="CH808" s="47">
        <f t="shared" si="2537"/>
        <v>-1000</v>
      </c>
      <c r="CI808" s="47">
        <f t="shared" si="2537"/>
        <v>-1000</v>
      </c>
      <c r="CJ808" s="47">
        <f t="shared" si="2537"/>
        <v>-1000</v>
      </c>
      <c r="CK808" s="47">
        <f t="shared" si="2537"/>
        <v>0</v>
      </c>
      <c r="CL808" s="47">
        <f t="shared" si="2537"/>
        <v>-1000</v>
      </c>
      <c r="CM808" s="47">
        <f t="shared" si="2537"/>
        <v>-1000</v>
      </c>
      <c r="CN808" s="47">
        <f t="shared" si="2537"/>
        <v>-1000</v>
      </c>
      <c r="CO808" s="47">
        <f t="shared" si="2537"/>
        <v>-1000</v>
      </c>
      <c r="CP808" s="47">
        <f t="shared" si="2537"/>
        <v>-1000</v>
      </c>
      <c r="CQ808" s="47">
        <f t="shared" si="2537"/>
        <v>-1000</v>
      </c>
      <c r="CR808" s="47"/>
      <c r="CS808" s="47"/>
      <c r="CT808" s="47"/>
      <c r="CU808" s="74"/>
      <c r="CV808" s="74"/>
      <c r="CW808" s="74" t="str">
        <f>IFERROR(__xludf.DUMMYFUNCTION("IF(REGEXMATCH(UPPER(CU808), ""DALLAS""),,CU808)"),"")</f>
        <v/>
      </c>
      <c r="CX808" s="74"/>
      <c r="CY808" s="74"/>
      <c r="CZ808" s="74"/>
      <c r="DA808" s="75"/>
      <c r="DB808" s="74"/>
      <c r="DC808" s="74"/>
      <c r="DD808" s="74"/>
      <c r="DE808" s="74"/>
      <c r="DF808" s="74"/>
      <c r="DG808" s="74"/>
      <c r="DH808" s="74"/>
      <c r="DI808" s="74"/>
      <c r="DJ808" s="74"/>
      <c r="DK808" s="74"/>
      <c r="DL808" s="74"/>
      <c r="DM808" s="74"/>
      <c r="DN808" s="74"/>
      <c r="DO808" s="74"/>
      <c r="DP808" s="74"/>
      <c r="DQ808" s="74"/>
      <c r="DR808" s="74"/>
      <c r="DS808" s="74"/>
      <c r="DT808" s="74"/>
      <c r="DU808" s="74"/>
      <c r="DV808" s="74"/>
      <c r="DW808" s="74"/>
    </row>
    <row r="809">
      <c r="A809" s="40" t="s">
        <v>55</v>
      </c>
      <c r="B809" s="41" t="s">
        <v>56</v>
      </c>
      <c r="C809" s="31" t="s">
        <v>2061</v>
      </c>
      <c r="D809" s="25" t="str">
        <f>IFERROR(__xludf.DUMMYFUNCTION("SPLIT(C809,"" "")"),"Long,")</f>
        <v>Long,</v>
      </c>
      <c r="E809" s="40" t="str">
        <f>IFERROR(__xludf.DUMMYFUNCTION("""COMPUTED_VALUE"""),"Wade
2004")</f>
        <v>Wade
2004</v>
      </c>
      <c r="F809" s="40" t="str">
        <f>IFERROR(__xludf.DUMMYFUNCTION("""COMPUTED_VALUE"""),"Stamford")</f>
        <v>Stamford</v>
      </c>
      <c r="G809" s="40" t="str">
        <f>IFERROR(__xludf.DUMMYFUNCTION("""COMPUTED_VALUE"""),"Ln
Austin,")</f>
        <v>Ln
Austin,</v>
      </c>
      <c r="H809" s="40" t="str">
        <f>IFERROR(__xludf.DUMMYFUNCTION("""COMPUTED_VALUE"""),"TX")</f>
        <v>TX</v>
      </c>
      <c r="I809" s="40">
        <f>IFERROR(__xludf.DUMMYFUNCTION("""COMPUTED_VALUE"""),78703.0)</f>
        <v>78703</v>
      </c>
      <c r="J809" s="40"/>
      <c r="K809" s="40"/>
      <c r="L809" s="40"/>
      <c r="M809" s="40"/>
      <c r="N809" s="40"/>
      <c r="O809" s="40"/>
      <c r="P809" s="40"/>
      <c r="Q809" s="40"/>
      <c r="R809" s="40"/>
      <c r="S809" s="40"/>
      <c r="T809" s="40"/>
      <c r="U809" s="24" t="str">
        <f>IFERROR(__xludf.DUMMYFUNCTION("SPLIT(E809,""01234567890"")"),"Wade
")</f>
        <v>Wade
</v>
      </c>
      <c r="V809" s="24" t="str">
        <f>IFERROR(__xludf.DUMMYFUNCTION("SPLIT(D809,"","")"),"Long")</f>
        <v>Long</v>
      </c>
      <c r="W809" s="25" t="str">
        <f t="shared" si="1"/>
        <v>WADE
 LONG</v>
      </c>
      <c r="X809" s="40"/>
      <c r="Y809" s="40"/>
      <c r="Z809" s="25" t="str">
        <f>IFERROR(__xludf.DUMMYFUNCTION("SPLIT(C809,""
"")"),"Long, Wade")</f>
        <v>Long, Wade</v>
      </c>
      <c r="AA809" s="40" t="str">
        <f>IFERROR(__xludf.DUMMYFUNCTION("""COMPUTED_VALUE"""),"2004 Stamford Ln")</f>
        <v>2004 Stamford Ln</v>
      </c>
      <c r="AB809" s="40" t="str">
        <f>IFERROR(__xludf.DUMMYFUNCTION("""COMPUTED_VALUE"""),"Austin, TX 78703")</f>
        <v>Austin, TX 78703</v>
      </c>
      <c r="AC809" s="31" t="s">
        <v>2062</v>
      </c>
      <c r="AD809" s="40"/>
      <c r="AE809" s="40"/>
      <c r="AF809" s="40"/>
      <c r="AG809" s="40" t="s">
        <v>60</v>
      </c>
      <c r="AH809" s="42">
        <v>2481.0</v>
      </c>
      <c r="AI809" s="40" t="s">
        <v>68</v>
      </c>
      <c r="AJ809" s="27">
        <v>1000.0</v>
      </c>
      <c r="AK809" s="31" t="s">
        <v>25</v>
      </c>
      <c r="AL809" s="43">
        <v>44826.0</v>
      </c>
      <c r="AM809" s="44">
        <v>44937.81995370371</v>
      </c>
      <c r="AN809" s="30">
        <v>2.0</v>
      </c>
      <c r="AO809" s="40"/>
      <c r="AP809" s="40"/>
      <c r="AQ809" s="40"/>
      <c r="AR809" s="40"/>
      <c r="AS809" s="40"/>
      <c r="AT809" s="47"/>
      <c r="AU809" s="40"/>
      <c r="AV809" s="46" t="str">
        <f>IFERROR(__xludf.DUMMYFUNCTION("""COMPUTED_VALUE"""),"Flabiano")</f>
        <v>Flabiano</v>
      </c>
      <c r="AW809" s="46">
        <f t="shared" si="7"/>
        <v>250</v>
      </c>
      <c r="AX809" s="47">
        <f t="shared" ref="AX809:BQ809" si="2538">SUMIFS($AJ:$AJ,$V:$V,$AV809,$AK:$AK,AX$2)</f>
        <v>0</v>
      </c>
      <c r="AY809" s="48">
        <f t="shared" si="2538"/>
        <v>0</v>
      </c>
      <c r="AZ809" s="48">
        <f t="shared" si="2538"/>
        <v>0</v>
      </c>
      <c r="BA809" s="48">
        <f t="shared" si="2538"/>
        <v>0</v>
      </c>
      <c r="BB809" s="48">
        <f t="shared" si="2538"/>
        <v>0</v>
      </c>
      <c r="BC809" s="48">
        <f t="shared" si="2538"/>
        <v>0</v>
      </c>
      <c r="BD809" s="48">
        <f t="shared" si="2538"/>
        <v>0</v>
      </c>
      <c r="BE809" s="48">
        <f t="shared" si="2538"/>
        <v>0</v>
      </c>
      <c r="BF809" s="48">
        <f t="shared" si="2538"/>
        <v>0</v>
      </c>
      <c r="BG809" s="48">
        <f t="shared" si="2538"/>
        <v>0</v>
      </c>
      <c r="BH809" s="48">
        <f t="shared" si="2538"/>
        <v>0</v>
      </c>
      <c r="BI809" s="48">
        <f t="shared" si="2538"/>
        <v>0</v>
      </c>
      <c r="BJ809" s="48">
        <f t="shared" si="2538"/>
        <v>0</v>
      </c>
      <c r="BK809" s="48">
        <f t="shared" si="2538"/>
        <v>250</v>
      </c>
      <c r="BL809" s="48">
        <f t="shared" si="2538"/>
        <v>0</v>
      </c>
      <c r="BM809" s="48">
        <f t="shared" si="2538"/>
        <v>0</v>
      </c>
      <c r="BN809" s="48">
        <f t="shared" si="2538"/>
        <v>0</v>
      </c>
      <c r="BO809" s="48">
        <f t="shared" si="2538"/>
        <v>0</v>
      </c>
      <c r="BP809" s="48">
        <f t="shared" si="2538"/>
        <v>0</v>
      </c>
      <c r="BQ809" s="48">
        <f t="shared" si="2538"/>
        <v>0</v>
      </c>
      <c r="BR809" s="36">
        <f t="shared" si="9"/>
        <v>0</v>
      </c>
      <c r="BS809" s="38">
        <f t="shared" si="10"/>
        <v>1</v>
      </c>
      <c r="BT809" s="49">
        <f t="shared" si="11"/>
        <v>0</v>
      </c>
      <c r="BU809" s="38">
        <f t="shared" si="12"/>
        <v>1000</v>
      </c>
      <c r="BV809" s="46" t="str">
        <f>IFERROR(__xludf.DUMMYFUNCTION("""COMPUTED_VALUE"""),"Flabiano")</f>
        <v>Flabiano</v>
      </c>
      <c r="BW809" s="46">
        <f t="shared" si="13"/>
        <v>250</v>
      </c>
      <c r="BX809" s="47">
        <f t="shared" ref="BX809:CA809" si="2539">AX809-$BU809</f>
        <v>-1000</v>
      </c>
      <c r="BY809" s="47">
        <f t="shared" si="2539"/>
        <v>-1000</v>
      </c>
      <c r="BZ809" s="47">
        <f t="shared" si="2539"/>
        <v>-1000</v>
      </c>
      <c r="CA809" s="47">
        <f t="shared" si="2539"/>
        <v>-1000</v>
      </c>
      <c r="CB809" s="47">
        <f t="shared" si="15"/>
        <v>-10000</v>
      </c>
      <c r="CC809" s="47">
        <f t="shared" ref="CC809:CQ809" si="2540">BC809-$BU809</f>
        <v>-1000</v>
      </c>
      <c r="CD809" s="47">
        <f t="shared" si="2540"/>
        <v>-1000</v>
      </c>
      <c r="CE809" s="47">
        <f t="shared" si="2540"/>
        <v>-1000</v>
      </c>
      <c r="CF809" s="47">
        <f t="shared" si="2540"/>
        <v>-1000</v>
      </c>
      <c r="CG809" s="47">
        <f t="shared" si="2540"/>
        <v>-1000</v>
      </c>
      <c r="CH809" s="47">
        <f t="shared" si="2540"/>
        <v>-1000</v>
      </c>
      <c r="CI809" s="47">
        <f t="shared" si="2540"/>
        <v>-1000</v>
      </c>
      <c r="CJ809" s="47">
        <f t="shared" si="2540"/>
        <v>-1000</v>
      </c>
      <c r="CK809" s="47">
        <f t="shared" si="2540"/>
        <v>-750</v>
      </c>
      <c r="CL809" s="47">
        <f t="shared" si="2540"/>
        <v>-1000</v>
      </c>
      <c r="CM809" s="47">
        <f t="shared" si="2540"/>
        <v>-1000</v>
      </c>
      <c r="CN809" s="47">
        <f t="shared" si="2540"/>
        <v>-1000</v>
      </c>
      <c r="CO809" s="47">
        <f t="shared" si="2540"/>
        <v>-1000</v>
      </c>
      <c r="CP809" s="47">
        <f t="shared" si="2540"/>
        <v>-1000</v>
      </c>
      <c r="CQ809" s="47">
        <f t="shared" si="2540"/>
        <v>-1000</v>
      </c>
      <c r="CR809" s="47"/>
      <c r="CS809" s="47"/>
      <c r="CT809" s="47"/>
      <c r="CU809" s="74"/>
      <c r="CV809" s="74"/>
      <c r="CW809" s="74" t="str">
        <f>IFERROR(__xludf.DUMMYFUNCTION("IF(REGEXMATCH(UPPER(CU809), ""DALLAS""),,CU809)"),"")</f>
        <v/>
      </c>
      <c r="CX809" s="74"/>
      <c r="CY809" s="74"/>
      <c r="CZ809" s="74"/>
      <c r="DA809" s="75"/>
      <c r="DB809" s="74"/>
      <c r="DC809" s="74"/>
      <c r="DD809" s="74"/>
      <c r="DE809" s="74"/>
      <c r="DF809" s="74"/>
      <c r="DG809" s="74"/>
      <c r="DH809" s="74"/>
      <c r="DI809" s="74"/>
      <c r="DJ809" s="74"/>
      <c r="DK809" s="74"/>
      <c r="DL809" s="74"/>
      <c r="DM809" s="74"/>
      <c r="DN809" s="74"/>
      <c r="DO809" s="74"/>
      <c r="DP809" s="74"/>
      <c r="DQ809" s="74"/>
      <c r="DR809" s="74"/>
      <c r="DS809" s="74"/>
      <c r="DT809" s="74"/>
      <c r="DU809" s="74"/>
      <c r="DV809" s="74"/>
      <c r="DW809" s="74"/>
    </row>
    <row r="810">
      <c r="A810" s="22" t="s">
        <v>55</v>
      </c>
      <c r="B810" s="23" t="s">
        <v>56</v>
      </c>
      <c r="C810" s="31" t="s">
        <v>354</v>
      </c>
      <c r="D810" s="25" t="str">
        <f>IFERROR(__xludf.DUMMYFUNCTION("SPLIT(C810,"" "")"),"Becker,")</f>
        <v>Becker,</v>
      </c>
      <c r="E810" s="22" t="str">
        <f>IFERROR(__xludf.DUMMYFUNCTION("""COMPUTED_VALUE"""),"Will
304")</f>
        <v>Will
304</v>
      </c>
      <c r="F810" s="22" t="str">
        <f>IFERROR(__xludf.DUMMYFUNCTION("""COMPUTED_VALUE"""),"Town")</f>
        <v>Town</v>
      </c>
      <c r="G810" s="22" t="str">
        <f>IFERROR(__xludf.DUMMYFUNCTION("""COMPUTED_VALUE"""),"East")</f>
        <v>East</v>
      </c>
      <c r="H810" s="22" t="str">
        <f>IFERROR(__xludf.DUMMYFUNCTION("""COMPUTED_VALUE"""),"Blvd
Sunnyvale,")</f>
        <v>Blvd
Sunnyvale,</v>
      </c>
      <c r="I810" s="22" t="str">
        <f>IFERROR(__xludf.DUMMYFUNCTION("""COMPUTED_VALUE"""),"TX")</f>
        <v>TX</v>
      </c>
      <c r="J810" s="22">
        <f>IFERROR(__xludf.DUMMYFUNCTION("""COMPUTED_VALUE"""),75182.0)</f>
        <v>75182</v>
      </c>
      <c r="K810" s="22"/>
      <c r="L810" s="22"/>
      <c r="M810" s="22"/>
      <c r="N810" s="22"/>
      <c r="O810" s="22"/>
      <c r="P810" s="22"/>
      <c r="Q810" s="22"/>
      <c r="R810" s="22"/>
      <c r="S810" s="22"/>
      <c r="T810" s="22"/>
      <c r="U810" s="24" t="str">
        <f>IFERROR(__xludf.DUMMYFUNCTION("SPLIT(E810,""01234567890"")"),"Will
")</f>
        <v>Will
</v>
      </c>
      <c r="V810" s="24" t="str">
        <f>IFERROR(__xludf.DUMMYFUNCTION("SPLIT(D810,"","")"),"Becker")</f>
        <v>Becker</v>
      </c>
      <c r="W810" s="25" t="str">
        <f t="shared" si="1"/>
        <v>WILL
 BECKER</v>
      </c>
      <c r="X810" s="22"/>
      <c r="Y810" s="22"/>
      <c r="Z810" s="25" t="str">
        <f>IFERROR(__xludf.DUMMYFUNCTION("SPLIT(C810,""
"")"),"Becker, Will")</f>
        <v>Becker, Will</v>
      </c>
      <c r="AA810" s="22" t="str">
        <f>IFERROR(__xludf.DUMMYFUNCTION("""COMPUTED_VALUE"""),"304 Town East Blvd")</f>
        <v>304 Town East Blvd</v>
      </c>
      <c r="AB810" s="22" t="str">
        <f>IFERROR(__xludf.DUMMYFUNCTION("""COMPUTED_VALUE"""),"Sunnyvale, TX 75182")</f>
        <v>Sunnyvale, TX 75182</v>
      </c>
      <c r="AC810" s="31" t="s">
        <v>356</v>
      </c>
      <c r="AD810" s="22"/>
      <c r="AE810" s="22"/>
      <c r="AF810" s="22"/>
      <c r="AG810" s="22" t="s">
        <v>60</v>
      </c>
      <c r="AH810" s="54">
        <v>2481.0</v>
      </c>
      <c r="AI810" s="22" t="s">
        <v>68</v>
      </c>
      <c r="AJ810" s="27">
        <v>1000.0</v>
      </c>
      <c r="AK810" s="31" t="s">
        <v>25</v>
      </c>
      <c r="AL810" s="28">
        <v>44834.0</v>
      </c>
      <c r="AM810" s="29">
        <v>44937.81995370371</v>
      </c>
      <c r="AN810" s="30">
        <v>2.0</v>
      </c>
      <c r="AO810" s="22"/>
      <c r="AP810" s="22"/>
      <c r="AQ810" s="22"/>
      <c r="AR810" s="22"/>
      <c r="AS810" s="22"/>
      <c r="AT810" s="70"/>
      <c r="AU810" s="22"/>
      <c r="AV810" s="57" t="str">
        <f>IFERROR(__xludf.DUMMYFUNCTION("""COMPUTED_VALUE"""),"Leslie")</f>
        <v>Leslie</v>
      </c>
      <c r="AW810" s="46">
        <f t="shared" si="7"/>
        <v>150</v>
      </c>
      <c r="AX810" s="47">
        <f t="shared" ref="AX810:BQ810" si="2541">SUMIFS($AJ:$AJ,$V:$V,$AV810,$AK:$AK,AX$2)</f>
        <v>0</v>
      </c>
      <c r="AY810" s="48">
        <f t="shared" si="2541"/>
        <v>0</v>
      </c>
      <c r="AZ810" s="48">
        <f t="shared" si="2541"/>
        <v>0</v>
      </c>
      <c r="BA810" s="48">
        <f t="shared" si="2541"/>
        <v>0</v>
      </c>
      <c r="BB810" s="48">
        <f t="shared" si="2541"/>
        <v>0</v>
      </c>
      <c r="BC810" s="48">
        <f t="shared" si="2541"/>
        <v>0</v>
      </c>
      <c r="BD810" s="48">
        <f t="shared" si="2541"/>
        <v>0</v>
      </c>
      <c r="BE810" s="48">
        <f t="shared" si="2541"/>
        <v>0</v>
      </c>
      <c r="BF810" s="48">
        <f t="shared" si="2541"/>
        <v>0</v>
      </c>
      <c r="BG810" s="48">
        <f t="shared" si="2541"/>
        <v>0</v>
      </c>
      <c r="BH810" s="48">
        <f t="shared" si="2541"/>
        <v>0</v>
      </c>
      <c r="BI810" s="48">
        <f t="shared" si="2541"/>
        <v>0</v>
      </c>
      <c r="BJ810" s="48">
        <f t="shared" si="2541"/>
        <v>0</v>
      </c>
      <c r="BK810" s="48">
        <f t="shared" si="2541"/>
        <v>150</v>
      </c>
      <c r="BL810" s="48">
        <f t="shared" si="2541"/>
        <v>0</v>
      </c>
      <c r="BM810" s="48">
        <f t="shared" si="2541"/>
        <v>0</v>
      </c>
      <c r="BN810" s="48">
        <f t="shared" si="2541"/>
        <v>0</v>
      </c>
      <c r="BO810" s="48">
        <f t="shared" si="2541"/>
        <v>0</v>
      </c>
      <c r="BP810" s="48">
        <f t="shared" si="2541"/>
        <v>0</v>
      </c>
      <c r="BQ810" s="48">
        <f t="shared" si="2541"/>
        <v>0</v>
      </c>
      <c r="BR810" s="36">
        <f t="shared" si="9"/>
        <v>0</v>
      </c>
      <c r="BS810" s="38">
        <f t="shared" si="10"/>
        <v>1</v>
      </c>
      <c r="BT810" s="49">
        <f t="shared" si="11"/>
        <v>0</v>
      </c>
      <c r="BU810" s="38">
        <f t="shared" si="12"/>
        <v>1000</v>
      </c>
      <c r="BV810" s="57" t="str">
        <f>IFERROR(__xludf.DUMMYFUNCTION("""COMPUTED_VALUE"""),"Leslie")</f>
        <v>Leslie</v>
      </c>
      <c r="BW810" s="46">
        <f t="shared" si="13"/>
        <v>150</v>
      </c>
      <c r="BX810" s="47">
        <f t="shared" ref="BX810:CA810" si="2542">AX810-$BU810</f>
        <v>-1000</v>
      </c>
      <c r="BY810" s="47">
        <f t="shared" si="2542"/>
        <v>-1000</v>
      </c>
      <c r="BZ810" s="47">
        <f t="shared" si="2542"/>
        <v>-1000</v>
      </c>
      <c r="CA810" s="47">
        <f t="shared" si="2542"/>
        <v>-1000</v>
      </c>
      <c r="CB810" s="47">
        <f t="shared" si="15"/>
        <v>-10000</v>
      </c>
      <c r="CC810" s="47">
        <f t="shared" ref="CC810:CQ810" si="2543">BC810-$BU810</f>
        <v>-1000</v>
      </c>
      <c r="CD810" s="47">
        <f t="shared" si="2543"/>
        <v>-1000</v>
      </c>
      <c r="CE810" s="47">
        <f t="shared" si="2543"/>
        <v>-1000</v>
      </c>
      <c r="CF810" s="47">
        <f t="shared" si="2543"/>
        <v>-1000</v>
      </c>
      <c r="CG810" s="47">
        <f t="shared" si="2543"/>
        <v>-1000</v>
      </c>
      <c r="CH810" s="47">
        <f t="shared" si="2543"/>
        <v>-1000</v>
      </c>
      <c r="CI810" s="47">
        <f t="shared" si="2543"/>
        <v>-1000</v>
      </c>
      <c r="CJ810" s="47">
        <f t="shared" si="2543"/>
        <v>-1000</v>
      </c>
      <c r="CK810" s="47">
        <f t="shared" si="2543"/>
        <v>-850</v>
      </c>
      <c r="CL810" s="47">
        <f t="shared" si="2543"/>
        <v>-1000</v>
      </c>
      <c r="CM810" s="47">
        <f t="shared" si="2543"/>
        <v>-1000</v>
      </c>
      <c r="CN810" s="47">
        <f t="shared" si="2543"/>
        <v>-1000</v>
      </c>
      <c r="CO810" s="47">
        <f t="shared" si="2543"/>
        <v>-1000</v>
      </c>
      <c r="CP810" s="47">
        <f t="shared" si="2543"/>
        <v>-1000</v>
      </c>
      <c r="CQ810" s="47">
        <f t="shared" si="2543"/>
        <v>-1000</v>
      </c>
      <c r="CR810" s="47"/>
      <c r="CS810" s="47"/>
      <c r="CT810" s="47"/>
      <c r="CU810" s="74"/>
      <c r="CV810" s="74"/>
      <c r="CW810" s="74" t="str">
        <f>IFERROR(__xludf.DUMMYFUNCTION("IF(REGEXMATCH(UPPER(CU810), ""DALLAS""),,CU810)"),"")</f>
        <v/>
      </c>
      <c r="CX810" s="74"/>
      <c r="CY810" s="74"/>
      <c r="CZ810" s="74"/>
      <c r="DA810" s="75"/>
      <c r="DB810" s="74"/>
      <c r="DC810" s="74"/>
      <c r="DD810" s="74"/>
      <c r="DE810" s="74"/>
      <c r="DF810" s="74"/>
      <c r="DG810" s="74"/>
      <c r="DH810" s="74"/>
      <c r="DI810" s="74"/>
      <c r="DJ810" s="74"/>
      <c r="DK810" s="74"/>
      <c r="DL810" s="74"/>
      <c r="DM810" s="74"/>
      <c r="DN810" s="74"/>
      <c r="DO810" s="74"/>
      <c r="DP810" s="74"/>
      <c r="DQ810" s="74"/>
      <c r="DR810" s="74"/>
      <c r="DS810" s="74"/>
      <c r="DT810" s="74"/>
      <c r="DU810" s="74"/>
      <c r="DV810" s="74"/>
      <c r="DW810" s="74"/>
    </row>
    <row r="811">
      <c r="A811" s="40" t="s">
        <v>55</v>
      </c>
      <c r="B811" s="41" t="s">
        <v>56</v>
      </c>
      <c r="C811" s="31" t="s">
        <v>2063</v>
      </c>
      <c r="D811" s="25" t="str">
        <f>IFERROR(__xludf.DUMMYFUNCTION("SPLIT(C811,"" "")"),"Nosek,")</f>
        <v>Nosek,</v>
      </c>
      <c r="E811" s="40" t="str">
        <f>IFERROR(__xludf.DUMMYFUNCTION("""COMPUTED_VALUE"""),"Nicole
6")</f>
        <v>Nicole
6</v>
      </c>
      <c r="F811" s="40" t="str">
        <f>IFERROR(__xludf.DUMMYFUNCTION("""COMPUTED_VALUE"""),"Basin")</f>
        <v>Basin</v>
      </c>
      <c r="G811" s="40" t="str">
        <f>IFERROR(__xludf.DUMMYFUNCTION("""COMPUTED_VALUE"""),"Ledge")</f>
        <v>Ledge</v>
      </c>
      <c r="H811" s="40" t="str">
        <f>IFERROR(__xludf.DUMMYFUNCTION("""COMPUTED_VALUE"""),"East
West")</f>
        <v>East
West</v>
      </c>
      <c r="I811" s="40" t="str">
        <f>IFERROR(__xludf.DUMMYFUNCTION("""COMPUTED_VALUE"""),"Lake")</f>
        <v>Lake</v>
      </c>
      <c r="J811" s="40" t="str">
        <f>IFERROR(__xludf.DUMMYFUNCTION("""COMPUTED_VALUE"""),"Hills,")</f>
        <v>Hills,</v>
      </c>
      <c r="K811" s="40" t="str">
        <f>IFERROR(__xludf.DUMMYFUNCTION("""COMPUTED_VALUE"""),"TX")</f>
        <v>TX</v>
      </c>
      <c r="L811" s="40">
        <f>IFERROR(__xludf.DUMMYFUNCTION("""COMPUTED_VALUE"""),78746.0)</f>
        <v>78746</v>
      </c>
      <c r="M811" s="40"/>
      <c r="N811" s="40"/>
      <c r="O811" s="40"/>
      <c r="P811" s="40"/>
      <c r="Q811" s="40"/>
      <c r="R811" s="40"/>
      <c r="S811" s="40"/>
      <c r="T811" s="40"/>
      <c r="U811" s="24" t="str">
        <f>IFERROR(__xludf.DUMMYFUNCTION("SPLIT(E811,""01234567890"")"),"Nicole
")</f>
        <v>Nicole
</v>
      </c>
      <c r="V811" s="24" t="str">
        <f>IFERROR(__xludf.DUMMYFUNCTION("SPLIT(D811,"","")"),"Nosek")</f>
        <v>Nosek</v>
      </c>
      <c r="W811" s="25" t="str">
        <f t="shared" si="1"/>
        <v>NICOLE
 NOSEK</v>
      </c>
      <c r="X811" s="40"/>
      <c r="Y811" s="40"/>
      <c r="Z811" s="25" t="str">
        <f>IFERROR(__xludf.DUMMYFUNCTION("SPLIT(C811,""
"")"),"Nosek, Nicole")</f>
        <v>Nosek, Nicole</v>
      </c>
      <c r="AA811" s="40" t="str">
        <f>IFERROR(__xludf.DUMMYFUNCTION("""COMPUTED_VALUE"""),"6 Basin Ledge East")</f>
        <v>6 Basin Ledge East</v>
      </c>
      <c r="AB811" s="40" t="str">
        <f>IFERROR(__xludf.DUMMYFUNCTION("""COMPUTED_VALUE"""),"West Lake Hills, TX 78746")</f>
        <v>West Lake Hills, TX 78746</v>
      </c>
      <c r="AC811" s="31" t="s">
        <v>2064</v>
      </c>
      <c r="AD811" s="40"/>
      <c r="AE811" s="40"/>
      <c r="AF811" s="40"/>
      <c r="AG811" s="40" t="s">
        <v>60</v>
      </c>
      <c r="AH811" s="42">
        <v>2481.0</v>
      </c>
      <c r="AI811" s="40" t="s">
        <v>68</v>
      </c>
      <c r="AJ811" s="27">
        <v>2100.0</v>
      </c>
      <c r="AK811" s="31" t="s">
        <v>25</v>
      </c>
      <c r="AL811" s="43">
        <v>44870.0</v>
      </c>
      <c r="AM811" s="44">
        <v>44937.81995370371</v>
      </c>
      <c r="AN811" s="30">
        <v>2.0</v>
      </c>
      <c r="AO811" s="40"/>
      <c r="AP811" s="40"/>
      <c r="AQ811" s="40"/>
      <c r="AR811" s="40"/>
      <c r="AS811" s="40"/>
      <c r="AT811" s="47"/>
      <c r="AU811" s="40"/>
      <c r="AV811" s="46" t="str">
        <f>IFERROR(__xludf.DUMMYFUNCTION("""COMPUTED_VALUE"""),"Schieber")</f>
        <v>Schieber</v>
      </c>
      <c r="AW811" s="46">
        <f t="shared" si="7"/>
        <v>500</v>
      </c>
      <c r="AX811" s="47">
        <f t="shared" ref="AX811:BQ811" si="2544">SUMIFS($AJ:$AJ,$V:$V,$AV811,$AK:$AK,AX$2)</f>
        <v>0</v>
      </c>
      <c r="AY811" s="48">
        <f t="shared" si="2544"/>
        <v>0</v>
      </c>
      <c r="AZ811" s="48">
        <f t="shared" si="2544"/>
        <v>0</v>
      </c>
      <c r="BA811" s="48">
        <f t="shared" si="2544"/>
        <v>0</v>
      </c>
      <c r="BB811" s="48">
        <f t="shared" si="2544"/>
        <v>0</v>
      </c>
      <c r="BC811" s="48">
        <f t="shared" si="2544"/>
        <v>0</v>
      </c>
      <c r="BD811" s="48">
        <f t="shared" si="2544"/>
        <v>0</v>
      </c>
      <c r="BE811" s="48">
        <f t="shared" si="2544"/>
        <v>0</v>
      </c>
      <c r="BF811" s="48">
        <f t="shared" si="2544"/>
        <v>0</v>
      </c>
      <c r="BG811" s="48">
        <f t="shared" si="2544"/>
        <v>0</v>
      </c>
      <c r="BH811" s="48">
        <f t="shared" si="2544"/>
        <v>0</v>
      </c>
      <c r="BI811" s="48">
        <f t="shared" si="2544"/>
        <v>0</v>
      </c>
      <c r="BJ811" s="48">
        <f t="shared" si="2544"/>
        <v>0</v>
      </c>
      <c r="BK811" s="48">
        <f t="shared" si="2544"/>
        <v>500</v>
      </c>
      <c r="BL811" s="48">
        <f t="shared" si="2544"/>
        <v>0</v>
      </c>
      <c r="BM811" s="48">
        <f t="shared" si="2544"/>
        <v>0</v>
      </c>
      <c r="BN811" s="48">
        <f t="shared" si="2544"/>
        <v>0</v>
      </c>
      <c r="BO811" s="48">
        <f t="shared" si="2544"/>
        <v>0</v>
      </c>
      <c r="BP811" s="48">
        <f t="shared" si="2544"/>
        <v>0</v>
      </c>
      <c r="BQ811" s="48">
        <f t="shared" si="2544"/>
        <v>0</v>
      </c>
      <c r="BR811" s="36">
        <f t="shared" si="9"/>
        <v>0</v>
      </c>
      <c r="BS811" s="38">
        <f t="shared" si="10"/>
        <v>1</v>
      </c>
      <c r="BT811" s="49">
        <f t="shared" si="11"/>
        <v>0</v>
      </c>
      <c r="BU811" s="38">
        <f t="shared" si="12"/>
        <v>1000</v>
      </c>
      <c r="BV811" s="46" t="str">
        <f>IFERROR(__xludf.DUMMYFUNCTION("""COMPUTED_VALUE"""),"Schieber")</f>
        <v>Schieber</v>
      </c>
      <c r="BW811" s="46">
        <f t="shared" si="13"/>
        <v>500</v>
      </c>
      <c r="BX811" s="47">
        <f t="shared" ref="BX811:CA811" si="2545">AX811-$BU811</f>
        <v>-1000</v>
      </c>
      <c r="BY811" s="47">
        <f t="shared" si="2545"/>
        <v>-1000</v>
      </c>
      <c r="BZ811" s="47">
        <f t="shared" si="2545"/>
        <v>-1000</v>
      </c>
      <c r="CA811" s="47">
        <f t="shared" si="2545"/>
        <v>-1000</v>
      </c>
      <c r="CB811" s="47">
        <f t="shared" si="15"/>
        <v>-10000</v>
      </c>
      <c r="CC811" s="47">
        <f t="shared" ref="CC811:CQ811" si="2546">BC811-$BU811</f>
        <v>-1000</v>
      </c>
      <c r="CD811" s="47">
        <f t="shared" si="2546"/>
        <v>-1000</v>
      </c>
      <c r="CE811" s="47">
        <f t="shared" si="2546"/>
        <v>-1000</v>
      </c>
      <c r="CF811" s="47">
        <f t="shared" si="2546"/>
        <v>-1000</v>
      </c>
      <c r="CG811" s="47">
        <f t="shared" si="2546"/>
        <v>-1000</v>
      </c>
      <c r="CH811" s="47">
        <f t="shared" si="2546"/>
        <v>-1000</v>
      </c>
      <c r="CI811" s="47">
        <f t="shared" si="2546"/>
        <v>-1000</v>
      </c>
      <c r="CJ811" s="47">
        <f t="shared" si="2546"/>
        <v>-1000</v>
      </c>
      <c r="CK811" s="47">
        <f t="shared" si="2546"/>
        <v>-500</v>
      </c>
      <c r="CL811" s="47">
        <f t="shared" si="2546"/>
        <v>-1000</v>
      </c>
      <c r="CM811" s="47">
        <f t="shared" si="2546"/>
        <v>-1000</v>
      </c>
      <c r="CN811" s="47">
        <f t="shared" si="2546"/>
        <v>-1000</v>
      </c>
      <c r="CO811" s="47">
        <f t="shared" si="2546"/>
        <v>-1000</v>
      </c>
      <c r="CP811" s="47">
        <f t="shared" si="2546"/>
        <v>-1000</v>
      </c>
      <c r="CQ811" s="47">
        <f t="shared" si="2546"/>
        <v>-1000</v>
      </c>
      <c r="CR811" s="47"/>
      <c r="CS811" s="47"/>
      <c r="CT811" s="47"/>
      <c r="CU811" s="74"/>
      <c r="CV811" s="74"/>
      <c r="CW811" s="74" t="str">
        <f>IFERROR(__xludf.DUMMYFUNCTION("IF(REGEXMATCH(UPPER(CU811), ""DALLAS""),,CU811)"),"")</f>
        <v/>
      </c>
      <c r="CX811" s="74"/>
      <c r="CY811" s="74"/>
      <c r="CZ811" s="74"/>
      <c r="DA811" s="75"/>
      <c r="DB811" s="74"/>
      <c r="DC811" s="74"/>
      <c r="DD811" s="74"/>
      <c r="DE811" s="74"/>
      <c r="DF811" s="74"/>
      <c r="DG811" s="74"/>
      <c r="DH811" s="74"/>
      <c r="DI811" s="74"/>
      <c r="DJ811" s="74"/>
      <c r="DK811" s="74"/>
      <c r="DL811" s="74"/>
      <c r="DM811" s="74"/>
      <c r="DN811" s="74"/>
      <c r="DO811" s="74"/>
      <c r="DP811" s="74"/>
      <c r="DQ811" s="74"/>
      <c r="DR811" s="74"/>
      <c r="DS811" s="74"/>
      <c r="DT811" s="74"/>
      <c r="DU811" s="74"/>
      <c r="DV811" s="74"/>
      <c r="DW811" s="74"/>
    </row>
    <row r="812">
      <c r="A812" s="22" t="s">
        <v>55</v>
      </c>
      <c r="B812" s="23" t="s">
        <v>56</v>
      </c>
      <c r="C812" s="31" t="s">
        <v>2065</v>
      </c>
      <c r="D812" s="25" t="str">
        <f>IFERROR(__xludf.DUMMYFUNCTION("SPLIT(C812,"" "")"),"Texas")</f>
        <v>Texas</v>
      </c>
      <c r="E812" s="22" t="str">
        <f>IFERROR(__xludf.DUMMYFUNCTION("""COMPUTED_VALUE"""),"Association")</f>
        <v>Association</v>
      </c>
      <c r="F812" s="22" t="str">
        <f>IFERROR(__xludf.DUMMYFUNCTION("""COMPUTED_VALUE"""),"of")</f>
        <v>of</v>
      </c>
      <c r="G812" s="22" t="str">
        <f>IFERROR(__xludf.DUMMYFUNCTION("""COMPUTED_VALUE"""),"Realtors")</f>
        <v>Realtors</v>
      </c>
      <c r="H812" s="22" t="str">
        <f>IFERROR(__xludf.DUMMYFUNCTION("""COMPUTED_VALUE"""),"MetroTex")</f>
        <v>MetroTex</v>
      </c>
      <c r="I812" s="22" t="str">
        <f>IFERROR(__xludf.DUMMYFUNCTION("""COMPUTED_VALUE"""),"PAC
PO")</f>
        <v>PAC
PO</v>
      </c>
      <c r="J812" s="22" t="str">
        <f>IFERROR(__xludf.DUMMYFUNCTION("""COMPUTED_VALUE"""),"Box")</f>
        <v>Box</v>
      </c>
      <c r="K812" s="22" t="str">
        <f>IFERROR(__xludf.DUMMYFUNCTION("""COMPUTED_VALUE"""),"2246
Austin,")</f>
        <v>2246
Austin,</v>
      </c>
      <c r="L812" s="22" t="str">
        <f>IFERROR(__xludf.DUMMYFUNCTION("""COMPUTED_VALUE"""),"TX")</f>
        <v>TX</v>
      </c>
      <c r="M812" s="22">
        <f>IFERROR(__xludf.DUMMYFUNCTION("""COMPUTED_VALUE"""),78768.0)</f>
        <v>78768</v>
      </c>
      <c r="N812" s="22"/>
      <c r="O812" s="22"/>
      <c r="P812" s="22"/>
      <c r="Q812" s="22"/>
      <c r="R812" s="22"/>
      <c r="S812" s="22"/>
      <c r="T812" s="22"/>
      <c r="U812" s="24" t="str">
        <f>IFERROR(__xludf.DUMMYFUNCTION("SPLIT(E812,""01234567890"")"),"Association")</f>
        <v>Association</v>
      </c>
      <c r="V812" s="24" t="str">
        <f>IFERROR(__xludf.DUMMYFUNCTION("SPLIT(D812,"","")"),"Texas")</f>
        <v>Texas</v>
      </c>
      <c r="W812" s="25" t="str">
        <f t="shared" si="1"/>
        <v>ASSOCIATION TEXAS</v>
      </c>
      <c r="X812" s="22"/>
      <c r="Y812" s="22"/>
      <c r="Z812" s="25" t="str">
        <f>IFERROR(__xludf.DUMMYFUNCTION("SPLIT(C812,""
"")"),"Texas Association of Realtors MetroTex PAC")</f>
        <v>Texas Association of Realtors MetroTex PAC</v>
      </c>
      <c r="AA812" s="22" t="str">
        <f>IFERROR(__xludf.DUMMYFUNCTION("""COMPUTED_VALUE"""),"PO Box 2246")</f>
        <v>PO Box 2246</v>
      </c>
      <c r="AB812" s="22" t="str">
        <f>IFERROR(__xludf.DUMMYFUNCTION("""COMPUTED_VALUE"""),"Austin, TX 78768")</f>
        <v>Austin, TX 78768</v>
      </c>
      <c r="AC812" s="31" t="s">
        <v>2066</v>
      </c>
      <c r="AD812" s="22"/>
      <c r="AE812" s="22"/>
      <c r="AF812" s="22"/>
      <c r="AG812" s="22" t="s">
        <v>60</v>
      </c>
      <c r="AH812" s="54">
        <v>2481.0</v>
      </c>
      <c r="AI812" s="22" t="s">
        <v>68</v>
      </c>
      <c r="AJ812" s="27">
        <v>10000.0</v>
      </c>
      <c r="AK812" s="31" t="s">
        <v>25</v>
      </c>
      <c r="AL812" s="28">
        <v>44910.0</v>
      </c>
      <c r="AM812" s="29">
        <v>44937.81995370371</v>
      </c>
      <c r="AN812" s="30">
        <v>2.0</v>
      </c>
      <c r="AO812" s="22"/>
      <c r="AP812" s="22"/>
      <c r="AQ812" s="22"/>
      <c r="AR812" s="22"/>
      <c r="AS812" s="22"/>
      <c r="AT812" s="70"/>
      <c r="AU812" s="22"/>
      <c r="AV812" s="57" t="str">
        <f>IFERROR(__xludf.DUMMYFUNCTION("""COMPUTED_VALUE"""),"McNamara")</f>
        <v>McNamara</v>
      </c>
      <c r="AW812" s="46">
        <f t="shared" si="7"/>
        <v>1000</v>
      </c>
      <c r="AX812" s="47">
        <f t="shared" ref="AX812:BQ812" si="2547">SUMIFS($AJ:$AJ,$V:$V,$AV812,$AK:$AK,AX$2)</f>
        <v>0</v>
      </c>
      <c r="AY812" s="48">
        <f t="shared" si="2547"/>
        <v>0</v>
      </c>
      <c r="AZ812" s="48">
        <f t="shared" si="2547"/>
        <v>0</v>
      </c>
      <c r="BA812" s="48">
        <f t="shared" si="2547"/>
        <v>0</v>
      </c>
      <c r="BB812" s="48">
        <f t="shared" si="2547"/>
        <v>0</v>
      </c>
      <c r="BC812" s="48">
        <f t="shared" si="2547"/>
        <v>0</v>
      </c>
      <c r="BD812" s="48">
        <f t="shared" si="2547"/>
        <v>0</v>
      </c>
      <c r="BE812" s="48">
        <f t="shared" si="2547"/>
        <v>0</v>
      </c>
      <c r="BF812" s="48">
        <f t="shared" si="2547"/>
        <v>0</v>
      </c>
      <c r="BG812" s="48">
        <f t="shared" si="2547"/>
        <v>0</v>
      </c>
      <c r="BH812" s="48">
        <f t="shared" si="2547"/>
        <v>0</v>
      </c>
      <c r="BI812" s="48">
        <f t="shared" si="2547"/>
        <v>0</v>
      </c>
      <c r="BJ812" s="48">
        <f t="shared" si="2547"/>
        <v>0</v>
      </c>
      <c r="BK812" s="48">
        <f t="shared" si="2547"/>
        <v>1000</v>
      </c>
      <c r="BL812" s="48">
        <f t="shared" si="2547"/>
        <v>0</v>
      </c>
      <c r="BM812" s="48">
        <f t="shared" si="2547"/>
        <v>0</v>
      </c>
      <c r="BN812" s="48">
        <f t="shared" si="2547"/>
        <v>0</v>
      </c>
      <c r="BO812" s="48">
        <f t="shared" si="2547"/>
        <v>0</v>
      </c>
      <c r="BP812" s="48">
        <f t="shared" si="2547"/>
        <v>0</v>
      </c>
      <c r="BQ812" s="48">
        <f t="shared" si="2547"/>
        <v>0</v>
      </c>
      <c r="BR812" s="36">
        <f t="shared" si="9"/>
        <v>0</v>
      </c>
      <c r="BS812" s="38">
        <f t="shared" si="10"/>
        <v>1</v>
      </c>
      <c r="BT812" s="49">
        <f t="shared" si="11"/>
        <v>0</v>
      </c>
      <c r="BU812" s="38">
        <f t="shared" si="12"/>
        <v>1000</v>
      </c>
      <c r="BV812" s="57" t="str">
        <f>IFERROR(__xludf.DUMMYFUNCTION("""COMPUTED_VALUE"""),"McNamara")</f>
        <v>McNamara</v>
      </c>
      <c r="BW812" s="46">
        <f t="shared" si="13"/>
        <v>1000</v>
      </c>
      <c r="BX812" s="47">
        <f t="shared" ref="BX812:CA812" si="2548">AX812-$BU812</f>
        <v>-1000</v>
      </c>
      <c r="BY812" s="47">
        <f t="shared" si="2548"/>
        <v>-1000</v>
      </c>
      <c r="BZ812" s="47">
        <f t="shared" si="2548"/>
        <v>-1000</v>
      </c>
      <c r="CA812" s="47">
        <f t="shared" si="2548"/>
        <v>-1000</v>
      </c>
      <c r="CB812" s="47">
        <f t="shared" si="15"/>
        <v>-10000</v>
      </c>
      <c r="CC812" s="47">
        <f t="shared" ref="CC812:CQ812" si="2549">BC812-$BU812</f>
        <v>-1000</v>
      </c>
      <c r="CD812" s="47">
        <f t="shared" si="2549"/>
        <v>-1000</v>
      </c>
      <c r="CE812" s="47">
        <f t="shared" si="2549"/>
        <v>-1000</v>
      </c>
      <c r="CF812" s="47">
        <f t="shared" si="2549"/>
        <v>-1000</v>
      </c>
      <c r="CG812" s="47">
        <f t="shared" si="2549"/>
        <v>-1000</v>
      </c>
      <c r="CH812" s="47">
        <f t="shared" si="2549"/>
        <v>-1000</v>
      </c>
      <c r="CI812" s="47">
        <f t="shared" si="2549"/>
        <v>-1000</v>
      </c>
      <c r="CJ812" s="47">
        <f t="shared" si="2549"/>
        <v>-1000</v>
      </c>
      <c r="CK812" s="47">
        <f t="shared" si="2549"/>
        <v>0</v>
      </c>
      <c r="CL812" s="47">
        <f t="shared" si="2549"/>
        <v>-1000</v>
      </c>
      <c r="CM812" s="47">
        <f t="shared" si="2549"/>
        <v>-1000</v>
      </c>
      <c r="CN812" s="47">
        <f t="shared" si="2549"/>
        <v>-1000</v>
      </c>
      <c r="CO812" s="47">
        <f t="shared" si="2549"/>
        <v>-1000</v>
      </c>
      <c r="CP812" s="47">
        <f t="shared" si="2549"/>
        <v>-1000</v>
      </c>
      <c r="CQ812" s="47">
        <f t="shared" si="2549"/>
        <v>-1000</v>
      </c>
      <c r="CR812" s="47"/>
      <c r="CS812" s="47"/>
      <c r="CT812" s="47"/>
      <c r="CU812" s="74"/>
      <c r="CV812" s="74"/>
      <c r="CW812" s="74" t="str">
        <f>IFERROR(__xludf.DUMMYFUNCTION("IF(REGEXMATCH(UPPER(CU812), ""DALLAS""),,CU812)"),"")</f>
        <v/>
      </c>
      <c r="CX812" s="74"/>
      <c r="CY812" s="74"/>
      <c r="CZ812" s="74"/>
      <c r="DA812" s="75"/>
      <c r="DB812" s="74"/>
      <c r="DC812" s="74"/>
      <c r="DD812" s="74"/>
      <c r="DE812" s="74"/>
      <c r="DF812" s="74"/>
      <c r="DG812" s="74"/>
      <c r="DH812" s="74"/>
      <c r="DI812" s="74"/>
      <c r="DJ812" s="74"/>
      <c r="DK812" s="74"/>
      <c r="DL812" s="74"/>
      <c r="DM812" s="74"/>
      <c r="DN812" s="74"/>
      <c r="DO812" s="74"/>
      <c r="DP812" s="74"/>
      <c r="DQ812" s="74"/>
      <c r="DR812" s="74"/>
      <c r="DS812" s="74"/>
      <c r="DT812" s="74"/>
      <c r="DU812" s="74"/>
      <c r="DV812" s="74"/>
      <c r="DW812" s="74"/>
    </row>
    <row r="813">
      <c r="A813" s="40" t="s">
        <v>55</v>
      </c>
      <c r="B813" s="41" t="s">
        <v>56</v>
      </c>
      <c r="C813" s="31" t="s">
        <v>211</v>
      </c>
      <c r="D813" s="25" t="str">
        <f>IFERROR(__xludf.DUMMYFUNCTION("SPLIT(C813,"" "")"),"Apartment")</f>
        <v>Apartment</v>
      </c>
      <c r="E813" s="40" t="str">
        <f>IFERROR(__xludf.DUMMYFUNCTION("""COMPUTED_VALUE"""),"Association")</f>
        <v>Association</v>
      </c>
      <c r="F813" s="40" t="str">
        <f>IFERROR(__xludf.DUMMYFUNCTION("""COMPUTED_VALUE"""),"of")</f>
        <v>of</v>
      </c>
      <c r="G813" s="40" t="str">
        <f>IFERROR(__xludf.DUMMYFUNCTION("""COMPUTED_VALUE"""),"Greater")</f>
        <v>Greater</v>
      </c>
      <c r="H813" s="40" t="str">
        <f>IFERROR(__xludf.DUMMYFUNCTION("""COMPUTED_VALUE"""),"Dallas
5728")</f>
        <v>Dallas
5728</v>
      </c>
      <c r="I813" s="40" t="str">
        <f>IFERROR(__xludf.DUMMYFUNCTION("""COMPUTED_VALUE"""),"LBJ")</f>
        <v>LBJ</v>
      </c>
      <c r="J813" s="40" t="str">
        <f>IFERROR(__xludf.DUMMYFUNCTION("""COMPUTED_VALUE"""),"Fwy
Dallas,")</f>
        <v>Fwy
Dallas,</v>
      </c>
      <c r="K813" s="40" t="str">
        <f>IFERROR(__xludf.DUMMYFUNCTION("""COMPUTED_VALUE"""),"TX")</f>
        <v>TX</v>
      </c>
      <c r="L813" s="40">
        <f>IFERROR(__xludf.DUMMYFUNCTION("""COMPUTED_VALUE"""),75240.0)</f>
        <v>75240</v>
      </c>
      <c r="M813" s="40"/>
      <c r="N813" s="40"/>
      <c r="O813" s="40"/>
      <c r="P813" s="40"/>
      <c r="Q813" s="40"/>
      <c r="R813" s="40"/>
      <c r="S813" s="40"/>
      <c r="T813" s="40"/>
      <c r="U813" s="24" t="str">
        <f>IFERROR(__xludf.DUMMYFUNCTION("SPLIT(E813,""01234567890"")"),"Association")</f>
        <v>Association</v>
      </c>
      <c r="V813" s="24" t="str">
        <f>IFERROR(__xludf.DUMMYFUNCTION("SPLIT(D813,"","")"),"Apartment")</f>
        <v>Apartment</v>
      </c>
      <c r="W813" s="25" t="str">
        <f t="shared" si="1"/>
        <v>ASSOCIATION APARTMENT</v>
      </c>
      <c r="X813" s="40"/>
      <c r="Y813" s="40"/>
      <c r="Z813" s="25" t="str">
        <f>IFERROR(__xludf.DUMMYFUNCTION("SPLIT(C813,""
"")"),"Apartment Association of Greater Dallas")</f>
        <v>Apartment Association of Greater Dallas</v>
      </c>
      <c r="AA813" s="40" t="str">
        <f>IFERROR(__xludf.DUMMYFUNCTION("""COMPUTED_VALUE"""),"5728 LBJ Fwy")</f>
        <v>5728 LBJ Fwy</v>
      </c>
      <c r="AB813" s="40" t="str">
        <f>IFERROR(__xludf.DUMMYFUNCTION("""COMPUTED_VALUE"""),"Dallas, TX 75240")</f>
        <v>Dallas, TX 75240</v>
      </c>
      <c r="AC813" s="31" t="s">
        <v>210</v>
      </c>
      <c r="AD813" s="40"/>
      <c r="AE813" s="40"/>
      <c r="AF813" s="40"/>
      <c r="AG813" s="40" t="s">
        <v>60</v>
      </c>
      <c r="AH813" s="42">
        <v>2481.0</v>
      </c>
      <c r="AI813" s="40" t="s">
        <v>68</v>
      </c>
      <c r="AJ813" s="27">
        <v>7500.0</v>
      </c>
      <c r="AK813" s="31" t="s">
        <v>25</v>
      </c>
      <c r="AL813" s="43">
        <v>44907.0</v>
      </c>
      <c r="AM813" s="44">
        <v>44937.81995370371</v>
      </c>
      <c r="AN813" s="30">
        <v>2.0</v>
      </c>
      <c r="AO813" s="40"/>
      <c r="AP813" s="40"/>
      <c r="AQ813" s="40"/>
      <c r="AR813" s="40"/>
      <c r="AS813" s="40"/>
      <c r="AT813" s="47"/>
      <c r="AU813" s="40"/>
      <c r="AV813" s="46" t="str">
        <f>IFERROR(__xludf.DUMMYFUNCTION("""COMPUTED_VALUE"""),"Cobb")</f>
        <v>Cobb</v>
      </c>
      <c r="AW813" s="46">
        <f t="shared" si="7"/>
        <v>250</v>
      </c>
      <c r="AX813" s="47">
        <f t="shared" ref="AX813:BQ813" si="2550">SUMIFS($AJ:$AJ,$V:$V,$AV813,$AK:$AK,AX$2)</f>
        <v>0</v>
      </c>
      <c r="AY813" s="48">
        <f t="shared" si="2550"/>
        <v>0</v>
      </c>
      <c r="AZ813" s="48">
        <f t="shared" si="2550"/>
        <v>0</v>
      </c>
      <c r="BA813" s="48">
        <f t="shared" si="2550"/>
        <v>0</v>
      </c>
      <c r="BB813" s="48">
        <f t="shared" si="2550"/>
        <v>0</v>
      </c>
      <c r="BC813" s="48">
        <f t="shared" si="2550"/>
        <v>0</v>
      </c>
      <c r="BD813" s="48">
        <f t="shared" si="2550"/>
        <v>0</v>
      </c>
      <c r="BE813" s="48">
        <f t="shared" si="2550"/>
        <v>0</v>
      </c>
      <c r="BF813" s="48">
        <f t="shared" si="2550"/>
        <v>0</v>
      </c>
      <c r="BG813" s="48">
        <f t="shared" si="2550"/>
        <v>0</v>
      </c>
      <c r="BH813" s="48">
        <f t="shared" si="2550"/>
        <v>0</v>
      </c>
      <c r="BI813" s="48">
        <f t="shared" si="2550"/>
        <v>0</v>
      </c>
      <c r="BJ813" s="48">
        <f t="shared" si="2550"/>
        <v>0</v>
      </c>
      <c r="BK813" s="48">
        <f t="shared" si="2550"/>
        <v>250</v>
      </c>
      <c r="BL813" s="48">
        <f t="shared" si="2550"/>
        <v>0</v>
      </c>
      <c r="BM813" s="48">
        <f t="shared" si="2550"/>
        <v>0</v>
      </c>
      <c r="BN813" s="48">
        <f t="shared" si="2550"/>
        <v>0</v>
      </c>
      <c r="BO813" s="48">
        <f t="shared" si="2550"/>
        <v>0</v>
      </c>
      <c r="BP813" s="48">
        <f t="shared" si="2550"/>
        <v>0</v>
      </c>
      <c r="BQ813" s="48">
        <f t="shared" si="2550"/>
        <v>0</v>
      </c>
      <c r="BR813" s="36">
        <f t="shared" si="9"/>
        <v>0</v>
      </c>
      <c r="BS813" s="38">
        <f t="shared" si="10"/>
        <v>1</v>
      </c>
      <c r="BT813" s="49">
        <f t="shared" si="11"/>
        <v>0</v>
      </c>
      <c r="BU813" s="38">
        <f t="shared" si="12"/>
        <v>1000</v>
      </c>
      <c r="BV813" s="46" t="str">
        <f>IFERROR(__xludf.DUMMYFUNCTION("""COMPUTED_VALUE"""),"Cobb")</f>
        <v>Cobb</v>
      </c>
      <c r="BW813" s="46">
        <f t="shared" si="13"/>
        <v>250</v>
      </c>
      <c r="BX813" s="47">
        <f t="shared" ref="BX813:CA813" si="2551">AX813-$BU813</f>
        <v>-1000</v>
      </c>
      <c r="BY813" s="47">
        <f t="shared" si="2551"/>
        <v>-1000</v>
      </c>
      <c r="BZ813" s="47">
        <f t="shared" si="2551"/>
        <v>-1000</v>
      </c>
      <c r="CA813" s="47">
        <f t="shared" si="2551"/>
        <v>-1000</v>
      </c>
      <c r="CB813" s="47">
        <f t="shared" si="15"/>
        <v>-10000</v>
      </c>
      <c r="CC813" s="47">
        <f t="shared" ref="CC813:CQ813" si="2552">BC813-$BU813</f>
        <v>-1000</v>
      </c>
      <c r="CD813" s="47">
        <f t="shared" si="2552"/>
        <v>-1000</v>
      </c>
      <c r="CE813" s="47">
        <f t="shared" si="2552"/>
        <v>-1000</v>
      </c>
      <c r="CF813" s="47">
        <f t="shared" si="2552"/>
        <v>-1000</v>
      </c>
      <c r="CG813" s="47">
        <f t="shared" si="2552"/>
        <v>-1000</v>
      </c>
      <c r="CH813" s="47">
        <f t="shared" si="2552"/>
        <v>-1000</v>
      </c>
      <c r="CI813" s="47">
        <f t="shared" si="2552"/>
        <v>-1000</v>
      </c>
      <c r="CJ813" s="47">
        <f t="shared" si="2552"/>
        <v>-1000</v>
      </c>
      <c r="CK813" s="47">
        <f t="shared" si="2552"/>
        <v>-750</v>
      </c>
      <c r="CL813" s="47">
        <f t="shared" si="2552"/>
        <v>-1000</v>
      </c>
      <c r="CM813" s="47">
        <f t="shared" si="2552"/>
        <v>-1000</v>
      </c>
      <c r="CN813" s="47">
        <f t="shared" si="2552"/>
        <v>-1000</v>
      </c>
      <c r="CO813" s="47">
        <f t="shared" si="2552"/>
        <v>-1000</v>
      </c>
      <c r="CP813" s="47">
        <f t="shared" si="2552"/>
        <v>-1000</v>
      </c>
      <c r="CQ813" s="47">
        <f t="shared" si="2552"/>
        <v>-1000</v>
      </c>
      <c r="CR813" s="47"/>
      <c r="CS813" s="47"/>
      <c r="CT813" s="47"/>
      <c r="CU813" s="74"/>
      <c r="CV813" s="74"/>
      <c r="CW813" s="74" t="str">
        <f>IFERROR(__xludf.DUMMYFUNCTION("IF(REGEXMATCH(UPPER(CU813), ""DALLAS""),,CU813)"),"")</f>
        <v/>
      </c>
      <c r="CX813" s="74"/>
      <c r="CY813" s="74"/>
      <c r="CZ813" s="74"/>
      <c r="DA813" s="75"/>
      <c r="DB813" s="74"/>
      <c r="DC813" s="74"/>
      <c r="DD813" s="74"/>
      <c r="DE813" s="74"/>
      <c r="DF813" s="74"/>
      <c r="DG813" s="74"/>
      <c r="DH813" s="74"/>
      <c r="DI813" s="74"/>
      <c r="DJ813" s="74"/>
      <c r="DK813" s="74"/>
      <c r="DL813" s="74"/>
      <c r="DM813" s="74"/>
      <c r="DN813" s="74"/>
      <c r="DO813" s="74"/>
      <c r="DP813" s="74"/>
      <c r="DQ813" s="74"/>
      <c r="DR813" s="74"/>
      <c r="DS813" s="74"/>
      <c r="DT813" s="74"/>
      <c r="DU813" s="74"/>
      <c r="DV813" s="74"/>
      <c r="DW813" s="74"/>
    </row>
    <row r="814">
      <c r="A814" s="22" t="s">
        <v>55</v>
      </c>
      <c r="B814" s="23" t="s">
        <v>56</v>
      </c>
      <c r="C814" s="31" t="s">
        <v>256</v>
      </c>
      <c r="D814" s="25" t="str">
        <f>IFERROR(__xludf.DUMMYFUNCTION("SPLIT(C814,"" "")"),"AT&amp;T")</f>
        <v>AT&amp;T</v>
      </c>
      <c r="E814" s="22" t="str">
        <f>IFERROR(__xludf.DUMMYFUNCTION("""COMPUTED_VALUE"""),"PAC
816")</f>
        <v>PAC
816</v>
      </c>
      <c r="F814" s="22" t="str">
        <f>IFERROR(__xludf.DUMMYFUNCTION("""COMPUTED_VALUE"""),"Congress")</f>
        <v>Congress</v>
      </c>
      <c r="G814" s="22" t="str">
        <f>IFERROR(__xludf.DUMMYFUNCTION("""COMPUTED_VALUE"""),"Ave
Austin,")</f>
        <v>Ave
Austin,</v>
      </c>
      <c r="H814" s="22" t="str">
        <f>IFERROR(__xludf.DUMMYFUNCTION("""COMPUTED_VALUE"""),"TX")</f>
        <v>TX</v>
      </c>
      <c r="I814" s="22">
        <f>IFERROR(__xludf.DUMMYFUNCTION("""COMPUTED_VALUE"""),78701.0)</f>
        <v>78701</v>
      </c>
      <c r="J814" s="22"/>
      <c r="K814" s="22"/>
      <c r="L814" s="22"/>
      <c r="M814" s="22"/>
      <c r="N814" s="22"/>
      <c r="O814" s="22"/>
      <c r="P814" s="22"/>
      <c r="Q814" s="22"/>
      <c r="R814" s="22"/>
      <c r="S814" s="22"/>
      <c r="T814" s="22"/>
      <c r="U814" s="24" t="str">
        <f>IFERROR(__xludf.DUMMYFUNCTION("SPLIT(E814,""01234567890"")"),"PAC
")</f>
        <v>PAC
</v>
      </c>
      <c r="V814" s="24" t="str">
        <f>IFERROR(__xludf.DUMMYFUNCTION("SPLIT(D814,"","")"),"AT&amp;T")</f>
        <v>AT&amp;T</v>
      </c>
      <c r="W814" s="25" t="str">
        <f t="shared" si="1"/>
        <v>PAC
 AT&amp;T</v>
      </c>
      <c r="X814" s="22"/>
      <c r="Y814" s="22"/>
      <c r="Z814" s="25" t="str">
        <f>IFERROR(__xludf.DUMMYFUNCTION("SPLIT(C814,""
"")"),"AT&amp;T PAC")</f>
        <v>AT&amp;T PAC</v>
      </c>
      <c r="AA814" s="22" t="str">
        <f>IFERROR(__xludf.DUMMYFUNCTION("""COMPUTED_VALUE"""),"816 Congress Ave")</f>
        <v>816 Congress Ave</v>
      </c>
      <c r="AB814" s="22" t="str">
        <f>IFERROR(__xludf.DUMMYFUNCTION("""COMPUTED_VALUE"""),"Austin, TX 78701")</f>
        <v>Austin, TX 78701</v>
      </c>
      <c r="AC814" s="31" t="s">
        <v>255</v>
      </c>
      <c r="AD814" s="22"/>
      <c r="AE814" s="22"/>
      <c r="AF814" s="22"/>
      <c r="AG814" s="22" t="s">
        <v>60</v>
      </c>
      <c r="AH814" s="54">
        <v>2481.0</v>
      </c>
      <c r="AI814" s="22" t="s">
        <v>68</v>
      </c>
      <c r="AJ814" s="27">
        <v>5000.0</v>
      </c>
      <c r="AK814" s="31" t="s">
        <v>25</v>
      </c>
      <c r="AL814" s="28">
        <v>44907.0</v>
      </c>
      <c r="AM814" s="29">
        <v>44937.81995370371</v>
      </c>
      <c r="AN814" s="30">
        <v>2.0</v>
      </c>
      <c r="AO814" s="22"/>
      <c r="AP814" s="22"/>
      <c r="AQ814" s="22"/>
      <c r="AR814" s="22"/>
      <c r="AS814" s="22"/>
      <c r="AT814" s="70"/>
      <c r="AU814" s="22"/>
      <c r="AV814" s="57" t="str">
        <f>IFERROR(__xludf.DUMMYFUNCTION("""COMPUTED_VALUE"""),"Klemm")</f>
        <v>Klemm</v>
      </c>
      <c r="AW814" s="46">
        <f t="shared" si="7"/>
        <v>1000</v>
      </c>
      <c r="AX814" s="47">
        <f t="shared" ref="AX814:BQ814" si="2553">SUMIFS($AJ:$AJ,$V:$V,$AV814,$AK:$AK,AX$2)</f>
        <v>0</v>
      </c>
      <c r="AY814" s="48">
        <f t="shared" si="2553"/>
        <v>0</v>
      </c>
      <c r="AZ814" s="48">
        <f t="shared" si="2553"/>
        <v>0</v>
      </c>
      <c r="BA814" s="48">
        <f t="shared" si="2553"/>
        <v>0</v>
      </c>
      <c r="BB814" s="48">
        <f t="shared" si="2553"/>
        <v>0</v>
      </c>
      <c r="BC814" s="48">
        <f t="shared" si="2553"/>
        <v>0</v>
      </c>
      <c r="BD814" s="48">
        <f t="shared" si="2553"/>
        <v>0</v>
      </c>
      <c r="BE814" s="48">
        <f t="shared" si="2553"/>
        <v>0</v>
      </c>
      <c r="BF814" s="48">
        <f t="shared" si="2553"/>
        <v>0</v>
      </c>
      <c r="BG814" s="48">
        <f t="shared" si="2553"/>
        <v>0</v>
      </c>
      <c r="BH814" s="48">
        <f t="shared" si="2553"/>
        <v>0</v>
      </c>
      <c r="BI814" s="48">
        <f t="shared" si="2553"/>
        <v>0</v>
      </c>
      <c r="BJ814" s="48">
        <f t="shared" si="2553"/>
        <v>0</v>
      </c>
      <c r="BK814" s="48">
        <f t="shared" si="2553"/>
        <v>1000</v>
      </c>
      <c r="BL814" s="48">
        <f t="shared" si="2553"/>
        <v>0</v>
      </c>
      <c r="BM814" s="48">
        <f t="shared" si="2553"/>
        <v>0</v>
      </c>
      <c r="BN814" s="48">
        <f t="shared" si="2553"/>
        <v>0</v>
      </c>
      <c r="BO814" s="48">
        <f t="shared" si="2553"/>
        <v>0</v>
      </c>
      <c r="BP814" s="48">
        <f t="shared" si="2553"/>
        <v>0</v>
      </c>
      <c r="BQ814" s="48">
        <f t="shared" si="2553"/>
        <v>0</v>
      </c>
      <c r="BR814" s="36">
        <f t="shared" si="9"/>
        <v>0</v>
      </c>
      <c r="BS814" s="38">
        <f t="shared" si="10"/>
        <v>1</v>
      </c>
      <c r="BT814" s="49">
        <f t="shared" si="11"/>
        <v>0</v>
      </c>
      <c r="BU814" s="38">
        <f t="shared" si="12"/>
        <v>1000</v>
      </c>
      <c r="BV814" s="57" t="str">
        <f>IFERROR(__xludf.DUMMYFUNCTION("""COMPUTED_VALUE"""),"Klemm")</f>
        <v>Klemm</v>
      </c>
      <c r="BW814" s="46">
        <f t="shared" si="13"/>
        <v>1000</v>
      </c>
      <c r="BX814" s="47">
        <f t="shared" ref="BX814:CA814" si="2554">AX814-$BU814</f>
        <v>-1000</v>
      </c>
      <c r="BY814" s="47">
        <f t="shared" si="2554"/>
        <v>-1000</v>
      </c>
      <c r="BZ814" s="47">
        <f t="shared" si="2554"/>
        <v>-1000</v>
      </c>
      <c r="CA814" s="47">
        <f t="shared" si="2554"/>
        <v>-1000</v>
      </c>
      <c r="CB814" s="47">
        <f t="shared" si="15"/>
        <v>-10000</v>
      </c>
      <c r="CC814" s="47">
        <f t="shared" ref="CC814:CQ814" si="2555">BC814-$BU814</f>
        <v>-1000</v>
      </c>
      <c r="CD814" s="47">
        <f t="shared" si="2555"/>
        <v>-1000</v>
      </c>
      <c r="CE814" s="47">
        <f t="shared" si="2555"/>
        <v>-1000</v>
      </c>
      <c r="CF814" s="47">
        <f t="shared" si="2555"/>
        <v>-1000</v>
      </c>
      <c r="CG814" s="47">
        <f t="shared" si="2555"/>
        <v>-1000</v>
      </c>
      <c r="CH814" s="47">
        <f t="shared" si="2555"/>
        <v>-1000</v>
      </c>
      <c r="CI814" s="47">
        <f t="shared" si="2555"/>
        <v>-1000</v>
      </c>
      <c r="CJ814" s="47">
        <f t="shared" si="2555"/>
        <v>-1000</v>
      </c>
      <c r="CK814" s="47">
        <f t="shared" si="2555"/>
        <v>0</v>
      </c>
      <c r="CL814" s="47">
        <f t="shared" si="2555"/>
        <v>-1000</v>
      </c>
      <c r="CM814" s="47">
        <f t="shared" si="2555"/>
        <v>-1000</v>
      </c>
      <c r="CN814" s="47">
        <f t="shared" si="2555"/>
        <v>-1000</v>
      </c>
      <c r="CO814" s="47">
        <f t="shared" si="2555"/>
        <v>-1000</v>
      </c>
      <c r="CP814" s="47">
        <f t="shared" si="2555"/>
        <v>-1000</v>
      </c>
      <c r="CQ814" s="47">
        <f t="shared" si="2555"/>
        <v>-1000</v>
      </c>
      <c r="CR814" s="47"/>
      <c r="CS814" s="47"/>
      <c r="CT814" s="47"/>
      <c r="CU814" s="74"/>
      <c r="CV814" s="74"/>
      <c r="CW814" s="74" t="str">
        <f>IFERROR(__xludf.DUMMYFUNCTION("IF(REGEXMATCH(UPPER(CU814), ""DALLAS""),,CU814)"),"")</f>
        <v/>
      </c>
      <c r="CX814" s="74"/>
      <c r="CY814" s="74"/>
      <c r="CZ814" s="74"/>
      <c r="DA814" s="75"/>
      <c r="DB814" s="74"/>
      <c r="DC814" s="74"/>
      <c r="DD814" s="74"/>
      <c r="DE814" s="74"/>
      <c r="DF814" s="74"/>
      <c r="DG814" s="74"/>
      <c r="DH814" s="74"/>
      <c r="DI814" s="74"/>
      <c r="DJ814" s="74"/>
      <c r="DK814" s="74"/>
      <c r="DL814" s="74"/>
      <c r="DM814" s="74"/>
      <c r="DN814" s="74"/>
      <c r="DO814" s="74"/>
      <c r="DP814" s="74"/>
      <c r="DQ814" s="74"/>
      <c r="DR814" s="74"/>
      <c r="DS814" s="74"/>
      <c r="DT814" s="74"/>
      <c r="DU814" s="74"/>
      <c r="DV814" s="74"/>
      <c r="DW814" s="74"/>
    </row>
    <row r="815">
      <c r="A815" s="40" t="s">
        <v>55</v>
      </c>
      <c r="B815" s="41" t="s">
        <v>56</v>
      </c>
      <c r="C815" s="31" t="s">
        <v>2067</v>
      </c>
      <c r="D815" s="25" t="str">
        <f>IFERROR(__xludf.DUMMYFUNCTION("SPLIT(C815,"" "")"),"Health")</f>
        <v>Health</v>
      </c>
      <c r="E815" s="40" t="str">
        <f>IFERROR(__xludf.DUMMYFUNCTION("""COMPUTED_VALUE"""),"Care")</f>
        <v>Care</v>
      </c>
      <c r="F815" s="40" t="str">
        <f>IFERROR(__xludf.DUMMYFUNCTION("""COMPUTED_VALUE"""),"Service")</f>
        <v>Service</v>
      </c>
      <c r="G815" s="40" t="str">
        <f>IFERROR(__xludf.DUMMYFUNCTION("""COMPUTED_VALUE"""),"Corp.")</f>
        <v>Corp.</v>
      </c>
      <c r="H815" s="40" t="str">
        <f>IFERROR(__xludf.DUMMYFUNCTION("""COMPUTED_VALUE"""),"PAC
300")</f>
        <v>PAC
300</v>
      </c>
      <c r="I815" s="40" t="str">
        <f>IFERROR(__xludf.DUMMYFUNCTION("""COMPUTED_VALUE"""),"East")</f>
        <v>East</v>
      </c>
      <c r="J815" s="40" t="str">
        <f>IFERROR(__xludf.DUMMYFUNCTION("""COMPUTED_VALUE"""),"Randolph")</f>
        <v>Randolph</v>
      </c>
      <c r="K815" s="40" t="str">
        <f>IFERROR(__xludf.DUMMYFUNCTION("""COMPUTED_VALUE"""),"St
Chicago,")</f>
        <v>St
Chicago,</v>
      </c>
      <c r="L815" s="40" t="str">
        <f>IFERROR(__xludf.DUMMYFUNCTION("""COMPUTED_VALUE"""),"IL")</f>
        <v>IL</v>
      </c>
      <c r="M815" s="40">
        <f>IFERROR(__xludf.DUMMYFUNCTION("""COMPUTED_VALUE"""),60601.0)</f>
        <v>60601</v>
      </c>
      <c r="N815" s="40"/>
      <c r="O815" s="40"/>
      <c r="P815" s="40"/>
      <c r="Q815" s="40"/>
      <c r="R815" s="40"/>
      <c r="S815" s="40"/>
      <c r="T815" s="40"/>
      <c r="U815" s="24" t="str">
        <f>IFERROR(__xludf.DUMMYFUNCTION("SPLIT(E815,""01234567890"")"),"Care")</f>
        <v>Care</v>
      </c>
      <c r="V815" s="24" t="str">
        <f>IFERROR(__xludf.DUMMYFUNCTION("SPLIT(D815,"","")"),"Health")</f>
        <v>Health</v>
      </c>
      <c r="W815" s="25" t="str">
        <f t="shared" si="1"/>
        <v>CARE HEALTH</v>
      </c>
      <c r="X815" s="40"/>
      <c r="Y815" s="40"/>
      <c r="Z815" s="25" t="str">
        <f>IFERROR(__xludf.DUMMYFUNCTION("SPLIT(C815,""
"")"),"Health Care Service Corp. PAC")</f>
        <v>Health Care Service Corp. PAC</v>
      </c>
      <c r="AA815" s="40" t="str">
        <f>IFERROR(__xludf.DUMMYFUNCTION("""COMPUTED_VALUE"""),"300 East Randolph St")</f>
        <v>300 East Randolph St</v>
      </c>
      <c r="AB815" s="40" t="str">
        <f>IFERROR(__xludf.DUMMYFUNCTION("""COMPUTED_VALUE"""),"Chicago, IL 60601")</f>
        <v>Chicago, IL 60601</v>
      </c>
      <c r="AC815" s="31" t="s">
        <v>2068</v>
      </c>
      <c r="AD815" s="40"/>
      <c r="AE815" s="40"/>
      <c r="AF815" s="40"/>
      <c r="AG815" s="40" t="s">
        <v>60</v>
      </c>
      <c r="AH815" s="42">
        <v>2481.0</v>
      </c>
      <c r="AI815" s="40" t="s">
        <v>68</v>
      </c>
      <c r="AJ815" s="27">
        <v>500.0</v>
      </c>
      <c r="AK815" s="31" t="s">
        <v>25</v>
      </c>
      <c r="AL815" s="43">
        <v>44862.0</v>
      </c>
      <c r="AM815" s="44">
        <v>44937.81995370371</v>
      </c>
      <c r="AN815" s="30">
        <v>2.0</v>
      </c>
      <c r="AO815" s="40"/>
      <c r="AP815" s="40"/>
      <c r="AQ815" s="40"/>
      <c r="AR815" s="40"/>
      <c r="AS815" s="40"/>
      <c r="AT815" s="47"/>
      <c r="AU815" s="40"/>
      <c r="AV815" s="46" t="str">
        <f>IFERROR(__xludf.DUMMYFUNCTION("""COMPUTED_VALUE"""),"Montfort")</f>
        <v>Montfort</v>
      </c>
      <c r="AW815" s="46">
        <f t="shared" si="7"/>
        <v>2000</v>
      </c>
      <c r="AX815" s="47">
        <f t="shared" ref="AX815:BQ815" si="2556">SUMIFS($AJ:$AJ,$V:$V,$AV815,$AK:$AK,AX$2)</f>
        <v>0</v>
      </c>
      <c r="AY815" s="48">
        <f t="shared" si="2556"/>
        <v>0</v>
      </c>
      <c r="AZ815" s="48">
        <f t="shared" si="2556"/>
        <v>0</v>
      </c>
      <c r="BA815" s="48">
        <f t="shared" si="2556"/>
        <v>0</v>
      </c>
      <c r="BB815" s="48">
        <f t="shared" si="2556"/>
        <v>0</v>
      </c>
      <c r="BC815" s="48">
        <f t="shared" si="2556"/>
        <v>0</v>
      </c>
      <c r="BD815" s="48">
        <f t="shared" si="2556"/>
        <v>1000</v>
      </c>
      <c r="BE815" s="48">
        <f t="shared" si="2556"/>
        <v>0</v>
      </c>
      <c r="BF815" s="48">
        <f t="shared" si="2556"/>
        <v>0</v>
      </c>
      <c r="BG815" s="48">
        <f t="shared" si="2556"/>
        <v>0</v>
      </c>
      <c r="BH815" s="48">
        <f t="shared" si="2556"/>
        <v>0</v>
      </c>
      <c r="BI815" s="48">
        <f t="shared" si="2556"/>
        <v>0</v>
      </c>
      <c r="BJ815" s="48">
        <f t="shared" si="2556"/>
        <v>0</v>
      </c>
      <c r="BK815" s="48">
        <f t="shared" si="2556"/>
        <v>1000</v>
      </c>
      <c r="BL815" s="48">
        <f t="shared" si="2556"/>
        <v>0</v>
      </c>
      <c r="BM815" s="48">
        <f t="shared" si="2556"/>
        <v>0</v>
      </c>
      <c r="BN815" s="48">
        <f t="shared" si="2556"/>
        <v>0</v>
      </c>
      <c r="BO815" s="48">
        <f t="shared" si="2556"/>
        <v>0</v>
      </c>
      <c r="BP815" s="48">
        <f t="shared" si="2556"/>
        <v>0</v>
      </c>
      <c r="BQ815" s="48">
        <f t="shared" si="2556"/>
        <v>0</v>
      </c>
      <c r="BR815" s="36">
        <f t="shared" si="9"/>
        <v>1</v>
      </c>
      <c r="BS815" s="38">
        <f t="shared" si="10"/>
        <v>2</v>
      </c>
      <c r="BT815" s="49">
        <f t="shared" si="11"/>
        <v>0</v>
      </c>
      <c r="BU815" s="38">
        <f t="shared" si="12"/>
        <v>2000</v>
      </c>
      <c r="BV815" s="46" t="str">
        <f>IFERROR(__xludf.DUMMYFUNCTION("""COMPUTED_VALUE"""),"Montfort")</f>
        <v>Montfort</v>
      </c>
      <c r="BW815" s="46">
        <f t="shared" si="13"/>
        <v>2000</v>
      </c>
      <c r="BX815" s="47">
        <f t="shared" ref="BX815:CA815" si="2557">AX815-$BU815</f>
        <v>-2000</v>
      </c>
      <c r="BY815" s="47">
        <f t="shared" si="2557"/>
        <v>-2000</v>
      </c>
      <c r="BZ815" s="47">
        <f t="shared" si="2557"/>
        <v>-2000</v>
      </c>
      <c r="CA815" s="47">
        <f t="shared" si="2557"/>
        <v>-2000</v>
      </c>
      <c r="CB815" s="47">
        <f t="shared" si="15"/>
        <v>-20000</v>
      </c>
      <c r="CC815" s="47">
        <f t="shared" ref="CC815:CQ815" si="2558">BC815-$BU815</f>
        <v>-2000</v>
      </c>
      <c r="CD815" s="47">
        <f t="shared" si="2558"/>
        <v>-1000</v>
      </c>
      <c r="CE815" s="47">
        <f t="shared" si="2558"/>
        <v>-2000</v>
      </c>
      <c r="CF815" s="47">
        <f t="shared" si="2558"/>
        <v>-2000</v>
      </c>
      <c r="CG815" s="47">
        <f t="shared" si="2558"/>
        <v>-2000</v>
      </c>
      <c r="CH815" s="47">
        <f t="shared" si="2558"/>
        <v>-2000</v>
      </c>
      <c r="CI815" s="47">
        <f t="shared" si="2558"/>
        <v>-2000</v>
      </c>
      <c r="CJ815" s="47">
        <f t="shared" si="2558"/>
        <v>-2000</v>
      </c>
      <c r="CK815" s="47">
        <f t="shared" si="2558"/>
        <v>-1000</v>
      </c>
      <c r="CL815" s="47">
        <f t="shared" si="2558"/>
        <v>-2000</v>
      </c>
      <c r="CM815" s="47">
        <f t="shared" si="2558"/>
        <v>-2000</v>
      </c>
      <c r="CN815" s="47">
        <f t="shared" si="2558"/>
        <v>-2000</v>
      </c>
      <c r="CO815" s="47">
        <f t="shared" si="2558"/>
        <v>-2000</v>
      </c>
      <c r="CP815" s="47">
        <f t="shared" si="2558"/>
        <v>-2000</v>
      </c>
      <c r="CQ815" s="47">
        <f t="shared" si="2558"/>
        <v>-2000</v>
      </c>
      <c r="CR815" s="47"/>
      <c r="CS815" s="47"/>
      <c r="CT815" s="47"/>
      <c r="CU815" s="74"/>
      <c r="CV815" s="74"/>
      <c r="CW815" s="74" t="str">
        <f>IFERROR(__xludf.DUMMYFUNCTION("IF(REGEXMATCH(UPPER(CU815), ""DALLAS""),,CU815)"),"")</f>
        <v/>
      </c>
      <c r="CX815" s="74"/>
      <c r="CY815" s="74"/>
      <c r="CZ815" s="74"/>
      <c r="DA815" s="75"/>
      <c r="DB815" s="74"/>
      <c r="DC815" s="74"/>
      <c r="DD815" s="74"/>
      <c r="DE815" s="74"/>
      <c r="DF815" s="74"/>
      <c r="DG815" s="74"/>
      <c r="DH815" s="74"/>
      <c r="DI815" s="74"/>
      <c r="DJ815" s="74"/>
      <c r="DK815" s="74"/>
      <c r="DL815" s="74"/>
      <c r="DM815" s="74"/>
      <c r="DN815" s="74"/>
      <c r="DO815" s="74"/>
      <c r="DP815" s="74"/>
      <c r="DQ815" s="74"/>
      <c r="DR815" s="74"/>
      <c r="DS815" s="74"/>
      <c r="DT815" s="74"/>
      <c r="DU815" s="74"/>
      <c r="DV815" s="74"/>
      <c r="DW815" s="74"/>
    </row>
    <row r="816">
      <c r="A816" s="22" t="s">
        <v>55</v>
      </c>
      <c r="B816" s="23" t="s">
        <v>56</v>
      </c>
      <c r="C816" s="31" t="s">
        <v>2069</v>
      </c>
      <c r="D816" s="25" t="str">
        <f>IFERROR(__xludf.DUMMYFUNCTION("SPLIT(C816,"" "")"),"Lee,")</f>
        <v>Lee,</v>
      </c>
      <c r="E816" s="22" t="str">
        <f>IFERROR(__xludf.DUMMYFUNCTION("""COMPUTED_VALUE"""),"Sheila")</f>
        <v>Sheila</v>
      </c>
      <c r="F816" s="22" t="str">
        <f>IFERROR(__xludf.DUMMYFUNCTION("""COMPUTED_VALUE"""),"Jackson
4412")</f>
        <v>Jackson
4412</v>
      </c>
      <c r="G816" s="22" t="str">
        <f>IFERROR(__xludf.DUMMYFUNCTION("""COMPUTED_VALUE"""),"Almeda")</f>
        <v>Almeda</v>
      </c>
      <c r="H816" s="22" t="str">
        <f>IFERROR(__xludf.DUMMYFUNCTION("""COMPUTED_VALUE"""),"Rd
Houston,")</f>
        <v>Rd
Houston,</v>
      </c>
      <c r="I816" s="22" t="str">
        <f>IFERROR(__xludf.DUMMYFUNCTION("""COMPUTED_VALUE"""),"TX")</f>
        <v>TX</v>
      </c>
      <c r="J816" s="22">
        <f>IFERROR(__xludf.DUMMYFUNCTION("""COMPUTED_VALUE"""),77004.0)</f>
        <v>77004</v>
      </c>
      <c r="K816" s="22"/>
      <c r="L816" s="22"/>
      <c r="M816" s="22"/>
      <c r="N816" s="22"/>
      <c r="O816" s="22"/>
      <c r="P816" s="22"/>
      <c r="Q816" s="22"/>
      <c r="R816" s="22"/>
      <c r="S816" s="22"/>
      <c r="T816" s="22"/>
      <c r="U816" s="24" t="str">
        <f>IFERROR(__xludf.DUMMYFUNCTION("SPLIT(E816,""01234567890"")"),"Sheila")</f>
        <v>Sheila</v>
      </c>
      <c r="V816" s="24" t="str">
        <f>IFERROR(__xludf.DUMMYFUNCTION("SPLIT(D816,"","")"),"Lee")</f>
        <v>Lee</v>
      </c>
      <c r="W816" s="25" t="str">
        <f t="shared" si="1"/>
        <v>SHEILA LEE</v>
      </c>
      <c r="X816" s="22"/>
      <c r="Y816" s="22"/>
      <c r="Z816" s="25" t="str">
        <f>IFERROR(__xludf.DUMMYFUNCTION("SPLIT(C816,""
"")"),"Lee, Sheila Jackson")</f>
        <v>Lee, Sheila Jackson</v>
      </c>
      <c r="AA816" s="22" t="str">
        <f>IFERROR(__xludf.DUMMYFUNCTION("""COMPUTED_VALUE"""),"4412 Almeda Rd")</f>
        <v>4412 Almeda Rd</v>
      </c>
      <c r="AB816" s="22" t="str">
        <f>IFERROR(__xludf.DUMMYFUNCTION("""COMPUTED_VALUE"""),"Houston, TX 77004")</f>
        <v>Houston, TX 77004</v>
      </c>
      <c r="AC816" s="31" t="s">
        <v>2070</v>
      </c>
      <c r="AD816" s="22"/>
      <c r="AE816" s="22"/>
      <c r="AF816" s="22"/>
      <c r="AG816" s="22" t="s">
        <v>60</v>
      </c>
      <c r="AH816" s="54">
        <v>2481.0</v>
      </c>
      <c r="AI816" s="22" t="s">
        <v>68</v>
      </c>
      <c r="AJ816" s="27">
        <v>500.0</v>
      </c>
      <c r="AK816" s="31" t="s">
        <v>25</v>
      </c>
      <c r="AL816" s="28">
        <v>44861.0</v>
      </c>
      <c r="AM816" s="29">
        <v>44937.81995370371</v>
      </c>
      <c r="AN816" s="30">
        <v>2.0</v>
      </c>
      <c r="AO816" s="22"/>
      <c r="AP816" s="22"/>
      <c r="AQ816" s="22"/>
      <c r="AR816" s="22"/>
      <c r="AS816" s="22"/>
      <c r="AT816" s="70"/>
      <c r="AU816" s="22"/>
      <c r="AV816" s="57" t="str">
        <f>IFERROR(__xludf.DUMMYFUNCTION("""COMPUTED_VALUE"""),"Segrest")</f>
        <v>Segrest</v>
      </c>
      <c r="AW816" s="46">
        <f t="shared" si="7"/>
        <v>1000</v>
      </c>
      <c r="AX816" s="47">
        <f t="shared" ref="AX816:BQ816" si="2559">SUMIFS($AJ:$AJ,$V:$V,$AV816,$AK:$AK,AX$2)</f>
        <v>0</v>
      </c>
      <c r="AY816" s="48">
        <f t="shared" si="2559"/>
        <v>0</v>
      </c>
      <c r="AZ816" s="48">
        <f t="shared" si="2559"/>
        <v>0</v>
      </c>
      <c r="BA816" s="48">
        <f t="shared" si="2559"/>
        <v>0</v>
      </c>
      <c r="BB816" s="48">
        <f t="shared" si="2559"/>
        <v>0</v>
      </c>
      <c r="BC816" s="48">
        <f t="shared" si="2559"/>
        <v>0</v>
      </c>
      <c r="BD816" s="48">
        <f t="shared" si="2559"/>
        <v>0</v>
      </c>
      <c r="BE816" s="48">
        <f t="shared" si="2559"/>
        <v>0</v>
      </c>
      <c r="BF816" s="48">
        <f t="shared" si="2559"/>
        <v>0</v>
      </c>
      <c r="BG816" s="48">
        <f t="shared" si="2559"/>
        <v>0</v>
      </c>
      <c r="BH816" s="48">
        <f t="shared" si="2559"/>
        <v>0</v>
      </c>
      <c r="BI816" s="48">
        <f t="shared" si="2559"/>
        <v>0</v>
      </c>
      <c r="BJ816" s="48">
        <f t="shared" si="2559"/>
        <v>0</v>
      </c>
      <c r="BK816" s="48">
        <f t="shared" si="2559"/>
        <v>1000</v>
      </c>
      <c r="BL816" s="48">
        <f t="shared" si="2559"/>
        <v>0</v>
      </c>
      <c r="BM816" s="48">
        <f t="shared" si="2559"/>
        <v>0</v>
      </c>
      <c r="BN816" s="48">
        <f t="shared" si="2559"/>
        <v>0</v>
      </c>
      <c r="BO816" s="48">
        <f t="shared" si="2559"/>
        <v>0</v>
      </c>
      <c r="BP816" s="48">
        <f t="shared" si="2559"/>
        <v>0</v>
      </c>
      <c r="BQ816" s="48">
        <f t="shared" si="2559"/>
        <v>0</v>
      </c>
      <c r="BR816" s="36">
        <f t="shared" si="9"/>
        <v>0</v>
      </c>
      <c r="BS816" s="38">
        <f t="shared" si="10"/>
        <v>1</v>
      </c>
      <c r="BT816" s="49">
        <f t="shared" si="11"/>
        <v>0</v>
      </c>
      <c r="BU816" s="38">
        <f t="shared" si="12"/>
        <v>1000</v>
      </c>
      <c r="BV816" s="57" t="str">
        <f>IFERROR(__xludf.DUMMYFUNCTION("""COMPUTED_VALUE"""),"Segrest")</f>
        <v>Segrest</v>
      </c>
      <c r="BW816" s="46">
        <f t="shared" si="13"/>
        <v>1000</v>
      </c>
      <c r="BX816" s="47">
        <f t="shared" ref="BX816:CA816" si="2560">AX816-$BU816</f>
        <v>-1000</v>
      </c>
      <c r="BY816" s="47">
        <f t="shared" si="2560"/>
        <v>-1000</v>
      </c>
      <c r="BZ816" s="47">
        <f t="shared" si="2560"/>
        <v>-1000</v>
      </c>
      <c r="CA816" s="47">
        <f t="shared" si="2560"/>
        <v>-1000</v>
      </c>
      <c r="CB816" s="47">
        <f t="shared" si="15"/>
        <v>-10000</v>
      </c>
      <c r="CC816" s="47">
        <f t="shared" ref="CC816:CQ816" si="2561">BC816-$BU816</f>
        <v>-1000</v>
      </c>
      <c r="CD816" s="47">
        <f t="shared" si="2561"/>
        <v>-1000</v>
      </c>
      <c r="CE816" s="47">
        <f t="shared" si="2561"/>
        <v>-1000</v>
      </c>
      <c r="CF816" s="47">
        <f t="shared" si="2561"/>
        <v>-1000</v>
      </c>
      <c r="CG816" s="47">
        <f t="shared" si="2561"/>
        <v>-1000</v>
      </c>
      <c r="CH816" s="47">
        <f t="shared" si="2561"/>
        <v>-1000</v>
      </c>
      <c r="CI816" s="47">
        <f t="shared" si="2561"/>
        <v>-1000</v>
      </c>
      <c r="CJ816" s="47">
        <f t="shared" si="2561"/>
        <v>-1000</v>
      </c>
      <c r="CK816" s="47">
        <f t="shared" si="2561"/>
        <v>0</v>
      </c>
      <c r="CL816" s="47">
        <f t="shared" si="2561"/>
        <v>-1000</v>
      </c>
      <c r="CM816" s="47">
        <f t="shared" si="2561"/>
        <v>-1000</v>
      </c>
      <c r="CN816" s="47">
        <f t="shared" si="2561"/>
        <v>-1000</v>
      </c>
      <c r="CO816" s="47">
        <f t="shared" si="2561"/>
        <v>-1000</v>
      </c>
      <c r="CP816" s="47">
        <f t="shared" si="2561"/>
        <v>-1000</v>
      </c>
      <c r="CQ816" s="47">
        <f t="shared" si="2561"/>
        <v>-1000</v>
      </c>
      <c r="CR816" s="47"/>
      <c r="CS816" s="47"/>
      <c r="CT816" s="47"/>
      <c r="CU816" s="74"/>
      <c r="CV816" s="74"/>
      <c r="CW816" s="74" t="str">
        <f>IFERROR(__xludf.DUMMYFUNCTION("IF(REGEXMATCH(UPPER(CU816), ""DALLAS""),,CU816)"),"")</f>
        <v/>
      </c>
      <c r="CX816" s="74"/>
      <c r="CY816" s="74"/>
      <c r="CZ816" s="74"/>
      <c r="DA816" s="75"/>
      <c r="DB816" s="74"/>
      <c r="DC816" s="74"/>
      <c r="DD816" s="74"/>
      <c r="DE816" s="74"/>
      <c r="DF816" s="74"/>
      <c r="DG816" s="74"/>
      <c r="DH816" s="74"/>
      <c r="DI816" s="74"/>
      <c r="DJ816" s="74"/>
      <c r="DK816" s="74"/>
      <c r="DL816" s="74"/>
      <c r="DM816" s="74"/>
      <c r="DN816" s="74"/>
      <c r="DO816" s="74"/>
      <c r="DP816" s="74"/>
      <c r="DQ816" s="74"/>
      <c r="DR816" s="74"/>
      <c r="DS816" s="74"/>
      <c r="DT816" s="74"/>
      <c r="DU816" s="74"/>
      <c r="DV816" s="74"/>
      <c r="DW816" s="74"/>
    </row>
    <row r="817">
      <c r="A817" s="40" t="s">
        <v>55</v>
      </c>
      <c r="B817" s="41" t="s">
        <v>56</v>
      </c>
      <c r="C817" s="31" t="s">
        <v>2071</v>
      </c>
      <c r="D817" s="25" t="str">
        <f>IFERROR(__xludf.DUMMYFUNCTION("SPLIT(C817,"" "")"),"Hardwick,")</f>
        <v>Hardwick,</v>
      </c>
      <c r="E817" s="40" t="str">
        <f>IFERROR(__xludf.DUMMYFUNCTION("""COMPUTED_VALUE"""),"Herbert
2405")</f>
        <v>Herbert
2405</v>
      </c>
      <c r="F817" s="40" t="str">
        <f>IFERROR(__xludf.DUMMYFUNCTION("""COMPUTED_VALUE"""),"Grand")</f>
        <v>Grand</v>
      </c>
      <c r="G817" s="40" t="str">
        <f>IFERROR(__xludf.DUMMYFUNCTION("""COMPUTED_VALUE"""),"Boulevard
Kansas")</f>
        <v>Boulevard
Kansas</v>
      </c>
      <c r="H817" s="40" t="str">
        <f>IFERROR(__xludf.DUMMYFUNCTION("""COMPUTED_VALUE"""),"City,")</f>
        <v>City,</v>
      </c>
      <c r="I817" s="40" t="str">
        <f>IFERROR(__xludf.DUMMYFUNCTION("""COMPUTED_VALUE"""),"MO")</f>
        <v>MO</v>
      </c>
      <c r="J817" s="40">
        <f>IFERROR(__xludf.DUMMYFUNCTION("""COMPUTED_VALUE"""),64108.0)</f>
        <v>64108</v>
      </c>
      <c r="K817" s="40"/>
      <c r="L817" s="40"/>
      <c r="M817" s="40"/>
      <c r="N817" s="40"/>
      <c r="O817" s="40"/>
      <c r="P817" s="40"/>
      <c r="Q817" s="40"/>
      <c r="R817" s="40"/>
      <c r="S817" s="40"/>
      <c r="T817" s="40"/>
      <c r="U817" s="24" t="str">
        <f>IFERROR(__xludf.DUMMYFUNCTION("SPLIT(E817,""01234567890"")"),"Herbert
")</f>
        <v>Herbert
</v>
      </c>
      <c r="V817" s="24" t="str">
        <f>IFERROR(__xludf.DUMMYFUNCTION("SPLIT(D817,"","")"),"Hardwick")</f>
        <v>Hardwick</v>
      </c>
      <c r="W817" s="25" t="str">
        <f t="shared" si="1"/>
        <v>HERBERT
 HARDWICK</v>
      </c>
      <c r="X817" s="40"/>
      <c r="Y817" s="40"/>
      <c r="Z817" s="25" t="str">
        <f>IFERROR(__xludf.DUMMYFUNCTION("SPLIT(C817,""
"")"),"Hardwick, Herbert")</f>
        <v>Hardwick, Herbert</v>
      </c>
      <c r="AA817" s="40" t="str">
        <f>IFERROR(__xludf.DUMMYFUNCTION("""COMPUTED_VALUE"""),"2405 Grand Boulevard")</f>
        <v>2405 Grand Boulevard</v>
      </c>
      <c r="AB817" s="40" t="str">
        <f>IFERROR(__xludf.DUMMYFUNCTION("""COMPUTED_VALUE"""),"Kansas City, MO 64108")</f>
        <v>Kansas City, MO 64108</v>
      </c>
      <c r="AC817" s="31" t="s">
        <v>2072</v>
      </c>
      <c r="AD817" s="40"/>
      <c r="AE817" s="40"/>
      <c r="AF817" s="40"/>
      <c r="AG817" s="40" t="s">
        <v>60</v>
      </c>
      <c r="AH817" s="42">
        <v>2481.0</v>
      </c>
      <c r="AI817" s="40" t="s">
        <v>68</v>
      </c>
      <c r="AJ817" s="27">
        <v>1000.0</v>
      </c>
      <c r="AK817" s="31" t="s">
        <v>25</v>
      </c>
      <c r="AL817" s="43">
        <v>44861.0</v>
      </c>
      <c r="AM817" s="44">
        <v>44937.81995370371</v>
      </c>
      <c r="AN817" s="30">
        <v>2.0</v>
      </c>
      <c r="AO817" s="40"/>
      <c r="AP817" s="40"/>
      <c r="AQ817" s="40"/>
      <c r="AR817" s="40"/>
      <c r="AS817" s="40"/>
      <c r="AT817" s="47"/>
      <c r="AU817" s="40"/>
      <c r="AV817" s="46" t="str">
        <f>IFERROR(__xludf.DUMMYFUNCTION("""COMPUTED_VALUE"""),"Sifford")</f>
        <v>Sifford</v>
      </c>
      <c r="AW817" s="46">
        <f t="shared" si="7"/>
        <v>500</v>
      </c>
      <c r="AX817" s="47">
        <f t="shared" ref="AX817:BQ817" si="2562">SUMIFS($AJ:$AJ,$V:$V,$AV817,$AK:$AK,AX$2)</f>
        <v>0</v>
      </c>
      <c r="AY817" s="48">
        <f t="shared" si="2562"/>
        <v>0</v>
      </c>
      <c r="AZ817" s="48">
        <f t="shared" si="2562"/>
        <v>500</v>
      </c>
      <c r="BA817" s="48">
        <f t="shared" si="2562"/>
        <v>0</v>
      </c>
      <c r="BB817" s="48">
        <f t="shared" si="2562"/>
        <v>0</v>
      </c>
      <c r="BC817" s="48">
        <f t="shared" si="2562"/>
        <v>0</v>
      </c>
      <c r="BD817" s="48">
        <f t="shared" si="2562"/>
        <v>0</v>
      </c>
      <c r="BE817" s="48">
        <f t="shared" si="2562"/>
        <v>0</v>
      </c>
      <c r="BF817" s="48">
        <f t="shared" si="2562"/>
        <v>0</v>
      </c>
      <c r="BG817" s="48">
        <f t="shared" si="2562"/>
        <v>0</v>
      </c>
      <c r="BH817" s="48">
        <f t="shared" si="2562"/>
        <v>0</v>
      </c>
      <c r="BI817" s="48">
        <f t="shared" si="2562"/>
        <v>0</v>
      </c>
      <c r="BJ817" s="48">
        <f t="shared" si="2562"/>
        <v>0</v>
      </c>
      <c r="BK817" s="48">
        <f t="shared" si="2562"/>
        <v>0</v>
      </c>
      <c r="BL817" s="48">
        <f t="shared" si="2562"/>
        <v>0</v>
      </c>
      <c r="BM817" s="48">
        <f t="shared" si="2562"/>
        <v>0</v>
      </c>
      <c r="BN817" s="48">
        <f t="shared" si="2562"/>
        <v>0</v>
      </c>
      <c r="BO817" s="48">
        <f t="shared" si="2562"/>
        <v>0</v>
      </c>
      <c r="BP817" s="48">
        <f t="shared" si="2562"/>
        <v>0</v>
      </c>
      <c r="BQ817" s="48">
        <f t="shared" si="2562"/>
        <v>0</v>
      </c>
      <c r="BR817" s="36">
        <f t="shared" si="9"/>
        <v>0</v>
      </c>
      <c r="BS817" s="38">
        <f t="shared" si="10"/>
        <v>1</v>
      </c>
      <c r="BT817" s="49">
        <f t="shared" si="11"/>
        <v>0</v>
      </c>
      <c r="BU817" s="38">
        <f t="shared" si="12"/>
        <v>1000</v>
      </c>
      <c r="BV817" s="46" t="str">
        <f>IFERROR(__xludf.DUMMYFUNCTION("""COMPUTED_VALUE"""),"Sifford")</f>
        <v>Sifford</v>
      </c>
      <c r="BW817" s="46">
        <f t="shared" si="13"/>
        <v>500</v>
      </c>
      <c r="BX817" s="47">
        <f t="shared" ref="BX817:CA817" si="2563">AX817-$BU817</f>
        <v>-1000</v>
      </c>
      <c r="BY817" s="47">
        <f t="shared" si="2563"/>
        <v>-1000</v>
      </c>
      <c r="BZ817" s="47">
        <f t="shared" si="2563"/>
        <v>-500</v>
      </c>
      <c r="CA817" s="47">
        <f t="shared" si="2563"/>
        <v>-1000</v>
      </c>
      <c r="CB817" s="47">
        <f t="shared" si="15"/>
        <v>-10000</v>
      </c>
      <c r="CC817" s="47">
        <f t="shared" ref="CC817:CQ817" si="2564">BC817-$BU817</f>
        <v>-1000</v>
      </c>
      <c r="CD817" s="47">
        <f t="shared" si="2564"/>
        <v>-1000</v>
      </c>
      <c r="CE817" s="47">
        <f t="shared" si="2564"/>
        <v>-1000</v>
      </c>
      <c r="CF817" s="47">
        <f t="shared" si="2564"/>
        <v>-1000</v>
      </c>
      <c r="CG817" s="47">
        <f t="shared" si="2564"/>
        <v>-1000</v>
      </c>
      <c r="CH817" s="47">
        <f t="shared" si="2564"/>
        <v>-1000</v>
      </c>
      <c r="CI817" s="47">
        <f t="shared" si="2564"/>
        <v>-1000</v>
      </c>
      <c r="CJ817" s="47">
        <f t="shared" si="2564"/>
        <v>-1000</v>
      </c>
      <c r="CK817" s="47">
        <f t="shared" si="2564"/>
        <v>-1000</v>
      </c>
      <c r="CL817" s="47">
        <f t="shared" si="2564"/>
        <v>-1000</v>
      </c>
      <c r="CM817" s="47">
        <f t="shared" si="2564"/>
        <v>-1000</v>
      </c>
      <c r="CN817" s="47">
        <f t="shared" si="2564"/>
        <v>-1000</v>
      </c>
      <c r="CO817" s="47">
        <f t="shared" si="2564"/>
        <v>-1000</v>
      </c>
      <c r="CP817" s="47">
        <f t="shared" si="2564"/>
        <v>-1000</v>
      </c>
      <c r="CQ817" s="47">
        <f t="shared" si="2564"/>
        <v>-1000</v>
      </c>
      <c r="CR817" s="47"/>
      <c r="CS817" s="47"/>
      <c r="CT817" s="47"/>
      <c r="CU817" s="74"/>
      <c r="CV817" s="74"/>
      <c r="CW817" s="74" t="str">
        <f>IFERROR(__xludf.DUMMYFUNCTION("IF(REGEXMATCH(UPPER(CU817), ""DALLAS""),,CU817)"),"")</f>
        <v/>
      </c>
      <c r="CX817" s="74"/>
      <c r="CY817" s="74"/>
      <c r="CZ817" s="74"/>
      <c r="DA817" s="75"/>
      <c r="DB817" s="74"/>
      <c r="DC817" s="74"/>
      <c r="DD817" s="74"/>
      <c r="DE817" s="74"/>
      <c r="DF817" s="74"/>
      <c r="DG817" s="74"/>
      <c r="DH817" s="74"/>
      <c r="DI817" s="74"/>
      <c r="DJ817" s="74"/>
      <c r="DK817" s="74"/>
      <c r="DL817" s="74"/>
      <c r="DM817" s="74"/>
      <c r="DN817" s="74"/>
      <c r="DO817" s="74"/>
      <c r="DP817" s="74"/>
      <c r="DQ817" s="74"/>
      <c r="DR817" s="74"/>
      <c r="DS817" s="74"/>
      <c r="DT817" s="74"/>
      <c r="DU817" s="74"/>
      <c r="DV817" s="74"/>
      <c r="DW817" s="74"/>
    </row>
    <row r="818">
      <c r="A818" s="22" t="s">
        <v>55</v>
      </c>
      <c r="B818" s="23" t="s">
        <v>56</v>
      </c>
      <c r="C818" s="31" t="s">
        <v>2073</v>
      </c>
      <c r="D818" s="25" t="str">
        <f>IFERROR(__xludf.DUMMYFUNCTION("SPLIT(C818,"" "")"),"Locke")</f>
        <v>Locke</v>
      </c>
      <c r="E818" s="22" t="str">
        <f>IFERROR(__xludf.DUMMYFUNCTION("""COMPUTED_VALUE"""),"Lord")</f>
        <v>Lord</v>
      </c>
      <c r="F818" s="22" t="str">
        <f>IFERROR(__xludf.DUMMYFUNCTION("""COMPUTED_VALUE"""),"LLP")</f>
        <v>LLP</v>
      </c>
      <c r="G818" s="22" t="str">
        <f>IFERROR(__xludf.DUMMYFUNCTION("""COMPUTED_VALUE"""),"PAC
2200")</f>
        <v>PAC
2200</v>
      </c>
      <c r="H818" s="22" t="str">
        <f>IFERROR(__xludf.DUMMYFUNCTION("""COMPUTED_VALUE"""),"Ross")</f>
        <v>Ross</v>
      </c>
      <c r="I818" s="22" t="str">
        <f>IFERROR(__xludf.DUMMYFUNCTION("""COMPUTED_VALUE"""),"Ave
Dallas,")</f>
        <v>Ave
Dallas,</v>
      </c>
      <c r="J818" s="22" t="str">
        <f>IFERROR(__xludf.DUMMYFUNCTION("""COMPUTED_VALUE"""),"TX")</f>
        <v>TX</v>
      </c>
      <c r="K818" s="22">
        <f>IFERROR(__xludf.DUMMYFUNCTION("""COMPUTED_VALUE"""),75201.0)</f>
        <v>75201</v>
      </c>
      <c r="L818" s="22"/>
      <c r="M818" s="22"/>
      <c r="N818" s="22"/>
      <c r="O818" s="22"/>
      <c r="P818" s="22"/>
      <c r="Q818" s="22"/>
      <c r="R818" s="22"/>
      <c r="S818" s="22"/>
      <c r="T818" s="22"/>
      <c r="U818" s="24" t="str">
        <f>IFERROR(__xludf.DUMMYFUNCTION("SPLIT(E818,""01234567890"")"),"Lord")</f>
        <v>Lord</v>
      </c>
      <c r="V818" s="24" t="str">
        <f>IFERROR(__xludf.DUMMYFUNCTION("SPLIT(D818,"","")"),"Locke")</f>
        <v>Locke</v>
      </c>
      <c r="W818" s="25" t="str">
        <f t="shared" si="1"/>
        <v>LORD LOCKE</v>
      </c>
      <c r="X818" s="22"/>
      <c r="Y818" s="22"/>
      <c r="Z818" s="25" t="str">
        <f>IFERROR(__xludf.DUMMYFUNCTION("SPLIT(C818,""
"")"),"Locke Lord LLP PAC")</f>
        <v>Locke Lord LLP PAC</v>
      </c>
      <c r="AA818" s="22" t="str">
        <f>IFERROR(__xludf.DUMMYFUNCTION("""COMPUTED_VALUE"""),"2200 Ross Ave")</f>
        <v>2200 Ross Ave</v>
      </c>
      <c r="AB818" s="22" t="str">
        <f>IFERROR(__xludf.DUMMYFUNCTION("""COMPUTED_VALUE"""),"Dallas, TX 75201")</f>
        <v>Dallas, TX 75201</v>
      </c>
      <c r="AC818" s="31" t="s">
        <v>2074</v>
      </c>
      <c r="AD818" s="22"/>
      <c r="AE818" s="22"/>
      <c r="AF818" s="22"/>
      <c r="AG818" s="22" t="s">
        <v>60</v>
      </c>
      <c r="AH818" s="54">
        <v>2481.0</v>
      </c>
      <c r="AI818" s="22" t="s">
        <v>68</v>
      </c>
      <c r="AJ818" s="27">
        <v>10000.0</v>
      </c>
      <c r="AK818" s="31" t="s">
        <v>25</v>
      </c>
      <c r="AL818" s="28">
        <v>44851.0</v>
      </c>
      <c r="AM818" s="29">
        <v>44937.81995370371</v>
      </c>
      <c r="AN818" s="30">
        <v>2.0</v>
      </c>
      <c r="AO818" s="22"/>
      <c r="AP818" s="22"/>
      <c r="AQ818" s="22"/>
      <c r="AR818" s="22"/>
      <c r="AS818" s="22"/>
      <c r="AT818" s="70"/>
      <c r="AU818" s="22"/>
      <c r="AV818" s="57" t="str">
        <f>IFERROR(__xludf.DUMMYFUNCTION("""COMPUTED_VALUE"""),"Hebeler")</f>
        <v>Hebeler</v>
      </c>
      <c r="AW818" s="46">
        <f t="shared" si="7"/>
        <v>100</v>
      </c>
      <c r="AX818" s="47">
        <f t="shared" ref="AX818:BQ818" si="2565">SUMIFS($AJ:$AJ,$V:$V,$AV818,$AK:$AK,AX$2)</f>
        <v>0</v>
      </c>
      <c r="AY818" s="48">
        <f t="shared" si="2565"/>
        <v>0</v>
      </c>
      <c r="AZ818" s="48">
        <f t="shared" si="2565"/>
        <v>100</v>
      </c>
      <c r="BA818" s="48">
        <f t="shared" si="2565"/>
        <v>0</v>
      </c>
      <c r="BB818" s="48">
        <f t="shared" si="2565"/>
        <v>0</v>
      </c>
      <c r="BC818" s="48">
        <f t="shared" si="2565"/>
        <v>0</v>
      </c>
      <c r="BD818" s="48">
        <f t="shared" si="2565"/>
        <v>0</v>
      </c>
      <c r="BE818" s="48">
        <f t="shared" si="2565"/>
        <v>0</v>
      </c>
      <c r="BF818" s="48">
        <f t="shared" si="2565"/>
        <v>0</v>
      </c>
      <c r="BG818" s="48">
        <f t="shared" si="2565"/>
        <v>0</v>
      </c>
      <c r="BH818" s="48">
        <f t="shared" si="2565"/>
        <v>0</v>
      </c>
      <c r="BI818" s="48">
        <f t="shared" si="2565"/>
        <v>0</v>
      </c>
      <c r="BJ818" s="48">
        <f t="shared" si="2565"/>
        <v>0</v>
      </c>
      <c r="BK818" s="48">
        <f t="shared" si="2565"/>
        <v>0</v>
      </c>
      <c r="BL818" s="48">
        <f t="shared" si="2565"/>
        <v>0</v>
      </c>
      <c r="BM818" s="48">
        <f t="shared" si="2565"/>
        <v>0</v>
      </c>
      <c r="BN818" s="48">
        <f t="shared" si="2565"/>
        <v>0</v>
      </c>
      <c r="BO818" s="48">
        <f t="shared" si="2565"/>
        <v>0</v>
      </c>
      <c r="BP818" s="48">
        <f t="shared" si="2565"/>
        <v>0</v>
      </c>
      <c r="BQ818" s="48">
        <f t="shared" si="2565"/>
        <v>0</v>
      </c>
      <c r="BR818" s="36">
        <f t="shared" si="9"/>
        <v>0</v>
      </c>
      <c r="BS818" s="38">
        <f t="shared" si="10"/>
        <v>1</v>
      </c>
      <c r="BT818" s="49">
        <f t="shared" si="11"/>
        <v>0</v>
      </c>
      <c r="BU818" s="38">
        <f t="shared" si="12"/>
        <v>1000</v>
      </c>
      <c r="BV818" s="57" t="str">
        <f>IFERROR(__xludf.DUMMYFUNCTION("""COMPUTED_VALUE"""),"Hebeler")</f>
        <v>Hebeler</v>
      </c>
      <c r="BW818" s="46">
        <f t="shared" si="13"/>
        <v>100</v>
      </c>
      <c r="BX818" s="47">
        <f t="shared" ref="BX818:CA818" si="2566">AX818-$BU818</f>
        <v>-1000</v>
      </c>
      <c r="BY818" s="47">
        <f t="shared" si="2566"/>
        <v>-1000</v>
      </c>
      <c r="BZ818" s="47">
        <f t="shared" si="2566"/>
        <v>-900</v>
      </c>
      <c r="CA818" s="47">
        <f t="shared" si="2566"/>
        <v>-1000</v>
      </c>
      <c r="CB818" s="47">
        <f t="shared" si="15"/>
        <v>-10000</v>
      </c>
      <c r="CC818" s="47">
        <f t="shared" ref="CC818:CQ818" si="2567">BC818-$BU818</f>
        <v>-1000</v>
      </c>
      <c r="CD818" s="47">
        <f t="shared" si="2567"/>
        <v>-1000</v>
      </c>
      <c r="CE818" s="47">
        <f t="shared" si="2567"/>
        <v>-1000</v>
      </c>
      <c r="CF818" s="47">
        <f t="shared" si="2567"/>
        <v>-1000</v>
      </c>
      <c r="CG818" s="47">
        <f t="shared" si="2567"/>
        <v>-1000</v>
      </c>
      <c r="CH818" s="47">
        <f t="shared" si="2567"/>
        <v>-1000</v>
      </c>
      <c r="CI818" s="47">
        <f t="shared" si="2567"/>
        <v>-1000</v>
      </c>
      <c r="CJ818" s="47">
        <f t="shared" si="2567"/>
        <v>-1000</v>
      </c>
      <c r="CK818" s="47">
        <f t="shared" si="2567"/>
        <v>-1000</v>
      </c>
      <c r="CL818" s="47">
        <f t="shared" si="2567"/>
        <v>-1000</v>
      </c>
      <c r="CM818" s="47">
        <f t="shared" si="2567"/>
        <v>-1000</v>
      </c>
      <c r="CN818" s="47">
        <f t="shared" si="2567"/>
        <v>-1000</v>
      </c>
      <c r="CO818" s="47">
        <f t="shared" si="2567"/>
        <v>-1000</v>
      </c>
      <c r="CP818" s="47">
        <f t="shared" si="2567"/>
        <v>-1000</v>
      </c>
      <c r="CQ818" s="47">
        <f t="shared" si="2567"/>
        <v>-1000</v>
      </c>
      <c r="CR818" s="47"/>
      <c r="CS818" s="47"/>
      <c r="CT818" s="47"/>
      <c r="CU818" s="74"/>
      <c r="CV818" s="74"/>
      <c r="CW818" s="74" t="str">
        <f>IFERROR(__xludf.DUMMYFUNCTION("IF(REGEXMATCH(UPPER(CU818), ""DALLAS""),,CU818)"),"")</f>
        <v/>
      </c>
      <c r="CX818" s="74"/>
      <c r="CY818" s="74"/>
      <c r="CZ818" s="74"/>
      <c r="DA818" s="75"/>
      <c r="DB818" s="74"/>
      <c r="DC818" s="74"/>
      <c r="DD818" s="74"/>
      <c r="DE818" s="74"/>
      <c r="DF818" s="74"/>
      <c r="DG818" s="74"/>
      <c r="DH818" s="74"/>
      <c r="DI818" s="74"/>
      <c r="DJ818" s="74"/>
      <c r="DK818" s="74"/>
      <c r="DL818" s="74"/>
      <c r="DM818" s="74"/>
      <c r="DN818" s="74"/>
      <c r="DO818" s="74"/>
      <c r="DP818" s="74"/>
      <c r="DQ818" s="74"/>
      <c r="DR818" s="74"/>
      <c r="DS818" s="74"/>
      <c r="DT818" s="74"/>
      <c r="DU818" s="74"/>
      <c r="DV818" s="74"/>
      <c r="DW818" s="74"/>
    </row>
    <row r="819">
      <c r="A819" s="40" t="s">
        <v>55</v>
      </c>
      <c r="B819" s="41" t="s">
        <v>56</v>
      </c>
      <c r="C819" s="31" t="s">
        <v>166</v>
      </c>
      <c r="D819" s="25" t="str">
        <f>IFERROR(__xludf.DUMMYFUNCTION("SPLIT(C819,"" "")"),"American")</f>
        <v>American</v>
      </c>
      <c r="E819" s="40" t="str">
        <f>IFERROR(__xludf.DUMMYFUNCTION("""COMPUTED_VALUE"""),"Airlines")</f>
        <v>Airlines</v>
      </c>
      <c r="F819" s="40" t="str">
        <f>IFERROR(__xludf.DUMMYFUNCTION("""COMPUTED_VALUE"""),"PAC
1200")</f>
        <v>PAC
1200</v>
      </c>
      <c r="G819" s="40" t="str">
        <f>IFERROR(__xludf.DUMMYFUNCTION("""COMPUTED_VALUE"""),"17th")</f>
        <v>17th</v>
      </c>
      <c r="H819" s="40" t="str">
        <f>IFERROR(__xludf.DUMMYFUNCTION("""COMPUTED_VALUE"""),"St")</f>
        <v>St</v>
      </c>
      <c r="I819" s="40" t="str">
        <f>IFERROR(__xludf.DUMMYFUNCTION("""COMPUTED_VALUE"""),"NW
Washington,")</f>
        <v>NW
Washington,</v>
      </c>
      <c r="J819" s="40" t="str">
        <f>IFERROR(__xludf.DUMMYFUNCTION("""COMPUTED_VALUE"""),"DC")</f>
        <v>DC</v>
      </c>
      <c r="K819" s="40">
        <f>IFERROR(__xludf.DUMMYFUNCTION("""COMPUTED_VALUE"""),20036.0)</f>
        <v>20036</v>
      </c>
      <c r="L819" s="40"/>
      <c r="M819" s="40"/>
      <c r="N819" s="40"/>
      <c r="O819" s="40"/>
      <c r="P819" s="40"/>
      <c r="Q819" s="40"/>
      <c r="R819" s="40"/>
      <c r="S819" s="40"/>
      <c r="T819" s="40"/>
      <c r="U819" s="24" t="str">
        <f>IFERROR(__xludf.DUMMYFUNCTION("SPLIT(E819,""01234567890"")"),"Airlines")</f>
        <v>Airlines</v>
      </c>
      <c r="V819" s="24" t="str">
        <f>IFERROR(__xludf.DUMMYFUNCTION("SPLIT(D819,"","")"),"American")</f>
        <v>American</v>
      </c>
      <c r="W819" s="25" t="str">
        <f t="shared" si="1"/>
        <v>AIRLINES AMERICAN</v>
      </c>
      <c r="X819" s="40"/>
      <c r="Y819" s="40"/>
      <c r="Z819" s="25" t="str">
        <f>IFERROR(__xludf.DUMMYFUNCTION("SPLIT(C819,""
"")"),"American Airlines PAC")</f>
        <v>American Airlines PAC</v>
      </c>
      <c r="AA819" s="40" t="str">
        <f>IFERROR(__xludf.DUMMYFUNCTION("""COMPUTED_VALUE"""),"1200 17th St NW")</f>
        <v>1200 17th St NW</v>
      </c>
      <c r="AB819" s="40" t="str">
        <f>IFERROR(__xludf.DUMMYFUNCTION("""COMPUTED_VALUE"""),"Washington, DC 20036")</f>
        <v>Washington, DC 20036</v>
      </c>
      <c r="AC819" s="31" t="s">
        <v>168</v>
      </c>
      <c r="AD819" s="40"/>
      <c r="AE819" s="40"/>
      <c r="AF819" s="40"/>
      <c r="AG819" s="40" t="s">
        <v>60</v>
      </c>
      <c r="AH819" s="42">
        <v>2481.0</v>
      </c>
      <c r="AI819" s="40" t="s">
        <v>68</v>
      </c>
      <c r="AJ819" s="27">
        <v>2500.0</v>
      </c>
      <c r="AK819" s="31" t="s">
        <v>25</v>
      </c>
      <c r="AL819" s="43">
        <v>44826.0</v>
      </c>
      <c r="AM819" s="44">
        <v>44937.81995370371</v>
      </c>
      <c r="AN819" s="30">
        <v>2.0</v>
      </c>
      <c r="AO819" s="40"/>
      <c r="AP819" s="40"/>
      <c r="AQ819" s="40"/>
      <c r="AR819" s="40"/>
      <c r="AS819" s="40"/>
      <c r="AT819" s="47"/>
      <c r="AU819" s="40"/>
      <c r="AV819" s="46" t="str">
        <f>IFERROR(__xludf.DUMMYFUNCTION("""COMPUTED_VALUE"""),"Brundage")</f>
        <v>Brundage</v>
      </c>
      <c r="AW819" s="46">
        <f t="shared" si="7"/>
        <v>50</v>
      </c>
      <c r="AX819" s="47">
        <f t="shared" ref="AX819:BQ819" si="2568">SUMIFS($AJ:$AJ,$V:$V,$AV819,$AK:$AK,AX$2)</f>
        <v>0</v>
      </c>
      <c r="AY819" s="48">
        <f t="shared" si="2568"/>
        <v>0</v>
      </c>
      <c r="AZ819" s="48">
        <f t="shared" si="2568"/>
        <v>50</v>
      </c>
      <c r="BA819" s="48">
        <f t="shared" si="2568"/>
        <v>0</v>
      </c>
      <c r="BB819" s="48">
        <f t="shared" si="2568"/>
        <v>0</v>
      </c>
      <c r="BC819" s="48">
        <f t="shared" si="2568"/>
        <v>0</v>
      </c>
      <c r="BD819" s="48">
        <f t="shared" si="2568"/>
        <v>0</v>
      </c>
      <c r="BE819" s="48">
        <f t="shared" si="2568"/>
        <v>0</v>
      </c>
      <c r="BF819" s="48">
        <f t="shared" si="2568"/>
        <v>0</v>
      </c>
      <c r="BG819" s="48">
        <f t="shared" si="2568"/>
        <v>0</v>
      </c>
      <c r="BH819" s="48">
        <f t="shared" si="2568"/>
        <v>0</v>
      </c>
      <c r="BI819" s="48">
        <f t="shared" si="2568"/>
        <v>0</v>
      </c>
      <c r="BJ819" s="48">
        <f t="shared" si="2568"/>
        <v>0</v>
      </c>
      <c r="BK819" s="48">
        <f t="shared" si="2568"/>
        <v>0</v>
      </c>
      <c r="BL819" s="48">
        <f t="shared" si="2568"/>
        <v>0</v>
      </c>
      <c r="BM819" s="48">
        <f t="shared" si="2568"/>
        <v>0</v>
      </c>
      <c r="BN819" s="48">
        <f t="shared" si="2568"/>
        <v>0</v>
      </c>
      <c r="BO819" s="48">
        <f t="shared" si="2568"/>
        <v>0</v>
      </c>
      <c r="BP819" s="48">
        <f t="shared" si="2568"/>
        <v>0</v>
      </c>
      <c r="BQ819" s="48">
        <f t="shared" si="2568"/>
        <v>0</v>
      </c>
      <c r="BR819" s="36">
        <f t="shared" si="9"/>
        <v>0</v>
      </c>
      <c r="BS819" s="38">
        <f t="shared" si="10"/>
        <v>1</v>
      </c>
      <c r="BT819" s="49">
        <f t="shared" si="11"/>
        <v>0</v>
      </c>
      <c r="BU819" s="38">
        <f t="shared" si="12"/>
        <v>1000</v>
      </c>
      <c r="BV819" s="46" t="str">
        <f>IFERROR(__xludf.DUMMYFUNCTION("""COMPUTED_VALUE"""),"Brundage")</f>
        <v>Brundage</v>
      </c>
      <c r="BW819" s="46">
        <f t="shared" si="13"/>
        <v>50</v>
      </c>
      <c r="BX819" s="47">
        <f t="shared" ref="BX819:CA819" si="2569">AX819-$BU819</f>
        <v>-1000</v>
      </c>
      <c r="BY819" s="47">
        <f t="shared" si="2569"/>
        <v>-1000</v>
      </c>
      <c r="BZ819" s="47">
        <f t="shared" si="2569"/>
        <v>-950</v>
      </c>
      <c r="CA819" s="47">
        <f t="shared" si="2569"/>
        <v>-1000</v>
      </c>
      <c r="CB819" s="47">
        <f t="shared" si="15"/>
        <v>-10000</v>
      </c>
      <c r="CC819" s="47">
        <f t="shared" ref="CC819:CQ819" si="2570">BC819-$BU819</f>
        <v>-1000</v>
      </c>
      <c r="CD819" s="47">
        <f t="shared" si="2570"/>
        <v>-1000</v>
      </c>
      <c r="CE819" s="47">
        <f t="shared" si="2570"/>
        <v>-1000</v>
      </c>
      <c r="CF819" s="47">
        <f t="shared" si="2570"/>
        <v>-1000</v>
      </c>
      <c r="CG819" s="47">
        <f t="shared" si="2570"/>
        <v>-1000</v>
      </c>
      <c r="CH819" s="47">
        <f t="shared" si="2570"/>
        <v>-1000</v>
      </c>
      <c r="CI819" s="47">
        <f t="shared" si="2570"/>
        <v>-1000</v>
      </c>
      <c r="CJ819" s="47">
        <f t="shared" si="2570"/>
        <v>-1000</v>
      </c>
      <c r="CK819" s="47">
        <f t="shared" si="2570"/>
        <v>-1000</v>
      </c>
      <c r="CL819" s="47">
        <f t="shared" si="2570"/>
        <v>-1000</v>
      </c>
      <c r="CM819" s="47">
        <f t="shared" si="2570"/>
        <v>-1000</v>
      </c>
      <c r="CN819" s="47">
        <f t="shared" si="2570"/>
        <v>-1000</v>
      </c>
      <c r="CO819" s="47">
        <f t="shared" si="2570"/>
        <v>-1000</v>
      </c>
      <c r="CP819" s="47">
        <f t="shared" si="2570"/>
        <v>-1000</v>
      </c>
      <c r="CQ819" s="47">
        <f t="shared" si="2570"/>
        <v>-1000</v>
      </c>
      <c r="CR819" s="47"/>
      <c r="CS819" s="47"/>
      <c r="CT819" s="47"/>
      <c r="CU819" s="74"/>
      <c r="CV819" s="74"/>
      <c r="CW819" s="74" t="str">
        <f>IFERROR(__xludf.DUMMYFUNCTION("IF(REGEXMATCH(UPPER(CU819), ""DALLAS""),,CU819)"),"")</f>
        <v/>
      </c>
      <c r="CX819" s="74"/>
      <c r="CY819" s="74"/>
      <c r="CZ819" s="74"/>
      <c r="DA819" s="75"/>
      <c r="DB819" s="74"/>
      <c r="DC819" s="74"/>
      <c r="DD819" s="74"/>
      <c r="DE819" s="74"/>
      <c r="DF819" s="74"/>
      <c r="DG819" s="74"/>
      <c r="DH819" s="74"/>
      <c r="DI819" s="74"/>
      <c r="DJ819" s="74"/>
      <c r="DK819" s="74"/>
      <c r="DL819" s="74"/>
      <c r="DM819" s="74"/>
      <c r="DN819" s="74"/>
      <c r="DO819" s="74"/>
      <c r="DP819" s="74"/>
      <c r="DQ819" s="74"/>
      <c r="DR819" s="74"/>
      <c r="DS819" s="74"/>
      <c r="DT819" s="74"/>
      <c r="DU819" s="74"/>
      <c r="DV819" s="74"/>
      <c r="DW819" s="74"/>
    </row>
    <row r="820">
      <c r="A820" s="22" t="s">
        <v>55</v>
      </c>
      <c r="B820" s="23" t="s">
        <v>56</v>
      </c>
      <c r="C820" s="31" t="s">
        <v>2075</v>
      </c>
      <c r="D820" s="25" t="str">
        <f>IFERROR(__xludf.DUMMYFUNCTION("SPLIT(C820,"" "")"),"Hunton")</f>
        <v>Hunton</v>
      </c>
      <c r="E820" s="22" t="str">
        <f>IFERROR(__xludf.DUMMYFUNCTION("""COMPUTED_VALUE"""),"Andrews")</f>
        <v>Andrews</v>
      </c>
      <c r="F820" s="22" t="str">
        <f>IFERROR(__xludf.DUMMYFUNCTION("""COMPUTED_VALUE"""),"Kurth")</f>
        <v>Kurth</v>
      </c>
      <c r="G820" s="22" t="str">
        <f>IFERROR(__xludf.DUMMYFUNCTION("""COMPUTED_VALUE"""),"PAC
600")</f>
        <v>PAC
600</v>
      </c>
      <c r="H820" s="22" t="str">
        <f>IFERROR(__xludf.DUMMYFUNCTION("""COMPUTED_VALUE"""),"Travis
Houston,")</f>
        <v>Travis
Houston,</v>
      </c>
      <c r="I820" s="22" t="str">
        <f>IFERROR(__xludf.DUMMYFUNCTION("""COMPUTED_VALUE"""),"TX")</f>
        <v>TX</v>
      </c>
      <c r="J820" s="22">
        <f>IFERROR(__xludf.DUMMYFUNCTION("""COMPUTED_VALUE"""),77002.0)</f>
        <v>77002</v>
      </c>
      <c r="K820" s="22"/>
      <c r="L820" s="22"/>
      <c r="M820" s="22"/>
      <c r="N820" s="22"/>
      <c r="O820" s="22"/>
      <c r="P820" s="22"/>
      <c r="Q820" s="22"/>
      <c r="R820" s="22"/>
      <c r="S820" s="22"/>
      <c r="T820" s="22"/>
      <c r="U820" s="24" t="str">
        <f>IFERROR(__xludf.DUMMYFUNCTION("SPLIT(E820,""01234567890"")"),"Andrews")</f>
        <v>Andrews</v>
      </c>
      <c r="V820" s="24" t="str">
        <f>IFERROR(__xludf.DUMMYFUNCTION("SPLIT(D820,"","")"),"Hunton")</f>
        <v>Hunton</v>
      </c>
      <c r="W820" s="25" t="str">
        <f t="shared" si="1"/>
        <v>ANDREWS HUNTON</v>
      </c>
      <c r="X820" s="22"/>
      <c r="Y820" s="22"/>
      <c r="Z820" s="25" t="str">
        <f>IFERROR(__xludf.DUMMYFUNCTION("SPLIT(C820,""
"")"),"Hunton Andrews Kurth PAC")</f>
        <v>Hunton Andrews Kurth PAC</v>
      </c>
      <c r="AA820" s="22" t="str">
        <f>IFERROR(__xludf.DUMMYFUNCTION("""COMPUTED_VALUE"""),"600 Travis")</f>
        <v>600 Travis</v>
      </c>
      <c r="AB820" s="22" t="str">
        <f>IFERROR(__xludf.DUMMYFUNCTION("""COMPUTED_VALUE"""),"Houston, TX 77002")</f>
        <v>Houston, TX 77002</v>
      </c>
      <c r="AC820" s="31" t="s">
        <v>2076</v>
      </c>
      <c r="AD820" s="22"/>
      <c r="AE820" s="22"/>
      <c r="AF820" s="22"/>
      <c r="AG820" s="22" t="s">
        <v>60</v>
      </c>
      <c r="AH820" s="54">
        <v>2481.0</v>
      </c>
      <c r="AI820" s="22" t="s">
        <v>68</v>
      </c>
      <c r="AJ820" s="27">
        <v>10000.0</v>
      </c>
      <c r="AK820" s="31" t="s">
        <v>25</v>
      </c>
      <c r="AL820" s="28">
        <v>44841.0</v>
      </c>
      <c r="AM820" s="29">
        <v>44937.81995370371</v>
      </c>
      <c r="AN820" s="30">
        <v>2.0</v>
      </c>
      <c r="AO820" s="22"/>
      <c r="AP820" s="22"/>
      <c r="AQ820" s="22"/>
      <c r="AR820" s="22"/>
      <c r="AS820" s="22"/>
      <c r="AT820" s="70"/>
      <c r="AU820" s="22"/>
      <c r="AV820" s="57" t="str">
        <f>IFERROR(__xludf.DUMMYFUNCTION("""COMPUTED_VALUE"""),"Lamont")</f>
        <v>Lamont</v>
      </c>
      <c r="AW820" s="46">
        <f t="shared" si="7"/>
        <v>50</v>
      </c>
      <c r="AX820" s="47">
        <f t="shared" ref="AX820:BQ820" si="2571">SUMIFS($AJ:$AJ,$V:$V,$AV820,$AK:$AK,AX$2)</f>
        <v>0</v>
      </c>
      <c r="AY820" s="48">
        <f t="shared" si="2571"/>
        <v>0</v>
      </c>
      <c r="AZ820" s="48">
        <f t="shared" si="2571"/>
        <v>50</v>
      </c>
      <c r="BA820" s="48">
        <f t="shared" si="2571"/>
        <v>0</v>
      </c>
      <c r="BB820" s="48">
        <f t="shared" si="2571"/>
        <v>0</v>
      </c>
      <c r="BC820" s="48">
        <f t="shared" si="2571"/>
        <v>0</v>
      </c>
      <c r="BD820" s="48">
        <f t="shared" si="2571"/>
        <v>0</v>
      </c>
      <c r="BE820" s="48">
        <f t="shared" si="2571"/>
        <v>0</v>
      </c>
      <c r="BF820" s="48">
        <f t="shared" si="2571"/>
        <v>0</v>
      </c>
      <c r="BG820" s="48">
        <f t="shared" si="2571"/>
        <v>0</v>
      </c>
      <c r="BH820" s="48">
        <f t="shared" si="2571"/>
        <v>0</v>
      </c>
      <c r="BI820" s="48">
        <f t="shared" si="2571"/>
        <v>0</v>
      </c>
      <c r="BJ820" s="48">
        <f t="shared" si="2571"/>
        <v>0</v>
      </c>
      <c r="BK820" s="48">
        <f t="shared" si="2571"/>
        <v>0</v>
      </c>
      <c r="BL820" s="48">
        <f t="shared" si="2571"/>
        <v>0</v>
      </c>
      <c r="BM820" s="48">
        <f t="shared" si="2571"/>
        <v>0</v>
      </c>
      <c r="BN820" s="48">
        <f t="shared" si="2571"/>
        <v>0</v>
      </c>
      <c r="BO820" s="48">
        <f t="shared" si="2571"/>
        <v>0</v>
      </c>
      <c r="BP820" s="48">
        <f t="shared" si="2571"/>
        <v>0</v>
      </c>
      <c r="BQ820" s="48">
        <f t="shared" si="2571"/>
        <v>0</v>
      </c>
      <c r="BR820" s="36">
        <f t="shared" si="9"/>
        <v>0</v>
      </c>
      <c r="BS820" s="38">
        <f t="shared" si="10"/>
        <v>1</v>
      </c>
      <c r="BT820" s="49">
        <f t="shared" si="11"/>
        <v>0</v>
      </c>
      <c r="BU820" s="38">
        <f t="shared" si="12"/>
        <v>1000</v>
      </c>
      <c r="BV820" s="57" t="str">
        <f>IFERROR(__xludf.DUMMYFUNCTION("""COMPUTED_VALUE"""),"Lamont")</f>
        <v>Lamont</v>
      </c>
      <c r="BW820" s="46">
        <f t="shared" si="13"/>
        <v>50</v>
      </c>
      <c r="BX820" s="47">
        <f t="shared" ref="BX820:CA820" si="2572">AX820-$BU820</f>
        <v>-1000</v>
      </c>
      <c r="BY820" s="47">
        <f t="shared" si="2572"/>
        <v>-1000</v>
      </c>
      <c r="BZ820" s="47">
        <f t="shared" si="2572"/>
        <v>-950</v>
      </c>
      <c r="CA820" s="47">
        <f t="shared" si="2572"/>
        <v>-1000</v>
      </c>
      <c r="CB820" s="47">
        <f t="shared" si="15"/>
        <v>-10000</v>
      </c>
      <c r="CC820" s="47">
        <f t="shared" ref="CC820:CQ820" si="2573">BC820-$BU820</f>
        <v>-1000</v>
      </c>
      <c r="CD820" s="47">
        <f t="shared" si="2573"/>
        <v>-1000</v>
      </c>
      <c r="CE820" s="47">
        <f t="shared" si="2573"/>
        <v>-1000</v>
      </c>
      <c r="CF820" s="47">
        <f t="shared" si="2573"/>
        <v>-1000</v>
      </c>
      <c r="CG820" s="47">
        <f t="shared" si="2573"/>
        <v>-1000</v>
      </c>
      <c r="CH820" s="47">
        <f t="shared" si="2573"/>
        <v>-1000</v>
      </c>
      <c r="CI820" s="47">
        <f t="shared" si="2573"/>
        <v>-1000</v>
      </c>
      <c r="CJ820" s="47">
        <f t="shared" si="2573"/>
        <v>-1000</v>
      </c>
      <c r="CK820" s="47">
        <f t="shared" si="2573"/>
        <v>-1000</v>
      </c>
      <c r="CL820" s="47">
        <f t="shared" si="2573"/>
        <v>-1000</v>
      </c>
      <c r="CM820" s="47">
        <f t="shared" si="2573"/>
        <v>-1000</v>
      </c>
      <c r="CN820" s="47">
        <f t="shared" si="2573"/>
        <v>-1000</v>
      </c>
      <c r="CO820" s="47">
        <f t="shared" si="2573"/>
        <v>-1000</v>
      </c>
      <c r="CP820" s="47">
        <f t="shared" si="2573"/>
        <v>-1000</v>
      </c>
      <c r="CQ820" s="47">
        <f t="shared" si="2573"/>
        <v>-1000</v>
      </c>
      <c r="CR820" s="47"/>
      <c r="CS820" s="47"/>
      <c r="CT820" s="47"/>
      <c r="CU820" s="74"/>
      <c r="CV820" s="74"/>
      <c r="CW820" s="74" t="str">
        <f>IFERROR(__xludf.DUMMYFUNCTION("IF(REGEXMATCH(UPPER(CU820), ""DALLAS""),,CU820)"),"")</f>
        <v/>
      </c>
      <c r="CX820" s="74"/>
      <c r="CY820" s="74"/>
      <c r="CZ820" s="74"/>
      <c r="DA820" s="75"/>
      <c r="DB820" s="74"/>
      <c r="DC820" s="74"/>
      <c r="DD820" s="74"/>
      <c r="DE820" s="74"/>
      <c r="DF820" s="74"/>
      <c r="DG820" s="74"/>
      <c r="DH820" s="74"/>
      <c r="DI820" s="74"/>
      <c r="DJ820" s="74"/>
      <c r="DK820" s="74"/>
      <c r="DL820" s="74"/>
      <c r="DM820" s="74"/>
      <c r="DN820" s="74"/>
      <c r="DO820" s="74"/>
      <c r="DP820" s="74"/>
      <c r="DQ820" s="74"/>
      <c r="DR820" s="74"/>
      <c r="DS820" s="74"/>
      <c r="DT820" s="74"/>
      <c r="DU820" s="74"/>
      <c r="DV820" s="74"/>
      <c r="DW820" s="74"/>
    </row>
    <row r="821">
      <c r="A821" s="40" t="s">
        <v>55</v>
      </c>
      <c r="B821" s="41" t="s">
        <v>56</v>
      </c>
      <c r="C821" s="31" t="s">
        <v>2077</v>
      </c>
      <c r="D821" s="25" t="str">
        <f>IFERROR(__xludf.DUMMYFUNCTION("SPLIT(C821,"" "")"),"Madden,")</f>
        <v>Madden,</v>
      </c>
      <c r="E821" s="40" t="str">
        <f>IFERROR(__xludf.DUMMYFUNCTION("""COMPUTED_VALUE"""),"John
8080")</f>
        <v>John
8080</v>
      </c>
      <c r="F821" s="40" t="str">
        <f>IFERROR(__xludf.DUMMYFUNCTION("""COMPUTED_VALUE"""),"N")</f>
        <v>N</v>
      </c>
      <c r="G821" s="40" t="str">
        <f>IFERROR(__xludf.DUMMYFUNCTION("""COMPUTED_VALUE"""),"Central")</f>
        <v>Central</v>
      </c>
      <c r="H821" s="40" t="str">
        <f>IFERROR(__xludf.DUMMYFUNCTION("""COMPUTED_VALUE"""),"Expy
Dallas,")</f>
        <v>Expy
Dallas,</v>
      </c>
      <c r="I821" s="40" t="str">
        <f>IFERROR(__xludf.DUMMYFUNCTION("""COMPUTED_VALUE"""),"TX")</f>
        <v>TX</v>
      </c>
      <c r="J821" s="40">
        <f>IFERROR(__xludf.DUMMYFUNCTION("""COMPUTED_VALUE"""),75206.0)</f>
        <v>75206</v>
      </c>
      <c r="K821" s="40"/>
      <c r="L821" s="40"/>
      <c r="M821" s="40"/>
      <c r="N821" s="40"/>
      <c r="O821" s="40"/>
      <c r="P821" s="40"/>
      <c r="Q821" s="40"/>
      <c r="R821" s="40"/>
      <c r="S821" s="40"/>
      <c r="T821" s="40"/>
      <c r="U821" s="24" t="str">
        <f>IFERROR(__xludf.DUMMYFUNCTION("SPLIT(E821,""01234567890"")"),"John
")</f>
        <v>John
</v>
      </c>
      <c r="V821" s="24" t="str">
        <f>IFERROR(__xludf.DUMMYFUNCTION("SPLIT(D821,"","")"),"Madden")</f>
        <v>Madden</v>
      </c>
      <c r="W821" s="25" t="str">
        <f t="shared" si="1"/>
        <v>JOHN
 MADDEN</v>
      </c>
      <c r="X821" s="40"/>
      <c r="Y821" s="40"/>
      <c r="Z821" s="25" t="str">
        <f>IFERROR(__xludf.DUMMYFUNCTION("SPLIT(C821,""
"")"),"Madden, John")</f>
        <v>Madden, John</v>
      </c>
      <c r="AA821" s="40" t="str">
        <f>IFERROR(__xludf.DUMMYFUNCTION("""COMPUTED_VALUE"""),"8080 N Central Expy")</f>
        <v>8080 N Central Expy</v>
      </c>
      <c r="AB821" s="40" t="str">
        <f>IFERROR(__xludf.DUMMYFUNCTION("""COMPUTED_VALUE"""),"Dallas, TX 75206")</f>
        <v>Dallas, TX 75206</v>
      </c>
      <c r="AC821" s="31" t="s">
        <v>2078</v>
      </c>
      <c r="AD821" s="40"/>
      <c r="AE821" s="40"/>
      <c r="AF821" s="40"/>
      <c r="AG821" s="40" t="s">
        <v>60</v>
      </c>
      <c r="AH821" s="42">
        <v>2481.0</v>
      </c>
      <c r="AI821" s="40" t="s">
        <v>68</v>
      </c>
      <c r="AJ821" s="27">
        <v>350.0</v>
      </c>
      <c r="AK821" s="31" t="s">
        <v>25</v>
      </c>
      <c r="AL821" s="43">
        <v>44830.0</v>
      </c>
      <c r="AM821" s="44">
        <v>44937.81995370371</v>
      </c>
      <c r="AN821" s="30">
        <v>2.0</v>
      </c>
      <c r="AO821" s="40"/>
      <c r="AP821" s="40"/>
      <c r="AQ821" s="40"/>
      <c r="AR821" s="40"/>
      <c r="AS821" s="40"/>
      <c r="AT821" s="47"/>
      <c r="AU821" s="40"/>
      <c r="AV821" s="46" t="str">
        <f>IFERROR(__xludf.DUMMYFUNCTION("""COMPUTED_VALUE"""),"Laster")</f>
        <v>Laster</v>
      </c>
      <c r="AW821" s="46">
        <f t="shared" si="7"/>
        <v>1000</v>
      </c>
      <c r="AX821" s="47">
        <f t="shared" ref="AX821:BQ821" si="2574">SUMIFS($AJ:$AJ,$V:$V,$AV821,$AK:$AK,AX$2)</f>
        <v>0</v>
      </c>
      <c r="AY821" s="48">
        <f t="shared" si="2574"/>
        <v>0</v>
      </c>
      <c r="AZ821" s="48">
        <f t="shared" si="2574"/>
        <v>1000</v>
      </c>
      <c r="BA821" s="48">
        <f t="shared" si="2574"/>
        <v>0</v>
      </c>
      <c r="BB821" s="48">
        <f t="shared" si="2574"/>
        <v>0</v>
      </c>
      <c r="BC821" s="48">
        <f t="shared" si="2574"/>
        <v>0</v>
      </c>
      <c r="BD821" s="48">
        <f t="shared" si="2574"/>
        <v>0</v>
      </c>
      <c r="BE821" s="48">
        <f t="shared" si="2574"/>
        <v>0</v>
      </c>
      <c r="BF821" s="48">
        <f t="shared" si="2574"/>
        <v>0</v>
      </c>
      <c r="BG821" s="48">
        <f t="shared" si="2574"/>
        <v>0</v>
      </c>
      <c r="BH821" s="48">
        <f t="shared" si="2574"/>
        <v>0</v>
      </c>
      <c r="BI821" s="48">
        <f t="shared" si="2574"/>
        <v>0</v>
      </c>
      <c r="BJ821" s="48">
        <f t="shared" si="2574"/>
        <v>0</v>
      </c>
      <c r="BK821" s="48">
        <f t="shared" si="2574"/>
        <v>0</v>
      </c>
      <c r="BL821" s="48">
        <f t="shared" si="2574"/>
        <v>0</v>
      </c>
      <c r="BM821" s="48">
        <f t="shared" si="2574"/>
        <v>0</v>
      </c>
      <c r="BN821" s="48">
        <f t="shared" si="2574"/>
        <v>0</v>
      </c>
      <c r="BO821" s="48">
        <f t="shared" si="2574"/>
        <v>0</v>
      </c>
      <c r="BP821" s="48">
        <f t="shared" si="2574"/>
        <v>0</v>
      </c>
      <c r="BQ821" s="48">
        <f t="shared" si="2574"/>
        <v>0</v>
      </c>
      <c r="BR821" s="36">
        <f t="shared" si="9"/>
        <v>0</v>
      </c>
      <c r="BS821" s="38">
        <f t="shared" si="10"/>
        <v>1</v>
      </c>
      <c r="BT821" s="49">
        <f t="shared" si="11"/>
        <v>0</v>
      </c>
      <c r="BU821" s="38">
        <f t="shared" si="12"/>
        <v>1000</v>
      </c>
      <c r="BV821" s="46" t="str">
        <f>IFERROR(__xludf.DUMMYFUNCTION("""COMPUTED_VALUE"""),"Laster")</f>
        <v>Laster</v>
      </c>
      <c r="BW821" s="46">
        <f t="shared" si="13"/>
        <v>1000</v>
      </c>
      <c r="BX821" s="47">
        <f t="shared" ref="BX821:CA821" si="2575">AX821-$BU821</f>
        <v>-1000</v>
      </c>
      <c r="BY821" s="47">
        <f t="shared" si="2575"/>
        <v>-1000</v>
      </c>
      <c r="BZ821" s="47">
        <f t="shared" si="2575"/>
        <v>0</v>
      </c>
      <c r="CA821" s="47">
        <f t="shared" si="2575"/>
        <v>-1000</v>
      </c>
      <c r="CB821" s="47">
        <f t="shared" si="15"/>
        <v>-10000</v>
      </c>
      <c r="CC821" s="47">
        <f t="shared" ref="CC821:CQ821" si="2576">BC821-$BU821</f>
        <v>-1000</v>
      </c>
      <c r="CD821" s="47">
        <f t="shared" si="2576"/>
        <v>-1000</v>
      </c>
      <c r="CE821" s="47">
        <f t="shared" si="2576"/>
        <v>-1000</v>
      </c>
      <c r="CF821" s="47">
        <f t="shared" si="2576"/>
        <v>-1000</v>
      </c>
      <c r="CG821" s="47">
        <f t="shared" si="2576"/>
        <v>-1000</v>
      </c>
      <c r="CH821" s="47">
        <f t="shared" si="2576"/>
        <v>-1000</v>
      </c>
      <c r="CI821" s="47">
        <f t="shared" si="2576"/>
        <v>-1000</v>
      </c>
      <c r="CJ821" s="47">
        <f t="shared" si="2576"/>
        <v>-1000</v>
      </c>
      <c r="CK821" s="47">
        <f t="shared" si="2576"/>
        <v>-1000</v>
      </c>
      <c r="CL821" s="47">
        <f t="shared" si="2576"/>
        <v>-1000</v>
      </c>
      <c r="CM821" s="47">
        <f t="shared" si="2576"/>
        <v>-1000</v>
      </c>
      <c r="CN821" s="47">
        <f t="shared" si="2576"/>
        <v>-1000</v>
      </c>
      <c r="CO821" s="47">
        <f t="shared" si="2576"/>
        <v>-1000</v>
      </c>
      <c r="CP821" s="47">
        <f t="shared" si="2576"/>
        <v>-1000</v>
      </c>
      <c r="CQ821" s="47">
        <f t="shared" si="2576"/>
        <v>-1000</v>
      </c>
      <c r="CR821" s="47"/>
      <c r="CS821" s="47"/>
      <c r="CT821" s="47"/>
      <c r="CU821" s="74"/>
      <c r="CV821" s="74"/>
      <c r="CW821" s="74" t="str">
        <f>IFERROR(__xludf.DUMMYFUNCTION("IF(REGEXMATCH(UPPER(CU821), ""DALLAS""),,CU821)"),"")</f>
        <v/>
      </c>
      <c r="CX821" s="74"/>
      <c r="CY821" s="74"/>
      <c r="CZ821" s="74"/>
      <c r="DA821" s="75"/>
      <c r="DB821" s="74"/>
      <c r="DC821" s="74"/>
      <c r="DD821" s="74"/>
      <c r="DE821" s="74"/>
      <c r="DF821" s="74"/>
      <c r="DG821" s="74"/>
      <c r="DH821" s="74"/>
      <c r="DI821" s="74"/>
      <c r="DJ821" s="74"/>
      <c r="DK821" s="74"/>
      <c r="DL821" s="74"/>
      <c r="DM821" s="74"/>
      <c r="DN821" s="74"/>
      <c r="DO821" s="74"/>
      <c r="DP821" s="74"/>
      <c r="DQ821" s="74"/>
      <c r="DR821" s="74"/>
      <c r="DS821" s="74"/>
      <c r="DT821" s="74"/>
      <c r="DU821" s="74"/>
      <c r="DV821" s="74"/>
      <c r="DW821" s="74"/>
    </row>
    <row r="822">
      <c r="A822" s="22" t="s">
        <v>55</v>
      </c>
      <c r="B822" s="23" t="s">
        <v>56</v>
      </c>
      <c r="C822" s="31" t="s">
        <v>2079</v>
      </c>
      <c r="D822" s="25" t="str">
        <f>IFERROR(__xludf.DUMMYFUNCTION("SPLIT(C822,"" "")"),"Garraway,")</f>
        <v>Garraway,</v>
      </c>
      <c r="E822" s="22" t="str">
        <f>IFERROR(__xludf.DUMMYFUNCTION("""COMPUTED_VALUE"""),"Selwyn
106")</f>
        <v>Selwyn
106</v>
      </c>
      <c r="F822" s="22" t="str">
        <f>IFERROR(__xludf.DUMMYFUNCTION("""COMPUTED_VALUE"""),"Greenwich")</f>
        <v>Greenwich</v>
      </c>
      <c r="G822" s="22" t="str">
        <f>IFERROR(__xludf.DUMMYFUNCTION("""COMPUTED_VALUE"""),"St
New")</f>
        <v>St
New</v>
      </c>
      <c r="H822" s="22" t="str">
        <f>IFERROR(__xludf.DUMMYFUNCTION("""COMPUTED_VALUE"""),"York,")</f>
        <v>York,</v>
      </c>
      <c r="I822" s="22" t="str">
        <f>IFERROR(__xludf.DUMMYFUNCTION("""COMPUTED_VALUE"""),"NY")</f>
        <v>NY</v>
      </c>
      <c r="J822" s="22">
        <f>IFERROR(__xludf.DUMMYFUNCTION("""COMPUTED_VALUE"""),10006.0)</f>
        <v>10006</v>
      </c>
      <c r="K822" s="22"/>
      <c r="L822" s="22"/>
      <c r="M822" s="22"/>
      <c r="N822" s="22"/>
      <c r="O822" s="22"/>
      <c r="P822" s="22"/>
      <c r="Q822" s="22"/>
      <c r="R822" s="22"/>
      <c r="S822" s="22"/>
      <c r="T822" s="22"/>
      <c r="U822" s="24" t="str">
        <f>IFERROR(__xludf.DUMMYFUNCTION("SPLIT(E822,""01234567890"")"),"Selwyn
")</f>
        <v>Selwyn
</v>
      </c>
      <c r="V822" s="24" t="str">
        <f>IFERROR(__xludf.DUMMYFUNCTION("SPLIT(D822,"","")"),"Garraway")</f>
        <v>Garraway</v>
      </c>
      <c r="W822" s="25" t="str">
        <f t="shared" si="1"/>
        <v>SELWYN
 GARRAWAY</v>
      </c>
      <c r="X822" s="22"/>
      <c r="Y822" s="22"/>
      <c r="Z822" s="25" t="str">
        <f>IFERROR(__xludf.DUMMYFUNCTION("SPLIT(C822,""
"")"),"Garraway, Selwyn")</f>
        <v>Garraway, Selwyn</v>
      </c>
      <c r="AA822" s="22" t="str">
        <f>IFERROR(__xludf.DUMMYFUNCTION("""COMPUTED_VALUE"""),"106 Greenwich St")</f>
        <v>106 Greenwich St</v>
      </c>
      <c r="AB822" s="22" t="str">
        <f>IFERROR(__xludf.DUMMYFUNCTION("""COMPUTED_VALUE"""),"New York, NY 10006")</f>
        <v>New York, NY 10006</v>
      </c>
      <c r="AC822" s="31" t="s">
        <v>766</v>
      </c>
      <c r="AD822" s="22"/>
      <c r="AE822" s="22"/>
      <c r="AF822" s="22"/>
      <c r="AG822" s="22" t="s">
        <v>60</v>
      </c>
      <c r="AH822" s="54">
        <v>2481.0</v>
      </c>
      <c r="AI822" s="22" t="s">
        <v>68</v>
      </c>
      <c r="AJ822" s="27">
        <v>100.0</v>
      </c>
      <c r="AK822" s="31" t="s">
        <v>25</v>
      </c>
      <c r="AL822" s="28">
        <v>44853.0</v>
      </c>
      <c r="AM822" s="29">
        <v>44937.81995370371</v>
      </c>
      <c r="AN822" s="30">
        <v>2.0</v>
      </c>
      <c r="AO822" s="22"/>
      <c r="AP822" s="22"/>
      <c r="AQ822" s="22"/>
      <c r="AR822" s="22"/>
      <c r="AS822" s="22"/>
      <c r="AT822" s="70"/>
      <c r="AU822" s="22"/>
      <c r="AV822" s="57" t="str">
        <f>IFERROR(__xludf.DUMMYFUNCTION("""COMPUTED_VALUE"""),"Cambpell")</f>
        <v>Cambpell</v>
      </c>
      <c r="AW822" s="46">
        <f t="shared" si="7"/>
        <v>200</v>
      </c>
      <c r="AX822" s="47">
        <f t="shared" ref="AX822:BQ822" si="2577">SUMIFS($AJ:$AJ,$V:$V,$AV822,$AK:$AK,AX$2)</f>
        <v>0</v>
      </c>
      <c r="AY822" s="48">
        <f t="shared" si="2577"/>
        <v>0</v>
      </c>
      <c r="AZ822" s="48">
        <f t="shared" si="2577"/>
        <v>200</v>
      </c>
      <c r="BA822" s="48">
        <f t="shared" si="2577"/>
        <v>0</v>
      </c>
      <c r="BB822" s="48">
        <f t="shared" si="2577"/>
        <v>0</v>
      </c>
      <c r="BC822" s="48">
        <f t="shared" si="2577"/>
        <v>0</v>
      </c>
      <c r="BD822" s="48">
        <f t="shared" si="2577"/>
        <v>0</v>
      </c>
      <c r="BE822" s="48">
        <f t="shared" si="2577"/>
        <v>0</v>
      </c>
      <c r="BF822" s="48">
        <f t="shared" si="2577"/>
        <v>0</v>
      </c>
      <c r="BG822" s="48">
        <f t="shared" si="2577"/>
        <v>0</v>
      </c>
      <c r="BH822" s="48">
        <f t="shared" si="2577"/>
        <v>0</v>
      </c>
      <c r="BI822" s="48">
        <f t="shared" si="2577"/>
        <v>0</v>
      </c>
      <c r="BJ822" s="48">
        <f t="shared" si="2577"/>
        <v>0</v>
      </c>
      <c r="BK822" s="48">
        <f t="shared" si="2577"/>
        <v>0</v>
      </c>
      <c r="BL822" s="48">
        <f t="shared" si="2577"/>
        <v>0</v>
      </c>
      <c r="BM822" s="48">
        <f t="shared" si="2577"/>
        <v>0</v>
      </c>
      <c r="BN822" s="48">
        <f t="shared" si="2577"/>
        <v>0</v>
      </c>
      <c r="BO822" s="48">
        <f t="shared" si="2577"/>
        <v>0</v>
      </c>
      <c r="BP822" s="48">
        <f t="shared" si="2577"/>
        <v>0</v>
      </c>
      <c r="BQ822" s="48">
        <f t="shared" si="2577"/>
        <v>0</v>
      </c>
      <c r="BR822" s="36">
        <f t="shared" si="9"/>
        <v>0</v>
      </c>
      <c r="BS822" s="38">
        <f t="shared" si="10"/>
        <v>1</v>
      </c>
      <c r="BT822" s="49">
        <f t="shared" si="11"/>
        <v>0</v>
      </c>
      <c r="BU822" s="38">
        <f t="shared" si="12"/>
        <v>1000</v>
      </c>
      <c r="BV822" s="57" t="str">
        <f>IFERROR(__xludf.DUMMYFUNCTION("""COMPUTED_VALUE"""),"Cambpell")</f>
        <v>Cambpell</v>
      </c>
      <c r="BW822" s="46">
        <f t="shared" si="13"/>
        <v>200</v>
      </c>
      <c r="BX822" s="47">
        <f t="shared" ref="BX822:CA822" si="2578">AX822-$BU822</f>
        <v>-1000</v>
      </c>
      <c r="BY822" s="47">
        <f t="shared" si="2578"/>
        <v>-1000</v>
      </c>
      <c r="BZ822" s="47">
        <f t="shared" si="2578"/>
        <v>-800</v>
      </c>
      <c r="CA822" s="47">
        <f t="shared" si="2578"/>
        <v>-1000</v>
      </c>
      <c r="CB822" s="47">
        <f t="shared" si="15"/>
        <v>-10000</v>
      </c>
      <c r="CC822" s="47">
        <f t="shared" ref="CC822:CQ822" si="2579">BC822-$BU822</f>
        <v>-1000</v>
      </c>
      <c r="CD822" s="47">
        <f t="shared" si="2579"/>
        <v>-1000</v>
      </c>
      <c r="CE822" s="47">
        <f t="shared" si="2579"/>
        <v>-1000</v>
      </c>
      <c r="CF822" s="47">
        <f t="shared" si="2579"/>
        <v>-1000</v>
      </c>
      <c r="CG822" s="47">
        <f t="shared" si="2579"/>
        <v>-1000</v>
      </c>
      <c r="CH822" s="47">
        <f t="shared" si="2579"/>
        <v>-1000</v>
      </c>
      <c r="CI822" s="47">
        <f t="shared" si="2579"/>
        <v>-1000</v>
      </c>
      <c r="CJ822" s="47">
        <f t="shared" si="2579"/>
        <v>-1000</v>
      </c>
      <c r="CK822" s="47">
        <f t="shared" si="2579"/>
        <v>-1000</v>
      </c>
      <c r="CL822" s="47">
        <f t="shared" si="2579"/>
        <v>-1000</v>
      </c>
      <c r="CM822" s="47">
        <f t="shared" si="2579"/>
        <v>-1000</v>
      </c>
      <c r="CN822" s="47">
        <f t="shared" si="2579"/>
        <v>-1000</v>
      </c>
      <c r="CO822" s="47">
        <f t="shared" si="2579"/>
        <v>-1000</v>
      </c>
      <c r="CP822" s="47">
        <f t="shared" si="2579"/>
        <v>-1000</v>
      </c>
      <c r="CQ822" s="47">
        <f t="shared" si="2579"/>
        <v>-1000</v>
      </c>
      <c r="CR822" s="47"/>
      <c r="CS822" s="47"/>
      <c r="CT822" s="47"/>
      <c r="CU822" s="74"/>
      <c r="CV822" s="74"/>
      <c r="CW822" s="74" t="str">
        <f>IFERROR(__xludf.DUMMYFUNCTION("IF(REGEXMATCH(UPPER(CU822), ""DALLAS""),,CU822)"),"")</f>
        <v/>
      </c>
      <c r="CX822" s="74"/>
      <c r="CY822" s="74"/>
      <c r="CZ822" s="74"/>
      <c r="DA822" s="75"/>
      <c r="DB822" s="74"/>
      <c r="DC822" s="74"/>
      <c r="DD822" s="74"/>
      <c r="DE822" s="74"/>
      <c r="DF822" s="74"/>
      <c r="DG822" s="74"/>
      <c r="DH822" s="74"/>
      <c r="DI822" s="74"/>
      <c r="DJ822" s="74"/>
      <c r="DK822" s="74"/>
      <c r="DL822" s="74"/>
      <c r="DM822" s="74"/>
      <c r="DN822" s="74"/>
      <c r="DO822" s="74"/>
      <c r="DP822" s="74"/>
      <c r="DQ822" s="74"/>
      <c r="DR822" s="74"/>
      <c r="DS822" s="74"/>
      <c r="DT822" s="74"/>
      <c r="DU822" s="74"/>
      <c r="DV822" s="74"/>
      <c r="DW822" s="74"/>
    </row>
    <row r="823">
      <c r="A823" s="40" t="s">
        <v>55</v>
      </c>
      <c r="B823" s="41" t="s">
        <v>56</v>
      </c>
      <c r="C823" s="31" t="s">
        <v>2080</v>
      </c>
      <c r="D823" s="25" t="str">
        <f>IFERROR(__xludf.DUMMYFUNCTION("SPLIT(C823,"" "")"),"Mani,")</f>
        <v>Mani,</v>
      </c>
      <c r="E823" s="40" t="str">
        <f>IFERROR(__xludf.DUMMYFUNCTION("""COMPUTED_VALUE"""),"Chithrai
4005")</f>
        <v>Chithrai
4005</v>
      </c>
      <c r="F823" s="40" t="str">
        <f>IFERROR(__xludf.DUMMYFUNCTION("""COMPUTED_VALUE"""),"Dawn")</f>
        <v>Dawn</v>
      </c>
      <c r="G823" s="40" t="str">
        <f>IFERROR(__xludf.DUMMYFUNCTION("""COMPUTED_VALUE"""),"Dr
Flower")</f>
        <v>Dr
Flower</v>
      </c>
      <c r="H823" s="40" t="str">
        <f>IFERROR(__xludf.DUMMYFUNCTION("""COMPUTED_VALUE"""),"Mound,")</f>
        <v>Mound,</v>
      </c>
      <c r="I823" s="40" t="str">
        <f>IFERROR(__xludf.DUMMYFUNCTION("""COMPUTED_VALUE"""),"TX")</f>
        <v>TX</v>
      </c>
      <c r="J823" s="40">
        <f>IFERROR(__xludf.DUMMYFUNCTION("""COMPUTED_VALUE"""),75022.0)</f>
        <v>75022</v>
      </c>
      <c r="K823" s="40"/>
      <c r="L823" s="40"/>
      <c r="M823" s="40"/>
      <c r="N823" s="40"/>
      <c r="O823" s="40"/>
      <c r="P823" s="40"/>
      <c r="Q823" s="40"/>
      <c r="R823" s="40"/>
      <c r="S823" s="40"/>
      <c r="T823" s="40"/>
      <c r="U823" s="24" t="str">
        <f>IFERROR(__xludf.DUMMYFUNCTION("SPLIT(E823,""01234567890"")"),"Chithrai
")</f>
        <v>Chithrai
</v>
      </c>
      <c r="V823" s="24" t="str">
        <f>IFERROR(__xludf.DUMMYFUNCTION("SPLIT(D823,"","")"),"Mani")</f>
        <v>Mani</v>
      </c>
      <c r="W823" s="25" t="str">
        <f t="shared" si="1"/>
        <v>CHITHRAI
 MANI</v>
      </c>
      <c r="X823" s="40"/>
      <c r="Y823" s="40"/>
      <c r="Z823" s="25" t="str">
        <f>IFERROR(__xludf.DUMMYFUNCTION("SPLIT(C823,""
"")"),"Mani, Chithrai")</f>
        <v>Mani, Chithrai</v>
      </c>
      <c r="AA823" s="40" t="str">
        <f>IFERROR(__xludf.DUMMYFUNCTION("""COMPUTED_VALUE"""),"4005 Dawn Dr")</f>
        <v>4005 Dawn Dr</v>
      </c>
      <c r="AB823" s="40" t="str">
        <f>IFERROR(__xludf.DUMMYFUNCTION("""COMPUTED_VALUE"""),"Flower Mound, TX 75022")</f>
        <v>Flower Mound, TX 75022</v>
      </c>
      <c r="AC823" s="31" t="s">
        <v>2081</v>
      </c>
      <c r="AD823" s="40"/>
      <c r="AE823" s="40"/>
      <c r="AF823" s="40"/>
      <c r="AG823" s="40" t="s">
        <v>60</v>
      </c>
      <c r="AH823" s="42">
        <v>2481.0</v>
      </c>
      <c r="AI823" s="40" t="s">
        <v>68</v>
      </c>
      <c r="AJ823" s="27">
        <v>4000.0</v>
      </c>
      <c r="AK823" s="31" t="s">
        <v>25</v>
      </c>
      <c r="AL823" s="43">
        <v>44752.0</v>
      </c>
      <c r="AM823" s="44">
        <v>44937.81995370371</v>
      </c>
      <c r="AN823" s="30">
        <v>2.0</v>
      </c>
      <c r="AO823" s="40"/>
      <c r="AP823" s="40"/>
      <c r="AQ823" s="40"/>
      <c r="AR823" s="40"/>
      <c r="AS823" s="40"/>
      <c r="AT823" s="47"/>
      <c r="AU823" s="40"/>
      <c r="AV823" s="46" t="str">
        <f>IFERROR(__xludf.DUMMYFUNCTION("""COMPUTED_VALUE"""),"Krochtengel")</f>
        <v>Krochtengel</v>
      </c>
      <c r="AW823" s="46">
        <f t="shared" si="7"/>
        <v>500</v>
      </c>
      <c r="AX823" s="47">
        <f t="shared" ref="AX823:BQ823" si="2580">SUMIFS($AJ:$AJ,$V:$V,$AV823,$AK:$AK,AX$2)</f>
        <v>250</v>
      </c>
      <c r="AY823" s="48">
        <f t="shared" si="2580"/>
        <v>0</v>
      </c>
      <c r="AZ823" s="48">
        <f t="shared" si="2580"/>
        <v>250</v>
      </c>
      <c r="BA823" s="48">
        <f t="shared" si="2580"/>
        <v>0</v>
      </c>
      <c r="BB823" s="48">
        <f t="shared" si="2580"/>
        <v>0</v>
      </c>
      <c r="BC823" s="48">
        <f t="shared" si="2580"/>
        <v>0</v>
      </c>
      <c r="BD823" s="48">
        <f t="shared" si="2580"/>
        <v>0</v>
      </c>
      <c r="BE823" s="48">
        <f t="shared" si="2580"/>
        <v>0</v>
      </c>
      <c r="BF823" s="48">
        <f t="shared" si="2580"/>
        <v>0</v>
      </c>
      <c r="BG823" s="48">
        <f t="shared" si="2580"/>
        <v>0</v>
      </c>
      <c r="BH823" s="48">
        <f t="shared" si="2580"/>
        <v>0</v>
      </c>
      <c r="BI823" s="48">
        <f t="shared" si="2580"/>
        <v>0</v>
      </c>
      <c r="BJ823" s="48">
        <f t="shared" si="2580"/>
        <v>0</v>
      </c>
      <c r="BK823" s="48">
        <f t="shared" si="2580"/>
        <v>0</v>
      </c>
      <c r="BL823" s="48">
        <f t="shared" si="2580"/>
        <v>0</v>
      </c>
      <c r="BM823" s="48">
        <f t="shared" si="2580"/>
        <v>0</v>
      </c>
      <c r="BN823" s="48">
        <f t="shared" si="2580"/>
        <v>0</v>
      </c>
      <c r="BO823" s="48">
        <f t="shared" si="2580"/>
        <v>0</v>
      </c>
      <c r="BP823" s="48">
        <f t="shared" si="2580"/>
        <v>0</v>
      </c>
      <c r="BQ823" s="48">
        <f t="shared" si="2580"/>
        <v>0</v>
      </c>
      <c r="BR823" s="36">
        <f t="shared" si="9"/>
        <v>0</v>
      </c>
      <c r="BS823" s="38">
        <f t="shared" si="10"/>
        <v>1</v>
      </c>
      <c r="BT823" s="49">
        <f t="shared" si="11"/>
        <v>0</v>
      </c>
      <c r="BU823" s="38">
        <f t="shared" si="12"/>
        <v>1000</v>
      </c>
      <c r="BV823" s="46" t="str">
        <f>IFERROR(__xludf.DUMMYFUNCTION("""COMPUTED_VALUE"""),"Krochtengel")</f>
        <v>Krochtengel</v>
      </c>
      <c r="BW823" s="46">
        <f t="shared" si="13"/>
        <v>500</v>
      </c>
      <c r="BX823" s="47">
        <f t="shared" ref="BX823:CA823" si="2581">AX823-$BU823</f>
        <v>-750</v>
      </c>
      <c r="BY823" s="47">
        <f t="shared" si="2581"/>
        <v>-1000</v>
      </c>
      <c r="BZ823" s="47">
        <f t="shared" si="2581"/>
        <v>-750</v>
      </c>
      <c r="CA823" s="47">
        <f t="shared" si="2581"/>
        <v>-1000</v>
      </c>
      <c r="CB823" s="47">
        <f t="shared" si="15"/>
        <v>-10000</v>
      </c>
      <c r="CC823" s="47">
        <f t="shared" ref="CC823:CQ823" si="2582">BC823-$BU823</f>
        <v>-1000</v>
      </c>
      <c r="CD823" s="47">
        <f t="shared" si="2582"/>
        <v>-1000</v>
      </c>
      <c r="CE823" s="47">
        <f t="shared" si="2582"/>
        <v>-1000</v>
      </c>
      <c r="CF823" s="47">
        <f t="shared" si="2582"/>
        <v>-1000</v>
      </c>
      <c r="CG823" s="47">
        <f t="shared" si="2582"/>
        <v>-1000</v>
      </c>
      <c r="CH823" s="47">
        <f t="shared" si="2582"/>
        <v>-1000</v>
      </c>
      <c r="CI823" s="47">
        <f t="shared" si="2582"/>
        <v>-1000</v>
      </c>
      <c r="CJ823" s="47">
        <f t="shared" si="2582"/>
        <v>-1000</v>
      </c>
      <c r="CK823" s="47">
        <f t="shared" si="2582"/>
        <v>-1000</v>
      </c>
      <c r="CL823" s="47">
        <f t="shared" si="2582"/>
        <v>-1000</v>
      </c>
      <c r="CM823" s="47">
        <f t="shared" si="2582"/>
        <v>-1000</v>
      </c>
      <c r="CN823" s="47">
        <f t="shared" si="2582"/>
        <v>-1000</v>
      </c>
      <c r="CO823" s="47">
        <f t="shared" si="2582"/>
        <v>-1000</v>
      </c>
      <c r="CP823" s="47">
        <f t="shared" si="2582"/>
        <v>-1000</v>
      </c>
      <c r="CQ823" s="47">
        <f t="shared" si="2582"/>
        <v>-1000</v>
      </c>
      <c r="CR823" s="47"/>
      <c r="CS823" s="47"/>
      <c r="CT823" s="47"/>
      <c r="CU823" s="74"/>
      <c r="CV823" s="74"/>
      <c r="CW823" s="74" t="str">
        <f>IFERROR(__xludf.DUMMYFUNCTION("IF(REGEXMATCH(UPPER(CU823), ""DALLAS""),,CU823)"),"")</f>
        <v/>
      </c>
      <c r="CX823" s="74"/>
      <c r="CY823" s="74"/>
      <c r="CZ823" s="74"/>
      <c r="DA823" s="75"/>
      <c r="DB823" s="74"/>
      <c r="DC823" s="74"/>
      <c r="DD823" s="74"/>
      <c r="DE823" s="74"/>
      <c r="DF823" s="74"/>
      <c r="DG823" s="74"/>
      <c r="DH823" s="74"/>
      <c r="DI823" s="74"/>
      <c r="DJ823" s="74"/>
      <c r="DK823" s="74"/>
      <c r="DL823" s="74"/>
      <c r="DM823" s="74"/>
      <c r="DN823" s="74"/>
      <c r="DO823" s="74"/>
      <c r="DP823" s="74"/>
      <c r="DQ823" s="74"/>
      <c r="DR823" s="74"/>
      <c r="DS823" s="74"/>
      <c r="DT823" s="74"/>
      <c r="DU823" s="74"/>
      <c r="DV823" s="74"/>
      <c r="DW823" s="74"/>
    </row>
    <row r="824">
      <c r="A824" s="22" t="s">
        <v>55</v>
      </c>
      <c r="B824" s="23" t="s">
        <v>56</v>
      </c>
      <c r="C824" s="31" t="s">
        <v>2082</v>
      </c>
      <c r="D824" s="25" t="str">
        <f>IFERROR(__xludf.DUMMYFUNCTION("SPLIT(C824,"" "")"),"Jakes,")</f>
        <v>Jakes,</v>
      </c>
      <c r="E824" s="22" t="str">
        <f>IFERROR(__xludf.DUMMYFUNCTION("""COMPUTED_VALUE"""),"T.D.
3703")</f>
        <v>T.D.
3703</v>
      </c>
      <c r="F824" s="22" t="str">
        <f>IFERROR(__xludf.DUMMYFUNCTION("""COMPUTED_VALUE"""),"Patience")</f>
        <v>Patience</v>
      </c>
      <c r="G824" s="22" t="str">
        <f>IFERROR(__xludf.DUMMYFUNCTION("""COMPUTED_VALUE"""),"Blvd
Dallas,")</f>
        <v>Blvd
Dallas,</v>
      </c>
      <c r="H824" s="22" t="str">
        <f>IFERROR(__xludf.DUMMYFUNCTION("""COMPUTED_VALUE"""),"TX")</f>
        <v>TX</v>
      </c>
      <c r="I824" s="22">
        <f>IFERROR(__xludf.DUMMYFUNCTION("""COMPUTED_VALUE"""),75236.0)</f>
        <v>75236</v>
      </c>
      <c r="J824" s="22"/>
      <c r="K824" s="22"/>
      <c r="L824" s="22"/>
      <c r="M824" s="22"/>
      <c r="N824" s="22"/>
      <c r="O824" s="22"/>
      <c r="P824" s="22"/>
      <c r="Q824" s="22"/>
      <c r="R824" s="22"/>
      <c r="S824" s="22"/>
      <c r="T824" s="22"/>
      <c r="U824" s="24" t="str">
        <f>IFERROR(__xludf.DUMMYFUNCTION("SPLIT(E824,""01234567890"")"),"T.D.
")</f>
        <v>T.D.
</v>
      </c>
      <c r="V824" s="24" t="str">
        <f>IFERROR(__xludf.DUMMYFUNCTION("SPLIT(D824,"","")"),"Jakes")</f>
        <v>Jakes</v>
      </c>
      <c r="W824" s="25" t="str">
        <f t="shared" si="1"/>
        <v>T.D.
 JAKES</v>
      </c>
      <c r="X824" s="22"/>
      <c r="Y824" s="22"/>
      <c r="Z824" s="25" t="str">
        <f>IFERROR(__xludf.DUMMYFUNCTION("SPLIT(C824,""
"")"),"Jakes, T.D.")</f>
        <v>Jakes, T.D.</v>
      </c>
      <c r="AA824" s="22" t="str">
        <f>IFERROR(__xludf.DUMMYFUNCTION("""COMPUTED_VALUE"""),"3703 Patience Blvd")</f>
        <v>3703 Patience Blvd</v>
      </c>
      <c r="AB824" s="22" t="str">
        <f>IFERROR(__xludf.DUMMYFUNCTION("""COMPUTED_VALUE"""),"Dallas, TX 75236")</f>
        <v>Dallas, TX 75236</v>
      </c>
      <c r="AC824" s="31" t="s">
        <v>2083</v>
      </c>
      <c r="AD824" s="22"/>
      <c r="AE824" s="22"/>
      <c r="AF824" s="22"/>
      <c r="AG824" s="22" t="s">
        <v>60</v>
      </c>
      <c r="AH824" s="54">
        <v>2481.0</v>
      </c>
      <c r="AI824" s="22" t="s">
        <v>68</v>
      </c>
      <c r="AJ824" s="27">
        <v>5000.0</v>
      </c>
      <c r="AK824" s="31" t="s">
        <v>25</v>
      </c>
      <c r="AL824" s="28">
        <v>44756.0</v>
      </c>
      <c r="AM824" s="29">
        <v>44937.81995370371</v>
      </c>
      <c r="AN824" s="30">
        <v>2.0</v>
      </c>
      <c r="AO824" s="22"/>
      <c r="AP824" s="22"/>
      <c r="AQ824" s="22"/>
      <c r="AR824" s="22"/>
      <c r="AS824" s="22"/>
      <c r="AT824" s="70"/>
      <c r="AU824" s="22"/>
      <c r="AV824" s="57" t="str">
        <f>IFERROR(__xludf.DUMMYFUNCTION("""COMPUTED_VALUE"""),"Blackmon")</f>
        <v>Blackmon</v>
      </c>
      <c r="AW824" s="46">
        <f t="shared" si="7"/>
        <v>200</v>
      </c>
      <c r="AX824" s="47">
        <f t="shared" ref="AX824:BQ824" si="2583">SUMIFS($AJ:$AJ,$V:$V,$AV824,$AK:$AK,AX$2)</f>
        <v>0</v>
      </c>
      <c r="AY824" s="48">
        <f t="shared" si="2583"/>
        <v>0</v>
      </c>
      <c r="AZ824" s="48">
        <f t="shared" si="2583"/>
        <v>200</v>
      </c>
      <c r="BA824" s="48">
        <f t="shared" si="2583"/>
        <v>0</v>
      </c>
      <c r="BB824" s="48">
        <f t="shared" si="2583"/>
        <v>0</v>
      </c>
      <c r="BC824" s="48">
        <f t="shared" si="2583"/>
        <v>0</v>
      </c>
      <c r="BD824" s="48">
        <f t="shared" si="2583"/>
        <v>0</v>
      </c>
      <c r="BE824" s="48">
        <f t="shared" si="2583"/>
        <v>0</v>
      </c>
      <c r="BF824" s="48">
        <f t="shared" si="2583"/>
        <v>0</v>
      </c>
      <c r="BG824" s="48">
        <f t="shared" si="2583"/>
        <v>0</v>
      </c>
      <c r="BH824" s="48">
        <f t="shared" si="2583"/>
        <v>0</v>
      </c>
      <c r="BI824" s="48">
        <f t="shared" si="2583"/>
        <v>0</v>
      </c>
      <c r="BJ824" s="48">
        <f t="shared" si="2583"/>
        <v>0</v>
      </c>
      <c r="BK824" s="48">
        <f t="shared" si="2583"/>
        <v>0</v>
      </c>
      <c r="BL824" s="48">
        <f t="shared" si="2583"/>
        <v>0</v>
      </c>
      <c r="BM824" s="48">
        <f t="shared" si="2583"/>
        <v>0</v>
      </c>
      <c r="BN824" s="48">
        <f t="shared" si="2583"/>
        <v>0</v>
      </c>
      <c r="BO824" s="48">
        <f t="shared" si="2583"/>
        <v>0</v>
      </c>
      <c r="BP824" s="48">
        <f t="shared" si="2583"/>
        <v>0</v>
      </c>
      <c r="BQ824" s="48">
        <f t="shared" si="2583"/>
        <v>0</v>
      </c>
      <c r="BR824" s="36">
        <f t="shared" si="9"/>
        <v>0</v>
      </c>
      <c r="BS824" s="38">
        <f t="shared" si="10"/>
        <v>1</v>
      </c>
      <c r="BT824" s="49">
        <f t="shared" si="11"/>
        <v>0</v>
      </c>
      <c r="BU824" s="38">
        <f t="shared" si="12"/>
        <v>1000</v>
      </c>
      <c r="BV824" s="57" t="str">
        <f>IFERROR(__xludf.DUMMYFUNCTION("""COMPUTED_VALUE"""),"Blackmon")</f>
        <v>Blackmon</v>
      </c>
      <c r="BW824" s="46">
        <f t="shared" si="13"/>
        <v>200</v>
      </c>
      <c r="BX824" s="47">
        <f t="shared" ref="BX824:CA824" si="2584">AX824-$BU824</f>
        <v>-1000</v>
      </c>
      <c r="BY824" s="47">
        <f t="shared" si="2584"/>
        <v>-1000</v>
      </c>
      <c r="BZ824" s="47">
        <f t="shared" si="2584"/>
        <v>-800</v>
      </c>
      <c r="CA824" s="47">
        <f t="shared" si="2584"/>
        <v>-1000</v>
      </c>
      <c r="CB824" s="47">
        <f t="shared" si="15"/>
        <v>-10000</v>
      </c>
      <c r="CC824" s="47">
        <f t="shared" ref="CC824:CQ824" si="2585">BC824-$BU824</f>
        <v>-1000</v>
      </c>
      <c r="CD824" s="47">
        <f t="shared" si="2585"/>
        <v>-1000</v>
      </c>
      <c r="CE824" s="47">
        <f t="shared" si="2585"/>
        <v>-1000</v>
      </c>
      <c r="CF824" s="47">
        <f t="shared" si="2585"/>
        <v>-1000</v>
      </c>
      <c r="CG824" s="47">
        <f t="shared" si="2585"/>
        <v>-1000</v>
      </c>
      <c r="CH824" s="47">
        <f t="shared" si="2585"/>
        <v>-1000</v>
      </c>
      <c r="CI824" s="47">
        <f t="shared" si="2585"/>
        <v>-1000</v>
      </c>
      <c r="CJ824" s="47">
        <f t="shared" si="2585"/>
        <v>-1000</v>
      </c>
      <c r="CK824" s="47">
        <f t="shared" si="2585"/>
        <v>-1000</v>
      </c>
      <c r="CL824" s="47">
        <f t="shared" si="2585"/>
        <v>-1000</v>
      </c>
      <c r="CM824" s="47">
        <f t="shared" si="2585"/>
        <v>-1000</v>
      </c>
      <c r="CN824" s="47">
        <f t="shared" si="2585"/>
        <v>-1000</v>
      </c>
      <c r="CO824" s="47">
        <f t="shared" si="2585"/>
        <v>-1000</v>
      </c>
      <c r="CP824" s="47">
        <f t="shared" si="2585"/>
        <v>-1000</v>
      </c>
      <c r="CQ824" s="47">
        <f t="shared" si="2585"/>
        <v>-1000</v>
      </c>
      <c r="CR824" s="47"/>
      <c r="CS824" s="47"/>
      <c r="CT824" s="47"/>
      <c r="CU824" s="74"/>
      <c r="CV824" s="74"/>
      <c r="CW824" s="74" t="str">
        <f>IFERROR(__xludf.DUMMYFUNCTION("IF(REGEXMATCH(UPPER(CU824), ""DALLAS""),,CU824)"),"")</f>
        <v/>
      </c>
      <c r="CX824" s="74"/>
      <c r="CY824" s="74"/>
      <c r="CZ824" s="74"/>
      <c r="DA824" s="75"/>
      <c r="DB824" s="74"/>
      <c r="DC824" s="74"/>
      <c r="DD824" s="74"/>
      <c r="DE824" s="74"/>
      <c r="DF824" s="74"/>
      <c r="DG824" s="74"/>
      <c r="DH824" s="74"/>
      <c r="DI824" s="74"/>
      <c r="DJ824" s="74"/>
      <c r="DK824" s="74"/>
      <c r="DL824" s="74"/>
      <c r="DM824" s="74"/>
      <c r="DN824" s="74"/>
      <c r="DO824" s="74"/>
      <c r="DP824" s="74"/>
      <c r="DQ824" s="74"/>
      <c r="DR824" s="74"/>
      <c r="DS824" s="74"/>
      <c r="DT824" s="74"/>
      <c r="DU824" s="74"/>
      <c r="DV824" s="74"/>
      <c r="DW824" s="74"/>
    </row>
    <row r="825">
      <c r="A825" s="40" t="s">
        <v>55</v>
      </c>
      <c r="B825" s="41" t="s">
        <v>56</v>
      </c>
      <c r="C825" s="31" t="s">
        <v>2084</v>
      </c>
      <c r="D825" s="25" t="str">
        <f>IFERROR(__xludf.DUMMYFUNCTION("SPLIT(C825,"" "")"),"Iwasko,")</f>
        <v>Iwasko,</v>
      </c>
      <c r="E825" s="40" t="str">
        <f>IFERROR(__xludf.DUMMYFUNCTION("""COMPUTED_VALUE"""),"Ava
4420")</f>
        <v>Ava
4420</v>
      </c>
      <c r="F825" s="40" t="str">
        <f>IFERROR(__xludf.DUMMYFUNCTION("""COMPUTED_VALUE"""),"Cedarbrush")</f>
        <v>Cedarbrush</v>
      </c>
      <c r="G825" s="40" t="str">
        <f>IFERROR(__xludf.DUMMYFUNCTION("""COMPUTED_VALUE"""),"Dr
Dallas,")</f>
        <v>Dr
Dallas,</v>
      </c>
      <c r="H825" s="40" t="str">
        <f>IFERROR(__xludf.DUMMYFUNCTION("""COMPUTED_VALUE"""),"TX")</f>
        <v>TX</v>
      </c>
      <c r="I825" s="40">
        <f>IFERROR(__xludf.DUMMYFUNCTION("""COMPUTED_VALUE"""),75287.0)</f>
        <v>75287</v>
      </c>
      <c r="J825" s="40"/>
      <c r="K825" s="40"/>
      <c r="L825" s="40"/>
      <c r="M825" s="40"/>
      <c r="N825" s="40"/>
      <c r="O825" s="40"/>
      <c r="P825" s="40"/>
      <c r="Q825" s="40"/>
      <c r="R825" s="40"/>
      <c r="S825" s="40"/>
      <c r="T825" s="40"/>
      <c r="U825" s="24" t="str">
        <f>IFERROR(__xludf.DUMMYFUNCTION("SPLIT(E825,""01234567890"")"),"Ava
")</f>
        <v>Ava
</v>
      </c>
      <c r="V825" s="24" t="str">
        <f>IFERROR(__xludf.DUMMYFUNCTION("SPLIT(D825,"","")"),"Iwasko")</f>
        <v>Iwasko</v>
      </c>
      <c r="W825" s="25" t="str">
        <f t="shared" si="1"/>
        <v>AVA
 IWASKO</v>
      </c>
      <c r="X825" s="40"/>
      <c r="Y825" s="40"/>
      <c r="Z825" s="25" t="str">
        <f>IFERROR(__xludf.DUMMYFUNCTION("SPLIT(C825,""
"")"),"Iwasko, Ava")</f>
        <v>Iwasko, Ava</v>
      </c>
      <c r="AA825" s="40" t="str">
        <f>IFERROR(__xludf.DUMMYFUNCTION("""COMPUTED_VALUE"""),"4420 Cedarbrush Dr")</f>
        <v>4420 Cedarbrush Dr</v>
      </c>
      <c r="AB825" s="40" t="str">
        <f>IFERROR(__xludf.DUMMYFUNCTION("""COMPUTED_VALUE"""),"Dallas, TX 75287")</f>
        <v>Dallas, TX 75287</v>
      </c>
      <c r="AC825" s="31" t="s">
        <v>2085</v>
      </c>
      <c r="AD825" s="40"/>
      <c r="AE825" s="40"/>
      <c r="AF825" s="40"/>
      <c r="AG825" s="40" t="s">
        <v>60</v>
      </c>
      <c r="AH825" s="42">
        <v>2481.0</v>
      </c>
      <c r="AI825" s="40" t="s">
        <v>68</v>
      </c>
      <c r="AJ825" s="27">
        <v>25.0</v>
      </c>
      <c r="AK825" s="31" t="s">
        <v>25</v>
      </c>
      <c r="AL825" s="43">
        <v>44790.0</v>
      </c>
      <c r="AM825" s="44">
        <v>44937.81995370371</v>
      </c>
      <c r="AN825" s="30">
        <v>2.0</v>
      </c>
      <c r="AO825" s="40"/>
      <c r="AP825" s="40"/>
      <c r="AQ825" s="40"/>
      <c r="AR825" s="40"/>
      <c r="AS825" s="40"/>
      <c r="AT825" s="47"/>
      <c r="AU825" s="40"/>
      <c r="AV825" s="46" t="str">
        <f>IFERROR(__xludf.DUMMYFUNCTION("""COMPUTED_VALUE"""),"Foy")</f>
        <v>Foy</v>
      </c>
      <c r="AW825" s="46">
        <f t="shared" si="7"/>
        <v>100</v>
      </c>
      <c r="AX825" s="47">
        <f t="shared" ref="AX825:BQ825" si="2586">SUMIFS($AJ:$AJ,$V:$V,$AV825,$AK:$AK,AX$2)</f>
        <v>0</v>
      </c>
      <c r="AY825" s="48">
        <f t="shared" si="2586"/>
        <v>0</v>
      </c>
      <c r="AZ825" s="48">
        <f t="shared" si="2586"/>
        <v>100</v>
      </c>
      <c r="BA825" s="48">
        <f t="shared" si="2586"/>
        <v>0</v>
      </c>
      <c r="BB825" s="48">
        <f t="shared" si="2586"/>
        <v>0</v>
      </c>
      <c r="BC825" s="48">
        <f t="shared" si="2586"/>
        <v>0</v>
      </c>
      <c r="BD825" s="48">
        <f t="shared" si="2586"/>
        <v>0</v>
      </c>
      <c r="BE825" s="48">
        <f t="shared" si="2586"/>
        <v>0</v>
      </c>
      <c r="BF825" s="48">
        <f t="shared" si="2586"/>
        <v>0</v>
      </c>
      <c r="BG825" s="48">
        <f t="shared" si="2586"/>
        <v>0</v>
      </c>
      <c r="BH825" s="48">
        <f t="shared" si="2586"/>
        <v>0</v>
      </c>
      <c r="BI825" s="48">
        <f t="shared" si="2586"/>
        <v>0</v>
      </c>
      <c r="BJ825" s="48">
        <f t="shared" si="2586"/>
        <v>0</v>
      </c>
      <c r="BK825" s="48">
        <f t="shared" si="2586"/>
        <v>0</v>
      </c>
      <c r="BL825" s="48">
        <f t="shared" si="2586"/>
        <v>0</v>
      </c>
      <c r="BM825" s="48">
        <f t="shared" si="2586"/>
        <v>0</v>
      </c>
      <c r="BN825" s="48">
        <f t="shared" si="2586"/>
        <v>0</v>
      </c>
      <c r="BO825" s="48">
        <f t="shared" si="2586"/>
        <v>0</v>
      </c>
      <c r="BP825" s="48">
        <f t="shared" si="2586"/>
        <v>0</v>
      </c>
      <c r="BQ825" s="48">
        <f t="shared" si="2586"/>
        <v>0</v>
      </c>
      <c r="BR825" s="36">
        <f t="shared" si="9"/>
        <v>0</v>
      </c>
      <c r="BS825" s="38">
        <f t="shared" si="10"/>
        <v>1</v>
      </c>
      <c r="BT825" s="49">
        <f t="shared" si="11"/>
        <v>0</v>
      </c>
      <c r="BU825" s="38">
        <f t="shared" si="12"/>
        <v>1000</v>
      </c>
      <c r="BV825" s="46" t="str">
        <f>IFERROR(__xludf.DUMMYFUNCTION("""COMPUTED_VALUE"""),"Foy")</f>
        <v>Foy</v>
      </c>
      <c r="BW825" s="46">
        <f t="shared" si="13"/>
        <v>100</v>
      </c>
      <c r="BX825" s="47">
        <f t="shared" ref="BX825:CA825" si="2587">AX825-$BU825</f>
        <v>-1000</v>
      </c>
      <c r="BY825" s="47">
        <f t="shared" si="2587"/>
        <v>-1000</v>
      </c>
      <c r="BZ825" s="47">
        <f t="shared" si="2587"/>
        <v>-900</v>
      </c>
      <c r="CA825" s="47">
        <f t="shared" si="2587"/>
        <v>-1000</v>
      </c>
      <c r="CB825" s="47">
        <f t="shared" si="15"/>
        <v>-10000</v>
      </c>
      <c r="CC825" s="47">
        <f t="shared" ref="CC825:CQ825" si="2588">BC825-$BU825</f>
        <v>-1000</v>
      </c>
      <c r="CD825" s="47">
        <f t="shared" si="2588"/>
        <v>-1000</v>
      </c>
      <c r="CE825" s="47">
        <f t="shared" si="2588"/>
        <v>-1000</v>
      </c>
      <c r="CF825" s="47">
        <f t="shared" si="2588"/>
        <v>-1000</v>
      </c>
      <c r="CG825" s="47">
        <f t="shared" si="2588"/>
        <v>-1000</v>
      </c>
      <c r="CH825" s="47">
        <f t="shared" si="2588"/>
        <v>-1000</v>
      </c>
      <c r="CI825" s="47">
        <f t="shared" si="2588"/>
        <v>-1000</v>
      </c>
      <c r="CJ825" s="47">
        <f t="shared" si="2588"/>
        <v>-1000</v>
      </c>
      <c r="CK825" s="47">
        <f t="shared" si="2588"/>
        <v>-1000</v>
      </c>
      <c r="CL825" s="47">
        <f t="shared" si="2588"/>
        <v>-1000</v>
      </c>
      <c r="CM825" s="47">
        <f t="shared" si="2588"/>
        <v>-1000</v>
      </c>
      <c r="CN825" s="47">
        <f t="shared" si="2588"/>
        <v>-1000</v>
      </c>
      <c r="CO825" s="47">
        <f t="shared" si="2588"/>
        <v>-1000</v>
      </c>
      <c r="CP825" s="47">
        <f t="shared" si="2588"/>
        <v>-1000</v>
      </c>
      <c r="CQ825" s="47">
        <f t="shared" si="2588"/>
        <v>-1000</v>
      </c>
      <c r="CR825" s="47"/>
      <c r="CS825" s="47"/>
      <c r="CT825" s="47"/>
      <c r="CU825" s="74"/>
      <c r="CV825" s="74"/>
      <c r="CW825" s="74" t="str">
        <f>IFERROR(__xludf.DUMMYFUNCTION("IF(REGEXMATCH(UPPER(CU825), ""DALLAS""),,CU825)"),"")</f>
        <v/>
      </c>
      <c r="CX825" s="74"/>
      <c r="CY825" s="74"/>
      <c r="CZ825" s="74"/>
      <c r="DA825" s="75"/>
      <c r="DB825" s="74"/>
      <c r="DC825" s="74"/>
      <c r="DD825" s="74"/>
      <c r="DE825" s="74"/>
      <c r="DF825" s="74"/>
      <c r="DG825" s="74"/>
      <c r="DH825" s="74"/>
      <c r="DI825" s="74"/>
      <c r="DJ825" s="74"/>
      <c r="DK825" s="74"/>
      <c r="DL825" s="74"/>
      <c r="DM825" s="74"/>
      <c r="DN825" s="74"/>
      <c r="DO825" s="74"/>
      <c r="DP825" s="74"/>
      <c r="DQ825" s="74"/>
      <c r="DR825" s="74"/>
      <c r="DS825" s="74"/>
      <c r="DT825" s="74"/>
      <c r="DU825" s="74"/>
      <c r="DV825" s="74"/>
      <c r="DW825" s="74"/>
    </row>
    <row r="826">
      <c r="A826" s="22" t="s">
        <v>55</v>
      </c>
      <c r="B826" s="23" t="s">
        <v>56</v>
      </c>
      <c r="C826" s="31" t="s">
        <v>2086</v>
      </c>
      <c r="D826" s="25" t="str">
        <f>IFERROR(__xludf.DUMMYFUNCTION("SPLIT(C826,"" "")"),"Rothenberger,")</f>
        <v>Rothenberger,</v>
      </c>
      <c r="E826" s="22" t="str">
        <f>IFERROR(__xludf.DUMMYFUNCTION("""COMPUTED_VALUE"""),"Reagan
4315")</f>
        <v>Reagan
4315</v>
      </c>
      <c r="F826" s="22" t="str">
        <f>IFERROR(__xludf.DUMMYFUNCTION("""COMPUTED_VALUE"""),"Brooktree")</f>
        <v>Brooktree</v>
      </c>
      <c r="G826" s="22" t="str">
        <f>IFERROR(__xludf.DUMMYFUNCTION("""COMPUTED_VALUE"""),"Ln
Dallas,")</f>
        <v>Ln
Dallas,</v>
      </c>
      <c r="H826" s="22" t="str">
        <f>IFERROR(__xludf.DUMMYFUNCTION("""COMPUTED_VALUE"""),"TX")</f>
        <v>TX</v>
      </c>
      <c r="I826" s="22">
        <f>IFERROR(__xludf.DUMMYFUNCTION("""COMPUTED_VALUE"""),75287.0)</f>
        <v>75287</v>
      </c>
      <c r="J826" s="22"/>
      <c r="K826" s="22"/>
      <c r="L826" s="22"/>
      <c r="M826" s="22"/>
      <c r="N826" s="22"/>
      <c r="O826" s="22"/>
      <c r="P826" s="22"/>
      <c r="Q826" s="22"/>
      <c r="R826" s="22"/>
      <c r="S826" s="22"/>
      <c r="T826" s="22"/>
      <c r="U826" s="24" t="str">
        <f>IFERROR(__xludf.DUMMYFUNCTION("SPLIT(E826,""01234567890"")"),"Reagan
")</f>
        <v>Reagan
</v>
      </c>
      <c r="V826" s="24" t="str">
        <f>IFERROR(__xludf.DUMMYFUNCTION("SPLIT(D826,"","")"),"Rothenberger")</f>
        <v>Rothenberger</v>
      </c>
      <c r="W826" s="25" t="str">
        <f t="shared" si="1"/>
        <v>REAGAN
 ROTHENBERGER</v>
      </c>
      <c r="X826" s="22"/>
      <c r="Y826" s="22"/>
      <c r="Z826" s="25" t="str">
        <f>IFERROR(__xludf.DUMMYFUNCTION("SPLIT(C826,""
"")"),"Rothenberger, Reagan")</f>
        <v>Rothenberger, Reagan</v>
      </c>
      <c r="AA826" s="22" t="str">
        <f>IFERROR(__xludf.DUMMYFUNCTION("""COMPUTED_VALUE"""),"4315 Brooktree Ln")</f>
        <v>4315 Brooktree Ln</v>
      </c>
      <c r="AB826" s="22" t="str">
        <f>IFERROR(__xludf.DUMMYFUNCTION("""COMPUTED_VALUE"""),"Dallas, TX 75287")</f>
        <v>Dallas, TX 75287</v>
      </c>
      <c r="AC826" s="31" t="s">
        <v>2087</v>
      </c>
      <c r="AD826" s="22"/>
      <c r="AE826" s="22"/>
      <c r="AF826" s="22"/>
      <c r="AG826" s="22" t="s">
        <v>60</v>
      </c>
      <c r="AH826" s="54">
        <v>2481.0</v>
      </c>
      <c r="AI826" s="22" t="s">
        <v>68</v>
      </c>
      <c r="AJ826" s="27">
        <v>50.0</v>
      </c>
      <c r="AK826" s="31" t="s">
        <v>25</v>
      </c>
      <c r="AL826" s="28">
        <v>44821.0</v>
      </c>
      <c r="AM826" s="29">
        <v>44937.81995370371</v>
      </c>
      <c r="AN826" s="30">
        <v>2.0</v>
      </c>
      <c r="AO826" s="22"/>
      <c r="AP826" s="22"/>
      <c r="AQ826" s="22"/>
      <c r="AR826" s="22"/>
      <c r="AS826" s="22"/>
      <c r="AT826" s="70"/>
      <c r="AU826" s="22"/>
      <c r="AV826" s="57" t="str">
        <f>IFERROR(__xludf.DUMMYFUNCTION("""COMPUTED_VALUE"""),"Wear")</f>
        <v>Wear</v>
      </c>
      <c r="AW826" s="46">
        <f t="shared" si="7"/>
        <v>100</v>
      </c>
      <c r="AX826" s="47">
        <f t="shared" ref="AX826:BQ826" si="2589">SUMIFS($AJ:$AJ,$V:$V,$AV826,$AK:$AK,AX$2)</f>
        <v>0</v>
      </c>
      <c r="AY826" s="48">
        <f t="shared" si="2589"/>
        <v>0</v>
      </c>
      <c r="AZ826" s="48">
        <f t="shared" si="2589"/>
        <v>100</v>
      </c>
      <c r="BA826" s="48">
        <f t="shared" si="2589"/>
        <v>0</v>
      </c>
      <c r="BB826" s="48">
        <f t="shared" si="2589"/>
        <v>0</v>
      </c>
      <c r="BC826" s="48">
        <f t="shared" si="2589"/>
        <v>0</v>
      </c>
      <c r="BD826" s="48">
        <f t="shared" si="2589"/>
        <v>0</v>
      </c>
      <c r="BE826" s="48">
        <f t="shared" si="2589"/>
        <v>0</v>
      </c>
      <c r="BF826" s="48">
        <f t="shared" si="2589"/>
        <v>0</v>
      </c>
      <c r="BG826" s="48">
        <f t="shared" si="2589"/>
        <v>0</v>
      </c>
      <c r="BH826" s="48">
        <f t="shared" si="2589"/>
        <v>0</v>
      </c>
      <c r="BI826" s="48">
        <f t="shared" si="2589"/>
        <v>0</v>
      </c>
      <c r="BJ826" s="48">
        <f t="shared" si="2589"/>
        <v>0</v>
      </c>
      <c r="BK826" s="48">
        <f t="shared" si="2589"/>
        <v>0</v>
      </c>
      <c r="BL826" s="48">
        <f t="shared" si="2589"/>
        <v>0</v>
      </c>
      <c r="BM826" s="48">
        <f t="shared" si="2589"/>
        <v>0</v>
      </c>
      <c r="BN826" s="48">
        <f t="shared" si="2589"/>
        <v>0</v>
      </c>
      <c r="BO826" s="48">
        <f t="shared" si="2589"/>
        <v>0</v>
      </c>
      <c r="BP826" s="48">
        <f t="shared" si="2589"/>
        <v>0</v>
      </c>
      <c r="BQ826" s="48">
        <f t="shared" si="2589"/>
        <v>0</v>
      </c>
      <c r="BR826" s="36">
        <f t="shared" si="9"/>
        <v>0</v>
      </c>
      <c r="BS826" s="38">
        <f t="shared" si="10"/>
        <v>1</v>
      </c>
      <c r="BT826" s="49">
        <f t="shared" si="11"/>
        <v>0</v>
      </c>
      <c r="BU826" s="38">
        <f t="shared" si="12"/>
        <v>1000</v>
      </c>
      <c r="BV826" s="57" t="str">
        <f>IFERROR(__xludf.DUMMYFUNCTION("""COMPUTED_VALUE"""),"Wear")</f>
        <v>Wear</v>
      </c>
      <c r="BW826" s="46">
        <f t="shared" si="13"/>
        <v>100</v>
      </c>
      <c r="BX826" s="47">
        <f t="shared" ref="BX826:CA826" si="2590">AX826-$BU826</f>
        <v>-1000</v>
      </c>
      <c r="BY826" s="47">
        <f t="shared" si="2590"/>
        <v>-1000</v>
      </c>
      <c r="BZ826" s="47">
        <f t="shared" si="2590"/>
        <v>-900</v>
      </c>
      <c r="CA826" s="47">
        <f t="shared" si="2590"/>
        <v>-1000</v>
      </c>
      <c r="CB826" s="47">
        <f t="shared" si="15"/>
        <v>-10000</v>
      </c>
      <c r="CC826" s="47">
        <f t="shared" ref="CC826:CQ826" si="2591">BC826-$BU826</f>
        <v>-1000</v>
      </c>
      <c r="CD826" s="47">
        <f t="shared" si="2591"/>
        <v>-1000</v>
      </c>
      <c r="CE826" s="47">
        <f t="shared" si="2591"/>
        <v>-1000</v>
      </c>
      <c r="CF826" s="47">
        <f t="shared" si="2591"/>
        <v>-1000</v>
      </c>
      <c r="CG826" s="47">
        <f t="shared" si="2591"/>
        <v>-1000</v>
      </c>
      <c r="CH826" s="47">
        <f t="shared" si="2591"/>
        <v>-1000</v>
      </c>
      <c r="CI826" s="47">
        <f t="shared" si="2591"/>
        <v>-1000</v>
      </c>
      <c r="CJ826" s="47">
        <f t="shared" si="2591"/>
        <v>-1000</v>
      </c>
      <c r="CK826" s="47">
        <f t="shared" si="2591"/>
        <v>-1000</v>
      </c>
      <c r="CL826" s="47">
        <f t="shared" si="2591"/>
        <v>-1000</v>
      </c>
      <c r="CM826" s="47">
        <f t="shared" si="2591"/>
        <v>-1000</v>
      </c>
      <c r="CN826" s="47">
        <f t="shared" si="2591"/>
        <v>-1000</v>
      </c>
      <c r="CO826" s="47">
        <f t="shared" si="2591"/>
        <v>-1000</v>
      </c>
      <c r="CP826" s="47">
        <f t="shared" si="2591"/>
        <v>-1000</v>
      </c>
      <c r="CQ826" s="47">
        <f t="shared" si="2591"/>
        <v>-1000</v>
      </c>
      <c r="CR826" s="47"/>
      <c r="CS826" s="47"/>
      <c r="CT826" s="47"/>
      <c r="CU826" s="74"/>
      <c r="CV826" s="74"/>
      <c r="CW826" s="74" t="str">
        <f>IFERROR(__xludf.DUMMYFUNCTION("IF(REGEXMATCH(UPPER(CU826), ""DALLAS""),,CU826)"),"")</f>
        <v/>
      </c>
      <c r="CX826" s="74"/>
      <c r="CY826" s="74"/>
      <c r="CZ826" s="74"/>
      <c r="DA826" s="75"/>
      <c r="DB826" s="74"/>
      <c r="DC826" s="74"/>
      <c r="DD826" s="74"/>
      <c r="DE826" s="74"/>
      <c r="DF826" s="74"/>
      <c r="DG826" s="74"/>
      <c r="DH826" s="74"/>
      <c r="DI826" s="74"/>
      <c r="DJ826" s="74"/>
      <c r="DK826" s="74"/>
      <c r="DL826" s="74"/>
      <c r="DM826" s="74"/>
      <c r="DN826" s="74"/>
      <c r="DO826" s="74"/>
      <c r="DP826" s="74"/>
      <c r="DQ826" s="74"/>
      <c r="DR826" s="74"/>
      <c r="DS826" s="74"/>
      <c r="DT826" s="74"/>
      <c r="DU826" s="74"/>
      <c r="DV826" s="74"/>
      <c r="DW826" s="74"/>
    </row>
    <row r="827">
      <c r="A827" s="40" t="s">
        <v>55</v>
      </c>
      <c r="B827" s="41" t="s">
        <v>56</v>
      </c>
      <c r="C827" s="31" t="s">
        <v>2088</v>
      </c>
      <c r="D827" s="25" t="str">
        <f>IFERROR(__xludf.DUMMYFUNCTION("SPLIT(C827,"" "")"),"Rubin,")</f>
        <v>Rubin,</v>
      </c>
      <c r="E827" s="40" t="str">
        <f>IFERROR(__xludf.DUMMYFUNCTION("""COMPUTED_VALUE"""),"Brent
7103")</f>
        <v>Brent
7103</v>
      </c>
      <c r="F827" s="40" t="str">
        <f>IFERROR(__xludf.DUMMYFUNCTION("""COMPUTED_VALUE"""),"Coronado")</f>
        <v>Coronado</v>
      </c>
      <c r="G827" s="40" t="str">
        <f>IFERROR(__xludf.DUMMYFUNCTION("""COMPUTED_VALUE"""),"Ave
Dallas,")</f>
        <v>Ave
Dallas,</v>
      </c>
      <c r="H827" s="40" t="str">
        <f>IFERROR(__xludf.DUMMYFUNCTION("""COMPUTED_VALUE"""),"TX")</f>
        <v>TX</v>
      </c>
      <c r="I827" s="40">
        <f>IFERROR(__xludf.DUMMYFUNCTION("""COMPUTED_VALUE"""),75214.0)</f>
        <v>75214</v>
      </c>
      <c r="J827" s="40"/>
      <c r="K827" s="40"/>
      <c r="L827" s="40"/>
      <c r="M827" s="40"/>
      <c r="N827" s="40"/>
      <c r="O827" s="40"/>
      <c r="P827" s="40"/>
      <c r="Q827" s="40"/>
      <c r="R827" s="40"/>
      <c r="S827" s="40"/>
      <c r="T827" s="40"/>
      <c r="U827" s="24" t="str">
        <f>IFERROR(__xludf.DUMMYFUNCTION("SPLIT(E827,""01234567890"")"),"Brent
")</f>
        <v>Brent
</v>
      </c>
      <c r="V827" s="24" t="str">
        <f>IFERROR(__xludf.DUMMYFUNCTION("SPLIT(D827,"","")"),"Rubin")</f>
        <v>Rubin</v>
      </c>
      <c r="W827" s="25" t="str">
        <f t="shared" si="1"/>
        <v>BRENT
 RUBIN</v>
      </c>
      <c r="X827" s="40"/>
      <c r="Y827" s="40"/>
      <c r="Z827" s="25" t="str">
        <f>IFERROR(__xludf.DUMMYFUNCTION("SPLIT(C827,""
"")"),"Rubin, Brent")</f>
        <v>Rubin, Brent</v>
      </c>
      <c r="AA827" s="40" t="str">
        <f>IFERROR(__xludf.DUMMYFUNCTION("""COMPUTED_VALUE"""),"7103 Coronado Ave")</f>
        <v>7103 Coronado Ave</v>
      </c>
      <c r="AB827" s="40" t="str">
        <f>IFERROR(__xludf.DUMMYFUNCTION("""COMPUTED_VALUE"""),"Dallas, TX 75214")</f>
        <v>Dallas, TX 75214</v>
      </c>
      <c r="AC827" s="31" t="s">
        <v>2089</v>
      </c>
      <c r="AD827" s="40"/>
      <c r="AE827" s="40"/>
      <c r="AF827" s="40"/>
      <c r="AG827" s="40" t="s">
        <v>60</v>
      </c>
      <c r="AH827" s="42">
        <v>2481.0</v>
      </c>
      <c r="AI827" s="40" t="s">
        <v>68</v>
      </c>
      <c r="AJ827" s="27">
        <v>1000.0</v>
      </c>
      <c r="AK827" s="31" t="s">
        <v>25</v>
      </c>
      <c r="AL827" s="43">
        <v>44813.0</v>
      </c>
      <c r="AM827" s="44">
        <v>44937.81995370371</v>
      </c>
      <c r="AN827" s="30">
        <v>2.0</v>
      </c>
      <c r="AO827" s="40"/>
      <c r="AP827" s="40"/>
      <c r="AQ827" s="40"/>
      <c r="AR827" s="40"/>
      <c r="AS827" s="40"/>
      <c r="AT827" s="47"/>
      <c r="AU827" s="40"/>
      <c r="AV827" s="46" t="str">
        <f>IFERROR(__xludf.DUMMYFUNCTION("""COMPUTED_VALUE"""),"Crockett")</f>
        <v>Crockett</v>
      </c>
      <c r="AW827" s="46">
        <f t="shared" si="7"/>
        <v>500</v>
      </c>
      <c r="AX827" s="47">
        <f t="shared" ref="AX827:BQ827" si="2592">SUMIFS($AJ:$AJ,$V:$V,$AV827,$AK:$AK,AX$2)</f>
        <v>0</v>
      </c>
      <c r="AY827" s="48">
        <f t="shared" si="2592"/>
        <v>0</v>
      </c>
      <c r="AZ827" s="48">
        <f t="shared" si="2592"/>
        <v>500</v>
      </c>
      <c r="BA827" s="48">
        <f t="shared" si="2592"/>
        <v>0</v>
      </c>
      <c r="BB827" s="48">
        <f t="shared" si="2592"/>
        <v>0</v>
      </c>
      <c r="BC827" s="48">
        <f t="shared" si="2592"/>
        <v>0</v>
      </c>
      <c r="BD827" s="48">
        <f t="shared" si="2592"/>
        <v>0</v>
      </c>
      <c r="BE827" s="48">
        <f t="shared" si="2592"/>
        <v>0</v>
      </c>
      <c r="BF827" s="48">
        <f t="shared" si="2592"/>
        <v>0</v>
      </c>
      <c r="BG827" s="48">
        <f t="shared" si="2592"/>
        <v>0</v>
      </c>
      <c r="BH827" s="48">
        <f t="shared" si="2592"/>
        <v>0</v>
      </c>
      <c r="BI827" s="48">
        <f t="shared" si="2592"/>
        <v>0</v>
      </c>
      <c r="BJ827" s="48">
        <f t="shared" si="2592"/>
        <v>0</v>
      </c>
      <c r="BK827" s="48">
        <f t="shared" si="2592"/>
        <v>0</v>
      </c>
      <c r="BL827" s="48">
        <f t="shared" si="2592"/>
        <v>0</v>
      </c>
      <c r="BM827" s="48">
        <f t="shared" si="2592"/>
        <v>0</v>
      </c>
      <c r="BN827" s="48">
        <f t="shared" si="2592"/>
        <v>0</v>
      </c>
      <c r="BO827" s="48">
        <f t="shared" si="2592"/>
        <v>0</v>
      </c>
      <c r="BP827" s="48">
        <f t="shared" si="2592"/>
        <v>0</v>
      </c>
      <c r="BQ827" s="48">
        <f t="shared" si="2592"/>
        <v>0</v>
      </c>
      <c r="BR827" s="36">
        <f t="shared" si="9"/>
        <v>0</v>
      </c>
      <c r="BS827" s="38">
        <f t="shared" si="10"/>
        <v>1</v>
      </c>
      <c r="BT827" s="49">
        <f t="shared" si="11"/>
        <v>0</v>
      </c>
      <c r="BU827" s="38">
        <f t="shared" si="12"/>
        <v>1000</v>
      </c>
      <c r="BV827" s="46" t="str">
        <f>IFERROR(__xludf.DUMMYFUNCTION("""COMPUTED_VALUE"""),"Crockett")</f>
        <v>Crockett</v>
      </c>
      <c r="BW827" s="46">
        <f t="shared" si="13"/>
        <v>500</v>
      </c>
      <c r="BX827" s="47">
        <f t="shared" ref="BX827:CA827" si="2593">AX827-$BU827</f>
        <v>-1000</v>
      </c>
      <c r="BY827" s="47">
        <f t="shared" si="2593"/>
        <v>-1000</v>
      </c>
      <c r="BZ827" s="47">
        <f t="shared" si="2593"/>
        <v>-500</v>
      </c>
      <c r="CA827" s="47">
        <f t="shared" si="2593"/>
        <v>-1000</v>
      </c>
      <c r="CB827" s="47">
        <f t="shared" si="15"/>
        <v>-10000</v>
      </c>
      <c r="CC827" s="47">
        <f t="shared" ref="CC827:CQ827" si="2594">BC827-$BU827</f>
        <v>-1000</v>
      </c>
      <c r="CD827" s="47">
        <f t="shared" si="2594"/>
        <v>-1000</v>
      </c>
      <c r="CE827" s="47">
        <f t="shared" si="2594"/>
        <v>-1000</v>
      </c>
      <c r="CF827" s="47">
        <f t="shared" si="2594"/>
        <v>-1000</v>
      </c>
      <c r="CG827" s="47">
        <f t="shared" si="2594"/>
        <v>-1000</v>
      </c>
      <c r="CH827" s="47">
        <f t="shared" si="2594"/>
        <v>-1000</v>
      </c>
      <c r="CI827" s="47">
        <f t="shared" si="2594"/>
        <v>-1000</v>
      </c>
      <c r="CJ827" s="47">
        <f t="shared" si="2594"/>
        <v>-1000</v>
      </c>
      <c r="CK827" s="47">
        <f t="shared" si="2594"/>
        <v>-1000</v>
      </c>
      <c r="CL827" s="47">
        <f t="shared" si="2594"/>
        <v>-1000</v>
      </c>
      <c r="CM827" s="47">
        <f t="shared" si="2594"/>
        <v>-1000</v>
      </c>
      <c r="CN827" s="47">
        <f t="shared" si="2594"/>
        <v>-1000</v>
      </c>
      <c r="CO827" s="47">
        <f t="shared" si="2594"/>
        <v>-1000</v>
      </c>
      <c r="CP827" s="47">
        <f t="shared" si="2594"/>
        <v>-1000</v>
      </c>
      <c r="CQ827" s="47">
        <f t="shared" si="2594"/>
        <v>-1000</v>
      </c>
      <c r="CR827" s="47"/>
      <c r="CS827" s="47"/>
      <c r="CT827" s="47"/>
      <c r="CU827" s="74"/>
      <c r="CV827" s="74"/>
      <c r="CW827" s="74" t="str">
        <f>IFERROR(__xludf.DUMMYFUNCTION("IF(REGEXMATCH(UPPER(CU827), ""DALLAS""),,CU827)"),"")</f>
        <v/>
      </c>
      <c r="CX827" s="74"/>
      <c r="CY827" s="74"/>
      <c r="CZ827" s="74"/>
      <c r="DA827" s="75"/>
      <c r="DB827" s="74"/>
      <c r="DC827" s="74"/>
      <c r="DD827" s="74"/>
      <c r="DE827" s="74"/>
      <c r="DF827" s="74"/>
      <c r="DG827" s="74"/>
      <c r="DH827" s="74"/>
      <c r="DI827" s="74"/>
      <c r="DJ827" s="74"/>
      <c r="DK827" s="74"/>
      <c r="DL827" s="74"/>
      <c r="DM827" s="74"/>
      <c r="DN827" s="74"/>
      <c r="DO827" s="74"/>
      <c r="DP827" s="74"/>
      <c r="DQ827" s="74"/>
      <c r="DR827" s="74"/>
      <c r="DS827" s="74"/>
      <c r="DT827" s="74"/>
      <c r="DU827" s="74"/>
      <c r="DV827" s="74"/>
      <c r="DW827" s="74"/>
    </row>
    <row r="828">
      <c r="A828" s="22" t="s">
        <v>55</v>
      </c>
      <c r="B828" s="23" t="s">
        <v>56</v>
      </c>
      <c r="C828" s="31" t="s">
        <v>2090</v>
      </c>
      <c r="D828" s="25" t="str">
        <f>IFERROR(__xludf.DUMMYFUNCTION("SPLIT(C828,"" "")"),"Velvin,")</f>
        <v>Velvin,</v>
      </c>
      <c r="E828" s="22" t="str">
        <f>IFERROR(__xludf.DUMMYFUNCTION("""COMPUTED_VALUE"""),"Elaine
12418")</f>
        <v>Elaine
12418</v>
      </c>
      <c r="F828" s="22" t="str">
        <f>IFERROR(__xludf.DUMMYFUNCTION("""COMPUTED_VALUE"""),"Montego")</f>
        <v>Montego</v>
      </c>
      <c r="G828" s="22" t="str">
        <f>IFERROR(__xludf.DUMMYFUNCTION("""COMPUTED_VALUE"""),"Plaza
Dallas,")</f>
        <v>Plaza
Dallas,</v>
      </c>
      <c r="H828" s="22" t="str">
        <f>IFERROR(__xludf.DUMMYFUNCTION("""COMPUTED_VALUE"""),"TX")</f>
        <v>TX</v>
      </c>
      <c r="I828" s="22">
        <f>IFERROR(__xludf.DUMMYFUNCTION("""COMPUTED_VALUE"""),75230.0)</f>
        <v>75230</v>
      </c>
      <c r="J828" s="22"/>
      <c r="K828" s="22"/>
      <c r="L828" s="22"/>
      <c r="M828" s="22"/>
      <c r="N828" s="22"/>
      <c r="O828" s="22"/>
      <c r="P828" s="22"/>
      <c r="Q828" s="22"/>
      <c r="R828" s="22"/>
      <c r="S828" s="22"/>
      <c r="T828" s="22"/>
      <c r="U828" s="24" t="str">
        <f>IFERROR(__xludf.DUMMYFUNCTION("SPLIT(E828,""01234567890"")"),"Elaine
")</f>
        <v>Elaine
</v>
      </c>
      <c r="V828" s="24" t="str">
        <f>IFERROR(__xludf.DUMMYFUNCTION("SPLIT(D828,"","")"),"Velvin")</f>
        <v>Velvin</v>
      </c>
      <c r="W828" s="25" t="str">
        <f t="shared" si="1"/>
        <v>ELAINE
 VELVIN</v>
      </c>
      <c r="X828" s="22"/>
      <c r="Y828" s="22"/>
      <c r="Z828" s="25" t="str">
        <f>IFERROR(__xludf.DUMMYFUNCTION("SPLIT(C828,""
"")"),"Velvin, Elaine")</f>
        <v>Velvin, Elaine</v>
      </c>
      <c r="AA828" s="22" t="str">
        <f>IFERROR(__xludf.DUMMYFUNCTION("""COMPUTED_VALUE"""),"12418 Montego Plaza")</f>
        <v>12418 Montego Plaza</v>
      </c>
      <c r="AB828" s="22" t="str">
        <f>IFERROR(__xludf.DUMMYFUNCTION("""COMPUTED_VALUE"""),"Dallas, TX 75230")</f>
        <v>Dallas, TX 75230</v>
      </c>
      <c r="AC828" s="31" t="s">
        <v>2091</v>
      </c>
      <c r="AD828" s="22"/>
      <c r="AE828" s="22"/>
      <c r="AF828" s="22"/>
      <c r="AG828" s="22" t="s">
        <v>60</v>
      </c>
      <c r="AH828" s="54">
        <v>2481.0</v>
      </c>
      <c r="AI828" s="22" t="s">
        <v>68</v>
      </c>
      <c r="AJ828" s="27">
        <v>50.0</v>
      </c>
      <c r="AK828" s="31" t="s">
        <v>25</v>
      </c>
      <c r="AL828" s="28">
        <v>44823.0</v>
      </c>
      <c r="AM828" s="29">
        <v>44937.81995370371</v>
      </c>
      <c r="AN828" s="30">
        <v>2.0</v>
      </c>
      <c r="AO828" s="22"/>
      <c r="AP828" s="22"/>
      <c r="AQ828" s="22"/>
      <c r="AR828" s="22"/>
      <c r="AS828" s="22"/>
      <c r="AT828" s="70"/>
      <c r="AU828" s="22"/>
      <c r="AV828" s="57" t="str">
        <f>IFERROR(__xludf.DUMMYFUNCTION("""COMPUTED_VALUE"""),"Rogers")</f>
        <v>Rogers</v>
      </c>
      <c r="AW828" s="46">
        <f t="shared" si="7"/>
        <v>412.45</v>
      </c>
      <c r="AX828" s="47">
        <f t="shared" ref="AX828:BQ828" si="2595">SUMIFS($AJ:$AJ,$V:$V,$AV828,$AK:$AK,AX$2)</f>
        <v>0</v>
      </c>
      <c r="AY828" s="48">
        <f t="shared" si="2595"/>
        <v>0</v>
      </c>
      <c r="AZ828" s="48">
        <f t="shared" si="2595"/>
        <v>100</v>
      </c>
      <c r="BA828" s="48">
        <f t="shared" si="2595"/>
        <v>0</v>
      </c>
      <c r="BB828" s="48">
        <f t="shared" si="2595"/>
        <v>0</v>
      </c>
      <c r="BC828" s="48">
        <f t="shared" si="2595"/>
        <v>0</v>
      </c>
      <c r="BD828" s="48">
        <f t="shared" si="2595"/>
        <v>0</v>
      </c>
      <c r="BE828" s="48">
        <f t="shared" si="2595"/>
        <v>0</v>
      </c>
      <c r="BF828" s="48">
        <f t="shared" si="2595"/>
        <v>0</v>
      </c>
      <c r="BG828" s="48">
        <f t="shared" si="2595"/>
        <v>0</v>
      </c>
      <c r="BH828" s="48">
        <f t="shared" si="2595"/>
        <v>0</v>
      </c>
      <c r="BI828" s="48">
        <f t="shared" si="2595"/>
        <v>0</v>
      </c>
      <c r="BJ828" s="48">
        <f t="shared" si="2595"/>
        <v>0</v>
      </c>
      <c r="BK828" s="48">
        <f t="shared" si="2595"/>
        <v>0</v>
      </c>
      <c r="BL828" s="48">
        <f t="shared" si="2595"/>
        <v>0</v>
      </c>
      <c r="BM828" s="48">
        <f t="shared" si="2595"/>
        <v>0</v>
      </c>
      <c r="BN828" s="48">
        <f t="shared" si="2595"/>
        <v>0</v>
      </c>
      <c r="BO828" s="48">
        <f t="shared" si="2595"/>
        <v>0</v>
      </c>
      <c r="BP828" s="48">
        <f t="shared" si="2595"/>
        <v>0</v>
      </c>
      <c r="BQ828" s="48">
        <f t="shared" si="2595"/>
        <v>312.45</v>
      </c>
      <c r="BR828" s="36">
        <f t="shared" si="9"/>
        <v>1</v>
      </c>
      <c r="BS828" s="38">
        <f t="shared" si="10"/>
        <v>2</v>
      </c>
      <c r="BT828" s="49">
        <f t="shared" si="11"/>
        <v>0</v>
      </c>
      <c r="BU828" s="38">
        <f t="shared" si="12"/>
        <v>2000</v>
      </c>
      <c r="BV828" s="57" t="str">
        <f>IFERROR(__xludf.DUMMYFUNCTION("""COMPUTED_VALUE"""),"Rogers")</f>
        <v>Rogers</v>
      </c>
      <c r="BW828" s="46">
        <f t="shared" si="13"/>
        <v>412.45</v>
      </c>
      <c r="BX828" s="47">
        <f t="shared" ref="BX828:CA828" si="2596">AX828-$BU828</f>
        <v>-2000</v>
      </c>
      <c r="BY828" s="47">
        <f t="shared" si="2596"/>
        <v>-2000</v>
      </c>
      <c r="BZ828" s="47">
        <f t="shared" si="2596"/>
        <v>-1900</v>
      </c>
      <c r="CA828" s="47">
        <f t="shared" si="2596"/>
        <v>-2000</v>
      </c>
      <c r="CB828" s="47">
        <f t="shared" si="15"/>
        <v>-20000</v>
      </c>
      <c r="CC828" s="47">
        <f t="shared" ref="CC828:CQ828" si="2597">BC828-$BU828</f>
        <v>-2000</v>
      </c>
      <c r="CD828" s="47">
        <f t="shared" si="2597"/>
        <v>-2000</v>
      </c>
      <c r="CE828" s="47">
        <f t="shared" si="2597"/>
        <v>-2000</v>
      </c>
      <c r="CF828" s="47">
        <f t="shared" si="2597"/>
        <v>-2000</v>
      </c>
      <c r="CG828" s="47">
        <f t="shared" si="2597"/>
        <v>-2000</v>
      </c>
      <c r="CH828" s="47">
        <f t="shared" si="2597"/>
        <v>-2000</v>
      </c>
      <c r="CI828" s="47">
        <f t="shared" si="2597"/>
        <v>-2000</v>
      </c>
      <c r="CJ828" s="47">
        <f t="shared" si="2597"/>
        <v>-2000</v>
      </c>
      <c r="CK828" s="47">
        <f t="shared" si="2597"/>
        <v>-2000</v>
      </c>
      <c r="CL828" s="47">
        <f t="shared" si="2597"/>
        <v>-2000</v>
      </c>
      <c r="CM828" s="47">
        <f t="shared" si="2597"/>
        <v>-2000</v>
      </c>
      <c r="CN828" s="47">
        <f t="shared" si="2597"/>
        <v>-2000</v>
      </c>
      <c r="CO828" s="47">
        <f t="shared" si="2597"/>
        <v>-2000</v>
      </c>
      <c r="CP828" s="47">
        <f t="shared" si="2597"/>
        <v>-2000</v>
      </c>
      <c r="CQ828" s="47">
        <f t="shared" si="2597"/>
        <v>-1687.55</v>
      </c>
      <c r="CR828" s="47"/>
      <c r="CS828" s="47"/>
      <c r="CT828" s="47"/>
      <c r="CU828" s="74"/>
      <c r="CV828" s="74"/>
      <c r="CW828" s="74" t="str">
        <f>IFERROR(__xludf.DUMMYFUNCTION("IF(REGEXMATCH(UPPER(CU828), ""DALLAS""),,CU828)"),"")</f>
        <v/>
      </c>
      <c r="CX828" s="74"/>
      <c r="CY828" s="74"/>
      <c r="CZ828" s="74"/>
      <c r="DA828" s="75"/>
      <c r="DB828" s="74"/>
      <c r="DC828" s="74"/>
      <c r="DD828" s="74"/>
      <c r="DE828" s="74"/>
      <c r="DF828" s="74"/>
      <c r="DG828" s="74"/>
      <c r="DH828" s="74"/>
      <c r="DI828" s="74"/>
      <c r="DJ828" s="74"/>
      <c r="DK828" s="74"/>
      <c r="DL828" s="74"/>
      <c r="DM828" s="74"/>
      <c r="DN828" s="74"/>
      <c r="DO828" s="74"/>
      <c r="DP828" s="74"/>
      <c r="DQ828" s="74"/>
      <c r="DR828" s="74"/>
      <c r="DS828" s="74"/>
      <c r="DT828" s="74"/>
      <c r="DU828" s="74"/>
      <c r="DV828" s="74"/>
      <c r="DW828" s="74"/>
    </row>
    <row r="829">
      <c r="A829" s="40" t="s">
        <v>55</v>
      </c>
      <c r="B829" s="41" t="s">
        <v>56</v>
      </c>
      <c r="C829" s="31" t="s">
        <v>1689</v>
      </c>
      <c r="D829" s="25" t="str">
        <f>IFERROR(__xludf.DUMMYFUNCTION("SPLIT(C829,"" "")"),"Tarpley,")</f>
        <v>Tarpley,</v>
      </c>
      <c r="E829" s="40" t="str">
        <f>IFERROR(__xludf.DUMMYFUNCTION("""COMPUTED_VALUE"""),"Gloria
8378")</f>
        <v>Gloria
8378</v>
      </c>
      <c r="F829" s="40" t="str">
        <f>IFERROR(__xludf.DUMMYFUNCTION("""COMPUTED_VALUE"""),"Forest")</f>
        <v>Forest</v>
      </c>
      <c r="G829" s="40" t="str">
        <f>IFERROR(__xludf.DUMMYFUNCTION("""COMPUTED_VALUE"""),"Hills")</f>
        <v>Hills</v>
      </c>
      <c r="H829" s="40" t="str">
        <f>IFERROR(__xludf.DUMMYFUNCTION("""COMPUTED_VALUE"""),"Blvd
Dallas,")</f>
        <v>Blvd
Dallas,</v>
      </c>
      <c r="I829" s="40" t="str">
        <f>IFERROR(__xludf.DUMMYFUNCTION("""COMPUTED_VALUE"""),"TX")</f>
        <v>TX</v>
      </c>
      <c r="J829" s="40">
        <f>IFERROR(__xludf.DUMMYFUNCTION("""COMPUTED_VALUE"""),75218.0)</f>
        <v>75218</v>
      </c>
      <c r="K829" s="40"/>
      <c r="L829" s="40"/>
      <c r="M829" s="40"/>
      <c r="N829" s="40"/>
      <c r="O829" s="40"/>
      <c r="P829" s="40"/>
      <c r="Q829" s="40"/>
      <c r="R829" s="40"/>
      <c r="S829" s="40"/>
      <c r="T829" s="40"/>
      <c r="U829" s="24" t="str">
        <f>IFERROR(__xludf.DUMMYFUNCTION("SPLIT(E829,""01234567890"")"),"Gloria
")</f>
        <v>Gloria
</v>
      </c>
      <c r="V829" s="24" t="str">
        <f>IFERROR(__xludf.DUMMYFUNCTION("SPLIT(D829,"","")"),"Tarpley")</f>
        <v>Tarpley</v>
      </c>
      <c r="W829" s="25" t="str">
        <f t="shared" si="1"/>
        <v>GLORIA
 TARPLEY</v>
      </c>
      <c r="X829" s="40"/>
      <c r="Y829" s="40"/>
      <c r="Z829" s="25" t="str">
        <f>IFERROR(__xludf.DUMMYFUNCTION("SPLIT(C829,""
"")"),"Tarpley, Gloria")</f>
        <v>Tarpley, Gloria</v>
      </c>
      <c r="AA829" s="40" t="str">
        <f>IFERROR(__xludf.DUMMYFUNCTION("""COMPUTED_VALUE"""),"8378 Forest Hills Blvd")</f>
        <v>8378 Forest Hills Blvd</v>
      </c>
      <c r="AB829" s="40" t="str">
        <f>IFERROR(__xludf.DUMMYFUNCTION("""COMPUTED_VALUE"""),"Dallas, TX 75218")</f>
        <v>Dallas, TX 75218</v>
      </c>
      <c r="AC829" s="31" t="s">
        <v>1341</v>
      </c>
      <c r="AD829" s="40"/>
      <c r="AE829" s="40"/>
      <c r="AF829" s="40"/>
      <c r="AG829" s="40" t="s">
        <v>60</v>
      </c>
      <c r="AH829" s="42">
        <v>2481.0</v>
      </c>
      <c r="AI829" s="40" t="s">
        <v>68</v>
      </c>
      <c r="AJ829" s="27">
        <v>500.0</v>
      </c>
      <c r="AK829" s="31" t="s">
        <v>25</v>
      </c>
      <c r="AL829" s="43">
        <v>44823.0</v>
      </c>
      <c r="AM829" s="44">
        <v>44937.81995370371</v>
      </c>
      <c r="AN829" s="30">
        <v>2.0</v>
      </c>
      <c r="AO829" s="40"/>
      <c r="AP829" s="40"/>
      <c r="AQ829" s="40"/>
      <c r="AR829" s="40"/>
      <c r="AS829" s="40"/>
      <c r="AT829" s="47"/>
      <c r="AU829" s="40"/>
      <c r="AV829" s="46" t="str">
        <f>IFERROR(__xludf.DUMMYFUNCTION("""COMPUTED_VALUE"""),"Silhan")</f>
        <v>Silhan</v>
      </c>
      <c r="AW829" s="46">
        <f t="shared" si="7"/>
        <v>200</v>
      </c>
      <c r="AX829" s="47">
        <f t="shared" ref="AX829:BQ829" si="2598">SUMIFS($AJ:$AJ,$V:$V,$AV829,$AK:$AK,AX$2)</f>
        <v>0</v>
      </c>
      <c r="AY829" s="48">
        <f t="shared" si="2598"/>
        <v>0</v>
      </c>
      <c r="AZ829" s="48">
        <f t="shared" si="2598"/>
        <v>200</v>
      </c>
      <c r="BA829" s="48">
        <f t="shared" si="2598"/>
        <v>0</v>
      </c>
      <c r="BB829" s="48">
        <f t="shared" si="2598"/>
        <v>0</v>
      </c>
      <c r="BC829" s="48">
        <f t="shared" si="2598"/>
        <v>0</v>
      </c>
      <c r="BD829" s="48">
        <f t="shared" si="2598"/>
        <v>0</v>
      </c>
      <c r="BE829" s="48">
        <f t="shared" si="2598"/>
        <v>0</v>
      </c>
      <c r="BF829" s="48">
        <f t="shared" si="2598"/>
        <v>0</v>
      </c>
      <c r="BG829" s="48">
        <f t="shared" si="2598"/>
        <v>0</v>
      </c>
      <c r="BH829" s="48">
        <f t="shared" si="2598"/>
        <v>0</v>
      </c>
      <c r="BI829" s="48">
        <f t="shared" si="2598"/>
        <v>0</v>
      </c>
      <c r="BJ829" s="48">
        <f t="shared" si="2598"/>
        <v>0</v>
      </c>
      <c r="BK829" s="48">
        <f t="shared" si="2598"/>
        <v>0</v>
      </c>
      <c r="BL829" s="48">
        <f t="shared" si="2598"/>
        <v>0</v>
      </c>
      <c r="BM829" s="48">
        <f t="shared" si="2598"/>
        <v>0</v>
      </c>
      <c r="BN829" s="48">
        <f t="shared" si="2598"/>
        <v>0</v>
      </c>
      <c r="BO829" s="48">
        <f t="shared" si="2598"/>
        <v>0</v>
      </c>
      <c r="BP829" s="48">
        <f t="shared" si="2598"/>
        <v>0</v>
      </c>
      <c r="BQ829" s="48">
        <f t="shared" si="2598"/>
        <v>0</v>
      </c>
      <c r="BR829" s="36">
        <f t="shared" si="9"/>
        <v>0</v>
      </c>
      <c r="BS829" s="38">
        <f t="shared" si="10"/>
        <v>1</v>
      </c>
      <c r="BT829" s="49">
        <f t="shared" si="11"/>
        <v>0</v>
      </c>
      <c r="BU829" s="38">
        <f t="shared" si="12"/>
        <v>1000</v>
      </c>
      <c r="BV829" s="46" t="str">
        <f>IFERROR(__xludf.DUMMYFUNCTION("""COMPUTED_VALUE"""),"Silhan")</f>
        <v>Silhan</v>
      </c>
      <c r="BW829" s="46">
        <f t="shared" si="13"/>
        <v>200</v>
      </c>
      <c r="BX829" s="47">
        <f t="shared" ref="BX829:CA829" si="2599">AX829-$BU829</f>
        <v>-1000</v>
      </c>
      <c r="BY829" s="47">
        <f t="shared" si="2599"/>
        <v>-1000</v>
      </c>
      <c r="BZ829" s="47">
        <f t="shared" si="2599"/>
        <v>-800</v>
      </c>
      <c r="CA829" s="47">
        <f t="shared" si="2599"/>
        <v>-1000</v>
      </c>
      <c r="CB829" s="47">
        <f t="shared" si="15"/>
        <v>-10000</v>
      </c>
      <c r="CC829" s="47">
        <f t="shared" ref="CC829:CQ829" si="2600">BC829-$BU829</f>
        <v>-1000</v>
      </c>
      <c r="CD829" s="47">
        <f t="shared" si="2600"/>
        <v>-1000</v>
      </c>
      <c r="CE829" s="47">
        <f t="shared" si="2600"/>
        <v>-1000</v>
      </c>
      <c r="CF829" s="47">
        <f t="shared" si="2600"/>
        <v>-1000</v>
      </c>
      <c r="CG829" s="47">
        <f t="shared" si="2600"/>
        <v>-1000</v>
      </c>
      <c r="CH829" s="47">
        <f t="shared" si="2600"/>
        <v>-1000</v>
      </c>
      <c r="CI829" s="47">
        <f t="shared" si="2600"/>
        <v>-1000</v>
      </c>
      <c r="CJ829" s="47">
        <f t="shared" si="2600"/>
        <v>-1000</v>
      </c>
      <c r="CK829" s="47">
        <f t="shared" si="2600"/>
        <v>-1000</v>
      </c>
      <c r="CL829" s="47">
        <f t="shared" si="2600"/>
        <v>-1000</v>
      </c>
      <c r="CM829" s="47">
        <f t="shared" si="2600"/>
        <v>-1000</v>
      </c>
      <c r="CN829" s="47">
        <f t="shared" si="2600"/>
        <v>-1000</v>
      </c>
      <c r="CO829" s="47">
        <f t="shared" si="2600"/>
        <v>-1000</v>
      </c>
      <c r="CP829" s="47">
        <f t="shared" si="2600"/>
        <v>-1000</v>
      </c>
      <c r="CQ829" s="47">
        <f t="shared" si="2600"/>
        <v>-1000</v>
      </c>
      <c r="CR829" s="47"/>
      <c r="CS829" s="47"/>
      <c r="CT829" s="47"/>
      <c r="CU829" s="74"/>
      <c r="CV829" s="74"/>
      <c r="CW829" s="74" t="str">
        <f>IFERROR(__xludf.DUMMYFUNCTION("IF(REGEXMATCH(UPPER(CU829), ""DALLAS""),,CU829)"),"")</f>
        <v/>
      </c>
      <c r="CX829" s="74"/>
      <c r="CY829" s="74"/>
      <c r="CZ829" s="74"/>
      <c r="DA829" s="75"/>
      <c r="DB829" s="74"/>
      <c r="DC829" s="74"/>
      <c r="DD829" s="74"/>
      <c r="DE829" s="74"/>
      <c r="DF829" s="74"/>
      <c r="DG829" s="74"/>
      <c r="DH829" s="74"/>
      <c r="DI829" s="74"/>
      <c r="DJ829" s="74"/>
      <c r="DK829" s="74"/>
      <c r="DL829" s="74"/>
      <c r="DM829" s="74"/>
      <c r="DN829" s="74"/>
      <c r="DO829" s="74"/>
      <c r="DP829" s="74"/>
      <c r="DQ829" s="74"/>
      <c r="DR829" s="74"/>
      <c r="DS829" s="74"/>
      <c r="DT829" s="74"/>
      <c r="DU829" s="74"/>
      <c r="DV829" s="74"/>
      <c r="DW829" s="74"/>
    </row>
    <row r="830">
      <c r="A830" s="22" t="s">
        <v>55</v>
      </c>
      <c r="B830" s="23" t="s">
        <v>56</v>
      </c>
      <c r="C830" s="31" t="s">
        <v>2092</v>
      </c>
      <c r="D830" s="25" t="str">
        <f>IFERROR(__xludf.DUMMYFUNCTION("SPLIT(C830,"" "")"),"Page,")</f>
        <v>Page,</v>
      </c>
      <c r="E830" s="22" t="str">
        <f>IFERROR(__xludf.DUMMYFUNCTION("""COMPUTED_VALUE"""),"Marcia
330")</f>
        <v>Marcia
330</v>
      </c>
      <c r="F830" s="22" t="str">
        <f>IFERROR(__xludf.DUMMYFUNCTION("""COMPUTED_VALUE"""),"Las")</f>
        <v>Las</v>
      </c>
      <c r="G830" s="22" t="str">
        <f>IFERROR(__xludf.DUMMYFUNCTION("""COMPUTED_VALUE"""),"Colinas")</f>
        <v>Colinas</v>
      </c>
      <c r="H830" s="22" t="str">
        <f>IFERROR(__xludf.DUMMYFUNCTION("""COMPUTED_VALUE"""),"Blvd")</f>
        <v>Blvd</v>
      </c>
      <c r="I830" s="22" t="str">
        <f>IFERROR(__xludf.DUMMYFUNCTION("""COMPUTED_VALUE"""),"E
Irving,")</f>
        <v>E
Irving,</v>
      </c>
      <c r="J830" s="22" t="str">
        <f>IFERROR(__xludf.DUMMYFUNCTION("""COMPUTED_VALUE"""),"TX")</f>
        <v>TX</v>
      </c>
      <c r="K830" s="22">
        <f>IFERROR(__xludf.DUMMYFUNCTION("""COMPUTED_VALUE"""),75039.0)</f>
        <v>75039</v>
      </c>
      <c r="L830" s="22"/>
      <c r="M830" s="22"/>
      <c r="N830" s="22"/>
      <c r="O830" s="22"/>
      <c r="P830" s="22"/>
      <c r="Q830" s="22"/>
      <c r="R830" s="22"/>
      <c r="S830" s="22"/>
      <c r="T830" s="22"/>
      <c r="U830" s="24" t="str">
        <f>IFERROR(__xludf.DUMMYFUNCTION("SPLIT(E830,""01234567890"")"),"Marcia
")</f>
        <v>Marcia
</v>
      </c>
      <c r="V830" s="24" t="str">
        <f>IFERROR(__xludf.DUMMYFUNCTION("SPLIT(D830,"","")"),"Page")</f>
        <v>Page</v>
      </c>
      <c r="W830" s="25" t="str">
        <f t="shared" si="1"/>
        <v>MARCIA
 PAGE</v>
      </c>
      <c r="X830" s="22"/>
      <c r="Y830" s="22"/>
      <c r="Z830" s="25" t="str">
        <f>IFERROR(__xludf.DUMMYFUNCTION("SPLIT(C830,""
"")"),"Page, Marcia")</f>
        <v>Page, Marcia</v>
      </c>
      <c r="AA830" s="22" t="str">
        <f>IFERROR(__xludf.DUMMYFUNCTION("""COMPUTED_VALUE"""),"330 Las Colinas Blvd E")</f>
        <v>330 Las Colinas Blvd E</v>
      </c>
      <c r="AB830" s="22" t="str">
        <f>IFERROR(__xludf.DUMMYFUNCTION("""COMPUTED_VALUE"""),"Irving, TX 75039")</f>
        <v>Irving, TX 75039</v>
      </c>
      <c r="AC830" s="31" t="s">
        <v>2093</v>
      </c>
      <c r="AD830" s="22"/>
      <c r="AE830" s="22"/>
      <c r="AF830" s="22"/>
      <c r="AG830" s="22" t="s">
        <v>60</v>
      </c>
      <c r="AH830" s="54">
        <v>2481.0</v>
      </c>
      <c r="AI830" s="22" t="s">
        <v>68</v>
      </c>
      <c r="AJ830" s="27">
        <v>100.0</v>
      </c>
      <c r="AK830" s="31" t="s">
        <v>25</v>
      </c>
      <c r="AL830" s="28">
        <v>44823.0</v>
      </c>
      <c r="AM830" s="29">
        <v>44937.81995370371</v>
      </c>
      <c r="AN830" s="30">
        <v>2.0</v>
      </c>
      <c r="AO830" s="22"/>
      <c r="AP830" s="22"/>
      <c r="AQ830" s="22"/>
      <c r="AR830" s="22"/>
      <c r="AS830" s="22"/>
      <c r="AT830" s="70"/>
      <c r="AU830" s="22"/>
      <c r="AV830" s="57" t="str">
        <f>IFERROR(__xludf.DUMMYFUNCTION("""COMPUTED_VALUE"""),"Freeland")</f>
        <v>Freeland</v>
      </c>
      <c r="AW830" s="46">
        <f t="shared" si="7"/>
        <v>100</v>
      </c>
      <c r="AX830" s="47">
        <f t="shared" ref="AX830:BQ830" si="2601">SUMIFS($AJ:$AJ,$V:$V,$AV830,$AK:$AK,AX$2)</f>
        <v>0</v>
      </c>
      <c r="AY830" s="48">
        <f t="shared" si="2601"/>
        <v>0</v>
      </c>
      <c r="AZ830" s="48">
        <f t="shared" si="2601"/>
        <v>100</v>
      </c>
      <c r="BA830" s="48">
        <f t="shared" si="2601"/>
        <v>0</v>
      </c>
      <c r="BB830" s="48">
        <f t="shared" si="2601"/>
        <v>0</v>
      </c>
      <c r="BC830" s="48">
        <f t="shared" si="2601"/>
        <v>0</v>
      </c>
      <c r="BD830" s="48">
        <f t="shared" si="2601"/>
        <v>0</v>
      </c>
      <c r="BE830" s="48">
        <f t="shared" si="2601"/>
        <v>0</v>
      </c>
      <c r="BF830" s="48">
        <f t="shared" si="2601"/>
        <v>0</v>
      </c>
      <c r="BG830" s="48">
        <f t="shared" si="2601"/>
        <v>0</v>
      </c>
      <c r="BH830" s="48">
        <f t="shared" si="2601"/>
        <v>0</v>
      </c>
      <c r="BI830" s="48">
        <f t="shared" si="2601"/>
        <v>0</v>
      </c>
      <c r="BJ830" s="48">
        <f t="shared" si="2601"/>
        <v>0</v>
      </c>
      <c r="BK830" s="48">
        <f t="shared" si="2601"/>
        <v>0</v>
      </c>
      <c r="BL830" s="48">
        <f t="shared" si="2601"/>
        <v>0</v>
      </c>
      <c r="BM830" s="48">
        <f t="shared" si="2601"/>
        <v>0</v>
      </c>
      <c r="BN830" s="48">
        <f t="shared" si="2601"/>
        <v>0</v>
      </c>
      <c r="BO830" s="48">
        <f t="shared" si="2601"/>
        <v>0</v>
      </c>
      <c r="BP830" s="48">
        <f t="shared" si="2601"/>
        <v>0</v>
      </c>
      <c r="BQ830" s="48">
        <f t="shared" si="2601"/>
        <v>0</v>
      </c>
      <c r="BR830" s="36">
        <f t="shared" si="9"/>
        <v>0</v>
      </c>
      <c r="BS830" s="38">
        <f t="shared" si="10"/>
        <v>1</v>
      </c>
      <c r="BT830" s="49">
        <f t="shared" si="11"/>
        <v>0</v>
      </c>
      <c r="BU830" s="38">
        <f t="shared" si="12"/>
        <v>1000</v>
      </c>
      <c r="BV830" s="57" t="str">
        <f>IFERROR(__xludf.DUMMYFUNCTION("""COMPUTED_VALUE"""),"Freeland")</f>
        <v>Freeland</v>
      </c>
      <c r="BW830" s="46">
        <f t="shared" si="13"/>
        <v>100</v>
      </c>
      <c r="BX830" s="47">
        <f t="shared" ref="BX830:CA830" si="2602">AX830-$BU830</f>
        <v>-1000</v>
      </c>
      <c r="BY830" s="47">
        <f t="shared" si="2602"/>
        <v>-1000</v>
      </c>
      <c r="BZ830" s="47">
        <f t="shared" si="2602"/>
        <v>-900</v>
      </c>
      <c r="CA830" s="47">
        <f t="shared" si="2602"/>
        <v>-1000</v>
      </c>
      <c r="CB830" s="47">
        <f t="shared" si="15"/>
        <v>-10000</v>
      </c>
      <c r="CC830" s="47">
        <f t="shared" ref="CC830:CQ830" si="2603">BC830-$BU830</f>
        <v>-1000</v>
      </c>
      <c r="CD830" s="47">
        <f t="shared" si="2603"/>
        <v>-1000</v>
      </c>
      <c r="CE830" s="47">
        <f t="shared" si="2603"/>
        <v>-1000</v>
      </c>
      <c r="CF830" s="47">
        <f t="shared" si="2603"/>
        <v>-1000</v>
      </c>
      <c r="CG830" s="47">
        <f t="shared" si="2603"/>
        <v>-1000</v>
      </c>
      <c r="CH830" s="47">
        <f t="shared" si="2603"/>
        <v>-1000</v>
      </c>
      <c r="CI830" s="47">
        <f t="shared" si="2603"/>
        <v>-1000</v>
      </c>
      <c r="CJ830" s="47">
        <f t="shared" si="2603"/>
        <v>-1000</v>
      </c>
      <c r="CK830" s="47">
        <f t="shared" si="2603"/>
        <v>-1000</v>
      </c>
      <c r="CL830" s="47">
        <f t="shared" si="2603"/>
        <v>-1000</v>
      </c>
      <c r="CM830" s="47">
        <f t="shared" si="2603"/>
        <v>-1000</v>
      </c>
      <c r="CN830" s="47">
        <f t="shared" si="2603"/>
        <v>-1000</v>
      </c>
      <c r="CO830" s="47">
        <f t="shared" si="2603"/>
        <v>-1000</v>
      </c>
      <c r="CP830" s="47">
        <f t="shared" si="2603"/>
        <v>-1000</v>
      </c>
      <c r="CQ830" s="47">
        <f t="shared" si="2603"/>
        <v>-1000</v>
      </c>
      <c r="CR830" s="47"/>
      <c r="CS830" s="47"/>
      <c r="CT830" s="47"/>
      <c r="CU830" s="74"/>
      <c r="CV830" s="74"/>
      <c r="CW830" s="74" t="str">
        <f>IFERROR(__xludf.DUMMYFUNCTION("IF(REGEXMATCH(UPPER(CU830), ""DALLAS""),,CU830)"),"")</f>
        <v/>
      </c>
      <c r="CX830" s="74"/>
      <c r="CY830" s="74"/>
      <c r="CZ830" s="74"/>
      <c r="DA830" s="75"/>
      <c r="DB830" s="74"/>
      <c r="DC830" s="74"/>
      <c r="DD830" s="74"/>
      <c r="DE830" s="74"/>
      <c r="DF830" s="74"/>
      <c r="DG830" s="74"/>
      <c r="DH830" s="74"/>
      <c r="DI830" s="74"/>
      <c r="DJ830" s="74"/>
      <c r="DK830" s="74"/>
      <c r="DL830" s="74"/>
      <c r="DM830" s="74"/>
      <c r="DN830" s="74"/>
      <c r="DO830" s="74"/>
      <c r="DP830" s="74"/>
      <c r="DQ830" s="74"/>
      <c r="DR830" s="74"/>
      <c r="DS830" s="74"/>
      <c r="DT830" s="74"/>
      <c r="DU830" s="74"/>
      <c r="DV830" s="74"/>
      <c r="DW830" s="74"/>
    </row>
    <row r="831">
      <c r="A831" s="40" t="s">
        <v>55</v>
      </c>
      <c r="B831" s="41" t="s">
        <v>56</v>
      </c>
      <c r="C831" s="31" t="s">
        <v>2094</v>
      </c>
      <c r="D831" s="25" t="str">
        <f>IFERROR(__xludf.DUMMYFUNCTION("SPLIT(C831,"" "")"),"Neumann,")</f>
        <v>Neumann,</v>
      </c>
      <c r="E831" s="40" t="str">
        <f>IFERROR(__xludf.DUMMYFUNCTION("""COMPUTED_VALUE"""),"Dave
6318")</f>
        <v>Dave
6318</v>
      </c>
      <c r="F831" s="40" t="str">
        <f>IFERROR(__xludf.DUMMYFUNCTION("""COMPUTED_VALUE"""),"Turner")</f>
        <v>Turner</v>
      </c>
      <c r="G831" s="40" t="str">
        <f>IFERROR(__xludf.DUMMYFUNCTION("""COMPUTED_VALUE"""),"Way
Dallas,")</f>
        <v>Way
Dallas,</v>
      </c>
      <c r="H831" s="40" t="str">
        <f>IFERROR(__xludf.DUMMYFUNCTION("""COMPUTED_VALUE"""),"TX")</f>
        <v>TX</v>
      </c>
      <c r="I831" s="40">
        <f>IFERROR(__xludf.DUMMYFUNCTION("""COMPUTED_VALUE"""),75039.0)</f>
        <v>75039</v>
      </c>
      <c r="J831" s="40"/>
      <c r="K831" s="40"/>
      <c r="L831" s="40"/>
      <c r="M831" s="40"/>
      <c r="N831" s="40"/>
      <c r="O831" s="40"/>
      <c r="P831" s="40"/>
      <c r="Q831" s="40"/>
      <c r="R831" s="40"/>
      <c r="S831" s="40"/>
      <c r="T831" s="40"/>
      <c r="U831" s="24" t="str">
        <f>IFERROR(__xludf.DUMMYFUNCTION("SPLIT(E831,""01234567890"")"),"Dave
")</f>
        <v>Dave
</v>
      </c>
      <c r="V831" s="24" t="str">
        <f>IFERROR(__xludf.DUMMYFUNCTION("SPLIT(D831,"","")"),"Neumann")</f>
        <v>Neumann</v>
      </c>
      <c r="W831" s="25" t="str">
        <f t="shared" si="1"/>
        <v>DAVE
 NEUMANN</v>
      </c>
      <c r="X831" s="40"/>
      <c r="Y831" s="40"/>
      <c r="Z831" s="25" t="str">
        <f>IFERROR(__xludf.DUMMYFUNCTION("SPLIT(C831,""
"")"),"Neumann, Dave")</f>
        <v>Neumann, Dave</v>
      </c>
      <c r="AA831" s="40" t="str">
        <f>IFERROR(__xludf.DUMMYFUNCTION("""COMPUTED_VALUE"""),"6318 Turner Way")</f>
        <v>6318 Turner Way</v>
      </c>
      <c r="AB831" s="40" t="str">
        <f>IFERROR(__xludf.DUMMYFUNCTION("""COMPUTED_VALUE"""),"Dallas, TX 75039")</f>
        <v>Dallas, TX 75039</v>
      </c>
      <c r="AC831" s="31" t="s">
        <v>2095</v>
      </c>
      <c r="AD831" s="40"/>
      <c r="AE831" s="40"/>
      <c r="AF831" s="40"/>
      <c r="AG831" s="40" t="s">
        <v>60</v>
      </c>
      <c r="AH831" s="42">
        <v>2481.0</v>
      </c>
      <c r="AI831" s="40" t="s">
        <v>68</v>
      </c>
      <c r="AJ831" s="27">
        <v>100.0</v>
      </c>
      <c r="AK831" s="31" t="s">
        <v>25</v>
      </c>
      <c r="AL831" s="43">
        <v>44823.0</v>
      </c>
      <c r="AM831" s="44">
        <v>44937.81995370371</v>
      </c>
      <c r="AN831" s="30">
        <v>2.0</v>
      </c>
      <c r="AO831" s="40"/>
      <c r="AP831" s="40"/>
      <c r="AQ831" s="40"/>
      <c r="AR831" s="40"/>
      <c r="AS831" s="40"/>
      <c r="AT831" s="47"/>
      <c r="AU831" s="40"/>
      <c r="AV831" s="46" t="str">
        <f>IFERROR(__xludf.DUMMYFUNCTION("""COMPUTED_VALUE"""),"Montano")</f>
        <v>Montano</v>
      </c>
      <c r="AW831" s="46">
        <f t="shared" si="7"/>
        <v>50</v>
      </c>
      <c r="AX831" s="47">
        <f t="shared" ref="AX831:BQ831" si="2604">SUMIFS($AJ:$AJ,$V:$V,$AV831,$AK:$AK,AX$2)</f>
        <v>0</v>
      </c>
      <c r="AY831" s="48">
        <f t="shared" si="2604"/>
        <v>0</v>
      </c>
      <c r="AZ831" s="48">
        <f t="shared" si="2604"/>
        <v>50</v>
      </c>
      <c r="BA831" s="48">
        <f t="shared" si="2604"/>
        <v>0</v>
      </c>
      <c r="BB831" s="48">
        <f t="shared" si="2604"/>
        <v>0</v>
      </c>
      <c r="BC831" s="48">
        <f t="shared" si="2604"/>
        <v>0</v>
      </c>
      <c r="BD831" s="48">
        <f t="shared" si="2604"/>
        <v>0</v>
      </c>
      <c r="BE831" s="48">
        <f t="shared" si="2604"/>
        <v>0</v>
      </c>
      <c r="BF831" s="48">
        <f t="shared" si="2604"/>
        <v>0</v>
      </c>
      <c r="BG831" s="48">
        <f t="shared" si="2604"/>
        <v>0</v>
      </c>
      <c r="BH831" s="48">
        <f t="shared" si="2604"/>
        <v>0</v>
      </c>
      <c r="BI831" s="48">
        <f t="shared" si="2604"/>
        <v>0</v>
      </c>
      <c r="BJ831" s="48">
        <f t="shared" si="2604"/>
        <v>0</v>
      </c>
      <c r="BK831" s="48">
        <f t="shared" si="2604"/>
        <v>0</v>
      </c>
      <c r="BL831" s="48">
        <f t="shared" si="2604"/>
        <v>0</v>
      </c>
      <c r="BM831" s="48">
        <f t="shared" si="2604"/>
        <v>0</v>
      </c>
      <c r="BN831" s="48">
        <f t="shared" si="2604"/>
        <v>0</v>
      </c>
      <c r="BO831" s="48">
        <f t="shared" si="2604"/>
        <v>0</v>
      </c>
      <c r="BP831" s="48">
        <f t="shared" si="2604"/>
        <v>0</v>
      </c>
      <c r="BQ831" s="48">
        <f t="shared" si="2604"/>
        <v>0</v>
      </c>
      <c r="BR831" s="36">
        <f t="shared" si="9"/>
        <v>0</v>
      </c>
      <c r="BS831" s="38">
        <f t="shared" si="10"/>
        <v>1</v>
      </c>
      <c r="BT831" s="49">
        <f t="shared" si="11"/>
        <v>0</v>
      </c>
      <c r="BU831" s="38">
        <f t="shared" si="12"/>
        <v>1000</v>
      </c>
      <c r="BV831" s="46" t="str">
        <f>IFERROR(__xludf.DUMMYFUNCTION("""COMPUTED_VALUE"""),"Montano")</f>
        <v>Montano</v>
      </c>
      <c r="BW831" s="46">
        <f t="shared" si="13"/>
        <v>50</v>
      </c>
      <c r="BX831" s="47">
        <f t="shared" ref="BX831:CA831" si="2605">AX831-$BU831</f>
        <v>-1000</v>
      </c>
      <c r="BY831" s="47">
        <f t="shared" si="2605"/>
        <v>-1000</v>
      </c>
      <c r="BZ831" s="47">
        <f t="shared" si="2605"/>
        <v>-950</v>
      </c>
      <c r="CA831" s="47">
        <f t="shared" si="2605"/>
        <v>-1000</v>
      </c>
      <c r="CB831" s="47">
        <f t="shared" si="15"/>
        <v>-10000</v>
      </c>
      <c r="CC831" s="47">
        <f t="shared" ref="CC831:CQ831" si="2606">BC831-$BU831</f>
        <v>-1000</v>
      </c>
      <c r="CD831" s="47">
        <f t="shared" si="2606"/>
        <v>-1000</v>
      </c>
      <c r="CE831" s="47">
        <f t="shared" si="2606"/>
        <v>-1000</v>
      </c>
      <c r="CF831" s="47">
        <f t="shared" si="2606"/>
        <v>-1000</v>
      </c>
      <c r="CG831" s="47">
        <f t="shared" si="2606"/>
        <v>-1000</v>
      </c>
      <c r="CH831" s="47">
        <f t="shared" si="2606"/>
        <v>-1000</v>
      </c>
      <c r="CI831" s="47">
        <f t="shared" si="2606"/>
        <v>-1000</v>
      </c>
      <c r="CJ831" s="47">
        <f t="shared" si="2606"/>
        <v>-1000</v>
      </c>
      <c r="CK831" s="47">
        <f t="shared" si="2606"/>
        <v>-1000</v>
      </c>
      <c r="CL831" s="47">
        <f t="shared" si="2606"/>
        <v>-1000</v>
      </c>
      <c r="CM831" s="47">
        <f t="shared" si="2606"/>
        <v>-1000</v>
      </c>
      <c r="CN831" s="47">
        <f t="shared" si="2606"/>
        <v>-1000</v>
      </c>
      <c r="CO831" s="47">
        <f t="shared" si="2606"/>
        <v>-1000</v>
      </c>
      <c r="CP831" s="47">
        <f t="shared" si="2606"/>
        <v>-1000</v>
      </c>
      <c r="CQ831" s="47">
        <f t="shared" si="2606"/>
        <v>-1000</v>
      </c>
      <c r="CR831" s="47"/>
      <c r="CS831" s="47"/>
      <c r="CT831" s="47"/>
      <c r="CU831" s="74"/>
      <c r="CV831" s="74"/>
      <c r="CW831" s="74" t="str">
        <f>IFERROR(__xludf.DUMMYFUNCTION("IF(REGEXMATCH(UPPER(CU831), ""DALLAS""),,CU831)"),"")</f>
        <v/>
      </c>
      <c r="CX831" s="74"/>
      <c r="CY831" s="74"/>
      <c r="CZ831" s="74"/>
      <c r="DA831" s="75"/>
      <c r="DB831" s="74"/>
      <c r="DC831" s="74"/>
      <c r="DD831" s="74"/>
      <c r="DE831" s="74"/>
      <c r="DF831" s="74"/>
      <c r="DG831" s="74"/>
      <c r="DH831" s="74"/>
      <c r="DI831" s="74"/>
      <c r="DJ831" s="74"/>
      <c r="DK831" s="74"/>
      <c r="DL831" s="74"/>
      <c r="DM831" s="74"/>
      <c r="DN831" s="74"/>
      <c r="DO831" s="74"/>
      <c r="DP831" s="74"/>
      <c r="DQ831" s="74"/>
      <c r="DR831" s="74"/>
      <c r="DS831" s="74"/>
      <c r="DT831" s="74"/>
      <c r="DU831" s="74"/>
      <c r="DV831" s="74"/>
      <c r="DW831" s="74"/>
    </row>
    <row r="832">
      <c r="A832" s="22" t="s">
        <v>55</v>
      </c>
      <c r="B832" s="23" t="s">
        <v>56</v>
      </c>
      <c r="C832" s="31" t="s">
        <v>2096</v>
      </c>
      <c r="D832" s="25" t="str">
        <f>IFERROR(__xludf.DUMMYFUNCTION("SPLIT(C832,"" "")"),"Taylor,")</f>
        <v>Taylor,</v>
      </c>
      <c r="E832" s="22" t="str">
        <f>IFERROR(__xludf.DUMMYFUNCTION("""COMPUTED_VALUE"""),"Catherine
5600")</f>
        <v>Catherine
5600</v>
      </c>
      <c r="F832" s="22" t="str">
        <f>IFERROR(__xludf.DUMMYFUNCTION("""COMPUTED_VALUE"""),"West")</f>
        <v>West</v>
      </c>
      <c r="G832" s="22" t="str">
        <f>IFERROR(__xludf.DUMMYFUNCTION("""COMPUTED_VALUE"""),"Lovers")</f>
        <v>Lovers</v>
      </c>
      <c r="H832" s="22" t="str">
        <f>IFERROR(__xludf.DUMMYFUNCTION("""COMPUTED_VALUE"""),"Lane
Dallas,")</f>
        <v>Lane
Dallas,</v>
      </c>
      <c r="I832" s="22" t="str">
        <f>IFERROR(__xludf.DUMMYFUNCTION("""COMPUTED_VALUE"""),"TX")</f>
        <v>TX</v>
      </c>
      <c r="J832" s="22">
        <f>IFERROR(__xludf.DUMMYFUNCTION("""COMPUTED_VALUE"""),75209.0)</f>
        <v>75209</v>
      </c>
      <c r="K832" s="22"/>
      <c r="L832" s="22"/>
      <c r="M832" s="22"/>
      <c r="N832" s="22"/>
      <c r="O832" s="22"/>
      <c r="P832" s="22"/>
      <c r="Q832" s="22"/>
      <c r="R832" s="22"/>
      <c r="S832" s="22"/>
      <c r="T832" s="22"/>
      <c r="U832" s="24" t="str">
        <f>IFERROR(__xludf.DUMMYFUNCTION("SPLIT(E832,""01234567890"")"),"Catherine
")</f>
        <v>Catherine
</v>
      </c>
      <c r="V832" s="24" t="str">
        <f>IFERROR(__xludf.DUMMYFUNCTION("SPLIT(D832,"","")"),"Taylor")</f>
        <v>Taylor</v>
      </c>
      <c r="W832" s="25" t="str">
        <f t="shared" si="1"/>
        <v>CATHERINE
 TAYLOR</v>
      </c>
      <c r="X832" s="22"/>
      <c r="Y832" s="22"/>
      <c r="Z832" s="25" t="str">
        <f>IFERROR(__xludf.DUMMYFUNCTION("SPLIT(C832,""
"")"),"Taylor, Catherine")</f>
        <v>Taylor, Catherine</v>
      </c>
      <c r="AA832" s="22" t="str">
        <f>IFERROR(__xludf.DUMMYFUNCTION("""COMPUTED_VALUE"""),"5600 West Lovers Lane")</f>
        <v>5600 West Lovers Lane</v>
      </c>
      <c r="AB832" s="22" t="str">
        <f>IFERROR(__xludf.DUMMYFUNCTION("""COMPUTED_VALUE"""),"Dallas, TX 75209")</f>
        <v>Dallas, TX 75209</v>
      </c>
      <c r="AC832" s="31" t="s">
        <v>2097</v>
      </c>
      <c r="AD832" s="22"/>
      <c r="AE832" s="22"/>
      <c r="AF832" s="22"/>
      <c r="AG832" s="22" t="s">
        <v>60</v>
      </c>
      <c r="AH832" s="54">
        <v>2481.0</v>
      </c>
      <c r="AI832" s="22" t="s">
        <v>68</v>
      </c>
      <c r="AJ832" s="27">
        <v>1000.0</v>
      </c>
      <c r="AK832" s="31" t="s">
        <v>25</v>
      </c>
      <c r="AL832" s="28">
        <v>44823.0</v>
      </c>
      <c r="AM832" s="29">
        <v>44937.81995370371</v>
      </c>
      <c r="AN832" s="30">
        <v>2.0</v>
      </c>
      <c r="AO832" s="22"/>
      <c r="AP832" s="22"/>
      <c r="AQ832" s="22"/>
      <c r="AR832" s="22"/>
      <c r="AS832" s="22"/>
      <c r="AT832" s="70"/>
      <c r="AU832" s="22"/>
      <c r="AV832" s="57" t="str">
        <f>IFERROR(__xludf.DUMMYFUNCTION("""COMPUTED_VALUE"""),"Bracken")</f>
        <v>Bracken</v>
      </c>
      <c r="AW832" s="46">
        <f t="shared" si="7"/>
        <v>100</v>
      </c>
      <c r="AX832" s="47">
        <f t="shared" ref="AX832:BQ832" si="2607">SUMIFS($AJ:$AJ,$V:$V,$AV832,$AK:$AK,AX$2)</f>
        <v>0</v>
      </c>
      <c r="AY832" s="48">
        <f t="shared" si="2607"/>
        <v>0</v>
      </c>
      <c r="AZ832" s="48">
        <f t="shared" si="2607"/>
        <v>100</v>
      </c>
      <c r="BA832" s="48">
        <f t="shared" si="2607"/>
        <v>0</v>
      </c>
      <c r="BB832" s="48">
        <f t="shared" si="2607"/>
        <v>0</v>
      </c>
      <c r="BC832" s="48">
        <f t="shared" si="2607"/>
        <v>0</v>
      </c>
      <c r="BD832" s="48">
        <f t="shared" si="2607"/>
        <v>0</v>
      </c>
      <c r="BE832" s="48">
        <f t="shared" si="2607"/>
        <v>0</v>
      </c>
      <c r="BF832" s="48">
        <f t="shared" si="2607"/>
        <v>0</v>
      </c>
      <c r="BG832" s="48">
        <f t="shared" si="2607"/>
        <v>0</v>
      </c>
      <c r="BH832" s="48">
        <f t="shared" si="2607"/>
        <v>0</v>
      </c>
      <c r="BI832" s="48">
        <f t="shared" si="2607"/>
        <v>0</v>
      </c>
      <c r="BJ832" s="48">
        <f t="shared" si="2607"/>
        <v>0</v>
      </c>
      <c r="BK832" s="48">
        <f t="shared" si="2607"/>
        <v>0</v>
      </c>
      <c r="BL832" s="48">
        <f t="shared" si="2607"/>
        <v>0</v>
      </c>
      <c r="BM832" s="48">
        <f t="shared" si="2607"/>
        <v>0</v>
      </c>
      <c r="BN832" s="48">
        <f t="shared" si="2607"/>
        <v>0</v>
      </c>
      <c r="BO832" s="48">
        <f t="shared" si="2607"/>
        <v>0</v>
      </c>
      <c r="BP832" s="48">
        <f t="shared" si="2607"/>
        <v>0</v>
      </c>
      <c r="BQ832" s="48">
        <f t="shared" si="2607"/>
        <v>0</v>
      </c>
      <c r="BR832" s="36">
        <f t="shared" si="9"/>
        <v>0</v>
      </c>
      <c r="BS832" s="38">
        <f t="shared" si="10"/>
        <v>1</v>
      </c>
      <c r="BT832" s="49">
        <f t="shared" si="11"/>
        <v>0</v>
      </c>
      <c r="BU832" s="38">
        <f t="shared" si="12"/>
        <v>1000</v>
      </c>
      <c r="BV832" s="57" t="str">
        <f>IFERROR(__xludf.DUMMYFUNCTION("""COMPUTED_VALUE"""),"Bracken")</f>
        <v>Bracken</v>
      </c>
      <c r="BW832" s="46">
        <f t="shared" si="13"/>
        <v>100</v>
      </c>
      <c r="BX832" s="47">
        <f t="shared" ref="BX832:CA832" si="2608">AX832-$BU832</f>
        <v>-1000</v>
      </c>
      <c r="BY832" s="47">
        <f t="shared" si="2608"/>
        <v>-1000</v>
      </c>
      <c r="BZ832" s="47">
        <f t="shared" si="2608"/>
        <v>-900</v>
      </c>
      <c r="CA832" s="47">
        <f t="shared" si="2608"/>
        <v>-1000</v>
      </c>
      <c r="CB832" s="47">
        <f t="shared" si="15"/>
        <v>-10000</v>
      </c>
      <c r="CC832" s="47">
        <f t="shared" ref="CC832:CQ832" si="2609">BC832-$BU832</f>
        <v>-1000</v>
      </c>
      <c r="CD832" s="47">
        <f t="shared" si="2609"/>
        <v>-1000</v>
      </c>
      <c r="CE832" s="47">
        <f t="shared" si="2609"/>
        <v>-1000</v>
      </c>
      <c r="CF832" s="47">
        <f t="shared" si="2609"/>
        <v>-1000</v>
      </c>
      <c r="CG832" s="47">
        <f t="shared" si="2609"/>
        <v>-1000</v>
      </c>
      <c r="CH832" s="47">
        <f t="shared" si="2609"/>
        <v>-1000</v>
      </c>
      <c r="CI832" s="47">
        <f t="shared" si="2609"/>
        <v>-1000</v>
      </c>
      <c r="CJ832" s="47">
        <f t="shared" si="2609"/>
        <v>-1000</v>
      </c>
      <c r="CK832" s="47">
        <f t="shared" si="2609"/>
        <v>-1000</v>
      </c>
      <c r="CL832" s="47">
        <f t="shared" si="2609"/>
        <v>-1000</v>
      </c>
      <c r="CM832" s="47">
        <f t="shared" si="2609"/>
        <v>-1000</v>
      </c>
      <c r="CN832" s="47">
        <f t="shared" si="2609"/>
        <v>-1000</v>
      </c>
      <c r="CO832" s="47">
        <f t="shared" si="2609"/>
        <v>-1000</v>
      </c>
      <c r="CP832" s="47">
        <f t="shared" si="2609"/>
        <v>-1000</v>
      </c>
      <c r="CQ832" s="47">
        <f t="shared" si="2609"/>
        <v>-1000</v>
      </c>
      <c r="CR832" s="47"/>
      <c r="CS832" s="47"/>
      <c r="CT832" s="47"/>
      <c r="CU832" s="74"/>
      <c r="CV832" s="74"/>
      <c r="CW832" s="74" t="str">
        <f>IFERROR(__xludf.DUMMYFUNCTION("IF(REGEXMATCH(UPPER(CU832), ""DALLAS""),,CU832)"),"")</f>
        <v/>
      </c>
      <c r="CX832" s="74"/>
      <c r="CY832" s="74"/>
      <c r="CZ832" s="74"/>
      <c r="DA832" s="75"/>
      <c r="DB832" s="74"/>
      <c r="DC832" s="74"/>
      <c r="DD832" s="74"/>
      <c r="DE832" s="74"/>
      <c r="DF832" s="74"/>
      <c r="DG832" s="74"/>
      <c r="DH832" s="74"/>
      <c r="DI832" s="74"/>
      <c r="DJ832" s="74"/>
      <c r="DK832" s="74"/>
      <c r="DL832" s="74"/>
      <c r="DM832" s="74"/>
      <c r="DN832" s="74"/>
      <c r="DO832" s="74"/>
      <c r="DP832" s="74"/>
      <c r="DQ832" s="74"/>
      <c r="DR832" s="74"/>
      <c r="DS832" s="74"/>
      <c r="DT832" s="74"/>
      <c r="DU832" s="74"/>
      <c r="DV832" s="74"/>
      <c r="DW832" s="74"/>
    </row>
    <row r="833">
      <c r="A833" s="40" t="s">
        <v>55</v>
      </c>
      <c r="B833" s="41" t="s">
        <v>56</v>
      </c>
      <c r="C833" s="31" t="s">
        <v>2098</v>
      </c>
      <c r="D833" s="25" t="str">
        <f>IFERROR(__xludf.DUMMYFUNCTION("SPLIT(C833,"" "")"),"Jackson,")</f>
        <v>Jackson,</v>
      </c>
      <c r="E833" s="40" t="str">
        <f>IFERROR(__xludf.DUMMYFUNCTION("""COMPUTED_VALUE"""),"Sarah
8600")</f>
        <v>Sarah
8600</v>
      </c>
      <c r="F833" s="40" t="str">
        <f>IFERROR(__xludf.DUMMYFUNCTION("""COMPUTED_VALUE"""),"Thackery")</f>
        <v>Thackery</v>
      </c>
      <c r="G833" s="40" t="str">
        <f>IFERROR(__xludf.DUMMYFUNCTION("""COMPUTED_VALUE"""),"St
Dallas,")</f>
        <v>St
Dallas,</v>
      </c>
      <c r="H833" s="40" t="str">
        <f>IFERROR(__xludf.DUMMYFUNCTION("""COMPUTED_VALUE"""),"TX")</f>
        <v>TX</v>
      </c>
      <c r="I833" s="40">
        <f>IFERROR(__xludf.DUMMYFUNCTION("""COMPUTED_VALUE"""),75225.0)</f>
        <v>75225</v>
      </c>
      <c r="J833" s="40"/>
      <c r="K833" s="40"/>
      <c r="L833" s="40"/>
      <c r="M833" s="40"/>
      <c r="N833" s="40"/>
      <c r="O833" s="40"/>
      <c r="P833" s="40"/>
      <c r="Q833" s="40"/>
      <c r="R833" s="40"/>
      <c r="S833" s="40"/>
      <c r="T833" s="40"/>
      <c r="U833" s="24" t="str">
        <f>IFERROR(__xludf.DUMMYFUNCTION("SPLIT(E833,""01234567890"")"),"Sarah
")</f>
        <v>Sarah
</v>
      </c>
      <c r="V833" s="24" t="str">
        <f>IFERROR(__xludf.DUMMYFUNCTION("SPLIT(D833,"","")"),"Jackson")</f>
        <v>Jackson</v>
      </c>
      <c r="W833" s="25" t="str">
        <f t="shared" si="1"/>
        <v>SARAH
 JACKSON</v>
      </c>
      <c r="X833" s="40"/>
      <c r="Y833" s="40"/>
      <c r="Z833" s="25" t="str">
        <f>IFERROR(__xludf.DUMMYFUNCTION("SPLIT(C833,""
"")"),"Jackson, Sarah")</f>
        <v>Jackson, Sarah</v>
      </c>
      <c r="AA833" s="40" t="str">
        <f>IFERROR(__xludf.DUMMYFUNCTION("""COMPUTED_VALUE"""),"8600 Thackery St")</f>
        <v>8600 Thackery St</v>
      </c>
      <c r="AB833" s="40" t="str">
        <f>IFERROR(__xludf.DUMMYFUNCTION("""COMPUTED_VALUE"""),"Dallas, TX 75225")</f>
        <v>Dallas, TX 75225</v>
      </c>
      <c r="AC833" s="31" t="s">
        <v>2099</v>
      </c>
      <c r="AD833" s="40"/>
      <c r="AE833" s="40"/>
      <c r="AF833" s="40"/>
      <c r="AG833" s="40" t="s">
        <v>60</v>
      </c>
      <c r="AH833" s="42">
        <v>2481.0</v>
      </c>
      <c r="AI833" s="40" t="s">
        <v>68</v>
      </c>
      <c r="AJ833" s="27">
        <v>50.0</v>
      </c>
      <c r="AK833" s="31" t="s">
        <v>25</v>
      </c>
      <c r="AL833" s="43">
        <v>44823.0</v>
      </c>
      <c r="AM833" s="44">
        <v>44937.81995370371</v>
      </c>
      <c r="AN833" s="30">
        <v>2.0</v>
      </c>
      <c r="AO833" s="40"/>
      <c r="AP833" s="40"/>
      <c r="AQ833" s="40"/>
      <c r="AR833" s="40"/>
      <c r="AS833" s="40"/>
      <c r="AT833" s="47"/>
      <c r="AU833" s="40"/>
      <c r="AV833" s="46" t="str">
        <f>IFERROR(__xludf.DUMMYFUNCTION("""COMPUTED_VALUE"""),"Shelton")</f>
        <v>Shelton</v>
      </c>
      <c r="AW833" s="46">
        <f t="shared" si="7"/>
        <v>200</v>
      </c>
      <c r="AX833" s="47">
        <f t="shared" ref="AX833:BQ833" si="2610">SUMIFS($AJ:$AJ,$V:$V,$AV833,$AK:$AK,AX$2)</f>
        <v>0</v>
      </c>
      <c r="AY833" s="48">
        <f t="shared" si="2610"/>
        <v>0</v>
      </c>
      <c r="AZ833" s="48">
        <f t="shared" si="2610"/>
        <v>200</v>
      </c>
      <c r="BA833" s="48">
        <f t="shared" si="2610"/>
        <v>0</v>
      </c>
      <c r="BB833" s="48">
        <f t="shared" si="2610"/>
        <v>0</v>
      </c>
      <c r="BC833" s="48">
        <f t="shared" si="2610"/>
        <v>0</v>
      </c>
      <c r="BD833" s="48">
        <f t="shared" si="2610"/>
        <v>0</v>
      </c>
      <c r="BE833" s="48">
        <f t="shared" si="2610"/>
        <v>0</v>
      </c>
      <c r="BF833" s="48">
        <f t="shared" si="2610"/>
        <v>0</v>
      </c>
      <c r="BG833" s="48">
        <f t="shared" si="2610"/>
        <v>0</v>
      </c>
      <c r="BH833" s="48">
        <f t="shared" si="2610"/>
        <v>0</v>
      </c>
      <c r="BI833" s="48">
        <f t="shared" si="2610"/>
        <v>0</v>
      </c>
      <c r="BJ833" s="48">
        <f t="shared" si="2610"/>
        <v>0</v>
      </c>
      <c r="BK833" s="48">
        <f t="shared" si="2610"/>
        <v>0</v>
      </c>
      <c r="BL833" s="48">
        <f t="shared" si="2610"/>
        <v>0</v>
      </c>
      <c r="BM833" s="48">
        <f t="shared" si="2610"/>
        <v>0</v>
      </c>
      <c r="BN833" s="48">
        <f t="shared" si="2610"/>
        <v>0</v>
      </c>
      <c r="BO833" s="48">
        <f t="shared" si="2610"/>
        <v>0</v>
      </c>
      <c r="BP833" s="48">
        <f t="shared" si="2610"/>
        <v>0</v>
      </c>
      <c r="BQ833" s="48">
        <f t="shared" si="2610"/>
        <v>0</v>
      </c>
      <c r="BR833" s="36">
        <f t="shared" si="9"/>
        <v>0</v>
      </c>
      <c r="BS833" s="38">
        <f t="shared" si="10"/>
        <v>1</v>
      </c>
      <c r="BT833" s="49">
        <f t="shared" si="11"/>
        <v>0</v>
      </c>
      <c r="BU833" s="38">
        <f t="shared" si="12"/>
        <v>1000</v>
      </c>
      <c r="BV833" s="46" t="str">
        <f>IFERROR(__xludf.DUMMYFUNCTION("""COMPUTED_VALUE"""),"Shelton")</f>
        <v>Shelton</v>
      </c>
      <c r="BW833" s="46">
        <f t="shared" si="13"/>
        <v>200</v>
      </c>
      <c r="BX833" s="47">
        <f t="shared" ref="BX833:CA833" si="2611">AX833-$BU833</f>
        <v>-1000</v>
      </c>
      <c r="BY833" s="47">
        <f t="shared" si="2611"/>
        <v>-1000</v>
      </c>
      <c r="BZ833" s="47">
        <f t="shared" si="2611"/>
        <v>-800</v>
      </c>
      <c r="CA833" s="47">
        <f t="shared" si="2611"/>
        <v>-1000</v>
      </c>
      <c r="CB833" s="47">
        <f t="shared" si="15"/>
        <v>-10000</v>
      </c>
      <c r="CC833" s="47">
        <f t="shared" ref="CC833:CQ833" si="2612">BC833-$BU833</f>
        <v>-1000</v>
      </c>
      <c r="CD833" s="47">
        <f t="shared" si="2612"/>
        <v>-1000</v>
      </c>
      <c r="CE833" s="47">
        <f t="shared" si="2612"/>
        <v>-1000</v>
      </c>
      <c r="CF833" s="47">
        <f t="shared" si="2612"/>
        <v>-1000</v>
      </c>
      <c r="CG833" s="47">
        <f t="shared" si="2612"/>
        <v>-1000</v>
      </c>
      <c r="CH833" s="47">
        <f t="shared" si="2612"/>
        <v>-1000</v>
      </c>
      <c r="CI833" s="47">
        <f t="shared" si="2612"/>
        <v>-1000</v>
      </c>
      <c r="CJ833" s="47">
        <f t="shared" si="2612"/>
        <v>-1000</v>
      </c>
      <c r="CK833" s="47">
        <f t="shared" si="2612"/>
        <v>-1000</v>
      </c>
      <c r="CL833" s="47">
        <f t="shared" si="2612"/>
        <v>-1000</v>
      </c>
      <c r="CM833" s="47">
        <f t="shared" si="2612"/>
        <v>-1000</v>
      </c>
      <c r="CN833" s="47">
        <f t="shared" si="2612"/>
        <v>-1000</v>
      </c>
      <c r="CO833" s="47">
        <f t="shared" si="2612"/>
        <v>-1000</v>
      </c>
      <c r="CP833" s="47">
        <f t="shared" si="2612"/>
        <v>-1000</v>
      </c>
      <c r="CQ833" s="47">
        <f t="shared" si="2612"/>
        <v>-1000</v>
      </c>
      <c r="CR833" s="47"/>
      <c r="CS833" s="47"/>
      <c r="CT833" s="47"/>
      <c r="CU833" s="74"/>
      <c r="CV833" s="74"/>
      <c r="CW833" s="74" t="str">
        <f>IFERROR(__xludf.DUMMYFUNCTION("IF(REGEXMATCH(UPPER(CU833), ""DALLAS""),,CU833)"),"")</f>
        <v/>
      </c>
      <c r="CX833" s="74"/>
      <c r="CY833" s="74"/>
      <c r="CZ833" s="74"/>
      <c r="DA833" s="75"/>
      <c r="DB833" s="74"/>
      <c r="DC833" s="74"/>
      <c r="DD833" s="74"/>
      <c r="DE833" s="74"/>
      <c r="DF833" s="74"/>
      <c r="DG833" s="74"/>
      <c r="DH833" s="74"/>
      <c r="DI833" s="74"/>
      <c r="DJ833" s="74"/>
      <c r="DK833" s="74"/>
      <c r="DL833" s="74"/>
      <c r="DM833" s="74"/>
      <c r="DN833" s="74"/>
      <c r="DO833" s="74"/>
      <c r="DP833" s="74"/>
      <c r="DQ833" s="74"/>
      <c r="DR833" s="74"/>
      <c r="DS833" s="74"/>
      <c r="DT833" s="74"/>
      <c r="DU833" s="74"/>
      <c r="DV833" s="74"/>
      <c r="DW833" s="74"/>
    </row>
    <row r="834">
      <c r="A834" s="22" t="s">
        <v>55</v>
      </c>
      <c r="B834" s="23" t="s">
        <v>56</v>
      </c>
      <c r="C834" s="31" t="s">
        <v>2100</v>
      </c>
      <c r="D834" s="25" t="str">
        <f>IFERROR(__xludf.DUMMYFUNCTION("SPLIT(C834,"" "")"),"Carter,")</f>
        <v>Carter,</v>
      </c>
      <c r="E834" s="22" t="str">
        <f>IFERROR(__xludf.DUMMYFUNCTION("""COMPUTED_VALUE"""),"Margot
3913")</f>
        <v>Margot
3913</v>
      </c>
      <c r="F834" s="22" t="str">
        <f>IFERROR(__xludf.DUMMYFUNCTION("""COMPUTED_VALUE"""),"Amherst")</f>
        <v>Amherst</v>
      </c>
      <c r="G834" s="22" t="str">
        <f>IFERROR(__xludf.DUMMYFUNCTION("""COMPUTED_VALUE"""),"Ave
Dallas,")</f>
        <v>Ave
Dallas,</v>
      </c>
      <c r="H834" s="22" t="str">
        <f>IFERROR(__xludf.DUMMYFUNCTION("""COMPUTED_VALUE"""),"TX")</f>
        <v>TX</v>
      </c>
      <c r="I834" s="22">
        <f>IFERROR(__xludf.DUMMYFUNCTION("""COMPUTED_VALUE"""),75225.0)</f>
        <v>75225</v>
      </c>
      <c r="J834" s="22"/>
      <c r="K834" s="22"/>
      <c r="L834" s="22"/>
      <c r="M834" s="22"/>
      <c r="N834" s="22"/>
      <c r="O834" s="22"/>
      <c r="P834" s="22"/>
      <c r="Q834" s="22"/>
      <c r="R834" s="22"/>
      <c r="S834" s="22"/>
      <c r="T834" s="22"/>
      <c r="U834" s="24" t="str">
        <f>IFERROR(__xludf.DUMMYFUNCTION("SPLIT(E834,""01234567890"")"),"Margot
")</f>
        <v>Margot
</v>
      </c>
      <c r="V834" s="24" t="str">
        <f>IFERROR(__xludf.DUMMYFUNCTION("SPLIT(D834,"","")"),"Carter")</f>
        <v>Carter</v>
      </c>
      <c r="W834" s="25" t="str">
        <f t="shared" si="1"/>
        <v>MARGOT
 CARTER</v>
      </c>
      <c r="X834" s="22"/>
      <c r="Y834" s="22"/>
      <c r="Z834" s="25" t="str">
        <f>IFERROR(__xludf.DUMMYFUNCTION("SPLIT(C834,""
"")"),"Carter, Margot")</f>
        <v>Carter, Margot</v>
      </c>
      <c r="AA834" s="22" t="str">
        <f>IFERROR(__xludf.DUMMYFUNCTION("""COMPUTED_VALUE"""),"3913 Amherst Ave")</f>
        <v>3913 Amherst Ave</v>
      </c>
      <c r="AB834" s="22" t="str">
        <f>IFERROR(__xludf.DUMMYFUNCTION("""COMPUTED_VALUE"""),"Dallas, TX 75225")</f>
        <v>Dallas, TX 75225</v>
      </c>
      <c r="AC834" s="31" t="s">
        <v>2101</v>
      </c>
      <c r="AD834" s="22"/>
      <c r="AE834" s="22"/>
      <c r="AF834" s="22"/>
      <c r="AG834" s="22" t="s">
        <v>60</v>
      </c>
      <c r="AH834" s="54">
        <v>2481.0</v>
      </c>
      <c r="AI834" s="22" t="s">
        <v>68</v>
      </c>
      <c r="AJ834" s="27">
        <v>1000.0</v>
      </c>
      <c r="AK834" s="31" t="s">
        <v>25</v>
      </c>
      <c r="AL834" s="28">
        <v>44823.0</v>
      </c>
      <c r="AM834" s="29">
        <v>44937.81995370371</v>
      </c>
      <c r="AN834" s="30">
        <v>2.0</v>
      </c>
      <c r="AO834" s="22"/>
      <c r="AP834" s="22"/>
      <c r="AQ834" s="22"/>
      <c r="AR834" s="22"/>
      <c r="AS834" s="22"/>
      <c r="AT834" s="70"/>
      <c r="AU834" s="22"/>
      <c r="AV834" s="57" t="str">
        <f>IFERROR(__xludf.DUMMYFUNCTION("""COMPUTED_VALUE"""),"Neil")</f>
        <v>Neil</v>
      </c>
      <c r="AW834" s="46">
        <f t="shared" si="7"/>
        <v>100</v>
      </c>
      <c r="AX834" s="47">
        <f t="shared" ref="AX834:BQ834" si="2613">SUMIFS($AJ:$AJ,$V:$V,$AV834,$AK:$AK,AX$2)</f>
        <v>0</v>
      </c>
      <c r="AY834" s="48">
        <f t="shared" si="2613"/>
        <v>0</v>
      </c>
      <c r="AZ834" s="48">
        <f t="shared" si="2613"/>
        <v>100</v>
      </c>
      <c r="BA834" s="48">
        <f t="shared" si="2613"/>
        <v>0</v>
      </c>
      <c r="BB834" s="48">
        <f t="shared" si="2613"/>
        <v>0</v>
      </c>
      <c r="BC834" s="48">
        <f t="shared" si="2613"/>
        <v>0</v>
      </c>
      <c r="BD834" s="48">
        <f t="shared" si="2613"/>
        <v>0</v>
      </c>
      <c r="BE834" s="48">
        <f t="shared" si="2613"/>
        <v>0</v>
      </c>
      <c r="BF834" s="48">
        <f t="shared" si="2613"/>
        <v>0</v>
      </c>
      <c r="BG834" s="48">
        <f t="shared" si="2613"/>
        <v>0</v>
      </c>
      <c r="BH834" s="48">
        <f t="shared" si="2613"/>
        <v>0</v>
      </c>
      <c r="BI834" s="48">
        <f t="shared" si="2613"/>
        <v>0</v>
      </c>
      <c r="BJ834" s="48">
        <f t="shared" si="2613"/>
        <v>0</v>
      </c>
      <c r="BK834" s="48">
        <f t="shared" si="2613"/>
        <v>0</v>
      </c>
      <c r="BL834" s="48">
        <f t="shared" si="2613"/>
        <v>0</v>
      </c>
      <c r="BM834" s="48">
        <f t="shared" si="2613"/>
        <v>0</v>
      </c>
      <c r="BN834" s="48">
        <f t="shared" si="2613"/>
        <v>0</v>
      </c>
      <c r="BO834" s="48">
        <f t="shared" si="2613"/>
        <v>0</v>
      </c>
      <c r="BP834" s="48">
        <f t="shared" si="2613"/>
        <v>0</v>
      </c>
      <c r="BQ834" s="48">
        <f t="shared" si="2613"/>
        <v>0</v>
      </c>
      <c r="BR834" s="36">
        <f t="shared" si="9"/>
        <v>0</v>
      </c>
      <c r="BS834" s="38">
        <f t="shared" si="10"/>
        <v>1</v>
      </c>
      <c r="BT834" s="49">
        <f t="shared" si="11"/>
        <v>0</v>
      </c>
      <c r="BU834" s="38">
        <f t="shared" si="12"/>
        <v>1000</v>
      </c>
      <c r="BV834" s="57" t="str">
        <f>IFERROR(__xludf.DUMMYFUNCTION("""COMPUTED_VALUE"""),"Neil")</f>
        <v>Neil</v>
      </c>
      <c r="BW834" s="46">
        <f t="shared" si="13"/>
        <v>100</v>
      </c>
      <c r="BX834" s="47">
        <f t="shared" ref="BX834:CA834" si="2614">AX834-$BU834</f>
        <v>-1000</v>
      </c>
      <c r="BY834" s="47">
        <f t="shared" si="2614"/>
        <v>-1000</v>
      </c>
      <c r="BZ834" s="47">
        <f t="shared" si="2614"/>
        <v>-900</v>
      </c>
      <c r="CA834" s="47">
        <f t="shared" si="2614"/>
        <v>-1000</v>
      </c>
      <c r="CB834" s="47">
        <f t="shared" si="15"/>
        <v>-10000</v>
      </c>
      <c r="CC834" s="47">
        <f t="shared" ref="CC834:CQ834" si="2615">BC834-$BU834</f>
        <v>-1000</v>
      </c>
      <c r="CD834" s="47">
        <f t="shared" si="2615"/>
        <v>-1000</v>
      </c>
      <c r="CE834" s="47">
        <f t="shared" si="2615"/>
        <v>-1000</v>
      </c>
      <c r="CF834" s="47">
        <f t="shared" si="2615"/>
        <v>-1000</v>
      </c>
      <c r="CG834" s="47">
        <f t="shared" si="2615"/>
        <v>-1000</v>
      </c>
      <c r="CH834" s="47">
        <f t="shared" si="2615"/>
        <v>-1000</v>
      </c>
      <c r="CI834" s="47">
        <f t="shared" si="2615"/>
        <v>-1000</v>
      </c>
      <c r="CJ834" s="47">
        <f t="shared" si="2615"/>
        <v>-1000</v>
      </c>
      <c r="CK834" s="47">
        <f t="shared" si="2615"/>
        <v>-1000</v>
      </c>
      <c r="CL834" s="47">
        <f t="shared" si="2615"/>
        <v>-1000</v>
      </c>
      <c r="CM834" s="47">
        <f t="shared" si="2615"/>
        <v>-1000</v>
      </c>
      <c r="CN834" s="47">
        <f t="shared" si="2615"/>
        <v>-1000</v>
      </c>
      <c r="CO834" s="47">
        <f t="shared" si="2615"/>
        <v>-1000</v>
      </c>
      <c r="CP834" s="47">
        <f t="shared" si="2615"/>
        <v>-1000</v>
      </c>
      <c r="CQ834" s="47">
        <f t="shared" si="2615"/>
        <v>-1000</v>
      </c>
      <c r="CR834" s="47"/>
      <c r="CS834" s="47"/>
      <c r="CT834" s="47"/>
      <c r="CU834" s="74"/>
      <c r="CV834" s="74"/>
      <c r="CW834" s="74" t="str">
        <f>IFERROR(__xludf.DUMMYFUNCTION("IF(REGEXMATCH(UPPER(CU834), ""DALLAS""),,CU834)"),"")</f>
        <v/>
      </c>
      <c r="CX834" s="74"/>
      <c r="CY834" s="74"/>
      <c r="CZ834" s="74"/>
      <c r="DA834" s="75"/>
      <c r="DB834" s="74"/>
      <c r="DC834" s="74"/>
      <c r="DD834" s="74"/>
      <c r="DE834" s="74"/>
      <c r="DF834" s="74"/>
      <c r="DG834" s="74"/>
      <c r="DH834" s="74"/>
      <c r="DI834" s="74"/>
      <c r="DJ834" s="74"/>
      <c r="DK834" s="74"/>
      <c r="DL834" s="74"/>
      <c r="DM834" s="74"/>
      <c r="DN834" s="74"/>
      <c r="DO834" s="74"/>
      <c r="DP834" s="74"/>
      <c r="DQ834" s="74"/>
      <c r="DR834" s="74"/>
      <c r="DS834" s="74"/>
      <c r="DT834" s="74"/>
      <c r="DU834" s="74"/>
      <c r="DV834" s="74"/>
      <c r="DW834" s="74"/>
    </row>
    <row r="835">
      <c r="A835" s="40" t="s">
        <v>55</v>
      </c>
      <c r="B835" s="41" t="s">
        <v>56</v>
      </c>
      <c r="C835" s="31" t="s">
        <v>2102</v>
      </c>
      <c r="D835" s="25" t="str">
        <f>IFERROR(__xludf.DUMMYFUNCTION("SPLIT(C835,"" "")"),"Yoxall,")</f>
        <v>Yoxall,</v>
      </c>
      <c r="E835" s="40" t="str">
        <f>IFERROR(__xludf.DUMMYFUNCTION("""COMPUTED_VALUE"""),"Thomas
2519")</f>
        <v>Thomas
2519</v>
      </c>
      <c r="F835" s="40" t="str">
        <f>IFERROR(__xludf.DUMMYFUNCTION("""COMPUTED_VALUE"""),"Cambria")</f>
        <v>Cambria</v>
      </c>
      <c r="G835" s="40" t="str">
        <f>IFERROR(__xludf.DUMMYFUNCTION("""COMPUTED_VALUE"""),"Blvd
Dallas,")</f>
        <v>Blvd
Dallas,</v>
      </c>
      <c r="H835" s="40" t="str">
        <f>IFERROR(__xludf.DUMMYFUNCTION("""COMPUTED_VALUE"""),"TX")</f>
        <v>TX</v>
      </c>
      <c r="I835" s="40">
        <f>IFERROR(__xludf.DUMMYFUNCTION("""COMPUTED_VALUE"""),75214.0)</f>
        <v>75214</v>
      </c>
      <c r="J835" s="40"/>
      <c r="K835" s="40"/>
      <c r="L835" s="40"/>
      <c r="M835" s="40"/>
      <c r="N835" s="40"/>
      <c r="O835" s="40"/>
      <c r="P835" s="40"/>
      <c r="Q835" s="40"/>
      <c r="R835" s="40"/>
      <c r="S835" s="40"/>
      <c r="T835" s="40"/>
      <c r="U835" s="24" t="str">
        <f>IFERROR(__xludf.DUMMYFUNCTION("SPLIT(E835,""01234567890"")"),"Thomas
")</f>
        <v>Thomas
</v>
      </c>
      <c r="V835" s="24" t="str">
        <f>IFERROR(__xludf.DUMMYFUNCTION("SPLIT(D835,"","")"),"Yoxall")</f>
        <v>Yoxall</v>
      </c>
      <c r="W835" s="25" t="str">
        <f t="shared" si="1"/>
        <v>THOMAS
 YOXALL</v>
      </c>
      <c r="X835" s="40"/>
      <c r="Y835" s="40"/>
      <c r="Z835" s="25" t="str">
        <f>IFERROR(__xludf.DUMMYFUNCTION("SPLIT(C835,""
"")"),"Yoxall, Thomas")</f>
        <v>Yoxall, Thomas</v>
      </c>
      <c r="AA835" s="40" t="str">
        <f>IFERROR(__xludf.DUMMYFUNCTION("""COMPUTED_VALUE"""),"2519 Cambria Blvd")</f>
        <v>2519 Cambria Blvd</v>
      </c>
      <c r="AB835" s="40" t="str">
        <f>IFERROR(__xludf.DUMMYFUNCTION("""COMPUTED_VALUE"""),"Dallas, TX 75214")</f>
        <v>Dallas, TX 75214</v>
      </c>
      <c r="AC835" s="31" t="s">
        <v>2103</v>
      </c>
      <c r="AD835" s="40"/>
      <c r="AE835" s="40"/>
      <c r="AF835" s="40"/>
      <c r="AG835" s="40" t="s">
        <v>60</v>
      </c>
      <c r="AH835" s="42">
        <v>2481.0</v>
      </c>
      <c r="AI835" s="40" t="s">
        <v>68</v>
      </c>
      <c r="AJ835" s="27">
        <v>1000.0</v>
      </c>
      <c r="AK835" s="31" t="s">
        <v>25</v>
      </c>
      <c r="AL835" s="43">
        <v>44823.0</v>
      </c>
      <c r="AM835" s="44">
        <v>44937.81995370371</v>
      </c>
      <c r="AN835" s="30">
        <v>2.0</v>
      </c>
      <c r="AO835" s="40"/>
      <c r="AP835" s="40"/>
      <c r="AQ835" s="40"/>
      <c r="AR835" s="40"/>
      <c r="AS835" s="40"/>
      <c r="AT835" s="47"/>
      <c r="AU835" s="40"/>
      <c r="AV835" s="46" t="str">
        <f>IFERROR(__xludf.DUMMYFUNCTION("""COMPUTED_VALUE"""),"Bland")</f>
        <v>Bland</v>
      </c>
      <c r="AW835" s="46">
        <f t="shared" si="7"/>
        <v>100</v>
      </c>
      <c r="AX835" s="47">
        <f t="shared" ref="AX835:BQ835" si="2616">SUMIFS($AJ:$AJ,$V:$V,$AV835,$AK:$AK,AX$2)</f>
        <v>0</v>
      </c>
      <c r="AY835" s="48">
        <f t="shared" si="2616"/>
        <v>0</v>
      </c>
      <c r="AZ835" s="48">
        <f t="shared" si="2616"/>
        <v>100</v>
      </c>
      <c r="BA835" s="48">
        <f t="shared" si="2616"/>
        <v>0</v>
      </c>
      <c r="BB835" s="48">
        <f t="shared" si="2616"/>
        <v>0</v>
      </c>
      <c r="BC835" s="48">
        <f t="shared" si="2616"/>
        <v>0</v>
      </c>
      <c r="BD835" s="48">
        <f t="shared" si="2616"/>
        <v>0</v>
      </c>
      <c r="BE835" s="48">
        <f t="shared" si="2616"/>
        <v>0</v>
      </c>
      <c r="BF835" s="48">
        <f t="shared" si="2616"/>
        <v>0</v>
      </c>
      <c r="BG835" s="48">
        <f t="shared" si="2616"/>
        <v>0</v>
      </c>
      <c r="BH835" s="48">
        <f t="shared" si="2616"/>
        <v>0</v>
      </c>
      <c r="BI835" s="48">
        <f t="shared" si="2616"/>
        <v>0</v>
      </c>
      <c r="BJ835" s="48">
        <f t="shared" si="2616"/>
        <v>0</v>
      </c>
      <c r="BK835" s="48">
        <f t="shared" si="2616"/>
        <v>0</v>
      </c>
      <c r="BL835" s="48">
        <f t="shared" si="2616"/>
        <v>0</v>
      </c>
      <c r="BM835" s="48">
        <f t="shared" si="2616"/>
        <v>0</v>
      </c>
      <c r="BN835" s="48">
        <f t="shared" si="2616"/>
        <v>0</v>
      </c>
      <c r="BO835" s="48">
        <f t="shared" si="2616"/>
        <v>0</v>
      </c>
      <c r="BP835" s="48">
        <f t="shared" si="2616"/>
        <v>0</v>
      </c>
      <c r="BQ835" s="48">
        <f t="shared" si="2616"/>
        <v>0</v>
      </c>
      <c r="BR835" s="36">
        <f t="shared" si="9"/>
        <v>0</v>
      </c>
      <c r="BS835" s="38">
        <f t="shared" si="10"/>
        <v>1</v>
      </c>
      <c r="BT835" s="49">
        <f t="shared" si="11"/>
        <v>0</v>
      </c>
      <c r="BU835" s="38">
        <f t="shared" si="12"/>
        <v>1000</v>
      </c>
      <c r="BV835" s="46" t="str">
        <f>IFERROR(__xludf.DUMMYFUNCTION("""COMPUTED_VALUE"""),"Bland")</f>
        <v>Bland</v>
      </c>
      <c r="BW835" s="46">
        <f t="shared" si="13"/>
        <v>100</v>
      </c>
      <c r="BX835" s="47">
        <f t="shared" ref="BX835:CA835" si="2617">AX835-$BU835</f>
        <v>-1000</v>
      </c>
      <c r="BY835" s="47">
        <f t="shared" si="2617"/>
        <v>-1000</v>
      </c>
      <c r="BZ835" s="47">
        <f t="shared" si="2617"/>
        <v>-900</v>
      </c>
      <c r="CA835" s="47">
        <f t="shared" si="2617"/>
        <v>-1000</v>
      </c>
      <c r="CB835" s="47">
        <f t="shared" si="15"/>
        <v>-10000</v>
      </c>
      <c r="CC835" s="47">
        <f t="shared" ref="CC835:CQ835" si="2618">BC835-$BU835</f>
        <v>-1000</v>
      </c>
      <c r="CD835" s="47">
        <f t="shared" si="2618"/>
        <v>-1000</v>
      </c>
      <c r="CE835" s="47">
        <f t="shared" si="2618"/>
        <v>-1000</v>
      </c>
      <c r="CF835" s="47">
        <f t="shared" si="2618"/>
        <v>-1000</v>
      </c>
      <c r="CG835" s="47">
        <f t="shared" si="2618"/>
        <v>-1000</v>
      </c>
      <c r="CH835" s="47">
        <f t="shared" si="2618"/>
        <v>-1000</v>
      </c>
      <c r="CI835" s="47">
        <f t="shared" si="2618"/>
        <v>-1000</v>
      </c>
      <c r="CJ835" s="47">
        <f t="shared" si="2618"/>
        <v>-1000</v>
      </c>
      <c r="CK835" s="47">
        <f t="shared" si="2618"/>
        <v>-1000</v>
      </c>
      <c r="CL835" s="47">
        <f t="shared" si="2618"/>
        <v>-1000</v>
      </c>
      <c r="CM835" s="47">
        <f t="shared" si="2618"/>
        <v>-1000</v>
      </c>
      <c r="CN835" s="47">
        <f t="shared" si="2618"/>
        <v>-1000</v>
      </c>
      <c r="CO835" s="47">
        <f t="shared" si="2618"/>
        <v>-1000</v>
      </c>
      <c r="CP835" s="47">
        <f t="shared" si="2618"/>
        <v>-1000</v>
      </c>
      <c r="CQ835" s="47">
        <f t="shared" si="2618"/>
        <v>-1000</v>
      </c>
      <c r="CR835" s="47"/>
      <c r="CS835" s="47"/>
      <c r="CT835" s="47"/>
      <c r="CU835" s="74"/>
      <c r="CV835" s="74"/>
      <c r="CW835" s="74" t="str">
        <f>IFERROR(__xludf.DUMMYFUNCTION("IF(REGEXMATCH(UPPER(CU835), ""DALLAS""),,CU835)"),"")</f>
        <v/>
      </c>
      <c r="CX835" s="74"/>
      <c r="CY835" s="74"/>
      <c r="CZ835" s="74"/>
      <c r="DA835" s="75"/>
      <c r="DB835" s="74"/>
      <c r="DC835" s="74"/>
      <c r="DD835" s="74"/>
      <c r="DE835" s="74"/>
      <c r="DF835" s="74"/>
      <c r="DG835" s="74"/>
      <c r="DH835" s="74"/>
      <c r="DI835" s="74"/>
      <c r="DJ835" s="74"/>
      <c r="DK835" s="74"/>
      <c r="DL835" s="74"/>
      <c r="DM835" s="74"/>
      <c r="DN835" s="74"/>
      <c r="DO835" s="74"/>
      <c r="DP835" s="74"/>
      <c r="DQ835" s="74"/>
      <c r="DR835" s="74"/>
      <c r="DS835" s="74"/>
      <c r="DT835" s="74"/>
      <c r="DU835" s="74"/>
      <c r="DV835" s="74"/>
      <c r="DW835" s="74"/>
    </row>
    <row r="836">
      <c r="A836" s="22" t="s">
        <v>55</v>
      </c>
      <c r="B836" s="23" t="s">
        <v>56</v>
      </c>
      <c r="C836" s="31" t="s">
        <v>2104</v>
      </c>
      <c r="D836" s="25" t="str">
        <f>IFERROR(__xludf.DUMMYFUNCTION("SPLIT(C836,"" "")"),"Luther,")</f>
        <v>Luther,</v>
      </c>
      <c r="E836" s="22" t="str">
        <f>IFERROR(__xludf.DUMMYFUNCTION("""COMPUTED_VALUE"""),"David
619")</f>
        <v>David
619</v>
      </c>
      <c r="F836" s="22" t="str">
        <f>IFERROR(__xludf.DUMMYFUNCTION("""COMPUTED_VALUE"""),"Kessler")</f>
        <v>Kessler</v>
      </c>
      <c r="G836" s="22" t="str">
        <f>IFERROR(__xludf.DUMMYFUNCTION("""COMPUTED_VALUE"""),"Springs")</f>
        <v>Springs</v>
      </c>
      <c r="H836" s="22" t="str">
        <f>IFERROR(__xludf.DUMMYFUNCTION("""COMPUTED_VALUE"""),"Ave
Dallas,")</f>
        <v>Ave
Dallas,</v>
      </c>
      <c r="I836" s="22" t="str">
        <f>IFERROR(__xludf.DUMMYFUNCTION("""COMPUTED_VALUE"""),"TX")</f>
        <v>TX</v>
      </c>
      <c r="J836" s="22">
        <f>IFERROR(__xludf.DUMMYFUNCTION("""COMPUTED_VALUE"""),75208.0)</f>
        <v>75208</v>
      </c>
      <c r="K836" s="22"/>
      <c r="L836" s="22"/>
      <c r="M836" s="22"/>
      <c r="N836" s="22"/>
      <c r="O836" s="22"/>
      <c r="P836" s="22"/>
      <c r="Q836" s="22"/>
      <c r="R836" s="22"/>
      <c r="S836" s="22"/>
      <c r="T836" s="22"/>
      <c r="U836" s="24" t="str">
        <f>IFERROR(__xludf.DUMMYFUNCTION("SPLIT(E836,""01234567890"")"),"David
")</f>
        <v>David
</v>
      </c>
      <c r="V836" s="24" t="str">
        <f>IFERROR(__xludf.DUMMYFUNCTION("SPLIT(D836,"","")"),"Luther")</f>
        <v>Luther</v>
      </c>
      <c r="W836" s="25" t="str">
        <f t="shared" si="1"/>
        <v>DAVID
 LUTHER</v>
      </c>
      <c r="X836" s="22"/>
      <c r="Y836" s="22"/>
      <c r="Z836" s="25" t="str">
        <f>IFERROR(__xludf.DUMMYFUNCTION("SPLIT(C836,""
"")"),"Luther, David")</f>
        <v>Luther, David</v>
      </c>
      <c r="AA836" s="22" t="str">
        <f>IFERROR(__xludf.DUMMYFUNCTION("""COMPUTED_VALUE"""),"619 Kessler Springs Ave")</f>
        <v>619 Kessler Springs Ave</v>
      </c>
      <c r="AB836" s="22" t="str">
        <f>IFERROR(__xludf.DUMMYFUNCTION("""COMPUTED_VALUE"""),"Dallas, TX 75208")</f>
        <v>Dallas, TX 75208</v>
      </c>
      <c r="AC836" s="31" t="s">
        <v>572</v>
      </c>
      <c r="AD836" s="22"/>
      <c r="AE836" s="22"/>
      <c r="AF836" s="22"/>
      <c r="AG836" s="22" t="s">
        <v>60</v>
      </c>
      <c r="AH836" s="54">
        <v>2481.0</v>
      </c>
      <c r="AI836" s="22" t="s">
        <v>68</v>
      </c>
      <c r="AJ836" s="27">
        <v>50.0</v>
      </c>
      <c r="AK836" s="31" t="s">
        <v>25</v>
      </c>
      <c r="AL836" s="28">
        <v>44823.0</v>
      </c>
      <c r="AM836" s="29">
        <v>44937.81995370371</v>
      </c>
      <c r="AN836" s="30">
        <v>2.0</v>
      </c>
      <c r="AO836" s="22"/>
      <c r="AP836" s="22"/>
      <c r="AQ836" s="22"/>
      <c r="AR836" s="22"/>
      <c r="AS836" s="22"/>
      <c r="AT836" s="70"/>
      <c r="AU836" s="22"/>
      <c r="AV836" s="57" t="str">
        <f>IFERROR(__xludf.DUMMYFUNCTION("""COMPUTED_VALUE"""),"Mccrea")</f>
        <v>Mccrea</v>
      </c>
      <c r="AW836" s="46">
        <f t="shared" si="7"/>
        <v>500</v>
      </c>
      <c r="AX836" s="47">
        <f t="shared" ref="AX836:BQ836" si="2619">SUMIFS($AJ:$AJ,$V:$V,$AV836,$AK:$AK,AX$2)</f>
        <v>0</v>
      </c>
      <c r="AY836" s="48">
        <f t="shared" si="2619"/>
        <v>0</v>
      </c>
      <c r="AZ836" s="48">
        <f t="shared" si="2619"/>
        <v>500</v>
      </c>
      <c r="BA836" s="48">
        <f t="shared" si="2619"/>
        <v>0</v>
      </c>
      <c r="BB836" s="48">
        <f t="shared" si="2619"/>
        <v>0</v>
      </c>
      <c r="BC836" s="48">
        <f t="shared" si="2619"/>
        <v>0</v>
      </c>
      <c r="BD836" s="48">
        <f t="shared" si="2619"/>
        <v>0</v>
      </c>
      <c r="BE836" s="48">
        <f t="shared" si="2619"/>
        <v>0</v>
      </c>
      <c r="BF836" s="48">
        <f t="shared" si="2619"/>
        <v>0</v>
      </c>
      <c r="BG836" s="48">
        <f t="shared" si="2619"/>
        <v>0</v>
      </c>
      <c r="BH836" s="48">
        <f t="shared" si="2619"/>
        <v>0</v>
      </c>
      <c r="BI836" s="48">
        <f t="shared" si="2619"/>
        <v>0</v>
      </c>
      <c r="BJ836" s="48">
        <f t="shared" si="2619"/>
        <v>0</v>
      </c>
      <c r="BK836" s="48">
        <f t="shared" si="2619"/>
        <v>0</v>
      </c>
      <c r="BL836" s="48">
        <f t="shared" si="2619"/>
        <v>0</v>
      </c>
      <c r="BM836" s="48">
        <f t="shared" si="2619"/>
        <v>0</v>
      </c>
      <c r="BN836" s="48">
        <f t="shared" si="2619"/>
        <v>0</v>
      </c>
      <c r="BO836" s="48">
        <f t="shared" si="2619"/>
        <v>0</v>
      </c>
      <c r="BP836" s="48">
        <f t="shared" si="2619"/>
        <v>0</v>
      </c>
      <c r="BQ836" s="48">
        <f t="shared" si="2619"/>
        <v>0</v>
      </c>
      <c r="BR836" s="36">
        <f t="shared" si="9"/>
        <v>0</v>
      </c>
      <c r="BS836" s="38">
        <f t="shared" si="10"/>
        <v>1</v>
      </c>
      <c r="BT836" s="49">
        <f t="shared" si="11"/>
        <v>0</v>
      </c>
      <c r="BU836" s="38">
        <f t="shared" si="12"/>
        <v>1000</v>
      </c>
      <c r="BV836" s="57" t="str">
        <f>IFERROR(__xludf.DUMMYFUNCTION("""COMPUTED_VALUE"""),"Mccrea")</f>
        <v>Mccrea</v>
      </c>
      <c r="BW836" s="46">
        <f t="shared" si="13"/>
        <v>500</v>
      </c>
      <c r="BX836" s="47">
        <f t="shared" ref="BX836:CA836" si="2620">AX836-$BU836</f>
        <v>-1000</v>
      </c>
      <c r="BY836" s="47">
        <f t="shared" si="2620"/>
        <v>-1000</v>
      </c>
      <c r="BZ836" s="47">
        <f t="shared" si="2620"/>
        <v>-500</v>
      </c>
      <c r="CA836" s="47">
        <f t="shared" si="2620"/>
        <v>-1000</v>
      </c>
      <c r="CB836" s="47">
        <f t="shared" si="15"/>
        <v>-10000</v>
      </c>
      <c r="CC836" s="47">
        <f t="shared" ref="CC836:CQ836" si="2621">BC836-$BU836</f>
        <v>-1000</v>
      </c>
      <c r="CD836" s="47">
        <f t="shared" si="2621"/>
        <v>-1000</v>
      </c>
      <c r="CE836" s="47">
        <f t="shared" si="2621"/>
        <v>-1000</v>
      </c>
      <c r="CF836" s="47">
        <f t="shared" si="2621"/>
        <v>-1000</v>
      </c>
      <c r="CG836" s="47">
        <f t="shared" si="2621"/>
        <v>-1000</v>
      </c>
      <c r="CH836" s="47">
        <f t="shared" si="2621"/>
        <v>-1000</v>
      </c>
      <c r="CI836" s="47">
        <f t="shared" si="2621"/>
        <v>-1000</v>
      </c>
      <c r="CJ836" s="47">
        <f t="shared" si="2621"/>
        <v>-1000</v>
      </c>
      <c r="CK836" s="47">
        <f t="shared" si="2621"/>
        <v>-1000</v>
      </c>
      <c r="CL836" s="47">
        <f t="shared" si="2621"/>
        <v>-1000</v>
      </c>
      <c r="CM836" s="47">
        <f t="shared" si="2621"/>
        <v>-1000</v>
      </c>
      <c r="CN836" s="47">
        <f t="shared" si="2621"/>
        <v>-1000</v>
      </c>
      <c r="CO836" s="47">
        <f t="shared" si="2621"/>
        <v>-1000</v>
      </c>
      <c r="CP836" s="47">
        <f t="shared" si="2621"/>
        <v>-1000</v>
      </c>
      <c r="CQ836" s="47">
        <f t="shared" si="2621"/>
        <v>-1000</v>
      </c>
      <c r="CR836" s="47"/>
      <c r="CS836" s="47"/>
      <c r="CT836" s="47"/>
      <c r="CU836" s="74"/>
      <c r="CV836" s="74"/>
      <c r="CW836" s="74" t="str">
        <f>IFERROR(__xludf.DUMMYFUNCTION("IF(REGEXMATCH(UPPER(CU836), ""DALLAS""),,CU836)"),"")</f>
        <v/>
      </c>
      <c r="CX836" s="74"/>
      <c r="CY836" s="74"/>
      <c r="CZ836" s="74"/>
      <c r="DA836" s="75"/>
      <c r="DB836" s="74"/>
      <c r="DC836" s="74"/>
      <c r="DD836" s="74"/>
      <c r="DE836" s="74"/>
      <c r="DF836" s="74"/>
      <c r="DG836" s="74"/>
      <c r="DH836" s="74"/>
      <c r="DI836" s="74"/>
      <c r="DJ836" s="74"/>
      <c r="DK836" s="74"/>
      <c r="DL836" s="74"/>
      <c r="DM836" s="74"/>
      <c r="DN836" s="74"/>
      <c r="DO836" s="74"/>
      <c r="DP836" s="74"/>
      <c r="DQ836" s="74"/>
      <c r="DR836" s="74"/>
      <c r="DS836" s="74"/>
      <c r="DT836" s="74"/>
      <c r="DU836" s="74"/>
      <c r="DV836" s="74"/>
      <c r="DW836" s="74"/>
    </row>
    <row r="837">
      <c r="A837" s="40" t="s">
        <v>55</v>
      </c>
      <c r="B837" s="41" t="s">
        <v>56</v>
      </c>
      <c r="C837" s="31" t="s">
        <v>401</v>
      </c>
      <c r="D837" s="25" t="str">
        <f>IFERROR(__xludf.DUMMYFUNCTION("SPLIT(C837,"" "")"),"Best,")</f>
        <v>Best,</v>
      </c>
      <c r="E837" s="40" t="str">
        <f>IFERROR(__xludf.DUMMYFUNCTION("""COMPUTED_VALUE"""),"Nancy
9762")</f>
        <v>Nancy
9762</v>
      </c>
      <c r="F837" s="40" t="str">
        <f>IFERROR(__xludf.DUMMYFUNCTION("""COMPUTED_VALUE"""),"Audubon")</f>
        <v>Audubon</v>
      </c>
      <c r="G837" s="40" t="str">
        <f>IFERROR(__xludf.DUMMYFUNCTION("""COMPUTED_VALUE"""),"Place
Dallas,")</f>
        <v>Place
Dallas,</v>
      </c>
      <c r="H837" s="40" t="str">
        <f>IFERROR(__xludf.DUMMYFUNCTION("""COMPUTED_VALUE"""),"TX")</f>
        <v>TX</v>
      </c>
      <c r="I837" s="40">
        <f>IFERROR(__xludf.DUMMYFUNCTION("""COMPUTED_VALUE"""),75220.0)</f>
        <v>75220</v>
      </c>
      <c r="J837" s="40"/>
      <c r="K837" s="40"/>
      <c r="L837" s="40"/>
      <c r="M837" s="40"/>
      <c r="N837" s="40"/>
      <c r="O837" s="40"/>
      <c r="P837" s="40"/>
      <c r="Q837" s="40"/>
      <c r="R837" s="40"/>
      <c r="S837" s="40"/>
      <c r="T837" s="40"/>
      <c r="U837" s="24" t="str">
        <f>IFERROR(__xludf.DUMMYFUNCTION("SPLIT(E837,""01234567890"")"),"Nancy
")</f>
        <v>Nancy
</v>
      </c>
      <c r="V837" s="24" t="str">
        <f>IFERROR(__xludf.DUMMYFUNCTION("SPLIT(D837,"","")"),"Best")</f>
        <v>Best</v>
      </c>
      <c r="W837" s="25" t="str">
        <f t="shared" si="1"/>
        <v>NANCY
 BEST</v>
      </c>
      <c r="X837" s="40"/>
      <c r="Y837" s="40"/>
      <c r="Z837" s="25" t="str">
        <f>IFERROR(__xludf.DUMMYFUNCTION("SPLIT(C837,""
"")"),"Best, Nancy")</f>
        <v>Best, Nancy</v>
      </c>
      <c r="AA837" s="40" t="str">
        <f>IFERROR(__xludf.DUMMYFUNCTION("""COMPUTED_VALUE"""),"9762 Audubon Place")</f>
        <v>9762 Audubon Place</v>
      </c>
      <c r="AB837" s="40" t="str">
        <f>IFERROR(__xludf.DUMMYFUNCTION("""COMPUTED_VALUE"""),"Dallas, TX 75220")</f>
        <v>Dallas, TX 75220</v>
      </c>
      <c r="AC837" s="31" t="s">
        <v>400</v>
      </c>
      <c r="AD837" s="40"/>
      <c r="AE837" s="40"/>
      <c r="AF837" s="40"/>
      <c r="AG837" s="40" t="s">
        <v>60</v>
      </c>
      <c r="AH837" s="42">
        <v>2481.0</v>
      </c>
      <c r="AI837" s="40" t="s">
        <v>68</v>
      </c>
      <c r="AJ837" s="27">
        <v>1000.0</v>
      </c>
      <c r="AK837" s="31" t="s">
        <v>25</v>
      </c>
      <c r="AL837" s="43">
        <v>44824.0</v>
      </c>
      <c r="AM837" s="44">
        <v>44937.81995370371</v>
      </c>
      <c r="AN837" s="30">
        <v>2.0</v>
      </c>
      <c r="AO837" s="40"/>
      <c r="AP837" s="40"/>
      <c r="AQ837" s="40"/>
      <c r="AR837" s="40"/>
      <c r="AS837" s="40"/>
      <c r="AT837" s="47"/>
      <c r="AU837" s="40"/>
      <c r="AV837" s="46" t="str">
        <f>IFERROR(__xludf.DUMMYFUNCTION("""COMPUTED_VALUE"""),"Emery")</f>
        <v>Emery</v>
      </c>
      <c r="AW837" s="46">
        <f t="shared" si="7"/>
        <v>50</v>
      </c>
      <c r="AX837" s="47">
        <f t="shared" ref="AX837:BQ837" si="2622">SUMIFS($AJ:$AJ,$V:$V,$AV837,$AK:$AK,AX$2)</f>
        <v>0</v>
      </c>
      <c r="AY837" s="48">
        <f t="shared" si="2622"/>
        <v>0</v>
      </c>
      <c r="AZ837" s="48">
        <f t="shared" si="2622"/>
        <v>50</v>
      </c>
      <c r="BA837" s="48">
        <f t="shared" si="2622"/>
        <v>0</v>
      </c>
      <c r="BB837" s="48">
        <f t="shared" si="2622"/>
        <v>0</v>
      </c>
      <c r="BC837" s="48">
        <f t="shared" si="2622"/>
        <v>0</v>
      </c>
      <c r="BD837" s="48">
        <f t="shared" si="2622"/>
        <v>0</v>
      </c>
      <c r="BE837" s="48">
        <f t="shared" si="2622"/>
        <v>0</v>
      </c>
      <c r="BF837" s="48">
        <f t="shared" si="2622"/>
        <v>0</v>
      </c>
      <c r="BG837" s="48">
        <f t="shared" si="2622"/>
        <v>0</v>
      </c>
      <c r="BH837" s="48">
        <f t="shared" si="2622"/>
        <v>0</v>
      </c>
      <c r="BI837" s="48">
        <f t="shared" si="2622"/>
        <v>0</v>
      </c>
      <c r="BJ837" s="48">
        <f t="shared" si="2622"/>
        <v>0</v>
      </c>
      <c r="BK837" s="48">
        <f t="shared" si="2622"/>
        <v>0</v>
      </c>
      <c r="BL837" s="48">
        <f t="shared" si="2622"/>
        <v>0</v>
      </c>
      <c r="BM837" s="48">
        <f t="shared" si="2622"/>
        <v>0</v>
      </c>
      <c r="BN837" s="48">
        <f t="shared" si="2622"/>
        <v>0</v>
      </c>
      <c r="BO837" s="48">
        <f t="shared" si="2622"/>
        <v>0</v>
      </c>
      <c r="BP837" s="48">
        <f t="shared" si="2622"/>
        <v>0</v>
      </c>
      <c r="BQ837" s="48">
        <f t="shared" si="2622"/>
        <v>0</v>
      </c>
      <c r="BR837" s="36">
        <f t="shared" si="9"/>
        <v>0</v>
      </c>
      <c r="BS837" s="38">
        <f t="shared" si="10"/>
        <v>1</v>
      </c>
      <c r="BT837" s="49">
        <f t="shared" si="11"/>
        <v>0</v>
      </c>
      <c r="BU837" s="38">
        <f t="shared" si="12"/>
        <v>1000</v>
      </c>
      <c r="BV837" s="46" t="str">
        <f>IFERROR(__xludf.DUMMYFUNCTION("""COMPUTED_VALUE"""),"Emery")</f>
        <v>Emery</v>
      </c>
      <c r="BW837" s="46">
        <f t="shared" si="13"/>
        <v>50</v>
      </c>
      <c r="BX837" s="47">
        <f t="shared" ref="BX837:CA837" si="2623">AX837-$BU837</f>
        <v>-1000</v>
      </c>
      <c r="BY837" s="47">
        <f t="shared" si="2623"/>
        <v>-1000</v>
      </c>
      <c r="BZ837" s="47">
        <f t="shared" si="2623"/>
        <v>-950</v>
      </c>
      <c r="CA837" s="47">
        <f t="shared" si="2623"/>
        <v>-1000</v>
      </c>
      <c r="CB837" s="47">
        <f t="shared" si="15"/>
        <v>-10000</v>
      </c>
      <c r="CC837" s="47">
        <f t="shared" ref="CC837:CQ837" si="2624">BC837-$BU837</f>
        <v>-1000</v>
      </c>
      <c r="CD837" s="47">
        <f t="shared" si="2624"/>
        <v>-1000</v>
      </c>
      <c r="CE837" s="47">
        <f t="shared" si="2624"/>
        <v>-1000</v>
      </c>
      <c r="CF837" s="47">
        <f t="shared" si="2624"/>
        <v>-1000</v>
      </c>
      <c r="CG837" s="47">
        <f t="shared" si="2624"/>
        <v>-1000</v>
      </c>
      <c r="CH837" s="47">
        <f t="shared" si="2624"/>
        <v>-1000</v>
      </c>
      <c r="CI837" s="47">
        <f t="shared" si="2624"/>
        <v>-1000</v>
      </c>
      <c r="CJ837" s="47">
        <f t="shared" si="2624"/>
        <v>-1000</v>
      </c>
      <c r="CK837" s="47">
        <f t="shared" si="2624"/>
        <v>-1000</v>
      </c>
      <c r="CL837" s="47">
        <f t="shared" si="2624"/>
        <v>-1000</v>
      </c>
      <c r="CM837" s="47">
        <f t="shared" si="2624"/>
        <v>-1000</v>
      </c>
      <c r="CN837" s="47">
        <f t="shared" si="2624"/>
        <v>-1000</v>
      </c>
      <c r="CO837" s="47">
        <f t="shared" si="2624"/>
        <v>-1000</v>
      </c>
      <c r="CP837" s="47">
        <f t="shared" si="2624"/>
        <v>-1000</v>
      </c>
      <c r="CQ837" s="47">
        <f t="shared" si="2624"/>
        <v>-1000</v>
      </c>
      <c r="CR837" s="47"/>
      <c r="CS837" s="47"/>
      <c r="CT837" s="47"/>
      <c r="CU837" s="74"/>
      <c r="CV837" s="74"/>
      <c r="CW837" s="74" t="str">
        <f>IFERROR(__xludf.DUMMYFUNCTION("IF(REGEXMATCH(UPPER(CU837), ""DALLAS""),,CU837)"),"")</f>
        <v/>
      </c>
      <c r="CX837" s="74"/>
      <c r="CY837" s="74"/>
      <c r="CZ837" s="74"/>
      <c r="DA837" s="75"/>
      <c r="DB837" s="74"/>
      <c r="DC837" s="74"/>
      <c r="DD837" s="74"/>
      <c r="DE837" s="74"/>
      <c r="DF837" s="74"/>
      <c r="DG837" s="74"/>
      <c r="DH837" s="74"/>
      <c r="DI837" s="74"/>
      <c r="DJ837" s="74"/>
      <c r="DK837" s="74"/>
      <c r="DL837" s="74"/>
      <c r="DM837" s="74"/>
      <c r="DN837" s="74"/>
      <c r="DO837" s="74"/>
      <c r="DP837" s="74"/>
      <c r="DQ837" s="74"/>
      <c r="DR837" s="74"/>
      <c r="DS837" s="74"/>
      <c r="DT837" s="74"/>
      <c r="DU837" s="74"/>
      <c r="DV837" s="74"/>
      <c r="DW837" s="74"/>
    </row>
    <row r="838">
      <c r="A838" s="22" t="s">
        <v>55</v>
      </c>
      <c r="B838" s="23" t="s">
        <v>56</v>
      </c>
      <c r="C838" s="31" t="s">
        <v>2105</v>
      </c>
      <c r="D838" s="25" t="str">
        <f>IFERROR(__xludf.DUMMYFUNCTION("SPLIT(C838,"" "")"),"Mann,")</f>
        <v>Mann,</v>
      </c>
      <c r="E838" s="22" t="str">
        <f>IFERROR(__xludf.DUMMYFUNCTION("""COMPUTED_VALUE"""),"Bruce
24")</f>
        <v>Bruce
24</v>
      </c>
      <c r="F838" s="22" t="str">
        <f>IFERROR(__xludf.DUMMYFUNCTION("""COMPUTED_VALUE"""),"Linnaean")</f>
        <v>Linnaean</v>
      </c>
      <c r="G838" s="22" t="str">
        <f>IFERROR(__xludf.DUMMYFUNCTION("""COMPUTED_VALUE"""),"Street
Cambridge,")</f>
        <v>Street
Cambridge,</v>
      </c>
      <c r="H838" s="22" t="str">
        <f>IFERROR(__xludf.DUMMYFUNCTION("""COMPUTED_VALUE"""),"MA")</f>
        <v>MA</v>
      </c>
      <c r="I838" s="22">
        <f>IFERROR(__xludf.DUMMYFUNCTION("""COMPUTED_VALUE"""),2138.0)</f>
        <v>2138</v>
      </c>
      <c r="J838" s="22"/>
      <c r="K838" s="22"/>
      <c r="L838" s="22"/>
      <c r="M838" s="22"/>
      <c r="N838" s="22"/>
      <c r="O838" s="22"/>
      <c r="P838" s="22"/>
      <c r="Q838" s="22"/>
      <c r="R838" s="22"/>
      <c r="S838" s="22"/>
      <c r="T838" s="22"/>
      <c r="U838" s="24" t="str">
        <f>IFERROR(__xludf.DUMMYFUNCTION("SPLIT(E838,""01234567890"")"),"Bruce
")</f>
        <v>Bruce
</v>
      </c>
      <c r="V838" s="24" t="str">
        <f>IFERROR(__xludf.DUMMYFUNCTION("SPLIT(D838,"","")"),"Mann")</f>
        <v>Mann</v>
      </c>
      <c r="W838" s="25" t="str">
        <f t="shared" si="1"/>
        <v>BRUCE
 MANN</v>
      </c>
      <c r="X838" s="22"/>
      <c r="Y838" s="22"/>
      <c r="Z838" s="25" t="str">
        <f>IFERROR(__xludf.DUMMYFUNCTION("SPLIT(C838,""
"")"),"Mann, Bruce")</f>
        <v>Mann, Bruce</v>
      </c>
      <c r="AA838" s="22" t="str">
        <f>IFERROR(__xludf.DUMMYFUNCTION("""COMPUTED_VALUE"""),"24 Linnaean Street")</f>
        <v>24 Linnaean Street</v>
      </c>
      <c r="AB838" s="22" t="str">
        <f>IFERROR(__xludf.DUMMYFUNCTION("""COMPUTED_VALUE"""),"Cambridge, MA 02138")</f>
        <v>Cambridge, MA 02138</v>
      </c>
      <c r="AC838" s="31" t="s">
        <v>2106</v>
      </c>
      <c r="AD838" s="22"/>
      <c r="AE838" s="22"/>
      <c r="AF838" s="22"/>
      <c r="AG838" s="22" t="s">
        <v>60</v>
      </c>
      <c r="AH838" s="54">
        <v>2481.0</v>
      </c>
      <c r="AI838" s="22" t="s">
        <v>68</v>
      </c>
      <c r="AJ838" s="27">
        <v>500.0</v>
      </c>
      <c r="AK838" s="31" t="s">
        <v>25</v>
      </c>
      <c r="AL838" s="28">
        <v>44824.0</v>
      </c>
      <c r="AM838" s="29">
        <v>44937.81995370371</v>
      </c>
      <c r="AN838" s="30">
        <v>2.0</v>
      </c>
      <c r="AO838" s="22"/>
      <c r="AP838" s="22"/>
      <c r="AQ838" s="22"/>
      <c r="AR838" s="22"/>
      <c r="AS838" s="22"/>
      <c r="AT838" s="70"/>
      <c r="AU838" s="22"/>
      <c r="AV838" s="57" t="str">
        <f>IFERROR(__xludf.DUMMYFUNCTION("""COMPUTED_VALUE"""),"Kraus")</f>
        <v>Kraus</v>
      </c>
      <c r="AW838" s="46">
        <f t="shared" si="7"/>
        <v>1000</v>
      </c>
      <c r="AX838" s="47">
        <f t="shared" ref="AX838:BQ838" si="2625">SUMIFS($AJ:$AJ,$V:$V,$AV838,$AK:$AK,AX$2)</f>
        <v>0</v>
      </c>
      <c r="AY838" s="48">
        <f t="shared" si="2625"/>
        <v>0</v>
      </c>
      <c r="AZ838" s="48">
        <f t="shared" si="2625"/>
        <v>1000</v>
      </c>
      <c r="BA838" s="48">
        <f t="shared" si="2625"/>
        <v>0</v>
      </c>
      <c r="BB838" s="48">
        <f t="shared" si="2625"/>
        <v>0</v>
      </c>
      <c r="BC838" s="48">
        <f t="shared" si="2625"/>
        <v>0</v>
      </c>
      <c r="BD838" s="48">
        <f t="shared" si="2625"/>
        <v>0</v>
      </c>
      <c r="BE838" s="48">
        <f t="shared" si="2625"/>
        <v>0</v>
      </c>
      <c r="BF838" s="48">
        <f t="shared" si="2625"/>
        <v>0</v>
      </c>
      <c r="BG838" s="48">
        <f t="shared" si="2625"/>
        <v>0</v>
      </c>
      <c r="BH838" s="48">
        <f t="shared" si="2625"/>
        <v>0</v>
      </c>
      <c r="BI838" s="48">
        <f t="shared" si="2625"/>
        <v>0</v>
      </c>
      <c r="BJ838" s="48">
        <f t="shared" si="2625"/>
        <v>0</v>
      </c>
      <c r="BK838" s="48">
        <f t="shared" si="2625"/>
        <v>0</v>
      </c>
      <c r="BL838" s="48">
        <f t="shared" si="2625"/>
        <v>0</v>
      </c>
      <c r="BM838" s="48">
        <f t="shared" si="2625"/>
        <v>0</v>
      </c>
      <c r="BN838" s="48">
        <f t="shared" si="2625"/>
        <v>0</v>
      </c>
      <c r="BO838" s="48">
        <f t="shared" si="2625"/>
        <v>0</v>
      </c>
      <c r="BP838" s="48">
        <f t="shared" si="2625"/>
        <v>0</v>
      </c>
      <c r="BQ838" s="48">
        <f t="shared" si="2625"/>
        <v>0</v>
      </c>
      <c r="BR838" s="36">
        <f t="shared" si="9"/>
        <v>0</v>
      </c>
      <c r="BS838" s="38">
        <f t="shared" si="10"/>
        <v>1</v>
      </c>
      <c r="BT838" s="49">
        <f t="shared" si="11"/>
        <v>0</v>
      </c>
      <c r="BU838" s="38">
        <f t="shared" si="12"/>
        <v>1000</v>
      </c>
      <c r="BV838" s="57" t="str">
        <f>IFERROR(__xludf.DUMMYFUNCTION("""COMPUTED_VALUE"""),"Kraus")</f>
        <v>Kraus</v>
      </c>
      <c r="BW838" s="46">
        <f t="shared" si="13"/>
        <v>1000</v>
      </c>
      <c r="BX838" s="47">
        <f t="shared" ref="BX838:CA838" si="2626">AX838-$BU838</f>
        <v>-1000</v>
      </c>
      <c r="BY838" s="47">
        <f t="shared" si="2626"/>
        <v>-1000</v>
      </c>
      <c r="BZ838" s="47">
        <f t="shared" si="2626"/>
        <v>0</v>
      </c>
      <c r="CA838" s="47">
        <f t="shared" si="2626"/>
        <v>-1000</v>
      </c>
      <c r="CB838" s="47">
        <f t="shared" si="15"/>
        <v>-10000</v>
      </c>
      <c r="CC838" s="47">
        <f t="shared" ref="CC838:CQ838" si="2627">BC838-$BU838</f>
        <v>-1000</v>
      </c>
      <c r="CD838" s="47">
        <f t="shared" si="2627"/>
        <v>-1000</v>
      </c>
      <c r="CE838" s="47">
        <f t="shared" si="2627"/>
        <v>-1000</v>
      </c>
      <c r="CF838" s="47">
        <f t="shared" si="2627"/>
        <v>-1000</v>
      </c>
      <c r="CG838" s="47">
        <f t="shared" si="2627"/>
        <v>-1000</v>
      </c>
      <c r="CH838" s="47">
        <f t="shared" si="2627"/>
        <v>-1000</v>
      </c>
      <c r="CI838" s="47">
        <f t="shared" si="2627"/>
        <v>-1000</v>
      </c>
      <c r="CJ838" s="47">
        <f t="shared" si="2627"/>
        <v>-1000</v>
      </c>
      <c r="CK838" s="47">
        <f t="shared" si="2627"/>
        <v>-1000</v>
      </c>
      <c r="CL838" s="47">
        <f t="shared" si="2627"/>
        <v>-1000</v>
      </c>
      <c r="CM838" s="47">
        <f t="shared" si="2627"/>
        <v>-1000</v>
      </c>
      <c r="CN838" s="47">
        <f t="shared" si="2627"/>
        <v>-1000</v>
      </c>
      <c r="CO838" s="47">
        <f t="shared" si="2627"/>
        <v>-1000</v>
      </c>
      <c r="CP838" s="47">
        <f t="shared" si="2627"/>
        <v>-1000</v>
      </c>
      <c r="CQ838" s="47">
        <f t="shared" si="2627"/>
        <v>-1000</v>
      </c>
      <c r="CR838" s="47"/>
      <c r="CS838" s="47"/>
      <c r="CT838" s="47"/>
      <c r="CU838" s="74"/>
      <c r="CV838" s="74"/>
      <c r="CW838" s="74" t="str">
        <f>IFERROR(__xludf.DUMMYFUNCTION("IF(REGEXMATCH(UPPER(CU838), ""DALLAS""),,CU838)"),"")</f>
        <v/>
      </c>
      <c r="CX838" s="74"/>
      <c r="CY838" s="74"/>
      <c r="CZ838" s="74"/>
      <c r="DA838" s="75"/>
      <c r="DB838" s="74"/>
      <c r="DC838" s="74"/>
      <c r="DD838" s="74"/>
      <c r="DE838" s="74"/>
      <c r="DF838" s="74"/>
      <c r="DG838" s="74"/>
      <c r="DH838" s="74"/>
      <c r="DI838" s="74"/>
      <c r="DJ838" s="74"/>
      <c r="DK838" s="74"/>
      <c r="DL838" s="74"/>
      <c r="DM838" s="74"/>
      <c r="DN838" s="74"/>
      <c r="DO838" s="74"/>
      <c r="DP838" s="74"/>
      <c r="DQ838" s="74"/>
      <c r="DR838" s="74"/>
      <c r="DS838" s="74"/>
      <c r="DT838" s="74"/>
      <c r="DU838" s="74"/>
      <c r="DV838" s="74"/>
      <c r="DW838" s="74"/>
    </row>
    <row r="839">
      <c r="A839" s="40" t="s">
        <v>55</v>
      </c>
      <c r="B839" s="41" t="s">
        <v>56</v>
      </c>
      <c r="C839" s="31" t="s">
        <v>955</v>
      </c>
      <c r="D839" s="25" t="str">
        <f>IFERROR(__xludf.DUMMYFUNCTION("SPLIT(C839,"" "")"),"Davis,")</f>
        <v>Davis,</v>
      </c>
      <c r="E839" s="40" t="str">
        <f>IFERROR(__xludf.DUMMYFUNCTION("""COMPUTED_VALUE"""),"Denise
58")</f>
        <v>Denise
58</v>
      </c>
      <c r="F839" s="40" t="str">
        <f>IFERROR(__xludf.DUMMYFUNCTION("""COMPUTED_VALUE"""),"Country")</f>
        <v>Country</v>
      </c>
      <c r="G839" s="40" t="str">
        <f>IFERROR(__xludf.DUMMYFUNCTION("""COMPUTED_VALUE"""),"Oaks")</f>
        <v>Oaks</v>
      </c>
      <c r="H839" s="40" t="str">
        <f>IFERROR(__xludf.DUMMYFUNCTION("""COMPUTED_VALUE"""),"Dr
Buda,")</f>
        <v>Dr
Buda,</v>
      </c>
      <c r="I839" s="40" t="str">
        <f>IFERROR(__xludf.DUMMYFUNCTION("""COMPUTED_VALUE"""),"TX")</f>
        <v>TX</v>
      </c>
      <c r="J839" s="40">
        <f>IFERROR(__xludf.DUMMYFUNCTION("""COMPUTED_VALUE"""),78610.0)</f>
        <v>78610</v>
      </c>
      <c r="K839" s="40"/>
      <c r="L839" s="40"/>
      <c r="M839" s="40"/>
      <c r="N839" s="40"/>
      <c r="O839" s="40"/>
      <c r="P839" s="40"/>
      <c r="Q839" s="40"/>
      <c r="R839" s="40"/>
      <c r="S839" s="40"/>
      <c r="T839" s="40"/>
      <c r="U839" s="24" t="str">
        <f>IFERROR(__xludf.DUMMYFUNCTION("SPLIT(E839,""01234567890"")"),"Denise
")</f>
        <v>Denise
</v>
      </c>
      <c r="V839" s="24" t="str">
        <f>IFERROR(__xludf.DUMMYFUNCTION("SPLIT(D839,"","")"),"Davis")</f>
        <v>Davis</v>
      </c>
      <c r="W839" s="25" t="str">
        <f t="shared" si="1"/>
        <v>DENISE
 DAVIS</v>
      </c>
      <c r="X839" s="40"/>
      <c r="Y839" s="40"/>
      <c r="Z839" s="25" t="str">
        <f>IFERROR(__xludf.DUMMYFUNCTION("SPLIT(C839,""
"")"),"Davis, Denise")</f>
        <v>Davis, Denise</v>
      </c>
      <c r="AA839" s="40" t="str">
        <f>IFERROR(__xludf.DUMMYFUNCTION("""COMPUTED_VALUE"""),"58 Country Oaks Dr")</f>
        <v>58 Country Oaks Dr</v>
      </c>
      <c r="AB839" s="40" t="str">
        <f>IFERROR(__xludf.DUMMYFUNCTION("""COMPUTED_VALUE"""),"Buda, TX 78610")</f>
        <v>Buda, TX 78610</v>
      </c>
      <c r="AC839" s="31" t="s">
        <v>957</v>
      </c>
      <c r="AD839" s="40"/>
      <c r="AE839" s="40"/>
      <c r="AF839" s="40"/>
      <c r="AG839" s="40" t="s">
        <v>60</v>
      </c>
      <c r="AH839" s="42">
        <v>2481.0</v>
      </c>
      <c r="AI839" s="40" t="s">
        <v>68</v>
      </c>
      <c r="AJ839" s="27">
        <v>1000.0</v>
      </c>
      <c r="AK839" s="31" t="s">
        <v>25</v>
      </c>
      <c r="AL839" s="43">
        <v>44824.0</v>
      </c>
      <c r="AM839" s="44">
        <v>44937.81995370371</v>
      </c>
      <c r="AN839" s="30">
        <v>2.0</v>
      </c>
      <c r="AO839" s="40"/>
      <c r="AP839" s="40"/>
      <c r="AQ839" s="40"/>
      <c r="AR839" s="40"/>
      <c r="AS839" s="40"/>
      <c r="AT839" s="47"/>
      <c r="AU839" s="40"/>
      <c r="AV839" s="46" t="str">
        <f>IFERROR(__xludf.DUMMYFUNCTION("""COMPUTED_VALUE"""),"Abrac")</f>
        <v>Abrac</v>
      </c>
      <c r="AW839" s="46">
        <f t="shared" si="7"/>
        <v>100</v>
      </c>
      <c r="AX839" s="47">
        <f t="shared" ref="AX839:BQ839" si="2628">SUMIFS($AJ:$AJ,$V:$V,$AV839,$AK:$AK,AX$2)</f>
        <v>0</v>
      </c>
      <c r="AY839" s="48">
        <f t="shared" si="2628"/>
        <v>0</v>
      </c>
      <c r="AZ839" s="48">
        <f t="shared" si="2628"/>
        <v>100</v>
      </c>
      <c r="BA839" s="48">
        <f t="shared" si="2628"/>
        <v>0</v>
      </c>
      <c r="BB839" s="48">
        <f t="shared" si="2628"/>
        <v>0</v>
      </c>
      <c r="BC839" s="48">
        <f t="shared" si="2628"/>
        <v>0</v>
      </c>
      <c r="BD839" s="48">
        <f t="shared" si="2628"/>
        <v>0</v>
      </c>
      <c r="BE839" s="48">
        <f t="shared" si="2628"/>
        <v>0</v>
      </c>
      <c r="BF839" s="48">
        <f t="shared" si="2628"/>
        <v>0</v>
      </c>
      <c r="BG839" s="48">
        <f t="shared" si="2628"/>
        <v>0</v>
      </c>
      <c r="BH839" s="48">
        <f t="shared" si="2628"/>
        <v>0</v>
      </c>
      <c r="BI839" s="48">
        <f t="shared" si="2628"/>
        <v>0</v>
      </c>
      <c r="BJ839" s="48">
        <f t="shared" si="2628"/>
        <v>0</v>
      </c>
      <c r="BK839" s="48">
        <f t="shared" si="2628"/>
        <v>0</v>
      </c>
      <c r="BL839" s="48">
        <f t="shared" si="2628"/>
        <v>0</v>
      </c>
      <c r="BM839" s="48">
        <f t="shared" si="2628"/>
        <v>0</v>
      </c>
      <c r="BN839" s="48">
        <f t="shared" si="2628"/>
        <v>0</v>
      </c>
      <c r="BO839" s="48">
        <f t="shared" si="2628"/>
        <v>0</v>
      </c>
      <c r="BP839" s="48">
        <f t="shared" si="2628"/>
        <v>0</v>
      </c>
      <c r="BQ839" s="48">
        <f t="shared" si="2628"/>
        <v>0</v>
      </c>
      <c r="BR839" s="36">
        <f t="shared" si="9"/>
        <v>0</v>
      </c>
      <c r="BS839" s="38">
        <f t="shared" si="10"/>
        <v>1</v>
      </c>
      <c r="BT839" s="49">
        <f t="shared" si="11"/>
        <v>0</v>
      </c>
      <c r="BU839" s="38">
        <f t="shared" si="12"/>
        <v>1000</v>
      </c>
      <c r="BV839" s="46" t="str">
        <f>IFERROR(__xludf.DUMMYFUNCTION("""COMPUTED_VALUE"""),"Abrac")</f>
        <v>Abrac</v>
      </c>
      <c r="BW839" s="46">
        <f t="shared" si="13"/>
        <v>100</v>
      </c>
      <c r="BX839" s="47">
        <f t="shared" ref="BX839:CA839" si="2629">AX839-$BU839</f>
        <v>-1000</v>
      </c>
      <c r="BY839" s="47">
        <f t="shared" si="2629"/>
        <v>-1000</v>
      </c>
      <c r="BZ839" s="47">
        <f t="shared" si="2629"/>
        <v>-900</v>
      </c>
      <c r="CA839" s="47">
        <f t="shared" si="2629"/>
        <v>-1000</v>
      </c>
      <c r="CB839" s="47">
        <f t="shared" si="15"/>
        <v>-10000</v>
      </c>
      <c r="CC839" s="47">
        <f t="shared" ref="CC839:CQ839" si="2630">BC839-$BU839</f>
        <v>-1000</v>
      </c>
      <c r="CD839" s="47">
        <f t="shared" si="2630"/>
        <v>-1000</v>
      </c>
      <c r="CE839" s="47">
        <f t="shared" si="2630"/>
        <v>-1000</v>
      </c>
      <c r="CF839" s="47">
        <f t="shared" si="2630"/>
        <v>-1000</v>
      </c>
      <c r="CG839" s="47">
        <f t="shared" si="2630"/>
        <v>-1000</v>
      </c>
      <c r="CH839" s="47">
        <f t="shared" si="2630"/>
        <v>-1000</v>
      </c>
      <c r="CI839" s="47">
        <f t="shared" si="2630"/>
        <v>-1000</v>
      </c>
      <c r="CJ839" s="47">
        <f t="shared" si="2630"/>
        <v>-1000</v>
      </c>
      <c r="CK839" s="47">
        <f t="shared" si="2630"/>
        <v>-1000</v>
      </c>
      <c r="CL839" s="47">
        <f t="shared" si="2630"/>
        <v>-1000</v>
      </c>
      <c r="CM839" s="47">
        <f t="shared" si="2630"/>
        <v>-1000</v>
      </c>
      <c r="CN839" s="47">
        <f t="shared" si="2630"/>
        <v>-1000</v>
      </c>
      <c r="CO839" s="47">
        <f t="shared" si="2630"/>
        <v>-1000</v>
      </c>
      <c r="CP839" s="47">
        <f t="shared" si="2630"/>
        <v>-1000</v>
      </c>
      <c r="CQ839" s="47">
        <f t="shared" si="2630"/>
        <v>-1000</v>
      </c>
      <c r="CR839" s="47"/>
      <c r="CS839" s="47"/>
      <c r="CT839" s="47"/>
      <c r="CU839" s="74"/>
      <c r="CV839" s="74"/>
      <c r="CW839" s="74" t="str">
        <f>IFERROR(__xludf.DUMMYFUNCTION("IF(REGEXMATCH(UPPER(CU839), ""DALLAS""),,CU839)"),"")</f>
        <v/>
      </c>
      <c r="CX839" s="74"/>
      <c r="CY839" s="74"/>
      <c r="CZ839" s="74"/>
      <c r="DA839" s="75"/>
      <c r="DB839" s="74"/>
      <c r="DC839" s="74"/>
      <c r="DD839" s="74"/>
      <c r="DE839" s="74"/>
      <c r="DF839" s="74"/>
      <c r="DG839" s="74"/>
      <c r="DH839" s="74"/>
      <c r="DI839" s="74"/>
      <c r="DJ839" s="74"/>
      <c r="DK839" s="74"/>
      <c r="DL839" s="74"/>
      <c r="DM839" s="74"/>
      <c r="DN839" s="74"/>
      <c r="DO839" s="74"/>
      <c r="DP839" s="74"/>
      <c r="DQ839" s="74"/>
      <c r="DR839" s="74"/>
      <c r="DS839" s="74"/>
      <c r="DT839" s="74"/>
      <c r="DU839" s="74"/>
      <c r="DV839" s="74"/>
      <c r="DW839" s="74"/>
    </row>
    <row r="840">
      <c r="A840" s="22" t="s">
        <v>55</v>
      </c>
      <c r="B840" s="23" t="s">
        <v>56</v>
      </c>
      <c r="C840" s="31" t="s">
        <v>2107</v>
      </c>
      <c r="D840" s="25" t="str">
        <f>IFERROR(__xludf.DUMMYFUNCTION("SPLIT(C840,"" "")"),"Lutin,")</f>
        <v>Lutin,</v>
      </c>
      <c r="E840" s="22" t="str">
        <f>IFERROR(__xludf.DUMMYFUNCTION("""COMPUTED_VALUE"""),"Jason
3216")</f>
        <v>Jason
3216</v>
      </c>
      <c r="F840" s="22" t="str">
        <f>IFERROR(__xludf.DUMMYFUNCTION("""COMPUTED_VALUE"""),"Princeton")</f>
        <v>Princeton</v>
      </c>
      <c r="G840" s="22" t="str">
        <f>IFERROR(__xludf.DUMMYFUNCTION("""COMPUTED_VALUE"""),"Ave
Dallas,")</f>
        <v>Ave
Dallas,</v>
      </c>
      <c r="H840" s="22" t="str">
        <f>IFERROR(__xludf.DUMMYFUNCTION("""COMPUTED_VALUE"""),"TX")</f>
        <v>TX</v>
      </c>
      <c r="I840" s="22">
        <f>IFERROR(__xludf.DUMMYFUNCTION("""COMPUTED_VALUE"""),75205.0)</f>
        <v>75205</v>
      </c>
      <c r="J840" s="22"/>
      <c r="K840" s="22"/>
      <c r="L840" s="22"/>
      <c r="M840" s="22"/>
      <c r="N840" s="22"/>
      <c r="O840" s="22"/>
      <c r="P840" s="22"/>
      <c r="Q840" s="22"/>
      <c r="R840" s="22"/>
      <c r="S840" s="22"/>
      <c r="T840" s="22"/>
      <c r="U840" s="24" t="str">
        <f>IFERROR(__xludf.DUMMYFUNCTION("SPLIT(E840,""01234567890"")"),"Jason
")</f>
        <v>Jason
</v>
      </c>
      <c r="V840" s="24" t="str">
        <f>IFERROR(__xludf.DUMMYFUNCTION("SPLIT(D840,"","")"),"Lutin")</f>
        <v>Lutin</v>
      </c>
      <c r="W840" s="25" t="str">
        <f t="shared" si="1"/>
        <v>JASON
 LUTIN</v>
      </c>
      <c r="X840" s="22"/>
      <c r="Y840" s="22"/>
      <c r="Z840" s="25" t="str">
        <f>IFERROR(__xludf.DUMMYFUNCTION("SPLIT(C840,""
"")"),"Lutin, Jason")</f>
        <v>Lutin, Jason</v>
      </c>
      <c r="AA840" s="22" t="str">
        <f>IFERROR(__xludf.DUMMYFUNCTION("""COMPUTED_VALUE"""),"3216 Princeton Ave")</f>
        <v>3216 Princeton Ave</v>
      </c>
      <c r="AB840" s="22" t="str">
        <f>IFERROR(__xludf.DUMMYFUNCTION("""COMPUTED_VALUE"""),"Dallas, TX 75205")</f>
        <v>Dallas, TX 75205</v>
      </c>
      <c r="AC840" s="31" t="s">
        <v>2108</v>
      </c>
      <c r="AD840" s="22"/>
      <c r="AE840" s="22"/>
      <c r="AF840" s="22"/>
      <c r="AG840" s="22" t="s">
        <v>60</v>
      </c>
      <c r="AH840" s="54">
        <v>2481.0</v>
      </c>
      <c r="AI840" s="22" t="s">
        <v>68</v>
      </c>
      <c r="AJ840" s="27">
        <v>500.0</v>
      </c>
      <c r="AK840" s="31" t="s">
        <v>25</v>
      </c>
      <c r="AL840" s="28">
        <v>44824.0</v>
      </c>
      <c r="AM840" s="29">
        <v>44937.81995370371</v>
      </c>
      <c r="AN840" s="30">
        <v>2.0</v>
      </c>
      <c r="AO840" s="22"/>
      <c r="AP840" s="22"/>
      <c r="AQ840" s="22"/>
      <c r="AR840" s="22"/>
      <c r="AS840" s="22"/>
      <c r="AT840" s="70"/>
      <c r="AU840" s="22"/>
      <c r="AV840" s="57" t="str">
        <f>IFERROR(__xludf.DUMMYFUNCTION("""COMPUTED_VALUE"""),"Deleon")</f>
        <v>Deleon</v>
      </c>
      <c r="AW840" s="46">
        <f t="shared" si="7"/>
        <v>50</v>
      </c>
      <c r="AX840" s="47">
        <f t="shared" ref="AX840:BQ840" si="2631">SUMIFS($AJ:$AJ,$V:$V,$AV840,$AK:$AK,AX$2)</f>
        <v>0</v>
      </c>
      <c r="AY840" s="48">
        <f t="shared" si="2631"/>
        <v>0</v>
      </c>
      <c r="AZ840" s="48">
        <f t="shared" si="2631"/>
        <v>50</v>
      </c>
      <c r="BA840" s="48">
        <f t="shared" si="2631"/>
        <v>0</v>
      </c>
      <c r="BB840" s="48">
        <f t="shared" si="2631"/>
        <v>0</v>
      </c>
      <c r="BC840" s="48">
        <f t="shared" si="2631"/>
        <v>0</v>
      </c>
      <c r="BD840" s="48">
        <f t="shared" si="2631"/>
        <v>0</v>
      </c>
      <c r="BE840" s="48">
        <f t="shared" si="2631"/>
        <v>0</v>
      </c>
      <c r="BF840" s="48">
        <f t="shared" si="2631"/>
        <v>0</v>
      </c>
      <c r="BG840" s="48">
        <f t="shared" si="2631"/>
        <v>0</v>
      </c>
      <c r="BH840" s="48">
        <f t="shared" si="2631"/>
        <v>0</v>
      </c>
      <c r="BI840" s="48">
        <f t="shared" si="2631"/>
        <v>0</v>
      </c>
      <c r="BJ840" s="48">
        <f t="shared" si="2631"/>
        <v>0</v>
      </c>
      <c r="BK840" s="48">
        <f t="shared" si="2631"/>
        <v>0</v>
      </c>
      <c r="BL840" s="48">
        <f t="shared" si="2631"/>
        <v>0</v>
      </c>
      <c r="BM840" s="48">
        <f t="shared" si="2631"/>
        <v>0</v>
      </c>
      <c r="BN840" s="48">
        <f t="shared" si="2631"/>
        <v>0</v>
      </c>
      <c r="BO840" s="48">
        <f t="shared" si="2631"/>
        <v>0</v>
      </c>
      <c r="BP840" s="48">
        <f t="shared" si="2631"/>
        <v>0</v>
      </c>
      <c r="BQ840" s="48">
        <f t="shared" si="2631"/>
        <v>0</v>
      </c>
      <c r="BR840" s="36">
        <f t="shared" si="9"/>
        <v>0</v>
      </c>
      <c r="BS840" s="38">
        <f t="shared" si="10"/>
        <v>1</v>
      </c>
      <c r="BT840" s="49">
        <f t="shared" si="11"/>
        <v>0</v>
      </c>
      <c r="BU840" s="38">
        <f t="shared" si="12"/>
        <v>1000</v>
      </c>
      <c r="BV840" s="57" t="str">
        <f>IFERROR(__xludf.DUMMYFUNCTION("""COMPUTED_VALUE"""),"Deleon")</f>
        <v>Deleon</v>
      </c>
      <c r="BW840" s="46">
        <f t="shared" si="13"/>
        <v>50</v>
      </c>
      <c r="BX840" s="47">
        <f t="shared" ref="BX840:CA840" si="2632">AX840-$BU840</f>
        <v>-1000</v>
      </c>
      <c r="BY840" s="47">
        <f t="shared" si="2632"/>
        <v>-1000</v>
      </c>
      <c r="BZ840" s="47">
        <f t="shared" si="2632"/>
        <v>-950</v>
      </c>
      <c r="CA840" s="47">
        <f t="shared" si="2632"/>
        <v>-1000</v>
      </c>
      <c r="CB840" s="47">
        <f t="shared" si="15"/>
        <v>-10000</v>
      </c>
      <c r="CC840" s="47">
        <f t="shared" ref="CC840:CQ840" si="2633">BC840-$BU840</f>
        <v>-1000</v>
      </c>
      <c r="CD840" s="47">
        <f t="shared" si="2633"/>
        <v>-1000</v>
      </c>
      <c r="CE840" s="47">
        <f t="shared" si="2633"/>
        <v>-1000</v>
      </c>
      <c r="CF840" s="47">
        <f t="shared" si="2633"/>
        <v>-1000</v>
      </c>
      <c r="CG840" s="47">
        <f t="shared" si="2633"/>
        <v>-1000</v>
      </c>
      <c r="CH840" s="47">
        <f t="shared" si="2633"/>
        <v>-1000</v>
      </c>
      <c r="CI840" s="47">
        <f t="shared" si="2633"/>
        <v>-1000</v>
      </c>
      <c r="CJ840" s="47">
        <f t="shared" si="2633"/>
        <v>-1000</v>
      </c>
      <c r="CK840" s="47">
        <f t="shared" si="2633"/>
        <v>-1000</v>
      </c>
      <c r="CL840" s="47">
        <f t="shared" si="2633"/>
        <v>-1000</v>
      </c>
      <c r="CM840" s="47">
        <f t="shared" si="2633"/>
        <v>-1000</v>
      </c>
      <c r="CN840" s="47">
        <f t="shared" si="2633"/>
        <v>-1000</v>
      </c>
      <c r="CO840" s="47">
        <f t="shared" si="2633"/>
        <v>-1000</v>
      </c>
      <c r="CP840" s="47">
        <f t="shared" si="2633"/>
        <v>-1000</v>
      </c>
      <c r="CQ840" s="47">
        <f t="shared" si="2633"/>
        <v>-1000</v>
      </c>
      <c r="CR840" s="47"/>
      <c r="CS840" s="47"/>
      <c r="CT840" s="47"/>
      <c r="CU840" s="74"/>
      <c r="CV840" s="74"/>
      <c r="CW840" s="74" t="str">
        <f>IFERROR(__xludf.DUMMYFUNCTION("IF(REGEXMATCH(UPPER(CU840), ""DALLAS""),,CU840)"),"")</f>
        <v/>
      </c>
      <c r="CX840" s="74"/>
      <c r="CY840" s="74"/>
      <c r="CZ840" s="74"/>
      <c r="DA840" s="75"/>
      <c r="DB840" s="74"/>
      <c r="DC840" s="74"/>
      <c r="DD840" s="74"/>
      <c r="DE840" s="74"/>
      <c r="DF840" s="74"/>
      <c r="DG840" s="74"/>
      <c r="DH840" s="74"/>
      <c r="DI840" s="74"/>
      <c r="DJ840" s="74"/>
      <c r="DK840" s="74"/>
      <c r="DL840" s="74"/>
      <c r="DM840" s="74"/>
      <c r="DN840" s="74"/>
      <c r="DO840" s="74"/>
      <c r="DP840" s="74"/>
      <c r="DQ840" s="74"/>
      <c r="DR840" s="74"/>
      <c r="DS840" s="74"/>
      <c r="DT840" s="74"/>
      <c r="DU840" s="74"/>
      <c r="DV840" s="74"/>
      <c r="DW840" s="74"/>
    </row>
    <row r="841">
      <c r="A841" s="40" t="s">
        <v>55</v>
      </c>
      <c r="B841" s="41" t="s">
        <v>56</v>
      </c>
      <c r="C841" s="31" t="s">
        <v>2109</v>
      </c>
      <c r="D841" s="25" t="str">
        <f>IFERROR(__xludf.DUMMYFUNCTION("SPLIT(C841,"" "")"),"Culbreath,")</f>
        <v>Culbreath,</v>
      </c>
      <c r="E841" s="40" t="str">
        <f>IFERROR(__xludf.DUMMYFUNCTION("""COMPUTED_VALUE"""),"Betty
630")</f>
        <v>Betty
630</v>
      </c>
      <c r="F841" s="40" t="str">
        <f>IFERROR(__xludf.DUMMYFUNCTION("""COMPUTED_VALUE"""),"Villa")</f>
        <v>Villa</v>
      </c>
      <c r="G841" s="40" t="str">
        <f>IFERROR(__xludf.DUMMYFUNCTION("""COMPUTED_VALUE"""),"Creek")</f>
        <v>Creek</v>
      </c>
      <c r="H841" s="40" t="str">
        <f>IFERROR(__xludf.DUMMYFUNCTION("""COMPUTED_VALUE"""),"Dr
Duncanville,")</f>
        <v>Dr
Duncanville,</v>
      </c>
      <c r="I841" s="40" t="str">
        <f>IFERROR(__xludf.DUMMYFUNCTION("""COMPUTED_VALUE"""),"TX")</f>
        <v>TX</v>
      </c>
      <c r="J841" s="40">
        <f>IFERROR(__xludf.DUMMYFUNCTION("""COMPUTED_VALUE"""),75137.0)</f>
        <v>75137</v>
      </c>
      <c r="K841" s="40"/>
      <c r="L841" s="40"/>
      <c r="M841" s="40"/>
      <c r="N841" s="40"/>
      <c r="O841" s="40"/>
      <c r="P841" s="40"/>
      <c r="Q841" s="40"/>
      <c r="R841" s="40"/>
      <c r="S841" s="40"/>
      <c r="T841" s="40"/>
      <c r="U841" s="24" t="str">
        <f>IFERROR(__xludf.DUMMYFUNCTION("SPLIT(E841,""01234567890"")"),"Betty
")</f>
        <v>Betty
</v>
      </c>
      <c r="V841" s="24" t="str">
        <f>IFERROR(__xludf.DUMMYFUNCTION("SPLIT(D841,"","")"),"Culbreath")</f>
        <v>Culbreath</v>
      </c>
      <c r="W841" s="25" t="str">
        <f t="shared" si="1"/>
        <v>BETTY
 CULBREATH</v>
      </c>
      <c r="X841" s="40"/>
      <c r="Y841" s="40"/>
      <c r="Z841" s="25" t="str">
        <f>IFERROR(__xludf.DUMMYFUNCTION("SPLIT(C841,""
"")"),"Culbreath, Betty")</f>
        <v>Culbreath, Betty</v>
      </c>
      <c r="AA841" s="40" t="str">
        <f>IFERROR(__xludf.DUMMYFUNCTION("""COMPUTED_VALUE"""),"630 Villa Creek Dr")</f>
        <v>630 Villa Creek Dr</v>
      </c>
      <c r="AB841" s="40" t="str">
        <f>IFERROR(__xludf.DUMMYFUNCTION("""COMPUTED_VALUE"""),"Duncanville, TX 75137")</f>
        <v>Duncanville, TX 75137</v>
      </c>
      <c r="AC841" s="31" t="s">
        <v>2110</v>
      </c>
      <c r="AD841" s="40"/>
      <c r="AE841" s="40"/>
      <c r="AF841" s="40"/>
      <c r="AG841" s="40" t="s">
        <v>60</v>
      </c>
      <c r="AH841" s="42">
        <v>2481.0</v>
      </c>
      <c r="AI841" s="40" t="s">
        <v>68</v>
      </c>
      <c r="AJ841" s="27">
        <v>200.0</v>
      </c>
      <c r="AK841" s="31" t="s">
        <v>25</v>
      </c>
      <c r="AL841" s="43">
        <v>44824.0</v>
      </c>
      <c r="AM841" s="44">
        <v>44937.81995370371</v>
      </c>
      <c r="AN841" s="30">
        <v>2.0</v>
      </c>
      <c r="AO841" s="40"/>
      <c r="AP841" s="40"/>
      <c r="AQ841" s="40"/>
      <c r="AR841" s="40"/>
      <c r="AS841" s="40"/>
      <c r="AT841" s="47"/>
      <c r="AU841" s="40"/>
      <c r="AV841" s="46" t="str">
        <f>IFERROR(__xludf.DUMMYFUNCTION("""COMPUTED_VALUE"""),"Winn")</f>
        <v>Winn</v>
      </c>
      <c r="AW841" s="46">
        <f t="shared" si="7"/>
        <v>500</v>
      </c>
      <c r="AX841" s="47">
        <f t="shared" ref="AX841:BQ841" si="2634">SUMIFS($AJ:$AJ,$V:$V,$AV841,$AK:$AK,AX$2)</f>
        <v>0</v>
      </c>
      <c r="AY841" s="48">
        <f t="shared" si="2634"/>
        <v>0</v>
      </c>
      <c r="AZ841" s="48">
        <f t="shared" si="2634"/>
        <v>500</v>
      </c>
      <c r="BA841" s="48">
        <f t="shared" si="2634"/>
        <v>0</v>
      </c>
      <c r="BB841" s="48">
        <f t="shared" si="2634"/>
        <v>0</v>
      </c>
      <c r="BC841" s="48">
        <f t="shared" si="2634"/>
        <v>0</v>
      </c>
      <c r="BD841" s="48">
        <f t="shared" si="2634"/>
        <v>0</v>
      </c>
      <c r="BE841" s="48">
        <f t="shared" si="2634"/>
        <v>0</v>
      </c>
      <c r="BF841" s="48">
        <f t="shared" si="2634"/>
        <v>0</v>
      </c>
      <c r="BG841" s="48">
        <f t="shared" si="2634"/>
        <v>0</v>
      </c>
      <c r="BH841" s="48">
        <f t="shared" si="2634"/>
        <v>0</v>
      </c>
      <c r="BI841" s="48">
        <f t="shared" si="2634"/>
        <v>0</v>
      </c>
      <c r="BJ841" s="48">
        <f t="shared" si="2634"/>
        <v>0</v>
      </c>
      <c r="BK841" s="48">
        <f t="shared" si="2634"/>
        <v>0</v>
      </c>
      <c r="BL841" s="48">
        <f t="shared" si="2634"/>
        <v>0</v>
      </c>
      <c r="BM841" s="48">
        <f t="shared" si="2634"/>
        <v>0</v>
      </c>
      <c r="BN841" s="48">
        <f t="shared" si="2634"/>
        <v>0</v>
      </c>
      <c r="BO841" s="48">
        <f t="shared" si="2634"/>
        <v>0</v>
      </c>
      <c r="BP841" s="48">
        <f t="shared" si="2634"/>
        <v>0</v>
      </c>
      <c r="BQ841" s="48">
        <f t="shared" si="2634"/>
        <v>0</v>
      </c>
      <c r="BR841" s="36">
        <f t="shared" si="9"/>
        <v>0</v>
      </c>
      <c r="BS841" s="38">
        <f t="shared" si="10"/>
        <v>1</v>
      </c>
      <c r="BT841" s="49">
        <f t="shared" si="11"/>
        <v>0</v>
      </c>
      <c r="BU841" s="38">
        <f t="shared" si="12"/>
        <v>1000</v>
      </c>
      <c r="BV841" s="46" t="str">
        <f>IFERROR(__xludf.DUMMYFUNCTION("""COMPUTED_VALUE"""),"Winn")</f>
        <v>Winn</v>
      </c>
      <c r="BW841" s="46">
        <f t="shared" si="13"/>
        <v>500</v>
      </c>
      <c r="BX841" s="47">
        <f t="shared" ref="BX841:CA841" si="2635">AX841-$BU841</f>
        <v>-1000</v>
      </c>
      <c r="BY841" s="47">
        <f t="shared" si="2635"/>
        <v>-1000</v>
      </c>
      <c r="BZ841" s="47">
        <f t="shared" si="2635"/>
        <v>-500</v>
      </c>
      <c r="CA841" s="47">
        <f t="shared" si="2635"/>
        <v>-1000</v>
      </c>
      <c r="CB841" s="47">
        <f t="shared" si="15"/>
        <v>-10000</v>
      </c>
      <c r="CC841" s="47">
        <f t="shared" ref="CC841:CQ841" si="2636">BC841-$BU841</f>
        <v>-1000</v>
      </c>
      <c r="CD841" s="47">
        <f t="shared" si="2636"/>
        <v>-1000</v>
      </c>
      <c r="CE841" s="47">
        <f t="shared" si="2636"/>
        <v>-1000</v>
      </c>
      <c r="CF841" s="47">
        <f t="shared" si="2636"/>
        <v>-1000</v>
      </c>
      <c r="CG841" s="47">
        <f t="shared" si="2636"/>
        <v>-1000</v>
      </c>
      <c r="CH841" s="47">
        <f t="shared" si="2636"/>
        <v>-1000</v>
      </c>
      <c r="CI841" s="47">
        <f t="shared" si="2636"/>
        <v>-1000</v>
      </c>
      <c r="CJ841" s="47">
        <f t="shared" si="2636"/>
        <v>-1000</v>
      </c>
      <c r="CK841" s="47">
        <f t="shared" si="2636"/>
        <v>-1000</v>
      </c>
      <c r="CL841" s="47">
        <f t="shared" si="2636"/>
        <v>-1000</v>
      </c>
      <c r="CM841" s="47">
        <f t="shared" si="2636"/>
        <v>-1000</v>
      </c>
      <c r="CN841" s="47">
        <f t="shared" si="2636"/>
        <v>-1000</v>
      </c>
      <c r="CO841" s="47">
        <f t="shared" si="2636"/>
        <v>-1000</v>
      </c>
      <c r="CP841" s="47">
        <f t="shared" si="2636"/>
        <v>-1000</v>
      </c>
      <c r="CQ841" s="47">
        <f t="shared" si="2636"/>
        <v>-1000</v>
      </c>
      <c r="CR841" s="47"/>
      <c r="CS841" s="47"/>
      <c r="CT841" s="47"/>
      <c r="CU841" s="74"/>
      <c r="CV841" s="74"/>
      <c r="CW841" s="74" t="str">
        <f>IFERROR(__xludf.DUMMYFUNCTION("IF(REGEXMATCH(UPPER(CU841), ""DALLAS""),,CU841)"),"")</f>
        <v/>
      </c>
      <c r="CX841" s="74"/>
      <c r="CY841" s="74"/>
      <c r="CZ841" s="74"/>
      <c r="DA841" s="75"/>
      <c r="DB841" s="74"/>
      <c r="DC841" s="74"/>
      <c r="DD841" s="74"/>
      <c r="DE841" s="74"/>
      <c r="DF841" s="74"/>
      <c r="DG841" s="74"/>
      <c r="DH841" s="74"/>
      <c r="DI841" s="74"/>
      <c r="DJ841" s="74"/>
      <c r="DK841" s="74"/>
      <c r="DL841" s="74"/>
      <c r="DM841" s="74"/>
      <c r="DN841" s="74"/>
      <c r="DO841" s="74"/>
      <c r="DP841" s="74"/>
      <c r="DQ841" s="74"/>
      <c r="DR841" s="74"/>
      <c r="DS841" s="74"/>
      <c r="DT841" s="74"/>
      <c r="DU841" s="74"/>
      <c r="DV841" s="74"/>
      <c r="DW841" s="74"/>
    </row>
    <row r="842">
      <c r="A842" s="22" t="s">
        <v>55</v>
      </c>
      <c r="B842" s="23" t="s">
        <v>56</v>
      </c>
      <c r="C842" s="31" t="s">
        <v>401</v>
      </c>
      <c r="D842" s="25" t="str">
        <f>IFERROR(__xludf.DUMMYFUNCTION("SPLIT(C842,"" "")"),"Best,")</f>
        <v>Best,</v>
      </c>
      <c r="E842" s="22" t="str">
        <f>IFERROR(__xludf.DUMMYFUNCTION("""COMPUTED_VALUE"""),"Nancy
9762")</f>
        <v>Nancy
9762</v>
      </c>
      <c r="F842" s="22" t="str">
        <f>IFERROR(__xludf.DUMMYFUNCTION("""COMPUTED_VALUE"""),"Audubon")</f>
        <v>Audubon</v>
      </c>
      <c r="G842" s="22" t="str">
        <f>IFERROR(__xludf.DUMMYFUNCTION("""COMPUTED_VALUE"""),"Place
Dallas,")</f>
        <v>Place
Dallas,</v>
      </c>
      <c r="H842" s="22" t="str">
        <f>IFERROR(__xludf.DUMMYFUNCTION("""COMPUTED_VALUE"""),"TX")</f>
        <v>TX</v>
      </c>
      <c r="I842" s="22">
        <f>IFERROR(__xludf.DUMMYFUNCTION("""COMPUTED_VALUE"""),75220.0)</f>
        <v>75220</v>
      </c>
      <c r="J842" s="22"/>
      <c r="K842" s="22"/>
      <c r="L842" s="22"/>
      <c r="M842" s="22"/>
      <c r="N842" s="22"/>
      <c r="O842" s="22"/>
      <c r="P842" s="22"/>
      <c r="Q842" s="22"/>
      <c r="R842" s="22"/>
      <c r="S842" s="22"/>
      <c r="T842" s="22"/>
      <c r="U842" s="24" t="str">
        <f>IFERROR(__xludf.DUMMYFUNCTION("SPLIT(E842,""01234567890"")"),"Nancy
")</f>
        <v>Nancy
</v>
      </c>
      <c r="V842" s="24" t="str">
        <f>IFERROR(__xludf.DUMMYFUNCTION("SPLIT(D842,"","")"),"Best")</f>
        <v>Best</v>
      </c>
      <c r="W842" s="25" t="str">
        <f t="shared" si="1"/>
        <v>NANCY
 BEST</v>
      </c>
      <c r="X842" s="22"/>
      <c r="Y842" s="22"/>
      <c r="Z842" s="25" t="str">
        <f>IFERROR(__xludf.DUMMYFUNCTION("SPLIT(C842,""
"")"),"Best, Nancy")</f>
        <v>Best, Nancy</v>
      </c>
      <c r="AA842" s="22" t="str">
        <f>IFERROR(__xludf.DUMMYFUNCTION("""COMPUTED_VALUE"""),"9762 Audubon Place")</f>
        <v>9762 Audubon Place</v>
      </c>
      <c r="AB842" s="22" t="str">
        <f>IFERROR(__xludf.DUMMYFUNCTION("""COMPUTED_VALUE"""),"Dallas, TX 75220")</f>
        <v>Dallas, TX 75220</v>
      </c>
      <c r="AC842" s="31" t="s">
        <v>400</v>
      </c>
      <c r="AD842" s="22"/>
      <c r="AE842" s="22"/>
      <c r="AF842" s="22"/>
      <c r="AG842" s="22" t="s">
        <v>60</v>
      </c>
      <c r="AH842" s="54">
        <v>2481.0</v>
      </c>
      <c r="AI842" s="22" t="s">
        <v>68</v>
      </c>
      <c r="AJ842" s="27">
        <v>1000.0</v>
      </c>
      <c r="AK842" s="31" t="s">
        <v>25</v>
      </c>
      <c r="AL842" s="28">
        <v>44824.0</v>
      </c>
      <c r="AM842" s="29">
        <v>44937.81995370371</v>
      </c>
      <c r="AN842" s="30">
        <v>2.0</v>
      </c>
      <c r="AO842" s="22"/>
      <c r="AP842" s="22"/>
      <c r="AQ842" s="22"/>
      <c r="AR842" s="22"/>
      <c r="AS842" s="22"/>
      <c r="AT842" s="70"/>
      <c r="AU842" s="22"/>
      <c r="AV842" s="57" t="str">
        <f>IFERROR(__xludf.DUMMYFUNCTION("""COMPUTED_VALUE"""),"Dewar")</f>
        <v>Dewar</v>
      </c>
      <c r="AW842" s="46">
        <f t="shared" si="7"/>
        <v>1000</v>
      </c>
      <c r="AX842" s="47">
        <f t="shared" ref="AX842:BQ842" si="2637">SUMIFS($AJ:$AJ,$V:$V,$AV842,$AK:$AK,AX$2)</f>
        <v>0</v>
      </c>
      <c r="AY842" s="48">
        <f t="shared" si="2637"/>
        <v>0</v>
      </c>
      <c r="AZ842" s="48">
        <f t="shared" si="2637"/>
        <v>1000</v>
      </c>
      <c r="BA842" s="48">
        <f t="shared" si="2637"/>
        <v>0</v>
      </c>
      <c r="BB842" s="48">
        <f t="shared" si="2637"/>
        <v>0</v>
      </c>
      <c r="BC842" s="48">
        <f t="shared" si="2637"/>
        <v>0</v>
      </c>
      <c r="BD842" s="48">
        <f t="shared" si="2637"/>
        <v>0</v>
      </c>
      <c r="BE842" s="48">
        <f t="shared" si="2637"/>
        <v>0</v>
      </c>
      <c r="BF842" s="48">
        <f t="shared" si="2637"/>
        <v>0</v>
      </c>
      <c r="BG842" s="48">
        <f t="shared" si="2637"/>
        <v>0</v>
      </c>
      <c r="BH842" s="48">
        <f t="shared" si="2637"/>
        <v>0</v>
      </c>
      <c r="BI842" s="48">
        <f t="shared" si="2637"/>
        <v>0</v>
      </c>
      <c r="BJ842" s="48">
        <f t="shared" si="2637"/>
        <v>0</v>
      </c>
      <c r="BK842" s="48">
        <f t="shared" si="2637"/>
        <v>0</v>
      </c>
      <c r="BL842" s="48">
        <f t="shared" si="2637"/>
        <v>0</v>
      </c>
      <c r="BM842" s="48">
        <f t="shared" si="2637"/>
        <v>0</v>
      </c>
      <c r="BN842" s="48">
        <f t="shared" si="2637"/>
        <v>0</v>
      </c>
      <c r="BO842" s="48">
        <f t="shared" si="2637"/>
        <v>0</v>
      </c>
      <c r="BP842" s="48">
        <f t="shared" si="2637"/>
        <v>0</v>
      </c>
      <c r="BQ842" s="48">
        <f t="shared" si="2637"/>
        <v>0</v>
      </c>
      <c r="BR842" s="36">
        <f t="shared" si="9"/>
        <v>0</v>
      </c>
      <c r="BS842" s="38">
        <f t="shared" si="10"/>
        <v>1</v>
      </c>
      <c r="BT842" s="49">
        <f t="shared" si="11"/>
        <v>0</v>
      </c>
      <c r="BU842" s="38">
        <f t="shared" si="12"/>
        <v>1000</v>
      </c>
      <c r="BV842" s="57" t="str">
        <f>IFERROR(__xludf.DUMMYFUNCTION("""COMPUTED_VALUE"""),"Dewar")</f>
        <v>Dewar</v>
      </c>
      <c r="BW842" s="46">
        <f t="shared" si="13"/>
        <v>1000</v>
      </c>
      <c r="BX842" s="47">
        <f t="shared" ref="BX842:CA842" si="2638">AX842-$BU842</f>
        <v>-1000</v>
      </c>
      <c r="BY842" s="47">
        <f t="shared" si="2638"/>
        <v>-1000</v>
      </c>
      <c r="BZ842" s="47">
        <f t="shared" si="2638"/>
        <v>0</v>
      </c>
      <c r="CA842" s="47">
        <f t="shared" si="2638"/>
        <v>-1000</v>
      </c>
      <c r="CB842" s="47">
        <f t="shared" si="15"/>
        <v>-10000</v>
      </c>
      <c r="CC842" s="47">
        <f t="shared" ref="CC842:CQ842" si="2639">BC842-$BU842</f>
        <v>-1000</v>
      </c>
      <c r="CD842" s="47">
        <f t="shared" si="2639"/>
        <v>-1000</v>
      </c>
      <c r="CE842" s="47">
        <f t="shared" si="2639"/>
        <v>-1000</v>
      </c>
      <c r="CF842" s="47">
        <f t="shared" si="2639"/>
        <v>-1000</v>
      </c>
      <c r="CG842" s="47">
        <f t="shared" si="2639"/>
        <v>-1000</v>
      </c>
      <c r="CH842" s="47">
        <f t="shared" si="2639"/>
        <v>-1000</v>
      </c>
      <c r="CI842" s="47">
        <f t="shared" si="2639"/>
        <v>-1000</v>
      </c>
      <c r="CJ842" s="47">
        <f t="shared" si="2639"/>
        <v>-1000</v>
      </c>
      <c r="CK842" s="47">
        <f t="shared" si="2639"/>
        <v>-1000</v>
      </c>
      <c r="CL842" s="47">
        <f t="shared" si="2639"/>
        <v>-1000</v>
      </c>
      <c r="CM842" s="47">
        <f t="shared" si="2639"/>
        <v>-1000</v>
      </c>
      <c r="CN842" s="47">
        <f t="shared" si="2639"/>
        <v>-1000</v>
      </c>
      <c r="CO842" s="47">
        <f t="shared" si="2639"/>
        <v>-1000</v>
      </c>
      <c r="CP842" s="47">
        <f t="shared" si="2639"/>
        <v>-1000</v>
      </c>
      <c r="CQ842" s="47">
        <f t="shared" si="2639"/>
        <v>-1000</v>
      </c>
      <c r="CR842" s="47"/>
      <c r="CS842" s="47"/>
      <c r="CT842" s="47"/>
      <c r="CU842" s="74"/>
      <c r="CV842" s="74"/>
      <c r="CW842" s="74" t="str">
        <f>IFERROR(__xludf.DUMMYFUNCTION("IF(REGEXMATCH(UPPER(CU842), ""DALLAS""),,CU842)"),"")</f>
        <v/>
      </c>
      <c r="CX842" s="74"/>
      <c r="CY842" s="74"/>
      <c r="CZ842" s="74"/>
      <c r="DA842" s="75"/>
      <c r="DB842" s="74"/>
      <c r="DC842" s="74"/>
      <c r="DD842" s="74"/>
      <c r="DE842" s="74"/>
      <c r="DF842" s="74"/>
      <c r="DG842" s="74"/>
      <c r="DH842" s="74"/>
      <c r="DI842" s="74"/>
      <c r="DJ842" s="74"/>
      <c r="DK842" s="74"/>
      <c r="DL842" s="74"/>
      <c r="DM842" s="74"/>
      <c r="DN842" s="74"/>
      <c r="DO842" s="74"/>
      <c r="DP842" s="74"/>
      <c r="DQ842" s="74"/>
      <c r="DR842" s="74"/>
      <c r="DS842" s="74"/>
      <c r="DT842" s="74"/>
      <c r="DU842" s="74"/>
      <c r="DV842" s="74"/>
      <c r="DW842" s="74"/>
    </row>
    <row r="843">
      <c r="A843" s="40" t="s">
        <v>55</v>
      </c>
      <c r="B843" s="41" t="s">
        <v>56</v>
      </c>
      <c r="C843" s="31" t="s">
        <v>1140</v>
      </c>
      <c r="D843" s="25" t="str">
        <f>IFERROR(__xludf.DUMMYFUNCTION("SPLIT(C843,"" "")"),"Parobek,")</f>
        <v>Parobek,</v>
      </c>
      <c r="E843" s="40" t="str">
        <f>IFERROR(__xludf.DUMMYFUNCTION("""COMPUTED_VALUE"""),"Jim
7233")</f>
        <v>Jim
7233</v>
      </c>
      <c r="F843" s="40" t="str">
        <f>IFERROR(__xludf.DUMMYFUNCTION("""COMPUTED_VALUE"""),"Brennans")</f>
        <v>Brennans</v>
      </c>
      <c r="G843" s="40" t="str">
        <f>IFERROR(__xludf.DUMMYFUNCTION("""COMPUTED_VALUE"""),"Dr
Dallas,")</f>
        <v>Dr
Dallas,</v>
      </c>
      <c r="H843" s="40" t="str">
        <f>IFERROR(__xludf.DUMMYFUNCTION("""COMPUTED_VALUE"""),"TX")</f>
        <v>TX</v>
      </c>
      <c r="I843" s="40">
        <f>IFERROR(__xludf.DUMMYFUNCTION("""COMPUTED_VALUE"""),75214.0)</f>
        <v>75214</v>
      </c>
      <c r="J843" s="40"/>
      <c r="K843" s="40"/>
      <c r="L843" s="40"/>
      <c r="M843" s="40"/>
      <c r="N843" s="40"/>
      <c r="O843" s="40"/>
      <c r="P843" s="40"/>
      <c r="Q843" s="40"/>
      <c r="R843" s="40"/>
      <c r="S843" s="40"/>
      <c r="T843" s="40"/>
      <c r="U843" s="24" t="str">
        <f>IFERROR(__xludf.DUMMYFUNCTION("SPLIT(E843,""01234567890"")"),"Jim
")</f>
        <v>Jim
</v>
      </c>
      <c r="V843" s="24" t="str">
        <f>IFERROR(__xludf.DUMMYFUNCTION("SPLIT(D843,"","")"),"Parobek")</f>
        <v>Parobek</v>
      </c>
      <c r="W843" s="25" t="str">
        <f t="shared" si="1"/>
        <v>JIM
 PAROBEK</v>
      </c>
      <c r="X843" s="40"/>
      <c r="Y843" s="40"/>
      <c r="Z843" s="25" t="str">
        <f>IFERROR(__xludf.DUMMYFUNCTION("SPLIT(C843,""
"")"),"Parobek, Jim")</f>
        <v>Parobek, Jim</v>
      </c>
      <c r="AA843" s="40" t="str">
        <f>IFERROR(__xludf.DUMMYFUNCTION("""COMPUTED_VALUE"""),"7233 Brennans Dr")</f>
        <v>7233 Brennans Dr</v>
      </c>
      <c r="AB843" s="40" t="str">
        <f>IFERROR(__xludf.DUMMYFUNCTION("""COMPUTED_VALUE"""),"Dallas, TX 75214")</f>
        <v>Dallas, TX 75214</v>
      </c>
      <c r="AC843" s="31" t="s">
        <v>1142</v>
      </c>
      <c r="AD843" s="40"/>
      <c r="AE843" s="40"/>
      <c r="AF843" s="40"/>
      <c r="AG843" s="40" t="s">
        <v>60</v>
      </c>
      <c r="AH843" s="42">
        <v>2481.0</v>
      </c>
      <c r="AI843" s="40" t="s">
        <v>68</v>
      </c>
      <c r="AJ843" s="27">
        <v>100.0</v>
      </c>
      <c r="AK843" s="31" t="s">
        <v>25</v>
      </c>
      <c r="AL843" s="43">
        <v>44824.0</v>
      </c>
      <c r="AM843" s="44">
        <v>44937.81995370371</v>
      </c>
      <c r="AN843" s="30">
        <v>2.0</v>
      </c>
      <c r="AO843" s="40"/>
      <c r="AP843" s="40"/>
      <c r="AQ843" s="40"/>
      <c r="AR843" s="40"/>
      <c r="AS843" s="40"/>
      <c r="AT843" s="47"/>
      <c r="AU843" s="40"/>
      <c r="AV843" s="46" t="str">
        <f>IFERROR(__xludf.DUMMYFUNCTION("""COMPUTED_VALUE"""),"Patel")</f>
        <v>Patel</v>
      </c>
      <c r="AW843" s="46">
        <f t="shared" si="7"/>
        <v>500</v>
      </c>
      <c r="AX843" s="47">
        <f t="shared" ref="AX843:BQ843" si="2640">SUMIFS($AJ:$AJ,$V:$V,$AV843,$AK:$AK,AX$2)</f>
        <v>0</v>
      </c>
      <c r="AY843" s="48">
        <f t="shared" si="2640"/>
        <v>0</v>
      </c>
      <c r="AZ843" s="48">
        <f t="shared" si="2640"/>
        <v>500</v>
      </c>
      <c r="BA843" s="48">
        <f t="shared" si="2640"/>
        <v>0</v>
      </c>
      <c r="BB843" s="48">
        <f t="shared" si="2640"/>
        <v>0</v>
      </c>
      <c r="BC843" s="48">
        <f t="shared" si="2640"/>
        <v>0</v>
      </c>
      <c r="BD843" s="48">
        <f t="shared" si="2640"/>
        <v>0</v>
      </c>
      <c r="BE843" s="48">
        <f t="shared" si="2640"/>
        <v>0</v>
      </c>
      <c r="BF843" s="48">
        <f t="shared" si="2640"/>
        <v>0</v>
      </c>
      <c r="BG843" s="48">
        <f t="shared" si="2640"/>
        <v>0</v>
      </c>
      <c r="BH843" s="48">
        <f t="shared" si="2640"/>
        <v>0</v>
      </c>
      <c r="BI843" s="48">
        <f t="shared" si="2640"/>
        <v>0</v>
      </c>
      <c r="BJ843" s="48">
        <f t="shared" si="2640"/>
        <v>0</v>
      </c>
      <c r="BK843" s="48">
        <f t="shared" si="2640"/>
        <v>0</v>
      </c>
      <c r="BL843" s="48">
        <f t="shared" si="2640"/>
        <v>0</v>
      </c>
      <c r="BM843" s="48">
        <f t="shared" si="2640"/>
        <v>0</v>
      </c>
      <c r="BN843" s="48">
        <f t="shared" si="2640"/>
        <v>0</v>
      </c>
      <c r="BO843" s="48">
        <f t="shared" si="2640"/>
        <v>0</v>
      </c>
      <c r="BP843" s="48">
        <f t="shared" si="2640"/>
        <v>0</v>
      </c>
      <c r="BQ843" s="48">
        <f t="shared" si="2640"/>
        <v>0</v>
      </c>
      <c r="BR843" s="36">
        <f t="shared" si="9"/>
        <v>0</v>
      </c>
      <c r="BS843" s="38">
        <f t="shared" si="10"/>
        <v>1</v>
      </c>
      <c r="BT843" s="49">
        <f t="shared" si="11"/>
        <v>0</v>
      </c>
      <c r="BU843" s="38">
        <f t="shared" si="12"/>
        <v>1000</v>
      </c>
      <c r="BV843" s="46" t="str">
        <f>IFERROR(__xludf.DUMMYFUNCTION("""COMPUTED_VALUE"""),"Patel")</f>
        <v>Patel</v>
      </c>
      <c r="BW843" s="46">
        <f t="shared" si="13"/>
        <v>500</v>
      </c>
      <c r="BX843" s="47">
        <f t="shared" ref="BX843:CA843" si="2641">AX843-$BU843</f>
        <v>-1000</v>
      </c>
      <c r="BY843" s="47">
        <f t="shared" si="2641"/>
        <v>-1000</v>
      </c>
      <c r="BZ843" s="47">
        <f t="shared" si="2641"/>
        <v>-500</v>
      </c>
      <c r="CA843" s="47">
        <f t="shared" si="2641"/>
        <v>-1000</v>
      </c>
      <c r="CB843" s="47">
        <f t="shared" si="15"/>
        <v>-10000</v>
      </c>
      <c r="CC843" s="47">
        <f t="shared" ref="CC843:CQ843" si="2642">BC843-$BU843</f>
        <v>-1000</v>
      </c>
      <c r="CD843" s="47">
        <f t="shared" si="2642"/>
        <v>-1000</v>
      </c>
      <c r="CE843" s="47">
        <f t="shared" si="2642"/>
        <v>-1000</v>
      </c>
      <c r="CF843" s="47">
        <f t="shared" si="2642"/>
        <v>-1000</v>
      </c>
      <c r="CG843" s="47">
        <f t="shared" si="2642"/>
        <v>-1000</v>
      </c>
      <c r="CH843" s="47">
        <f t="shared" si="2642"/>
        <v>-1000</v>
      </c>
      <c r="CI843" s="47">
        <f t="shared" si="2642"/>
        <v>-1000</v>
      </c>
      <c r="CJ843" s="47">
        <f t="shared" si="2642"/>
        <v>-1000</v>
      </c>
      <c r="CK843" s="47">
        <f t="shared" si="2642"/>
        <v>-1000</v>
      </c>
      <c r="CL843" s="47">
        <f t="shared" si="2642"/>
        <v>-1000</v>
      </c>
      <c r="CM843" s="47">
        <f t="shared" si="2642"/>
        <v>-1000</v>
      </c>
      <c r="CN843" s="47">
        <f t="shared" si="2642"/>
        <v>-1000</v>
      </c>
      <c r="CO843" s="47">
        <f t="shared" si="2642"/>
        <v>-1000</v>
      </c>
      <c r="CP843" s="47">
        <f t="shared" si="2642"/>
        <v>-1000</v>
      </c>
      <c r="CQ843" s="47">
        <f t="shared" si="2642"/>
        <v>-1000</v>
      </c>
      <c r="CR843" s="47"/>
      <c r="CS843" s="47"/>
      <c r="CT843" s="47"/>
      <c r="CU843" s="74"/>
      <c r="CV843" s="74"/>
      <c r="CW843" s="74" t="str">
        <f>IFERROR(__xludf.DUMMYFUNCTION("IF(REGEXMATCH(UPPER(CU843), ""DALLAS""),,CU843)"),"")</f>
        <v/>
      </c>
      <c r="CX843" s="74"/>
      <c r="CY843" s="74"/>
      <c r="CZ843" s="74"/>
      <c r="DA843" s="75"/>
      <c r="DB843" s="74"/>
      <c r="DC843" s="74"/>
      <c r="DD843" s="74"/>
      <c r="DE843" s="74"/>
      <c r="DF843" s="74"/>
      <c r="DG843" s="74"/>
      <c r="DH843" s="74"/>
      <c r="DI843" s="74"/>
      <c r="DJ843" s="74"/>
      <c r="DK843" s="74"/>
      <c r="DL843" s="74"/>
      <c r="DM843" s="74"/>
      <c r="DN843" s="74"/>
      <c r="DO843" s="74"/>
      <c r="DP843" s="74"/>
      <c r="DQ843" s="74"/>
      <c r="DR843" s="74"/>
      <c r="DS843" s="74"/>
      <c r="DT843" s="74"/>
      <c r="DU843" s="74"/>
      <c r="DV843" s="74"/>
      <c r="DW843" s="74"/>
    </row>
    <row r="844">
      <c r="A844" s="22" t="s">
        <v>55</v>
      </c>
      <c r="B844" s="23" t="s">
        <v>56</v>
      </c>
      <c r="C844" s="31" t="s">
        <v>857</v>
      </c>
      <c r="D844" s="25" t="str">
        <f>IFERROR(__xludf.DUMMYFUNCTION("SPLIT(C844,"" "")"),"Olson,")</f>
        <v>Olson,</v>
      </c>
      <c r="E844" s="22" t="str">
        <f>IFERROR(__xludf.DUMMYFUNCTION("""COMPUTED_VALUE"""),"Lyndon
5400")</f>
        <v>Lyndon
5400</v>
      </c>
      <c r="F844" s="22" t="str">
        <f>IFERROR(__xludf.DUMMYFUNCTION("""COMPUTED_VALUE"""),"Bosque")</f>
        <v>Bosque</v>
      </c>
      <c r="G844" s="22" t="str">
        <f>IFERROR(__xludf.DUMMYFUNCTION("""COMPUTED_VALUE"""),"Blvd
Waco,")</f>
        <v>Blvd
Waco,</v>
      </c>
      <c r="H844" s="22" t="str">
        <f>IFERROR(__xludf.DUMMYFUNCTION("""COMPUTED_VALUE"""),"TX")</f>
        <v>TX</v>
      </c>
      <c r="I844" s="22">
        <f>IFERROR(__xludf.DUMMYFUNCTION("""COMPUTED_VALUE"""),76710.0)</f>
        <v>76710</v>
      </c>
      <c r="J844" s="22"/>
      <c r="K844" s="22"/>
      <c r="L844" s="22"/>
      <c r="M844" s="22"/>
      <c r="N844" s="22"/>
      <c r="O844" s="22"/>
      <c r="P844" s="22"/>
      <c r="Q844" s="22"/>
      <c r="R844" s="22"/>
      <c r="S844" s="22"/>
      <c r="T844" s="22"/>
      <c r="U844" s="24" t="str">
        <f>IFERROR(__xludf.DUMMYFUNCTION("SPLIT(E844,""01234567890"")"),"Lyndon
")</f>
        <v>Lyndon
</v>
      </c>
      <c r="V844" s="24" t="str">
        <f>IFERROR(__xludf.DUMMYFUNCTION("SPLIT(D844,"","")"),"Olson")</f>
        <v>Olson</v>
      </c>
      <c r="W844" s="25" t="str">
        <f t="shared" si="1"/>
        <v>LYNDON
 OLSON</v>
      </c>
      <c r="X844" s="22"/>
      <c r="Y844" s="22"/>
      <c r="Z844" s="25" t="str">
        <f>IFERROR(__xludf.DUMMYFUNCTION("SPLIT(C844,""
"")"),"Olson, Lyndon")</f>
        <v>Olson, Lyndon</v>
      </c>
      <c r="AA844" s="22" t="str">
        <f>IFERROR(__xludf.DUMMYFUNCTION("""COMPUTED_VALUE"""),"5400 Bosque Blvd")</f>
        <v>5400 Bosque Blvd</v>
      </c>
      <c r="AB844" s="22" t="str">
        <f>IFERROR(__xludf.DUMMYFUNCTION("""COMPUTED_VALUE"""),"Waco, TX 76710")</f>
        <v>Waco, TX 76710</v>
      </c>
      <c r="AC844" s="31" t="s">
        <v>859</v>
      </c>
      <c r="AD844" s="22"/>
      <c r="AE844" s="22"/>
      <c r="AF844" s="22"/>
      <c r="AG844" s="22" t="s">
        <v>60</v>
      </c>
      <c r="AH844" s="54">
        <v>2481.0</v>
      </c>
      <c r="AI844" s="22" t="s">
        <v>68</v>
      </c>
      <c r="AJ844" s="27">
        <v>2500.0</v>
      </c>
      <c r="AK844" s="31" t="s">
        <v>25</v>
      </c>
      <c r="AL844" s="28">
        <v>44824.0</v>
      </c>
      <c r="AM844" s="29">
        <v>44937.81995370371</v>
      </c>
      <c r="AN844" s="30">
        <v>2.0</v>
      </c>
      <c r="AO844" s="22"/>
      <c r="AP844" s="22"/>
      <c r="AQ844" s="22"/>
      <c r="AR844" s="22"/>
      <c r="AS844" s="22"/>
      <c r="AT844" s="70"/>
      <c r="AU844" s="22"/>
      <c r="AV844" s="57" t="str">
        <f>IFERROR(__xludf.DUMMYFUNCTION("""COMPUTED_VALUE"""),"Scudder")</f>
        <v>Scudder</v>
      </c>
      <c r="AW844" s="46">
        <f t="shared" si="7"/>
        <v>1000</v>
      </c>
      <c r="AX844" s="47">
        <f t="shared" ref="AX844:BQ844" si="2643">SUMIFS($AJ:$AJ,$V:$V,$AV844,$AK:$AK,AX$2)</f>
        <v>0</v>
      </c>
      <c r="AY844" s="48">
        <f t="shared" si="2643"/>
        <v>0</v>
      </c>
      <c r="AZ844" s="48">
        <f t="shared" si="2643"/>
        <v>1000</v>
      </c>
      <c r="BA844" s="48">
        <f t="shared" si="2643"/>
        <v>0</v>
      </c>
      <c r="BB844" s="48">
        <f t="shared" si="2643"/>
        <v>0</v>
      </c>
      <c r="BC844" s="48">
        <f t="shared" si="2643"/>
        <v>0</v>
      </c>
      <c r="BD844" s="48">
        <f t="shared" si="2643"/>
        <v>0</v>
      </c>
      <c r="BE844" s="48">
        <f t="shared" si="2643"/>
        <v>0</v>
      </c>
      <c r="BF844" s="48">
        <f t="shared" si="2643"/>
        <v>0</v>
      </c>
      <c r="BG844" s="48">
        <f t="shared" si="2643"/>
        <v>0</v>
      </c>
      <c r="BH844" s="48">
        <f t="shared" si="2643"/>
        <v>0</v>
      </c>
      <c r="BI844" s="48">
        <f t="shared" si="2643"/>
        <v>0</v>
      </c>
      <c r="BJ844" s="48">
        <f t="shared" si="2643"/>
        <v>0</v>
      </c>
      <c r="BK844" s="48">
        <f t="shared" si="2643"/>
        <v>0</v>
      </c>
      <c r="BL844" s="48">
        <f t="shared" si="2643"/>
        <v>0</v>
      </c>
      <c r="BM844" s="48">
        <f t="shared" si="2643"/>
        <v>0</v>
      </c>
      <c r="BN844" s="48">
        <f t="shared" si="2643"/>
        <v>0</v>
      </c>
      <c r="BO844" s="48">
        <f t="shared" si="2643"/>
        <v>0</v>
      </c>
      <c r="BP844" s="48">
        <f t="shared" si="2643"/>
        <v>0</v>
      </c>
      <c r="BQ844" s="48">
        <f t="shared" si="2643"/>
        <v>0</v>
      </c>
      <c r="BR844" s="36">
        <f t="shared" si="9"/>
        <v>0</v>
      </c>
      <c r="BS844" s="38">
        <f t="shared" si="10"/>
        <v>1</v>
      </c>
      <c r="BT844" s="49">
        <f t="shared" si="11"/>
        <v>0</v>
      </c>
      <c r="BU844" s="38">
        <f t="shared" si="12"/>
        <v>1000</v>
      </c>
      <c r="BV844" s="57" t="str">
        <f>IFERROR(__xludf.DUMMYFUNCTION("""COMPUTED_VALUE"""),"Scudder")</f>
        <v>Scudder</v>
      </c>
      <c r="BW844" s="46">
        <f t="shared" si="13"/>
        <v>1000</v>
      </c>
      <c r="BX844" s="47">
        <f t="shared" ref="BX844:CA844" si="2644">AX844-$BU844</f>
        <v>-1000</v>
      </c>
      <c r="BY844" s="47">
        <f t="shared" si="2644"/>
        <v>-1000</v>
      </c>
      <c r="BZ844" s="47">
        <f t="shared" si="2644"/>
        <v>0</v>
      </c>
      <c r="CA844" s="47">
        <f t="shared" si="2644"/>
        <v>-1000</v>
      </c>
      <c r="CB844" s="47">
        <f t="shared" si="15"/>
        <v>-10000</v>
      </c>
      <c r="CC844" s="47">
        <f t="shared" ref="CC844:CQ844" si="2645">BC844-$BU844</f>
        <v>-1000</v>
      </c>
      <c r="CD844" s="47">
        <f t="shared" si="2645"/>
        <v>-1000</v>
      </c>
      <c r="CE844" s="47">
        <f t="shared" si="2645"/>
        <v>-1000</v>
      </c>
      <c r="CF844" s="47">
        <f t="shared" si="2645"/>
        <v>-1000</v>
      </c>
      <c r="CG844" s="47">
        <f t="shared" si="2645"/>
        <v>-1000</v>
      </c>
      <c r="CH844" s="47">
        <f t="shared" si="2645"/>
        <v>-1000</v>
      </c>
      <c r="CI844" s="47">
        <f t="shared" si="2645"/>
        <v>-1000</v>
      </c>
      <c r="CJ844" s="47">
        <f t="shared" si="2645"/>
        <v>-1000</v>
      </c>
      <c r="CK844" s="47">
        <f t="shared" si="2645"/>
        <v>-1000</v>
      </c>
      <c r="CL844" s="47">
        <f t="shared" si="2645"/>
        <v>-1000</v>
      </c>
      <c r="CM844" s="47">
        <f t="shared" si="2645"/>
        <v>-1000</v>
      </c>
      <c r="CN844" s="47">
        <f t="shared" si="2645"/>
        <v>-1000</v>
      </c>
      <c r="CO844" s="47">
        <f t="shared" si="2645"/>
        <v>-1000</v>
      </c>
      <c r="CP844" s="47">
        <f t="shared" si="2645"/>
        <v>-1000</v>
      </c>
      <c r="CQ844" s="47">
        <f t="shared" si="2645"/>
        <v>-1000</v>
      </c>
      <c r="CR844" s="47"/>
      <c r="CS844" s="47"/>
      <c r="CT844" s="47"/>
      <c r="CU844" s="74"/>
      <c r="CV844" s="74"/>
      <c r="CW844" s="74" t="str">
        <f>IFERROR(__xludf.DUMMYFUNCTION("IF(REGEXMATCH(UPPER(CU844), ""DALLAS""),,CU844)"),"")</f>
        <v/>
      </c>
      <c r="CX844" s="74"/>
      <c r="CY844" s="74"/>
      <c r="CZ844" s="74"/>
      <c r="DA844" s="75"/>
      <c r="DB844" s="74"/>
      <c r="DC844" s="74"/>
      <c r="DD844" s="74"/>
      <c r="DE844" s="74"/>
      <c r="DF844" s="74"/>
      <c r="DG844" s="74"/>
      <c r="DH844" s="74"/>
      <c r="DI844" s="74"/>
      <c r="DJ844" s="74"/>
      <c r="DK844" s="74"/>
      <c r="DL844" s="74"/>
      <c r="DM844" s="74"/>
      <c r="DN844" s="74"/>
      <c r="DO844" s="74"/>
      <c r="DP844" s="74"/>
      <c r="DQ844" s="74"/>
      <c r="DR844" s="74"/>
      <c r="DS844" s="74"/>
      <c r="DT844" s="74"/>
      <c r="DU844" s="74"/>
      <c r="DV844" s="74"/>
      <c r="DW844" s="74"/>
    </row>
    <row r="845">
      <c r="A845" s="40" t="s">
        <v>55</v>
      </c>
      <c r="B845" s="41" t="s">
        <v>56</v>
      </c>
      <c r="C845" s="31" t="s">
        <v>2111</v>
      </c>
      <c r="D845" s="25" t="str">
        <f>IFERROR(__xludf.DUMMYFUNCTION("SPLIT(C845,"" "")"),"Sacher,")</f>
        <v>Sacher,</v>
      </c>
      <c r="E845" s="40" t="str">
        <f>IFERROR(__xludf.DUMMYFUNCTION("""COMPUTED_VALUE"""),"Sury")</f>
        <v>Sury</v>
      </c>
      <c r="F845" s="40" t="str">
        <f>IFERROR(__xludf.DUMMYFUNCTION("""COMPUTED_VALUE"""),"and")</f>
        <v>and</v>
      </c>
      <c r="G845" s="40" t="str">
        <f>IFERROR(__xludf.DUMMYFUNCTION("""COMPUTED_VALUE"""),"David
7225")</f>
        <v>David
7225</v>
      </c>
      <c r="H845" s="40" t="str">
        <f>IFERROR(__xludf.DUMMYFUNCTION("""COMPUTED_VALUE"""),"South")</f>
        <v>South</v>
      </c>
      <c r="I845" s="40" t="str">
        <f>IFERROR(__xludf.DUMMYFUNCTION("""COMPUTED_VALUE"""),"Janmar")</f>
        <v>Janmar</v>
      </c>
      <c r="J845" s="40" t="str">
        <f>IFERROR(__xludf.DUMMYFUNCTION("""COMPUTED_VALUE"""),"court
Dallas,")</f>
        <v>court
Dallas,</v>
      </c>
      <c r="K845" s="40" t="str">
        <f>IFERROR(__xludf.DUMMYFUNCTION("""COMPUTED_VALUE"""),"TX")</f>
        <v>TX</v>
      </c>
      <c r="L845" s="40">
        <f>IFERROR(__xludf.DUMMYFUNCTION("""COMPUTED_VALUE"""),75230.0)</f>
        <v>75230</v>
      </c>
      <c r="M845" s="40"/>
      <c r="N845" s="40"/>
      <c r="O845" s="40"/>
      <c r="P845" s="40"/>
      <c r="Q845" s="40"/>
      <c r="R845" s="40"/>
      <c r="S845" s="40"/>
      <c r="T845" s="40"/>
      <c r="U845" s="24" t="str">
        <f>IFERROR(__xludf.DUMMYFUNCTION("SPLIT(E845,""01234567890"")"),"Sury")</f>
        <v>Sury</v>
      </c>
      <c r="V845" s="24" t="str">
        <f>IFERROR(__xludf.DUMMYFUNCTION("SPLIT(D845,"","")"),"Sacher")</f>
        <v>Sacher</v>
      </c>
      <c r="W845" s="25" t="str">
        <f t="shared" si="1"/>
        <v>SURY SACHER</v>
      </c>
      <c r="X845" s="40"/>
      <c r="Y845" s="40"/>
      <c r="Z845" s="25" t="str">
        <f>IFERROR(__xludf.DUMMYFUNCTION("SPLIT(C845,""
"")"),"Sacher, Sury and David")</f>
        <v>Sacher, Sury and David</v>
      </c>
      <c r="AA845" s="40" t="str">
        <f>IFERROR(__xludf.DUMMYFUNCTION("""COMPUTED_VALUE"""),"7225 South Janmar court")</f>
        <v>7225 South Janmar court</v>
      </c>
      <c r="AB845" s="40" t="str">
        <f>IFERROR(__xludf.DUMMYFUNCTION("""COMPUTED_VALUE"""),"Dallas, TX 75230")</f>
        <v>Dallas, TX 75230</v>
      </c>
      <c r="AC845" s="31" t="s">
        <v>2112</v>
      </c>
      <c r="AD845" s="40"/>
      <c r="AE845" s="40"/>
      <c r="AF845" s="40"/>
      <c r="AG845" s="40" t="s">
        <v>60</v>
      </c>
      <c r="AH845" s="42">
        <v>2481.0</v>
      </c>
      <c r="AI845" s="40" t="s">
        <v>68</v>
      </c>
      <c r="AJ845" s="27">
        <v>500.0</v>
      </c>
      <c r="AK845" s="31" t="s">
        <v>25</v>
      </c>
      <c r="AL845" s="43">
        <v>44824.0</v>
      </c>
      <c r="AM845" s="44">
        <v>44937.81995370371</v>
      </c>
      <c r="AN845" s="30">
        <v>2.0</v>
      </c>
      <c r="AO845" s="40"/>
      <c r="AP845" s="40"/>
      <c r="AQ845" s="40"/>
      <c r="AR845" s="40"/>
      <c r="AS845" s="40"/>
      <c r="AT845" s="47"/>
      <c r="AU845" s="40"/>
      <c r="AV845" s="46" t="str">
        <f>IFERROR(__xludf.DUMMYFUNCTION("""COMPUTED_VALUE"""),"Rimal")</f>
        <v>Rimal</v>
      </c>
      <c r="AW845" s="46">
        <f t="shared" si="7"/>
        <v>100</v>
      </c>
      <c r="AX845" s="47">
        <f t="shared" ref="AX845:BQ845" si="2646">SUMIFS($AJ:$AJ,$V:$V,$AV845,$AK:$AK,AX$2)</f>
        <v>0</v>
      </c>
      <c r="AY845" s="48">
        <f t="shared" si="2646"/>
        <v>0</v>
      </c>
      <c r="AZ845" s="48">
        <f t="shared" si="2646"/>
        <v>100</v>
      </c>
      <c r="BA845" s="48">
        <f t="shared" si="2646"/>
        <v>0</v>
      </c>
      <c r="BB845" s="48">
        <f t="shared" si="2646"/>
        <v>0</v>
      </c>
      <c r="BC845" s="48">
        <f t="shared" si="2646"/>
        <v>0</v>
      </c>
      <c r="BD845" s="48">
        <f t="shared" si="2646"/>
        <v>0</v>
      </c>
      <c r="BE845" s="48">
        <f t="shared" si="2646"/>
        <v>0</v>
      </c>
      <c r="BF845" s="48">
        <f t="shared" si="2646"/>
        <v>0</v>
      </c>
      <c r="BG845" s="48">
        <f t="shared" si="2646"/>
        <v>0</v>
      </c>
      <c r="BH845" s="48">
        <f t="shared" si="2646"/>
        <v>0</v>
      </c>
      <c r="BI845" s="48">
        <f t="shared" si="2646"/>
        <v>0</v>
      </c>
      <c r="BJ845" s="48">
        <f t="shared" si="2646"/>
        <v>0</v>
      </c>
      <c r="BK845" s="48">
        <f t="shared" si="2646"/>
        <v>0</v>
      </c>
      <c r="BL845" s="48">
        <f t="shared" si="2646"/>
        <v>0</v>
      </c>
      <c r="BM845" s="48">
        <f t="shared" si="2646"/>
        <v>0</v>
      </c>
      <c r="BN845" s="48">
        <f t="shared" si="2646"/>
        <v>0</v>
      </c>
      <c r="BO845" s="48">
        <f t="shared" si="2646"/>
        <v>0</v>
      </c>
      <c r="BP845" s="48">
        <f t="shared" si="2646"/>
        <v>0</v>
      </c>
      <c r="BQ845" s="48">
        <f t="shared" si="2646"/>
        <v>0</v>
      </c>
      <c r="BR845" s="36">
        <f t="shared" si="9"/>
        <v>0</v>
      </c>
      <c r="BS845" s="38">
        <f t="shared" si="10"/>
        <v>1</v>
      </c>
      <c r="BT845" s="49">
        <f t="shared" si="11"/>
        <v>0</v>
      </c>
      <c r="BU845" s="38">
        <f t="shared" si="12"/>
        <v>1000</v>
      </c>
      <c r="BV845" s="46" t="str">
        <f>IFERROR(__xludf.DUMMYFUNCTION("""COMPUTED_VALUE"""),"Rimal")</f>
        <v>Rimal</v>
      </c>
      <c r="BW845" s="46">
        <f t="shared" si="13"/>
        <v>100</v>
      </c>
      <c r="BX845" s="47">
        <f t="shared" ref="BX845:CA845" si="2647">AX845-$BU845</f>
        <v>-1000</v>
      </c>
      <c r="BY845" s="47">
        <f t="shared" si="2647"/>
        <v>-1000</v>
      </c>
      <c r="BZ845" s="47">
        <f t="shared" si="2647"/>
        <v>-900</v>
      </c>
      <c r="CA845" s="47">
        <f t="shared" si="2647"/>
        <v>-1000</v>
      </c>
      <c r="CB845" s="47">
        <f t="shared" si="15"/>
        <v>-10000</v>
      </c>
      <c r="CC845" s="47">
        <f t="shared" ref="CC845:CQ845" si="2648">BC845-$BU845</f>
        <v>-1000</v>
      </c>
      <c r="CD845" s="47">
        <f t="shared" si="2648"/>
        <v>-1000</v>
      </c>
      <c r="CE845" s="47">
        <f t="shared" si="2648"/>
        <v>-1000</v>
      </c>
      <c r="CF845" s="47">
        <f t="shared" si="2648"/>
        <v>-1000</v>
      </c>
      <c r="CG845" s="47">
        <f t="shared" si="2648"/>
        <v>-1000</v>
      </c>
      <c r="CH845" s="47">
        <f t="shared" si="2648"/>
        <v>-1000</v>
      </c>
      <c r="CI845" s="47">
        <f t="shared" si="2648"/>
        <v>-1000</v>
      </c>
      <c r="CJ845" s="47">
        <f t="shared" si="2648"/>
        <v>-1000</v>
      </c>
      <c r="CK845" s="47">
        <f t="shared" si="2648"/>
        <v>-1000</v>
      </c>
      <c r="CL845" s="47">
        <f t="shared" si="2648"/>
        <v>-1000</v>
      </c>
      <c r="CM845" s="47">
        <f t="shared" si="2648"/>
        <v>-1000</v>
      </c>
      <c r="CN845" s="47">
        <f t="shared" si="2648"/>
        <v>-1000</v>
      </c>
      <c r="CO845" s="47">
        <f t="shared" si="2648"/>
        <v>-1000</v>
      </c>
      <c r="CP845" s="47">
        <f t="shared" si="2648"/>
        <v>-1000</v>
      </c>
      <c r="CQ845" s="47">
        <f t="shared" si="2648"/>
        <v>-1000</v>
      </c>
      <c r="CR845" s="47"/>
      <c r="CS845" s="47"/>
      <c r="CT845" s="47"/>
      <c r="CU845" s="74"/>
      <c r="CV845" s="74"/>
      <c r="CW845" s="74" t="str">
        <f>IFERROR(__xludf.DUMMYFUNCTION("IF(REGEXMATCH(UPPER(CU845), ""DALLAS""),,CU845)"),"")</f>
        <v/>
      </c>
      <c r="CX845" s="74"/>
      <c r="CY845" s="74"/>
      <c r="CZ845" s="74"/>
      <c r="DA845" s="75"/>
      <c r="DB845" s="74"/>
      <c r="DC845" s="74"/>
      <c r="DD845" s="74"/>
      <c r="DE845" s="74"/>
      <c r="DF845" s="74"/>
      <c r="DG845" s="74"/>
      <c r="DH845" s="74"/>
      <c r="DI845" s="74"/>
      <c r="DJ845" s="74"/>
      <c r="DK845" s="74"/>
      <c r="DL845" s="74"/>
      <c r="DM845" s="74"/>
      <c r="DN845" s="74"/>
      <c r="DO845" s="74"/>
      <c r="DP845" s="74"/>
      <c r="DQ845" s="74"/>
      <c r="DR845" s="74"/>
      <c r="DS845" s="74"/>
      <c r="DT845" s="74"/>
      <c r="DU845" s="74"/>
      <c r="DV845" s="74"/>
      <c r="DW845" s="74"/>
    </row>
    <row r="846">
      <c r="A846" s="22" t="s">
        <v>55</v>
      </c>
      <c r="B846" s="23" t="s">
        <v>56</v>
      </c>
      <c r="C846" s="31" t="s">
        <v>2022</v>
      </c>
      <c r="D846" s="25" t="str">
        <f>IFERROR(__xludf.DUMMYFUNCTION("SPLIT(C846,"" "")"),"Rose,")</f>
        <v>Rose,</v>
      </c>
      <c r="E846" s="22" t="str">
        <f>IFERROR(__xludf.DUMMYFUNCTION("""COMPUTED_VALUE"""),"Deedie
5")</f>
        <v>Deedie
5</v>
      </c>
      <c r="F846" s="22" t="str">
        <f>IFERROR(__xludf.DUMMYFUNCTION("""COMPUTED_VALUE"""),"Willowood")</f>
        <v>Willowood</v>
      </c>
      <c r="G846" s="22" t="str">
        <f>IFERROR(__xludf.DUMMYFUNCTION("""COMPUTED_VALUE"""),"St
Dallas,")</f>
        <v>St
Dallas,</v>
      </c>
      <c r="H846" s="22" t="str">
        <f>IFERROR(__xludf.DUMMYFUNCTION("""COMPUTED_VALUE"""),"TX")</f>
        <v>TX</v>
      </c>
      <c r="I846" s="22">
        <f>IFERROR(__xludf.DUMMYFUNCTION("""COMPUTED_VALUE"""),75205.0)</f>
        <v>75205</v>
      </c>
      <c r="J846" s="22"/>
      <c r="K846" s="22"/>
      <c r="L846" s="22"/>
      <c r="M846" s="22"/>
      <c r="N846" s="22"/>
      <c r="O846" s="22"/>
      <c r="P846" s="22"/>
      <c r="Q846" s="22"/>
      <c r="R846" s="22"/>
      <c r="S846" s="22"/>
      <c r="T846" s="22"/>
      <c r="U846" s="24" t="str">
        <f>IFERROR(__xludf.DUMMYFUNCTION("SPLIT(E846,""01234567890"")"),"Deedie
")</f>
        <v>Deedie
</v>
      </c>
      <c r="V846" s="24" t="str">
        <f>IFERROR(__xludf.DUMMYFUNCTION("SPLIT(D846,"","")"),"Rose")</f>
        <v>Rose</v>
      </c>
      <c r="W846" s="25" t="str">
        <f t="shared" si="1"/>
        <v>DEEDIE
 ROSE</v>
      </c>
      <c r="X846" s="22"/>
      <c r="Y846" s="22"/>
      <c r="Z846" s="25" t="str">
        <f>IFERROR(__xludf.DUMMYFUNCTION("SPLIT(C846,""
"")"),"Rose, Deedie")</f>
        <v>Rose, Deedie</v>
      </c>
      <c r="AA846" s="22" t="str">
        <f>IFERROR(__xludf.DUMMYFUNCTION("""COMPUTED_VALUE"""),"5 Willowood St")</f>
        <v>5 Willowood St</v>
      </c>
      <c r="AB846" s="22" t="str">
        <f>IFERROR(__xludf.DUMMYFUNCTION("""COMPUTED_VALUE"""),"Dallas, TX 75205")</f>
        <v>Dallas, TX 75205</v>
      </c>
      <c r="AC846" s="31" t="s">
        <v>811</v>
      </c>
      <c r="AD846" s="22"/>
      <c r="AE846" s="22"/>
      <c r="AF846" s="22"/>
      <c r="AG846" s="22" t="s">
        <v>60</v>
      </c>
      <c r="AH846" s="54">
        <v>2481.0</v>
      </c>
      <c r="AI846" s="22" t="s">
        <v>68</v>
      </c>
      <c r="AJ846" s="27">
        <v>2500.0</v>
      </c>
      <c r="AK846" s="31" t="s">
        <v>25</v>
      </c>
      <c r="AL846" s="28">
        <v>44824.0</v>
      </c>
      <c r="AM846" s="29">
        <v>44937.81995370371</v>
      </c>
      <c r="AN846" s="30">
        <v>2.0</v>
      </c>
      <c r="AO846" s="22"/>
      <c r="AP846" s="22"/>
      <c r="AQ846" s="22"/>
      <c r="AR846" s="22"/>
      <c r="AS846" s="22"/>
      <c r="AT846" s="70"/>
      <c r="AU846" s="22"/>
      <c r="AV846" s="57" t="str">
        <f>IFERROR(__xludf.DUMMYFUNCTION("""COMPUTED_VALUE"""),"Reynolds")</f>
        <v>Reynolds</v>
      </c>
      <c r="AW846" s="46">
        <f t="shared" si="7"/>
        <v>100</v>
      </c>
      <c r="AX846" s="47">
        <f t="shared" ref="AX846:BQ846" si="2649">SUMIFS($AJ:$AJ,$V:$V,$AV846,$AK:$AK,AX$2)</f>
        <v>0</v>
      </c>
      <c r="AY846" s="48">
        <f t="shared" si="2649"/>
        <v>0</v>
      </c>
      <c r="AZ846" s="48">
        <f t="shared" si="2649"/>
        <v>100</v>
      </c>
      <c r="BA846" s="48">
        <f t="shared" si="2649"/>
        <v>0</v>
      </c>
      <c r="BB846" s="48">
        <f t="shared" si="2649"/>
        <v>0</v>
      </c>
      <c r="BC846" s="48">
        <f t="shared" si="2649"/>
        <v>0</v>
      </c>
      <c r="BD846" s="48">
        <f t="shared" si="2649"/>
        <v>0</v>
      </c>
      <c r="BE846" s="48">
        <f t="shared" si="2649"/>
        <v>0</v>
      </c>
      <c r="BF846" s="48">
        <f t="shared" si="2649"/>
        <v>0</v>
      </c>
      <c r="BG846" s="48">
        <f t="shared" si="2649"/>
        <v>0</v>
      </c>
      <c r="BH846" s="48">
        <f t="shared" si="2649"/>
        <v>0</v>
      </c>
      <c r="BI846" s="48">
        <f t="shared" si="2649"/>
        <v>0</v>
      </c>
      <c r="BJ846" s="48">
        <f t="shared" si="2649"/>
        <v>0</v>
      </c>
      <c r="BK846" s="48">
        <f t="shared" si="2649"/>
        <v>0</v>
      </c>
      <c r="BL846" s="48">
        <f t="shared" si="2649"/>
        <v>0</v>
      </c>
      <c r="BM846" s="48">
        <f t="shared" si="2649"/>
        <v>0</v>
      </c>
      <c r="BN846" s="48">
        <f t="shared" si="2649"/>
        <v>0</v>
      </c>
      <c r="BO846" s="48">
        <f t="shared" si="2649"/>
        <v>0</v>
      </c>
      <c r="BP846" s="48">
        <f t="shared" si="2649"/>
        <v>0</v>
      </c>
      <c r="BQ846" s="48">
        <f t="shared" si="2649"/>
        <v>0</v>
      </c>
      <c r="BR846" s="36">
        <f t="shared" si="9"/>
        <v>0</v>
      </c>
      <c r="BS846" s="38">
        <f t="shared" si="10"/>
        <v>1</v>
      </c>
      <c r="BT846" s="49">
        <f t="shared" si="11"/>
        <v>0</v>
      </c>
      <c r="BU846" s="38">
        <f t="shared" si="12"/>
        <v>1000</v>
      </c>
      <c r="BV846" s="57" t="str">
        <f>IFERROR(__xludf.DUMMYFUNCTION("""COMPUTED_VALUE"""),"Reynolds")</f>
        <v>Reynolds</v>
      </c>
      <c r="BW846" s="46">
        <f t="shared" si="13"/>
        <v>100</v>
      </c>
      <c r="BX846" s="47">
        <f t="shared" ref="BX846:CA846" si="2650">AX846-$BU846</f>
        <v>-1000</v>
      </c>
      <c r="BY846" s="47">
        <f t="shared" si="2650"/>
        <v>-1000</v>
      </c>
      <c r="BZ846" s="47">
        <f t="shared" si="2650"/>
        <v>-900</v>
      </c>
      <c r="CA846" s="47">
        <f t="shared" si="2650"/>
        <v>-1000</v>
      </c>
      <c r="CB846" s="47">
        <f t="shared" si="15"/>
        <v>-10000</v>
      </c>
      <c r="CC846" s="47">
        <f t="shared" ref="CC846:CQ846" si="2651">BC846-$BU846</f>
        <v>-1000</v>
      </c>
      <c r="CD846" s="47">
        <f t="shared" si="2651"/>
        <v>-1000</v>
      </c>
      <c r="CE846" s="47">
        <f t="shared" si="2651"/>
        <v>-1000</v>
      </c>
      <c r="CF846" s="47">
        <f t="shared" si="2651"/>
        <v>-1000</v>
      </c>
      <c r="CG846" s="47">
        <f t="shared" si="2651"/>
        <v>-1000</v>
      </c>
      <c r="CH846" s="47">
        <f t="shared" si="2651"/>
        <v>-1000</v>
      </c>
      <c r="CI846" s="47">
        <f t="shared" si="2651"/>
        <v>-1000</v>
      </c>
      <c r="CJ846" s="47">
        <f t="shared" si="2651"/>
        <v>-1000</v>
      </c>
      <c r="CK846" s="47">
        <f t="shared" si="2651"/>
        <v>-1000</v>
      </c>
      <c r="CL846" s="47">
        <f t="shared" si="2651"/>
        <v>-1000</v>
      </c>
      <c r="CM846" s="47">
        <f t="shared" si="2651"/>
        <v>-1000</v>
      </c>
      <c r="CN846" s="47">
        <f t="shared" si="2651"/>
        <v>-1000</v>
      </c>
      <c r="CO846" s="47">
        <f t="shared" si="2651"/>
        <v>-1000</v>
      </c>
      <c r="CP846" s="47">
        <f t="shared" si="2651"/>
        <v>-1000</v>
      </c>
      <c r="CQ846" s="47">
        <f t="shared" si="2651"/>
        <v>-1000</v>
      </c>
      <c r="CR846" s="47"/>
      <c r="CS846" s="47"/>
      <c r="CT846" s="47"/>
      <c r="CU846" s="74"/>
      <c r="CV846" s="74"/>
      <c r="CW846" s="74" t="str">
        <f>IFERROR(__xludf.DUMMYFUNCTION("IF(REGEXMATCH(UPPER(CU846), ""DALLAS""),,CU846)"),"")</f>
        <v/>
      </c>
      <c r="CX846" s="74"/>
      <c r="CY846" s="74"/>
      <c r="CZ846" s="74"/>
      <c r="DA846" s="75"/>
      <c r="DB846" s="74"/>
      <c r="DC846" s="74"/>
      <c r="DD846" s="74"/>
      <c r="DE846" s="74"/>
      <c r="DF846" s="74"/>
      <c r="DG846" s="74"/>
      <c r="DH846" s="74"/>
      <c r="DI846" s="74"/>
      <c r="DJ846" s="74"/>
      <c r="DK846" s="74"/>
      <c r="DL846" s="74"/>
      <c r="DM846" s="74"/>
      <c r="DN846" s="74"/>
      <c r="DO846" s="74"/>
      <c r="DP846" s="74"/>
      <c r="DQ846" s="74"/>
      <c r="DR846" s="74"/>
      <c r="DS846" s="74"/>
      <c r="DT846" s="74"/>
      <c r="DU846" s="74"/>
      <c r="DV846" s="74"/>
      <c r="DW846" s="74"/>
    </row>
    <row r="847">
      <c r="A847" s="40" t="s">
        <v>55</v>
      </c>
      <c r="B847" s="41" t="s">
        <v>56</v>
      </c>
      <c r="C847" s="31" t="s">
        <v>2113</v>
      </c>
      <c r="D847" s="25" t="str">
        <f>IFERROR(__xludf.DUMMYFUNCTION("SPLIT(C847,"" "")"),"Renfro,")</f>
        <v>Renfro,</v>
      </c>
      <c r="E847" s="40" t="str">
        <f>IFERROR(__xludf.DUMMYFUNCTION("""COMPUTED_VALUE"""),"Liz")</f>
        <v>Liz</v>
      </c>
      <c r="F847" s="40" t="str">
        <f>IFERROR(__xludf.DUMMYFUNCTION("""COMPUTED_VALUE"""),"&amp;")</f>
        <v>&amp;</v>
      </c>
      <c r="G847" s="40" t="str">
        <f>IFERROR(__xludf.DUMMYFUNCTION("""COMPUTED_VALUE"""),"Mel
8211")</f>
        <v>Mel
8211</v>
      </c>
      <c r="H847" s="40" t="str">
        <f>IFERROR(__xludf.DUMMYFUNCTION("""COMPUTED_VALUE"""),"Hunnicut")</f>
        <v>Hunnicut</v>
      </c>
      <c r="I847" s="40" t="str">
        <f>IFERROR(__xludf.DUMMYFUNCTION("""COMPUTED_VALUE"""),"Rd
Dallas,")</f>
        <v>Rd
Dallas,</v>
      </c>
      <c r="J847" s="40" t="str">
        <f>IFERROR(__xludf.DUMMYFUNCTION("""COMPUTED_VALUE"""),"TX")</f>
        <v>TX</v>
      </c>
      <c r="K847" s="40">
        <f>IFERROR(__xludf.DUMMYFUNCTION("""COMPUTED_VALUE"""),75228.0)</f>
        <v>75228</v>
      </c>
      <c r="L847" s="40"/>
      <c r="M847" s="40"/>
      <c r="N847" s="40"/>
      <c r="O847" s="40"/>
      <c r="P847" s="40"/>
      <c r="Q847" s="40"/>
      <c r="R847" s="40"/>
      <c r="S847" s="40"/>
      <c r="T847" s="40"/>
      <c r="U847" s="24" t="str">
        <f>IFERROR(__xludf.DUMMYFUNCTION("SPLIT(E847,""01234567890"")"),"Liz")</f>
        <v>Liz</v>
      </c>
      <c r="V847" s="24" t="str">
        <f>IFERROR(__xludf.DUMMYFUNCTION("SPLIT(D847,"","")"),"Renfro")</f>
        <v>Renfro</v>
      </c>
      <c r="W847" s="25" t="str">
        <f t="shared" si="1"/>
        <v>LIZ RENFRO</v>
      </c>
      <c r="X847" s="40"/>
      <c r="Y847" s="40"/>
      <c r="Z847" s="25" t="str">
        <f>IFERROR(__xludf.DUMMYFUNCTION("SPLIT(C847,""
"")"),"Renfro, Liz &amp; Mel")</f>
        <v>Renfro, Liz &amp; Mel</v>
      </c>
      <c r="AA847" s="40" t="str">
        <f>IFERROR(__xludf.DUMMYFUNCTION("""COMPUTED_VALUE"""),"8211 Hunnicut Rd")</f>
        <v>8211 Hunnicut Rd</v>
      </c>
      <c r="AB847" s="40" t="str">
        <f>IFERROR(__xludf.DUMMYFUNCTION("""COMPUTED_VALUE"""),"Dallas, TX 75228")</f>
        <v>Dallas, TX 75228</v>
      </c>
      <c r="AC847" s="31" t="s">
        <v>2114</v>
      </c>
      <c r="AD847" s="40"/>
      <c r="AE847" s="40"/>
      <c r="AF847" s="40"/>
      <c r="AG847" s="40" t="s">
        <v>60</v>
      </c>
      <c r="AH847" s="42">
        <v>2481.0</v>
      </c>
      <c r="AI847" s="40" t="s">
        <v>68</v>
      </c>
      <c r="AJ847" s="27">
        <v>100.0</v>
      </c>
      <c r="AK847" s="31" t="s">
        <v>25</v>
      </c>
      <c r="AL847" s="43">
        <v>44824.0</v>
      </c>
      <c r="AM847" s="44">
        <v>44937.81995370371</v>
      </c>
      <c r="AN847" s="30">
        <v>2.0</v>
      </c>
      <c r="AO847" s="40"/>
      <c r="AP847" s="40"/>
      <c r="AQ847" s="40"/>
      <c r="AR847" s="40"/>
      <c r="AS847" s="40"/>
      <c r="AT847" s="47"/>
      <c r="AU847" s="40"/>
      <c r="AV847" s="46" t="str">
        <f>IFERROR(__xludf.DUMMYFUNCTION("""COMPUTED_VALUE"""),"Dohanian")</f>
        <v>Dohanian</v>
      </c>
      <c r="AW847" s="46">
        <f t="shared" si="7"/>
        <v>100</v>
      </c>
      <c r="AX847" s="47">
        <f t="shared" ref="AX847:BQ847" si="2652">SUMIFS($AJ:$AJ,$V:$V,$AV847,$AK:$AK,AX$2)</f>
        <v>0</v>
      </c>
      <c r="AY847" s="48">
        <f t="shared" si="2652"/>
        <v>0</v>
      </c>
      <c r="AZ847" s="48">
        <f t="shared" si="2652"/>
        <v>100</v>
      </c>
      <c r="BA847" s="48">
        <f t="shared" si="2652"/>
        <v>0</v>
      </c>
      <c r="BB847" s="48">
        <f t="shared" si="2652"/>
        <v>0</v>
      </c>
      <c r="BC847" s="48">
        <f t="shared" si="2652"/>
        <v>0</v>
      </c>
      <c r="BD847" s="48">
        <f t="shared" si="2652"/>
        <v>0</v>
      </c>
      <c r="BE847" s="48">
        <f t="shared" si="2652"/>
        <v>0</v>
      </c>
      <c r="BF847" s="48">
        <f t="shared" si="2652"/>
        <v>0</v>
      </c>
      <c r="BG847" s="48">
        <f t="shared" si="2652"/>
        <v>0</v>
      </c>
      <c r="BH847" s="48">
        <f t="shared" si="2652"/>
        <v>0</v>
      </c>
      <c r="BI847" s="48">
        <f t="shared" si="2652"/>
        <v>0</v>
      </c>
      <c r="BJ847" s="48">
        <f t="shared" si="2652"/>
        <v>0</v>
      </c>
      <c r="BK847" s="48">
        <f t="shared" si="2652"/>
        <v>0</v>
      </c>
      <c r="BL847" s="48">
        <f t="shared" si="2652"/>
        <v>0</v>
      </c>
      <c r="BM847" s="48">
        <f t="shared" si="2652"/>
        <v>0</v>
      </c>
      <c r="BN847" s="48">
        <f t="shared" si="2652"/>
        <v>0</v>
      </c>
      <c r="BO847" s="48">
        <f t="shared" si="2652"/>
        <v>0</v>
      </c>
      <c r="BP847" s="48">
        <f t="shared" si="2652"/>
        <v>0</v>
      </c>
      <c r="BQ847" s="48">
        <f t="shared" si="2652"/>
        <v>0</v>
      </c>
      <c r="BR847" s="36">
        <f t="shared" si="9"/>
        <v>0</v>
      </c>
      <c r="BS847" s="38">
        <f t="shared" si="10"/>
        <v>1</v>
      </c>
      <c r="BT847" s="49">
        <f t="shared" si="11"/>
        <v>0</v>
      </c>
      <c r="BU847" s="38">
        <f t="shared" si="12"/>
        <v>1000</v>
      </c>
      <c r="BV847" s="46" t="str">
        <f>IFERROR(__xludf.DUMMYFUNCTION("""COMPUTED_VALUE"""),"Dohanian")</f>
        <v>Dohanian</v>
      </c>
      <c r="BW847" s="46">
        <f t="shared" si="13"/>
        <v>100</v>
      </c>
      <c r="BX847" s="47">
        <f t="shared" ref="BX847:CA847" si="2653">AX847-$BU847</f>
        <v>-1000</v>
      </c>
      <c r="BY847" s="47">
        <f t="shared" si="2653"/>
        <v>-1000</v>
      </c>
      <c r="BZ847" s="47">
        <f t="shared" si="2653"/>
        <v>-900</v>
      </c>
      <c r="CA847" s="47">
        <f t="shared" si="2653"/>
        <v>-1000</v>
      </c>
      <c r="CB847" s="47">
        <f t="shared" si="15"/>
        <v>-10000</v>
      </c>
      <c r="CC847" s="47">
        <f t="shared" ref="CC847:CQ847" si="2654">BC847-$BU847</f>
        <v>-1000</v>
      </c>
      <c r="CD847" s="47">
        <f t="shared" si="2654"/>
        <v>-1000</v>
      </c>
      <c r="CE847" s="47">
        <f t="shared" si="2654"/>
        <v>-1000</v>
      </c>
      <c r="CF847" s="47">
        <f t="shared" si="2654"/>
        <v>-1000</v>
      </c>
      <c r="CG847" s="47">
        <f t="shared" si="2654"/>
        <v>-1000</v>
      </c>
      <c r="CH847" s="47">
        <f t="shared" si="2654"/>
        <v>-1000</v>
      </c>
      <c r="CI847" s="47">
        <f t="shared" si="2654"/>
        <v>-1000</v>
      </c>
      <c r="CJ847" s="47">
        <f t="shared" si="2654"/>
        <v>-1000</v>
      </c>
      <c r="CK847" s="47">
        <f t="shared" si="2654"/>
        <v>-1000</v>
      </c>
      <c r="CL847" s="47">
        <f t="shared" si="2654"/>
        <v>-1000</v>
      </c>
      <c r="CM847" s="47">
        <f t="shared" si="2654"/>
        <v>-1000</v>
      </c>
      <c r="CN847" s="47">
        <f t="shared" si="2654"/>
        <v>-1000</v>
      </c>
      <c r="CO847" s="47">
        <f t="shared" si="2654"/>
        <v>-1000</v>
      </c>
      <c r="CP847" s="47">
        <f t="shared" si="2654"/>
        <v>-1000</v>
      </c>
      <c r="CQ847" s="47">
        <f t="shared" si="2654"/>
        <v>-1000</v>
      </c>
      <c r="CR847" s="47"/>
      <c r="CS847" s="47"/>
      <c r="CT847" s="47"/>
      <c r="CU847" s="74"/>
      <c r="CV847" s="74"/>
      <c r="CW847" s="74" t="str">
        <f>IFERROR(__xludf.DUMMYFUNCTION("IF(REGEXMATCH(UPPER(CU847), ""DALLAS""),,CU847)"),"")</f>
        <v/>
      </c>
      <c r="CX847" s="74"/>
      <c r="CY847" s="74"/>
      <c r="CZ847" s="74"/>
      <c r="DA847" s="75"/>
      <c r="DB847" s="74"/>
      <c r="DC847" s="74"/>
      <c r="DD847" s="74"/>
      <c r="DE847" s="74"/>
      <c r="DF847" s="74"/>
      <c r="DG847" s="74"/>
      <c r="DH847" s="74"/>
      <c r="DI847" s="74"/>
      <c r="DJ847" s="74"/>
      <c r="DK847" s="74"/>
      <c r="DL847" s="74"/>
      <c r="DM847" s="74"/>
      <c r="DN847" s="74"/>
      <c r="DO847" s="74"/>
      <c r="DP847" s="74"/>
      <c r="DQ847" s="74"/>
      <c r="DR847" s="74"/>
      <c r="DS847" s="74"/>
      <c r="DT847" s="74"/>
      <c r="DU847" s="74"/>
      <c r="DV847" s="74"/>
      <c r="DW847" s="74"/>
    </row>
    <row r="848">
      <c r="A848" s="22" t="s">
        <v>55</v>
      </c>
      <c r="B848" s="23" t="s">
        <v>56</v>
      </c>
      <c r="C848" s="31" t="s">
        <v>195</v>
      </c>
      <c r="D848" s="25" t="str">
        <f>IFERROR(__xludf.DUMMYFUNCTION("SPLIT(C848,"" "")"),"Andres,")</f>
        <v>Andres,</v>
      </c>
      <c r="E848" s="22" t="str">
        <f>IFERROR(__xludf.DUMMYFUNCTION("""COMPUTED_VALUE"""),"Marc
2800")</f>
        <v>Marc
2800</v>
      </c>
      <c r="F848" s="22" t="str">
        <f>IFERROR(__xludf.DUMMYFUNCTION("""COMPUTED_VALUE"""),"N")</f>
        <v>N</v>
      </c>
      <c r="G848" s="22" t="str">
        <f>IFERROR(__xludf.DUMMYFUNCTION("""COMPUTED_VALUE"""),"Henderson")</f>
        <v>Henderson</v>
      </c>
      <c r="H848" s="22" t="str">
        <f>IFERROR(__xludf.DUMMYFUNCTION("""COMPUTED_VALUE"""),"Ave
Dallas,")</f>
        <v>Ave
Dallas,</v>
      </c>
      <c r="I848" s="22" t="str">
        <f>IFERROR(__xludf.DUMMYFUNCTION("""COMPUTED_VALUE"""),"TX")</f>
        <v>TX</v>
      </c>
      <c r="J848" s="22">
        <f>IFERROR(__xludf.DUMMYFUNCTION("""COMPUTED_VALUE"""),75206.0)</f>
        <v>75206</v>
      </c>
      <c r="K848" s="22"/>
      <c r="L848" s="22"/>
      <c r="M848" s="22"/>
      <c r="N848" s="22"/>
      <c r="O848" s="22"/>
      <c r="P848" s="22"/>
      <c r="Q848" s="22"/>
      <c r="R848" s="22"/>
      <c r="S848" s="22"/>
      <c r="T848" s="22"/>
      <c r="U848" s="24" t="str">
        <f>IFERROR(__xludf.DUMMYFUNCTION("SPLIT(E848,""01234567890"")"),"Marc
")</f>
        <v>Marc
</v>
      </c>
      <c r="V848" s="24" t="str">
        <f>IFERROR(__xludf.DUMMYFUNCTION("SPLIT(D848,"","")"),"Andres")</f>
        <v>Andres</v>
      </c>
      <c r="W848" s="25" t="str">
        <f t="shared" si="1"/>
        <v>MARC
 ANDRES</v>
      </c>
      <c r="X848" s="22"/>
      <c r="Y848" s="22"/>
      <c r="Z848" s="25" t="str">
        <f>IFERROR(__xludf.DUMMYFUNCTION("SPLIT(C848,""
"")"),"Andres, Marc")</f>
        <v>Andres, Marc</v>
      </c>
      <c r="AA848" s="22" t="str">
        <f>IFERROR(__xludf.DUMMYFUNCTION("""COMPUTED_VALUE"""),"2800 N Henderson Ave")</f>
        <v>2800 N Henderson Ave</v>
      </c>
      <c r="AB848" s="22" t="str">
        <f>IFERROR(__xludf.DUMMYFUNCTION("""COMPUTED_VALUE"""),"Dallas, TX 75206")</f>
        <v>Dallas, TX 75206</v>
      </c>
      <c r="AC848" s="31" t="s">
        <v>197</v>
      </c>
      <c r="AD848" s="22"/>
      <c r="AE848" s="22"/>
      <c r="AF848" s="22"/>
      <c r="AG848" s="22" t="s">
        <v>60</v>
      </c>
      <c r="AH848" s="54">
        <v>2481.0</v>
      </c>
      <c r="AI848" s="22" t="s">
        <v>68</v>
      </c>
      <c r="AJ848" s="27">
        <v>100.0</v>
      </c>
      <c r="AK848" s="31" t="s">
        <v>25</v>
      </c>
      <c r="AL848" s="28">
        <v>44824.0</v>
      </c>
      <c r="AM848" s="29">
        <v>44937.81995370371</v>
      </c>
      <c r="AN848" s="30">
        <v>2.0</v>
      </c>
      <c r="AO848" s="22"/>
      <c r="AP848" s="22"/>
      <c r="AQ848" s="22"/>
      <c r="AR848" s="22"/>
      <c r="AS848" s="22"/>
      <c r="AT848" s="70"/>
      <c r="AU848" s="22"/>
      <c r="AV848" s="57" t="str">
        <f>IFERROR(__xludf.DUMMYFUNCTION("""COMPUTED_VALUE"""),"Narvaez")</f>
        <v>Narvaez</v>
      </c>
      <c r="AW848" s="46">
        <f t="shared" si="7"/>
        <v>1000</v>
      </c>
      <c r="AX848" s="47">
        <f t="shared" ref="AX848:BQ848" si="2655">SUMIFS($AJ:$AJ,$V:$V,$AV848,$AK:$AK,AX$2)</f>
        <v>0</v>
      </c>
      <c r="AY848" s="48">
        <f t="shared" si="2655"/>
        <v>0</v>
      </c>
      <c r="AZ848" s="48">
        <f t="shared" si="2655"/>
        <v>0</v>
      </c>
      <c r="BA848" s="48">
        <f t="shared" si="2655"/>
        <v>0</v>
      </c>
      <c r="BB848" s="48">
        <f t="shared" si="2655"/>
        <v>0</v>
      </c>
      <c r="BC848" s="48">
        <f t="shared" si="2655"/>
        <v>0</v>
      </c>
      <c r="BD848" s="48">
        <f t="shared" si="2655"/>
        <v>0</v>
      </c>
      <c r="BE848" s="48">
        <f t="shared" si="2655"/>
        <v>0</v>
      </c>
      <c r="BF848" s="48">
        <f t="shared" si="2655"/>
        <v>1000</v>
      </c>
      <c r="BG848" s="48">
        <f t="shared" si="2655"/>
        <v>0</v>
      </c>
      <c r="BH848" s="48">
        <f t="shared" si="2655"/>
        <v>0</v>
      </c>
      <c r="BI848" s="48">
        <f t="shared" si="2655"/>
        <v>0</v>
      </c>
      <c r="BJ848" s="48">
        <f t="shared" si="2655"/>
        <v>0</v>
      </c>
      <c r="BK848" s="48">
        <f t="shared" si="2655"/>
        <v>0</v>
      </c>
      <c r="BL848" s="48">
        <f t="shared" si="2655"/>
        <v>0</v>
      </c>
      <c r="BM848" s="48">
        <f t="shared" si="2655"/>
        <v>0</v>
      </c>
      <c r="BN848" s="48">
        <f t="shared" si="2655"/>
        <v>0</v>
      </c>
      <c r="BO848" s="48">
        <f t="shared" si="2655"/>
        <v>0</v>
      </c>
      <c r="BP848" s="48">
        <f t="shared" si="2655"/>
        <v>0</v>
      </c>
      <c r="BQ848" s="48">
        <f t="shared" si="2655"/>
        <v>0</v>
      </c>
      <c r="BR848" s="36">
        <f t="shared" si="9"/>
        <v>0</v>
      </c>
      <c r="BS848" s="38">
        <f t="shared" si="10"/>
        <v>1</v>
      </c>
      <c r="BT848" s="49">
        <f t="shared" si="11"/>
        <v>0</v>
      </c>
      <c r="BU848" s="38">
        <f t="shared" si="12"/>
        <v>1000</v>
      </c>
      <c r="BV848" s="57" t="str">
        <f>IFERROR(__xludf.DUMMYFUNCTION("""COMPUTED_VALUE"""),"Narvaez")</f>
        <v>Narvaez</v>
      </c>
      <c r="BW848" s="46">
        <f t="shared" si="13"/>
        <v>1000</v>
      </c>
      <c r="BX848" s="47">
        <f t="shared" ref="BX848:CA848" si="2656">AX848-$BU848</f>
        <v>-1000</v>
      </c>
      <c r="BY848" s="47">
        <f t="shared" si="2656"/>
        <v>-1000</v>
      </c>
      <c r="BZ848" s="47">
        <f t="shared" si="2656"/>
        <v>-1000</v>
      </c>
      <c r="CA848" s="47">
        <f t="shared" si="2656"/>
        <v>-1000</v>
      </c>
      <c r="CB848" s="47">
        <f t="shared" si="15"/>
        <v>-10000</v>
      </c>
      <c r="CC848" s="47">
        <f t="shared" ref="CC848:CQ848" si="2657">BC848-$BU848</f>
        <v>-1000</v>
      </c>
      <c r="CD848" s="47">
        <f t="shared" si="2657"/>
        <v>-1000</v>
      </c>
      <c r="CE848" s="47">
        <f t="shared" si="2657"/>
        <v>-1000</v>
      </c>
      <c r="CF848" s="47">
        <f t="shared" si="2657"/>
        <v>0</v>
      </c>
      <c r="CG848" s="47">
        <f t="shared" si="2657"/>
        <v>-1000</v>
      </c>
      <c r="CH848" s="47">
        <f t="shared" si="2657"/>
        <v>-1000</v>
      </c>
      <c r="CI848" s="47">
        <f t="shared" si="2657"/>
        <v>-1000</v>
      </c>
      <c r="CJ848" s="47">
        <f t="shared" si="2657"/>
        <v>-1000</v>
      </c>
      <c r="CK848" s="47">
        <f t="shared" si="2657"/>
        <v>-1000</v>
      </c>
      <c r="CL848" s="47">
        <f t="shared" si="2657"/>
        <v>-1000</v>
      </c>
      <c r="CM848" s="47">
        <f t="shared" si="2657"/>
        <v>-1000</v>
      </c>
      <c r="CN848" s="47">
        <f t="shared" si="2657"/>
        <v>-1000</v>
      </c>
      <c r="CO848" s="47">
        <f t="shared" si="2657"/>
        <v>-1000</v>
      </c>
      <c r="CP848" s="47">
        <f t="shared" si="2657"/>
        <v>-1000</v>
      </c>
      <c r="CQ848" s="47">
        <f t="shared" si="2657"/>
        <v>-1000</v>
      </c>
      <c r="CR848" s="47"/>
      <c r="CS848" s="47"/>
      <c r="CT848" s="47"/>
      <c r="CU848" s="74"/>
      <c r="CV848" s="74"/>
      <c r="CW848" s="74" t="str">
        <f>IFERROR(__xludf.DUMMYFUNCTION("IF(REGEXMATCH(UPPER(CU848), ""DALLAS""),,CU848)"),"")</f>
        <v/>
      </c>
      <c r="CX848" s="74"/>
      <c r="CY848" s="74"/>
      <c r="CZ848" s="74"/>
      <c r="DA848" s="75"/>
      <c r="DB848" s="74"/>
      <c r="DC848" s="74"/>
      <c r="DD848" s="74"/>
      <c r="DE848" s="74"/>
      <c r="DF848" s="74"/>
      <c r="DG848" s="74"/>
      <c r="DH848" s="74"/>
      <c r="DI848" s="74"/>
      <c r="DJ848" s="74"/>
      <c r="DK848" s="74"/>
      <c r="DL848" s="74"/>
      <c r="DM848" s="74"/>
      <c r="DN848" s="74"/>
      <c r="DO848" s="74"/>
      <c r="DP848" s="74"/>
      <c r="DQ848" s="74"/>
      <c r="DR848" s="74"/>
      <c r="DS848" s="74"/>
      <c r="DT848" s="74"/>
      <c r="DU848" s="74"/>
      <c r="DV848" s="74"/>
      <c r="DW848" s="74"/>
    </row>
    <row r="849">
      <c r="A849" s="40" t="s">
        <v>55</v>
      </c>
      <c r="B849" s="41" t="s">
        <v>56</v>
      </c>
      <c r="C849" s="31" t="s">
        <v>2115</v>
      </c>
      <c r="D849" s="25" t="str">
        <f>IFERROR(__xludf.DUMMYFUNCTION("SPLIT(C849,"" "")"),"Vaught,")</f>
        <v>Vaught,</v>
      </c>
      <c r="E849" s="40" t="str">
        <f>IFERROR(__xludf.DUMMYFUNCTION("""COMPUTED_VALUE"""),"Allen
6122")</f>
        <v>Allen
6122</v>
      </c>
      <c r="F849" s="40" t="str">
        <f>IFERROR(__xludf.DUMMYFUNCTION("""COMPUTED_VALUE"""),"Palo")</f>
        <v>Palo</v>
      </c>
      <c r="G849" s="40" t="str">
        <f>IFERROR(__xludf.DUMMYFUNCTION("""COMPUTED_VALUE"""),"Pinto")</f>
        <v>Pinto</v>
      </c>
      <c r="H849" s="40" t="str">
        <f>IFERROR(__xludf.DUMMYFUNCTION("""COMPUTED_VALUE"""),"Ave
Dallas,")</f>
        <v>Ave
Dallas,</v>
      </c>
      <c r="I849" s="40" t="str">
        <f>IFERROR(__xludf.DUMMYFUNCTION("""COMPUTED_VALUE"""),"TX")</f>
        <v>TX</v>
      </c>
      <c r="J849" s="40">
        <f>IFERROR(__xludf.DUMMYFUNCTION("""COMPUTED_VALUE"""),75214.0)</f>
        <v>75214</v>
      </c>
      <c r="K849" s="40"/>
      <c r="L849" s="40"/>
      <c r="M849" s="40"/>
      <c r="N849" s="40"/>
      <c r="O849" s="40"/>
      <c r="P849" s="40"/>
      <c r="Q849" s="40"/>
      <c r="R849" s="40"/>
      <c r="S849" s="40"/>
      <c r="T849" s="40"/>
      <c r="U849" s="24" t="str">
        <f>IFERROR(__xludf.DUMMYFUNCTION("SPLIT(E849,""01234567890"")"),"Allen
")</f>
        <v>Allen
</v>
      </c>
      <c r="V849" s="24" t="str">
        <f>IFERROR(__xludf.DUMMYFUNCTION("SPLIT(D849,"","")"),"Vaught")</f>
        <v>Vaught</v>
      </c>
      <c r="W849" s="25" t="str">
        <f t="shared" si="1"/>
        <v>ALLEN
 VAUGHT</v>
      </c>
      <c r="X849" s="40"/>
      <c r="Y849" s="40"/>
      <c r="Z849" s="25" t="str">
        <f>IFERROR(__xludf.DUMMYFUNCTION("SPLIT(C849,""
"")"),"Vaught, Allen")</f>
        <v>Vaught, Allen</v>
      </c>
      <c r="AA849" s="40" t="str">
        <f>IFERROR(__xludf.DUMMYFUNCTION("""COMPUTED_VALUE"""),"6122 Palo Pinto Ave")</f>
        <v>6122 Palo Pinto Ave</v>
      </c>
      <c r="AB849" s="40" t="str">
        <f>IFERROR(__xludf.DUMMYFUNCTION("""COMPUTED_VALUE"""),"Dallas, TX 75214")</f>
        <v>Dallas, TX 75214</v>
      </c>
      <c r="AC849" s="31" t="s">
        <v>2116</v>
      </c>
      <c r="AD849" s="40"/>
      <c r="AE849" s="40"/>
      <c r="AF849" s="40"/>
      <c r="AG849" s="40" t="s">
        <v>60</v>
      </c>
      <c r="AH849" s="42">
        <v>2481.0</v>
      </c>
      <c r="AI849" s="40" t="s">
        <v>68</v>
      </c>
      <c r="AJ849" s="27">
        <v>500.0</v>
      </c>
      <c r="AK849" s="31" t="s">
        <v>25</v>
      </c>
      <c r="AL849" s="43">
        <v>44824.0</v>
      </c>
      <c r="AM849" s="44">
        <v>44937.81995370371</v>
      </c>
      <c r="AN849" s="30">
        <v>2.0</v>
      </c>
      <c r="AO849" s="40"/>
      <c r="AP849" s="40"/>
      <c r="AQ849" s="40"/>
      <c r="AR849" s="40"/>
      <c r="AS849" s="40"/>
      <c r="AT849" s="47"/>
      <c r="AU849" s="40"/>
      <c r="AV849" s="46" t="str">
        <f>IFERROR(__xludf.DUMMYFUNCTION("""COMPUTED_VALUE"""),"Cheema")</f>
        <v>Cheema</v>
      </c>
      <c r="AW849" s="46">
        <f t="shared" si="7"/>
        <v>1000</v>
      </c>
      <c r="AX849" s="47">
        <f t="shared" ref="AX849:BQ849" si="2658">SUMIFS($AJ:$AJ,$V:$V,$AV849,$AK:$AK,AX$2)</f>
        <v>0</v>
      </c>
      <c r="AY849" s="48">
        <f t="shared" si="2658"/>
        <v>0</v>
      </c>
      <c r="AZ849" s="48">
        <f t="shared" si="2658"/>
        <v>0</v>
      </c>
      <c r="BA849" s="48">
        <f t="shared" si="2658"/>
        <v>0</v>
      </c>
      <c r="BB849" s="48">
        <f t="shared" si="2658"/>
        <v>0</v>
      </c>
      <c r="BC849" s="48">
        <f t="shared" si="2658"/>
        <v>0</v>
      </c>
      <c r="BD849" s="48">
        <f t="shared" si="2658"/>
        <v>0</v>
      </c>
      <c r="BE849" s="48">
        <f t="shared" si="2658"/>
        <v>0</v>
      </c>
      <c r="BF849" s="48">
        <f t="shared" si="2658"/>
        <v>1000</v>
      </c>
      <c r="BG849" s="48">
        <f t="shared" si="2658"/>
        <v>0</v>
      </c>
      <c r="BH849" s="48">
        <f t="shared" si="2658"/>
        <v>0</v>
      </c>
      <c r="BI849" s="48">
        <f t="shared" si="2658"/>
        <v>0</v>
      </c>
      <c r="BJ849" s="48">
        <f t="shared" si="2658"/>
        <v>0</v>
      </c>
      <c r="BK849" s="48">
        <f t="shared" si="2658"/>
        <v>0</v>
      </c>
      <c r="BL849" s="48">
        <f t="shared" si="2658"/>
        <v>0</v>
      </c>
      <c r="BM849" s="48">
        <f t="shared" si="2658"/>
        <v>0</v>
      </c>
      <c r="BN849" s="48">
        <f t="shared" si="2658"/>
        <v>0</v>
      </c>
      <c r="BO849" s="48">
        <f t="shared" si="2658"/>
        <v>0</v>
      </c>
      <c r="BP849" s="48">
        <f t="shared" si="2658"/>
        <v>0</v>
      </c>
      <c r="BQ849" s="48">
        <f t="shared" si="2658"/>
        <v>0</v>
      </c>
      <c r="BR849" s="36">
        <f t="shared" si="9"/>
        <v>0</v>
      </c>
      <c r="BS849" s="38">
        <f t="shared" si="10"/>
        <v>1</v>
      </c>
      <c r="BT849" s="49">
        <f t="shared" si="11"/>
        <v>0</v>
      </c>
      <c r="BU849" s="38">
        <f t="shared" si="12"/>
        <v>1000</v>
      </c>
      <c r="BV849" s="46" t="str">
        <f>IFERROR(__xludf.DUMMYFUNCTION("""COMPUTED_VALUE"""),"Cheema")</f>
        <v>Cheema</v>
      </c>
      <c r="BW849" s="46">
        <f t="shared" si="13"/>
        <v>1000</v>
      </c>
      <c r="BX849" s="47">
        <f t="shared" ref="BX849:CA849" si="2659">AX849-$BU849</f>
        <v>-1000</v>
      </c>
      <c r="BY849" s="47">
        <f t="shared" si="2659"/>
        <v>-1000</v>
      </c>
      <c r="BZ849" s="47">
        <f t="shared" si="2659"/>
        <v>-1000</v>
      </c>
      <c r="CA849" s="47">
        <f t="shared" si="2659"/>
        <v>-1000</v>
      </c>
      <c r="CB849" s="47">
        <f t="shared" si="15"/>
        <v>-10000</v>
      </c>
      <c r="CC849" s="47">
        <f t="shared" ref="CC849:CQ849" si="2660">BC849-$BU849</f>
        <v>-1000</v>
      </c>
      <c r="CD849" s="47">
        <f t="shared" si="2660"/>
        <v>-1000</v>
      </c>
      <c r="CE849" s="47">
        <f t="shared" si="2660"/>
        <v>-1000</v>
      </c>
      <c r="CF849" s="47">
        <f t="shared" si="2660"/>
        <v>0</v>
      </c>
      <c r="CG849" s="47">
        <f t="shared" si="2660"/>
        <v>-1000</v>
      </c>
      <c r="CH849" s="47">
        <f t="shared" si="2660"/>
        <v>-1000</v>
      </c>
      <c r="CI849" s="47">
        <f t="shared" si="2660"/>
        <v>-1000</v>
      </c>
      <c r="CJ849" s="47">
        <f t="shared" si="2660"/>
        <v>-1000</v>
      </c>
      <c r="CK849" s="47">
        <f t="shared" si="2660"/>
        <v>-1000</v>
      </c>
      <c r="CL849" s="47">
        <f t="shared" si="2660"/>
        <v>-1000</v>
      </c>
      <c r="CM849" s="47">
        <f t="shared" si="2660"/>
        <v>-1000</v>
      </c>
      <c r="CN849" s="47">
        <f t="shared" si="2660"/>
        <v>-1000</v>
      </c>
      <c r="CO849" s="47">
        <f t="shared" si="2660"/>
        <v>-1000</v>
      </c>
      <c r="CP849" s="47">
        <f t="shared" si="2660"/>
        <v>-1000</v>
      </c>
      <c r="CQ849" s="47">
        <f t="shared" si="2660"/>
        <v>-1000</v>
      </c>
      <c r="CR849" s="47"/>
      <c r="CS849" s="47"/>
      <c r="CT849" s="47"/>
      <c r="CU849" s="74"/>
      <c r="CV849" s="74"/>
      <c r="CW849" s="74" t="str">
        <f>IFERROR(__xludf.DUMMYFUNCTION("IF(REGEXMATCH(UPPER(CU849), ""DALLAS""),,CU849)"),"")</f>
        <v/>
      </c>
      <c r="CX849" s="74"/>
      <c r="CY849" s="74"/>
      <c r="CZ849" s="74"/>
      <c r="DA849" s="75"/>
      <c r="DB849" s="74"/>
      <c r="DC849" s="74"/>
      <c r="DD849" s="74"/>
      <c r="DE849" s="74"/>
      <c r="DF849" s="74"/>
      <c r="DG849" s="74"/>
      <c r="DH849" s="74"/>
      <c r="DI849" s="74"/>
      <c r="DJ849" s="74"/>
      <c r="DK849" s="74"/>
      <c r="DL849" s="74"/>
      <c r="DM849" s="74"/>
      <c r="DN849" s="74"/>
      <c r="DO849" s="74"/>
      <c r="DP849" s="74"/>
      <c r="DQ849" s="74"/>
      <c r="DR849" s="74"/>
      <c r="DS849" s="74"/>
      <c r="DT849" s="74"/>
      <c r="DU849" s="74"/>
      <c r="DV849" s="74"/>
      <c r="DW849" s="74"/>
    </row>
    <row r="850">
      <c r="A850" s="22" t="s">
        <v>55</v>
      </c>
      <c r="B850" s="23" t="s">
        <v>56</v>
      </c>
      <c r="C850" s="31" t="s">
        <v>2117</v>
      </c>
      <c r="D850" s="25" t="str">
        <f>IFERROR(__xludf.DUMMYFUNCTION("SPLIT(C850,"" "")"),"Ku,")</f>
        <v>Ku,</v>
      </c>
      <c r="E850" s="22" t="str">
        <f>IFERROR(__xludf.DUMMYFUNCTION("""COMPUTED_VALUE"""),"Charles
148")</f>
        <v>Charles
148</v>
      </c>
      <c r="F850" s="22" t="str">
        <f>IFERROR(__xludf.DUMMYFUNCTION("""COMPUTED_VALUE"""),"Red")</f>
        <v>Red</v>
      </c>
      <c r="G850" s="22" t="str">
        <f>IFERROR(__xludf.DUMMYFUNCTION("""COMPUTED_VALUE"""),"Oak")</f>
        <v>Oak</v>
      </c>
      <c r="H850" s="22" t="str">
        <f>IFERROR(__xludf.DUMMYFUNCTION("""COMPUTED_VALUE"""),"Lane
Flower")</f>
        <v>Lane
Flower</v>
      </c>
      <c r="I850" s="22" t="str">
        <f>IFERROR(__xludf.DUMMYFUNCTION("""COMPUTED_VALUE"""),"Mound,")</f>
        <v>Mound,</v>
      </c>
      <c r="J850" s="22" t="str">
        <f>IFERROR(__xludf.DUMMYFUNCTION("""COMPUTED_VALUE"""),"TX")</f>
        <v>TX</v>
      </c>
      <c r="K850" s="22">
        <f>IFERROR(__xludf.DUMMYFUNCTION("""COMPUTED_VALUE"""),75028.0)</f>
        <v>75028</v>
      </c>
      <c r="L850" s="22"/>
      <c r="M850" s="22"/>
      <c r="N850" s="22"/>
      <c r="O850" s="22"/>
      <c r="P850" s="22"/>
      <c r="Q850" s="22"/>
      <c r="R850" s="22"/>
      <c r="S850" s="22"/>
      <c r="T850" s="22"/>
      <c r="U850" s="24" t="str">
        <f>IFERROR(__xludf.DUMMYFUNCTION("SPLIT(E850,""01234567890"")"),"Charles
")</f>
        <v>Charles
</v>
      </c>
      <c r="V850" s="24" t="str">
        <f>IFERROR(__xludf.DUMMYFUNCTION("SPLIT(D850,"","")"),"Ku")</f>
        <v>Ku</v>
      </c>
      <c r="W850" s="25" t="str">
        <f t="shared" si="1"/>
        <v>CHARLES
 KU</v>
      </c>
      <c r="X850" s="22"/>
      <c r="Y850" s="22"/>
      <c r="Z850" s="25" t="str">
        <f>IFERROR(__xludf.DUMMYFUNCTION("SPLIT(C850,""
"")"),"Ku, Charles")</f>
        <v>Ku, Charles</v>
      </c>
      <c r="AA850" s="22" t="str">
        <f>IFERROR(__xludf.DUMMYFUNCTION("""COMPUTED_VALUE"""),"148 Red Oak Lane")</f>
        <v>148 Red Oak Lane</v>
      </c>
      <c r="AB850" s="22" t="str">
        <f>IFERROR(__xludf.DUMMYFUNCTION("""COMPUTED_VALUE"""),"Flower Mound, TX 75028")</f>
        <v>Flower Mound, TX 75028</v>
      </c>
      <c r="AC850" s="31" t="s">
        <v>2118</v>
      </c>
      <c r="AD850" s="22"/>
      <c r="AE850" s="22"/>
      <c r="AF850" s="22"/>
      <c r="AG850" s="22" t="s">
        <v>60</v>
      </c>
      <c r="AH850" s="54">
        <v>2481.0</v>
      </c>
      <c r="AI850" s="22" t="s">
        <v>68</v>
      </c>
      <c r="AJ850" s="27">
        <v>500.0</v>
      </c>
      <c r="AK850" s="31" t="s">
        <v>25</v>
      </c>
      <c r="AL850" s="28">
        <v>44824.0</v>
      </c>
      <c r="AM850" s="29">
        <v>44937.81995370371</v>
      </c>
      <c r="AN850" s="30">
        <v>2.0</v>
      </c>
      <c r="AO850" s="22"/>
      <c r="AP850" s="22"/>
      <c r="AQ850" s="22"/>
      <c r="AR850" s="22"/>
      <c r="AS850" s="22"/>
      <c r="AT850" s="70"/>
      <c r="AU850" s="22"/>
      <c r="AV850" s="57" t="str">
        <f>IFERROR(__xludf.DUMMYFUNCTION("""COMPUTED_VALUE"""),"Ridley")</f>
        <v>Ridley</v>
      </c>
      <c r="AW850" s="46">
        <f t="shared" si="7"/>
        <v>500</v>
      </c>
      <c r="AX850" s="47">
        <f t="shared" ref="AX850:BQ850" si="2661">SUMIFS($AJ:$AJ,$V:$V,$AV850,$AK:$AK,AX$2)</f>
        <v>0</v>
      </c>
      <c r="AY850" s="48">
        <f t="shared" si="2661"/>
        <v>0</v>
      </c>
      <c r="AZ850" s="48">
        <f t="shared" si="2661"/>
        <v>0</v>
      </c>
      <c r="BA850" s="48">
        <f t="shared" si="2661"/>
        <v>0</v>
      </c>
      <c r="BB850" s="48">
        <f t="shared" si="2661"/>
        <v>0</v>
      </c>
      <c r="BC850" s="48">
        <f t="shared" si="2661"/>
        <v>0</v>
      </c>
      <c r="BD850" s="48">
        <f t="shared" si="2661"/>
        <v>0</v>
      </c>
      <c r="BE850" s="48">
        <f t="shared" si="2661"/>
        <v>0</v>
      </c>
      <c r="BF850" s="48">
        <f t="shared" si="2661"/>
        <v>500</v>
      </c>
      <c r="BG850" s="48">
        <f t="shared" si="2661"/>
        <v>0</v>
      </c>
      <c r="BH850" s="48">
        <f t="shared" si="2661"/>
        <v>0</v>
      </c>
      <c r="BI850" s="48">
        <f t="shared" si="2661"/>
        <v>0</v>
      </c>
      <c r="BJ850" s="48">
        <f t="shared" si="2661"/>
        <v>0</v>
      </c>
      <c r="BK850" s="48">
        <f t="shared" si="2661"/>
        <v>0</v>
      </c>
      <c r="BL850" s="48">
        <f t="shared" si="2661"/>
        <v>0</v>
      </c>
      <c r="BM850" s="48">
        <f t="shared" si="2661"/>
        <v>0</v>
      </c>
      <c r="BN850" s="48">
        <f t="shared" si="2661"/>
        <v>0</v>
      </c>
      <c r="BO850" s="48">
        <f t="shared" si="2661"/>
        <v>0</v>
      </c>
      <c r="BP850" s="48">
        <f t="shared" si="2661"/>
        <v>0</v>
      </c>
      <c r="BQ850" s="48">
        <f t="shared" si="2661"/>
        <v>0</v>
      </c>
      <c r="BR850" s="36">
        <f t="shared" si="9"/>
        <v>0</v>
      </c>
      <c r="BS850" s="38">
        <f t="shared" si="10"/>
        <v>1</v>
      </c>
      <c r="BT850" s="49">
        <f t="shared" si="11"/>
        <v>0</v>
      </c>
      <c r="BU850" s="38">
        <f t="shared" si="12"/>
        <v>1000</v>
      </c>
      <c r="BV850" s="57" t="str">
        <f>IFERROR(__xludf.DUMMYFUNCTION("""COMPUTED_VALUE"""),"Ridley")</f>
        <v>Ridley</v>
      </c>
      <c r="BW850" s="46">
        <f t="shared" si="13"/>
        <v>500</v>
      </c>
      <c r="BX850" s="47">
        <f t="shared" ref="BX850:CA850" si="2662">AX850-$BU850</f>
        <v>-1000</v>
      </c>
      <c r="BY850" s="47">
        <f t="shared" si="2662"/>
        <v>-1000</v>
      </c>
      <c r="BZ850" s="47">
        <f t="shared" si="2662"/>
        <v>-1000</v>
      </c>
      <c r="CA850" s="47">
        <f t="shared" si="2662"/>
        <v>-1000</v>
      </c>
      <c r="CB850" s="47">
        <f t="shared" si="15"/>
        <v>-10000</v>
      </c>
      <c r="CC850" s="47">
        <f t="shared" ref="CC850:CQ850" si="2663">BC850-$BU850</f>
        <v>-1000</v>
      </c>
      <c r="CD850" s="47">
        <f t="shared" si="2663"/>
        <v>-1000</v>
      </c>
      <c r="CE850" s="47">
        <f t="shared" si="2663"/>
        <v>-1000</v>
      </c>
      <c r="CF850" s="47">
        <f t="shared" si="2663"/>
        <v>-500</v>
      </c>
      <c r="CG850" s="47">
        <f t="shared" si="2663"/>
        <v>-1000</v>
      </c>
      <c r="CH850" s="47">
        <f t="shared" si="2663"/>
        <v>-1000</v>
      </c>
      <c r="CI850" s="47">
        <f t="shared" si="2663"/>
        <v>-1000</v>
      </c>
      <c r="CJ850" s="47">
        <f t="shared" si="2663"/>
        <v>-1000</v>
      </c>
      <c r="CK850" s="47">
        <f t="shared" si="2663"/>
        <v>-1000</v>
      </c>
      <c r="CL850" s="47">
        <f t="shared" si="2663"/>
        <v>-1000</v>
      </c>
      <c r="CM850" s="47">
        <f t="shared" si="2663"/>
        <v>-1000</v>
      </c>
      <c r="CN850" s="47">
        <f t="shared" si="2663"/>
        <v>-1000</v>
      </c>
      <c r="CO850" s="47">
        <f t="shared" si="2663"/>
        <v>-1000</v>
      </c>
      <c r="CP850" s="47">
        <f t="shared" si="2663"/>
        <v>-1000</v>
      </c>
      <c r="CQ850" s="47">
        <f t="shared" si="2663"/>
        <v>-1000</v>
      </c>
      <c r="CR850" s="47"/>
      <c r="CS850" s="47"/>
      <c r="CT850" s="47"/>
      <c r="CU850" s="74"/>
      <c r="CV850" s="74"/>
      <c r="CW850" s="74" t="str">
        <f>IFERROR(__xludf.DUMMYFUNCTION("IF(REGEXMATCH(UPPER(CU850), ""DALLAS""),,CU850)"),"")</f>
        <v/>
      </c>
      <c r="CX850" s="74"/>
      <c r="CY850" s="74"/>
      <c r="CZ850" s="74"/>
      <c r="DA850" s="75"/>
      <c r="DB850" s="74"/>
      <c r="DC850" s="74"/>
      <c r="DD850" s="74"/>
      <c r="DE850" s="74"/>
      <c r="DF850" s="74"/>
      <c r="DG850" s="74"/>
      <c r="DH850" s="74"/>
      <c r="DI850" s="74"/>
      <c r="DJ850" s="74"/>
      <c r="DK850" s="74"/>
      <c r="DL850" s="74"/>
      <c r="DM850" s="74"/>
      <c r="DN850" s="74"/>
      <c r="DO850" s="74"/>
      <c r="DP850" s="74"/>
      <c r="DQ850" s="74"/>
      <c r="DR850" s="74"/>
      <c r="DS850" s="74"/>
      <c r="DT850" s="74"/>
      <c r="DU850" s="74"/>
      <c r="DV850" s="74"/>
      <c r="DW850" s="74"/>
    </row>
    <row r="851">
      <c r="A851" s="40" t="s">
        <v>55</v>
      </c>
      <c r="B851" s="41" t="s">
        <v>56</v>
      </c>
      <c r="C851" s="31" t="s">
        <v>2119</v>
      </c>
      <c r="D851" s="25" t="str">
        <f>IFERROR(__xludf.DUMMYFUNCTION("SPLIT(C851,"" "")"),"Sampson,")</f>
        <v>Sampson,</v>
      </c>
      <c r="E851" s="40" t="str">
        <f>IFERROR(__xludf.DUMMYFUNCTION("""COMPUTED_VALUE"""),"DeMetris
2207")</f>
        <v>DeMetris
2207</v>
      </c>
      <c r="F851" s="40" t="str">
        <f>IFERROR(__xludf.DUMMYFUNCTION("""COMPUTED_VALUE"""),"Elderoaks")</f>
        <v>Elderoaks</v>
      </c>
      <c r="G851" s="40" t="str">
        <f>IFERROR(__xludf.DUMMYFUNCTION("""COMPUTED_VALUE"""),"Lane
Dallas,")</f>
        <v>Lane
Dallas,</v>
      </c>
      <c r="H851" s="40" t="str">
        <f>IFERROR(__xludf.DUMMYFUNCTION("""COMPUTED_VALUE"""),"TX")</f>
        <v>TX</v>
      </c>
      <c r="I851" s="40">
        <f>IFERROR(__xludf.DUMMYFUNCTION("""COMPUTED_VALUE"""),75232.0)</f>
        <v>75232</v>
      </c>
      <c r="J851" s="40"/>
      <c r="K851" s="40"/>
      <c r="L851" s="40"/>
      <c r="M851" s="40"/>
      <c r="N851" s="40"/>
      <c r="O851" s="40"/>
      <c r="P851" s="40"/>
      <c r="Q851" s="40"/>
      <c r="R851" s="40"/>
      <c r="S851" s="40"/>
      <c r="T851" s="40"/>
      <c r="U851" s="24" t="str">
        <f>IFERROR(__xludf.DUMMYFUNCTION("SPLIT(E851,""01234567890"")"),"DeMetris
")</f>
        <v>DeMetris
</v>
      </c>
      <c r="V851" s="24" t="str">
        <f>IFERROR(__xludf.DUMMYFUNCTION("SPLIT(D851,"","")"),"Sampson")</f>
        <v>Sampson</v>
      </c>
      <c r="W851" s="25" t="str">
        <f t="shared" si="1"/>
        <v>DEMETRIS
 SAMPSON</v>
      </c>
      <c r="X851" s="40"/>
      <c r="Y851" s="40"/>
      <c r="Z851" s="25" t="str">
        <f>IFERROR(__xludf.DUMMYFUNCTION("SPLIT(C851,""
"")"),"Sampson, DeMetris")</f>
        <v>Sampson, DeMetris</v>
      </c>
      <c r="AA851" s="40" t="str">
        <f>IFERROR(__xludf.DUMMYFUNCTION("""COMPUTED_VALUE"""),"2207 Elderoaks Lane")</f>
        <v>2207 Elderoaks Lane</v>
      </c>
      <c r="AB851" s="40" t="str">
        <f>IFERROR(__xludf.DUMMYFUNCTION("""COMPUTED_VALUE"""),"Dallas, TX 75232")</f>
        <v>Dallas, TX 75232</v>
      </c>
      <c r="AC851" s="31" t="s">
        <v>1581</v>
      </c>
      <c r="AD851" s="40"/>
      <c r="AE851" s="40"/>
      <c r="AF851" s="40"/>
      <c r="AG851" s="40" t="s">
        <v>60</v>
      </c>
      <c r="AH851" s="42">
        <v>2481.0</v>
      </c>
      <c r="AI851" s="40" t="s">
        <v>68</v>
      </c>
      <c r="AJ851" s="27">
        <v>1000.0</v>
      </c>
      <c r="AK851" s="31" t="s">
        <v>25</v>
      </c>
      <c r="AL851" s="43">
        <v>44824.0</v>
      </c>
      <c r="AM851" s="44">
        <v>44937.81995370371</v>
      </c>
      <c r="AN851" s="30">
        <v>2.0</v>
      </c>
      <c r="AO851" s="40"/>
      <c r="AP851" s="40"/>
      <c r="AQ851" s="40"/>
      <c r="AR851" s="40"/>
      <c r="AS851" s="40"/>
      <c r="AT851" s="47"/>
      <c r="AU851" s="40"/>
      <c r="AV851" s="46" t="str">
        <f>IFERROR(__xludf.DUMMYFUNCTION("""COMPUTED_VALUE"""),"Solis")</f>
        <v>Solis</v>
      </c>
      <c r="AW851" s="46">
        <f t="shared" si="7"/>
        <v>30</v>
      </c>
      <c r="AX851" s="47">
        <f t="shared" ref="AX851:BQ851" si="2664">SUMIFS($AJ:$AJ,$V:$V,$AV851,$AK:$AK,AX$2)</f>
        <v>0</v>
      </c>
      <c r="AY851" s="48">
        <f t="shared" si="2664"/>
        <v>0</v>
      </c>
      <c r="AZ851" s="48">
        <f t="shared" si="2664"/>
        <v>0</v>
      </c>
      <c r="BA851" s="48">
        <f t="shared" si="2664"/>
        <v>0</v>
      </c>
      <c r="BB851" s="48">
        <f t="shared" si="2664"/>
        <v>0</v>
      </c>
      <c r="BC851" s="48">
        <f t="shared" si="2664"/>
        <v>0</v>
      </c>
      <c r="BD851" s="48">
        <f t="shared" si="2664"/>
        <v>0</v>
      </c>
      <c r="BE851" s="48">
        <f t="shared" si="2664"/>
        <v>0</v>
      </c>
      <c r="BF851" s="48">
        <f t="shared" si="2664"/>
        <v>30</v>
      </c>
      <c r="BG851" s="48">
        <f t="shared" si="2664"/>
        <v>0</v>
      </c>
      <c r="BH851" s="48">
        <f t="shared" si="2664"/>
        <v>0</v>
      </c>
      <c r="BI851" s="48">
        <f t="shared" si="2664"/>
        <v>0</v>
      </c>
      <c r="BJ851" s="48">
        <f t="shared" si="2664"/>
        <v>0</v>
      </c>
      <c r="BK851" s="48">
        <f t="shared" si="2664"/>
        <v>0</v>
      </c>
      <c r="BL851" s="48">
        <f t="shared" si="2664"/>
        <v>0</v>
      </c>
      <c r="BM851" s="48">
        <f t="shared" si="2664"/>
        <v>0</v>
      </c>
      <c r="BN851" s="48">
        <f t="shared" si="2664"/>
        <v>0</v>
      </c>
      <c r="BO851" s="48">
        <f t="shared" si="2664"/>
        <v>0</v>
      </c>
      <c r="BP851" s="48">
        <f t="shared" si="2664"/>
        <v>0</v>
      </c>
      <c r="BQ851" s="48">
        <f t="shared" si="2664"/>
        <v>0</v>
      </c>
      <c r="BR851" s="36">
        <f t="shared" si="9"/>
        <v>0</v>
      </c>
      <c r="BS851" s="38">
        <f t="shared" si="10"/>
        <v>1</v>
      </c>
      <c r="BT851" s="49">
        <f t="shared" si="11"/>
        <v>0</v>
      </c>
      <c r="BU851" s="38">
        <f t="shared" si="12"/>
        <v>1000</v>
      </c>
      <c r="BV851" s="46" t="str">
        <f>IFERROR(__xludf.DUMMYFUNCTION("""COMPUTED_VALUE"""),"Solis")</f>
        <v>Solis</v>
      </c>
      <c r="BW851" s="46">
        <f t="shared" si="13"/>
        <v>30</v>
      </c>
      <c r="BX851" s="47">
        <f t="shared" ref="BX851:CA851" si="2665">AX851-$BU851</f>
        <v>-1000</v>
      </c>
      <c r="BY851" s="47">
        <f t="shared" si="2665"/>
        <v>-1000</v>
      </c>
      <c r="BZ851" s="47">
        <f t="shared" si="2665"/>
        <v>-1000</v>
      </c>
      <c r="CA851" s="47">
        <f t="shared" si="2665"/>
        <v>-1000</v>
      </c>
      <c r="CB851" s="47">
        <f t="shared" si="15"/>
        <v>-10000</v>
      </c>
      <c r="CC851" s="47">
        <f t="shared" ref="CC851:CQ851" si="2666">BC851-$BU851</f>
        <v>-1000</v>
      </c>
      <c r="CD851" s="47">
        <f t="shared" si="2666"/>
        <v>-1000</v>
      </c>
      <c r="CE851" s="47">
        <f t="shared" si="2666"/>
        <v>-1000</v>
      </c>
      <c r="CF851" s="47">
        <f t="shared" si="2666"/>
        <v>-970</v>
      </c>
      <c r="CG851" s="47">
        <f t="shared" si="2666"/>
        <v>-1000</v>
      </c>
      <c r="CH851" s="47">
        <f t="shared" si="2666"/>
        <v>-1000</v>
      </c>
      <c r="CI851" s="47">
        <f t="shared" si="2666"/>
        <v>-1000</v>
      </c>
      <c r="CJ851" s="47">
        <f t="shared" si="2666"/>
        <v>-1000</v>
      </c>
      <c r="CK851" s="47">
        <f t="shared" si="2666"/>
        <v>-1000</v>
      </c>
      <c r="CL851" s="47">
        <f t="shared" si="2666"/>
        <v>-1000</v>
      </c>
      <c r="CM851" s="47">
        <f t="shared" si="2666"/>
        <v>-1000</v>
      </c>
      <c r="CN851" s="47">
        <f t="shared" si="2666"/>
        <v>-1000</v>
      </c>
      <c r="CO851" s="47">
        <f t="shared" si="2666"/>
        <v>-1000</v>
      </c>
      <c r="CP851" s="47">
        <f t="shared" si="2666"/>
        <v>-1000</v>
      </c>
      <c r="CQ851" s="47">
        <f t="shared" si="2666"/>
        <v>-1000</v>
      </c>
      <c r="CR851" s="47"/>
      <c r="CS851" s="47"/>
      <c r="CT851" s="47"/>
      <c r="CU851" s="74"/>
      <c r="CV851" s="74"/>
      <c r="CW851" s="74" t="str">
        <f>IFERROR(__xludf.DUMMYFUNCTION("IF(REGEXMATCH(UPPER(CU851), ""DALLAS""),,CU851)"),"")</f>
        <v/>
      </c>
      <c r="CX851" s="74"/>
      <c r="CY851" s="74"/>
      <c r="CZ851" s="74"/>
      <c r="DA851" s="75"/>
      <c r="DB851" s="74"/>
      <c r="DC851" s="74"/>
      <c r="DD851" s="74"/>
      <c r="DE851" s="74"/>
      <c r="DF851" s="74"/>
      <c r="DG851" s="74"/>
      <c r="DH851" s="74"/>
      <c r="DI851" s="74"/>
      <c r="DJ851" s="74"/>
      <c r="DK851" s="74"/>
      <c r="DL851" s="74"/>
      <c r="DM851" s="74"/>
      <c r="DN851" s="74"/>
      <c r="DO851" s="74"/>
      <c r="DP851" s="74"/>
      <c r="DQ851" s="74"/>
      <c r="DR851" s="74"/>
      <c r="DS851" s="74"/>
      <c r="DT851" s="74"/>
      <c r="DU851" s="74"/>
      <c r="DV851" s="74"/>
      <c r="DW851" s="74"/>
    </row>
    <row r="852">
      <c r="A852" s="22" t="s">
        <v>55</v>
      </c>
      <c r="B852" s="23" t="s">
        <v>56</v>
      </c>
      <c r="C852" s="31" t="s">
        <v>2120</v>
      </c>
      <c r="D852" s="25" t="str">
        <f>IFERROR(__xludf.DUMMYFUNCTION("SPLIT(C852,"" "")"),"Dominguez,")</f>
        <v>Dominguez,</v>
      </c>
      <c r="E852" s="22" t="str">
        <f>IFERROR(__xludf.DUMMYFUNCTION("""COMPUTED_VALUE"""),"Jeffrey
3112")</f>
        <v>Jeffrey
3112</v>
      </c>
      <c r="F852" s="22" t="str">
        <f>IFERROR(__xludf.DUMMYFUNCTION("""COMPUTED_VALUE"""),"Windsor")</f>
        <v>Windsor</v>
      </c>
      <c r="G852" s="22" t="str">
        <f>IFERROR(__xludf.DUMMYFUNCTION("""COMPUTED_VALUE"""),"Road
Austin,")</f>
        <v>Road
Austin,</v>
      </c>
      <c r="H852" s="22" t="str">
        <f>IFERROR(__xludf.DUMMYFUNCTION("""COMPUTED_VALUE"""),"TX")</f>
        <v>TX</v>
      </c>
      <c r="I852" s="22">
        <f>IFERROR(__xludf.DUMMYFUNCTION("""COMPUTED_VALUE"""),78703.0)</f>
        <v>78703</v>
      </c>
      <c r="J852" s="22"/>
      <c r="K852" s="22"/>
      <c r="L852" s="22"/>
      <c r="M852" s="22"/>
      <c r="N852" s="22"/>
      <c r="O852" s="22"/>
      <c r="P852" s="22"/>
      <c r="Q852" s="22"/>
      <c r="R852" s="22"/>
      <c r="S852" s="22"/>
      <c r="T852" s="22"/>
      <c r="U852" s="24" t="str">
        <f>IFERROR(__xludf.DUMMYFUNCTION("SPLIT(E852,""01234567890"")"),"Jeffrey
")</f>
        <v>Jeffrey
</v>
      </c>
      <c r="V852" s="24" t="str">
        <f>IFERROR(__xludf.DUMMYFUNCTION("SPLIT(D852,"","")"),"Dominguez")</f>
        <v>Dominguez</v>
      </c>
      <c r="W852" s="25" t="str">
        <f t="shared" si="1"/>
        <v>JEFFREY
 DOMINGUEZ</v>
      </c>
      <c r="X852" s="22"/>
      <c r="Y852" s="22"/>
      <c r="Z852" s="25" t="str">
        <f>IFERROR(__xludf.DUMMYFUNCTION("SPLIT(C852,""
"")"),"Dominguez, Jeffrey")</f>
        <v>Dominguez, Jeffrey</v>
      </c>
      <c r="AA852" s="22" t="str">
        <f>IFERROR(__xludf.DUMMYFUNCTION("""COMPUTED_VALUE"""),"3112 Windsor Road")</f>
        <v>3112 Windsor Road</v>
      </c>
      <c r="AB852" s="22" t="str">
        <f>IFERROR(__xludf.DUMMYFUNCTION("""COMPUTED_VALUE"""),"Austin, TX 78703")</f>
        <v>Austin, TX 78703</v>
      </c>
      <c r="AC852" s="31" t="s">
        <v>2121</v>
      </c>
      <c r="AD852" s="22"/>
      <c r="AE852" s="22"/>
      <c r="AF852" s="22"/>
      <c r="AG852" s="22" t="s">
        <v>60</v>
      </c>
      <c r="AH852" s="54">
        <v>2481.0</v>
      </c>
      <c r="AI852" s="22" t="s">
        <v>68</v>
      </c>
      <c r="AJ852" s="27">
        <v>1000.0</v>
      </c>
      <c r="AK852" s="31" t="s">
        <v>25</v>
      </c>
      <c r="AL852" s="28">
        <v>44824.0</v>
      </c>
      <c r="AM852" s="29">
        <v>44937.81995370371</v>
      </c>
      <c r="AN852" s="30">
        <v>2.0</v>
      </c>
      <c r="AO852" s="22"/>
      <c r="AP852" s="22"/>
      <c r="AQ852" s="22"/>
      <c r="AR852" s="22"/>
      <c r="AS852" s="22"/>
      <c r="AT852" s="70"/>
      <c r="AU852" s="22"/>
      <c r="AV852" s="57" t="str">
        <f>IFERROR(__xludf.DUMMYFUNCTION("""COMPUTED_VALUE"""),"Flores")</f>
        <v>Flores</v>
      </c>
      <c r="AW852" s="46">
        <f t="shared" si="7"/>
        <v>100</v>
      </c>
      <c r="AX852" s="47">
        <f t="shared" ref="AX852:BQ852" si="2667">SUMIFS($AJ:$AJ,$V:$V,$AV852,$AK:$AK,AX$2)</f>
        <v>0</v>
      </c>
      <c r="AY852" s="48">
        <f t="shared" si="2667"/>
        <v>0</v>
      </c>
      <c r="AZ852" s="48">
        <f t="shared" si="2667"/>
        <v>0</v>
      </c>
      <c r="BA852" s="48">
        <f t="shared" si="2667"/>
        <v>0</v>
      </c>
      <c r="BB852" s="48">
        <f t="shared" si="2667"/>
        <v>0</v>
      </c>
      <c r="BC852" s="48">
        <f t="shared" si="2667"/>
        <v>0</v>
      </c>
      <c r="BD852" s="48">
        <f t="shared" si="2667"/>
        <v>0</v>
      </c>
      <c r="BE852" s="48">
        <f t="shared" si="2667"/>
        <v>0</v>
      </c>
      <c r="BF852" s="48">
        <f t="shared" si="2667"/>
        <v>100</v>
      </c>
      <c r="BG852" s="48">
        <f t="shared" si="2667"/>
        <v>0</v>
      </c>
      <c r="BH852" s="48">
        <f t="shared" si="2667"/>
        <v>0</v>
      </c>
      <c r="BI852" s="48">
        <f t="shared" si="2667"/>
        <v>0</v>
      </c>
      <c r="BJ852" s="48">
        <f t="shared" si="2667"/>
        <v>0</v>
      </c>
      <c r="BK852" s="48">
        <f t="shared" si="2667"/>
        <v>0</v>
      </c>
      <c r="BL852" s="48">
        <f t="shared" si="2667"/>
        <v>0</v>
      </c>
      <c r="BM852" s="48">
        <f t="shared" si="2667"/>
        <v>0</v>
      </c>
      <c r="BN852" s="48">
        <f t="shared" si="2667"/>
        <v>0</v>
      </c>
      <c r="BO852" s="48">
        <f t="shared" si="2667"/>
        <v>0</v>
      </c>
      <c r="BP852" s="48">
        <f t="shared" si="2667"/>
        <v>0</v>
      </c>
      <c r="BQ852" s="48">
        <f t="shared" si="2667"/>
        <v>0</v>
      </c>
      <c r="BR852" s="36">
        <f t="shared" si="9"/>
        <v>0</v>
      </c>
      <c r="BS852" s="38">
        <f t="shared" si="10"/>
        <v>1</v>
      </c>
      <c r="BT852" s="49">
        <f t="shared" si="11"/>
        <v>0</v>
      </c>
      <c r="BU852" s="38">
        <f t="shared" si="12"/>
        <v>1000</v>
      </c>
      <c r="BV852" s="57" t="str">
        <f>IFERROR(__xludf.DUMMYFUNCTION("""COMPUTED_VALUE"""),"Flores")</f>
        <v>Flores</v>
      </c>
      <c r="BW852" s="46">
        <f t="shared" si="13"/>
        <v>100</v>
      </c>
      <c r="BX852" s="47">
        <f t="shared" ref="BX852:CA852" si="2668">AX852-$BU852</f>
        <v>-1000</v>
      </c>
      <c r="BY852" s="47">
        <f t="shared" si="2668"/>
        <v>-1000</v>
      </c>
      <c r="BZ852" s="47">
        <f t="shared" si="2668"/>
        <v>-1000</v>
      </c>
      <c r="CA852" s="47">
        <f t="shared" si="2668"/>
        <v>-1000</v>
      </c>
      <c r="CB852" s="47">
        <f t="shared" si="15"/>
        <v>-10000</v>
      </c>
      <c r="CC852" s="47">
        <f t="shared" ref="CC852:CQ852" si="2669">BC852-$BU852</f>
        <v>-1000</v>
      </c>
      <c r="CD852" s="47">
        <f t="shared" si="2669"/>
        <v>-1000</v>
      </c>
      <c r="CE852" s="47">
        <f t="shared" si="2669"/>
        <v>-1000</v>
      </c>
      <c r="CF852" s="47">
        <f t="shared" si="2669"/>
        <v>-900</v>
      </c>
      <c r="CG852" s="47">
        <f t="shared" si="2669"/>
        <v>-1000</v>
      </c>
      <c r="CH852" s="47">
        <f t="shared" si="2669"/>
        <v>-1000</v>
      </c>
      <c r="CI852" s="47">
        <f t="shared" si="2669"/>
        <v>-1000</v>
      </c>
      <c r="CJ852" s="47">
        <f t="shared" si="2669"/>
        <v>-1000</v>
      </c>
      <c r="CK852" s="47">
        <f t="shared" si="2669"/>
        <v>-1000</v>
      </c>
      <c r="CL852" s="47">
        <f t="shared" si="2669"/>
        <v>-1000</v>
      </c>
      <c r="CM852" s="47">
        <f t="shared" si="2669"/>
        <v>-1000</v>
      </c>
      <c r="CN852" s="47">
        <f t="shared" si="2669"/>
        <v>-1000</v>
      </c>
      <c r="CO852" s="47">
        <f t="shared" si="2669"/>
        <v>-1000</v>
      </c>
      <c r="CP852" s="47">
        <f t="shared" si="2669"/>
        <v>-1000</v>
      </c>
      <c r="CQ852" s="47">
        <f t="shared" si="2669"/>
        <v>-1000</v>
      </c>
      <c r="CR852" s="47"/>
      <c r="CS852" s="47"/>
      <c r="CT852" s="47"/>
      <c r="CU852" s="74"/>
      <c r="CV852" s="74"/>
      <c r="CW852" s="74" t="str">
        <f>IFERROR(__xludf.DUMMYFUNCTION("IF(REGEXMATCH(UPPER(CU852), ""DALLAS""),,CU852)"),"")</f>
        <v/>
      </c>
      <c r="CX852" s="74"/>
      <c r="CY852" s="74"/>
      <c r="CZ852" s="74"/>
      <c r="DA852" s="75"/>
      <c r="DB852" s="74"/>
      <c r="DC852" s="74"/>
      <c r="DD852" s="74"/>
      <c r="DE852" s="74"/>
      <c r="DF852" s="74"/>
      <c r="DG852" s="74"/>
      <c r="DH852" s="74"/>
      <c r="DI852" s="74"/>
      <c r="DJ852" s="74"/>
      <c r="DK852" s="74"/>
      <c r="DL852" s="74"/>
      <c r="DM852" s="74"/>
      <c r="DN852" s="74"/>
      <c r="DO852" s="74"/>
      <c r="DP852" s="74"/>
      <c r="DQ852" s="74"/>
      <c r="DR852" s="74"/>
      <c r="DS852" s="74"/>
      <c r="DT852" s="74"/>
      <c r="DU852" s="74"/>
      <c r="DV852" s="74"/>
      <c r="DW852" s="74"/>
    </row>
    <row r="853">
      <c r="A853" s="40" t="s">
        <v>55</v>
      </c>
      <c r="B853" s="41" t="s">
        <v>56</v>
      </c>
      <c r="C853" s="31" t="s">
        <v>2122</v>
      </c>
      <c r="D853" s="25" t="str">
        <f>IFERROR(__xludf.DUMMYFUNCTION("SPLIT(C853,"" "")"),"Okon,")</f>
        <v>Okon,</v>
      </c>
      <c r="E853" s="40" t="str">
        <f>IFERROR(__xludf.DUMMYFUNCTION("""COMPUTED_VALUE"""),"Louis
7219")</f>
        <v>Louis
7219</v>
      </c>
      <c r="F853" s="40" t="str">
        <f>IFERROR(__xludf.DUMMYFUNCTION("""COMPUTED_VALUE"""),"Kenny")</f>
        <v>Kenny</v>
      </c>
      <c r="G853" s="40" t="str">
        <f>IFERROR(__xludf.DUMMYFUNCTION("""COMPUTED_VALUE"""),"Lane
Dallas,")</f>
        <v>Lane
Dallas,</v>
      </c>
      <c r="H853" s="40" t="str">
        <f>IFERROR(__xludf.DUMMYFUNCTION("""COMPUTED_VALUE"""),"TX")</f>
        <v>TX</v>
      </c>
      <c r="I853" s="40">
        <f>IFERROR(__xludf.DUMMYFUNCTION("""COMPUTED_VALUE"""),75230.0)</f>
        <v>75230</v>
      </c>
      <c r="J853" s="40"/>
      <c r="K853" s="40"/>
      <c r="L853" s="40"/>
      <c r="M853" s="40"/>
      <c r="N853" s="40"/>
      <c r="O853" s="40"/>
      <c r="P853" s="40"/>
      <c r="Q853" s="40"/>
      <c r="R853" s="40"/>
      <c r="S853" s="40"/>
      <c r="T853" s="40"/>
      <c r="U853" s="24" t="str">
        <f>IFERROR(__xludf.DUMMYFUNCTION("SPLIT(E853,""01234567890"")"),"Louis
")</f>
        <v>Louis
</v>
      </c>
      <c r="V853" s="24" t="str">
        <f>IFERROR(__xludf.DUMMYFUNCTION("SPLIT(D853,"","")"),"Okon")</f>
        <v>Okon</v>
      </c>
      <c r="W853" s="25" t="str">
        <f t="shared" si="1"/>
        <v>LOUIS
 OKON</v>
      </c>
      <c r="X853" s="40"/>
      <c r="Y853" s="40"/>
      <c r="Z853" s="25" t="str">
        <f>IFERROR(__xludf.DUMMYFUNCTION("SPLIT(C853,""
"")"),"Okon, Louis")</f>
        <v>Okon, Louis</v>
      </c>
      <c r="AA853" s="40" t="str">
        <f>IFERROR(__xludf.DUMMYFUNCTION("""COMPUTED_VALUE"""),"7219 Kenny Lane")</f>
        <v>7219 Kenny Lane</v>
      </c>
      <c r="AB853" s="40" t="str">
        <f>IFERROR(__xludf.DUMMYFUNCTION("""COMPUTED_VALUE"""),"Dallas, TX 75230")</f>
        <v>Dallas, TX 75230</v>
      </c>
      <c r="AC853" s="31" t="s">
        <v>2123</v>
      </c>
      <c r="AD853" s="40"/>
      <c r="AE853" s="40"/>
      <c r="AF853" s="40"/>
      <c r="AG853" s="40" t="s">
        <v>60</v>
      </c>
      <c r="AH853" s="42">
        <v>2481.0</v>
      </c>
      <c r="AI853" s="40" t="s">
        <v>68</v>
      </c>
      <c r="AJ853" s="27">
        <v>5000.0</v>
      </c>
      <c r="AK853" s="31" t="s">
        <v>25</v>
      </c>
      <c r="AL853" s="43">
        <v>44824.0</v>
      </c>
      <c r="AM853" s="44">
        <v>44937.81995370371</v>
      </c>
      <c r="AN853" s="30">
        <v>2.0</v>
      </c>
      <c r="AO853" s="40"/>
      <c r="AP853" s="40"/>
      <c r="AQ853" s="40"/>
      <c r="AR853" s="40"/>
      <c r="AS853" s="40"/>
      <c r="AT853" s="47"/>
      <c r="AU853" s="40"/>
      <c r="AV853" s="46" t="str">
        <f>IFERROR(__xludf.DUMMYFUNCTION("""COMPUTED_VALUE"""),"Olivarez")</f>
        <v>Olivarez</v>
      </c>
      <c r="AW853" s="46">
        <f t="shared" si="7"/>
        <v>50</v>
      </c>
      <c r="AX853" s="47">
        <f t="shared" ref="AX853:BQ853" si="2670">SUMIFS($AJ:$AJ,$V:$V,$AV853,$AK:$AK,AX$2)</f>
        <v>0</v>
      </c>
      <c r="AY853" s="48">
        <f t="shared" si="2670"/>
        <v>0</v>
      </c>
      <c r="AZ853" s="48">
        <f t="shared" si="2670"/>
        <v>0</v>
      </c>
      <c r="BA853" s="48">
        <f t="shared" si="2670"/>
        <v>0</v>
      </c>
      <c r="BB853" s="48">
        <f t="shared" si="2670"/>
        <v>0</v>
      </c>
      <c r="BC853" s="48">
        <f t="shared" si="2670"/>
        <v>0</v>
      </c>
      <c r="BD853" s="48">
        <f t="shared" si="2670"/>
        <v>0</v>
      </c>
      <c r="BE853" s="48">
        <f t="shared" si="2670"/>
        <v>0</v>
      </c>
      <c r="BF853" s="48">
        <f t="shared" si="2670"/>
        <v>50</v>
      </c>
      <c r="BG853" s="48">
        <f t="shared" si="2670"/>
        <v>0</v>
      </c>
      <c r="BH853" s="48">
        <f t="shared" si="2670"/>
        <v>0</v>
      </c>
      <c r="BI853" s="48">
        <f t="shared" si="2670"/>
        <v>0</v>
      </c>
      <c r="BJ853" s="48">
        <f t="shared" si="2670"/>
        <v>0</v>
      </c>
      <c r="BK853" s="48">
        <f t="shared" si="2670"/>
        <v>0</v>
      </c>
      <c r="BL853" s="48">
        <f t="shared" si="2670"/>
        <v>0</v>
      </c>
      <c r="BM853" s="48">
        <f t="shared" si="2670"/>
        <v>0</v>
      </c>
      <c r="BN853" s="48">
        <f t="shared" si="2670"/>
        <v>0</v>
      </c>
      <c r="BO853" s="48">
        <f t="shared" si="2670"/>
        <v>0</v>
      </c>
      <c r="BP853" s="48">
        <f t="shared" si="2670"/>
        <v>0</v>
      </c>
      <c r="BQ853" s="48">
        <f t="shared" si="2670"/>
        <v>0</v>
      </c>
      <c r="BR853" s="36">
        <f t="shared" si="9"/>
        <v>0</v>
      </c>
      <c r="BS853" s="38">
        <f t="shared" si="10"/>
        <v>1</v>
      </c>
      <c r="BT853" s="49">
        <f t="shared" si="11"/>
        <v>0</v>
      </c>
      <c r="BU853" s="38">
        <f t="shared" si="12"/>
        <v>1000</v>
      </c>
      <c r="BV853" s="46" t="str">
        <f>IFERROR(__xludf.DUMMYFUNCTION("""COMPUTED_VALUE"""),"Olivarez")</f>
        <v>Olivarez</v>
      </c>
      <c r="BW853" s="46">
        <f t="shared" si="13"/>
        <v>50</v>
      </c>
      <c r="BX853" s="47">
        <f t="shared" ref="BX853:CA853" si="2671">AX853-$BU853</f>
        <v>-1000</v>
      </c>
      <c r="BY853" s="47">
        <f t="shared" si="2671"/>
        <v>-1000</v>
      </c>
      <c r="BZ853" s="47">
        <f t="shared" si="2671"/>
        <v>-1000</v>
      </c>
      <c r="CA853" s="47">
        <f t="shared" si="2671"/>
        <v>-1000</v>
      </c>
      <c r="CB853" s="47">
        <f t="shared" si="15"/>
        <v>-10000</v>
      </c>
      <c r="CC853" s="47">
        <f t="shared" ref="CC853:CQ853" si="2672">BC853-$BU853</f>
        <v>-1000</v>
      </c>
      <c r="CD853" s="47">
        <f t="shared" si="2672"/>
        <v>-1000</v>
      </c>
      <c r="CE853" s="47">
        <f t="shared" si="2672"/>
        <v>-1000</v>
      </c>
      <c r="CF853" s="47">
        <f t="shared" si="2672"/>
        <v>-950</v>
      </c>
      <c r="CG853" s="47">
        <f t="shared" si="2672"/>
        <v>-1000</v>
      </c>
      <c r="CH853" s="47">
        <f t="shared" si="2672"/>
        <v>-1000</v>
      </c>
      <c r="CI853" s="47">
        <f t="shared" si="2672"/>
        <v>-1000</v>
      </c>
      <c r="CJ853" s="47">
        <f t="shared" si="2672"/>
        <v>-1000</v>
      </c>
      <c r="CK853" s="47">
        <f t="shared" si="2672"/>
        <v>-1000</v>
      </c>
      <c r="CL853" s="47">
        <f t="shared" si="2672"/>
        <v>-1000</v>
      </c>
      <c r="CM853" s="47">
        <f t="shared" si="2672"/>
        <v>-1000</v>
      </c>
      <c r="CN853" s="47">
        <f t="shared" si="2672"/>
        <v>-1000</v>
      </c>
      <c r="CO853" s="47">
        <f t="shared" si="2672"/>
        <v>-1000</v>
      </c>
      <c r="CP853" s="47">
        <f t="shared" si="2672"/>
        <v>-1000</v>
      </c>
      <c r="CQ853" s="47">
        <f t="shared" si="2672"/>
        <v>-1000</v>
      </c>
      <c r="CR853" s="47"/>
      <c r="CS853" s="47"/>
      <c r="CT853" s="47"/>
      <c r="CU853" s="74"/>
      <c r="CV853" s="74"/>
      <c r="CW853" s="74" t="str">
        <f>IFERROR(__xludf.DUMMYFUNCTION("IF(REGEXMATCH(UPPER(CU853), ""DALLAS""),,CU853)"),"")</f>
        <v/>
      </c>
      <c r="CX853" s="74"/>
      <c r="CY853" s="74"/>
      <c r="CZ853" s="74"/>
      <c r="DA853" s="75"/>
      <c r="DB853" s="74"/>
      <c r="DC853" s="74"/>
      <c r="DD853" s="74"/>
      <c r="DE853" s="74"/>
      <c r="DF853" s="74"/>
      <c r="DG853" s="74"/>
      <c r="DH853" s="74"/>
      <c r="DI853" s="74"/>
      <c r="DJ853" s="74"/>
      <c r="DK853" s="74"/>
      <c r="DL853" s="74"/>
      <c r="DM853" s="74"/>
      <c r="DN853" s="74"/>
      <c r="DO853" s="74"/>
      <c r="DP853" s="74"/>
      <c r="DQ853" s="74"/>
      <c r="DR853" s="74"/>
      <c r="DS853" s="74"/>
      <c r="DT853" s="74"/>
      <c r="DU853" s="74"/>
      <c r="DV853" s="74"/>
      <c r="DW853" s="74"/>
    </row>
    <row r="854">
      <c r="A854" s="22" t="s">
        <v>55</v>
      </c>
      <c r="B854" s="23" t="s">
        <v>56</v>
      </c>
      <c r="C854" s="31" t="s">
        <v>2124</v>
      </c>
      <c r="D854" s="25" t="str">
        <f>IFERROR(__xludf.DUMMYFUNCTION("SPLIT(C854,"" "")"),"Knaupe,")</f>
        <v>Knaupe,</v>
      </c>
      <c r="E854" s="22" t="str">
        <f>IFERROR(__xludf.DUMMYFUNCTION("""COMPUTED_VALUE"""),"Gregg
800")</f>
        <v>Gregg
800</v>
      </c>
      <c r="F854" s="22" t="str">
        <f>IFERROR(__xludf.DUMMYFUNCTION("""COMPUTED_VALUE"""),"Westbrook")</f>
        <v>Westbrook</v>
      </c>
      <c r="G854" s="22" t="str">
        <f>IFERROR(__xludf.DUMMYFUNCTION("""COMPUTED_VALUE"""),"Dr
West")</f>
        <v>Dr
West</v>
      </c>
      <c r="H854" s="22" t="str">
        <f>IFERROR(__xludf.DUMMYFUNCTION("""COMPUTED_VALUE"""),"Lake,")</f>
        <v>Lake,</v>
      </c>
      <c r="I854" s="22" t="str">
        <f>IFERROR(__xludf.DUMMYFUNCTION("""COMPUTED_VALUE"""),"TX")</f>
        <v>TX</v>
      </c>
      <c r="J854" s="22">
        <f>IFERROR(__xludf.DUMMYFUNCTION("""COMPUTED_VALUE"""),78746.0)</f>
        <v>78746</v>
      </c>
      <c r="K854" s="22"/>
      <c r="L854" s="22"/>
      <c r="M854" s="22"/>
      <c r="N854" s="22"/>
      <c r="O854" s="22"/>
      <c r="P854" s="22"/>
      <c r="Q854" s="22"/>
      <c r="R854" s="22"/>
      <c r="S854" s="22"/>
      <c r="T854" s="22"/>
      <c r="U854" s="24" t="str">
        <f>IFERROR(__xludf.DUMMYFUNCTION("SPLIT(E854,""01234567890"")"),"Gregg
")</f>
        <v>Gregg
</v>
      </c>
      <c r="V854" s="24" t="str">
        <f>IFERROR(__xludf.DUMMYFUNCTION("SPLIT(D854,"","")"),"Knaupe")</f>
        <v>Knaupe</v>
      </c>
      <c r="W854" s="25" t="str">
        <f t="shared" si="1"/>
        <v>GREGG
 KNAUPE</v>
      </c>
      <c r="X854" s="22"/>
      <c r="Y854" s="22"/>
      <c r="Z854" s="25" t="str">
        <f>IFERROR(__xludf.DUMMYFUNCTION("SPLIT(C854,""
"")"),"Knaupe, Gregg")</f>
        <v>Knaupe, Gregg</v>
      </c>
      <c r="AA854" s="22" t="str">
        <f>IFERROR(__xludf.DUMMYFUNCTION("""COMPUTED_VALUE"""),"800 Westbrook Dr")</f>
        <v>800 Westbrook Dr</v>
      </c>
      <c r="AB854" s="22" t="str">
        <f>IFERROR(__xludf.DUMMYFUNCTION("""COMPUTED_VALUE"""),"West Lake, TX 78746")</f>
        <v>West Lake, TX 78746</v>
      </c>
      <c r="AC854" s="31" t="s">
        <v>2125</v>
      </c>
      <c r="AD854" s="22"/>
      <c r="AE854" s="22"/>
      <c r="AF854" s="22"/>
      <c r="AG854" s="22" t="s">
        <v>60</v>
      </c>
      <c r="AH854" s="54">
        <v>2481.0</v>
      </c>
      <c r="AI854" s="22" t="s">
        <v>68</v>
      </c>
      <c r="AJ854" s="27">
        <v>1000.0</v>
      </c>
      <c r="AK854" s="31" t="s">
        <v>25</v>
      </c>
      <c r="AL854" s="28">
        <v>44825.0</v>
      </c>
      <c r="AM854" s="29">
        <v>44937.81995370371</v>
      </c>
      <c r="AN854" s="30">
        <v>2.0</v>
      </c>
      <c r="AO854" s="22"/>
      <c r="AP854" s="22"/>
      <c r="AQ854" s="22"/>
      <c r="AR854" s="22"/>
      <c r="AS854" s="22"/>
      <c r="AT854" s="70"/>
      <c r="AU854" s="22"/>
      <c r="AV854" s="57" t="str">
        <f>IFERROR(__xludf.DUMMYFUNCTION("""COMPUTED_VALUE"""),"Forsythe-Lill")</f>
        <v>Forsythe-Lill</v>
      </c>
      <c r="AW854" s="46">
        <f t="shared" si="7"/>
        <v>250</v>
      </c>
      <c r="AX854" s="47">
        <f t="shared" ref="AX854:BQ854" si="2673">SUMIFS($AJ:$AJ,$V:$V,$AV854,$AK:$AK,AX$2)</f>
        <v>0</v>
      </c>
      <c r="AY854" s="48">
        <f t="shared" si="2673"/>
        <v>0</v>
      </c>
      <c r="AZ854" s="48">
        <f t="shared" si="2673"/>
        <v>0</v>
      </c>
      <c r="BA854" s="48">
        <f t="shared" si="2673"/>
        <v>0</v>
      </c>
      <c r="BB854" s="48">
        <f t="shared" si="2673"/>
        <v>0</v>
      </c>
      <c r="BC854" s="48">
        <f t="shared" si="2673"/>
        <v>0</v>
      </c>
      <c r="BD854" s="48">
        <f t="shared" si="2673"/>
        <v>0</v>
      </c>
      <c r="BE854" s="48">
        <f t="shared" si="2673"/>
        <v>0</v>
      </c>
      <c r="BF854" s="48">
        <f t="shared" si="2673"/>
        <v>250</v>
      </c>
      <c r="BG854" s="48">
        <f t="shared" si="2673"/>
        <v>0</v>
      </c>
      <c r="BH854" s="48">
        <f t="shared" si="2673"/>
        <v>0</v>
      </c>
      <c r="BI854" s="48">
        <f t="shared" si="2673"/>
        <v>0</v>
      </c>
      <c r="BJ854" s="48">
        <f t="shared" si="2673"/>
        <v>0</v>
      </c>
      <c r="BK854" s="48">
        <f t="shared" si="2673"/>
        <v>0</v>
      </c>
      <c r="BL854" s="48">
        <f t="shared" si="2673"/>
        <v>0</v>
      </c>
      <c r="BM854" s="48">
        <f t="shared" si="2673"/>
        <v>0</v>
      </c>
      <c r="BN854" s="48">
        <f t="shared" si="2673"/>
        <v>0</v>
      </c>
      <c r="BO854" s="48">
        <f t="shared" si="2673"/>
        <v>0</v>
      </c>
      <c r="BP854" s="48">
        <f t="shared" si="2673"/>
        <v>0</v>
      </c>
      <c r="BQ854" s="48">
        <f t="shared" si="2673"/>
        <v>0</v>
      </c>
      <c r="BR854" s="36">
        <f t="shared" si="9"/>
        <v>0</v>
      </c>
      <c r="BS854" s="38">
        <f t="shared" si="10"/>
        <v>1</v>
      </c>
      <c r="BT854" s="49">
        <f t="shared" si="11"/>
        <v>0</v>
      </c>
      <c r="BU854" s="38">
        <f t="shared" si="12"/>
        <v>1000</v>
      </c>
      <c r="BV854" s="57" t="str">
        <f>IFERROR(__xludf.DUMMYFUNCTION("""COMPUTED_VALUE"""),"Forsythe-Lill")</f>
        <v>Forsythe-Lill</v>
      </c>
      <c r="BW854" s="46">
        <f t="shared" si="13"/>
        <v>250</v>
      </c>
      <c r="BX854" s="47">
        <f t="shared" ref="BX854:CA854" si="2674">AX854-$BU854</f>
        <v>-1000</v>
      </c>
      <c r="BY854" s="47">
        <f t="shared" si="2674"/>
        <v>-1000</v>
      </c>
      <c r="BZ854" s="47">
        <f t="shared" si="2674"/>
        <v>-1000</v>
      </c>
      <c r="CA854" s="47">
        <f t="shared" si="2674"/>
        <v>-1000</v>
      </c>
      <c r="CB854" s="47">
        <f t="shared" si="15"/>
        <v>-10000</v>
      </c>
      <c r="CC854" s="47">
        <f t="shared" ref="CC854:CQ854" si="2675">BC854-$BU854</f>
        <v>-1000</v>
      </c>
      <c r="CD854" s="47">
        <f t="shared" si="2675"/>
        <v>-1000</v>
      </c>
      <c r="CE854" s="47">
        <f t="shared" si="2675"/>
        <v>-1000</v>
      </c>
      <c r="CF854" s="47">
        <f t="shared" si="2675"/>
        <v>-750</v>
      </c>
      <c r="CG854" s="47">
        <f t="shared" si="2675"/>
        <v>-1000</v>
      </c>
      <c r="CH854" s="47">
        <f t="shared" si="2675"/>
        <v>-1000</v>
      </c>
      <c r="CI854" s="47">
        <f t="shared" si="2675"/>
        <v>-1000</v>
      </c>
      <c r="CJ854" s="47">
        <f t="shared" si="2675"/>
        <v>-1000</v>
      </c>
      <c r="CK854" s="47">
        <f t="shared" si="2675"/>
        <v>-1000</v>
      </c>
      <c r="CL854" s="47">
        <f t="shared" si="2675"/>
        <v>-1000</v>
      </c>
      <c r="CM854" s="47">
        <f t="shared" si="2675"/>
        <v>-1000</v>
      </c>
      <c r="CN854" s="47">
        <f t="shared" si="2675"/>
        <v>-1000</v>
      </c>
      <c r="CO854" s="47">
        <f t="shared" si="2675"/>
        <v>-1000</v>
      </c>
      <c r="CP854" s="47">
        <f t="shared" si="2675"/>
        <v>-1000</v>
      </c>
      <c r="CQ854" s="47">
        <f t="shared" si="2675"/>
        <v>-1000</v>
      </c>
      <c r="CR854" s="47"/>
      <c r="CS854" s="47"/>
      <c r="CT854" s="47"/>
      <c r="CU854" s="74"/>
      <c r="CV854" s="74"/>
      <c r="CW854" s="74" t="str">
        <f>IFERROR(__xludf.DUMMYFUNCTION("IF(REGEXMATCH(UPPER(CU854), ""DALLAS""),,CU854)"),"")</f>
        <v/>
      </c>
      <c r="CX854" s="74"/>
      <c r="CY854" s="74"/>
      <c r="CZ854" s="74"/>
      <c r="DA854" s="75"/>
      <c r="DB854" s="74"/>
      <c r="DC854" s="74"/>
      <c r="DD854" s="74"/>
      <c r="DE854" s="74"/>
      <c r="DF854" s="74"/>
      <c r="DG854" s="74"/>
      <c r="DH854" s="74"/>
      <c r="DI854" s="74"/>
      <c r="DJ854" s="74"/>
      <c r="DK854" s="74"/>
      <c r="DL854" s="74"/>
      <c r="DM854" s="74"/>
      <c r="DN854" s="74"/>
      <c r="DO854" s="74"/>
      <c r="DP854" s="74"/>
      <c r="DQ854" s="74"/>
      <c r="DR854" s="74"/>
      <c r="DS854" s="74"/>
      <c r="DT854" s="74"/>
      <c r="DU854" s="74"/>
      <c r="DV854" s="74"/>
      <c r="DW854" s="74"/>
    </row>
    <row r="855">
      <c r="A855" s="40" t="s">
        <v>55</v>
      </c>
      <c r="B855" s="41" t="s">
        <v>56</v>
      </c>
      <c r="C855" s="31" t="s">
        <v>1008</v>
      </c>
      <c r="D855" s="25" t="str">
        <f>IFERROR(__xludf.DUMMYFUNCTION("SPLIT(C855,"" "")"),"Christian,")</f>
        <v>Christian,</v>
      </c>
      <c r="E855" s="40" t="str">
        <f>IFERROR(__xludf.DUMMYFUNCTION("""COMPUTED_VALUE"""),"Jerry
8112")</f>
        <v>Jerry
8112</v>
      </c>
      <c r="F855" s="40" t="str">
        <f>IFERROR(__xludf.DUMMYFUNCTION("""COMPUTED_VALUE"""),"Fox")</f>
        <v>Fox</v>
      </c>
      <c r="G855" s="40" t="str">
        <f>IFERROR(__xludf.DUMMYFUNCTION("""COMPUTED_VALUE"""),"Creek")</f>
        <v>Creek</v>
      </c>
      <c r="H855" s="40" t="str">
        <f>IFERROR(__xludf.DUMMYFUNCTION("""COMPUTED_VALUE"""),"Trail
Dallas,")</f>
        <v>Trail
Dallas,</v>
      </c>
      <c r="I855" s="40" t="str">
        <f>IFERROR(__xludf.DUMMYFUNCTION("""COMPUTED_VALUE"""),"TX")</f>
        <v>TX</v>
      </c>
      <c r="J855" s="40">
        <f>IFERROR(__xludf.DUMMYFUNCTION("""COMPUTED_VALUE"""),75249.0)</f>
        <v>75249</v>
      </c>
      <c r="K855" s="40"/>
      <c r="L855" s="40"/>
      <c r="M855" s="40"/>
      <c r="N855" s="40"/>
      <c r="O855" s="40"/>
      <c r="P855" s="40"/>
      <c r="Q855" s="40"/>
      <c r="R855" s="40"/>
      <c r="S855" s="40"/>
      <c r="T855" s="40"/>
      <c r="U855" s="24" t="str">
        <f>IFERROR(__xludf.DUMMYFUNCTION("SPLIT(E855,""01234567890"")"),"Jerry
")</f>
        <v>Jerry
</v>
      </c>
      <c r="V855" s="24" t="str">
        <f>IFERROR(__xludf.DUMMYFUNCTION("SPLIT(D855,"","")"),"Christian")</f>
        <v>Christian</v>
      </c>
      <c r="W855" s="25" t="str">
        <f t="shared" si="1"/>
        <v>JERRY
 CHRISTIAN</v>
      </c>
      <c r="X855" s="40"/>
      <c r="Y855" s="40"/>
      <c r="Z855" s="25" t="str">
        <f>IFERROR(__xludf.DUMMYFUNCTION("SPLIT(C855,""
"")"),"Christian, Jerry")</f>
        <v>Christian, Jerry</v>
      </c>
      <c r="AA855" s="40" t="str">
        <f>IFERROR(__xludf.DUMMYFUNCTION("""COMPUTED_VALUE"""),"8112 Fox Creek Trail")</f>
        <v>8112 Fox Creek Trail</v>
      </c>
      <c r="AB855" s="40" t="str">
        <f>IFERROR(__xludf.DUMMYFUNCTION("""COMPUTED_VALUE"""),"Dallas, TX 75249")</f>
        <v>Dallas, TX 75249</v>
      </c>
      <c r="AC855" s="31" t="s">
        <v>1010</v>
      </c>
      <c r="AD855" s="40"/>
      <c r="AE855" s="40"/>
      <c r="AF855" s="40"/>
      <c r="AG855" s="40" t="s">
        <v>60</v>
      </c>
      <c r="AH855" s="42">
        <v>2481.0</v>
      </c>
      <c r="AI855" s="40" t="s">
        <v>68</v>
      </c>
      <c r="AJ855" s="27">
        <v>100.0</v>
      </c>
      <c r="AK855" s="31" t="s">
        <v>25</v>
      </c>
      <c r="AL855" s="43">
        <v>44825.0</v>
      </c>
      <c r="AM855" s="44">
        <v>44937.81995370371</v>
      </c>
      <c r="AN855" s="30">
        <v>2.0</v>
      </c>
      <c r="AO855" s="40"/>
      <c r="AP855" s="40"/>
      <c r="AQ855" s="40"/>
      <c r="AR855" s="40"/>
      <c r="AS855" s="40"/>
      <c r="AT855" s="47"/>
      <c r="AU855" s="40"/>
      <c r="AV855" s="46" t="str">
        <f>IFERROR(__xludf.DUMMYFUNCTION("""COMPUTED_VALUE"""),"Watson")</f>
        <v>Watson</v>
      </c>
      <c r="AW855" s="46">
        <f t="shared" si="7"/>
        <v>50</v>
      </c>
      <c r="AX855" s="47">
        <f t="shared" ref="AX855:BQ855" si="2676">SUMIFS($AJ:$AJ,$V:$V,$AV855,$AK:$AK,AX$2)</f>
        <v>0</v>
      </c>
      <c r="AY855" s="48">
        <f t="shared" si="2676"/>
        <v>0</v>
      </c>
      <c r="AZ855" s="48">
        <f t="shared" si="2676"/>
        <v>0</v>
      </c>
      <c r="BA855" s="48">
        <f t="shared" si="2676"/>
        <v>0</v>
      </c>
      <c r="BB855" s="48">
        <f t="shared" si="2676"/>
        <v>0</v>
      </c>
      <c r="BC855" s="48">
        <f t="shared" si="2676"/>
        <v>0</v>
      </c>
      <c r="BD855" s="48">
        <f t="shared" si="2676"/>
        <v>0</v>
      </c>
      <c r="BE855" s="48">
        <f t="shared" si="2676"/>
        <v>0</v>
      </c>
      <c r="BF855" s="48">
        <f t="shared" si="2676"/>
        <v>50</v>
      </c>
      <c r="BG855" s="48">
        <f t="shared" si="2676"/>
        <v>0</v>
      </c>
      <c r="BH855" s="48">
        <f t="shared" si="2676"/>
        <v>0</v>
      </c>
      <c r="BI855" s="48">
        <f t="shared" si="2676"/>
        <v>0</v>
      </c>
      <c r="BJ855" s="48">
        <f t="shared" si="2676"/>
        <v>0</v>
      </c>
      <c r="BK855" s="48">
        <f t="shared" si="2676"/>
        <v>0</v>
      </c>
      <c r="BL855" s="48">
        <f t="shared" si="2676"/>
        <v>0</v>
      </c>
      <c r="BM855" s="48">
        <f t="shared" si="2676"/>
        <v>0</v>
      </c>
      <c r="BN855" s="48">
        <f t="shared" si="2676"/>
        <v>0</v>
      </c>
      <c r="BO855" s="48">
        <f t="shared" si="2676"/>
        <v>0</v>
      </c>
      <c r="BP855" s="48">
        <f t="shared" si="2676"/>
        <v>0</v>
      </c>
      <c r="BQ855" s="48">
        <f t="shared" si="2676"/>
        <v>0</v>
      </c>
      <c r="BR855" s="36">
        <f t="shared" si="9"/>
        <v>0</v>
      </c>
      <c r="BS855" s="38">
        <f t="shared" si="10"/>
        <v>1</v>
      </c>
      <c r="BT855" s="49">
        <f t="shared" si="11"/>
        <v>0</v>
      </c>
      <c r="BU855" s="38">
        <f t="shared" si="12"/>
        <v>1000</v>
      </c>
      <c r="BV855" s="46" t="str">
        <f>IFERROR(__xludf.DUMMYFUNCTION("""COMPUTED_VALUE"""),"Watson")</f>
        <v>Watson</v>
      </c>
      <c r="BW855" s="46">
        <f t="shared" si="13"/>
        <v>50</v>
      </c>
      <c r="BX855" s="47">
        <f t="shared" ref="BX855:CA855" si="2677">AX855-$BU855</f>
        <v>-1000</v>
      </c>
      <c r="BY855" s="47">
        <f t="shared" si="2677"/>
        <v>-1000</v>
      </c>
      <c r="BZ855" s="47">
        <f t="shared" si="2677"/>
        <v>-1000</v>
      </c>
      <c r="CA855" s="47">
        <f t="shared" si="2677"/>
        <v>-1000</v>
      </c>
      <c r="CB855" s="47">
        <f t="shared" si="15"/>
        <v>-10000</v>
      </c>
      <c r="CC855" s="47">
        <f t="shared" ref="CC855:CQ855" si="2678">BC855-$BU855</f>
        <v>-1000</v>
      </c>
      <c r="CD855" s="47">
        <f t="shared" si="2678"/>
        <v>-1000</v>
      </c>
      <c r="CE855" s="47">
        <f t="shared" si="2678"/>
        <v>-1000</v>
      </c>
      <c r="CF855" s="47">
        <f t="shared" si="2678"/>
        <v>-950</v>
      </c>
      <c r="CG855" s="47">
        <f t="shared" si="2678"/>
        <v>-1000</v>
      </c>
      <c r="CH855" s="47">
        <f t="shared" si="2678"/>
        <v>-1000</v>
      </c>
      <c r="CI855" s="47">
        <f t="shared" si="2678"/>
        <v>-1000</v>
      </c>
      <c r="CJ855" s="47">
        <f t="shared" si="2678"/>
        <v>-1000</v>
      </c>
      <c r="CK855" s="47">
        <f t="shared" si="2678"/>
        <v>-1000</v>
      </c>
      <c r="CL855" s="47">
        <f t="shared" si="2678"/>
        <v>-1000</v>
      </c>
      <c r="CM855" s="47">
        <f t="shared" si="2678"/>
        <v>-1000</v>
      </c>
      <c r="CN855" s="47">
        <f t="shared" si="2678"/>
        <v>-1000</v>
      </c>
      <c r="CO855" s="47">
        <f t="shared" si="2678"/>
        <v>-1000</v>
      </c>
      <c r="CP855" s="47">
        <f t="shared" si="2678"/>
        <v>-1000</v>
      </c>
      <c r="CQ855" s="47">
        <f t="shared" si="2678"/>
        <v>-1000</v>
      </c>
      <c r="CR855" s="47"/>
      <c r="CS855" s="47"/>
      <c r="CT855" s="47"/>
      <c r="CU855" s="74"/>
      <c r="CV855" s="74"/>
      <c r="CW855" s="74" t="str">
        <f>IFERROR(__xludf.DUMMYFUNCTION("IF(REGEXMATCH(UPPER(CU855), ""DALLAS""),,CU855)"),"")</f>
        <v/>
      </c>
      <c r="CX855" s="74"/>
      <c r="CY855" s="74"/>
      <c r="CZ855" s="74"/>
      <c r="DA855" s="75"/>
      <c r="DB855" s="74"/>
      <c r="DC855" s="74"/>
      <c r="DD855" s="74"/>
      <c r="DE855" s="74"/>
      <c r="DF855" s="74"/>
      <c r="DG855" s="74"/>
      <c r="DH855" s="74"/>
      <c r="DI855" s="74"/>
      <c r="DJ855" s="74"/>
      <c r="DK855" s="74"/>
      <c r="DL855" s="74"/>
      <c r="DM855" s="74"/>
      <c r="DN855" s="74"/>
      <c r="DO855" s="74"/>
      <c r="DP855" s="74"/>
      <c r="DQ855" s="74"/>
      <c r="DR855" s="74"/>
      <c r="DS855" s="74"/>
      <c r="DT855" s="74"/>
      <c r="DU855" s="74"/>
      <c r="DV855" s="74"/>
      <c r="DW855" s="74"/>
    </row>
    <row r="856">
      <c r="A856" s="22" t="s">
        <v>55</v>
      </c>
      <c r="B856" s="23" t="s">
        <v>56</v>
      </c>
      <c r="C856" s="31" t="s">
        <v>2126</v>
      </c>
      <c r="D856" s="25" t="str">
        <f>IFERROR(__xludf.DUMMYFUNCTION("SPLIT(C856,"" "")"),"Wynne,")</f>
        <v>Wynne,</v>
      </c>
      <c r="E856" s="22" t="str">
        <f>IFERROR(__xludf.DUMMYFUNCTION("""COMPUTED_VALUE"""),"Katherine
342")</f>
        <v>Katherine
342</v>
      </c>
      <c r="F856" s="22" t="str">
        <f>IFERROR(__xludf.DUMMYFUNCTION("""COMPUTED_VALUE"""),"N")</f>
        <v>N</v>
      </c>
      <c r="G856" s="22" t="str">
        <f>IFERROR(__xludf.DUMMYFUNCTION("""COMPUTED_VALUE"""),"Manus")</f>
        <v>Manus</v>
      </c>
      <c r="H856" s="22" t="str">
        <f>IFERROR(__xludf.DUMMYFUNCTION("""COMPUTED_VALUE"""),"Dr
Dallas,")</f>
        <v>Dr
Dallas,</v>
      </c>
      <c r="I856" s="22" t="str">
        <f>IFERROR(__xludf.DUMMYFUNCTION("""COMPUTED_VALUE"""),"TX")</f>
        <v>TX</v>
      </c>
      <c r="J856" s="22">
        <f>IFERROR(__xludf.DUMMYFUNCTION("""COMPUTED_VALUE"""),75224.0)</f>
        <v>75224</v>
      </c>
      <c r="K856" s="22"/>
      <c r="L856" s="22"/>
      <c r="M856" s="22"/>
      <c r="N856" s="22"/>
      <c r="O856" s="22"/>
      <c r="P856" s="22"/>
      <c r="Q856" s="22"/>
      <c r="R856" s="22"/>
      <c r="S856" s="22"/>
      <c r="T856" s="22"/>
      <c r="U856" s="24" t="str">
        <f>IFERROR(__xludf.DUMMYFUNCTION("SPLIT(E856,""01234567890"")"),"Katherine
")</f>
        <v>Katherine
</v>
      </c>
      <c r="V856" s="24" t="str">
        <f>IFERROR(__xludf.DUMMYFUNCTION("SPLIT(D856,"","")"),"Wynne")</f>
        <v>Wynne</v>
      </c>
      <c r="W856" s="25" t="str">
        <f t="shared" si="1"/>
        <v>KATHERINE
 WYNNE</v>
      </c>
      <c r="X856" s="22"/>
      <c r="Y856" s="22"/>
      <c r="Z856" s="25" t="str">
        <f>IFERROR(__xludf.DUMMYFUNCTION("SPLIT(C856,""
"")"),"Wynne, Katherine")</f>
        <v>Wynne, Katherine</v>
      </c>
      <c r="AA856" s="22" t="str">
        <f>IFERROR(__xludf.DUMMYFUNCTION("""COMPUTED_VALUE"""),"342 N Manus Dr")</f>
        <v>342 N Manus Dr</v>
      </c>
      <c r="AB856" s="22" t="str">
        <f>IFERROR(__xludf.DUMMYFUNCTION("""COMPUTED_VALUE"""),"Dallas, TX 75224")</f>
        <v>Dallas, TX 75224</v>
      </c>
      <c r="AC856" s="31" t="s">
        <v>2127</v>
      </c>
      <c r="AD856" s="22"/>
      <c r="AE856" s="22"/>
      <c r="AF856" s="22"/>
      <c r="AG856" s="22" t="s">
        <v>60</v>
      </c>
      <c r="AH856" s="54">
        <v>2481.0</v>
      </c>
      <c r="AI856" s="22" t="s">
        <v>68</v>
      </c>
      <c r="AJ856" s="27">
        <v>100.0</v>
      </c>
      <c r="AK856" s="31" t="s">
        <v>25</v>
      </c>
      <c r="AL856" s="28">
        <v>44825.0</v>
      </c>
      <c r="AM856" s="29">
        <v>44937.81995370371</v>
      </c>
      <c r="AN856" s="30">
        <v>2.0</v>
      </c>
      <c r="AO856" s="22"/>
      <c r="AP856" s="22"/>
      <c r="AQ856" s="22"/>
      <c r="AR856" s="22"/>
      <c r="AS856" s="22"/>
      <c r="AT856" s="70"/>
      <c r="AU856" s="22"/>
      <c r="AV856" s="57" t="str">
        <f>IFERROR(__xludf.DUMMYFUNCTION("""COMPUTED_VALUE"""),"Conwright")</f>
        <v>Conwright</v>
      </c>
      <c r="AW856" s="46">
        <f t="shared" si="7"/>
        <v>100</v>
      </c>
      <c r="AX856" s="47">
        <f t="shared" ref="AX856:BQ856" si="2679">SUMIFS($AJ:$AJ,$V:$V,$AV856,$AK:$AK,AX$2)</f>
        <v>0</v>
      </c>
      <c r="AY856" s="48">
        <f t="shared" si="2679"/>
        <v>0</v>
      </c>
      <c r="AZ856" s="48">
        <f t="shared" si="2679"/>
        <v>0</v>
      </c>
      <c r="BA856" s="48">
        <f t="shared" si="2679"/>
        <v>0</v>
      </c>
      <c r="BB856" s="48">
        <f t="shared" si="2679"/>
        <v>0</v>
      </c>
      <c r="BC856" s="48">
        <f t="shared" si="2679"/>
        <v>0</v>
      </c>
      <c r="BD856" s="48">
        <f t="shared" si="2679"/>
        <v>0</v>
      </c>
      <c r="BE856" s="48">
        <f t="shared" si="2679"/>
        <v>0</v>
      </c>
      <c r="BF856" s="48">
        <f t="shared" si="2679"/>
        <v>100</v>
      </c>
      <c r="BG856" s="48">
        <f t="shared" si="2679"/>
        <v>0</v>
      </c>
      <c r="BH856" s="48">
        <f t="shared" si="2679"/>
        <v>0</v>
      </c>
      <c r="BI856" s="48">
        <f t="shared" si="2679"/>
        <v>0</v>
      </c>
      <c r="BJ856" s="48">
        <f t="shared" si="2679"/>
        <v>0</v>
      </c>
      <c r="BK856" s="48">
        <f t="shared" si="2679"/>
        <v>0</v>
      </c>
      <c r="BL856" s="48">
        <f t="shared" si="2679"/>
        <v>0</v>
      </c>
      <c r="BM856" s="48">
        <f t="shared" si="2679"/>
        <v>0</v>
      </c>
      <c r="BN856" s="48">
        <f t="shared" si="2679"/>
        <v>0</v>
      </c>
      <c r="BO856" s="48">
        <f t="shared" si="2679"/>
        <v>0</v>
      </c>
      <c r="BP856" s="48">
        <f t="shared" si="2679"/>
        <v>0</v>
      </c>
      <c r="BQ856" s="48">
        <f t="shared" si="2679"/>
        <v>0</v>
      </c>
      <c r="BR856" s="36">
        <f t="shared" si="9"/>
        <v>0</v>
      </c>
      <c r="BS856" s="38">
        <f t="shared" si="10"/>
        <v>1</v>
      </c>
      <c r="BT856" s="49">
        <f t="shared" si="11"/>
        <v>0</v>
      </c>
      <c r="BU856" s="38">
        <f t="shared" si="12"/>
        <v>1000</v>
      </c>
      <c r="BV856" s="57" t="str">
        <f>IFERROR(__xludf.DUMMYFUNCTION("""COMPUTED_VALUE"""),"Conwright")</f>
        <v>Conwright</v>
      </c>
      <c r="BW856" s="46">
        <f t="shared" si="13"/>
        <v>100</v>
      </c>
      <c r="BX856" s="47">
        <f t="shared" ref="BX856:CA856" si="2680">AX856-$BU856</f>
        <v>-1000</v>
      </c>
      <c r="BY856" s="47">
        <f t="shared" si="2680"/>
        <v>-1000</v>
      </c>
      <c r="BZ856" s="47">
        <f t="shared" si="2680"/>
        <v>-1000</v>
      </c>
      <c r="CA856" s="47">
        <f t="shared" si="2680"/>
        <v>-1000</v>
      </c>
      <c r="CB856" s="47">
        <f t="shared" si="15"/>
        <v>-10000</v>
      </c>
      <c r="CC856" s="47">
        <f t="shared" ref="CC856:CQ856" si="2681">BC856-$BU856</f>
        <v>-1000</v>
      </c>
      <c r="CD856" s="47">
        <f t="shared" si="2681"/>
        <v>-1000</v>
      </c>
      <c r="CE856" s="47">
        <f t="shared" si="2681"/>
        <v>-1000</v>
      </c>
      <c r="CF856" s="47">
        <f t="shared" si="2681"/>
        <v>-900</v>
      </c>
      <c r="CG856" s="47">
        <f t="shared" si="2681"/>
        <v>-1000</v>
      </c>
      <c r="CH856" s="47">
        <f t="shared" si="2681"/>
        <v>-1000</v>
      </c>
      <c r="CI856" s="47">
        <f t="shared" si="2681"/>
        <v>-1000</v>
      </c>
      <c r="CJ856" s="47">
        <f t="shared" si="2681"/>
        <v>-1000</v>
      </c>
      <c r="CK856" s="47">
        <f t="shared" si="2681"/>
        <v>-1000</v>
      </c>
      <c r="CL856" s="47">
        <f t="shared" si="2681"/>
        <v>-1000</v>
      </c>
      <c r="CM856" s="47">
        <f t="shared" si="2681"/>
        <v>-1000</v>
      </c>
      <c r="CN856" s="47">
        <f t="shared" si="2681"/>
        <v>-1000</v>
      </c>
      <c r="CO856" s="47">
        <f t="shared" si="2681"/>
        <v>-1000</v>
      </c>
      <c r="CP856" s="47">
        <f t="shared" si="2681"/>
        <v>-1000</v>
      </c>
      <c r="CQ856" s="47">
        <f t="shared" si="2681"/>
        <v>-1000</v>
      </c>
      <c r="CR856" s="47"/>
      <c r="CS856" s="47"/>
      <c r="CT856" s="47"/>
      <c r="CU856" s="74"/>
      <c r="CV856" s="74"/>
      <c r="CW856" s="74" t="str">
        <f>IFERROR(__xludf.DUMMYFUNCTION("IF(REGEXMATCH(UPPER(CU856), ""DALLAS""),,CU856)"),"")</f>
        <v/>
      </c>
      <c r="CX856" s="74"/>
      <c r="CY856" s="74"/>
      <c r="CZ856" s="74"/>
      <c r="DA856" s="75"/>
      <c r="DB856" s="74"/>
      <c r="DC856" s="74"/>
      <c r="DD856" s="74"/>
      <c r="DE856" s="74"/>
      <c r="DF856" s="74"/>
      <c r="DG856" s="74"/>
      <c r="DH856" s="74"/>
      <c r="DI856" s="74"/>
      <c r="DJ856" s="74"/>
      <c r="DK856" s="74"/>
      <c r="DL856" s="74"/>
      <c r="DM856" s="74"/>
      <c r="DN856" s="74"/>
      <c r="DO856" s="74"/>
      <c r="DP856" s="74"/>
      <c r="DQ856" s="74"/>
      <c r="DR856" s="74"/>
      <c r="DS856" s="74"/>
      <c r="DT856" s="74"/>
      <c r="DU856" s="74"/>
      <c r="DV856" s="74"/>
      <c r="DW856" s="74"/>
    </row>
    <row r="857">
      <c r="A857" s="40" t="s">
        <v>55</v>
      </c>
      <c r="B857" s="41" t="s">
        <v>56</v>
      </c>
      <c r="C857" s="31" t="s">
        <v>2128</v>
      </c>
      <c r="D857" s="25" t="str">
        <f>IFERROR(__xludf.DUMMYFUNCTION("SPLIT(C857,"" "")"),"Gump,")</f>
        <v>Gump,</v>
      </c>
      <c r="E857" s="40" t="str">
        <f>IFERROR(__xludf.DUMMYFUNCTION("""COMPUTED_VALUE"""),"Richard
6015")</f>
        <v>Richard
6015</v>
      </c>
      <c r="F857" s="40" t="str">
        <f>IFERROR(__xludf.DUMMYFUNCTION("""COMPUTED_VALUE"""),"Oakcrest")</f>
        <v>Oakcrest</v>
      </c>
      <c r="G857" s="40" t="str">
        <f>IFERROR(__xludf.DUMMYFUNCTION("""COMPUTED_VALUE"""),"Road
Dallas,")</f>
        <v>Road
Dallas,</v>
      </c>
      <c r="H857" s="40" t="str">
        <f>IFERROR(__xludf.DUMMYFUNCTION("""COMPUTED_VALUE"""),"TX")</f>
        <v>TX</v>
      </c>
      <c r="I857" s="40">
        <f>IFERROR(__xludf.DUMMYFUNCTION("""COMPUTED_VALUE"""),75248.0)</f>
        <v>75248</v>
      </c>
      <c r="J857" s="40"/>
      <c r="K857" s="40"/>
      <c r="L857" s="40"/>
      <c r="M857" s="40"/>
      <c r="N857" s="40"/>
      <c r="O857" s="40"/>
      <c r="P857" s="40"/>
      <c r="Q857" s="40"/>
      <c r="R857" s="40"/>
      <c r="S857" s="40"/>
      <c r="T857" s="40"/>
      <c r="U857" s="24" t="str">
        <f>IFERROR(__xludf.DUMMYFUNCTION("SPLIT(E857,""01234567890"")"),"Richard
")</f>
        <v>Richard
</v>
      </c>
      <c r="V857" s="24" t="str">
        <f>IFERROR(__xludf.DUMMYFUNCTION("SPLIT(D857,"","")"),"Gump")</f>
        <v>Gump</v>
      </c>
      <c r="W857" s="25" t="str">
        <f t="shared" si="1"/>
        <v>RICHARD
 GUMP</v>
      </c>
      <c r="X857" s="40"/>
      <c r="Y857" s="40"/>
      <c r="Z857" s="25" t="str">
        <f>IFERROR(__xludf.DUMMYFUNCTION("SPLIT(C857,""
"")"),"Gump, Richard")</f>
        <v>Gump, Richard</v>
      </c>
      <c r="AA857" s="40" t="str">
        <f>IFERROR(__xludf.DUMMYFUNCTION("""COMPUTED_VALUE"""),"6015 Oakcrest Road")</f>
        <v>6015 Oakcrest Road</v>
      </c>
      <c r="AB857" s="40" t="str">
        <f>IFERROR(__xludf.DUMMYFUNCTION("""COMPUTED_VALUE"""),"Dallas, TX 75248")</f>
        <v>Dallas, TX 75248</v>
      </c>
      <c r="AC857" s="31" t="s">
        <v>2129</v>
      </c>
      <c r="AD857" s="40"/>
      <c r="AE857" s="40"/>
      <c r="AF857" s="40"/>
      <c r="AG857" s="40" t="s">
        <v>60</v>
      </c>
      <c r="AH857" s="42">
        <v>2481.0</v>
      </c>
      <c r="AI857" s="40" t="s">
        <v>68</v>
      </c>
      <c r="AJ857" s="27">
        <v>100.0</v>
      </c>
      <c r="AK857" s="31" t="s">
        <v>25</v>
      </c>
      <c r="AL857" s="43">
        <v>44825.0</v>
      </c>
      <c r="AM857" s="44">
        <v>44937.81995370371</v>
      </c>
      <c r="AN857" s="30">
        <v>2.0</v>
      </c>
      <c r="AO857" s="40"/>
      <c r="AP857" s="40"/>
      <c r="AQ857" s="40"/>
      <c r="AR857" s="40"/>
      <c r="AS857" s="40"/>
      <c r="AT857" s="47"/>
      <c r="AU857" s="40"/>
      <c r="AV857" s="46" t="str">
        <f>IFERROR(__xludf.DUMMYFUNCTION("""COMPUTED_VALUE"""),"Hanson")</f>
        <v>Hanson</v>
      </c>
      <c r="AW857" s="46">
        <f t="shared" si="7"/>
        <v>100</v>
      </c>
      <c r="AX857" s="47">
        <f t="shared" ref="AX857:BQ857" si="2682">SUMIFS($AJ:$AJ,$V:$V,$AV857,$AK:$AK,AX$2)</f>
        <v>0</v>
      </c>
      <c r="AY857" s="48">
        <f t="shared" si="2682"/>
        <v>0</v>
      </c>
      <c r="AZ857" s="48">
        <f t="shared" si="2682"/>
        <v>0</v>
      </c>
      <c r="BA857" s="48">
        <f t="shared" si="2682"/>
        <v>0</v>
      </c>
      <c r="BB857" s="48">
        <f t="shared" si="2682"/>
        <v>0</v>
      </c>
      <c r="BC857" s="48">
        <f t="shared" si="2682"/>
        <v>0</v>
      </c>
      <c r="BD857" s="48">
        <f t="shared" si="2682"/>
        <v>0</v>
      </c>
      <c r="BE857" s="48">
        <f t="shared" si="2682"/>
        <v>0</v>
      </c>
      <c r="BF857" s="48">
        <f t="shared" si="2682"/>
        <v>100</v>
      </c>
      <c r="BG857" s="48">
        <f t="shared" si="2682"/>
        <v>0</v>
      </c>
      <c r="BH857" s="48">
        <f t="shared" si="2682"/>
        <v>0</v>
      </c>
      <c r="BI857" s="48">
        <f t="shared" si="2682"/>
        <v>0</v>
      </c>
      <c r="BJ857" s="48">
        <f t="shared" si="2682"/>
        <v>0</v>
      </c>
      <c r="BK857" s="48">
        <f t="shared" si="2682"/>
        <v>0</v>
      </c>
      <c r="BL857" s="48">
        <f t="shared" si="2682"/>
        <v>0</v>
      </c>
      <c r="BM857" s="48">
        <f t="shared" si="2682"/>
        <v>0</v>
      </c>
      <c r="BN857" s="48">
        <f t="shared" si="2682"/>
        <v>0</v>
      </c>
      <c r="BO857" s="48">
        <f t="shared" si="2682"/>
        <v>0</v>
      </c>
      <c r="BP857" s="48">
        <f t="shared" si="2682"/>
        <v>0</v>
      </c>
      <c r="BQ857" s="48">
        <f t="shared" si="2682"/>
        <v>0</v>
      </c>
      <c r="BR857" s="36">
        <f t="shared" si="9"/>
        <v>0</v>
      </c>
      <c r="BS857" s="38">
        <f t="shared" si="10"/>
        <v>1</v>
      </c>
      <c r="BT857" s="49">
        <f t="shared" si="11"/>
        <v>0</v>
      </c>
      <c r="BU857" s="38">
        <f t="shared" si="12"/>
        <v>1000</v>
      </c>
      <c r="BV857" s="46" t="str">
        <f>IFERROR(__xludf.DUMMYFUNCTION("""COMPUTED_VALUE"""),"Hanson")</f>
        <v>Hanson</v>
      </c>
      <c r="BW857" s="46">
        <f t="shared" si="13"/>
        <v>100</v>
      </c>
      <c r="BX857" s="47">
        <f t="shared" ref="BX857:CA857" si="2683">AX857-$BU857</f>
        <v>-1000</v>
      </c>
      <c r="BY857" s="47">
        <f t="shared" si="2683"/>
        <v>-1000</v>
      </c>
      <c r="BZ857" s="47">
        <f t="shared" si="2683"/>
        <v>-1000</v>
      </c>
      <c r="CA857" s="47">
        <f t="shared" si="2683"/>
        <v>-1000</v>
      </c>
      <c r="CB857" s="47">
        <f t="shared" si="15"/>
        <v>-10000</v>
      </c>
      <c r="CC857" s="47">
        <f t="shared" ref="CC857:CQ857" si="2684">BC857-$BU857</f>
        <v>-1000</v>
      </c>
      <c r="CD857" s="47">
        <f t="shared" si="2684"/>
        <v>-1000</v>
      </c>
      <c r="CE857" s="47">
        <f t="shared" si="2684"/>
        <v>-1000</v>
      </c>
      <c r="CF857" s="47">
        <f t="shared" si="2684"/>
        <v>-900</v>
      </c>
      <c r="CG857" s="47">
        <f t="shared" si="2684"/>
        <v>-1000</v>
      </c>
      <c r="CH857" s="47">
        <f t="shared" si="2684"/>
        <v>-1000</v>
      </c>
      <c r="CI857" s="47">
        <f t="shared" si="2684"/>
        <v>-1000</v>
      </c>
      <c r="CJ857" s="47">
        <f t="shared" si="2684"/>
        <v>-1000</v>
      </c>
      <c r="CK857" s="47">
        <f t="shared" si="2684"/>
        <v>-1000</v>
      </c>
      <c r="CL857" s="47">
        <f t="shared" si="2684"/>
        <v>-1000</v>
      </c>
      <c r="CM857" s="47">
        <f t="shared" si="2684"/>
        <v>-1000</v>
      </c>
      <c r="CN857" s="47">
        <f t="shared" si="2684"/>
        <v>-1000</v>
      </c>
      <c r="CO857" s="47">
        <f t="shared" si="2684"/>
        <v>-1000</v>
      </c>
      <c r="CP857" s="47">
        <f t="shared" si="2684"/>
        <v>-1000</v>
      </c>
      <c r="CQ857" s="47">
        <f t="shared" si="2684"/>
        <v>-1000</v>
      </c>
      <c r="CR857" s="47"/>
      <c r="CS857" s="47"/>
      <c r="CT857" s="47"/>
      <c r="CU857" s="74"/>
      <c r="CV857" s="74"/>
      <c r="CW857" s="74" t="str">
        <f>IFERROR(__xludf.DUMMYFUNCTION("IF(REGEXMATCH(UPPER(CU857), ""DALLAS""),,CU857)"),"")</f>
        <v/>
      </c>
      <c r="CX857" s="74"/>
      <c r="CY857" s="74"/>
      <c r="CZ857" s="74"/>
      <c r="DA857" s="75"/>
      <c r="DB857" s="74"/>
      <c r="DC857" s="74"/>
      <c r="DD857" s="74"/>
      <c r="DE857" s="74"/>
      <c r="DF857" s="74"/>
      <c r="DG857" s="74"/>
      <c r="DH857" s="74"/>
      <c r="DI857" s="74"/>
      <c r="DJ857" s="74"/>
      <c r="DK857" s="74"/>
      <c r="DL857" s="74"/>
      <c r="DM857" s="74"/>
      <c r="DN857" s="74"/>
      <c r="DO857" s="74"/>
      <c r="DP857" s="74"/>
      <c r="DQ857" s="74"/>
      <c r="DR857" s="74"/>
      <c r="DS857" s="74"/>
      <c r="DT857" s="74"/>
      <c r="DU857" s="74"/>
      <c r="DV857" s="74"/>
      <c r="DW857" s="74"/>
    </row>
    <row r="858">
      <c r="A858" s="22" t="s">
        <v>55</v>
      </c>
      <c r="B858" s="23" t="s">
        <v>56</v>
      </c>
      <c r="C858" s="31" t="s">
        <v>2130</v>
      </c>
      <c r="D858" s="25" t="str">
        <f>IFERROR(__xludf.DUMMYFUNCTION("SPLIT(C858,"" "")"),"Koch,")</f>
        <v>Koch,</v>
      </c>
      <c r="E858" s="22" t="str">
        <f>IFERROR(__xludf.DUMMYFUNCTION("""COMPUTED_VALUE"""),"Justin
12132")</f>
        <v>Justin
12132</v>
      </c>
      <c r="F858" s="22" t="str">
        <f>IFERROR(__xludf.DUMMYFUNCTION("""COMPUTED_VALUE"""),"Fieldwood")</f>
        <v>Fieldwood</v>
      </c>
      <c r="G858" s="22" t="str">
        <f>IFERROR(__xludf.DUMMYFUNCTION("""COMPUTED_VALUE"""),"Lane
Dallas,")</f>
        <v>Lane
Dallas,</v>
      </c>
      <c r="H858" s="22" t="str">
        <f>IFERROR(__xludf.DUMMYFUNCTION("""COMPUTED_VALUE"""),"TX")</f>
        <v>TX</v>
      </c>
      <c r="I858" s="22">
        <f>IFERROR(__xludf.DUMMYFUNCTION("""COMPUTED_VALUE"""),75244.0)</f>
        <v>75244</v>
      </c>
      <c r="J858" s="22"/>
      <c r="K858" s="22"/>
      <c r="L858" s="22"/>
      <c r="M858" s="22"/>
      <c r="N858" s="22"/>
      <c r="O858" s="22"/>
      <c r="P858" s="22"/>
      <c r="Q858" s="22"/>
      <c r="R858" s="22"/>
      <c r="S858" s="22"/>
      <c r="T858" s="22"/>
      <c r="U858" s="24" t="str">
        <f>IFERROR(__xludf.DUMMYFUNCTION("SPLIT(E858,""01234567890"")"),"Justin
")</f>
        <v>Justin
</v>
      </c>
      <c r="V858" s="24" t="str">
        <f>IFERROR(__xludf.DUMMYFUNCTION("SPLIT(D858,"","")"),"Koch")</f>
        <v>Koch</v>
      </c>
      <c r="W858" s="25" t="str">
        <f t="shared" si="1"/>
        <v>JUSTIN
 KOCH</v>
      </c>
      <c r="X858" s="22"/>
      <c r="Y858" s="22"/>
      <c r="Z858" s="25" t="str">
        <f>IFERROR(__xludf.DUMMYFUNCTION("SPLIT(C858,""
"")"),"Koch, Justin")</f>
        <v>Koch, Justin</v>
      </c>
      <c r="AA858" s="22" t="str">
        <f>IFERROR(__xludf.DUMMYFUNCTION("""COMPUTED_VALUE"""),"12132 Fieldwood Lane")</f>
        <v>12132 Fieldwood Lane</v>
      </c>
      <c r="AB858" s="22" t="str">
        <f>IFERROR(__xludf.DUMMYFUNCTION("""COMPUTED_VALUE"""),"Dallas, TX 75244")</f>
        <v>Dallas, TX 75244</v>
      </c>
      <c r="AC858" s="31" t="s">
        <v>2131</v>
      </c>
      <c r="AD858" s="22"/>
      <c r="AE858" s="22"/>
      <c r="AF858" s="22"/>
      <c r="AG858" s="22" t="s">
        <v>60</v>
      </c>
      <c r="AH858" s="54">
        <v>2481.0</v>
      </c>
      <c r="AI858" s="22" t="s">
        <v>68</v>
      </c>
      <c r="AJ858" s="27">
        <v>100.0</v>
      </c>
      <c r="AK858" s="31" t="s">
        <v>25</v>
      </c>
      <c r="AL858" s="28">
        <v>44825.0</v>
      </c>
      <c r="AM858" s="29">
        <v>44937.81995370371</v>
      </c>
      <c r="AN858" s="30">
        <v>2.0</v>
      </c>
      <c r="AO858" s="22"/>
      <c r="AP858" s="22"/>
      <c r="AQ858" s="22"/>
      <c r="AR858" s="22"/>
      <c r="AS858" s="22"/>
      <c r="AT858" s="70"/>
      <c r="AU858" s="22"/>
      <c r="AV858" s="57" t="str">
        <f>IFERROR(__xludf.DUMMYFUNCTION("""COMPUTED_VALUE"""),"Etheridge")</f>
        <v>Etheridge</v>
      </c>
      <c r="AW858" s="46">
        <f t="shared" si="7"/>
        <v>1000</v>
      </c>
      <c r="AX858" s="47">
        <f t="shared" ref="AX858:BQ858" si="2685">SUMIFS($AJ:$AJ,$V:$V,$AV858,$AK:$AK,AX$2)</f>
        <v>0</v>
      </c>
      <c r="AY858" s="48">
        <f t="shared" si="2685"/>
        <v>0</v>
      </c>
      <c r="AZ858" s="48">
        <f t="shared" si="2685"/>
        <v>0</v>
      </c>
      <c r="BA858" s="48">
        <f t="shared" si="2685"/>
        <v>0</v>
      </c>
      <c r="BB858" s="48">
        <f t="shared" si="2685"/>
        <v>0</v>
      </c>
      <c r="BC858" s="48">
        <f t="shared" si="2685"/>
        <v>0</v>
      </c>
      <c r="BD858" s="48">
        <f t="shared" si="2685"/>
        <v>0</v>
      </c>
      <c r="BE858" s="48">
        <f t="shared" si="2685"/>
        <v>0</v>
      </c>
      <c r="BF858" s="48">
        <f t="shared" si="2685"/>
        <v>1000</v>
      </c>
      <c r="BG858" s="48">
        <f t="shared" si="2685"/>
        <v>0</v>
      </c>
      <c r="BH858" s="48">
        <f t="shared" si="2685"/>
        <v>0</v>
      </c>
      <c r="BI858" s="48">
        <f t="shared" si="2685"/>
        <v>0</v>
      </c>
      <c r="BJ858" s="48">
        <f t="shared" si="2685"/>
        <v>0</v>
      </c>
      <c r="BK858" s="48">
        <f t="shared" si="2685"/>
        <v>0</v>
      </c>
      <c r="BL858" s="48">
        <f t="shared" si="2685"/>
        <v>0</v>
      </c>
      <c r="BM858" s="48">
        <f t="shared" si="2685"/>
        <v>0</v>
      </c>
      <c r="BN858" s="48">
        <f t="shared" si="2685"/>
        <v>0</v>
      </c>
      <c r="BO858" s="48">
        <f t="shared" si="2685"/>
        <v>0</v>
      </c>
      <c r="BP858" s="48">
        <f t="shared" si="2685"/>
        <v>0</v>
      </c>
      <c r="BQ858" s="48">
        <f t="shared" si="2685"/>
        <v>0</v>
      </c>
      <c r="BR858" s="36">
        <f t="shared" si="9"/>
        <v>0</v>
      </c>
      <c r="BS858" s="38">
        <f t="shared" si="10"/>
        <v>1</v>
      </c>
      <c r="BT858" s="49">
        <f t="shared" si="11"/>
        <v>0</v>
      </c>
      <c r="BU858" s="38">
        <f t="shared" si="12"/>
        <v>1000</v>
      </c>
      <c r="BV858" s="57" t="str">
        <f>IFERROR(__xludf.DUMMYFUNCTION("""COMPUTED_VALUE"""),"Etheridge")</f>
        <v>Etheridge</v>
      </c>
      <c r="BW858" s="46">
        <f t="shared" si="13"/>
        <v>1000</v>
      </c>
      <c r="BX858" s="47">
        <f t="shared" ref="BX858:CA858" si="2686">AX858-$BU858</f>
        <v>-1000</v>
      </c>
      <c r="BY858" s="47">
        <f t="shared" si="2686"/>
        <v>-1000</v>
      </c>
      <c r="BZ858" s="47">
        <f t="shared" si="2686"/>
        <v>-1000</v>
      </c>
      <c r="CA858" s="47">
        <f t="shared" si="2686"/>
        <v>-1000</v>
      </c>
      <c r="CB858" s="47">
        <f t="shared" si="15"/>
        <v>-10000</v>
      </c>
      <c r="CC858" s="47">
        <f t="shared" ref="CC858:CQ858" si="2687">BC858-$BU858</f>
        <v>-1000</v>
      </c>
      <c r="CD858" s="47">
        <f t="shared" si="2687"/>
        <v>-1000</v>
      </c>
      <c r="CE858" s="47">
        <f t="shared" si="2687"/>
        <v>-1000</v>
      </c>
      <c r="CF858" s="47">
        <f t="shared" si="2687"/>
        <v>0</v>
      </c>
      <c r="CG858" s="47">
        <f t="shared" si="2687"/>
        <v>-1000</v>
      </c>
      <c r="CH858" s="47">
        <f t="shared" si="2687"/>
        <v>-1000</v>
      </c>
      <c r="CI858" s="47">
        <f t="shared" si="2687"/>
        <v>-1000</v>
      </c>
      <c r="CJ858" s="47">
        <f t="shared" si="2687"/>
        <v>-1000</v>
      </c>
      <c r="CK858" s="47">
        <f t="shared" si="2687"/>
        <v>-1000</v>
      </c>
      <c r="CL858" s="47">
        <f t="shared" si="2687"/>
        <v>-1000</v>
      </c>
      <c r="CM858" s="47">
        <f t="shared" si="2687"/>
        <v>-1000</v>
      </c>
      <c r="CN858" s="47">
        <f t="shared" si="2687"/>
        <v>-1000</v>
      </c>
      <c r="CO858" s="47">
        <f t="shared" si="2687"/>
        <v>-1000</v>
      </c>
      <c r="CP858" s="47">
        <f t="shared" si="2687"/>
        <v>-1000</v>
      </c>
      <c r="CQ858" s="47">
        <f t="shared" si="2687"/>
        <v>-1000</v>
      </c>
      <c r="CR858" s="47"/>
      <c r="CS858" s="47"/>
      <c r="CT858" s="47"/>
      <c r="CU858" s="74"/>
      <c r="CV858" s="74"/>
      <c r="CW858" s="74" t="str">
        <f>IFERROR(__xludf.DUMMYFUNCTION("IF(REGEXMATCH(UPPER(CU858), ""DALLAS""),,CU858)"),"")</f>
        <v/>
      </c>
      <c r="CX858" s="74"/>
      <c r="CY858" s="74"/>
      <c r="CZ858" s="74"/>
      <c r="DA858" s="75"/>
      <c r="DB858" s="74"/>
      <c r="DC858" s="74"/>
      <c r="DD858" s="74"/>
      <c r="DE858" s="74"/>
      <c r="DF858" s="74"/>
      <c r="DG858" s="74"/>
      <c r="DH858" s="74"/>
      <c r="DI858" s="74"/>
      <c r="DJ858" s="74"/>
      <c r="DK858" s="74"/>
      <c r="DL858" s="74"/>
      <c r="DM858" s="74"/>
      <c r="DN858" s="74"/>
      <c r="DO858" s="74"/>
      <c r="DP858" s="74"/>
      <c r="DQ858" s="74"/>
      <c r="DR858" s="74"/>
      <c r="DS858" s="74"/>
      <c r="DT858" s="74"/>
      <c r="DU858" s="74"/>
      <c r="DV858" s="74"/>
      <c r="DW858" s="74"/>
    </row>
    <row r="859">
      <c r="A859" s="40" t="s">
        <v>55</v>
      </c>
      <c r="B859" s="41" t="s">
        <v>56</v>
      </c>
      <c r="C859" s="31" t="s">
        <v>430</v>
      </c>
      <c r="D859" s="25" t="str">
        <f>IFERROR(__xludf.DUMMYFUNCTION("SPLIT(C859,"" "")"),"Billingsley,")</f>
        <v>Billingsley,</v>
      </c>
      <c r="E859" s="40" t="str">
        <f>IFERROR(__xludf.DUMMYFUNCTION("""COMPUTED_VALUE"""),"Lucy
1722")</f>
        <v>Lucy
1722</v>
      </c>
      <c r="F859" s="40" t="str">
        <f>IFERROR(__xludf.DUMMYFUNCTION("""COMPUTED_VALUE"""),"Routh")</f>
        <v>Routh</v>
      </c>
      <c r="G859" s="40" t="str">
        <f>IFERROR(__xludf.DUMMYFUNCTION("""COMPUTED_VALUE"""),"Street
Dallas,")</f>
        <v>Street
Dallas,</v>
      </c>
      <c r="H859" s="40" t="str">
        <f>IFERROR(__xludf.DUMMYFUNCTION("""COMPUTED_VALUE"""),"TX")</f>
        <v>TX</v>
      </c>
      <c r="I859" s="40">
        <f>IFERROR(__xludf.DUMMYFUNCTION("""COMPUTED_VALUE"""),75201.0)</f>
        <v>75201</v>
      </c>
      <c r="J859" s="40"/>
      <c r="K859" s="40"/>
      <c r="L859" s="40"/>
      <c r="M859" s="40"/>
      <c r="N859" s="40"/>
      <c r="O859" s="40"/>
      <c r="P859" s="40"/>
      <c r="Q859" s="40"/>
      <c r="R859" s="40"/>
      <c r="S859" s="40"/>
      <c r="T859" s="40"/>
      <c r="U859" s="24" t="str">
        <f>IFERROR(__xludf.DUMMYFUNCTION("SPLIT(E859,""01234567890"")"),"Lucy
")</f>
        <v>Lucy
</v>
      </c>
      <c r="V859" s="24" t="str">
        <f>IFERROR(__xludf.DUMMYFUNCTION("SPLIT(D859,"","")"),"Billingsley")</f>
        <v>Billingsley</v>
      </c>
      <c r="W859" s="25" t="str">
        <f t="shared" si="1"/>
        <v>LUCY
 BILLINGSLEY</v>
      </c>
      <c r="X859" s="40"/>
      <c r="Y859" s="40"/>
      <c r="Z859" s="25" t="str">
        <f>IFERROR(__xludf.DUMMYFUNCTION("SPLIT(C859,""
"")"),"Billingsley, Lucy")</f>
        <v>Billingsley, Lucy</v>
      </c>
      <c r="AA859" s="40" t="str">
        <f>IFERROR(__xludf.DUMMYFUNCTION("""COMPUTED_VALUE"""),"1722 Routh Street")</f>
        <v>1722 Routh Street</v>
      </c>
      <c r="AB859" s="40" t="str">
        <f>IFERROR(__xludf.DUMMYFUNCTION("""COMPUTED_VALUE"""),"Dallas, TX 75201")</f>
        <v>Dallas, TX 75201</v>
      </c>
      <c r="AC859" s="31" t="s">
        <v>425</v>
      </c>
      <c r="AD859" s="40"/>
      <c r="AE859" s="40"/>
      <c r="AF859" s="40"/>
      <c r="AG859" s="40" t="s">
        <v>60</v>
      </c>
      <c r="AH859" s="42">
        <v>2481.0</v>
      </c>
      <c r="AI859" s="40" t="s">
        <v>68</v>
      </c>
      <c r="AJ859" s="27">
        <v>500.0</v>
      </c>
      <c r="AK859" s="31" t="s">
        <v>25</v>
      </c>
      <c r="AL859" s="43">
        <v>44826.0</v>
      </c>
      <c r="AM859" s="44">
        <v>44937.81995370371</v>
      </c>
      <c r="AN859" s="30">
        <v>2.0</v>
      </c>
      <c r="AO859" s="40"/>
      <c r="AP859" s="40"/>
      <c r="AQ859" s="40"/>
      <c r="AR859" s="40"/>
      <c r="AS859" s="40"/>
      <c r="AT859" s="47"/>
      <c r="AU859" s="40"/>
      <c r="AV859" s="46" t="str">
        <f>IFERROR(__xludf.DUMMYFUNCTION("""COMPUTED_VALUE"""),"Ferdows")</f>
        <v>Ferdows</v>
      </c>
      <c r="AW859" s="46">
        <f t="shared" si="7"/>
        <v>2000</v>
      </c>
      <c r="AX859" s="47">
        <f t="shared" ref="AX859:BQ859" si="2688">SUMIFS($AJ:$AJ,$V:$V,$AV859,$AK:$AK,AX$2)</f>
        <v>0</v>
      </c>
      <c r="AY859" s="48">
        <f t="shared" si="2688"/>
        <v>0</v>
      </c>
      <c r="AZ859" s="48">
        <f t="shared" si="2688"/>
        <v>0</v>
      </c>
      <c r="BA859" s="48">
        <f t="shared" si="2688"/>
        <v>0</v>
      </c>
      <c r="BB859" s="48">
        <f t="shared" si="2688"/>
        <v>0</v>
      </c>
      <c r="BC859" s="48">
        <f t="shared" si="2688"/>
        <v>0</v>
      </c>
      <c r="BD859" s="48">
        <f t="shared" si="2688"/>
        <v>0</v>
      </c>
      <c r="BE859" s="48">
        <f t="shared" si="2688"/>
        <v>0</v>
      </c>
      <c r="BF859" s="48">
        <f t="shared" si="2688"/>
        <v>0</v>
      </c>
      <c r="BG859" s="48">
        <f t="shared" si="2688"/>
        <v>0</v>
      </c>
      <c r="BH859" s="48">
        <f t="shared" si="2688"/>
        <v>0</v>
      </c>
      <c r="BI859" s="48">
        <f t="shared" si="2688"/>
        <v>0</v>
      </c>
      <c r="BJ859" s="48">
        <f t="shared" si="2688"/>
        <v>0</v>
      </c>
      <c r="BK859" s="48">
        <f t="shared" si="2688"/>
        <v>0</v>
      </c>
      <c r="BL859" s="48">
        <f t="shared" si="2688"/>
        <v>0</v>
      </c>
      <c r="BM859" s="48">
        <f t="shared" si="2688"/>
        <v>0</v>
      </c>
      <c r="BN859" s="48">
        <f t="shared" si="2688"/>
        <v>2000</v>
      </c>
      <c r="BO859" s="48">
        <f t="shared" si="2688"/>
        <v>0</v>
      </c>
      <c r="BP859" s="48">
        <f t="shared" si="2688"/>
        <v>0</v>
      </c>
      <c r="BQ859" s="48">
        <f t="shared" si="2688"/>
        <v>0</v>
      </c>
      <c r="BR859" s="36">
        <f t="shared" si="9"/>
        <v>0</v>
      </c>
      <c r="BS859" s="38">
        <f t="shared" si="10"/>
        <v>1</v>
      </c>
      <c r="BT859" s="49">
        <f t="shared" si="11"/>
        <v>0</v>
      </c>
      <c r="BU859" s="38">
        <f t="shared" si="12"/>
        <v>1000</v>
      </c>
      <c r="BV859" s="46" t="str">
        <f>IFERROR(__xludf.DUMMYFUNCTION("""COMPUTED_VALUE"""),"Ferdows")</f>
        <v>Ferdows</v>
      </c>
      <c r="BW859" s="46">
        <f t="shared" si="13"/>
        <v>2000</v>
      </c>
      <c r="BX859" s="47">
        <f t="shared" ref="BX859:CA859" si="2689">AX859-$BU859</f>
        <v>-1000</v>
      </c>
      <c r="BY859" s="47">
        <f t="shared" si="2689"/>
        <v>-1000</v>
      </c>
      <c r="BZ859" s="47">
        <f t="shared" si="2689"/>
        <v>-1000</v>
      </c>
      <c r="CA859" s="47">
        <f t="shared" si="2689"/>
        <v>-1000</v>
      </c>
      <c r="CB859" s="47">
        <f t="shared" si="15"/>
        <v>-10000</v>
      </c>
      <c r="CC859" s="47">
        <f t="shared" ref="CC859:CQ859" si="2690">BC859-$BU859</f>
        <v>-1000</v>
      </c>
      <c r="CD859" s="47">
        <f t="shared" si="2690"/>
        <v>-1000</v>
      </c>
      <c r="CE859" s="47">
        <f t="shared" si="2690"/>
        <v>-1000</v>
      </c>
      <c r="CF859" s="47">
        <f t="shared" si="2690"/>
        <v>-1000</v>
      </c>
      <c r="CG859" s="47">
        <f t="shared" si="2690"/>
        <v>-1000</v>
      </c>
      <c r="CH859" s="47">
        <f t="shared" si="2690"/>
        <v>-1000</v>
      </c>
      <c r="CI859" s="47">
        <f t="shared" si="2690"/>
        <v>-1000</v>
      </c>
      <c r="CJ859" s="47">
        <f t="shared" si="2690"/>
        <v>-1000</v>
      </c>
      <c r="CK859" s="47">
        <f t="shared" si="2690"/>
        <v>-1000</v>
      </c>
      <c r="CL859" s="47">
        <f t="shared" si="2690"/>
        <v>-1000</v>
      </c>
      <c r="CM859" s="47">
        <f t="shared" si="2690"/>
        <v>-1000</v>
      </c>
      <c r="CN859" s="47">
        <f t="shared" si="2690"/>
        <v>1000</v>
      </c>
      <c r="CO859" s="47">
        <f t="shared" si="2690"/>
        <v>-1000</v>
      </c>
      <c r="CP859" s="47">
        <f t="shared" si="2690"/>
        <v>-1000</v>
      </c>
      <c r="CQ859" s="47">
        <f t="shared" si="2690"/>
        <v>-1000</v>
      </c>
      <c r="CR859" s="47"/>
      <c r="CS859" s="47"/>
      <c r="CT859" s="47"/>
      <c r="CU859" s="74"/>
      <c r="CV859" s="74"/>
      <c r="CW859" s="74" t="str">
        <f>IFERROR(__xludf.DUMMYFUNCTION("IF(REGEXMATCH(UPPER(CU859), ""DALLAS""),,CU859)"),"")</f>
        <v/>
      </c>
      <c r="CX859" s="74"/>
      <c r="CY859" s="74"/>
      <c r="CZ859" s="74"/>
      <c r="DA859" s="75"/>
      <c r="DB859" s="74"/>
      <c r="DC859" s="74"/>
      <c r="DD859" s="74"/>
      <c r="DE859" s="74"/>
      <c r="DF859" s="74"/>
      <c r="DG859" s="74"/>
      <c r="DH859" s="74"/>
      <c r="DI859" s="74"/>
      <c r="DJ859" s="74"/>
      <c r="DK859" s="74"/>
      <c r="DL859" s="74"/>
      <c r="DM859" s="74"/>
      <c r="DN859" s="74"/>
      <c r="DO859" s="74"/>
      <c r="DP859" s="74"/>
      <c r="DQ859" s="74"/>
      <c r="DR859" s="74"/>
      <c r="DS859" s="74"/>
      <c r="DT859" s="74"/>
      <c r="DU859" s="74"/>
      <c r="DV859" s="74"/>
      <c r="DW859" s="74"/>
    </row>
    <row r="860">
      <c r="A860" s="22" t="s">
        <v>55</v>
      </c>
      <c r="B860" s="23" t="s">
        <v>56</v>
      </c>
      <c r="C860" s="31" t="s">
        <v>269</v>
      </c>
      <c r="D860" s="25" t="str">
        <f>IFERROR(__xludf.DUMMYFUNCTION("SPLIT(C860,"" "")"),"Ayala,")</f>
        <v>Ayala,</v>
      </c>
      <c r="E860" s="22" t="str">
        <f>IFERROR(__xludf.DUMMYFUNCTION("""COMPUTED_VALUE"""),"Juan
9668")</f>
        <v>Juan
9668</v>
      </c>
      <c r="F860" s="22" t="str">
        <f>IFERROR(__xludf.DUMMYFUNCTION("""COMPUTED_VALUE"""),"Arborhill
Dallas,")</f>
        <v>Arborhill
Dallas,</v>
      </c>
      <c r="G860" s="22" t="str">
        <f>IFERROR(__xludf.DUMMYFUNCTION("""COMPUTED_VALUE"""),"TX")</f>
        <v>TX</v>
      </c>
      <c r="H860" s="22">
        <f>IFERROR(__xludf.DUMMYFUNCTION("""COMPUTED_VALUE"""),75243.0)</f>
        <v>75243</v>
      </c>
      <c r="I860" s="22"/>
      <c r="J860" s="22"/>
      <c r="K860" s="22"/>
      <c r="L860" s="22"/>
      <c r="M860" s="22"/>
      <c r="N860" s="22"/>
      <c r="O860" s="22"/>
      <c r="P860" s="22"/>
      <c r="Q860" s="22"/>
      <c r="R860" s="22"/>
      <c r="S860" s="22"/>
      <c r="T860" s="22"/>
      <c r="U860" s="24" t="str">
        <f>IFERROR(__xludf.DUMMYFUNCTION("SPLIT(E860,""01234567890"")"),"Juan
")</f>
        <v>Juan
</v>
      </c>
      <c r="V860" s="24" t="str">
        <f>IFERROR(__xludf.DUMMYFUNCTION("SPLIT(D860,"","")"),"Ayala")</f>
        <v>Ayala</v>
      </c>
      <c r="W860" s="25" t="str">
        <f t="shared" si="1"/>
        <v>JUAN
 AYALA</v>
      </c>
      <c r="X860" s="22"/>
      <c r="Y860" s="22"/>
      <c r="Z860" s="25" t="str">
        <f>IFERROR(__xludf.DUMMYFUNCTION("SPLIT(C860,""
"")"),"Ayala, Juan")</f>
        <v>Ayala, Juan</v>
      </c>
      <c r="AA860" s="22" t="str">
        <f>IFERROR(__xludf.DUMMYFUNCTION("""COMPUTED_VALUE"""),"9668 Arborhill")</f>
        <v>9668 Arborhill</v>
      </c>
      <c r="AB860" s="22" t="str">
        <f>IFERROR(__xludf.DUMMYFUNCTION("""COMPUTED_VALUE"""),"Dallas, TX 75243")</f>
        <v>Dallas, TX 75243</v>
      </c>
      <c r="AC860" s="31" t="s">
        <v>268</v>
      </c>
      <c r="AD860" s="22"/>
      <c r="AE860" s="22"/>
      <c r="AF860" s="22"/>
      <c r="AG860" s="22" t="s">
        <v>60</v>
      </c>
      <c r="AH860" s="54">
        <v>2481.0</v>
      </c>
      <c r="AI860" s="22" t="s">
        <v>68</v>
      </c>
      <c r="AJ860" s="27">
        <v>50.0</v>
      </c>
      <c r="AK860" s="31" t="s">
        <v>25</v>
      </c>
      <c r="AL860" s="28">
        <v>44826.0</v>
      </c>
      <c r="AM860" s="29">
        <v>44937.81995370371</v>
      </c>
      <c r="AN860" s="30">
        <v>2.0</v>
      </c>
      <c r="AO860" s="22"/>
      <c r="AP860" s="22"/>
      <c r="AQ860" s="22"/>
      <c r="AR860" s="22"/>
      <c r="AS860" s="22"/>
      <c r="AT860" s="70"/>
      <c r="AU860" s="22"/>
      <c r="AV860" s="57" t="str">
        <f>IFERROR(__xludf.DUMMYFUNCTION("""COMPUTED_VALUE"""),"Mahsani")</f>
        <v>Mahsani</v>
      </c>
      <c r="AW860" s="46">
        <f t="shared" si="7"/>
        <v>2000</v>
      </c>
      <c r="AX860" s="47">
        <f t="shared" ref="AX860:BQ860" si="2691">SUMIFS($AJ:$AJ,$V:$V,$AV860,$AK:$AK,AX$2)</f>
        <v>0</v>
      </c>
      <c r="AY860" s="48">
        <f t="shared" si="2691"/>
        <v>0</v>
      </c>
      <c r="AZ860" s="48">
        <f t="shared" si="2691"/>
        <v>0</v>
      </c>
      <c r="BA860" s="48">
        <f t="shared" si="2691"/>
        <v>0</v>
      </c>
      <c r="BB860" s="48">
        <f t="shared" si="2691"/>
        <v>0</v>
      </c>
      <c r="BC860" s="48">
        <f t="shared" si="2691"/>
        <v>0</v>
      </c>
      <c r="BD860" s="48">
        <f t="shared" si="2691"/>
        <v>0</v>
      </c>
      <c r="BE860" s="48">
        <f t="shared" si="2691"/>
        <v>0</v>
      </c>
      <c r="BF860" s="48">
        <f t="shared" si="2691"/>
        <v>0</v>
      </c>
      <c r="BG860" s="48">
        <f t="shared" si="2691"/>
        <v>0</v>
      </c>
      <c r="BH860" s="48">
        <f t="shared" si="2691"/>
        <v>0</v>
      </c>
      <c r="BI860" s="48">
        <f t="shared" si="2691"/>
        <v>0</v>
      </c>
      <c r="BJ860" s="48">
        <f t="shared" si="2691"/>
        <v>0</v>
      </c>
      <c r="BK860" s="48">
        <f t="shared" si="2691"/>
        <v>0</v>
      </c>
      <c r="BL860" s="48">
        <f t="shared" si="2691"/>
        <v>0</v>
      </c>
      <c r="BM860" s="48">
        <f t="shared" si="2691"/>
        <v>0</v>
      </c>
      <c r="BN860" s="48">
        <f t="shared" si="2691"/>
        <v>2000</v>
      </c>
      <c r="BO860" s="48">
        <f t="shared" si="2691"/>
        <v>0</v>
      </c>
      <c r="BP860" s="48">
        <f t="shared" si="2691"/>
        <v>0</v>
      </c>
      <c r="BQ860" s="48">
        <f t="shared" si="2691"/>
        <v>0</v>
      </c>
      <c r="BR860" s="36">
        <f t="shared" si="9"/>
        <v>0</v>
      </c>
      <c r="BS860" s="38">
        <f t="shared" si="10"/>
        <v>1</v>
      </c>
      <c r="BT860" s="49">
        <f t="shared" si="11"/>
        <v>0</v>
      </c>
      <c r="BU860" s="38">
        <f t="shared" si="12"/>
        <v>1000</v>
      </c>
      <c r="BV860" s="57" t="str">
        <f>IFERROR(__xludf.DUMMYFUNCTION("""COMPUTED_VALUE"""),"Mahsani")</f>
        <v>Mahsani</v>
      </c>
      <c r="BW860" s="46">
        <f t="shared" si="13"/>
        <v>2000</v>
      </c>
      <c r="BX860" s="47">
        <f t="shared" ref="BX860:CA860" si="2692">AX860-$BU860</f>
        <v>-1000</v>
      </c>
      <c r="BY860" s="47">
        <f t="shared" si="2692"/>
        <v>-1000</v>
      </c>
      <c r="BZ860" s="47">
        <f t="shared" si="2692"/>
        <v>-1000</v>
      </c>
      <c r="CA860" s="47">
        <f t="shared" si="2692"/>
        <v>-1000</v>
      </c>
      <c r="CB860" s="47">
        <f t="shared" si="15"/>
        <v>-10000</v>
      </c>
      <c r="CC860" s="47">
        <f t="shared" ref="CC860:CQ860" si="2693">BC860-$BU860</f>
        <v>-1000</v>
      </c>
      <c r="CD860" s="47">
        <f t="shared" si="2693"/>
        <v>-1000</v>
      </c>
      <c r="CE860" s="47">
        <f t="shared" si="2693"/>
        <v>-1000</v>
      </c>
      <c r="CF860" s="47">
        <f t="shared" si="2693"/>
        <v>-1000</v>
      </c>
      <c r="CG860" s="47">
        <f t="shared" si="2693"/>
        <v>-1000</v>
      </c>
      <c r="CH860" s="47">
        <f t="shared" si="2693"/>
        <v>-1000</v>
      </c>
      <c r="CI860" s="47">
        <f t="shared" si="2693"/>
        <v>-1000</v>
      </c>
      <c r="CJ860" s="47">
        <f t="shared" si="2693"/>
        <v>-1000</v>
      </c>
      <c r="CK860" s="47">
        <f t="shared" si="2693"/>
        <v>-1000</v>
      </c>
      <c r="CL860" s="47">
        <f t="shared" si="2693"/>
        <v>-1000</v>
      </c>
      <c r="CM860" s="47">
        <f t="shared" si="2693"/>
        <v>-1000</v>
      </c>
      <c r="CN860" s="47">
        <f t="shared" si="2693"/>
        <v>1000</v>
      </c>
      <c r="CO860" s="47">
        <f t="shared" si="2693"/>
        <v>-1000</v>
      </c>
      <c r="CP860" s="47">
        <f t="shared" si="2693"/>
        <v>-1000</v>
      </c>
      <c r="CQ860" s="47">
        <f t="shared" si="2693"/>
        <v>-1000</v>
      </c>
      <c r="CR860" s="47"/>
      <c r="CS860" s="47"/>
      <c r="CT860" s="47"/>
      <c r="CU860" s="74"/>
      <c r="CV860" s="74"/>
      <c r="CW860" s="74" t="str">
        <f>IFERROR(__xludf.DUMMYFUNCTION("IF(REGEXMATCH(UPPER(CU860), ""DALLAS""),,CU860)"),"")</f>
        <v/>
      </c>
      <c r="CX860" s="74"/>
      <c r="CY860" s="74"/>
      <c r="CZ860" s="74"/>
      <c r="DA860" s="75"/>
      <c r="DB860" s="74"/>
      <c r="DC860" s="74"/>
      <c r="DD860" s="74"/>
      <c r="DE860" s="74"/>
      <c r="DF860" s="74"/>
      <c r="DG860" s="74"/>
      <c r="DH860" s="74"/>
      <c r="DI860" s="74"/>
      <c r="DJ860" s="74"/>
      <c r="DK860" s="74"/>
      <c r="DL860" s="74"/>
      <c r="DM860" s="74"/>
      <c r="DN860" s="74"/>
      <c r="DO860" s="74"/>
      <c r="DP860" s="74"/>
      <c r="DQ860" s="74"/>
      <c r="DR860" s="74"/>
      <c r="DS860" s="74"/>
      <c r="DT860" s="74"/>
      <c r="DU860" s="74"/>
      <c r="DV860" s="74"/>
      <c r="DW860" s="74"/>
    </row>
    <row r="861">
      <c r="A861" s="40" t="s">
        <v>55</v>
      </c>
      <c r="B861" s="41" t="s">
        <v>56</v>
      </c>
      <c r="C861" s="31" t="s">
        <v>2132</v>
      </c>
      <c r="D861" s="25" t="str">
        <f>IFERROR(__xludf.DUMMYFUNCTION("SPLIT(C861,"" "")"),"Ross,")</f>
        <v>Ross,</v>
      </c>
      <c r="E861" s="40" t="str">
        <f>IFERROR(__xludf.DUMMYFUNCTION("""COMPUTED_VALUE"""),"Darmetta
3107")</f>
        <v>Darmetta
3107</v>
      </c>
      <c r="F861" s="40" t="str">
        <f>IFERROR(__xludf.DUMMYFUNCTION("""COMPUTED_VALUE"""),"W")</f>
        <v>W</v>
      </c>
      <c r="G861" s="40" t="str">
        <f>IFERROR(__xludf.DUMMYFUNCTION("""COMPUTED_VALUE"""),"Camp")</f>
        <v>Camp</v>
      </c>
      <c r="H861" s="40" t="str">
        <f>IFERROR(__xludf.DUMMYFUNCTION("""COMPUTED_VALUE"""),"Wisdom
Dallas,")</f>
        <v>Wisdom
Dallas,</v>
      </c>
      <c r="I861" s="40" t="str">
        <f>IFERROR(__xludf.DUMMYFUNCTION("""COMPUTED_VALUE"""),"TX")</f>
        <v>TX</v>
      </c>
      <c r="J861" s="40">
        <f>IFERROR(__xludf.DUMMYFUNCTION("""COMPUTED_VALUE"""),75237.0)</f>
        <v>75237</v>
      </c>
      <c r="K861" s="40"/>
      <c r="L861" s="40"/>
      <c r="M861" s="40"/>
      <c r="N861" s="40"/>
      <c r="O861" s="40"/>
      <c r="P861" s="40"/>
      <c r="Q861" s="40"/>
      <c r="R861" s="40"/>
      <c r="S861" s="40"/>
      <c r="T861" s="40"/>
      <c r="U861" s="24" t="str">
        <f>IFERROR(__xludf.DUMMYFUNCTION("SPLIT(E861,""01234567890"")"),"Darmetta
")</f>
        <v>Darmetta
</v>
      </c>
      <c r="V861" s="24" t="str">
        <f>IFERROR(__xludf.DUMMYFUNCTION("SPLIT(D861,"","")"),"Ross")</f>
        <v>Ross</v>
      </c>
      <c r="W861" s="25" t="str">
        <f t="shared" si="1"/>
        <v>DARMETTA
 ROSS</v>
      </c>
      <c r="X861" s="40"/>
      <c r="Y861" s="40"/>
      <c r="Z861" s="25" t="str">
        <f>IFERROR(__xludf.DUMMYFUNCTION("SPLIT(C861,""
"")"),"Ross, Darmetta")</f>
        <v>Ross, Darmetta</v>
      </c>
      <c r="AA861" s="40" t="str">
        <f>IFERROR(__xludf.DUMMYFUNCTION("""COMPUTED_VALUE"""),"3107 W Camp Wisdom")</f>
        <v>3107 W Camp Wisdom</v>
      </c>
      <c r="AB861" s="40" t="str">
        <f>IFERROR(__xludf.DUMMYFUNCTION("""COMPUTED_VALUE"""),"Dallas, TX 75237")</f>
        <v>Dallas, TX 75237</v>
      </c>
      <c r="AC861" s="31" t="s">
        <v>2133</v>
      </c>
      <c r="AD861" s="40"/>
      <c r="AE861" s="40"/>
      <c r="AF861" s="40"/>
      <c r="AG861" s="40" t="s">
        <v>60</v>
      </c>
      <c r="AH861" s="42">
        <v>2481.0</v>
      </c>
      <c r="AI861" s="40" t="s">
        <v>68</v>
      </c>
      <c r="AJ861" s="27">
        <v>1000.0</v>
      </c>
      <c r="AK861" s="31" t="s">
        <v>25</v>
      </c>
      <c r="AL861" s="43">
        <v>44827.0</v>
      </c>
      <c r="AM861" s="44">
        <v>44937.81995370371</v>
      </c>
      <c r="AN861" s="30">
        <v>2.0</v>
      </c>
      <c r="AO861" s="40"/>
      <c r="AP861" s="40"/>
      <c r="AQ861" s="40"/>
      <c r="AR861" s="40"/>
      <c r="AS861" s="40"/>
      <c r="AT861" s="47"/>
      <c r="AU861" s="40"/>
      <c r="AV861" s="46" t="str">
        <f>IFERROR(__xludf.DUMMYFUNCTION("""COMPUTED_VALUE"""),"Dauterman")</f>
        <v>Dauterman</v>
      </c>
      <c r="AW861" s="46">
        <f t="shared" si="7"/>
        <v>1000</v>
      </c>
      <c r="AX861" s="47">
        <f t="shared" ref="AX861:BQ861" si="2694">SUMIFS($AJ:$AJ,$V:$V,$AV861,$AK:$AK,AX$2)</f>
        <v>0</v>
      </c>
      <c r="AY861" s="48">
        <f t="shared" si="2694"/>
        <v>0</v>
      </c>
      <c r="AZ861" s="48">
        <f t="shared" si="2694"/>
        <v>0</v>
      </c>
      <c r="BA861" s="48">
        <f t="shared" si="2694"/>
        <v>0</v>
      </c>
      <c r="BB861" s="48">
        <f t="shared" si="2694"/>
        <v>0</v>
      </c>
      <c r="BC861" s="48">
        <f t="shared" si="2694"/>
        <v>0</v>
      </c>
      <c r="BD861" s="48">
        <f t="shared" si="2694"/>
        <v>0</v>
      </c>
      <c r="BE861" s="48">
        <f t="shared" si="2694"/>
        <v>0</v>
      </c>
      <c r="BF861" s="48">
        <f t="shared" si="2694"/>
        <v>0</v>
      </c>
      <c r="BG861" s="48">
        <f t="shared" si="2694"/>
        <v>1000</v>
      </c>
      <c r="BH861" s="48">
        <f t="shared" si="2694"/>
        <v>0</v>
      </c>
      <c r="BI861" s="48">
        <f t="shared" si="2694"/>
        <v>0</v>
      </c>
      <c r="BJ861" s="48">
        <f t="shared" si="2694"/>
        <v>0</v>
      </c>
      <c r="BK861" s="48">
        <f t="shared" si="2694"/>
        <v>0</v>
      </c>
      <c r="BL861" s="48">
        <f t="shared" si="2694"/>
        <v>0</v>
      </c>
      <c r="BM861" s="48">
        <f t="shared" si="2694"/>
        <v>0</v>
      </c>
      <c r="BN861" s="48">
        <f t="shared" si="2694"/>
        <v>0</v>
      </c>
      <c r="BO861" s="48">
        <f t="shared" si="2694"/>
        <v>0</v>
      </c>
      <c r="BP861" s="48">
        <f t="shared" si="2694"/>
        <v>0</v>
      </c>
      <c r="BQ861" s="48">
        <f t="shared" si="2694"/>
        <v>0</v>
      </c>
      <c r="BR861" s="36">
        <f t="shared" si="9"/>
        <v>0</v>
      </c>
      <c r="BS861" s="38">
        <f t="shared" si="10"/>
        <v>1</v>
      </c>
      <c r="BT861" s="49">
        <f t="shared" si="11"/>
        <v>0</v>
      </c>
      <c r="BU861" s="38">
        <f t="shared" si="12"/>
        <v>1000</v>
      </c>
      <c r="BV861" s="46" t="str">
        <f>IFERROR(__xludf.DUMMYFUNCTION("""COMPUTED_VALUE"""),"Dauterman")</f>
        <v>Dauterman</v>
      </c>
      <c r="BW861" s="46">
        <f t="shared" si="13"/>
        <v>1000</v>
      </c>
      <c r="BX861" s="47">
        <f t="shared" ref="BX861:CA861" si="2695">AX861-$BU861</f>
        <v>-1000</v>
      </c>
      <c r="BY861" s="47">
        <f t="shared" si="2695"/>
        <v>-1000</v>
      </c>
      <c r="BZ861" s="47">
        <f t="shared" si="2695"/>
        <v>-1000</v>
      </c>
      <c r="CA861" s="47">
        <f t="shared" si="2695"/>
        <v>-1000</v>
      </c>
      <c r="CB861" s="47">
        <f t="shared" si="15"/>
        <v>-10000</v>
      </c>
      <c r="CC861" s="47">
        <f t="shared" ref="CC861:CQ861" si="2696">BC861-$BU861</f>
        <v>-1000</v>
      </c>
      <c r="CD861" s="47">
        <f t="shared" si="2696"/>
        <v>-1000</v>
      </c>
      <c r="CE861" s="47">
        <f t="shared" si="2696"/>
        <v>-1000</v>
      </c>
      <c r="CF861" s="47">
        <f t="shared" si="2696"/>
        <v>-1000</v>
      </c>
      <c r="CG861" s="47">
        <f t="shared" si="2696"/>
        <v>0</v>
      </c>
      <c r="CH861" s="47">
        <f t="shared" si="2696"/>
        <v>-1000</v>
      </c>
      <c r="CI861" s="47">
        <f t="shared" si="2696"/>
        <v>-1000</v>
      </c>
      <c r="CJ861" s="47">
        <f t="shared" si="2696"/>
        <v>-1000</v>
      </c>
      <c r="CK861" s="47">
        <f t="shared" si="2696"/>
        <v>-1000</v>
      </c>
      <c r="CL861" s="47">
        <f t="shared" si="2696"/>
        <v>-1000</v>
      </c>
      <c r="CM861" s="47">
        <f t="shared" si="2696"/>
        <v>-1000</v>
      </c>
      <c r="CN861" s="47">
        <f t="shared" si="2696"/>
        <v>-1000</v>
      </c>
      <c r="CO861" s="47">
        <f t="shared" si="2696"/>
        <v>-1000</v>
      </c>
      <c r="CP861" s="47">
        <f t="shared" si="2696"/>
        <v>-1000</v>
      </c>
      <c r="CQ861" s="47">
        <f t="shared" si="2696"/>
        <v>-1000</v>
      </c>
      <c r="CR861" s="47"/>
      <c r="CS861" s="47"/>
      <c r="CT861" s="47"/>
      <c r="CU861" s="74"/>
      <c r="CV861" s="74"/>
      <c r="CW861" s="74" t="str">
        <f>IFERROR(__xludf.DUMMYFUNCTION("IF(REGEXMATCH(UPPER(CU861), ""DALLAS""),,CU861)"),"")</f>
        <v/>
      </c>
      <c r="CX861" s="74"/>
      <c r="CY861" s="74"/>
      <c r="CZ861" s="74"/>
      <c r="DA861" s="75"/>
      <c r="DB861" s="74"/>
      <c r="DC861" s="74"/>
      <c r="DD861" s="74"/>
      <c r="DE861" s="74"/>
      <c r="DF861" s="74"/>
      <c r="DG861" s="74"/>
      <c r="DH861" s="74"/>
      <c r="DI861" s="74"/>
      <c r="DJ861" s="74"/>
      <c r="DK861" s="74"/>
      <c r="DL861" s="74"/>
      <c r="DM861" s="74"/>
      <c r="DN861" s="74"/>
      <c r="DO861" s="74"/>
      <c r="DP861" s="74"/>
      <c r="DQ861" s="74"/>
      <c r="DR861" s="74"/>
      <c r="DS861" s="74"/>
      <c r="DT861" s="74"/>
      <c r="DU861" s="74"/>
      <c r="DV861" s="74"/>
      <c r="DW861" s="74"/>
    </row>
    <row r="862">
      <c r="A862" s="22" t="s">
        <v>55</v>
      </c>
      <c r="B862" s="23" t="s">
        <v>56</v>
      </c>
      <c r="C862" s="31" t="s">
        <v>2134</v>
      </c>
      <c r="D862" s="25" t="str">
        <f>IFERROR(__xludf.DUMMYFUNCTION("SPLIT(C862,"" "")"),"Johnson,")</f>
        <v>Johnson,</v>
      </c>
      <c r="E862" s="22" t="str">
        <f>IFERROR(__xludf.DUMMYFUNCTION("""COMPUTED_VALUE"""),"Lelious
1256")</f>
        <v>Lelious
1256</v>
      </c>
      <c r="F862" s="22" t="str">
        <f>IFERROR(__xludf.DUMMYFUNCTION("""COMPUTED_VALUE"""),"Payne")</f>
        <v>Payne</v>
      </c>
      <c r="G862" s="22" t="str">
        <f>IFERROR(__xludf.DUMMYFUNCTION("""COMPUTED_VALUE"""),"Dr
Lancaster,")</f>
        <v>Dr
Lancaster,</v>
      </c>
      <c r="H862" s="22" t="str">
        <f>IFERROR(__xludf.DUMMYFUNCTION("""COMPUTED_VALUE"""),"TX")</f>
        <v>TX</v>
      </c>
      <c r="I862" s="22">
        <f>IFERROR(__xludf.DUMMYFUNCTION("""COMPUTED_VALUE"""),75134.0)</f>
        <v>75134</v>
      </c>
      <c r="J862" s="22"/>
      <c r="K862" s="22"/>
      <c r="L862" s="22"/>
      <c r="M862" s="22"/>
      <c r="N862" s="22"/>
      <c r="O862" s="22"/>
      <c r="P862" s="22"/>
      <c r="Q862" s="22"/>
      <c r="R862" s="22"/>
      <c r="S862" s="22"/>
      <c r="T862" s="22"/>
      <c r="U862" s="24" t="str">
        <f>IFERROR(__xludf.DUMMYFUNCTION("SPLIT(E862,""01234567890"")"),"Lelious
")</f>
        <v>Lelious
</v>
      </c>
      <c r="V862" s="24" t="str">
        <f>IFERROR(__xludf.DUMMYFUNCTION("SPLIT(D862,"","")"),"Johnson")</f>
        <v>Johnson</v>
      </c>
      <c r="W862" s="25" t="str">
        <f t="shared" si="1"/>
        <v>LELIOUS
 JOHNSON</v>
      </c>
      <c r="X862" s="22"/>
      <c r="Y862" s="22"/>
      <c r="Z862" s="25" t="str">
        <f>IFERROR(__xludf.DUMMYFUNCTION("SPLIT(C862,""
"")"),"Johnson, Lelious")</f>
        <v>Johnson, Lelious</v>
      </c>
      <c r="AA862" s="22" t="str">
        <f>IFERROR(__xludf.DUMMYFUNCTION("""COMPUTED_VALUE"""),"1256 Payne Dr")</f>
        <v>1256 Payne Dr</v>
      </c>
      <c r="AB862" s="22" t="str">
        <f>IFERROR(__xludf.DUMMYFUNCTION("""COMPUTED_VALUE"""),"Lancaster, TX 75134")</f>
        <v>Lancaster, TX 75134</v>
      </c>
      <c r="AC862" s="31" t="s">
        <v>2135</v>
      </c>
      <c r="AD862" s="22"/>
      <c r="AE862" s="22"/>
      <c r="AF862" s="22"/>
      <c r="AG862" s="22" t="s">
        <v>60</v>
      </c>
      <c r="AH862" s="54">
        <v>2481.0</v>
      </c>
      <c r="AI862" s="22" t="s">
        <v>68</v>
      </c>
      <c r="AJ862" s="27">
        <v>100.0</v>
      </c>
      <c r="AK862" s="31" t="s">
        <v>25</v>
      </c>
      <c r="AL862" s="28">
        <v>44827.0</v>
      </c>
      <c r="AM862" s="29">
        <v>44937.81995370371</v>
      </c>
      <c r="AN862" s="30">
        <v>2.0</v>
      </c>
      <c r="AO862" s="22"/>
      <c r="AP862" s="22"/>
      <c r="AQ862" s="22"/>
      <c r="AR862" s="22"/>
      <c r="AS862" s="22"/>
      <c r="AT862" s="70"/>
      <c r="AU862" s="22"/>
      <c r="AV862" s="57" t="str">
        <f>IFERROR(__xludf.DUMMYFUNCTION("""COMPUTED_VALUE"""),"Gomez")</f>
        <v>Gomez</v>
      </c>
      <c r="AW862" s="46">
        <f t="shared" si="7"/>
        <v>500</v>
      </c>
      <c r="AX862" s="47">
        <f t="shared" ref="AX862:BQ862" si="2697">SUMIFS($AJ:$AJ,$V:$V,$AV862,$AK:$AK,AX$2)</f>
        <v>0</v>
      </c>
      <c r="AY862" s="48">
        <f t="shared" si="2697"/>
        <v>0</v>
      </c>
      <c r="AZ862" s="48">
        <f t="shared" si="2697"/>
        <v>0</v>
      </c>
      <c r="BA862" s="48">
        <f t="shared" si="2697"/>
        <v>0</v>
      </c>
      <c r="BB862" s="48">
        <f t="shared" si="2697"/>
        <v>0</v>
      </c>
      <c r="BC862" s="48">
        <f t="shared" si="2697"/>
        <v>0</v>
      </c>
      <c r="BD862" s="48">
        <f t="shared" si="2697"/>
        <v>0</v>
      </c>
      <c r="BE862" s="48">
        <f t="shared" si="2697"/>
        <v>0</v>
      </c>
      <c r="BF862" s="48">
        <f t="shared" si="2697"/>
        <v>0</v>
      </c>
      <c r="BG862" s="48">
        <f t="shared" si="2697"/>
        <v>500</v>
      </c>
      <c r="BH862" s="48">
        <f t="shared" si="2697"/>
        <v>0</v>
      </c>
      <c r="BI862" s="48">
        <f t="shared" si="2697"/>
        <v>0</v>
      </c>
      <c r="BJ862" s="48">
        <f t="shared" si="2697"/>
        <v>0</v>
      </c>
      <c r="BK862" s="48">
        <f t="shared" si="2697"/>
        <v>0</v>
      </c>
      <c r="BL862" s="48">
        <f t="shared" si="2697"/>
        <v>0</v>
      </c>
      <c r="BM862" s="48">
        <f t="shared" si="2697"/>
        <v>0</v>
      </c>
      <c r="BN862" s="48">
        <f t="shared" si="2697"/>
        <v>0</v>
      </c>
      <c r="BO862" s="48">
        <f t="shared" si="2697"/>
        <v>0</v>
      </c>
      <c r="BP862" s="48">
        <f t="shared" si="2697"/>
        <v>0</v>
      </c>
      <c r="BQ862" s="48">
        <f t="shared" si="2697"/>
        <v>0</v>
      </c>
      <c r="BR862" s="36">
        <f t="shared" si="9"/>
        <v>0</v>
      </c>
      <c r="BS862" s="38">
        <f t="shared" si="10"/>
        <v>1</v>
      </c>
      <c r="BT862" s="49">
        <f t="shared" si="11"/>
        <v>0</v>
      </c>
      <c r="BU862" s="38">
        <f t="shared" si="12"/>
        <v>1000</v>
      </c>
      <c r="BV862" s="57" t="str">
        <f>IFERROR(__xludf.DUMMYFUNCTION("""COMPUTED_VALUE"""),"Gomez")</f>
        <v>Gomez</v>
      </c>
      <c r="BW862" s="46">
        <f t="shared" si="13"/>
        <v>500</v>
      </c>
      <c r="BX862" s="47">
        <f t="shared" ref="BX862:CA862" si="2698">AX862-$BU862</f>
        <v>-1000</v>
      </c>
      <c r="BY862" s="47">
        <f t="shared" si="2698"/>
        <v>-1000</v>
      </c>
      <c r="BZ862" s="47">
        <f t="shared" si="2698"/>
        <v>-1000</v>
      </c>
      <c r="CA862" s="47">
        <f t="shared" si="2698"/>
        <v>-1000</v>
      </c>
      <c r="CB862" s="47">
        <f t="shared" si="15"/>
        <v>-10000</v>
      </c>
      <c r="CC862" s="47">
        <f t="shared" ref="CC862:CQ862" si="2699">BC862-$BU862</f>
        <v>-1000</v>
      </c>
      <c r="CD862" s="47">
        <f t="shared" si="2699"/>
        <v>-1000</v>
      </c>
      <c r="CE862" s="47">
        <f t="shared" si="2699"/>
        <v>-1000</v>
      </c>
      <c r="CF862" s="47">
        <f t="shared" si="2699"/>
        <v>-1000</v>
      </c>
      <c r="CG862" s="47">
        <f t="shared" si="2699"/>
        <v>-500</v>
      </c>
      <c r="CH862" s="47">
        <f t="shared" si="2699"/>
        <v>-1000</v>
      </c>
      <c r="CI862" s="47">
        <f t="shared" si="2699"/>
        <v>-1000</v>
      </c>
      <c r="CJ862" s="47">
        <f t="shared" si="2699"/>
        <v>-1000</v>
      </c>
      <c r="CK862" s="47">
        <f t="shared" si="2699"/>
        <v>-1000</v>
      </c>
      <c r="CL862" s="47">
        <f t="shared" si="2699"/>
        <v>-1000</v>
      </c>
      <c r="CM862" s="47">
        <f t="shared" si="2699"/>
        <v>-1000</v>
      </c>
      <c r="CN862" s="47">
        <f t="shared" si="2699"/>
        <v>-1000</v>
      </c>
      <c r="CO862" s="47">
        <f t="shared" si="2699"/>
        <v>-1000</v>
      </c>
      <c r="CP862" s="47">
        <f t="shared" si="2699"/>
        <v>-1000</v>
      </c>
      <c r="CQ862" s="47">
        <f t="shared" si="2699"/>
        <v>-1000</v>
      </c>
      <c r="CR862" s="47"/>
      <c r="CS862" s="47"/>
      <c r="CT862" s="47"/>
      <c r="CU862" s="74"/>
      <c r="CV862" s="74"/>
      <c r="CW862" s="74" t="str">
        <f>IFERROR(__xludf.DUMMYFUNCTION("IF(REGEXMATCH(UPPER(CU862), ""DALLAS""),,CU862)"),"")</f>
        <v/>
      </c>
      <c r="CX862" s="74"/>
      <c r="CY862" s="74"/>
      <c r="CZ862" s="74"/>
      <c r="DA862" s="75"/>
      <c r="DB862" s="74"/>
      <c r="DC862" s="74"/>
      <c r="DD862" s="74"/>
      <c r="DE862" s="74"/>
      <c r="DF862" s="74"/>
      <c r="DG862" s="74"/>
      <c r="DH862" s="74"/>
      <c r="DI862" s="74"/>
      <c r="DJ862" s="74"/>
      <c r="DK862" s="74"/>
      <c r="DL862" s="74"/>
      <c r="DM862" s="74"/>
      <c r="DN862" s="74"/>
      <c r="DO862" s="74"/>
      <c r="DP862" s="74"/>
      <c r="DQ862" s="74"/>
      <c r="DR862" s="74"/>
      <c r="DS862" s="74"/>
      <c r="DT862" s="74"/>
      <c r="DU862" s="74"/>
      <c r="DV862" s="74"/>
      <c r="DW862" s="74"/>
    </row>
    <row r="863">
      <c r="A863" s="40" t="s">
        <v>55</v>
      </c>
      <c r="B863" s="41" t="s">
        <v>56</v>
      </c>
      <c r="C863" s="31" t="s">
        <v>2136</v>
      </c>
      <c r="D863" s="25" t="str">
        <f>IFERROR(__xludf.DUMMYFUNCTION("SPLIT(C863,"" "")"),"Brown,")</f>
        <v>Brown,</v>
      </c>
      <c r="E863" s="40" t="str">
        <f>IFERROR(__xludf.DUMMYFUNCTION("""COMPUTED_VALUE"""),"David
4719")</f>
        <v>David
4719</v>
      </c>
      <c r="F863" s="40" t="str">
        <f>IFERROR(__xludf.DUMMYFUNCTION("""COMPUTED_VALUE"""),"Cole")</f>
        <v>Cole</v>
      </c>
      <c r="G863" s="40" t="str">
        <f>IFERROR(__xludf.DUMMYFUNCTION("""COMPUTED_VALUE"""),"Ave
Dallas,")</f>
        <v>Ave
Dallas,</v>
      </c>
      <c r="H863" s="40" t="str">
        <f>IFERROR(__xludf.DUMMYFUNCTION("""COMPUTED_VALUE"""),"TX")</f>
        <v>TX</v>
      </c>
      <c r="I863" s="40">
        <f>IFERROR(__xludf.DUMMYFUNCTION("""COMPUTED_VALUE"""),75205.0)</f>
        <v>75205</v>
      </c>
      <c r="J863" s="40"/>
      <c r="K863" s="40"/>
      <c r="L863" s="40"/>
      <c r="M863" s="40"/>
      <c r="N863" s="40"/>
      <c r="O863" s="40"/>
      <c r="P863" s="40"/>
      <c r="Q863" s="40"/>
      <c r="R863" s="40"/>
      <c r="S863" s="40"/>
      <c r="T863" s="40"/>
      <c r="U863" s="24" t="str">
        <f>IFERROR(__xludf.DUMMYFUNCTION("SPLIT(E863,""01234567890"")"),"David
")</f>
        <v>David
</v>
      </c>
      <c r="V863" s="24" t="str">
        <f>IFERROR(__xludf.DUMMYFUNCTION("SPLIT(D863,"","")"),"Brown")</f>
        <v>Brown</v>
      </c>
      <c r="W863" s="25" t="str">
        <f t="shared" si="1"/>
        <v>DAVID
 BROWN</v>
      </c>
      <c r="X863" s="40"/>
      <c r="Y863" s="40"/>
      <c r="Z863" s="25" t="str">
        <f>IFERROR(__xludf.DUMMYFUNCTION("SPLIT(C863,""
"")"),"Brown, David")</f>
        <v>Brown, David</v>
      </c>
      <c r="AA863" s="40" t="str">
        <f>IFERROR(__xludf.DUMMYFUNCTION("""COMPUTED_VALUE"""),"4719 Cole Ave")</f>
        <v>4719 Cole Ave</v>
      </c>
      <c r="AB863" s="40" t="str">
        <f>IFERROR(__xludf.DUMMYFUNCTION("""COMPUTED_VALUE"""),"Dallas, TX 75205")</f>
        <v>Dallas, TX 75205</v>
      </c>
      <c r="AC863" s="31" t="s">
        <v>2137</v>
      </c>
      <c r="AD863" s="40"/>
      <c r="AE863" s="40"/>
      <c r="AF863" s="40"/>
      <c r="AG863" s="40" t="s">
        <v>60</v>
      </c>
      <c r="AH863" s="42">
        <v>2481.0</v>
      </c>
      <c r="AI863" s="40" t="s">
        <v>68</v>
      </c>
      <c r="AJ863" s="27">
        <v>500.0</v>
      </c>
      <c r="AK863" s="31" t="s">
        <v>25</v>
      </c>
      <c r="AL863" s="43">
        <v>44827.0</v>
      </c>
      <c r="AM863" s="44">
        <v>44937.81995370371</v>
      </c>
      <c r="AN863" s="30">
        <v>2.0</v>
      </c>
      <c r="AO863" s="40"/>
      <c r="AP863" s="40"/>
      <c r="AQ863" s="40"/>
      <c r="AR863" s="40"/>
      <c r="AS863" s="40"/>
      <c r="AT863" s="47"/>
      <c r="AU863" s="40"/>
      <c r="AV863" s="46" t="str">
        <f>IFERROR(__xludf.DUMMYFUNCTION("""COMPUTED_VALUE"""),"Carafiol")</f>
        <v>Carafiol</v>
      </c>
      <c r="AW863" s="46">
        <f t="shared" si="7"/>
        <v>100</v>
      </c>
      <c r="AX863" s="47">
        <f t="shared" ref="AX863:BQ863" si="2700">SUMIFS($AJ:$AJ,$V:$V,$AV863,$AK:$AK,AX$2)</f>
        <v>0</v>
      </c>
      <c r="AY863" s="48">
        <f t="shared" si="2700"/>
        <v>0</v>
      </c>
      <c r="AZ863" s="48">
        <f t="shared" si="2700"/>
        <v>0</v>
      </c>
      <c r="BA863" s="48">
        <f t="shared" si="2700"/>
        <v>0</v>
      </c>
      <c r="BB863" s="48">
        <f t="shared" si="2700"/>
        <v>0</v>
      </c>
      <c r="BC863" s="48">
        <f t="shared" si="2700"/>
        <v>0</v>
      </c>
      <c r="BD863" s="48">
        <f t="shared" si="2700"/>
        <v>0</v>
      </c>
      <c r="BE863" s="48">
        <f t="shared" si="2700"/>
        <v>0</v>
      </c>
      <c r="BF863" s="48">
        <f t="shared" si="2700"/>
        <v>0</v>
      </c>
      <c r="BG863" s="48">
        <f t="shared" si="2700"/>
        <v>100</v>
      </c>
      <c r="BH863" s="48">
        <f t="shared" si="2700"/>
        <v>0</v>
      </c>
      <c r="BI863" s="48">
        <f t="shared" si="2700"/>
        <v>0</v>
      </c>
      <c r="BJ863" s="48">
        <f t="shared" si="2700"/>
        <v>0</v>
      </c>
      <c r="BK863" s="48">
        <f t="shared" si="2700"/>
        <v>0</v>
      </c>
      <c r="BL863" s="48">
        <f t="shared" si="2700"/>
        <v>0</v>
      </c>
      <c r="BM863" s="48">
        <f t="shared" si="2700"/>
        <v>0</v>
      </c>
      <c r="BN863" s="48">
        <f t="shared" si="2700"/>
        <v>0</v>
      </c>
      <c r="BO863" s="48">
        <f t="shared" si="2700"/>
        <v>0</v>
      </c>
      <c r="BP863" s="48">
        <f t="shared" si="2700"/>
        <v>0</v>
      </c>
      <c r="BQ863" s="48">
        <f t="shared" si="2700"/>
        <v>0</v>
      </c>
      <c r="BR863" s="36">
        <f t="shared" si="9"/>
        <v>0</v>
      </c>
      <c r="BS863" s="38">
        <f t="shared" si="10"/>
        <v>1</v>
      </c>
      <c r="BT863" s="49">
        <f t="shared" si="11"/>
        <v>0</v>
      </c>
      <c r="BU863" s="38">
        <f t="shared" si="12"/>
        <v>1000</v>
      </c>
      <c r="BV863" s="46" t="str">
        <f>IFERROR(__xludf.DUMMYFUNCTION("""COMPUTED_VALUE"""),"Carafiol")</f>
        <v>Carafiol</v>
      </c>
      <c r="BW863" s="46">
        <f t="shared" si="13"/>
        <v>100</v>
      </c>
      <c r="BX863" s="47">
        <f t="shared" ref="BX863:CA863" si="2701">AX863-$BU863</f>
        <v>-1000</v>
      </c>
      <c r="BY863" s="47">
        <f t="shared" si="2701"/>
        <v>-1000</v>
      </c>
      <c r="BZ863" s="47">
        <f t="shared" si="2701"/>
        <v>-1000</v>
      </c>
      <c r="CA863" s="47">
        <f t="shared" si="2701"/>
        <v>-1000</v>
      </c>
      <c r="CB863" s="47">
        <f t="shared" si="15"/>
        <v>-10000</v>
      </c>
      <c r="CC863" s="47">
        <f t="shared" ref="CC863:CQ863" si="2702">BC863-$BU863</f>
        <v>-1000</v>
      </c>
      <c r="CD863" s="47">
        <f t="shared" si="2702"/>
        <v>-1000</v>
      </c>
      <c r="CE863" s="47">
        <f t="shared" si="2702"/>
        <v>-1000</v>
      </c>
      <c r="CF863" s="47">
        <f t="shared" si="2702"/>
        <v>-1000</v>
      </c>
      <c r="CG863" s="47">
        <f t="shared" si="2702"/>
        <v>-900</v>
      </c>
      <c r="CH863" s="47">
        <f t="shared" si="2702"/>
        <v>-1000</v>
      </c>
      <c r="CI863" s="47">
        <f t="shared" si="2702"/>
        <v>-1000</v>
      </c>
      <c r="CJ863" s="47">
        <f t="shared" si="2702"/>
        <v>-1000</v>
      </c>
      <c r="CK863" s="47">
        <f t="shared" si="2702"/>
        <v>-1000</v>
      </c>
      <c r="CL863" s="47">
        <f t="shared" si="2702"/>
        <v>-1000</v>
      </c>
      <c r="CM863" s="47">
        <f t="shared" si="2702"/>
        <v>-1000</v>
      </c>
      <c r="CN863" s="47">
        <f t="shared" si="2702"/>
        <v>-1000</v>
      </c>
      <c r="CO863" s="47">
        <f t="shared" si="2702"/>
        <v>-1000</v>
      </c>
      <c r="CP863" s="47">
        <f t="shared" si="2702"/>
        <v>-1000</v>
      </c>
      <c r="CQ863" s="47">
        <f t="shared" si="2702"/>
        <v>-1000</v>
      </c>
      <c r="CR863" s="47"/>
      <c r="CS863" s="47"/>
      <c r="CT863" s="47"/>
      <c r="CU863" s="74"/>
      <c r="CV863" s="74"/>
      <c r="CW863" s="74" t="str">
        <f>IFERROR(__xludf.DUMMYFUNCTION("IF(REGEXMATCH(UPPER(CU863), ""DALLAS""),,CU863)"),"")</f>
        <v/>
      </c>
      <c r="CX863" s="74"/>
      <c r="CY863" s="74"/>
      <c r="CZ863" s="74"/>
      <c r="DA863" s="75"/>
      <c r="DB863" s="74"/>
      <c r="DC863" s="74"/>
      <c r="DD863" s="74"/>
      <c r="DE863" s="74"/>
      <c r="DF863" s="74"/>
      <c r="DG863" s="74"/>
      <c r="DH863" s="74"/>
      <c r="DI863" s="74"/>
      <c r="DJ863" s="74"/>
      <c r="DK863" s="74"/>
      <c r="DL863" s="74"/>
      <c r="DM863" s="74"/>
      <c r="DN863" s="74"/>
      <c r="DO863" s="74"/>
      <c r="DP863" s="74"/>
      <c r="DQ863" s="74"/>
      <c r="DR863" s="74"/>
      <c r="DS863" s="74"/>
      <c r="DT863" s="74"/>
      <c r="DU863" s="74"/>
      <c r="DV863" s="74"/>
      <c r="DW863" s="74"/>
    </row>
    <row r="864">
      <c r="A864" s="22" t="s">
        <v>55</v>
      </c>
      <c r="B864" s="23" t="s">
        <v>56</v>
      </c>
      <c r="C864" s="31" t="s">
        <v>2138</v>
      </c>
      <c r="D864" s="25" t="str">
        <f>IFERROR(__xludf.DUMMYFUNCTION("SPLIT(C864,"" "")"),"Brock,")</f>
        <v>Brock,</v>
      </c>
      <c r="E864" s="22" t="str">
        <f>IFERROR(__xludf.DUMMYFUNCTION("""COMPUTED_VALUE"""),"Anthony
5915")</f>
        <v>Anthony
5915</v>
      </c>
      <c r="F864" s="22" t="str">
        <f>IFERROR(__xludf.DUMMYFUNCTION("""COMPUTED_VALUE"""),"Mesa")</f>
        <v>Mesa</v>
      </c>
      <c r="G864" s="22" t="str">
        <f>IFERROR(__xludf.DUMMYFUNCTION("""COMPUTED_VALUE"""),"Brook")</f>
        <v>Brook</v>
      </c>
      <c r="H864" s="22" t="str">
        <f>IFERROR(__xludf.DUMMYFUNCTION("""COMPUTED_VALUE"""),"Ln
Houston,")</f>
        <v>Ln
Houston,</v>
      </c>
      <c r="I864" s="22" t="str">
        <f>IFERROR(__xludf.DUMMYFUNCTION("""COMPUTED_VALUE"""),"TX")</f>
        <v>TX</v>
      </c>
      <c r="J864" s="22">
        <f>IFERROR(__xludf.DUMMYFUNCTION("""COMPUTED_VALUE"""),77041.0)</f>
        <v>77041</v>
      </c>
      <c r="K864" s="22"/>
      <c r="L864" s="22"/>
      <c r="M864" s="22"/>
      <c r="N864" s="22"/>
      <c r="O864" s="22"/>
      <c r="P864" s="22"/>
      <c r="Q864" s="22"/>
      <c r="R864" s="22"/>
      <c r="S864" s="22"/>
      <c r="T864" s="22"/>
      <c r="U864" s="24" t="str">
        <f>IFERROR(__xludf.DUMMYFUNCTION("SPLIT(E864,""01234567890"")"),"Anthony
")</f>
        <v>Anthony
</v>
      </c>
      <c r="V864" s="24" t="str">
        <f>IFERROR(__xludf.DUMMYFUNCTION("SPLIT(D864,"","")"),"Brock")</f>
        <v>Brock</v>
      </c>
      <c r="W864" s="25" t="str">
        <f t="shared" si="1"/>
        <v>ANTHONY
 BROCK</v>
      </c>
      <c r="X864" s="22"/>
      <c r="Y864" s="22"/>
      <c r="Z864" s="25" t="str">
        <f>IFERROR(__xludf.DUMMYFUNCTION("SPLIT(C864,""
"")"),"Brock, Anthony")</f>
        <v>Brock, Anthony</v>
      </c>
      <c r="AA864" s="22" t="str">
        <f>IFERROR(__xludf.DUMMYFUNCTION("""COMPUTED_VALUE"""),"5915 Mesa Brook Ln")</f>
        <v>5915 Mesa Brook Ln</v>
      </c>
      <c r="AB864" s="22" t="str">
        <f>IFERROR(__xludf.DUMMYFUNCTION("""COMPUTED_VALUE"""),"Houston, TX 77041")</f>
        <v>Houston, TX 77041</v>
      </c>
      <c r="AC864" s="31" t="s">
        <v>2139</v>
      </c>
      <c r="AD864" s="22"/>
      <c r="AE864" s="22"/>
      <c r="AF864" s="22"/>
      <c r="AG864" s="22" t="s">
        <v>60</v>
      </c>
      <c r="AH864" s="54">
        <v>2481.0</v>
      </c>
      <c r="AI864" s="22" t="s">
        <v>68</v>
      </c>
      <c r="AJ864" s="27">
        <v>100.0</v>
      </c>
      <c r="AK864" s="31" t="s">
        <v>25</v>
      </c>
      <c r="AL864" s="28">
        <v>44827.0</v>
      </c>
      <c r="AM864" s="29">
        <v>44937.81995370371</v>
      </c>
      <c r="AN864" s="30">
        <v>2.0</v>
      </c>
      <c r="AO864" s="22"/>
      <c r="AP864" s="22"/>
      <c r="AQ864" s="22"/>
      <c r="AR864" s="22"/>
      <c r="AS864" s="22"/>
      <c r="AT864" s="70"/>
      <c r="AU864" s="22"/>
      <c r="AV864" s="57" t="str">
        <f>IFERROR(__xludf.DUMMYFUNCTION("""COMPUTED_VALUE"""),"McGovern")</f>
        <v>McGovern</v>
      </c>
      <c r="AW864" s="46">
        <f t="shared" si="7"/>
        <v>100</v>
      </c>
      <c r="AX864" s="47">
        <f t="shared" ref="AX864:BQ864" si="2703">SUMIFS($AJ:$AJ,$V:$V,$AV864,$AK:$AK,AX$2)</f>
        <v>0</v>
      </c>
      <c r="AY864" s="48">
        <f t="shared" si="2703"/>
        <v>0</v>
      </c>
      <c r="AZ864" s="48">
        <f t="shared" si="2703"/>
        <v>0</v>
      </c>
      <c r="BA864" s="48">
        <f t="shared" si="2703"/>
        <v>0</v>
      </c>
      <c r="BB864" s="48">
        <f t="shared" si="2703"/>
        <v>0</v>
      </c>
      <c r="BC864" s="48">
        <f t="shared" si="2703"/>
        <v>0</v>
      </c>
      <c r="BD864" s="48">
        <f t="shared" si="2703"/>
        <v>0</v>
      </c>
      <c r="BE864" s="48">
        <f t="shared" si="2703"/>
        <v>0</v>
      </c>
      <c r="BF864" s="48">
        <f t="shared" si="2703"/>
        <v>0</v>
      </c>
      <c r="BG864" s="48">
        <f t="shared" si="2703"/>
        <v>100</v>
      </c>
      <c r="BH864" s="48">
        <f t="shared" si="2703"/>
        <v>0</v>
      </c>
      <c r="BI864" s="48">
        <f t="shared" si="2703"/>
        <v>0</v>
      </c>
      <c r="BJ864" s="48">
        <f t="shared" si="2703"/>
        <v>0</v>
      </c>
      <c r="BK864" s="48">
        <f t="shared" si="2703"/>
        <v>0</v>
      </c>
      <c r="BL864" s="48">
        <f t="shared" si="2703"/>
        <v>0</v>
      </c>
      <c r="BM864" s="48">
        <f t="shared" si="2703"/>
        <v>0</v>
      </c>
      <c r="BN864" s="48">
        <f t="shared" si="2703"/>
        <v>0</v>
      </c>
      <c r="BO864" s="48">
        <f t="shared" si="2703"/>
        <v>0</v>
      </c>
      <c r="BP864" s="48">
        <f t="shared" si="2703"/>
        <v>0</v>
      </c>
      <c r="BQ864" s="48">
        <f t="shared" si="2703"/>
        <v>0</v>
      </c>
      <c r="BR864" s="36">
        <f t="shared" si="9"/>
        <v>0</v>
      </c>
      <c r="BS864" s="38">
        <f t="shared" si="10"/>
        <v>1</v>
      </c>
      <c r="BT864" s="49">
        <f t="shared" si="11"/>
        <v>0</v>
      </c>
      <c r="BU864" s="38">
        <f t="shared" si="12"/>
        <v>1000</v>
      </c>
      <c r="BV864" s="57" t="str">
        <f>IFERROR(__xludf.DUMMYFUNCTION("""COMPUTED_VALUE"""),"McGovern")</f>
        <v>McGovern</v>
      </c>
      <c r="BW864" s="46">
        <f t="shared" si="13"/>
        <v>100</v>
      </c>
      <c r="BX864" s="47">
        <f t="shared" ref="BX864:CA864" si="2704">AX864-$BU864</f>
        <v>-1000</v>
      </c>
      <c r="BY864" s="47">
        <f t="shared" si="2704"/>
        <v>-1000</v>
      </c>
      <c r="BZ864" s="47">
        <f t="shared" si="2704"/>
        <v>-1000</v>
      </c>
      <c r="CA864" s="47">
        <f t="shared" si="2704"/>
        <v>-1000</v>
      </c>
      <c r="CB864" s="47">
        <f t="shared" si="15"/>
        <v>-10000</v>
      </c>
      <c r="CC864" s="47">
        <f t="shared" ref="CC864:CQ864" si="2705">BC864-$BU864</f>
        <v>-1000</v>
      </c>
      <c r="CD864" s="47">
        <f t="shared" si="2705"/>
        <v>-1000</v>
      </c>
      <c r="CE864" s="47">
        <f t="shared" si="2705"/>
        <v>-1000</v>
      </c>
      <c r="CF864" s="47">
        <f t="shared" si="2705"/>
        <v>-1000</v>
      </c>
      <c r="CG864" s="47">
        <f t="shared" si="2705"/>
        <v>-900</v>
      </c>
      <c r="CH864" s="47">
        <f t="shared" si="2705"/>
        <v>-1000</v>
      </c>
      <c r="CI864" s="47">
        <f t="shared" si="2705"/>
        <v>-1000</v>
      </c>
      <c r="CJ864" s="47">
        <f t="shared" si="2705"/>
        <v>-1000</v>
      </c>
      <c r="CK864" s="47">
        <f t="shared" si="2705"/>
        <v>-1000</v>
      </c>
      <c r="CL864" s="47">
        <f t="shared" si="2705"/>
        <v>-1000</v>
      </c>
      <c r="CM864" s="47">
        <f t="shared" si="2705"/>
        <v>-1000</v>
      </c>
      <c r="CN864" s="47">
        <f t="shared" si="2705"/>
        <v>-1000</v>
      </c>
      <c r="CO864" s="47">
        <f t="shared" si="2705"/>
        <v>-1000</v>
      </c>
      <c r="CP864" s="47">
        <f t="shared" si="2705"/>
        <v>-1000</v>
      </c>
      <c r="CQ864" s="47">
        <f t="shared" si="2705"/>
        <v>-1000</v>
      </c>
      <c r="CR864" s="47"/>
      <c r="CS864" s="47"/>
      <c r="CT864" s="47"/>
      <c r="CU864" s="74"/>
      <c r="CV864" s="74"/>
      <c r="CW864" s="74" t="str">
        <f>IFERROR(__xludf.DUMMYFUNCTION("IF(REGEXMATCH(UPPER(CU864), ""DALLAS""),,CU864)"),"")</f>
        <v/>
      </c>
      <c r="CX864" s="74"/>
      <c r="CY864" s="74"/>
      <c r="CZ864" s="74"/>
      <c r="DA864" s="75"/>
      <c r="DB864" s="74"/>
      <c r="DC864" s="74"/>
      <c r="DD864" s="74"/>
      <c r="DE864" s="74"/>
      <c r="DF864" s="74"/>
      <c r="DG864" s="74"/>
      <c r="DH864" s="74"/>
      <c r="DI864" s="74"/>
      <c r="DJ864" s="74"/>
      <c r="DK864" s="74"/>
      <c r="DL864" s="74"/>
      <c r="DM864" s="74"/>
      <c r="DN864" s="74"/>
      <c r="DO864" s="74"/>
      <c r="DP864" s="74"/>
      <c r="DQ864" s="74"/>
      <c r="DR864" s="74"/>
      <c r="DS864" s="74"/>
      <c r="DT864" s="74"/>
      <c r="DU864" s="74"/>
      <c r="DV864" s="74"/>
      <c r="DW864" s="74"/>
    </row>
    <row r="865">
      <c r="A865" s="40" t="s">
        <v>55</v>
      </c>
      <c r="B865" s="41" t="s">
        <v>56</v>
      </c>
      <c r="C865" s="31" t="s">
        <v>2140</v>
      </c>
      <c r="D865" s="25" t="str">
        <f>IFERROR(__xludf.DUMMYFUNCTION("SPLIT(C865,"" "")"),"Griffith,")</f>
        <v>Griffith,</v>
      </c>
      <c r="E865" s="40" t="str">
        <f>IFERROR(__xludf.DUMMYFUNCTION("""COMPUTED_VALUE"""),"Gary
6875")</f>
        <v>Gary
6875</v>
      </c>
      <c r="F865" s="40" t="str">
        <f>IFERROR(__xludf.DUMMYFUNCTION("""COMPUTED_VALUE"""),"Carolyncrest")</f>
        <v>Carolyncrest</v>
      </c>
      <c r="G865" s="40" t="str">
        <f>IFERROR(__xludf.DUMMYFUNCTION("""COMPUTED_VALUE"""),"Drive
Dallas,")</f>
        <v>Drive
Dallas,</v>
      </c>
      <c r="H865" s="40" t="str">
        <f>IFERROR(__xludf.DUMMYFUNCTION("""COMPUTED_VALUE"""),"TX")</f>
        <v>TX</v>
      </c>
      <c r="I865" s="40">
        <f>IFERROR(__xludf.DUMMYFUNCTION("""COMPUTED_VALUE"""),75214.0)</f>
        <v>75214</v>
      </c>
      <c r="J865" s="40"/>
      <c r="K865" s="40"/>
      <c r="L865" s="40"/>
      <c r="M865" s="40"/>
      <c r="N865" s="40"/>
      <c r="O865" s="40"/>
      <c r="P865" s="40"/>
      <c r="Q865" s="40"/>
      <c r="R865" s="40"/>
      <c r="S865" s="40"/>
      <c r="T865" s="40"/>
      <c r="U865" s="24" t="str">
        <f>IFERROR(__xludf.DUMMYFUNCTION("SPLIT(E865,""01234567890"")"),"Gary
")</f>
        <v>Gary
</v>
      </c>
      <c r="V865" s="24" t="str">
        <f>IFERROR(__xludf.DUMMYFUNCTION("SPLIT(D865,"","")"),"Griffith")</f>
        <v>Griffith</v>
      </c>
      <c r="W865" s="25" t="str">
        <f t="shared" si="1"/>
        <v>GARY
 GRIFFITH</v>
      </c>
      <c r="X865" s="40"/>
      <c r="Y865" s="40"/>
      <c r="Z865" s="25" t="str">
        <f>IFERROR(__xludf.DUMMYFUNCTION("SPLIT(C865,""
"")"),"Griffith, Gary")</f>
        <v>Griffith, Gary</v>
      </c>
      <c r="AA865" s="40" t="str">
        <f>IFERROR(__xludf.DUMMYFUNCTION("""COMPUTED_VALUE"""),"6875 Carolyncrest Drive")</f>
        <v>6875 Carolyncrest Drive</v>
      </c>
      <c r="AB865" s="40" t="str">
        <f>IFERROR(__xludf.DUMMYFUNCTION("""COMPUTED_VALUE"""),"Dallas, TX 75214")</f>
        <v>Dallas, TX 75214</v>
      </c>
      <c r="AC865" s="31" t="s">
        <v>1850</v>
      </c>
      <c r="AD865" s="40"/>
      <c r="AE865" s="40"/>
      <c r="AF865" s="40"/>
      <c r="AG865" s="40" t="s">
        <v>60</v>
      </c>
      <c r="AH865" s="42">
        <v>2481.0</v>
      </c>
      <c r="AI865" s="40" t="s">
        <v>68</v>
      </c>
      <c r="AJ865" s="27">
        <v>100.0</v>
      </c>
      <c r="AK865" s="31" t="s">
        <v>25</v>
      </c>
      <c r="AL865" s="43">
        <v>44827.0</v>
      </c>
      <c r="AM865" s="44">
        <v>44937.81995370371</v>
      </c>
      <c r="AN865" s="30">
        <v>2.0</v>
      </c>
      <c r="AO865" s="40"/>
      <c r="AP865" s="40"/>
      <c r="AQ865" s="40"/>
      <c r="AR865" s="40"/>
      <c r="AS865" s="40"/>
      <c r="AT865" s="47"/>
      <c r="AU865" s="40"/>
      <c r="AV865" s="46" t="str">
        <f>IFERROR(__xludf.DUMMYFUNCTION("""COMPUTED_VALUE"""),"Bradford")</f>
        <v>Bradford</v>
      </c>
      <c r="AW865" s="46">
        <f t="shared" si="7"/>
        <v>50</v>
      </c>
      <c r="AX865" s="47">
        <f t="shared" ref="AX865:BQ865" si="2706">SUMIFS($AJ:$AJ,$V:$V,$AV865,$AK:$AK,AX$2)</f>
        <v>0</v>
      </c>
      <c r="AY865" s="48">
        <f t="shared" si="2706"/>
        <v>0</v>
      </c>
      <c r="AZ865" s="48">
        <f t="shared" si="2706"/>
        <v>0</v>
      </c>
      <c r="BA865" s="48">
        <f t="shared" si="2706"/>
        <v>0</v>
      </c>
      <c r="BB865" s="48">
        <f t="shared" si="2706"/>
        <v>0</v>
      </c>
      <c r="BC865" s="48">
        <f t="shared" si="2706"/>
        <v>0</v>
      </c>
      <c r="BD865" s="48">
        <f t="shared" si="2706"/>
        <v>0</v>
      </c>
      <c r="BE865" s="48">
        <f t="shared" si="2706"/>
        <v>0</v>
      </c>
      <c r="BF865" s="48">
        <f t="shared" si="2706"/>
        <v>0</v>
      </c>
      <c r="BG865" s="48">
        <f t="shared" si="2706"/>
        <v>50</v>
      </c>
      <c r="BH865" s="48">
        <f t="shared" si="2706"/>
        <v>0</v>
      </c>
      <c r="BI865" s="48">
        <f t="shared" si="2706"/>
        <v>0</v>
      </c>
      <c r="BJ865" s="48">
        <f t="shared" si="2706"/>
        <v>0</v>
      </c>
      <c r="BK865" s="48">
        <f t="shared" si="2706"/>
        <v>0</v>
      </c>
      <c r="BL865" s="48">
        <f t="shared" si="2706"/>
        <v>0</v>
      </c>
      <c r="BM865" s="48">
        <f t="shared" si="2706"/>
        <v>0</v>
      </c>
      <c r="BN865" s="48">
        <f t="shared" si="2706"/>
        <v>0</v>
      </c>
      <c r="BO865" s="48">
        <f t="shared" si="2706"/>
        <v>0</v>
      </c>
      <c r="BP865" s="48">
        <f t="shared" si="2706"/>
        <v>0</v>
      </c>
      <c r="BQ865" s="48">
        <f t="shared" si="2706"/>
        <v>0</v>
      </c>
      <c r="BR865" s="36">
        <f t="shared" si="9"/>
        <v>0</v>
      </c>
      <c r="BS865" s="38">
        <f t="shared" si="10"/>
        <v>1</v>
      </c>
      <c r="BT865" s="49">
        <f t="shared" si="11"/>
        <v>0</v>
      </c>
      <c r="BU865" s="38">
        <f t="shared" si="12"/>
        <v>1000</v>
      </c>
      <c r="BV865" s="46" t="str">
        <f>IFERROR(__xludf.DUMMYFUNCTION("""COMPUTED_VALUE"""),"Bradford")</f>
        <v>Bradford</v>
      </c>
      <c r="BW865" s="46">
        <f t="shared" si="13"/>
        <v>50</v>
      </c>
      <c r="BX865" s="47">
        <f t="shared" ref="BX865:CA865" si="2707">AX865-$BU865</f>
        <v>-1000</v>
      </c>
      <c r="BY865" s="47">
        <f t="shared" si="2707"/>
        <v>-1000</v>
      </c>
      <c r="BZ865" s="47">
        <f t="shared" si="2707"/>
        <v>-1000</v>
      </c>
      <c r="CA865" s="47">
        <f t="shared" si="2707"/>
        <v>-1000</v>
      </c>
      <c r="CB865" s="47">
        <f t="shared" si="15"/>
        <v>-10000</v>
      </c>
      <c r="CC865" s="47">
        <f t="shared" ref="CC865:CQ865" si="2708">BC865-$BU865</f>
        <v>-1000</v>
      </c>
      <c r="CD865" s="47">
        <f t="shared" si="2708"/>
        <v>-1000</v>
      </c>
      <c r="CE865" s="47">
        <f t="shared" si="2708"/>
        <v>-1000</v>
      </c>
      <c r="CF865" s="47">
        <f t="shared" si="2708"/>
        <v>-1000</v>
      </c>
      <c r="CG865" s="47">
        <f t="shared" si="2708"/>
        <v>-950</v>
      </c>
      <c r="CH865" s="47">
        <f t="shared" si="2708"/>
        <v>-1000</v>
      </c>
      <c r="CI865" s="47">
        <f t="shared" si="2708"/>
        <v>-1000</v>
      </c>
      <c r="CJ865" s="47">
        <f t="shared" si="2708"/>
        <v>-1000</v>
      </c>
      <c r="CK865" s="47">
        <f t="shared" si="2708"/>
        <v>-1000</v>
      </c>
      <c r="CL865" s="47">
        <f t="shared" si="2708"/>
        <v>-1000</v>
      </c>
      <c r="CM865" s="47">
        <f t="shared" si="2708"/>
        <v>-1000</v>
      </c>
      <c r="CN865" s="47">
        <f t="shared" si="2708"/>
        <v>-1000</v>
      </c>
      <c r="CO865" s="47">
        <f t="shared" si="2708"/>
        <v>-1000</v>
      </c>
      <c r="CP865" s="47">
        <f t="shared" si="2708"/>
        <v>-1000</v>
      </c>
      <c r="CQ865" s="47">
        <f t="shared" si="2708"/>
        <v>-1000</v>
      </c>
      <c r="CR865" s="47"/>
      <c r="CS865" s="47"/>
      <c r="CT865" s="47"/>
      <c r="CU865" s="74"/>
      <c r="CV865" s="74"/>
      <c r="CW865" s="74" t="str">
        <f>IFERROR(__xludf.DUMMYFUNCTION("IF(REGEXMATCH(UPPER(CU865), ""DALLAS""),,CU865)"),"")</f>
        <v/>
      </c>
      <c r="CX865" s="74"/>
      <c r="CY865" s="74"/>
      <c r="CZ865" s="74"/>
      <c r="DA865" s="75"/>
      <c r="DB865" s="74"/>
      <c r="DC865" s="74"/>
      <c r="DD865" s="74"/>
      <c r="DE865" s="74"/>
      <c r="DF865" s="74"/>
      <c r="DG865" s="74"/>
      <c r="DH865" s="74"/>
      <c r="DI865" s="74"/>
      <c r="DJ865" s="74"/>
      <c r="DK865" s="74"/>
      <c r="DL865" s="74"/>
      <c r="DM865" s="74"/>
      <c r="DN865" s="74"/>
      <c r="DO865" s="74"/>
      <c r="DP865" s="74"/>
      <c r="DQ865" s="74"/>
      <c r="DR865" s="74"/>
      <c r="DS865" s="74"/>
      <c r="DT865" s="74"/>
      <c r="DU865" s="74"/>
      <c r="DV865" s="74"/>
      <c r="DW865" s="74"/>
    </row>
    <row r="866">
      <c r="A866" s="22" t="s">
        <v>55</v>
      </c>
      <c r="B866" s="23" t="s">
        <v>56</v>
      </c>
      <c r="C866" s="31" t="s">
        <v>2141</v>
      </c>
      <c r="D866" s="25" t="str">
        <f>IFERROR(__xludf.DUMMYFUNCTION("SPLIT(C866,"" "")"),"Mondell,")</f>
        <v>Mondell,</v>
      </c>
      <c r="E866" s="22" t="str">
        <f>IFERROR(__xludf.DUMMYFUNCTION("""COMPUTED_VALUE"""),"Fonya
1918")</f>
        <v>Fonya
1918</v>
      </c>
      <c r="F866" s="22" t="str">
        <f>IFERROR(__xludf.DUMMYFUNCTION("""COMPUTED_VALUE"""),"Moser")</f>
        <v>Moser</v>
      </c>
      <c r="G866" s="22" t="str">
        <f>IFERROR(__xludf.DUMMYFUNCTION("""COMPUTED_VALUE"""),"Ave
Dallas,")</f>
        <v>Ave
Dallas,</v>
      </c>
      <c r="H866" s="22" t="str">
        <f>IFERROR(__xludf.DUMMYFUNCTION("""COMPUTED_VALUE"""),"TX")</f>
        <v>TX</v>
      </c>
      <c r="I866" s="22">
        <f>IFERROR(__xludf.DUMMYFUNCTION("""COMPUTED_VALUE"""),75206.0)</f>
        <v>75206</v>
      </c>
      <c r="J866" s="22"/>
      <c r="K866" s="22"/>
      <c r="L866" s="22"/>
      <c r="M866" s="22"/>
      <c r="N866" s="22"/>
      <c r="O866" s="22"/>
      <c r="P866" s="22"/>
      <c r="Q866" s="22"/>
      <c r="R866" s="22"/>
      <c r="S866" s="22"/>
      <c r="T866" s="22"/>
      <c r="U866" s="24" t="str">
        <f>IFERROR(__xludf.DUMMYFUNCTION("SPLIT(E866,""01234567890"")"),"Fonya
")</f>
        <v>Fonya
</v>
      </c>
      <c r="V866" s="24" t="str">
        <f>IFERROR(__xludf.DUMMYFUNCTION("SPLIT(D866,"","")"),"Mondell")</f>
        <v>Mondell</v>
      </c>
      <c r="W866" s="25" t="str">
        <f t="shared" si="1"/>
        <v>FONYA
 MONDELL</v>
      </c>
      <c r="X866" s="22"/>
      <c r="Y866" s="22"/>
      <c r="Z866" s="25" t="str">
        <f>IFERROR(__xludf.DUMMYFUNCTION("SPLIT(C866,""
"")"),"Mondell, Fonya")</f>
        <v>Mondell, Fonya</v>
      </c>
      <c r="AA866" s="22" t="str">
        <f>IFERROR(__xludf.DUMMYFUNCTION("""COMPUTED_VALUE"""),"1918 Moser Ave")</f>
        <v>1918 Moser Ave</v>
      </c>
      <c r="AB866" s="22" t="str">
        <f>IFERROR(__xludf.DUMMYFUNCTION("""COMPUTED_VALUE"""),"Dallas, TX 75206")</f>
        <v>Dallas, TX 75206</v>
      </c>
      <c r="AC866" s="31" t="s">
        <v>2142</v>
      </c>
      <c r="AD866" s="22"/>
      <c r="AE866" s="22"/>
      <c r="AF866" s="22"/>
      <c r="AG866" s="22" t="s">
        <v>60</v>
      </c>
      <c r="AH866" s="54">
        <v>2481.0</v>
      </c>
      <c r="AI866" s="22" t="s">
        <v>68</v>
      </c>
      <c r="AJ866" s="27">
        <v>100.0</v>
      </c>
      <c r="AK866" s="31" t="s">
        <v>25</v>
      </c>
      <c r="AL866" s="28">
        <v>44827.0</v>
      </c>
      <c r="AM866" s="29">
        <v>44937.81995370371</v>
      </c>
      <c r="AN866" s="30">
        <v>2.0</v>
      </c>
      <c r="AO866" s="22"/>
      <c r="AP866" s="22"/>
      <c r="AQ866" s="22"/>
      <c r="AR866" s="22"/>
      <c r="AS866" s="22"/>
      <c r="AT866" s="70"/>
      <c r="AU866" s="22"/>
      <c r="AV866" s="57" t="str">
        <f>IFERROR(__xludf.DUMMYFUNCTION("""COMPUTED_VALUE"""),"Olerio")</f>
        <v>Olerio</v>
      </c>
      <c r="AW866" s="46">
        <f t="shared" si="7"/>
        <v>1000</v>
      </c>
      <c r="AX866" s="47">
        <f t="shared" ref="AX866:BQ866" si="2709">SUMIFS($AJ:$AJ,$V:$V,$AV866,$AK:$AK,AX$2)</f>
        <v>0</v>
      </c>
      <c r="AY866" s="48">
        <f t="shared" si="2709"/>
        <v>0</v>
      </c>
      <c r="AZ866" s="48">
        <f t="shared" si="2709"/>
        <v>0</v>
      </c>
      <c r="BA866" s="48">
        <f t="shared" si="2709"/>
        <v>0</v>
      </c>
      <c r="BB866" s="48">
        <f t="shared" si="2709"/>
        <v>0</v>
      </c>
      <c r="BC866" s="48">
        <f t="shared" si="2709"/>
        <v>0</v>
      </c>
      <c r="BD866" s="48">
        <f t="shared" si="2709"/>
        <v>0</v>
      </c>
      <c r="BE866" s="48">
        <f t="shared" si="2709"/>
        <v>0</v>
      </c>
      <c r="BF866" s="48">
        <f t="shared" si="2709"/>
        <v>0</v>
      </c>
      <c r="BG866" s="48">
        <f t="shared" si="2709"/>
        <v>1000</v>
      </c>
      <c r="BH866" s="48">
        <f t="shared" si="2709"/>
        <v>0</v>
      </c>
      <c r="BI866" s="48">
        <f t="shared" si="2709"/>
        <v>0</v>
      </c>
      <c r="BJ866" s="48">
        <f t="shared" si="2709"/>
        <v>0</v>
      </c>
      <c r="BK866" s="48">
        <f t="shared" si="2709"/>
        <v>0</v>
      </c>
      <c r="BL866" s="48">
        <f t="shared" si="2709"/>
        <v>0</v>
      </c>
      <c r="BM866" s="48">
        <f t="shared" si="2709"/>
        <v>0</v>
      </c>
      <c r="BN866" s="48">
        <f t="shared" si="2709"/>
        <v>0</v>
      </c>
      <c r="BO866" s="48">
        <f t="shared" si="2709"/>
        <v>0</v>
      </c>
      <c r="BP866" s="48">
        <f t="shared" si="2709"/>
        <v>0</v>
      </c>
      <c r="BQ866" s="48">
        <f t="shared" si="2709"/>
        <v>0</v>
      </c>
      <c r="BR866" s="36">
        <f t="shared" si="9"/>
        <v>0</v>
      </c>
      <c r="BS866" s="38">
        <f t="shared" si="10"/>
        <v>1</v>
      </c>
      <c r="BT866" s="49">
        <f t="shared" si="11"/>
        <v>0</v>
      </c>
      <c r="BU866" s="38">
        <f t="shared" si="12"/>
        <v>1000</v>
      </c>
      <c r="BV866" s="57" t="str">
        <f>IFERROR(__xludf.DUMMYFUNCTION("""COMPUTED_VALUE"""),"Olerio")</f>
        <v>Olerio</v>
      </c>
      <c r="BW866" s="46">
        <f t="shared" si="13"/>
        <v>1000</v>
      </c>
      <c r="BX866" s="47">
        <f t="shared" ref="BX866:CA866" si="2710">AX866-$BU866</f>
        <v>-1000</v>
      </c>
      <c r="BY866" s="47">
        <f t="shared" si="2710"/>
        <v>-1000</v>
      </c>
      <c r="BZ866" s="47">
        <f t="shared" si="2710"/>
        <v>-1000</v>
      </c>
      <c r="CA866" s="47">
        <f t="shared" si="2710"/>
        <v>-1000</v>
      </c>
      <c r="CB866" s="47">
        <f t="shared" si="15"/>
        <v>-10000</v>
      </c>
      <c r="CC866" s="47">
        <f t="shared" ref="CC866:CQ866" si="2711">BC866-$BU866</f>
        <v>-1000</v>
      </c>
      <c r="CD866" s="47">
        <f t="shared" si="2711"/>
        <v>-1000</v>
      </c>
      <c r="CE866" s="47">
        <f t="shared" si="2711"/>
        <v>-1000</v>
      </c>
      <c r="CF866" s="47">
        <f t="shared" si="2711"/>
        <v>-1000</v>
      </c>
      <c r="CG866" s="47">
        <f t="shared" si="2711"/>
        <v>0</v>
      </c>
      <c r="CH866" s="47">
        <f t="shared" si="2711"/>
        <v>-1000</v>
      </c>
      <c r="CI866" s="47">
        <f t="shared" si="2711"/>
        <v>-1000</v>
      </c>
      <c r="CJ866" s="47">
        <f t="shared" si="2711"/>
        <v>-1000</v>
      </c>
      <c r="CK866" s="47">
        <f t="shared" si="2711"/>
        <v>-1000</v>
      </c>
      <c r="CL866" s="47">
        <f t="shared" si="2711"/>
        <v>-1000</v>
      </c>
      <c r="CM866" s="47">
        <f t="shared" si="2711"/>
        <v>-1000</v>
      </c>
      <c r="CN866" s="47">
        <f t="shared" si="2711"/>
        <v>-1000</v>
      </c>
      <c r="CO866" s="47">
        <f t="shared" si="2711"/>
        <v>-1000</v>
      </c>
      <c r="CP866" s="47">
        <f t="shared" si="2711"/>
        <v>-1000</v>
      </c>
      <c r="CQ866" s="47">
        <f t="shared" si="2711"/>
        <v>-1000</v>
      </c>
      <c r="CR866" s="47"/>
      <c r="CS866" s="47"/>
      <c r="CT866" s="47"/>
      <c r="CU866" s="74"/>
      <c r="CV866" s="74"/>
      <c r="CW866" s="74" t="str">
        <f>IFERROR(__xludf.DUMMYFUNCTION("IF(REGEXMATCH(UPPER(CU866), ""DALLAS""),,CU866)"),"")</f>
        <v/>
      </c>
      <c r="CX866" s="74"/>
      <c r="CY866" s="74"/>
      <c r="CZ866" s="74"/>
      <c r="DA866" s="75"/>
      <c r="DB866" s="74"/>
      <c r="DC866" s="74"/>
      <c r="DD866" s="74"/>
      <c r="DE866" s="74"/>
      <c r="DF866" s="74"/>
      <c r="DG866" s="74"/>
      <c r="DH866" s="74"/>
      <c r="DI866" s="74"/>
      <c r="DJ866" s="74"/>
      <c r="DK866" s="74"/>
      <c r="DL866" s="74"/>
      <c r="DM866" s="74"/>
      <c r="DN866" s="74"/>
      <c r="DO866" s="74"/>
      <c r="DP866" s="74"/>
      <c r="DQ866" s="74"/>
      <c r="DR866" s="74"/>
      <c r="DS866" s="74"/>
      <c r="DT866" s="74"/>
      <c r="DU866" s="74"/>
      <c r="DV866" s="74"/>
      <c r="DW866" s="74"/>
    </row>
    <row r="867">
      <c r="A867" s="40" t="s">
        <v>55</v>
      </c>
      <c r="B867" s="41" t="s">
        <v>56</v>
      </c>
      <c r="C867" s="31" t="s">
        <v>2143</v>
      </c>
      <c r="D867" s="25" t="str">
        <f>IFERROR(__xludf.DUMMYFUNCTION("SPLIT(C867,"" "")"),"Dym,")</f>
        <v>Dym,</v>
      </c>
      <c r="E867" s="40" t="str">
        <f>IFERROR(__xludf.DUMMYFUNCTION("""COMPUTED_VALUE"""),"Kevin
7928")</f>
        <v>Kevin
7928</v>
      </c>
      <c r="F867" s="40" t="str">
        <f>IFERROR(__xludf.DUMMYFUNCTION("""COMPUTED_VALUE"""),"Fallowmeadow")</f>
        <v>Fallowmeadow</v>
      </c>
      <c r="G867" s="40" t="str">
        <f>IFERROR(__xludf.DUMMYFUNCTION("""COMPUTED_VALUE"""),"Ln
Dallas,")</f>
        <v>Ln
Dallas,</v>
      </c>
      <c r="H867" s="40" t="str">
        <f>IFERROR(__xludf.DUMMYFUNCTION("""COMPUTED_VALUE"""),"TX")</f>
        <v>TX</v>
      </c>
      <c r="I867" s="40">
        <f>IFERROR(__xludf.DUMMYFUNCTION("""COMPUTED_VALUE"""),75206.0)</f>
        <v>75206</v>
      </c>
      <c r="J867" s="40"/>
      <c r="K867" s="40"/>
      <c r="L867" s="40"/>
      <c r="M867" s="40"/>
      <c r="N867" s="40"/>
      <c r="O867" s="40"/>
      <c r="P867" s="40"/>
      <c r="Q867" s="40"/>
      <c r="R867" s="40"/>
      <c r="S867" s="40"/>
      <c r="T867" s="40"/>
      <c r="U867" s="24" t="str">
        <f>IFERROR(__xludf.DUMMYFUNCTION("SPLIT(E867,""01234567890"")"),"Kevin
")</f>
        <v>Kevin
</v>
      </c>
      <c r="V867" s="24" t="str">
        <f>IFERROR(__xludf.DUMMYFUNCTION("SPLIT(D867,"","")"),"Dym")</f>
        <v>Dym</v>
      </c>
      <c r="W867" s="25" t="str">
        <f t="shared" si="1"/>
        <v>KEVIN
 DYM</v>
      </c>
      <c r="X867" s="40"/>
      <c r="Y867" s="40"/>
      <c r="Z867" s="25" t="str">
        <f>IFERROR(__xludf.DUMMYFUNCTION("SPLIT(C867,""
"")"),"Dym, Kevin")</f>
        <v>Dym, Kevin</v>
      </c>
      <c r="AA867" s="40" t="str">
        <f>IFERROR(__xludf.DUMMYFUNCTION("""COMPUTED_VALUE"""),"7928 Fallowmeadow Ln")</f>
        <v>7928 Fallowmeadow Ln</v>
      </c>
      <c r="AB867" s="40" t="str">
        <f>IFERROR(__xludf.DUMMYFUNCTION("""COMPUTED_VALUE"""),"Dallas, TX 75206")</f>
        <v>Dallas, TX 75206</v>
      </c>
      <c r="AC867" s="31" t="s">
        <v>951</v>
      </c>
      <c r="AD867" s="40"/>
      <c r="AE867" s="40"/>
      <c r="AF867" s="40"/>
      <c r="AG867" s="40" t="s">
        <v>60</v>
      </c>
      <c r="AH867" s="42">
        <v>2481.0</v>
      </c>
      <c r="AI867" s="40" t="s">
        <v>68</v>
      </c>
      <c r="AJ867" s="27">
        <v>100.0</v>
      </c>
      <c r="AK867" s="31" t="s">
        <v>25</v>
      </c>
      <c r="AL867" s="43">
        <v>44827.0</v>
      </c>
      <c r="AM867" s="44">
        <v>44937.81995370371</v>
      </c>
      <c r="AN867" s="30">
        <v>2.0</v>
      </c>
      <c r="AO867" s="40"/>
      <c r="AP867" s="40"/>
      <c r="AQ867" s="40"/>
      <c r="AR867" s="40"/>
      <c r="AS867" s="40"/>
      <c r="AT867" s="47"/>
      <c r="AU867" s="40"/>
      <c r="AV867" s="46" t="str">
        <f>IFERROR(__xludf.DUMMYFUNCTION("""COMPUTED_VALUE"""),"McMinn")</f>
        <v>McMinn</v>
      </c>
      <c r="AW867" s="46">
        <f t="shared" si="7"/>
        <v>25</v>
      </c>
      <c r="AX867" s="47">
        <f t="shared" ref="AX867:BQ867" si="2712">SUMIFS($AJ:$AJ,$V:$V,$AV867,$AK:$AK,AX$2)</f>
        <v>0</v>
      </c>
      <c r="AY867" s="48">
        <f t="shared" si="2712"/>
        <v>0</v>
      </c>
      <c r="AZ867" s="48">
        <f t="shared" si="2712"/>
        <v>0</v>
      </c>
      <c r="BA867" s="48">
        <f t="shared" si="2712"/>
        <v>0</v>
      </c>
      <c r="BB867" s="48">
        <f t="shared" si="2712"/>
        <v>0</v>
      </c>
      <c r="BC867" s="48">
        <f t="shared" si="2712"/>
        <v>0</v>
      </c>
      <c r="BD867" s="48">
        <f t="shared" si="2712"/>
        <v>0</v>
      </c>
      <c r="BE867" s="48">
        <f t="shared" si="2712"/>
        <v>0</v>
      </c>
      <c r="BF867" s="48">
        <f t="shared" si="2712"/>
        <v>0</v>
      </c>
      <c r="BG867" s="48">
        <f t="shared" si="2712"/>
        <v>25</v>
      </c>
      <c r="BH867" s="48">
        <f t="shared" si="2712"/>
        <v>0</v>
      </c>
      <c r="BI867" s="48">
        <f t="shared" si="2712"/>
        <v>0</v>
      </c>
      <c r="BJ867" s="48">
        <f t="shared" si="2712"/>
        <v>0</v>
      </c>
      <c r="BK867" s="48">
        <f t="shared" si="2712"/>
        <v>0</v>
      </c>
      <c r="BL867" s="48">
        <f t="shared" si="2712"/>
        <v>0</v>
      </c>
      <c r="BM867" s="48">
        <f t="shared" si="2712"/>
        <v>0</v>
      </c>
      <c r="BN867" s="48">
        <f t="shared" si="2712"/>
        <v>0</v>
      </c>
      <c r="BO867" s="48">
        <f t="shared" si="2712"/>
        <v>0</v>
      </c>
      <c r="BP867" s="48">
        <f t="shared" si="2712"/>
        <v>0</v>
      </c>
      <c r="BQ867" s="48">
        <f t="shared" si="2712"/>
        <v>0</v>
      </c>
      <c r="BR867" s="36">
        <f t="shared" si="9"/>
        <v>0</v>
      </c>
      <c r="BS867" s="38">
        <f t="shared" si="10"/>
        <v>1</v>
      </c>
      <c r="BT867" s="49">
        <f t="shared" si="11"/>
        <v>0</v>
      </c>
      <c r="BU867" s="38">
        <f t="shared" si="12"/>
        <v>1000</v>
      </c>
      <c r="BV867" s="46" t="str">
        <f>IFERROR(__xludf.DUMMYFUNCTION("""COMPUTED_VALUE"""),"McMinn")</f>
        <v>McMinn</v>
      </c>
      <c r="BW867" s="46">
        <f t="shared" si="13"/>
        <v>25</v>
      </c>
      <c r="BX867" s="47">
        <f t="shared" ref="BX867:CA867" si="2713">AX867-$BU867</f>
        <v>-1000</v>
      </c>
      <c r="BY867" s="47">
        <f t="shared" si="2713"/>
        <v>-1000</v>
      </c>
      <c r="BZ867" s="47">
        <f t="shared" si="2713"/>
        <v>-1000</v>
      </c>
      <c r="CA867" s="47">
        <f t="shared" si="2713"/>
        <v>-1000</v>
      </c>
      <c r="CB867" s="47">
        <f t="shared" si="15"/>
        <v>-10000</v>
      </c>
      <c r="CC867" s="47">
        <f t="shared" ref="CC867:CQ867" si="2714">BC867-$BU867</f>
        <v>-1000</v>
      </c>
      <c r="CD867" s="47">
        <f t="shared" si="2714"/>
        <v>-1000</v>
      </c>
      <c r="CE867" s="47">
        <f t="shared" si="2714"/>
        <v>-1000</v>
      </c>
      <c r="CF867" s="47">
        <f t="shared" si="2714"/>
        <v>-1000</v>
      </c>
      <c r="CG867" s="47">
        <f t="shared" si="2714"/>
        <v>-975</v>
      </c>
      <c r="CH867" s="47">
        <f t="shared" si="2714"/>
        <v>-1000</v>
      </c>
      <c r="CI867" s="47">
        <f t="shared" si="2714"/>
        <v>-1000</v>
      </c>
      <c r="CJ867" s="47">
        <f t="shared" si="2714"/>
        <v>-1000</v>
      </c>
      <c r="CK867" s="47">
        <f t="shared" si="2714"/>
        <v>-1000</v>
      </c>
      <c r="CL867" s="47">
        <f t="shared" si="2714"/>
        <v>-1000</v>
      </c>
      <c r="CM867" s="47">
        <f t="shared" si="2714"/>
        <v>-1000</v>
      </c>
      <c r="CN867" s="47">
        <f t="shared" si="2714"/>
        <v>-1000</v>
      </c>
      <c r="CO867" s="47">
        <f t="shared" si="2714"/>
        <v>-1000</v>
      </c>
      <c r="CP867" s="47">
        <f t="shared" si="2714"/>
        <v>-1000</v>
      </c>
      <c r="CQ867" s="47">
        <f t="shared" si="2714"/>
        <v>-1000</v>
      </c>
      <c r="CR867" s="47"/>
      <c r="CS867" s="47"/>
      <c r="CT867" s="47"/>
      <c r="CU867" s="74"/>
      <c r="CV867" s="74"/>
      <c r="CW867" s="74" t="str">
        <f>IFERROR(__xludf.DUMMYFUNCTION("IF(REGEXMATCH(UPPER(CU867), ""DALLAS""),,CU867)"),"")</f>
        <v/>
      </c>
      <c r="CX867" s="74"/>
      <c r="CY867" s="74"/>
      <c r="CZ867" s="74"/>
      <c r="DA867" s="75"/>
      <c r="DB867" s="74"/>
      <c r="DC867" s="74"/>
      <c r="DD867" s="74"/>
      <c r="DE867" s="74"/>
      <c r="DF867" s="74"/>
      <c r="DG867" s="74"/>
      <c r="DH867" s="74"/>
      <c r="DI867" s="74"/>
      <c r="DJ867" s="74"/>
      <c r="DK867" s="74"/>
      <c r="DL867" s="74"/>
      <c r="DM867" s="74"/>
      <c r="DN867" s="74"/>
      <c r="DO867" s="74"/>
      <c r="DP867" s="74"/>
      <c r="DQ867" s="74"/>
      <c r="DR867" s="74"/>
      <c r="DS867" s="74"/>
      <c r="DT867" s="74"/>
      <c r="DU867" s="74"/>
      <c r="DV867" s="74"/>
      <c r="DW867" s="74"/>
    </row>
    <row r="868">
      <c r="A868" s="22" t="s">
        <v>55</v>
      </c>
      <c r="B868" s="23" t="s">
        <v>56</v>
      </c>
      <c r="C868" s="31" t="s">
        <v>2144</v>
      </c>
      <c r="D868" s="25" t="str">
        <f>IFERROR(__xludf.DUMMYFUNCTION("SPLIT(C868,"" "")"),"Scovell,")</f>
        <v>Scovell,</v>
      </c>
      <c r="E868" s="22" t="str">
        <f>IFERROR(__xludf.DUMMYFUNCTION("""COMPUTED_VALUE"""),"Tyler")</f>
        <v>Tyler</v>
      </c>
      <c r="F868" s="22" t="str">
        <f>IFERROR(__xludf.DUMMYFUNCTION("""COMPUTED_VALUE"""),"Dupree
7034")</f>
        <v>Dupree
7034</v>
      </c>
      <c r="G868" s="22" t="str">
        <f>IFERROR(__xludf.DUMMYFUNCTION("""COMPUTED_VALUE"""),"Alexander")</f>
        <v>Alexander</v>
      </c>
      <c r="H868" s="22" t="str">
        <f>IFERROR(__xludf.DUMMYFUNCTION("""COMPUTED_VALUE"""),"Dr
Dallas,")</f>
        <v>Dr
Dallas,</v>
      </c>
      <c r="I868" s="22" t="str">
        <f>IFERROR(__xludf.DUMMYFUNCTION("""COMPUTED_VALUE"""),"TX")</f>
        <v>TX</v>
      </c>
      <c r="J868" s="22">
        <f>IFERROR(__xludf.DUMMYFUNCTION("""COMPUTED_VALUE"""),75214.0)</f>
        <v>75214</v>
      </c>
      <c r="K868" s="22"/>
      <c r="L868" s="22"/>
      <c r="M868" s="22"/>
      <c r="N868" s="22"/>
      <c r="O868" s="22"/>
      <c r="P868" s="22"/>
      <c r="Q868" s="22"/>
      <c r="R868" s="22"/>
      <c r="S868" s="22"/>
      <c r="T868" s="22"/>
      <c r="U868" s="24" t="str">
        <f>IFERROR(__xludf.DUMMYFUNCTION("SPLIT(E868,""01234567890"")"),"Tyler")</f>
        <v>Tyler</v>
      </c>
      <c r="V868" s="24" t="str">
        <f>IFERROR(__xludf.DUMMYFUNCTION("SPLIT(D868,"","")"),"Scovell")</f>
        <v>Scovell</v>
      </c>
      <c r="W868" s="25" t="str">
        <f t="shared" si="1"/>
        <v>TYLER SCOVELL</v>
      </c>
      <c r="X868" s="22"/>
      <c r="Y868" s="22"/>
      <c r="Z868" s="25" t="str">
        <f>IFERROR(__xludf.DUMMYFUNCTION("SPLIT(C868,""
"")"),"Scovell, Tyler Dupree")</f>
        <v>Scovell, Tyler Dupree</v>
      </c>
      <c r="AA868" s="22" t="str">
        <f>IFERROR(__xludf.DUMMYFUNCTION("""COMPUTED_VALUE"""),"7034 Alexander Dr")</f>
        <v>7034 Alexander Dr</v>
      </c>
      <c r="AB868" s="22" t="str">
        <f>IFERROR(__xludf.DUMMYFUNCTION("""COMPUTED_VALUE"""),"Dallas, TX 75214")</f>
        <v>Dallas, TX 75214</v>
      </c>
      <c r="AC868" s="31" t="s">
        <v>2145</v>
      </c>
      <c r="AD868" s="22"/>
      <c r="AE868" s="22"/>
      <c r="AF868" s="22"/>
      <c r="AG868" s="22" t="s">
        <v>60</v>
      </c>
      <c r="AH868" s="54">
        <v>2481.0</v>
      </c>
      <c r="AI868" s="22" t="s">
        <v>68</v>
      </c>
      <c r="AJ868" s="27">
        <v>250.0</v>
      </c>
      <c r="AK868" s="31" t="s">
        <v>25</v>
      </c>
      <c r="AL868" s="28">
        <v>44827.0</v>
      </c>
      <c r="AM868" s="29">
        <v>44937.81995370371</v>
      </c>
      <c r="AN868" s="30">
        <v>2.0</v>
      </c>
      <c r="AO868" s="22"/>
      <c r="AP868" s="22"/>
      <c r="AQ868" s="22"/>
      <c r="AR868" s="22"/>
      <c r="AS868" s="22"/>
      <c r="AT868" s="70"/>
      <c r="AU868" s="22"/>
      <c r="AV868" s="57" t="str">
        <f>IFERROR(__xludf.DUMMYFUNCTION("""COMPUTED_VALUE"""),"Brata")</f>
        <v>Brata</v>
      </c>
      <c r="AW868" s="46">
        <f t="shared" si="7"/>
        <v>500</v>
      </c>
      <c r="AX868" s="47">
        <f t="shared" ref="AX868:BQ868" si="2715">SUMIFS($AJ:$AJ,$V:$V,$AV868,$AK:$AK,AX$2)</f>
        <v>0</v>
      </c>
      <c r="AY868" s="48">
        <f t="shared" si="2715"/>
        <v>0</v>
      </c>
      <c r="AZ868" s="48">
        <f t="shared" si="2715"/>
        <v>0</v>
      </c>
      <c r="BA868" s="48">
        <f t="shared" si="2715"/>
        <v>0</v>
      </c>
      <c r="BB868" s="48">
        <f t="shared" si="2715"/>
        <v>0</v>
      </c>
      <c r="BC868" s="48">
        <f t="shared" si="2715"/>
        <v>0</v>
      </c>
      <c r="BD868" s="48">
        <f t="shared" si="2715"/>
        <v>0</v>
      </c>
      <c r="BE868" s="48">
        <f t="shared" si="2715"/>
        <v>0</v>
      </c>
      <c r="BF868" s="48">
        <f t="shared" si="2715"/>
        <v>0</v>
      </c>
      <c r="BG868" s="48">
        <f t="shared" si="2715"/>
        <v>500</v>
      </c>
      <c r="BH868" s="48">
        <f t="shared" si="2715"/>
        <v>0</v>
      </c>
      <c r="BI868" s="48">
        <f t="shared" si="2715"/>
        <v>0</v>
      </c>
      <c r="BJ868" s="48">
        <f t="shared" si="2715"/>
        <v>0</v>
      </c>
      <c r="BK868" s="48">
        <f t="shared" si="2715"/>
        <v>0</v>
      </c>
      <c r="BL868" s="48">
        <f t="shared" si="2715"/>
        <v>0</v>
      </c>
      <c r="BM868" s="48">
        <f t="shared" si="2715"/>
        <v>0</v>
      </c>
      <c r="BN868" s="48">
        <f t="shared" si="2715"/>
        <v>0</v>
      </c>
      <c r="BO868" s="48">
        <f t="shared" si="2715"/>
        <v>0</v>
      </c>
      <c r="BP868" s="48">
        <f t="shared" si="2715"/>
        <v>0</v>
      </c>
      <c r="BQ868" s="48">
        <f t="shared" si="2715"/>
        <v>0</v>
      </c>
      <c r="BR868" s="36">
        <f t="shared" si="9"/>
        <v>0</v>
      </c>
      <c r="BS868" s="38">
        <f t="shared" si="10"/>
        <v>1</v>
      </c>
      <c r="BT868" s="49">
        <f t="shared" si="11"/>
        <v>0</v>
      </c>
      <c r="BU868" s="38">
        <f t="shared" si="12"/>
        <v>1000</v>
      </c>
      <c r="BV868" s="57" t="str">
        <f>IFERROR(__xludf.DUMMYFUNCTION("""COMPUTED_VALUE"""),"Brata")</f>
        <v>Brata</v>
      </c>
      <c r="BW868" s="46">
        <f t="shared" si="13"/>
        <v>500</v>
      </c>
      <c r="BX868" s="47">
        <f t="shared" ref="BX868:CA868" si="2716">AX868-$BU868</f>
        <v>-1000</v>
      </c>
      <c r="BY868" s="47">
        <f t="shared" si="2716"/>
        <v>-1000</v>
      </c>
      <c r="BZ868" s="47">
        <f t="shared" si="2716"/>
        <v>-1000</v>
      </c>
      <c r="CA868" s="47">
        <f t="shared" si="2716"/>
        <v>-1000</v>
      </c>
      <c r="CB868" s="47">
        <f t="shared" si="15"/>
        <v>-10000</v>
      </c>
      <c r="CC868" s="47">
        <f t="shared" ref="CC868:CQ868" si="2717">BC868-$BU868</f>
        <v>-1000</v>
      </c>
      <c r="CD868" s="47">
        <f t="shared" si="2717"/>
        <v>-1000</v>
      </c>
      <c r="CE868" s="47">
        <f t="shared" si="2717"/>
        <v>-1000</v>
      </c>
      <c r="CF868" s="47">
        <f t="shared" si="2717"/>
        <v>-1000</v>
      </c>
      <c r="CG868" s="47">
        <f t="shared" si="2717"/>
        <v>-500</v>
      </c>
      <c r="CH868" s="47">
        <f t="shared" si="2717"/>
        <v>-1000</v>
      </c>
      <c r="CI868" s="47">
        <f t="shared" si="2717"/>
        <v>-1000</v>
      </c>
      <c r="CJ868" s="47">
        <f t="shared" si="2717"/>
        <v>-1000</v>
      </c>
      <c r="CK868" s="47">
        <f t="shared" si="2717"/>
        <v>-1000</v>
      </c>
      <c r="CL868" s="47">
        <f t="shared" si="2717"/>
        <v>-1000</v>
      </c>
      <c r="CM868" s="47">
        <f t="shared" si="2717"/>
        <v>-1000</v>
      </c>
      <c r="CN868" s="47">
        <f t="shared" si="2717"/>
        <v>-1000</v>
      </c>
      <c r="CO868" s="47">
        <f t="shared" si="2717"/>
        <v>-1000</v>
      </c>
      <c r="CP868" s="47">
        <f t="shared" si="2717"/>
        <v>-1000</v>
      </c>
      <c r="CQ868" s="47">
        <f t="shared" si="2717"/>
        <v>-1000</v>
      </c>
      <c r="CR868" s="47"/>
      <c r="CS868" s="47"/>
      <c r="CT868" s="47"/>
      <c r="CU868" s="74"/>
      <c r="CV868" s="74"/>
      <c r="CW868" s="74" t="str">
        <f>IFERROR(__xludf.DUMMYFUNCTION("IF(REGEXMATCH(UPPER(CU868), ""DALLAS""),,CU868)"),"")</f>
        <v/>
      </c>
      <c r="CX868" s="74"/>
      <c r="CY868" s="74"/>
      <c r="CZ868" s="74"/>
      <c r="DA868" s="75"/>
      <c r="DB868" s="74"/>
      <c r="DC868" s="74"/>
      <c r="DD868" s="74"/>
      <c r="DE868" s="74"/>
      <c r="DF868" s="74"/>
      <c r="DG868" s="74"/>
      <c r="DH868" s="74"/>
      <c r="DI868" s="74"/>
      <c r="DJ868" s="74"/>
      <c r="DK868" s="74"/>
      <c r="DL868" s="74"/>
      <c r="DM868" s="74"/>
      <c r="DN868" s="74"/>
      <c r="DO868" s="74"/>
      <c r="DP868" s="74"/>
      <c r="DQ868" s="74"/>
      <c r="DR868" s="74"/>
      <c r="DS868" s="74"/>
      <c r="DT868" s="74"/>
      <c r="DU868" s="74"/>
      <c r="DV868" s="74"/>
      <c r="DW868" s="74"/>
    </row>
    <row r="869">
      <c r="A869" s="40" t="s">
        <v>55</v>
      </c>
      <c r="B869" s="41" t="s">
        <v>56</v>
      </c>
      <c r="C869" s="31" t="s">
        <v>2146</v>
      </c>
      <c r="D869" s="25" t="str">
        <f>IFERROR(__xludf.DUMMYFUNCTION("SPLIT(C869,"" "")"),"Bullock,")</f>
        <v>Bullock,</v>
      </c>
      <c r="E869" s="40" t="str">
        <f>IFERROR(__xludf.DUMMYFUNCTION("""COMPUTED_VALUE"""),"Robert")</f>
        <v>Robert</v>
      </c>
      <c r="F869" s="40" t="str">
        <f>IFERROR(__xludf.DUMMYFUNCTION("""COMPUTED_VALUE"""),"and")</f>
        <v>and</v>
      </c>
      <c r="G869" s="40" t="str">
        <f>IFERROR(__xludf.DUMMYFUNCTION("""COMPUTED_VALUE"""),"Sue
8020")</f>
        <v>Sue
8020</v>
      </c>
      <c r="H869" s="40" t="str">
        <f>IFERROR(__xludf.DUMMYFUNCTION("""COMPUTED_VALUE"""),"Frankford")</f>
        <v>Frankford</v>
      </c>
      <c r="I869" s="40" t="str">
        <f>IFERROR(__xludf.DUMMYFUNCTION("""COMPUTED_VALUE"""),"Rd
Dallas,")</f>
        <v>Rd
Dallas,</v>
      </c>
      <c r="J869" s="40" t="str">
        <f>IFERROR(__xludf.DUMMYFUNCTION("""COMPUTED_VALUE"""),"TX")</f>
        <v>TX</v>
      </c>
      <c r="K869" s="40">
        <f>IFERROR(__xludf.DUMMYFUNCTION("""COMPUTED_VALUE"""),75252.0)</f>
        <v>75252</v>
      </c>
      <c r="L869" s="40"/>
      <c r="M869" s="40"/>
      <c r="N869" s="40"/>
      <c r="O869" s="40"/>
      <c r="P869" s="40"/>
      <c r="Q869" s="40"/>
      <c r="R869" s="40"/>
      <c r="S869" s="40"/>
      <c r="T869" s="40"/>
      <c r="U869" s="24" t="str">
        <f>IFERROR(__xludf.DUMMYFUNCTION("SPLIT(E869,""01234567890"")"),"Robert")</f>
        <v>Robert</v>
      </c>
      <c r="V869" s="24" t="str">
        <f>IFERROR(__xludf.DUMMYFUNCTION("SPLIT(D869,"","")"),"Bullock")</f>
        <v>Bullock</v>
      </c>
      <c r="W869" s="25" t="str">
        <f t="shared" si="1"/>
        <v>ROBERT BULLOCK</v>
      </c>
      <c r="X869" s="40"/>
      <c r="Y869" s="40"/>
      <c r="Z869" s="25" t="str">
        <f>IFERROR(__xludf.DUMMYFUNCTION("SPLIT(C869,""
"")"),"Bullock, Robert and Sue")</f>
        <v>Bullock, Robert and Sue</v>
      </c>
      <c r="AA869" s="40" t="str">
        <f>IFERROR(__xludf.DUMMYFUNCTION("""COMPUTED_VALUE"""),"8020 Frankford Rd")</f>
        <v>8020 Frankford Rd</v>
      </c>
      <c r="AB869" s="40" t="str">
        <f>IFERROR(__xludf.DUMMYFUNCTION("""COMPUTED_VALUE"""),"Dallas, TX 75252")</f>
        <v>Dallas, TX 75252</v>
      </c>
      <c r="AC869" s="31" t="s">
        <v>2147</v>
      </c>
      <c r="AD869" s="40"/>
      <c r="AE869" s="40"/>
      <c r="AF869" s="40"/>
      <c r="AG869" s="40" t="s">
        <v>60</v>
      </c>
      <c r="AH869" s="42">
        <v>2481.0</v>
      </c>
      <c r="AI869" s="40" t="s">
        <v>68</v>
      </c>
      <c r="AJ869" s="27">
        <v>50.0</v>
      </c>
      <c r="AK869" s="31" t="s">
        <v>25</v>
      </c>
      <c r="AL869" s="43">
        <v>44827.0</v>
      </c>
      <c r="AM869" s="44">
        <v>44937.81995370371</v>
      </c>
      <c r="AN869" s="30">
        <v>2.0</v>
      </c>
      <c r="AO869" s="40"/>
      <c r="AP869" s="40"/>
      <c r="AQ869" s="40"/>
      <c r="AR869" s="40"/>
      <c r="AS869" s="40"/>
      <c r="AT869" s="47"/>
      <c r="AU869" s="40"/>
      <c r="AV869" s="46" t="str">
        <f>IFERROR(__xludf.DUMMYFUNCTION("""COMPUTED_VALUE"""),"Moreno")</f>
        <v>Moreno</v>
      </c>
      <c r="AW869" s="46">
        <f t="shared" si="7"/>
        <v>250</v>
      </c>
      <c r="AX869" s="47">
        <f t="shared" ref="AX869:BQ869" si="2718">SUMIFS($AJ:$AJ,$V:$V,$AV869,$AK:$AK,AX$2)</f>
        <v>0</v>
      </c>
      <c r="AY869" s="48">
        <f t="shared" si="2718"/>
        <v>0</v>
      </c>
      <c r="AZ869" s="48">
        <f t="shared" si="2718"/>
        <v>0</v>
      </c>
      <c r="BA869" s="48">
        <f t="shared" si="2718"/>
        <v>0</v>
      </c>
      <c r="BB869" s="48">
        <f t="shared" si="2718"/>
        <v>0</v>
      </c>
      <c r="BC869" s="48">
        <f t="shared" si="2718"/>
        <v>0</v>
      </c>
      <c r="BD869" s="48">
        <f t="shared" si="2718"/>
        <v>0</v>
      </c>
      <c r="BE869" s="48">
        <f t="shared" si="2718"/>
        <v>0</v>
      </c>
      <c r="BF869" s="48">
        <f t="shared" si="2718"/>
        <v>0</v>
      </c>
      <c r="BG869" s="48">
        <f t="shared" si="2718"/>
        <v>250</v>
      </c>
      <c r="BH869" s="48">
        <f t="shared" si="2718"/>
        <v>0</v>
      </c>
      <c r="BI869" s="48">
        <f t="shared" si="2718"/>
        <v>0</v>
      </c>
      <c r="BJ869" s="48">
        <f t="shared" si="2718"/>
        <v>0</v>
      </c>
      <c r="BK869" s="48">
        <f t="shared" si="2718"/>
        <v>0</v>
      </c>
      <c r="BL869" s="48">
        <f t="shared" si="2718"/>
        <v>0</v>
      </c>
      <c r="BM869" s="48">
        <f t="shared" si="2718"/>
        <v>0</v>
      </c>
      <c r="BN869" s="48">
        <f t="shared" si="2718"/>
        <v>0</v>
      </c>
      <c r="BO869" s="48">
        <f t="shared" si="2718"/>
        <v>0</v>
      </c>
      <c r="BP869" s="48">
        <f t="shared" si="2718"/>
        <v>0</v>
      </c>
      <c r="BQ869" s="48">
        <f t="shared" si="2718"/>
        <v>0</v>
      </c>
      <c r="BR869" s="36">
        <f t="shared" si="9"/>
        <v>0</v>
      </c>
      <c r="BS869" s="38">
        <f t="shared" si="10"/>
        <v>1</v>
      </c>
      <c r="BT869" s="49">
        <f t="shared" si="11"/>
        <v>0</v>
      </c>
      <c r="BU869" s="38">
        <f t="shared" si="12"/>
        <v>1000</v>
      </c>
      <c r="BV869" s="46" t="str">
        <f>IFERROR(__xludf.DUMMYFUNCTION("""COMPUTED_VALUE"""),"Moreno")</f>
        <v>Moreno</v>
      </c>
      <c r="BW869" s="46">
        <f t="shared" si="13"/>
        <v>250</v>
      </c>
      <c r="BX869" s="47">
        <f t="shared" ref="BX869:CA869" si="2719">AX869-$BU869</f>
        <v>-1000</v>
      </c>
      <c r="BY869" s="47">
        <f t="shared" si="2719"/>
        <v>-1000</v>
      </c>
      <c r="BZ869" s="47">
        <f t="shared" si="2719"/>
        <v>-1000</v>
      </c>
      <c r="CA869" s="47">
        <f t="shared" si="2719"/>
        <v>-1000</v>
      </c>
      <c r="CB869" s="47">
        <f t="shared" si="15"/>
        <v>-10000</v>
      </c>
      <c r="CC869" s="47">
        <f t="shared" ref="CC869:CQ869" si="2720">BC869-$BU869</f>
        <v>-1000</v>
      </c>
      <c r="CD869" s="47">
        <f t="shared" si="2720"/>
        <v>-1000</v>
      </c>
      <c r="CE869" s="47">
        <f t="shared" si="2720"/>
        <v>-1000</v>
      </c>
      <c r="CF869" s="47">
        <f t="shared" si="2720"/>
        <v>-1000</v>
      </c>
      <c r="CG869" s="47">
        <f t="shared" si="2720"/>
        <v>-750</v>
      </c>
      <c r="CH869" s="47">
        <f t="shared" si="2720"/>
        <v>-1000</v>
      </c>
      <c r="CI869" s="47">
        <f t="shared" si="2720"/>
        <v>-1000</v>
      </c>
      <c r="CJ869" s="47">
        <f t="shared" si="2720"/>
        <v>-1000</v>
      </c>
      <c r="CK869" s="47">
        <f t="shared" si="2720"/>
        <v>-1000</v>
      </c>
      <c r="CL869" s="47">
        <f t="shared" si="2720"/>
        <v>-1000</v>
      </c>
      <c r="CM869" s="47">
        <f t="shared" si="2720"/>
        <v>-1000</v>
      </c>
      <c r="CN869" s="47">
        <f t="shared" si="2720"/>
        <v>-1000</v>
      </c>
      <c r="CO869" s="47">
        <f t="shared" si="2720"/>
        <v>-1000</v>
      </c>
      <c r="CP869" s="47">
        <f t="shared" si="2720"/>
        <v>-1000</v>
      </c>
      <c r="CQ869" s="47">
        <f t="shared" si="2720"/>
        <v>-1000</v>
      </c>
      <c r="CR869" s="47"/>
      <c r="CS869" s="47"/>
      <c r="CT869" s="47"/>
      <c r="CU869" s="74"/>
      <c r="CV869" s="74"/>
      <c r="CW869" s="74" t="str">
        <f>IFERROR(__xludf.DUMMYFUNCTION("IF(REGEXMATCH(UPPER(CU869), ""DALLAS""),,CU869)"),"")</f>
        <v/>
      </c>
      <c r="CX869" s="74"/>
      <c r="CY869" s="74"/>
      <c r="CZ869" s="74"/>
      <c r="DA869" s="75"/>
      <c r="DB869" s="74"/>
      <c r="DC869" s="74"/>
      <c r="DD869" s="74"/>
      <c r="DE869" s="74"/>
      <c r="DF869" s="74"/>
      <c r="DG869" s="74"/>
      <c r="DH869" s="74"/>
      <c r="DI869" s="74"/>
      <c r="DJ869" s="74"/>
      <c r="DK869" s="74"/>
      <c r="DL869" s="74"/>
      <c r="DM869" s="74"/>
      <c r="DN869" s="74"/>
      <c r="DO869" s="74"/>
      <c r="DP869" s="74"/>
      <c r="DQ869" s="74"/>
      <c r="DR869" s="74"/>
      <c r="DS869" s="74"/>
      <c r="DT869" s="74"/>
      <c r="DU869" s="74"/>
      <c r="DV869" s="74"/>
      <c r="DW869" s="74"/>
    </row>
    <row r="870">
      <c r="A870" s="22" t="s">
        <v>55</v>
      </c>
      <c r="B870" s="23" t="s">
        <v>56</v>
      </c>
      <c r="C870" s="31" t="s">
        <v>2148</v>
      </c>
      <c r="D870" s="25" t="str">
        <f>IFERROR(__xludf.DUMMYFUNCTION("SPLIT(C870,"" "")"),"Popolo,")</f>
        <v>Popolo,</v>
      </c>
      <c r="E870" s="22" t="str">
        <f>IFERROR(__xludf.DUMMYFUNCTION("""COMPUTED_VALUE"""),"Joe
9002")</f>
        <v>Joe
9002</v>
      </c>
      <c r="F870" s="22" t="str">
        <f>IFERROR(__xludf.DUMMYFUNCTION("""COMPUTED_VALUE"""),"Douglas")</f>
        <v>Douglas</v>
      </c>
      <c r="G870" s="22" t="str">
        <f>IFERROR(__xludf.DUMMYFUNCTION("""COMPUTED_VALUE"""),"Ave
Dallas,")</f>
        <v>Ave
Dallas,</v>
      </c>
      <c r="H870" s="22" t="str">
        <f>IFERROR(__xludf.DUMMYFUNCTION("""COMPUTED_VALUE"""),"TX")</f>
        <v>TX</v>
      </c>
      <c r="I870" s="22">
        <f>IFERROR(__xludf.DUMMYFUNCTION("""COMPUTED_VALUE"""),75225.0)</f>
        <v>75225</v>
      </c>
      <c r="J870" s="22"/>
      <c r="K870" s="22"/>
      <c r="L870" s="22"/>
      <c r="M870" s="22"/>
      <c r="N870" s="22"/>
      <c r="O870" s="22"/>
      <c r="P870" s="22"/>
      <c r="Q870" s="22"/>
      <c r="R870" s="22"/>
      <c r="S870" s="22"/>
      <c r="T870" s="22"/>
      <c r="U870" s="24" t="str">
        <f>IFERROR(__xludf.DUMMYFUNCTION("SPLIT(E870,""01234567890"")"),"Joe
")</f>
        <v>Joe
</v>
      </c>
      <c r="V870" s="24" t="str">
        <f>IFERROR(__xludf.DUMMYFUNCTION("SPLIT(D870,"","")"),"Popolo")</f>
        <v>Popolo</v>
      </c>
      <c r="W870" s="25" t="str">
        <f t="shared" si="1"/>
        <v>JOE
 POPOLO</v>
      </c>
      <c r="X870" s="22"/>
      <c r="Y870" s="22"/>
      <c r="Z870" s="25" t="str">
        <f>IFERROR(__xludf.DUMMYFUNCTION("SPLIT(C870,""
"")"),"Popolo, Joe")</f>
        <v>Popolo, Joe</v>
      </c>
      <c r="AA870" s="22" t="str">
        <f>IFERROR(__xludf.DUMMYFUNCTION("""COMPUTED_VALUE"""),"9002 Douglas Ave")</f>
        <v>9002 Douglas Ave</v>
      </c>
      <c r="AB870" s="22" t="str">
        <f>IFERROR(__xludf.DUMMYFUNCTION("""COMPUTED_VALUE"""),"Dallas, TX 75225")</f>
        <v>Dallas, TX 75225</v>
      </c>
      <c r="AC870" s="31" t="s">
        <v>2149</v>
      </c>
      <c r="AD870" s="22"/>
      <c r="AE870" s="22"/>
      <c r="AF870" s="22"/>
      <c r="AG870" s="22" t="s">
        <v>60</v>
      </c>
      <c r="AH870" s="54">
        <v>2481.0</v>
      </c>
      <c r="AI870" s="22" t="s">
        <v>68</v>
      </c>
      <c r="AJ870" s="27">
        <v>1000.0</v>
      </c>
      <c r="AK870" s="31" t="s">
        <v>25</v>
      </c>
      <c r="AL870" s="28">
        <v>44827.0</v>
      </c>
      <c r="AM870" s="29">
        <v>44937.81995370371</v>
      </c>
      <c r="AN870" s="30">
        <v>2.0</v>
      </c>
      <c r="AO870" s="22"/>
      <c r="AP870" s="22"/>
      <c r="AQ870" s="22"/>
      <c r="AR870" s="22"/>
      <c r="AS870" s="22"/>
      <c r="AT870" s="70"/>
      <c r="AU870" s="22"/>
      <c r="AV870" s="57" t="str">
        <f>IFERROR(__xludf.DUMMYFUNCTION("""COMPUTED_VALUE"""),"Lovejoy")</f>
        <v>Lovejoy</v>
      </c>
      <c r="AW870" s="46">
        <f t="shared" si="7"/>
        <v>100</v>
      </c>
      <c r="AX870" s="47">
        <f t="shared" ref="AX870:BQ870" si="2721">SUMIFS($AJ:$AJ,$V:$V,$AV870,$AK:$AK,AX$2)</f>
        <v>0</v>
      </c>
      <c r="AY870" s="48">
        <f t="shared" si="2721"/>
        <v>0</v>
      </c>
      <c r="AZ870" s="48">
        <f t="shared" si="2721"/>
        <v>0</v>
      </c>
      <c r="BA870" s="48">
        <f t="shared" si="2721"/>
        <v>0</v>
      </c>
      <c r="BB870" s="48">
        <f t="shared" si="2721"/>
        <v>0</v>
      </c>
      <c r="BC870" s="48">
        <f t="shared" si="2721"/>
        <v>0</v>
      </c>
      <c r="BD870" s="48">
        <f t="shared" si="2721"/>
        <v>0</v>
      </c>
      <c r="BE870" s="48">
        <f t="shared" si="2721"/>
        <v>0</v>
      </c>
      <c r="BF870" s="48">
        <f t="shared" si="2721"/>
        <v>0</v>
      </c>
      <c r="BG870" s="48">
        <f t="shared" si="2721"/>
        <v>100</v>
      </c>
      <c r="BH870" s="48">
        <f t="shared" si="2721"/>
        <v>0</v>
      </c>
      <c r="BI870" s="48">
        <f t="shared" si="2721"/>
        <v>0</v>
      </c>
      <c r="BJ870" s="48">
        <f t="shared" si="2721"/>
        <v>0</v>
      </c>
      <c r="BK870" s="48">
        <f t="shared" si="2721"/>
        <v>0</v>
      </c>
      <c r="BL870" s="48">
        <f t="shared" si="2721"/>
        <v>0</v>
      </c>
      <c r="BM870" s="48">
        <f t="shared" si="2721"/>
        <v>0</v>
      </c>
      <c r="BN870" s="48">
        <f t="shared" si="2721"/>
        <v>0</v>
      </c>
      <c r="BO870" s="48">
        <f t="shared" si="2721"/>
        <v>0</v>
      </c>
      <c r="BP870" s="48">
        <f t="shared" si="2721"/>
        <v>0</v>
      </c>
      <c r="BQ870" s="48">
        <f t="shared" si="2721"/>
        <v>0</v>
      </c>
      <c r="BR870" s="36">
        <f t="shared" si="9"/>
        <v>0</v>
      </c>
      <c r="BS870" s="38">
        <f t="shared" si="10"/>
        <v>1</v>
      </c>
      <c r="BT870" s="49">
        <f t="shared" si="11"/>
        <v>0</v>
      </c>
      <c r="BU870" s="38">
        <f t="shared" si="12"/>
        <v>1000</v>
      </c>
      <c r="BV870" s="57" t="str">
        <f>IFERROR(__xludf.DUMMYFUNCTION("""COMPUTED_VALUE"""),"Lovejoy")</f>
        <v>Lovejoy</v>
      </c>
      <c r="BW870" s="46">
        <f t="shared" si="13"/>
        <v>100</v>
      </c>
      <c r="BX870" s="47">
        <f t="shared" ref="BX870:CA870" si="2722">AX870-$BU870</f>
        <v>-1000</v>
      </c>
      <c r="BY870" s="47">
        <f t="shared" si="2722"/>
        <v>-1000</v>
      </c>
      <c r="BZ870" s="47">
        <f t="shared" si="2722"/>
        <v>-1000</v>
      </c>
      <c r="CA870" s="47">
        <f t="shared" si="2722"/>
        <v>-1000</v>
      </c>
      <c r="CB870" s="47">
        <f t="shared" si="15"/>
        <v>-10000</v>
      </c>
      <c r="CC870" s="47">
        <f t="shared" ref="CC870:CQ870" si="2723">BC870-$BU870</f>
        <v>-1000</v>
      </c>
      <c r="CD870" s="47">
        <f t="shared" si="2723"/>
        <v>-1000</v>
      </c>
      <c r="CE870" s="47">
        <f t="shared" si="2723"/>
        <v>-1000</v>
      </c>
      <c r="CF870" s="47">
        <f t="shared" si="2723"/>
        <v>-1000</v>
      </c>
      <c r="CG870" s="47">
        <f t="shared" si="2723"/>
        <v>-900</v>
      </c>
      <c r="CH870" s="47">
        <f t="shared" si="2723"/>
        <v>-1000</v>
      </c>
      <c r="CI870" s="47">
        <f t="shared" si="2723"/>
        <v>-1000</v>
      </c>
      <c r="CJ870" s="47">
        <f t="shared" si="2723"/>
        <v>-1000</v>
      </c>
      <c r="CK870" s="47">
        <f t="shared" si="2723"/>
        <v>-1000</v>
      </c>
      <c r="CL870" s="47">
        <f t="shared" si="2723"/>
        <v>-1000</v>
      </c>
      <c r="CM870" s="47">
        <f t="shared" si="2723"/>
        <v>-1000</v>
      </c>
      <c r="CN870" s="47">
        <f t="shared" si="2723"/>
        <v>-1000</v>
      </c>
      <c r="CO870" s="47">
        <f t="shared" si="2723"/>
        <v>-1000</v>
      </c>
      <c r="CP870" s="47">
        <f t="shared" si="2723"/>
        <v>-1000</v>
      </c>
      <c r="CQ870" s="47">
        <f t="shared" si="2723"/>
        <v>-1000</v>
      </c>
      <c r="CR870" s="47"/>
      <c r="CS870" s="47"/>
      <c r="CT870" s="47"/>
      <c r="CU870" s="74"/>
      <c r="CV870" s="74"/>
      <c r="CW870" s="74" t="str">
        <f>IFERROR(__xludf.DUMMYFUNCTION("IF(REGEXMATCH(UPPER(CU870), ""DALLAS""),,CU870)"),"")</f>
        <v/>
      </c>
      <c r="CX870" s="74"/>
      <c r="CY870" s="74"/>
      <c r="CZ870" s="74"/>
      <c r="DA870" s="75"/>
      <c r="DB870" s="74"/>
      <c r="DC870" s="74"/>
      <c r="DD870" s="74"/>
      <c r="DE870" s="74"/>
      <c r="DF870" s="74"/>
      <c r="DG870" s="74"/>
      <c r="DH870" s="74"/>
      <c r="DI870" s="74"/>
      <c r="DJ870" s="74"/>
      <c r="DK870" s="74"/>
      <c r="DL870" s="74"/>
      <c r="DM870" s="74"/>
      <c r="DN870" s="74"/>
      <c r="DO870" s="74"/>
      <c r="DP870" s="74"/>
      <c r="DQ870" s="74"/>
      <c r="DR870" s="74"/>
      <c r="DS870" s="74"/>
      <c r="DT870" s="74"/>
      <c r="DU870" s="74"/>
      <c r="DV870" s="74"/>
      <c r="DW870" s="74"/>
    </row>
    <row r="871">
      <c r="A871" s="40" t="s">
        <v>55</v>
      </c>
      <c r="B871" s="41" t="s">
        <v>56</v>
      </c>
      <c r="C871" s="31" t="s">
        <v>2150</v>
      </c>
      <c r="D871" s="25" t="str">
        <f>IFERROR(__xludf.DUMMYFUNCTION("SPLIT(C871,"" "")"),"Capelo,")</f>
        <v>Capelo,</v>
      </c>
      <c r="E871" s="40" t="str">
        <f>IFERROR(__xludf.DUMMYFUNCTION("""COMPUTED_VALUE"""),"Jaime
401")</f>
        <v>Jaime
401</v>
      </c>
      <c r="F871" s="40" t="str">
        <f>IFERROR(__xludf.DUMMYFUNCTION("""COMPUTED_VALUE"""),"W")</f>
        <v>W</v>
      </c>
      <c r="G871" s="40" t="str">
        <f>IFERROR(__xludf.DUMMYFUNCTION("""COMPUTED_VALUE"""),"15th")</f>
        <v>15th</v>
      </c>
      <c r="H871" s="40" t="str">
        <f>IFERROR(__xludf.DUMMYFUNCTION("""COMPUTED_VALUE"""),"St
Austin,")</f>
        <v>St
Austin,</v>
      </c>
      <c r="I871" s="40" t="str">
        <f>IFERROR(__xludf.DUMMYFUNCTION("""COMPUTED_VALUE"""),"TX")</f>
        <v>TX</v>
      </c>
      <c r="J871" s="40">
        <f>IFERROR(__xludf.DUMMYFUNCTION("""COMPUTED_VALUE"""),78701.0)</f>
        <v>78701</v>
      </c>
      <c r="K871" s="40"/>
      <c r="L871" s="40"/>
      <c r="M871" s="40"/>
      <c r="N871" s="40"/>
      <c r="O871" s="40"/>
      <c r="P871" s="40"/>
      <c r="Q871" s="40"/>
      <c r="R871" s="40"/>
      <c r="S871" s="40"/>
      <c r="T871" s="40"/>
      <c r="U871" s="24" t="str">
        <f>IFERROR(__xludf.DUMMYFUNCTION("SPLIT(E871,""01234567890"")"),"Jaime
")</f>
        <v>Jaime
</v>
      </c>
      <c r="V871" s="24" t="str">
        <f>IFERROR(__xludf.DUMMYFUNCTION("SPLIT(D871,"","")"),"Capelo")</f>
        <v>Capelo</v>
      </c>
      <c r="W871" s="25" t="str">
        <f t="shared" si="1"/>
        <v>JAIME
 CAPELO</v>
      </c>
      <c r="X871" s="40"/>
      <c r="Y871" s="40"/>
      <c r="Z871" s="25" t="str">
        <f>IFERROR(__xludf.DUMMYFUNCTION("SPLIT(C871,""
"")"),"Capelo, Jaime")</f>
        <v>Capelo, Jaime</v>
      </c>
      <c r="AA871" s="40" t="str">
        <f>IFERROR(__xludf.DUMMYFUNCTION("""COMPUTED_VALUE"""),"401 W 15th St")</f>
        <v>401 W 15th St</v>
      </c>
      <c r="AB871" s="40" t="str">
        <f>IFERROR(__xludf.DUMMYFUNCTION("""COMPUTED_VALUE"""),"Austin, TX 78701")</f>
        <v>Austin, TX 78701</v>
      </c>
      <c r="AC871" s="31" t="s">
        <v>2151</v>
      </c>
      <c r="AD871" s="40"/>
      <c r="AE871" s="40"/>
      <c r="AF871" s="40"/>
      <c r="AG871" s="40" t="s">
        <v>60</v>
      </c>
      <c r="AH871" s="42">
        <v>2481.0</v>
      </c>
      <c r="AI871" s="40" t="s">
        <v>68</v>
      </c>
      <c r="AJ871" s="27">
        <v>2500.0</v>
      </c>
      <c r="AK871" s="31" t="s">
        <v>25</v>
      </c>
      <c r="AL871" s="43">
        <v>44827.0</v>
      </c>
      <c r="AM871" s="44">
        <v>44937.81995370371</v>
      </c>
      <c r="AN871" s="30">
        <v>2.0</v>
      </c>
      <c r="AO871" s="40"/>
      <c r="AP871" s="40"/>
      <c r="AQ871" s="40"/>
      <c r="AR871" s="40"/>
      <c r="AS871" s="40"/>
      <c r="AT871" s="47"/>
      <c r="AU871" s="40"/>
      <c r="AV871" s="46" t="str">
        <f>IFERROR(__xludf.DUMMYFUNCTION("""COMPUTED_VALUE"""),"Wood")</f>
        <v>Wood</v>
      </c>
      <c r="AW871" s="46">
        <f t="shared" si="7"/>
        <v>1100</v>
      </c>
      <c r="AX871" s="47">
        <f t="shared" ref="AX871:BQ871" si="2724">SUMIFS($AJ:$AJ,$V:$V,$AV871,$AK:$AK,AX$2)</f>
        <v>1000</v>
      </c>
      <c r="AY871" s="48">
        <f t="shared" si="2724"/>
        <v>0</v>
      </c>
      <c r="AZ871" s="48">
        <f t="shared" si="2724"/>
        <v>0</v>
      </c>
      <c r="BA871" s="48">
        <f t="shared" si="2724"/>
        <v>0</v>
      </c>
      <c r="BB871" s="48">
        <f t="shared" si="2724"/>
        <v>0</v>
      </c>
      <c r="BC871" s="48">
        <f t="shared" si="2724"/>
        <v>0</v>
      </c>
      <c r="BD871" s="48">
        <f t="shared" si="2724"/>
        <v>0</v>
      </c>
      <c r="BE871" s="48">
        <f t="shared" si="2724"/>
        <v>0</v>
      </c>
      <c r="BF871" s="48">
        <f t="shared" si="2724"/>
        <v>0</v>
      </c>
      <c r="BG871" s="48">
        <f t="shared" si="2724"/>
        <v>100</v>
      </c>
      <c r="BH871" s="48">
        <f t="shared" si="2724"/>
        <v>0</v>
      </c>
      <c r="BI871" s="48">
        <f t="shared" si="2724"/>
        <v>0</v>
      </c>
      <c r="BJ871" s="48">
        <f t="shared" si="2724"/>
        <v>0</v>
      </c>
      <c r="BK871" s="48">
        <f t="shared" si="2724"/>
        <v>0</v>
      </c>
      <c r="BL871" s="48">
        <f t="shared" si="2724"/>
        <v>0</v>
      </c>
      <c r="BM871" s="48">
        <f t="shared" si="2724"/>
        <v>0</v>
      </c>
      <c r="BN871" s="48">
        <f t="shared" si="2724"/>
        <v>0</v>
      </c>
      <c r="BO871" s="48">
        <f t="shared" si="2724"/>
        <v>0</v>
      </c>
      <c r="BP871" s="48">
        <f t="shared" si="2724"/>
        <v>0</v>
      </c>
      <c r="BQ871" s="48">
        <f t="shared" si="2724"/>
        <v>0</v>
      </c>
      <c r="BR871" s="36">
        <f t="shared" si="9"/>
        <v>1</v>
      </c>
      <c r="BS871" s="38">
        <f t="shared" si="10"/>
        <v>2</v>
      </c>
      <c r="BT871" s="49">
        <f t="shared" si="11"/>
        <v>0</v>
      </c>
      <c r="BU871" s="38">
        <f t="shared" si="12"/>
        <v>2000</v>
      </c>
      <c r="BV871" s="46" t="str">
        <f>IFERROR(__xludf.DUMMYFUNCTION("""COMPUTED_VALUE"""),"Wood")</f>
        <v>Wood</v>
      </c>
      <c r="BW871" s="46">
        <f t="shared" si="13"/>
        <v>1100</v>
      </c>
      <c r="BX871" s="47">
        <f t="shared" ref="BX871:CA871" si="2725">AX871-$BU871</f>
        <v>-1000</v>
      </c>
      <c r="BY871" s="47">
        <f t="shared" si="2725"/>
        <v>-2000</v>
      </c>
      <c r="BZ871" s="47">
        <f t="shared" si="2725"/>
        <v>-2000</v>
      </c>
      <c r="CA871" s="47">
        <f t="shared" si="2725"/>
        <v>-2000</v>
      </c>
      <c r="CB871" s="47">
        <f t="shared" si="15"/>
        <v>-20000</v>
      </c>
      <c r="CC871" s="47">
        <f t="shared" ref="CC871:CQ871" si="2726">BC871-$BU871</f>
        <v>-2000</v>
      </c>
      <c r="CD871" s="47">
        <f t="shared" si="2726"/>
        <v>-2000</v>
      </c>
      <c r="CE871" s="47">
        <f t="shared" si="2726"/>
        <v>-2000</v>
      </c>
      <c r="CF871" s="47">
        <f t="shared" si="2726"/>
        <v>-2000</v>
      </c>
      <c r="CG871" s="47">
        <f t="shared" si="2726"/>
        <v>-1900</v>
      </c>
      <c r="CH871" s="47">
        <f t="shared" si="2726"/>
        <v>-2000</v>
      </c>
      <c r="CI871" s="47">
        <f t="shared" si="2726"/>
        <v>-2000</v>
      </c>
      <c r="CJ871" s="47">
        <f t="shared" si="2726"/>
        <v>-2000</v>
      </c>
      <c r="CK871" s="47">
        <f t="shared" si="2726"/>
        <v>-2000</v>
      </c>
      <c r="CL871" s="47">
        <f t="shared" si="2726"/>
        <v>-2000</v>
      </c>
      <c r="CM871" s="47">
        <f t="shared" si="2726"/>
        <v>-2000</v>
      </c>
      <c r="CN871" s="47">
        <f t="shared" si="2726"/>
        <v>-2000</v>
      </c>
      <c r="CO871" s="47">
        <f t="shared" si="2726"/>
        <v>-2000</v>
      </c>
      <c r="CP871" s="47">
        <f t="shared" si="2726"/>
        <v>-2000</v>
      </c>
      <c r="CQ871" s="47">
        <f t="shared" si="2726"/>
        <v>-2000</v>
      </c>
      <c r="CR871" s="47"/>
      <c r="CS871" s="47"/>
      <c r="CT871" s="47"/>
      <c r="CU871" s="74"/>
      <c r="CV871" s="74"/>
      <c r="CW871" s="74" t="str">
        <f>IFERROR(__xludf.DUMMYFUNCTION("IF(REGEXMATCH(UPPER(CU871), ""DALLAS""),,CU871)"),"")</f>
        <v/>
      </c>
      <c r="CX871" s="74"/>
      <c r="CY871" s="74"/>
      <c r="CZ871" s="74"/>
      <c r="DA871" s="75"/>
      <c r="DB871" s="74"/>
      <c r="DC871" s="74"/>
      <c r="DD871" s="74"/>
      <c r="DE871" s="74"/>
      <c r="DF871" s="74"/>
      <c r="DG871" s="74"/>
      <c r="DH871" s="74"/>
      <c r="DI871" s="74"/>
      <c r="DJ871" s="74"/>
      <c r="DK871" s="74"/>
      <c r="DL871" s="74"/>
      <c r="DM871" s="74"/>
      <c r="DN871" s="74"/>
      <c r="DO871" s="74"/>
      <c r="DP871" s="74"/>
      <c r="DQ871" s="74"/>
      <c r="DR871" s="74"/>
      <c r="DS871" s="74"/>
      <c r="DT871" s="74"/>
      <c r="DU871" s="74"/>
      <c r="DV871" s="74"/>
      <c r="DW871" s="74"/>
    </row>
    <row r="872">
      <c r="A872" s="22" t="s">
        <v>55</v>
      </c>
      <c r="B872" s="23" t="s">
        <v>56</v>
      </c>
      <c r="C872" s="31" t="s">
        <v>2152</v>
      </c>
      <c r="D872" s="25" t="str">
        <f>IFERROR(__xludf.DUMMYFUNCTION("SPLIT(C872,"" "")"),"Feinstein,")</f>
        <v>Feinstein,</v>
      </c>
      <c r="E872" s="22" t="str">
        <f>IFERROR(__xludf.DUMMYFUNCTION("""COMPUTED_VALUE"""),"Ari
7047")</f>
        <v>Ari
7047</v>
      </c>
      <c r="F872" s="22" t="str">
        <f>IFERROR(__xludf.DUMMYFUNCTION("""COMPUTED_VALUE"""),"Currin")</f>
        <v>Currin</v>
      </c>
      <c r="G872" s="22" t="str">
        <f>IFERROR(__xludf.DUMMYFUNCTION("""COMPUTED_VALUE"""),"Dr
Dallas,")</f>
        <v>Dr
Dallas,</v>
      </c>
      <c r="H872" s="22" t="str">
        <f>IFERROR(__xludf.DUMMYFUNCTION("""COMPUTED_VALUE"""),"TX")</f>
        <v>TX</v>
      </c>
      <c r="I872" s="22">
        <f>IFERROR(__xludf.DUMMYFUNCTION("""COMPUTED_VALUE"""),75230.0)</f>
        <v>75230</v>
      </c>
      <c r="J872" s="22"/>
      <c r="K872" s="22"/>
      <c r="L872" s="22"/>
      <c r="M872" s="22"/>
      <c r="N872" s="22"/>
      <c r="O872" s="22"/>
      <c r="P872" s="22"/>
      <c r="Q872" s="22"/>
      <c r="R872" s="22"/>
      <c r="S872" s="22"/>
      <c r="T872" s="22"/>
      <c r="U872" s="24" t="str">
        <f>IFERROR(__xludf.DUMMYFUNCTION("SPLIT(E872,""01234567890"")"),"Ari
")</f>
        <v>Ari
</v>
      </c>
      <c r="V872" s="24" t="str">
        <f>IFERROR(__xludf.DUMMYFUNCTION("SPLIT(D872,"","")"),"Feinstein")</f>
        <v>Feinstein</v>
      </c>
      <c r="W872" s="25" t="str">
        <f t="shared" si="1"/>
        <v>ARI
 FEINSTEIN</v>
      </c>
      <c r="X872" s="22"/>
      <c r="Y872" s="22"/>
      <c r="Z872" s="25" t="str">
        <f>IFERROR(__xludf.DUMMYFUNCTION("SPLIT(C872,""
"")"),"Feinstein, Ari")</f>
        <v>Feinstein, Ari</v>
      </c>
      <c r="AA872" s="22" t="str">
        <f>IFERROR(__xludf.DUMMYFUNCTION("""COMPUTED_VALUE"""),"7047 Currin Dr")</f>
        <v>7047 Currin Dr</v>
      </c>
      <c r="AB872" s="22" t="str">
        <f>IFERROR(__xludf.DUMMYFUNCTION("""COMPUTED_VALUE"""),"Dallas, TX 75230")</f>
        <v>Dallas, TX 75230</v>
      </c>
      <c r="AC872" s="31" t="s">
        <v>2153</v>
      </c>
      <c r="AD872" s="22"/>
      <c r="AE872" s="22"/>
      <c r="AF872" s="22"/>
      <c r="AG872" s="22" t="s">
        <v>60</v>
      </c>
      <c r="AH872" s="54">
        <v>2481.0</v>
      </c>
      <c r="AI872" s="22" t="s">
        <v>68</v>
      </c>
      <c r="AJ872" s="27">
        <v>1000.0</v>
      </c>
      <c r="AK872" s="31" t="s">
        <v>25</v>
      </c>
      <c r="AL872" s="28">
        <v>44827.0</v>
      </c>
      <c r="AM872" s="29">
        <v>44937.81995370371</v>
      </c>
      <c r="AN872" s="30">
        <v>2.0</v>
      </c>
      <c r="AO872" s="22"/>
      <c r="AP872" s="22"/>
      <c r="AQ872" s="22"/>
      <c r="AR872" s="22"/>
      <c r="AS872" s="22"/>
      <c r="AT872" s="70"/>
      <c r="AU872" s="22"/>
      <c r="AV872" s="57" t="str">
        <f>IFERROR(__xludf.DUMMYFUNCTION("""COMPUTED_VALUE"""),"Nix")</f>
        <v>Nix</v>
      </c>
      <c r="AW872" s="46">
        <f t="shared" si="7"/>
        <v>300</v>
      </c>
      <c r="AX872" s="47">
        <f t="shared" ref="AX872:BQ872" si="2727">SUMIFS($AJ:$AJ,$V:$V,$AV872,$AK:$AK,AX$2)</f>
        <v>0</v>
      </c>
      <c r="AY872" s="48">
        <f t="shared" si="2727"/>
        <v>0</v>
      </c>
      <c r="AZ872" s="48">
        <f t="shared" si="2727"/>
        <v>0</v>
      </c>
      <c r="BA872" s="48">
        <f t="shared" si="2727"/>
        <v>0</v>
      </c>
      <c r="BB872" s="48">
        <f t="shared" si="2727"/>
        <v>0</v>
      </c>
      <c r="BC872" s="48">
        <f t="shared" si="2727"/>
        <v>0</v>
      </c>
      <c r="BD872" s="48">
        <f t="shared" si="2727"/>
        <v>0</v>
      </c>
      <c r="BE872" s="48">
        <f t="shared" si="2727"/>
        <v>0</v>
      </c>
      <c r="BF872" s="48">
        <f t="shared" si="2727"/>
        <v>0</v>
      </c>
      <c r="BG872" s="48">
        <f t="shared" si="2727"/>
        <v>300</v>
      </c>
      <c r="BH872" s="48">
        <f t="shared" si="2727"/>
        <v>0</v>
      </c>
      <c r="BI872" s="48">
        <f t="shared" si="2727"/>
        <v>0</v>
      </c>
      <c r="BJ872" s="48">
        <f t="shared" si="2727"/>
        <v>0</v>
      </c>
      <c r="BK872" s="48">
        <f t="shared" si="2727"/>
        <v>0</v>
      </c>
      <c r="BL872" s="48">
        <f t="shared" si="2727"/>
        <v>0</v>
      </c>
      <c r="BM872" s="48">
        <f t="shared" si="2727"/>
        <v>0</v>
      </c>
      <c r="BN872" s="48">
        <f t="shared" si="2727"/>
        <v>0</v>
      </c>
      <c r="BO872" s="48">
        <f t="shared" si="2727"/>
        <v>0</v>
      </c>
      <c r="BP872" s="48">
        <f t="shared" si="2727"/>
        <v>0</v>
      </c>
      <c r="BQ872" s="48">
        <f t="shared" si="2727"/>
        <v>0</v>
      </c>
      <c r="BR872" s="36">
        <f t="shared" si="9"/>
        <v>0</v>
      </c>
      <c r="BS872" s="38">
        <f t="shared" si="10"/>
        <v>1</v>
      </c>
      <c r="BT872" s="49">
        <f t="shared" si="11"/>
        <v>0</v>
      </c>
      <c r="BU872" s="38">
        <f t="shared" si="12"/>
        <v>1000</v>
      </c>
      <c r="BV872" s="57" t="str">
        <f>IFERROR(__xludf.DUMMYFUNCTION("""COMPUTED_VALUE"""),"Nix")</f>
        <v>Nix</v>
      </c>
      <c r="BW872" s="46">
        <f t="shared" si="13"/>
        <v>300</v>
      </c>
      <c r="BX872" s="47">
        <f t="shared" ref="BX872:CA872" si="2728">AX872-$BU872</f>
        <v>-1000</v>
      </c>
      <c r="BY872" s="47">
        <f t="shared" si="2728"/>
        <v>-1000</v>
      </c>
      <c r="BZ872" s="47">
        <f t="shared" si="2728"/>
        <v>-1000</v>
      </c>
      <c r="CA872" s="47">
        <f t="shared" si="2728"/>
        <v>-1000</v>
      </c>
      <c r="CB872" s="47">
        <f t="shared" si="15"/>
        <v>-10000</v>
      </c>
      <c r="CC872" s="47">
        <f t="shared" ref="CC872:CQ872" si="2729">BC872-$BU872</f>
        <v>-1000</v>
      </c>
      <c r="CD872" s="47">
        <f t="shared" si="2729"/>
        <v>-1000</v>
      </c>
      <c r="CE872" s="47">
        <f t="shared" si="2729"/>
        <v>-1000</v>
      </c>
      <c r="CF872" s="47">
        <f t="shared" si="2729"/>
        <v>-1000</v>
      </c>
      <c r="CG872" s="47">
        <f t="shared" si="2729"/>
        <v>-700</v>
      </c>
      <c r="CH872" s="47">
        <f t="shared" si="2729"/>
        <v>-1000</v>
      </c>
      <c r="CI872" s="47">
        <f t="shared" si="2729"/>
        <v>-1000</v>
      </c>
      <c r="CJ872" s="47">
        <f t="shared" si="2729"/>
        <v>-1000</v>
      </c>
      <c r="CK872" s="47">
        <f t="shared" si="2729"/>
        <v>-1000</v>
      </c>
      <c r="CL872" s="47">
        <f t="shared" si="2729"/>
        <v>-1000</v>
      </c>
      <c r="CM872" s="47">
        <f t="shared" si="2729"/>
        <v>-1000</v>
      </c>
      <c r="CN872" s="47">
        <f t="shared" si="2729"/>
        <v>-1000</v>
      </c>
      <c r="CO872" s="47">
        <f t="shared" si="2729"/>
        <v>-1000</v>
      </c>
      <c r="CP872" s="47">
        <f t="shared" si="2729"/>
        <v>-1000</v>
      </c>
      <c r="CQ872" s="47">
        <f t="shared" si="2729"/>
        <v>-1000</v>
      </c>
      <c r="CR872" s="47"/>
      <c r="CS872" s="47"/>
      <c r="CT872" s="47"/>
      <c r="CU872" s="74"/>
      <c r="CV872" s="74"/>
      <c r="CW872" s="74" t="str">
        <f>IFERROR(__xludf.DUMMYFUNCTION("IF(REGEXMATCH(UPPER(CU872), ""DALLAS""),,CU872)"),"")</f>
        <v/>
      </c>
      <c r="CX872" s="74"/>
      <c r="CY872" s="74"/>
      <c r="CZ872" s="74"/>
      <c r="DA872" s="75"/>
      <c r="DB872" s="74"/>
      <c r="DC872" s="74"/>
      <c r="DD872" s="74"/>
      <c r="DE872" s="74"/>
      <c r="DF872" s="74"/>
      <c r="DG872" s="74"/>
      <c r="DH872" s="74"/>
      <c r="DI872" s="74"/>
      <c r="DJ872" s="74"/>
      <c r="DK872" s="74"/>
      <c r="DL872" s="74"/>
      <c r="DM872" s="74"/>
      <c r="DN872" s="74"/>
      <c r="DO872" s="74"/>
      <c r="DP872" s="74"/>
      <c r="DQ872" s="74"/>
      <c r="DR872" s="74"/>
      <c r="DS872" s="74"/>
      <c r="DT872" s="74"/>
      <c r="DU872" s="74"/>
      <c r="DV872" s="74"/>
      <c r="DW872" s="74"/>
    </row>
    <row r="873">
      <c r="A873" s="40" t="s">
        <v>55</v>
      </c>
      <c r="B873" s="41" t="s">
        <v>56</v>
      </c>
      <c r="C873" s="31" t="s">
        <v>2154</v>
      </c>
      <c r="D873" s="25" t="str">
        <f>IFERROR(__xludf.DUMMYFUNCTION("SPLIT(C873,"" "")"),"Lazof,")</f>
        <v>Lazof,</v>
      </c>
      <c r="E873" s="40" t="str">
        <f>IFERROR(__xludf.DUMMYFUNCTION("""COMPUTED_VALUE"""),"Chenza
2555")</f>
        <v>Chenza
2555</v>
      </c>
      <c r="F873" s="40" t="str">
        <f>IFERROR(__xludf.DUMMYFUNCTION("""COMPUTED_VALUE"""),"N")</f>
        <v>N</v>
      </c>
      <c r="G873" s="40" t="str">
        <f>IFERROR(__xludf.DUMMYFUNCTION("""COMPUTED_VALUE"""),"Pearl")</f>
        <v>Pearl</v>
      </c>
      <c r="H873" s="40" t="str">
        <f>IFERROR(__xludf.DUMMYFUNCTION("""COMPUTED_VALUE"""),"St
Dallas,")</f>
        <v>St
Dallas,</v>
      </c>
      <c r="I873" s="40" t="str">
        <f>IFERROR(__xludf.DUMMYFUNCTION("""COMPUTED_VALUE"""),"TX")</f>
        <v>TX</v>
      </c>
      <c r="J873" s="40">
        <f>IFERROR(__xludf.DUMMYFUNCTION("""COMPUTED_VALUE"""),75201.0)</f>
        <v>75201</v>
      </c>
      <c r="K873" s="40"/>
      <c r="L873" s="40"/>
      <c r="M873" s="40"/>
      <c r="N873" s="40"/>
      <c r="O873" s="40"/>
      <c r="P873" s="40"/>
      <c r="Q873" s="40"/>
      <c r="R873" s="40"/>
      <c r="S873" s="40"/>
      <c r="T873" s="40"/>
      <c r="U873" s="24" t="str">
        <f>IFERROR(__xludf.DUMMYFUNCTION("SPLIT(E873,""01234567890"")"),"Chenza
")</f>
        <v>Chenza
</v>
      </c>
      <c r="V873" s="24" t="str">
        <f>IFERROR(__xludf.DUMMYFUNCTION("SPLIT(D873,"","")"),"Lazof")</f>
        <v>Lazof</v>
      </c>
      <c r="W873" s="25" t="str">
        <f t="shared" si="1"/>
        <v>CHENZA
 LAZOF</v>
      </c>
      <c r="X873" s="40"/>
      <c r="Y873" s="40"/>
      <c r="Z873" s="25" t="str">
        <f>IFERROR(__xludf.DUMMYFUNCTION("SPLIT(C873,""
"")"),"Lazof, Chenza")</f>
        <v>Lazof, Chenza</v>
      </c>
      <c r="AA873" s="40" t="str">
        <f>IFERROR(__xludf.DUMMYFUNCTION("""COMPUTED_VALUE"""),"2555 N Pearl St")</f>
        <v>2555 N Pearl St</v>
      </c>
      <c r="AB873" s="40" t="str">
        <f>IFERROR(__xludf.DUMMYFUNCTION("""COMPUTED_VALUE"""),"Dallas, TX 75201")</f>
        <v>Dallas, TX 75201</v>
      </c>
      <c r="AC873" s="31" t="s">
        <v>1067</v>
      </c>
      <c r="AD873" s="40"/>
      <c r="AE873" s="40"/>
      <c r="AF873" s="40"/>
      <c r="AG873" s="40" t="s">
        <v>60</v>
      </c>
      <c r="AH873" s="42">
        <v>2481.0</v>
      </c>
      <c r="AI873" s="40" t="s">
        <v>68</v>
      </c>
      <c r="AJ873" s="27">
        <v>50.0</v>
      </c>
      <c r="AK873" s="31" t="s">
        <v>25</v>
      </c>
      <c r="AL873" s="43">
        <v>44827.0</v>
      </c>
      <c r="AM873" s="44">
        <v>44937.81995370371</v>
      </c>
      <c r="AN873" s="30">
        <v>2.0</v>
      </c>
      <c r="AO873" s="40"/>
      <c r="AP873" s="40"/>
      <c r="AQ873" s="40"/>
      <c r="AR873" s="40"/>
      <c r="AS873" s="40"/>
      <c r="AT873" s="47"/>
      <c r="AU873" s="40"/>
      <c r="AV873" s="46" t="str">
        <f>IFERROR(__xludf.DUMMYFUNCTION("""COMPUTED_VALUE"""),"Sloan")</f>
        <v>Sloan</v>
      </c>
      <c r="AW873" s="46">
        <f t="shared" si="7"/>
        <v>100</v>
      </c>
      <c r="AX873" s="47">
        <f t="shared" ref="AX873:BQ873" si="2730">SUMIFS($AJ:$AJ,$V:$V,$AV873,$AK:$AK,AX$2)</f>
        <v>0</v>
      </c>
      <c r="AY873" s="48">
        <f t="shared" si="2730"/>
        <v>0</v>
      </c>
      <c r="AZ873" s="48">
        <f t="shared" si="2730"/>
        <v>0</v>
      </c>
      <c r="BA873" s="48">
        <f t="shared" si="2730"/>
        <v>0</v>
      </c>
      <c r="BB873" s="48">
        <f t="shared" si="2730"/>
        <v>0</v>
      </c>
      <c r="BC873" s="48">
        <f t="shared" si="2730"/>
        <v>0</v>
      </c>
      <c r="BD873" s="48">
        <f t="shared" si="2730"/>
        <v>0</v>
      </c>
      <c r="BE873" s="48">
        <f t="shared" si="2730"/>
        <v>0</v>
      </c>
      <c r="BF873" s="48">
        <f t="shared" si="2730"/>
        <v>0</v>
      </c>
      <c r="BG873" s="48">
        <f t="shared" si="2730"/>
        <v>100</v>
      </c>
      <c r="BH873" s="48">
        <f t="shared" si="2730"/>
        <v>0</v>
      </c>
      <c r="BI873" s="48">
        <f t="shared" si="2730"/>
        <v>0</v>
      </c>
      <c r="BJ873" s="48">
        <f t="shared" si="2730"/>
        <v>0</v>
      </c>
      <c r="BK873" s="48">
        <f t="shared" si="2730"/>
        <v>0</v>
      </c>
      <c r="BL873" s="48">
        <f t="shared" si="2730"/>
        <v>0</v>
      </c>
      <c r="BM873" s="48">
        <f t="shared" si="2730"/>
        <v>0</v>
      </c>
      <c r="BN873" s="48">
        <f t="shared" si="2730"/>
        <v>0</v>
      </c>
      <c r="BO873" s="48">
        <f t="shared" si="2730"/>
        <v>0</v>
      </c>
      <c r="BP873" s="48">
        <f t="shared" si="2730"/>
        <v>0</v>
      </c>
      <c r="BQ873" s="48">
        <f t="shared" si="2730"/>
        <v>0</v>
      </c>
      <c r="BR873" s="36">
        <f t="shared" si="9"/>
        <v>0</v>
      </c>
      <c r="BS873" s="38">
        <f t="shared" si="10"/>
        <v>1</v>
      </c>
      <c r="BT873" s="49">
        <f t="shared" si="11"/>
        <v>0</v>
      </c>
      <c r="BU873" s="38">
        <f t="shared" si="12"/>
        <v>1000</v>
      </c>
      <c r="BV873" s="46" t="str">
        <f>IFERROR(__xludf.DUMMYFUNCTION("""COMPUTED_VALUE"""),"Sloan")</f>
        <v>Sloan</v>
      </c>
      <c r="BW873" s="46">
        <f t="shared" si="13"/>
        <v>100</v>
      </c>
      <c r="BX873" s="47">
        <f t="shared" ref="BX873:CA873" si="2731">AX873-$BU873</f>
        <v>-1000</v>
      </c>
      <c r="BY873" s="47">
        <f t="shared" si="2731"/>
        <v>-1000</v>
      </c>
      <c r="BZ873" s="47">
        <f t="shared" si="2731"/>
        <v>-1000</v>
      </c>
      <c r="CA873" s="47">
        <f t="shared" si="2731"/>
        <v>-1000</v>
      </c>
      <c r="CB873" s="47">
        <f t="shared" si="15"/>
        <v>-10000</v>
      </c>
      <c r="CC873" s="47">
        <f t="shared" ref="CC873:CQ873" si="2732">BC873-$BU873</f>
        <v>-1000</v>
      </c>
      <c r="CD873" s="47">
        <f t="shared" si="2732"/>
        <v>-1000</v>
      </c>
      <c r="CE873" s="47">
        <f t="shared" si="2732"/>
        <v>-1000</v>
      </c>
      <c r="CF873" s="47">
        <f t="shared" si="2732"/>
        <v>-1000</v>
      </c>
      <c r="CG873" s="47">
        <f t="shared" si="2732"/>
        <v>-900</v>
      </c>
      <c r="CH873" s="47">
        <f t="shared" si="2732"/>
        <v>-1000</v>
      </c>
      <c r="CI873" s="47">
        <f t="shared" si="2732"/>
        <v>-1000</v>
      </c>
      <c r="CJ873" s="47">
        <f t="shared" si="2732"/>
        <v>-1000</v>
      </c>
      <c r="CK873" s="47">
        <f t="shared" si="2732"/>
        <v>-1000</v>
      </c>
      <c r="CL873" s="47">
        <f t="shared" si="2732"/>
        <v>-1000</v>
      </c>
      <c r="CM873" s="47">
        <f t="shared" si="2732"/>
        <v>-1000</v>
      </c>
      <c r="CN873" s="47">
        <f t="shared" si="2732"/>
        <v>-1000</v>
      </c>
      <c r="CO873" s="47">
        <f t="shared" si="2732"/>
        <v>-1000</v>
      </c>
      <c r="CP873" s="47">
        <f t="shared" si="2732"/>
        <v>-1000</v>
      </c>
      <c r="CQ873" s="47">
        <f t="shared" si="2732"/>
        <v>-1000</v>
      </c>
      <c r="CR873" s="47"/>
      <c r="CS873" s="47"/>
      <c r="CT873" s="47"/>
      <c r="CU873" s="74"/>
      <c r="CV873" s="74"/>
      <c r="CW873" s="74" t="str">
        <f>IFERROR(__xludf.DUMMYFUNCTION("IF(REGEXMATCH(UPPER(CU873), ""DALLAS""),,CU873)"),"")</f>
        <v/>
      </c>
      <c r="CX873" s="74"/>
      <c r="CY873" s="74"/>
      <c r="CZ873" s="74"/>
      <c r="DA873" s="75"/>
      <c r="DB873" s="74"/>
      <c r="DC873" s="74"/>
      <c r="DD873" s="74"/>
      <c r="DE873" s="74"/>
      <c r="DF873" s="74"/>
      <c r="DG873" s="74"/>
      <c r="DH873" s="74"/>
      <c r="DI873" s="74"/>
      <c r="DJ873" s="74"/>
      <c r="DK873" s="74"/>
      <c r="DL873" s="74"/>
      <c r="DM873" s="74"/>
      <c r="DN873" s="74"/>
      <c r="DO873" s="74"/>
      <c r="DP873" s="74"/>
      <c r="DQ873" s="74"/>
      <c r="DR873" s="74"/>
      <c r="DS873" s="74"/>
      <c r="DT873" s="74"/>
      <c r="DU873" s="74"/>
      <c r="DV873" s="74"/>
      <c r="DW873" s="74"/>
    </row>
    <row r="874">
      <c r="A874" s="22" t="s">
        <v>55</v>
      </c>
      <c r="B874" s="23" t="s">
        <v>56</v>
      </c>
      <c r="C874" s="31" t="s">
        <v>2155</v>
      </c>
      <c r="D874" s="25" t="str">
        <f>IFERROR(__xludf.DUMMYFUNCTION("SPLIT(C874,"" "")"),"Senat,")</f>
        <v>Senat,</v>
      </c>
      <c r="E874" s="22" t="str">
        <f>IFERROR(__xludf.DUMMYFUNCTION("""COMPUTED_VALUE"""),"Doran
1410")</f>
        <v>Doran
1410</v>
      </c>
      <c r="F874" s="22" t="str">
        <f>IFERROR(__xludf.DUMMYFUNCTION("""COMPUTED_VALUE"""),"Iowa")</f>
        <v>Iowa</v>
      </c>
      <c r="G874" s="22" t="str">
        <f>IFERROR(__xludf.DUMMYFUNCTION("""COMPUTED_VALUE"""),"Ave
Dallas,")</f>
        <v>Ave
Dallas,</v>
      </c>
      <c r="H874" s="22" t="str">
        <f>IFERROR(__xludf.DUMMYFUNCTION("""COMPUTED_VALUE"""),"TX")</f>
        <v>TX</v>
      </c>
      <c r="I874" s="22">
        <f>IFERROR(__xludf.DUMMYFUNCTION("""COMPUTED_VALUE"""),75216.0)</f>
        <v>75216</v>
      </c>
      <c r="J874" s="22"/>
      <c r="K874" s="22"/>
      <c r="L874" s="22"/>
      <c r="M874" s="22"/>
      <c r="N874" s="22"/>
      <c r="O874" s="22"/>
      <c r="P874" s="22"/>
      <c r="Q874" s="22"/>
      <c r="R874" s="22"/>
      <c r="S874" s="22"/>
      <c r="T874" s="22"/>
      <c r="U874" s="24" t="str">
        <f>IFERROR(__xludf.DUMMYFUNCTION("SPLIT(E874,""01234567890"")"),"Doran
")</f>
        <v>Doran
</v>
      </c>
      <c r="V874" s="24" t="str">
        <f>IFERROR(__xludf.DUMMYFUNCTION("SPLIT(D874,"","")"),"Senat")</f>
        <v>Senat</v>
      </c>
      <c r="W874" s="25" t="str">
        <f t="shared" si="1"/>
        <v>DORAN
 SENAT</v>
      </c>
      <c r="X874" s="22"/>
      <c r="Y874" s="22"/>
      <c r="Z874" s="25" t="str">
        <f>IFERROR(__xludf.DUMMYFUNCTION("SPLIT(C874,""
"")"),"Senat, Doran")</f>
        <v>Senat, Doran</v>
      </c>
      <c r="AA874" s="22" t="str">
        <f>IFERROR(__xludf.DUMMYFUNCTION("""COMPUTED_VALUE"""),"1410 Iowa Ave")</f>
        <v>1410 Iowa Ave</v>
      </c>
      <c r="AB874" s="22" t="str">
        <f>IFERROR(__xludf.DUMMYFUNCTION("""COMPUTED_VALUE"""),"Dallas, TX 75216")</f>
        <v>Dallas, TX 75216</v>
      </c>
      <c r="AC874" s="31" t="s">
        <v>2156</v>
      </c>
      <c r="AD874" s="22"/>
      <c r="AE874" s="22"/>
      <c r="AF874" s="22"/>
      <c r="AG874" s="22" t="s">
        <v>60</v>
      </c>
      <c r="AH874" s="54">
        <v>2481.0</v>
      </c>
      <c r="AI874" s="22" t="s">
        <v>68</v>
      </c>
      <c r="AJ874" s="27">
        <v>50.0</v>
      </c>
      <c r="AK874" s="31" t="s">
        <v>25</v>
      </c>
      <c r="AL874" s="28">
        <v>44827.0</v>
      </c>
      <c r="AM874" s="29">
        <v>44937.81995370371</v>
      </c>
      <c r="AN874" s="30">
        <v>2.0</v>
      </c>
      <c r="AO874" s="22"/>
      <c r="AP874" s="22"/>
      <c r="AQ874" s="22"/>
      <c r="AR874" s="22"/>
      <c r="AS874" s="22"/>
      <c r="AT874" s="70"/>
      <c r="AU874" s="22"/>
      <c r="AV874" s="57" t="str">
        <f>IFERROR(__xludf.DUMMYFUNCTION("""COMPUTED_VALUE"""),"Siepiela")</f>
        <v>Siepiela</v>
      </c>
      <c r="AW874" s="46">
        <f t="shared" si="7"/>
        <v>100</v>
      </c>
      <c r="AX874" s="47">
        <f t="shared" ref="AX874:BQ874" si="2733">SUMIFS($AJ:$AJ,$V:$V,$AV874,$AK:$AK,AX$2)</f>
        <v>0</v>
      </c>
      <c r="AY874" s="48">
        <f t="shared" si="2733"/>
        <v>0</v>
      </c>
      <c r="AZ874" s="48">
        <f t="shared" si="2733"/>
        <v>0</v>
      </c>
      <c r="BA874" s="48">
        <f t="shared" si="2733"/>
        <v>0</v>
      </c>
      <c r="BB874" s="48">
        <f t="shared" si="2733"/>
        <v>0</v>
      </c>
      <c r="BC874" s="48">
        <f t="shared" si="2733"/>
        <v>0</v>
      </c>
      <c r="BD874" s="48">
        <f t="shared" si="2733"/>
        <v>0</v>
      </c>
      <c r="BE874" s="48">
        <f t="shared" si="2733"/>
        <v>0</v>
      </c>
      <c r="BF874" s="48">
        <f t="shared" si="2733"/>
        <v>0</v>
      </c>
      <c r="BG874" s="48">
        <f t="shared" si="2733"/>
        <v>100</v>
      </c>
      <c r="BH874" s="48">
        <f t="shared" si="2733"/>
        <v>0</v>
      </c>
      <c r="BI874" s="48">
        <f t="shared" si="2733"/>
        <v>0</v>
      </c>
      <c r="BJ874" s="48">
        <f t="shared" si="2733"/>
        <v>0</v>
      </c>
      <c r="BK874" s="48">
        <f t="shared" si="2733"/>
        <v>0</v>
      </c>
      <c r="BL874" s="48">
        <f t="shared" si="2733"/>
        <v>0</v>
      </c>
      <c r="BM874" s="48">
        <f t="shared" si="2733"/>
        <v>0</v>
      </c>
      <c r="BN874" s="48">
        <f t="shared" si="2733"/>
        <v>0</v>
      </c>
      <c r="BO874" s="48">
        <f t="shared" si="2733"/>
        <v>0</v>
      </c>
      <c r="BP874" s="48">
        <f t="shared" si="2733"/>
        <v>0</v>
      </c>
      <c r="BQ874" s="48">
        <f t="shared" si="2733"/>
        <v>0</v>
      </c>
      <c r="BR874" s="36">
        <f t="shared" si="9"/>
        <v>0</v>
      </c>
      <c r="BS874" s="38">
        <f t="shared" si="10"/>
        <v>1</v>
      </c>
      <c r="BT874" s="49">
        <f t="shared" si="11"/>
        <v>0</v>
      </c>
      <c r="BU874" s="38">
        <f t="shared" si="12"/>
        <v>1000</v>
      </c>
      <c r="BV874" s="57" t="str">
        <f>IFERROR(__xludf.DUMMYFUNCTION("""COMPUTED_VALUE"""),"Siepiela")</f>
        <v>Siepiela</v>
      </c>
      <c r="BW874" s="46">
        <f t="shared" si="13"/>
        <v>100</v>
      </c>
      <c r="BX874" s="47">
        <f t="shared" ref="BX874:CA874" si="2734">AX874-$BU874</f>
        <v>-1000</v>
      </c>
      <c r="BY874" s="47">
        <f t="shared" si="2734"/>
        <v>-1000</v>
      </c>
      <c r="BZ874" s="47">
        <f t="shared" si="2734"/>
        <v>-1000</v>
      </c>
      <c r="CA874" s="47">
        <f t="shared" si="2734"/>
        <v>-1000</v>
      </c>
      <c r="CB874" s="47">
        <f t="shared" si="15"/>
        <v>-10000</v>
      </c>
      <c r="CC874" s="47">
        <f t="shared" ref="CC874:CQ874" si="2735">BC874-$BU874</f>
        <v>-1000</v>
      </c>
      <c r="CD874" s="47">
        <f t="shared" si="2735"/>
        <v>-1000</v>
      </c>
      <c r="CE874" s="47">
        <f t="shared" si="2735"/>
        <v>-1000</v>
      </c>
      <c r="CF874" s="47">
        <f t="shared" si="2735"/>
        <v>-1000</v>
      </c>
      <c r="CG874" s="47">
        <f t="shared" si="2735"/>
        <v>-900</v>
      </c>
      <c r="CH874" s="47">
        <f t="shared" si="2735"/>
        <v>-1000</v>
      </c>
      <c r="CI874" s="47">
        <f t="shared" si="2735"/>
        <v>-1000</v>
      </c>
      <c r="CJ874" s="47">
        <f t="shared" si="2735"/>
        <v>-1000</v>
      </c>
      <c r="CK874" s="47">
        <f t="shared" si="2735"/>
        <v>-1000</v>
      </c>
      <c r="CL874" s="47">
        <f t="shared" si="2735"/>
        <v>-1000</v>
      </c>
      <c r="CM874" s="47">
        <f t="shared" si="2735"/>
        <v>-1000</v>
      </c>
      <c r="CN874" s="47">
        <f t="shared" si="2735"/>
        <v>-1000</v>
      </c>
      <c r="CO874" s="47">
        <f t="shared" si="2735"/>
        <v>-1000</v>
      </c>
      <c r="CP874" s="47">
        <f t="shared" si="2735"/>
        <v>-1000</v>
      </c>
      <c r="CQ874" s="47">
        <f t="shared" si="2735"/>
        <v>-1000</v>
      </c>
      <c r="CR874" s="47"/>
      <c r="CS874" s="47"/>
      <c r="CT874" s="47"/>
      <c r="CU874" s="74"/>
      <c r="CV874" s="74"/>
      <c r="CW874" s="74" t="str">
        <f>IFERROR(__xludf.DUMMYFUNCTION("IF(REGEXMATCH(UPPER(CU874), ""DALLAS""),,CU874)"),"")</f>
        <v/>
      </c>
      <c r="CX874" s="74"/>
      <c r="CY874" s="74"/>
      <c r="CZ874" s="74"/>
      <c r="DA874" s="75"/>
      <c r="DB874" s="74"/>
      <c r="DC874" s="74"/>
      <c r="DD874" s="74"/>
      <c r="DE874" s="74"/>
      <c r="DF874" s="74"/>
      <c r="DG874" s="74"/>
      <c r="DH874" s="74"/>
      <c r="DI874" s="74"/>
      <c r="DJ874" s="74"/>
      <c r="DK874" s="74"/>
      <c r="DL874" s="74"/>
      <c r="DM874" s="74"/>
      <c r="DN874" s="74"/>
      <c r="DO874" s="74"/>
      <c r="DP874" s="74"/>
      <c r="DQ874" s="74"/>
      <c r="DR874" s="74"/>
      <c r="DS874" s="74"/>
      <c r="DT874" s="74"/>
      <c r="DU874" s="74"/>
      <c r="DV874" s="74"/>
      <c r="DW874" s="74"/>
    </row>
    <row r="875">
      <c r="A875" s="40" t="s">
        <v>55</v>
      </c>
      <c r="B875" s="41" t="s">
        <v>56</v>
      </c>
      <c r="C875" s="31" t="s">
        <v>2157</v>
      </c>
      <c r="D875" s="25" t="str">
        <f>IFERROR(__xludf.DUMMYFUNCTION("SPLIT(C875,"" "")"),"Botefuhr,")</f>
        <v>Botefuhr,</v>
      </c>
      <c r="E875" s="40" t="str">
        <f>IFERROR(__xludf.DUMMYFUNCTION("""COMPUTED_VALUE"""),"John
10119")</f>
        <v>John
10119</v>
      </c>
      <c r="F875" s="40" t="str">
        <f>IFERROR(__xludf.DUMMYFUNCTION("""COMPUTED_VALUE"""),"Estacado")</f>
        <v>Estacado</v>
      </c>
      <c r="G875" s="40" t="str">
        <f>IFERROR(__xludf.DUMMYFUNCTION("""COMPUTED_VALUE"""),"Dr
Dallas,")</f>
        <v>Dr
Dallas,</v>
      </c>
      <c r="H875" s="40" t="str">
        <f>IFERROR(__xludf.DUMMYFUNCTION("""COMPUTED_VALUE"""),"TX")</f>
        <v>TX</v>
      </c>
      <c r="I875" s="40">
        <f>IFERROR(__xludf.DUMMYFUNCTION("""COMPUTED_VALUE"""),75228.0)</f>
        <v>75228</v>
      </c>
      <c r="J875" s="40"/>
      <c r="K875" s="40"/>
      <c r="L875" s="40"/>
      <c r="M875" s="40"/>
      <c r="N875" s="40"/>
      <c r="O875" s="40"/>
      <c r="P875" s="40"/>
      <c r="Q875" s="40"/>
      <c r="R875" s="40"/>
      <c r="S875" s="40"/>
      <c r="T875" s="40"/>
      <c r="U875" s="24" t="str">
        <f>IFERROR(__xludf.DUMMYFUNCTION("SPLIT(E875,""01234567890"")"),"John
")</f>
        <v>John
</v>
      </c>
      <c r="V875" s="24" t="str">
        <f>IFERROR(__xludf.DUMMYFUNCTION("SPLIT(D875,"","")"),"Botefuhr")</f>
        <v>Botefuhr</v>
      </c>
      <c r="W875" s="25" t="str">
        <f t="shared" si="1"/>
        <v>JOHN
 BOTEFUHR</v>
      </c>
      <c r="X875" s="40"/>
      <c r="Y875" s="40"/>
      <c r="Z875" s="25" t="str">
        <f>IFERROR(__xludf.DUMMYFUNCTION("SPLIT(C875,""
"")"),"Botefuhr, John")</f>
        <v>Botefuhr, John</v>
      </c>
      <c r="AA875" s="40" t="str">
        <f>IFERROR(__xludf.DUMMYFUNCTION("""COMPUTED_VALUE"""),"10119 Estacado Dr")</f>
        <v>10119 Estacado Dr</v>
      </c>
      <c r="AB875" s="40" t="str">
        <f>IFERROR(__xludf.DUMMYFUNCTION("""COMPUTED_VALUE"""),"Dallas, TX 75228")</f>
        <v>Dallas, TX 75228</v>
      </c>
      <c r="AC875" s="31" t="s">
        <v>2158</v>
      </c>
      <c r="AD875" s="40"/>
      <c r="AE875" s="40"/>
      <c r="AF875" s="40"/>
      <c r="AG875" s="40" t="s">
        <v>60</v>
      </c>
      <c r="AH875" s="42">
        <v>2481.0</v>
      </c>
      <c r="AI875" s="40" t="s">
        <v>68</v>
      </c>
      <c r="AJ875" s="27">
        <v>100.0</v>
      </c>
      <c r="AK875" s="31" t="s">
        <v>25</v>
      </c>
      <c r="AL875" s="43">
        <v>44827.0</v>
      </c>
      <c r="AM875" s="44">
        <v>44937.81995370371</v>
      </c>
      <c r="AN875" s="30">
        <v>2.0</v>
      </c>
      <c r="AO875" s="40"/>
      <c r="AP875" s="40"/>
      <c r="AQ875" s="40"/>
      <c r="AR875" s="40"/>
      <c r="AS875" s="40"/>
      <c r="AT875" s="47"/>
      <c r="AU875" s="40"/>
      <c r="AV875" s="46" t="str">
        <f>IFERROR(__xludf.DUMMYFUNCTION("""COMPUTED_VALUE"""),"Groves")</f>
        <v>Groves</v>
      </c>
      <c r="AW875" s="46">
        <f t="shared" si="7"/>
        <v>1000</v>
      </c>
      <c r="AX875" s="47">
        <f t="shared" ref="AX875:BQ875" si="2736">SUMIFS($AJ:$AJ,$V:$V,$AV875,$AK:$AK,AX$2)</f>
        <v>0</v>
      </c>
      <c r="AY875" s="48">
        <f t="shared" si="2736"/>
        <v>0</v>
      </c>
      <c r="AZ875" s="48">
        <f t="shared" si="2736"/>
        <v>0</v>
      </c>
      <c r="BA875" s="48">
        <f t="shared" si="2736"/>
        <v>0</v>
      </c>
      <c r="BB875" s="48">
        <f t="shared" si="2736"/>
        <v>0</v>
      </c>
      <c r="BC875" s="48">
        <f t="shared" si="2736"/>
        <v>0</v>
      </c>
      <c r="BD875" s="48">
        <f t="shared" si="2736"/>
        <v>0</v>
      </c>
      <c r="BE875" s="48">
        <f t="shared" si="2736"/>
        <v>0</v>
      </c>
      <c r="BF875" s="48">
        <f t="shared" si="2736"/>
        <v>0</v>
      </c>
      <c r="BG875" s="48">
        <f t="shared" si="2736"/>
        <v>1000</v>
      </c>
      <c r="BH875" s="48">
        <f t="shared" si="2736"/>
        <v>0</v>
      </c>
      <c r="BI875" s="48">
        <f t="shared" si="2736"/>
        <v>0</v>
      </c>
      <c r="BJ875" s="48">
        <f t="shared" si="2736"/>
        <v>0</v>
      </c>
      <c r="BK875" s="48">
        <f t="shared" si="2736"/>
        <v>0</v>
      </c>
      <c r="BL875" s="48">
        <f t="shared" si="2736"/>
        <v>0</v>
      </c>
      <c r="BM875" s="48">
        <f t="shared" si="2736"/>
        <v>0</v>
      </c>
      <c r="BN875" s="48">
        <f t="shared" si="2736"/>
        <v>0</v>
      </c>
      <c r="BO875" s="48">
        <f t="shared" si="2736"/>
        <v>0</v>
      </c>
      <c r="BP875" s="48">
        <f t="shared" si="2736"/>
        <v>0</v>
      </c>
      <c r="BQ875" s="48">
        <f t="shared" si="2736"/>
        <v>0</v>
      </c>
      <c r="BR875" s="36">
        <f t="shared" si="9"/>
        <v>0</v>
      </c>
      <c r="BS875" s="38">
        <f t="shared" si="10"/>
        <v>1</v>
      </c>
      <c r="BT875" s="49">
        <f t="shared" si="11"/>
        <v>0</v>
      </c>
      <c r="BU875" s="38">
        <f t="shared" si="12"/>
        <v>1000</v>
      </c>
      <c r="BV875" s="46" t="str">
        <f>IFERROR(__xludf.DUMMYFUNCTION("""COMPUTED_VALUE"""),"Groves")</f>
        <v>Groves</v>
      </c>
      <c r="BW875" s="46">
        <f t="shared" si="13"/>
        <v>1000</v>
      </c>
      <c r="BX875" s="47">
        <f t="shared" ref="BX875:CA875" si="2737">AX875-$BU875</f>
        <v>-1000</v>
      </c>
      <c r="BY875" s="47">
        <f t="shared" si="2737"/>
        <v>-1000</v>
      </c>
      <c r="BZ875" s="47">
        <f t="shared" si="2737"/>
        <v>-1000</v>
      </c>
      <c r="CA875" s="47">
        <f t="shared" si="2737"/>
        <v>-1000</v>
      </c>
      <c r="CB875" s="47">
        <f t="shared" si="15"/>
        <v>-10000</v>
      </c>
      <c r="CC875" s="47">
        <f t="shared" ref="CC875:CQ875" si="2738">BC875-$BU875</f>
        <v>-1000</v>
      </c>
      <c r="CD875" s="47">
        <f t="shared" si="2738"/>
        <v>-1000</v>
      </c>
      <c r="CE875" s="47">
        <f t="shared" si="2738"/>
        <v>-1000</v>
      </c>
      <c r="CF875" s="47">
        <f t="shared" si="2738"/>
        <v>-1000</v>
      </c>
      <c r="CG875" s="47">
        <f t="shared" si="2738"/>
        <v>0</v>
      </c>
      <c r="CH875" s="47">
        <f t="shared" si="2738"/>
        <v>-1000</v>
      </c>
      <c r="CI875" s="47">
        <f t="shared" si="2738"/>
        <v>-1000</v>
      </c>
      <c r="CJ875" s="47">
        <f t="shared" si="2738"/>
        <v>-1000</v>
      </c>
      <c r="CK875" s="47">
        <f t="shared" si="2738"/>
        <v>-1000</v>
      </c>
      <c r="CL875" s="47">
        <f t="shared" si="2738"/>
        <v>-1000</v>
      </c>
      <c r="CM875" s="47">
        <f t="shared" si="2738"/>
        <v>-1000</v>
      </c>
      <c r="CN875" s="47">
        <f t="shared" si="2738"/>
        <v>-1000</v>
      </c>
      <c r="CO875" s="47">
        <f t="shared" si="2738"/>
        <v>-1000</v>
      </c>
      <c r="CP875" s="47">
        <f t="shared" si="2738"/>
        <v>-1000</v>
      </c>
      <c r="CQ875" s="47">
        <f t="shared" si="2738"/>
        <v>-1000</v>
      </c>
      <c r="CR875" s="47"/>
      <c r="CS875" s="47"/>
      <c r="CT875" s="47"/>
      <c r="CU875" s="74"/>
      <c r="CV875" s="74"/>
      <c r="CW875" s="74" t="str">
        <f>IFERROR(__xludf.DUMMYFUNCTION("IF(REGEXMATCH(UPPER(CU875), ""DALLAS""),,CU875)"),"")</f>
        <v/>
      </c>
      <c r="CX875" s="74"/>
      <c r="CY875" s="74"/>
      <c r="CZ875" s="74"/>
      <c r="DA875" s="75"/>
      <c r="DB875" s="74"/>
      <c r="DC875" s="74"/>
      <c r="DD875" s="74"/>
      <c r="DE875" s="74"/>
      <c r="DF875" s="74"/>
      <c r="DG875" s="74"/>
      <c r="DH875" s="74"/>
      <c r="DI875" s="74"/>
      <c r="DJ875" s="74"/>
      <c r="DK875" s="74"/>
      <c r="DL875" s="74"/>
      <c r="DM875" s="74"/>
      <c r="DN875" s="74"/>
      <c r="DO875" s="74"/>
      <c r="DP875" s="74"/>
      <c r="DQ875" s="74"/>
      <c r="DR875" s="74"/>
      <c r="DS875" s="74"/>
      <c r="DT875" s="74"/>
      <c r="DU875" s="74"/>
      <c r="DV875" s="74"/>
      <c r="DW875" s="74"/>
    </row>
    <row r="876">
      <c r="A876" s="22" t="s">
        <v>55</v>
      </c>
      <c r="B876" s="23" t="s">
        <v>56</v>
      </c>
      <c r="C876" s="31" t="s">
        <v>2159</v>
      </c>
      <c r="D876" s="25" t="str">
        <f>IFERROR(__xludf.DUMMYFUNCTION("SPLIT(C876,"" "")"),"Phillips,")</f>
        <v>Phillips,</v>
      </c>
      <c r="E876" s="22" t="str">
        <f>IFERROR(__xludf.DUMMYFUNCTION("""COMPUTED_VALUE"""),"Slay
506")</f>
        <v>Slay
506</v>
      </c>
      <c r="F876" s="22" t="str">
        <f>IFERROR(__xludf.DUMMYFUNCTION("""COMPUTED_VALUE"""),"Sacramento")</f>
        <v>Sacramento</v>
      </c>
      <c r="G876" s="22" t="str">
        <f>IFERROR(__xludf.DUMMYFUNCTION("""COMPUTED_VALUE"""),"Dr
Austin,")</f>
        <v>Dr
Austin,</v>
      </c>
      <c r="H876" s="22" t="str">
        <f>IFERROR(__xludf.DUMMYFUNCTION("""COMPUTED_VALUE"""),"TX")</f>
        <v>TX</v>
      </c>
      <c r="I876" s="22">
        <f>IFERROR(__xludf.DUMMYFUNCTION("""COMPUTED_VALUE"""),78704.0)</f>
        <v>78704</v>
      </c>
      <c r="J876" s="22"/>
      <c r="K876" s="22"/>
      <c r="L876" s="22"/>
      <c r="M876" s="22"/>
      <c r="N876" s="22"/>
      <c r="O876" s="22"/>
      <c r="P876" s="22"/>
      <c r="Q876" s="22"/>
      <c r="R876" s="22"/>
      <c r="S876" s="22"/>
      <c r="T876" s="22"/>
      <c r="U876" s="24" t="str">
        <f>IFERROR(__xludf.DUMMYFUNCTION("SPLIT(E876,""01234567890"")"),"Slay
")</f>
        <v>Slay
</v>
      </c>
      <c r="V876" s="24" t="str">
        <f>IFERROR(__xludf.DUMMYFUNCTION("SPLIT(D876,"","")"),"Phillips")</f>
        <v>Phillips</v>
      </c>
      <c r="W876" s="25" t="str">
        <f t="shared" si="1"/>
        <v>SLAY
 PHILLIPS</v>
      </c>
      <c r="X876" s="22"/>
      <c r="Y876" s="22"/>
      <c r="Z876" s="25" t="str">
        <f>IFERROR(__xludf.DUMMYFUNCTION("SPLIT(C876,""
"")"),"Phillips, Slay")</f>
        <v>Phillips, Slay</v>
      </c>
      <c r="AA876" s="22" t="str">
        <f>IFERROR(__xludf.DUMMYFUNCTION("""COMPUTED_VALUE"""),"506 Sacramento Dr")</f>
        <v>506 Sacramento Dr</v>
      </c>
      <c r="AB876" s="22" t="str">
        <f>IFERROR(__xludf.DUMMYFUNCTION("""COMPUTED_VALUE"""),"Austin, TX 78704")</f>
        <v>Austin, TX 78704</v>
      </c>
      <c r="AC876" s="31" t="s">
        <v>2160</v>
      </c>
      <c r="AD876" s="22"/>
      <c r="AE876" s="22"/>
      <c r="AF876" s="22"/>
      <c r="AG876" s="22" t="s">
        <v>60</v>
      </c>
      <c r="AH876" s="54">
        <v>2481.0</v>
      </c>
      <c r="AI876" s="22" t="s">
        <v>68</v>
      </c>
      <c r="AJ876" s="27">
        <v>500.0</v>
      </c>
      <c r="AK876" s="31" t="s">
        <v>25</v>
      </c>
      <c r="AL876" s="28">
        <v>44827.0</v>
      </c>
      <c r="AM876" s="29">
        <v>44937.81995370371</v>
      </c>
      <c r="AN876" s="30">
        <v>2.0</v>
      </c>
      <c r="AO876" s="22"/>
      <c r="AP876" s="22"/>
      <c r="AQ876" s="22"/>
      <c r="AR876" s="22"/>
      <c r="AS876" s="22"/>
      <c r="AT876" s="70"/>
      <c r="AU876" s="22"/>
      <c r="AV876" s="57" t="str">
        <f>IFERROR(__xludf.DUMMYFUNCTION("""COMPUTED_VALUE"""),"Perry")</f>
        <v>Perry</v>
      </c>
      <c r="AW876" s="46">
        <f t="shared" si="7"/>
        <v>100</v>
      </c>
      <c r="AX876" s="47">
        <f t="shared" ref="AX876:BQ876" si="2739">SUMIFS($AJ:$AJ,$V:$V,$AV876,$AK:$AK,AX$2)</f>
        <v>0</v>
      </c>
      <c r="AY876" s="48">
        <f t="shared" si="2739"/>
        <v>0</v>
      </c>
      <c r="AZ876" s="48">
        <f t="shared" si="2739"/>
        <v>0</v>
      </c>
      <c r="BA876" s="48">
        <f t="shared" si="2739"/>
        <v>0</v>
      </c>
      <c r="BB876" s="48">
        <f t="shared" si="2739"/>
        <v>0</v>
      </c>
      <c r="BC876" s="48">
        <f t="shared" si="2739"/>
        <v>0</v>
      </c>
      <c r="BD876" s="48">
        <f t="shared" si="2739"/>
        <v>0</v>
      </c>
      <c r="BE876" s="48">
        <f t="shared" si="2739"/>
        <v>0</v>
      </c>
      <c r="BF876" s="48">
        <f t="shared" si="2739"/>
        <v>0</v>
      </c>
      <c r="BG876" s="48">
        <f t="shared" si="2739"/>
        <v>100</v>
      </c>
      <c r="BH876" s="48">
        <f t="shared" si="2739"/>
        <v>0</v>
      </c>
      <c r="BI876" s="48">
        <f t="shared" si="2739"/>
        <v>0</v>
      </c>
      <c r="BJ876" s="48">
        <f t="shared" si="2739"/>
        <v>0</v>
      </c>
      <c r="BK876" s="48">
        <f t="shared" si="2739"/>
        <v>0</v>
      </c>
      <c r="BL876" s="48">
        <f t="shared" si="2739"/>
        <v>0</v>
      </c>
      <c r="BM876" s="48">
        <f t="shared" si="2739"/>
        <v>0</v>
      </c>
      <c r="BN876" s="48">
        <f t="shared" si="2739"/>
        <v>0</v>
      </c>
      <c r="BO876" s="48">
        <f t="shared" si="2739"/>
        <v>0</v>
      </c>
      <c r="BP876" s="48">
        <f t="shared" si="2739"/>
        <v>0</v>
      </c>
      <c r="BQ876" s="48">
        <f t="shared" si="2739"/>
        <v>0</v>
      </c>
      <c r="BR876" s="36">
        <f t="shared" si="9"/>
        <v>0</v>
      </c>
      <c r="BS876" s="38">
        <f t="shared" si="10"/>
        <v>1</v>
      </c>
      <c r="BT876" s="49">
        <f t="shared" si="11"/>
        <v>0</v>
      </c>
      <c r="BU876" s="38">
        <f t="shared" si="12"/>
        <v>1000</v>
      </c>
      <c r="BV876" s="57" t="str">
        <f>IFERROR(__xludf.DUMMYFUNCTION("""COMPUTED_VALUE"""),"Perry")</f>
        <v>Perry</v>
      </c>
      <c r="BW876" s="46">
        <f t="shared" si="13"/>
        <v>100</v>
      </c>
      <c r="BX876" s="47">
        <f t="shared" ref="BX876:CA876" si="2740">AX876-$BU876</f>
        <v>-1000</v>
      </c>
      <c r="BY876" s="47">
        <f t="shared" si="2740"/>
        <v>-1000</v>
      </c>
      <c r="BZ876" s="47">
        <f t="shared" si="2740"/>
        <v>-1000</v>
      </c>
      <c r="CA876" s="47">
        <f t="shared" si="2740"/>
        <v>-1000</v>
      </c>
      <c r="CB876" s="47">
        <f t="shared" si="15"/>
        <v>-10000</v>
      </c>
      <c r="CC876" s="47">
        <f t="shared" ref="CC876:CQ876" si="2741">BC876-$BU876</f>
        <v>-1000</v>
      </c>
      <c r="CD876" s="47">
        <f t="shared" si="2741"/>
        <v>-1000</v>
      </c>
      <c r="CE876" s="47">
        <f t="shared" si="2741"/>
        <v>-1000</v>
      </c>
      <c r="CF876" s="47">
        <f t="shared" si="2741"/>
        <v>-1000</v>
      </c>
      <c r="CG876" s="47">
        <f t="shared" si="2741"/>
        <v>-900</v>
      </c>
      <c r="CH876" s="47">
        <f t="shared" si="2741"/>
        <v>-1000</v>
      </c>
      <c r="CI876" s="47">
        <f t="shared" si="2741"/>
        <v>-1000</v>
      </c>
      <c r="CJ876" s="47">
        <f t="shared" si="2741"/>
        <v>-1000</v>
      </c>
      <c r="CK876" s="47">
        <f t="shared" si="2741"/>
        <v>-1000</v>
      </c>
      <c r="CL876" s="47">
        <f t="shared" si="2741"/>
        <v>-1000</v>
      </c>
      <c r="CM876" s="47">
        <f t="shared" si="2741"/>
        <v>-1000</v>
      </c>
      <c r="CN876" s="47">
        <f t="shared" si="2741"/>
        <v>-1000</v>
      </c>
      <c r="CO876" s="47">
        <f t="shared" si="2741"/>
        <v>-1000</v>
      </c>
      <c r="CP876" s="47">
        <f t="shared" si="2741"/>
        <v>-1000</v>
      </c>
      <c r="CQ876" s="47">
        <f t="shared" si="2741"/>
        <v>-1000</v>
      </c>
      <c r="CR876" s="47"/>
      <c r="CS876" s="47"/>
      <c r="CT876" s="47"/>
      <c r="CU876" s="74"/>
      <c r="CV876" s="74"/>
      <c r="CW876" s="74" t="str">
        <f>IFERROR(__xludf.DUMMYFUNCTION("IF(REGEXMATCH(UPPER(CU876), ""DALLAS""),,CU876)"),"")</f>
        <v/>
      </c>
      <c r="CX876" s="74"/>
      <c r="CY876" s="74"/>
      <c r="CZ876" s="74"/>
      <c r="DA876" s="75"/>
      <c r="DB876" s="74"/>
      <c r="DC876" s="74"/>
      <c r="DD876" s="74"/>
      <c r="DE876" s="74"/>
      <c r="DF876" s="74"/>
      <c r="DG876" s="74"/>
      <c r="DH876" s="74"/>
      <c r="DI876" s="74"/>
      <c r="DJ876" s="74"/>
      <c r="DK876" s="74"/>
      <c r="DL876" s="74"/>
      <c r="DM876" s="74"/>
      <c r="DN876" s="74"/>
      <c r="DO876" s="74"/>
      <c r="DP876" s="74"/>
      <c r="DQ876" s="74"/>
      <c r="DR876" s="74"/>
      <c r="DS876" s="74"/>
      <c r="DT876" s="74"/>
      <c r="DU876" s="74"/>
      <c r="DV876" s="74"/>
      <c r="DW876" s="74"/>
    </row>
    <row r="877">
      <c r="A877" s="40" t="s">
        <v>55</v>
      </c>
      <c r="B877" s="41" t="s">
        <v>56</v>
      </c>
      <c r="C877" s="31" t="s">
        <v>2161</v>
      </c>
      <c r="D877" s="25" t="str">
        <f>IFERROR(__xludf.DUMMYFUNCTION("SPLIT(C877,"" "")"),"Oliver,")</f>
        <v>Oliver,</v>
      </c>
      <c r="E877" s="40" t="str">
        <f>IFERROR(__xludf.DUMMYFUNCTION("""COMPUTED_VALUE"""),"Jesse
3812")</f>
        <v>Jesse
3812</v>
      </c>
      <c r="F877" s="40" t="str">
        <f>IFERROR(__xludf.DUMMYFUNCTION("""COMPUTED_VALUE"""),"Holliday")</f>
        <v>Holliday</v>
      </c>
      <c r="G877" s="40" t="str">
        <f>IFERROR(__xludf.DUMMYFUNCTION("""COMPUTED_VALUE"""),"Rd
Dallas,")</f>
        <v>Rd
Dallas,</v>
      </c>
      <c r="H877" s="40" t="str">
        <f>IFERROR(__xludf.DUMMYFUNCTION("""COMPUTED_VALUE"""),"TX")</f>
        <v>TX</v>
      </c>
      <c r="I877" s="40">
        <f>IFERROR(__xludf.DUMMYFUNCTION("""COMPUTED_VALUE"""),75224.0)</f>
        <v>75224</v>
      </c>
      <c r="J877" s="40"/>
      <c r="K877" s="40"/>
      <c r="L877" s="40"/>
      <c r="M877" s="40"/>
      <c r="N877" s="40"/>
      <c r="O877" s="40"/>
      <c r="P877" s="40"/>
      <c r="Q877" s="40"/>
      <c r="R877" s="40"/>
      <c r="S877" s="40"/>
      <c r="T877" s="40"/>
      <c r="U877" s="24" t="str">
        <f>IFERROR(__xludf.DUMMYFUNCTION("SPLIT(E877,""01234567890"")"),"Jesse
")</f>
        <v>Jesse
</v>
      </c>
      <c r="V877" s="24" t="str">
        <f>IFERROR(__xludf.DUMMYFUNCTION("SPLIT(D877,"","")"),"Oliver")</f>
        <v>Oliver</v>
      </c>
      <c r="W877" s="25" t="str">
        <f t="shared" si="1"/>
        <v>JESSE
 OLIVER</v>
      </c>
      <c r="X877" s="40"/>
      <c r="Y877" s="40"/>
      <c r="Z877" s="25" t="str">
        <f>IFERROR(__xludf.DUMMYFUNCTION("SPLIT(C877,""
"")"),"Oliver, Jesse")</f>
        <v>Oliver, Jesse</v>
      </c>
      <c r="AA877" s="40" t="str">
        <f>IFERROR(__xludf.DUMMYFUNCTION("""COMPUTED_VALUE"""),"3812 Holliday Rd")</f>
        <v>3812 Holliday Rd</v>
      </c>
      <c r="AB877" s="40" t="str">
        <f>IFERROR(__xludf.DUMMYFUNCTION("""COMPUTED_VALUE"""),"Dallas, TX 75224")</f>
        <v>Dallas, TX 75224</v>
      </c>
      <c r="AC877" s="31" t="s">
        <v>868</v>
      </c>
      <c r="AD877" s="40"/>
      <c r="AE877" s="40"/>
      <c r="AF877" s="40"/>
      <c r="AG877" s="40" t="s">
        <v>60</v>
      </c>
      <c r="AH877" s="42">
        <v>2481.0</v>
      </c>
      <c r="AI877" s="40" t="s">
        <v>68</v>
      </c>
      <c r="AJ877" s="27">
        <v>100.0</v>
      </c>
      <c r="AK877" s="31" t="s">
        <v>25</v>
      </c>
      <c r="AL877" s="43">
        <v>44828.0</v>
      </c>
      <c r="AM877" s="44">
        <v>44937.81995370371</v>
      </c>
      <c r="AN877" s="30">
        <v>2.0</v>
      </c>
      <c r="AO877" s="40"/>
      <c r="AP877" s="40"/>
      <c r="AQ877" s="40"/>
      <c r="AR877" s="40"/>
      <c r="AS877" s="40"/>
      <c r="AT877" s="47"/>
      <c r="AU877" s="40"/>
      <c r="AV877" s="46" t="str">
        <f>IFERROR(__xludf.DUMMYFUNCTION("""COMPUTED_VALUE"""),"Dankert")</f>
        <v>Dankert</v>
      </c>
      <c r="AW877" s="46">
        <f t="shared" si="7"/>
        <v>100</v>
      </c>
      <c r="AX877" s="47">
        <f t="shared" ref="AX877:BQ877" si="2742">SUMIFS($AJ:$AJ,$V:$V,$AV877,$AK:$AK,AX$2)</f>
        <v>0</v>
      </c>
      <c r="AY877" s="48">
        <f t="shared" si="2742"/>
        <v>0</v>
      </c>
      <c r="AZ877" s="48">
        <f t="shared" si="2742"/>
        <v>0</v>
      </c>
      <c r="BA877" s="48">
        <f t="shared" si="2742"/>
        <v>0</v>
      </c>
      <c r="BB877" s="48">
        <f t="shared" si="2742"/>
        <v>0</v>
      </c>
      <c r="BC877" s="48">
        <f t="shared" si="2742"/>
        <v>0</v>
      </c>
      <c r="BD877" s="48">
        <f t="shared" si="2742"/>
        <v>0</v>
      </c>
      <c r="BE877" s="48">
        <f t="shared" si="2742"/>
        <v>0</v>
      </c>
      <c r="BF877" s="48">
        <f t="shared" si="2742"/>
        <v>0</v>
      </c>
      <c r="BG877" s="48">
        <f t="shared" si="2742"/>
        <v>100</v>
      </c>
      <c r="BH877" s="48">
        <f t="shared" si="2742"/>
        <v>0</v>
      </c>
      <c r="BI877" s="48">
        <f t="shared" si="2742"/>
        <v>0</v>
      </c>
      <c r="BJ877" s="48">
        <f t="shared" si="2742"/>
        <v>0</v>
      </c>
      <c r="BK877" s="48">
        <f t="shared" si="2742"/>
        <v>0</v>
      </c>
      <c r="BL877" s="48">
        <f t="shared" si="2742"/>
        <v>0</v>
      </c>
      <c r="BM877" s="48">
        <f t="shared" si="2742"/>
        <v>0</v>
      </c>
      <c r="BN877" s="48">
        <f t="shared" si="2742"/>
        <v>0</v>
      </c>
      <c r="BO877" s="48">
        <f t="shared" si="2742"/>
        <v>0</v>
      </c>
      <c r="BP877" s="48">
        <f t="shared" si="2742"/>
        <v>0</v>
      </c>
      <c r="BQ877" s="48">
        <f t="shared" si="2742"/>
        <v>0</v>
      </c>
      <c r="BR877" s="36">
        <f t="shared" si="9"/>
        <v>0</v>
      </c>
      <c r="BS877" s="38">
        <f t="shared" si="10"/>
        <v>1</v>
      </c>
      <c r="BT877" s="49">
        <f t="shared" si="11"/>
        <v>0</v>
      </c>
      <c r="BU877" s="38">
        <f t="shared" si="12"/>
        <v>1000</v>
      </c>
      <c r="BV877" s="46" t="str">
        <f>IFERROR(__xludf.DUMMYFUNCTION("""COMPUTED_VALUE"""),"Dankert")</f>
        <v>Dankert</v>
      </c>
      <c r="BW877" s="46">
        <f t="shared" si="13"/>
        <v>100</v>
      </c>
      <c r="BX877" s="47">
        <f t="shared" ref="BX877:CA877" si="2743">AX877-$BU877</f>
        <v>-1000</v>
      </c>
      <c r="BY877" s="47">
        <f t="shared" si="2743"/>
        <v>-1000</v>
      </c>
      <c r="BZ877" s="47">
        <f t="shared" si="2743"/>
        <v>-1000</v>
      </c>
      <c r="CA877" s="47">
        <f t="shared" si="2743"/>
        <v>-1000</v>
      </c>
      <c r="CB877" s="47">
        <f t="shared" si="15"/>
        <v>-10000</v>
      </c>
      <c r="CC877" s="47">
        <f t="shared" ref="CC877:CQ877" si="2744">BC877-$BU877</f>
        <v>-1000</v>
      </c>
      <c r="CD877" s="47">
        <f t="shared" si="2744"/>
        <v>-1000</v>
      </c>
      <c r="CE877" s="47">
        <f t="shared" si="2744"/>
        <v>-1000</v>
      </c>
      <c r="CF877" s="47">
        <f t="shared" si="2744"/>
        <v>-1000</v>
      </c>
      <c r="CG877" s="47">
        <f t="shared" si="2744"/>
        <v>-900</v>
      </c>
      <c r="CH877" s="47">
        <f t="shared" si="2744"/>
        <v>-1000</v>
      </c>
      <c r="CI877" s="47">
        <f t="shared" si="2744"/>
        <v>-1000</v>
      </c>
      <c r="CJ877" s="47">
        <f t="shared" si="2744"/>
        <v>-1000</v>
      </c>
      <c r="CK877" s="47">
        <f t="shared" si="2744"/>
        <v>-1000</v>
      </c>
      <c r="CL877" s="47">
        <f t="shared" si="2744"/>
        <v>-1000</v>
      </c>
      <c r="CM877" s="47">
        <f t="shared" si="2744"/>
        <v>-1000</v>
      </c>
      <c r="CN877" s="47">
        <f t="shared" si="2744"/>
        <v>-1000</v>
      </c>
      <c r="CO877" s="47">
        <f t="shared" si="2744"/>
        <v>-1000</v>
      </c>
      <c r="CP877" s="47">
        <f t="shared" si="2744"/>
        <v>-1000</v>
      </c>
      <c r="CQ877" s="47">
        <f t="shared" si="2744"/>
        <v>-1000</v>
      </c>
      <c r="CR877" s="47"/>
      <c r="CS877" s="47"/>
      <c r="CT877" s="47"/>
      <c r="CU877" s="74"/>
      <c r="CV877" s="74"/>
      <c r="CW877" s="74" t="str">
        <f>IFERROR(__xludf.DUMMYFUNCTION("IF(REGEXMATCH(UPPER(CU877), ""DALLAS""),,CU877)"),"")</f>
        <v/>
      </c>
      <c r="CX877" s="74"/>
      <c r="CY877" s="74"/>
      <c r="CZ877" s="74"/>
      <c r="DA877" s="75"/>
      <c r="DB877" s="74"/>
      <c r="DC877" s="74"/>
      <c r="DD877" s="74"/>
      <c r="DE877" s="74"/>
      <c r="DF877" s="74"/>
      <c r="DG877" s="74"/>
      <c r="DH877" s="74"/>
      <c r="DI877" s="74"/>
      <c r="DJ877" s="74"/>
      <c r="DK877" s="74"/>
      <c r="DL877" s="74"/>
      <c r="DM877" s="74"/>
      <c r="DN877" s="74"/>
      <c r="DO877" s="74"/>
      <c r="DP877" s="74"/>
      <c r="DQ877" s="74"/>
      <c r="DR877" s="74"/>
      <c r="DS877" s="74"/>
      <c r="DT877" s="74"/>
      <c r="DU877" s="74"/>
      <c r="DV877" s="74"/>
      <c r="DW877" s="74"/>
    </row>
    <row r="878">
      <c r="A878" s="22" t="s">
        <v>55</v>
      </c>
      <c r="B878" s="23" t="s">
        <v>56</v>
      </c>
      <c r="C878" s="31" t="s">
        <v>2162</v>
      </c>
      <c r="D878" s="25" t="str">
        <f>IFERROR(__xludf.DUMMYFUNCTION("SPLIT(C878,"" "")"),"Tolbert,")</f>
        <v>Tolbert,</v>
      </c>
      <c r="E878" s="22" t="str">
        <f>IFERROR(__xludf.DUMMYFUNCTION("""COMPUTED_VALUE"""),"Marah
1700")</f>
        <v>Marah
1700</v>
      </c>
      <c r="F878" s="22" t="str">
        <f>IFERROR(__xludf.DUMMYFUNCTION("""COMPUTED_VALUE"""),"Cedar")</f>
        <v>Cedar</v>
      </c>
      <c r="G878" s="22" t="str">
        <f>IFERROR(__xludf.DUMMYFUNCTION("""COMPUTED_VALUE"""),"Springs")</f>
        <v>Springs</v>
      </c>
      <c r="H878" s="22" t="str">
        <f>IFERROR(__xludf.DUMMYFUNCTION("""COMPUTED_VALUE"""),"Rd
Dallas,")</f>
        <v>Rd
Dallas,</v>
      </c>
      <c r="I878" s="22" t="str">
        <f>IFERROR(__xludf.DUMMYFUNCTION("""COMPUTED_VALUE"""),"TX")</f>
        <v>TX</v>
      </c>
      <c r="J878" s="22">
        <f>IFERROR(__xludf.DUMMYFUNCTION("""COMPUTED_VALUE"""),75202.0)</f>
        <v>75202</v>
      </c>
      <c r="K878" s="22"/>
      <c r="L878" s="22"/>
      <c r="M878" s="22"/>
      <c r="N878" s="22"/>
      <c r="O878" s="22"/>
      <c r="P878" s="22"/>
      <c r="Q878" s="22"/>
      <c r="R878" s="22"/>
      <c r="S878" s="22"/>
      <c r="T878" s="22"/>
      <c r="U878" s="24" t="str">
        <f>IFERROR(__xludf.DUMMYFUNCTION("SPLIT(E878,""01234567890"")"),"Marah
")</f>
        <v>Marah
</v>
      </c>
      <c r="V878" s="24" t="str">
        <f>IFERROR(__xludf.DUMMYFUNCTION("SPLIT(D878,"","")"),"Tolbert")</f>
        <v>Tolbert</v>
      </c>
      <c r="W878" s="25" t="str">
        <f t="shared" si="1"/>
        <v>MARAH
 TOLBERT</v>
      </c>
      <c r="X878" s="22"/>
      <c r="Y878" s="22"/>
      <c r="Z878" s="25" t="str">
        <f>IFERROR(__xludf.DUMMYFUNCTION("SPLIT(C878,""
"")"),"Tolbert, Marah")</f>
        <v>Tolbert, Marah</v>
      </c>
      <c r="AA878" s="22" t="str">
        <f>IFERROR(__xludf.DUMMYFUNCTION("""COMPUTED_VALUE"""),"1700 Cedar Springs Rd")</f>
        <v>1700 Cedar Springs Rd</v>
      </c>
      <c r="AB878" s="22" t="str">
        <f>IFERROR(__xludf.DUMMYFUNCTION("""COMPUTED_VALUE"""),"Dallas, TX 75202")</f>
        <v>Dallas, TX 75202</v>
      </c>
      <c r="AC878" s="31" t="s">
        <v>2163</v>
      </c>
      <c r="AD878" s="22"/>
      <c r="AE878" s="22"/>
      <c r="AF878" s="22"/>
      <c r="AG878" s="22" t="s">
        <v>60</v>
      </c>
      <c r="AH878" s="54">
        <v>2481.0</v>
      </c>
      <c r="AI878" s="22" t="s">
        <v>68</v>
      </c>
      <c r="AJ878" s="27">
        <v>100.0</v>
      </c>
      <c r="AK878" s="31" t="s">
        <v>25</v>
      </c>
      <c r="AL878" s="28">
        <v>44828.0</v>
      </c>
      <c r="AM878" s="29">
        <v>44937.81995370371</v>
      </c>
      <c r="AN878" s="30">
        <v>2.0</v>
      </c>
      <c r="AO878" s="22"/>
      <c r="AP878" s="22"/>
      <c r="AQ878" s="22"/>
      <c r="AR878" s="22"/>
      <c r="AS878" s="22"/>
      <c r="AT878" s="70"/>
      <c r="AU878" s="22"/>
      <c r="AV878" s="57" t="str">
        <f>IFERROR(__xludf.DUMMYFUNCTION("""COMPUTED_VALUE"""),"Mata")</f>
        <v>Mata</v>
      </c>
      <c r="AW878" s="46">
        <f t="shared" si="7"/>
        <v>950</v>
      </c>
      <c r="AX878" s="47">
        <f t="shared" ref="AX878:BQ878" si="2745">SUMIFS($AJ:$AJ,$V:$V,$AV878,$AK:$AK,AX$2)</f>
        <v>0</v>
      </c>
      <c r="AY878" s="48">
        <f t="shared" si="2745"/>
        <v>0</v>
      </c>
      <c r="AZ878" s="48">
        <f t="shared" si="2745"/>
        <v>0</v>
      </c>
      <c r="BA878" s="48">
        <f t="shared" si="2745"/>
        <v>0</v>
      </c>
      <c r="BB878" s="48">
        <f t="shared" si="2745"/>
        <v>0</v>
      </c>
      <c r="BC878" s="48">
        <f t="shared" si="2745"/>
        <v>0</v>
      </c>
      <c r="BD878" s="48">
        <f t="shared" si="2745"/>
        <v>0</v>
      </c>
      <c r="BE878" s="48">
        <f t="shared" si="2745"/>
        <v>0</v>
      </c>
      <c r="BF878" s="48">
        <f t="shared" si="2745"/>
        <v>0</v>
      </c>
      <c r="BG878" s="48">
        <f t="shared" si="2745"/>
        <v>0</v>
      </c>
      <c r="BH878" s="48">
        <f t="shared" si="2745"/>
        <v>0</v>
      </c>
      <c r="BI878" s="48">
        <f t="shared" si="2745"/>
        <v>0</v>
      </c>
      <c r="BJ878" s="48">
        <f t="shared" si="2745"/>
        <v>0</v>
      </c>
      <c r="BK878" s="48">
        <f t="shared" si="2745"/>
        <v>0</v>
      </c>
      <c r="BL878" s="48">
        <f t="shared" si="2745"/>
        <v>0</v>
      </c>
      <c r="BM878" s="48">
        <f t="shared" si="2745"/>
        <v>0</v>
      </c>
      <c r="BN878" s="48">
        <f t="shared" si="2745"/>
        <v>0</v>
      </c>
      <c r="BO878" s="48">
        <f t="shared" si="2745"/>
        <v>950</v>
      </c>
      <c r="BP878" s="48">
        <f t="shared" si="2745"/>
        <v>0</v>
      </c>
      <c r="BQ878" s="48">
        <f t="shared" si="2745"/>
        <v>0</v>
      </c>
      <c r="BR878" s="36">
        <f t="shared" si="9"/>
        <v>0</v>
      </c>
      <c r="BS878" s="38">
        <f t="shared" si="10"/>
        <v>1</v>
      </c>
      <c r="BT878" s="49">
        <f t="shared" si="11"/>
        <v>0</v>
      </c>
      <c r="BU878" s="38">
        <f t="shared" si="12"/>
        <v>1000</v>
      </c>
      <c r="BV878" s="57" t="str">
        <f>IFERROR(__xludf.DUMMYFUNCTION("""COMPUTED_VALUE"""),"Mata")</f>
        <v>Mata</v>
      </c>
      <c r="BW878" s="46">
        <f t="shared" si="13"/>
        <v>950</v>
      </c>
      <c r="BX878" s="47">
        <f t="shared" ref="BX878:CA878" si="2746">AX878-$BU878</f>
        <v>-1000</v>
      </c>
      <c r="BY878" s="47">
        <f t="shared" si="2746"/>
        <v>-1000</v>
      </c>
      <c r="BZ878" s="47">
        <f t="shared" si="2746"/>
        <v>-1000</v>
      </c>
      <c r="CA878" s="47">
        <f t="shared" si="2746"/>
        <v>-1000</v>
      </c>
      <c r="CB878" s="47">
        <f t="shared" si="15"/>
        <v>-10000</v>
      </c>
      <c r="CC878" s="47">
        <f t="shared" ref="CC878:CQ878" si="2747">BC878-$BU878</f>
        <v>-1000</v>
      </c>
      <c r="CD878" s="47">
        <f t="shared" si="2747"/>
        <v>-1000</v>
      </c>
      <c r="CE878" s="47">
        <f t="shared" si="2747"/>
        <v>-1000</v>
      </c>
      <c r="CF878" s="47">
        <f t="shared" si="2747"/>
        <v>-1000</v>
      </c>
      <c r="CG878" s="47">
        <f t="shared" si="2747"/>
        <v>-1000</v>
      </c>
      <c r="CH878" s="47">
        <f t="shared" si="2747"/>
        <v>-1000</v>
      </c>
      <c r="CI878" s="47">
        <f t="shared" si="2747"/>
        <v>-1000</v>
      </c>
      <c r="CJ878" s="47">
        <f t="shared" si="2747"/>
        <v>-1000</v>
      </c>
      <c r="CK878" s="47">
        <f t="shared" si="2747"/>
        <v>-1000</v>
      </c>
      <c r="CL878" s="47">
        <f t="shared" si="2747"/>
        <v>-1000</v>
      </c>
      <c r="CM878" s="47">
        <f t="shared" si="2747"/>
        <v>-1000</v>
      </c>
      <c r="CN878" s="47">
        <f t="shared" si="2747"/>
        <v>-1000</v>
      </c>
      <c r="CO878" s="47">
        <f t="shared" si="2747"/>
        <v>-50</v>
      </c>
      <c r="CP878" s="47">
        <f t="shared" si="2747"/>
        <v>-1000</v>
      </c>
      <c r="CQ878" s="47">
        <f t="shared" si="2747"/>
        <v>-1000</v>
      </c>
      <c r="CR878" s="47"/>
      <c r="CS878" s="47"/>
      <c r="CT878" s="47"/>
      <c r="CU878" s="74"/>
      <c r="CV878" s="74"/>
      <c r="CW878" s="74" t="str">
        <f>IFERROR(__xludf.DUMMYFUNCTION("IF(REGEXMATCH(UPPER(CU878), ""DALLAS""),,CU878)"),"")</f>
        <v/>
      </c>
      <c r="CX878" s="74"/>
      <c r="CY878" s="74"/>
      <c r="CZ878" s="74"/>
      <c r="DA878" s="75"/>
      <c r="DB878" s="74"/>
      <c r="DC878" s="74"/>
      <c r="DD878" s="74"/>
      <c r="DE878" s="74"/>
      <c r="DF878" s="74"/>
      <c r="DG878" s="74"/>
      <c r="DH878" s="74"/>
      <c r="DI878" s="74"/>
      <c r="DJ878" s="74"/>
      <c r="DK878" s="74"/>
      <c r="DL878" s="74"/>
      <c r="DM878" s="74"/>
      <c r="DN878" s="74"/>
      <c r="DO878" s="74"/>
      <c r="DP878" s="74"/>
      <c r="DQ878" s="74"/>
      <c r="DR878" s="74"/>
      <c r="DS878" s="74"/>
      <c r="DT878" s="74"/>
      <c r="DU878" s="74"/>
      <c r="DV878" s="74"/>
      <c r="DW878" s="74"/>
    </row>
    <row r="879">
      <c r="A879" s="40" t="s">
        <v>55</v>
      </c>
      <c r="B879" s="41" t="s">
        <v>56</v>
      </c>
      <c r="C879" s="31" t="s">
        <v>2164</v>
      </c>
      <c r="D879" s="25" t="str">
        <f>IFERROR(__xludf.DUMMYFUNCTION("SPLIT(C879,"" "")"),"Sacher,")</f>
        <v>Sacher,</v>
      </c>
      <c r="E879" s="40" t="str">
        <f>IFERROR(__xludf.DUMMYFUNCTION("""COMPUTED_VALUE"""),"Mervyn
12115")</f>
        <v>Mervyn
12115</v>
      </c>
      <c r="F879" s="40" t="str">
        <f>IFERROR(__xludf.DUMMYFUNCTION("""COMPUTED_VALUE"""),"Talmay")</f>
        <v>Talmay</v>
      </c>
      <c r="G879" s="40" t="str">
        <f>IFERROR(__xludf.DUMMYFUNCTION("""COMPUTED_VALUE"""),"Dr
Dallas,")</f>
        <v>Dr
Dallas,</v>
      </c>
      <c r="H879" s="40" t="str">
        <f>IFERROR(__xludf.DUMMYFUNCTION("""COMPUTED_VALUE"""),"TX")</f>
        <v>TX</v>
      </c>
      <c r="I879" s="40">
        <f>IFERROR(__xludf.DUMMYFUNCTION("""COMPUTED_VALUE"""),75230.0)</f>
        <v>75230</v>
      </c>
      <c r="J879" s="40"/>
      <c r="K879" s="40"/>
      <c r="L879" s="40"/>
      <c r="M879" s="40"/>
      <c r="N879" s="40"/>
      <c r="O879" s="40"/>
      <c r="P879" s="40"/>
      <c r="Q879" s="40"/>
      <c r="R879" s="40"/>
      <c r="S879" s="40"/>
      <c r="T879" s="40"/>
      <c r="U879" s="24" t="str">
        <f>IFERROR(__xludf.DUMMYFUNCTION("SPLIT(E879,""01234567890"")"),"Mervyn
")</f>
        <v>Mervyn
</v>
      </c>
      <c r="V879" s="24" t="str">
        <f>IFERROR(__xludf.DUMMYFUNCTION("SPLIT(D879,"","")"),"Sacher")</f>
        <v>Sacher</v>
      </c>
      <c r="W879" s="25" t="str">
        <f t="shared" si="1"/>
        <v>MERVYN
 SACHER</v>
      </c>
      <c r="X879" s="40"/>
      <c r="Y879" s="40"/>
      <c r="Z879" s="25" t="str">
        <f>IFERROR(__xludf.DUMMYFUNCTION("SPLIT(C879,""
"")"),"Sacher, Mervyn")</f>
        <v>Sacher, Mervyn</v>
      </c>
      <c r="AA879" s="40" t="str">
        <f>IFERROR(__xludf.DUMMYFUNCTION("""COMPUTED_VALUE"""),"12115 Talmay Dr")</f>
        <v>12115 Talmay Dr</v>
      </c>
      <c r="AB879" s="40" t="str">
        <f>IFERROR(__xludf.DUMMYFUNCTION("""COMPUTED_VALUE"""),"Dallas, TX 75230")</f>
        <v>Dallas, TX 75230</v>
      </c>
      <c r="AC879" s="31" t="s">
        <v>2165</v>
      </c>
      <c r="AD879" s="40"/>
      <c r="AE879" s="40"/>
      <c r="AF879" s="40"/>
      <c r="AG879" s="40" t="s">
        <v>60</v>
      </c>
      <c r="AH879" s="42">
        <v>2481.0</v>
      </c>
      <c r="AI879" s="40" t="s">
        <v>68</v>
      </c>
      <c r="AJ879" s="27">
        <v>100.0</v>
      </c>
      <c r="AK879" s="31" t="s">
        <v>25</v>
      </c>
      <c r="AL879" s="43">
        <v>44828.0</v>
      </c>
      <c r="AM879" s="44">
        <v>44937.81995370371</v>
      </c>
      <c r="AN879" s="30">
        <v>2.0</v>
      </c>
      <c r="AO879" s="40"/>
      <c r="AP879" s="40"/>
      <c r="AQ879" s="40"/>
      <c r="AR879" s="40"/>
      <c r="AS879" s="40"/>
      <c r="AT879" s="47"/>
      <c r="AU879" s="40"/>
      <c r="AV879" s="46" t="str">
        <f>IFERROR(__xludf.DUMMYFUNCTION("""COMPUTED_VALUE"""),"Carden")</f>
        <v>Carden</v>
      </c>
      <c r="AW879" s="46">
        <f t="shared" si="7"/>
        <v>100</v>
      </c>
      <c r="AX879" s="47">
        <f t="shared" ref="AX879:BQ879" si="2748">SUMIFS($AJ:$AJ,$V:$V,$AV879,$AK:$AK,AX$2)</f>
        <v>0</v>
      </c>
      <c r="AY879" s="48">
        <f t="shared" si="2748"/>
        <v>0</v>
      </c>
      <c r="AZ879" s="48">
        <f t="shared" si="2748"/>
        <v>0</v>
      </c>
      <c r="BA879" s="48">
        <f t="shared" si="2748"/>
        <v>0</v>
      </c>
      <c r="BB879" s="48">
        <f t="shared" si="2748"/>
        <v>0</v>
      </c>
      <c r="BC879" s="48">
        <f t="shared" si="2748"/>
        <v>0</v>
      </c>
      <c r="BD879" s="48">
        <f t="shared" si="2748"/>
        <v>0</v>
      </c>
      <c r="BE879" s="48">
        <f t="shared" si="2748"/>
        <v>0</v>
      </c>
      <c r="BF879" s="48">
        <f t="shared" si="2748"/>
        <v>0</v>
      </c>
      <c r="BG879" s="48">
        <f t="shared" si="2748"/>
        <v>0</v>
      </c>
      <c r="BH879" s="48">
        <f t="shared" si="2748"/>
        <v>0</v>
      </c>
      <c r="BI879" s="48">
        <f t="shared" si="2748"/>
        <v>0</v>
      </c>
      <c r="BJ879" s="48">
        <f t="shared" si="2748"/>
        <v>0</v>
      </c>
      <c r="BK879" s="48">
        <f t="shared" si="2748"/>
        <v>0</v>
      </c>
      <c r="BL879" s="48">
        <f t="shared" si="2748"/>
        <v>0</v>
      </c>
      <c r="BM879" s="48">
        <f t="shared" si="2748"/>
        <v>0</v>
      </c>
      <c r="BN879" s="48">
        <f t="shared" si="2748"/>
        <v>0</v>
      </c>
      <c r="BO879" s="48">
        <f t="shared" si="2748"/>
        <v>100</v>
      </c>
      <c r="BP879" s="48">
        <f t="shared" si="2748"/>
        <v>0</v>
      </c>
      <c r="BQ879" s="48">
        <f t="shared" si="2748"/>
        <v>0</v>
      </c>
      <c r="BR879" s="36">
        <f t="shared" si="9"/>
        <v>0</v>
      </c>
      <c r="BS879" s="38">
        <f t="shared" si="10"/>
        <v>1</v>
      </c>
      <c r="BT879" s="49">
        <f t="shared" si="11"/>
        <v>0</v>
      </c>
      <c r="BU879" s="38">
        <f t="shared" si="12"/>
        <v>1000</v>
      </c>
      <c r="BV879" s="46" t="str">
        <f>IFERROR(__xludf.DUMMYFUNCTION("""COMPUTED_VALUE"""),"Carden")</f>
        <v>Carden</v>
      </c>
      <c r="BW879" s="46">
        <f t="shared" si="13"/>
        <v>100</v>
      </c>
      <c r="BX879" s="47">
        <f t="shared" ref="BX879:CA879" si="2749">AX879-$BU879</f>
        <v>-1000</v>
      </c>
      <c r="BY879" s="47">
        <f t="shared" si="2749"/>
        <v>-1000</v>
      </c>
      <c r="BZ879" s="47">
        <f t="shared" si="2749"/>
        <v>-1000</v>
      </c>
      <c r="CA879" s="47">
        <f t="shared" si="2749"/>
        <v>-1000</v>
      </c>
      <c r="CB879" s="47">
        <f t="shared" si="15"/>
        <v>-10000</v>
      </c>
      <c r="CC879" s="47">
        <f t="shared" ref="CC879:CQ879" si="2750">BC879-$BU879</f>
        <v>-1000</v>
      </c>
      <c r="CD879" s="47">
        <f t="shared" si="2750"/>
        <v>-1000</v>
      </c>
      <c r="CE879" s="47">
        <f t="shared" si="2750"/>
        <v>-1000</v>
      </c>
      <c r="CF879" s="47">
        <f t="shared" si="2750"/>
        <v>-1000</v>
      </c>
      <c r="CG879" s="47">
        <f t="shared" si="2750"/>
        <v>-1000</v>
      </c>
      <c r="CH879" s="47">
        <f t="shared" si="2750"/>
        <v>-1000</v>
      </c>
      <c r="CI879" s="47">
        <f t="shared" si="2750"/>
        <v>-1000</v>
      </c>
      <c r="CJ879" s="47">
        <f t="shared" si="2750"/>
        <v>-1000</v>
      </c>
      <c r="CK879" s="47">
        <f t="shared" si="2750"/>
        <v>-1000</v>
      </c>
      <c r="CL879" s="47">
        <f t="shared" si="2750"/>
        <v>-1000</v>
      </c>
      <c r="CM879" s="47">
        <f t="shared" si="2750"/>
        <v>-1000</v>
      </c>
      <c r="CN879" s="47">
        <f t="shared" si="2750"/>
        <v>-1000</v>
      </c>
      <c r="CO879" s="47">
        <f t="shared" si="2750"/>
        <v>-900</v>
      </c>
      <c r="CP879" s="47">
        <f t="shared" si="2750"/>
        <v>-1000</v>
      </c>
      <c r="CQ879" s="47">
        <f t="shared" si="2750"/>
        <v>-1000</v>
      </c>
      <c r="CR879" s="47"/>
      <c r="CS879" s="47"/>
      <c r="CT879" s="47"/>
      <c r="CU879" s="74"/>
      <c r="CV879" s="74"/>
      <c r="CW879" s="74" t="str">
        <f>IFERROR(__xludf.DUMMYFUNCTION("IF(REGEXMATCH(UPPER(CU879), ""DALLAS""),,CU879)"),"")</f>
        <v/>
      </c>
      <c r="CX879" s="74"/>
      <c r="CY879" s="74"/>
      <c r="CZ879" s="74"/>
      <c r="DA879" s="75"/>
      <c r="DB879" s="74"/>
      <c r="DC879" s="74"/>
      <c r="DD879" s="74"/>
      <c r="DE879" s="74"/>
      <c r="DF879" s="74"/>
      <c r="DG879" s="74"/>
      <c r="DH879" s="74"/>
      <c r="DI879" s="74"/>
      <c r="DJ879" s="74"/>
      <c r="DK879" s="74"/>
      <c r="DL879" s="74"/>
      <c r="DM879" s="74"/>
      <c r="DN879" s="74"/>
      <c r="DO879" s="74"/>
      <c r="DP879" s="74"/>
      <c r="DQ879" s="74"/>
      <c r="DR879" s="74"/>
      <c r="DS879" s="74"/>
      <c r="DT879" s="74"/>
      <c r="DU879" s="74"/>
      <c r="DV879" s="74"/>
      <c r="DW879" s="74"/>
    </row>
    <row r="880">
      <c r="A880" s="22" t="s">
        <v>55</v>
      </c>
      <c r="B880" s="23" t="s">
        <v>56</v>
      </c>
      <c r="C880" s="31" t="s">
        <v>2166</v>
      </c>
      <c r="D880" s="25" t="str">
        <f>IFERROR(__xludf.DUMMYFUNCTION("SPLIT(C880,"" "")"),"Paley,")</f>
        <v>Paley,</v>
      </c>
      <c r="E880" s="22" t="str">
        <f>IFERROR(__xludf.DUMMYFUNCTION("""COMPUTED_VALUE"""),"Andrew
6022")</f>
        <v>Andrew
6022</v>
      </c>
      <c r="F880" s="22" t="str">
        <f>IFERROR(__xludf.DUMMYFUNCTION("""COMPUTED_VALUE"""),"Windbreak")</f>
        <v>Windbreak</v>
      </c>
      <c r="G880" s="22" t="str">
        <f>IFERROR(__xludf.DUMMYFUNCTION("""COMPUTED_VALUE"""),"Tr
Dallas,")</f>
        <v>Tr
Dallas,</v>
      </c>
      <c r="H880" s="22" t="str">
        <f>IFERROR(__xludf.DUMMYFUNCTION("""COMPUTED_VALUE"""),"TX")</f>
        <v>TX</v>
      </c>
      <c r="I880" s="22">
        <f>IFERROR(__xludf.DUMMYFUNCTION("""COMPUTED_VALUE"""),75252.0)</f>
        <v>75252</v>
      </c>
      <c r="J880" s="22"/>
      <c r="K880" s="22"/>
      <c r="L880" s="22"/>
      <c r="M880" s="22"/>
      <c r="N880" s="22"/>
      <c r="O880" s="22"/>
      <c r="P880" s="22"/>
      <c r="Q880" s="22"/>
      <c r="R880" s="22"/>
      <c r="S880" s="22"/>
      <c r="T880" s="22"/>
      <c r="U880" s="24" t="str">
        <f>IFERROR(__xludf.DUMMYFUNCTION("SPLIT(E880,""01234567890"")"),"Andrew
")</f>
        <v>Andrew
</v>
      </c>
      <c r="V880" s="24" t="str">
        <f>IFERROR(__xludf.DUMMYFUNCTION("SPLIT(D880,"","")"),"Paley")</f>
        <v>Paley</v>
      </c>
      <c r="W880" s="25" t="str">
        <f t="shared" si="1"/>
        <v>ANDREW
 PALEY</v>
      </c>
      <c r="X880" s="22"/>
      <c r="Y880" s="22"/>
      <c r="Z880" s="25" t="str">
        <f>IFERROR(__xludf.DUMMYFUNCTION("SPLIT(C880,""
"")"),"Paley, Andrew")</f>
        <v>Paley, Andrew</v>
      </c>
      <c r="AA880" s="22" t="str">
        <f>IFERROR(__xludf.DUMMYFUNCTION("""COMPUTED_VALUE"""),"6022 Windbreak Tr")</f>
        <v>6022 Windbreak Tr</v>
      </c>
      <c r="AB880" s="22" t="str">
        <f>IFERROR(__xludf.DUMMYFUNCTION("""COMPUTED_VALUE"""),"Dallas, TX 75252")</f>
        <v>Dallas, TX 75252</v>
      </c>
      <c r="AC880" s="31" t="s">
        <v>2167</v>
      </c>
      <c r="AD880" s="22"/>
      <c r="AE880" s="22"/>
      <c r="AF880" s="22"/>
      <c r="AG880" s="22" t="s">
        <v>60</v>
      </c>
      <c r="AH880" s="54">
        <v>2481.0</v>
      </c>
      <c r="AI880" s="22" t="s">
        <v>68</v>
      </c>
      <c r="AJ880" s="27">
        <v>100.0</v>
      </c>
      <c r="AK880" s="31" t="s">
        <v>25</v>
      </c>
      <c r="AL880" s="28">
        <v>44829.0</v>
      </c>
      <c r="AM880" s="29">
        <v>44937.81995370371</v>
      </c>
      <c r="AN880" s="30">
        <v>2.0</v>
      </c>
      <c r="AO880" s="22"/>
      <c r="AP880" s="22"/>
      <c r="AQ880" s="22"/>
      <c r="AR880" s="22"/>
      <c r="AS880" s="22"/>
      <c r="AT880" s="70"/>
      <c r="AU880" s="22"/>
      <c r="AV880" s="57" t="str">
        <f>IFERROR(__xludf.DUMMYFUNCTION("""COMPUTED_VALUE"""),"Amaya")</f>
        <v>Amaya</v>
      </c>
      <c r="AW880" s="46">
        <f t="shared" si="7"/>
        <v>50</v>
      </c>
      <c r="AX880" s="47">
        <f t="shared" ref="AX880:BQ880" si="2751">SUMIFS($AJ:$AJ,$V:$V,$AV880,$AK:$AK,AX$2)</f>
        <v>0</v>
      </c>
      <c r="AY880" s="48">
        <f t="shared" si="2751"/>
        <v>0</v>
      </c>
      <c r="AZ880" s="48">
        <f t="shared" si="2751"/>
        <v>0</v>
      </c>
      <c r="BA880" s="48">
        <f t="shared" si="2751"/>
        <v>0</v>
      </c>
      <c r="BB880" s="48">
        <f t="shared" si="2751"/>
        <v>0</v>
      </c>
      <c r="BC880" s="48">
        <f t="shared" si="2751"/>
        <v>0</v>
      </c>
      <c r="BD880" s="48">
        <f t="shared" si="2751"/>
        <v>0</v>
      </c>
      <c r="BE880" s="48">
        <f t="shared" si="2751"/>
        <v>0</v>
      </c>
      <c r="BF880" s="48">
        <f t="shared" si="2751"/>
        <v>0</v>
      </c>
      <c r="BG880" s="48">
        <f t="shared" si="2751"/>
        <v>0</v>
      </c>
      <c r="BH880" s="48">
        <f t="shared" si="2751"/>
        <v>0</v>
      </c>
      <c r="BI880" s="48">
        <f t="shared" si="2751"/>
        <v>0</v>
      </c>
      <c r="BJ880" s="48">
        <f t="shared" si="2751"/>
        <v>0</v>
      </c>
      <c r="BK880" s="48">
        <f t="shared" si="2751"/>
        <v>0</v>
      </c>
      <c r="BL880" s="48">
        <f t="shared" si="2751"/>
        <v>0</v>
      </c>
      <c r="BM880" s="48">
        <f t="shared" si="2751"/>
        <v>0</v>
      </c>
      <c r="BN880" s="48">
        <f t="shared" si="2751"/>
        <v>0</v>
      </c>
      <c r="BO880" s="48">
        <f t="shared" si="2751"/>
        <v>50</v>
      </c>
      <c r="BP880" s="48">
        <f t="shared" si="2751"/>
        <v>0</v>
      </c>
      <c r="BQ880" s="48">
        <f t="shared" si="2751"/>
        <v>0</v>
      </c>
      <c r="BR880" s="36">
        <f t="shared" si="9"/>
        <v>0</v>
      </c>
      <c r="BS880" s="38">
        <f t="shared" si="10"/>
        <v>1</v>
      </c>
      <c r="BT880" s="49">
        <f t="shared" si="11"/>
        <v>0</v>
      </c>
      <c r="BU880" s="38">
        <f t="shared" si="12"/>
        <v>1000</v>
      </c>
      <c r="BV880" s="57" t="str">
        <f>IFERROR(__xludf.DUMMYFUNCTION("""COMPUTED_VALUE"""),"Amaya")</f>
        <v>Amaya</v>
      </c>
      <c r="BW880" s="46">
        <f t="shared" si="13"/>
        <v>50</v>
      </c>
      <c r="BX880" s="47">
        <f t="shared" ref="BX880:CA880" si="2752">AX880-$BU880</f>
        <v>-1000</v>
      </c>
      <c r="BY880" s="47">
        <f t="shared" si="2752"/>
        <v>-1000</v>
      </c>
      <c r="BZ880" s="47">
        <f t="shared" si="2752"/>
        <v>-1000</v>
      </c>
      <c r="CA880" s="47">
        <f t="shared" si="2752"/>
        <v>-1000</v>
      </c>
      <c r="CB880" s="47">
        <f t="shared" si="15"/>
        <v>-10000</v>
      </c>
      <c r="CC880" s="47">
        <f t="shared" ref="CC880:CQ880" si="2753">BC880-$BU880</f>
        <v>-1000</v>
      </c>
      <c r="CD880" s="47">
        <f t="shared" si="2753"/>
        <v>-1000</v>
      </c>
      <c r="CE880" s="47">
        <f t="shared" si="2753"/>
        <v>-1000</v>
      </c>
      <c r="CF880" s="47">
        <f t="shared" si="2753"/>
        <v>-1000</v>
      </c>
      <c r="CG880" s="47">
        <f t="shared" si="2753"/>
        <v>-1000</v>
      </c>
      <c r="CH880" s="47">
        <f t="shared" si="2753"/>
        <v>-1000</v>
      </c>
      <c r="CI880" s="47">
        <f t="shared" si="2753"/>
        <v>-1000</v>
      </c>
      <c r="CJ880" s="47">
        <f t="shared" si="2753"/>
        <v>-1000</v>
      </c>
      <c r="CK880" s="47">
        <f t="shared" si="2753"/>
        <v>-1000</v>
      </c>
      <c r="CL880" s="47">
        <f t="shared" si="2753"/>
        <v>-1000</v>
      </c>
      <c r="CM880" s="47">
        <f t="shared" si="2753"/>
        <v>-1000</v>
      </c>
      <c r="CN880" s="47">
        <f t="shared" si="2753"/>
        <v>-1000</v>
      </c>
      <c r="CO880" s="47">
        <f t="shared" si="2753"/>
        <v>-950</v>
      </c>
      <c r="CP880" s="47">
        <f t="shared" si="2753"/>
        <v>-1000</v>
      </c>
      <c r="CQ880" s="47">
        <f t="shared" si="2753"/>
        <v>-1000</v>
      </c>
      <c r="CR880" s="47"/>
      <c r="CS880" s="47"/>
      <c r="CT880" s="47"/>
      <c r="CU880" s="74"/>
      <c r="CV880" s="74"/>
      <c r="CW880" s="74" t="str">
        <f>IFERROR(__xludf.DUMMYFUNCTION("IF(REGEXMATCH(UPPER(CU880), ""DALLAS""),,CU880)"),"")</f>
        <v/>
      </c>
      <c r="CX880" s="74"/>
      <c r="CY880" s="74"/>
      <c r="CZ880" s="74"/>
      <c r="DA880" s="75"/>
      <c r="DB880" s="74"/>
      <c r="DC880" s="74"/>
      <c r="DD880" s="74"/>
      <c r="DE880" s="74"/>
      <c r="DF880" s="74"/>
      <c r="DG880" s="74"/>
      <c r="DH880" s="74"/>
      <c r="DI880" s="74"/>
      <c r="DJ880" s="74"/>
      <c r="DK880" s="74"/>
      <c r="DL880" s="74"/>
      <c r="DM880" s="74"/>
      <c r="DN880" s="74"/>
      <c r="DO880" s="74"/>
      <c r="DP880" s="74"/>
      <c r="DQ880" s="74"/>
      <c r="DR880" s="74"/>
      <c r="DS880" s="74"/>
      <c r="DT880" s="74"/>
      <c r="DU880" s="74"/>
      <c r="DV880" s="74"/>
      <c r="DW880" s="74"/>
    </row>
    <row r="881">
      <c r="A881" s="40" t="s">
        <v>55</v>
      </c>
      <c r="B881" s="41" t="s">
        <v>56</v>
      </c>
      <c r="C881" s="31" t="s">
        <v>2168</v>
      </c>
      <c r="D881" s="25" t="str">
        <f>IFERROR(__xludf.DUMMYFUNCTION("SPLIT(C881,"" "")"),"Houston,")</f>
        <v>Houston,</v>
      </c>
      <c r="E881" s="40" t="str">
        <f>IFERROR(__xludf.DUMMYFUNCTION("""COMPUTED_VALUE"""),"Matt
1504")</f>
        <v>Matt
1504</v>
      </c>
      <c r="F881" s="40" t="str">
        <f>IFERROR(__xludf.DUMMYFUNCTION("""COMPUTED_VALUE"""),"Boca")</f>
        <v>Boca</v>
      </c>
      <c r="G881" s="40" t="str">
        <f>IFERROR(__xludf.DUMMYFUNCTION("""COMPUTED_VALUE"""),"Chica")</f>
        <v>Chica</v>
      </c>
      <c r="H881" s="40" t="str">
        <f>IFERROR(__xludf.DUMMYFUNCTION("""COMPUTED_VALUE"""),"Dr
Dallas,")</f>
        <v>Dr
Dallas,</v>
      </c>
      <c r="I881" s="40" t="str">
        <f>IFERROR(__xludf.DUMMYFUNCTION("""COMPUTED_VALUE"""),"TX")</f>
        <v>TX</v>
      </c>
      <c r="J881" s="40">
        <f>IFERROR(__xludf.DUMMYFUNCTION("""COMPUTED_VALUE"""),75232.0)</f>
        <v>75232</v>
      </c>
      <c r="K881" s="40"/>
      <c r="L881" s="40"/>
      <c r="M881" s="40"/>
      <c r="N881" s="40"/>
      <c r="O881" s="40"/>
      <c r="P881" s="40"/>
      <c r="Q881" s="40"/>
      <c r="R881" s="40"/>
      <c r="S881" s="40"/>
      <c r="T881" s="40"/>
      <c r="U881" s="24" t="str">
        <f>IFERROR(__xludf.DUMMYFUNCTION("SPLIT(E881,""01234567890"")"),"Matt
")</f>
        <v>Matt
</v>
      </c>
      <c r="V881" s="24" t="str">
        <f>IFERROR(__xludf.DUMMYFUNCTION("SPLIT(D881,"","")"),"Houston")</f>
        <v>Houston</v>
      </c>
      <c r="W881" s="25" t="str">
        <f t="shared" si="1"/>
        <v>MATT
 HOUSTON</v>
      </c>
      <c r="X881" s="40"/>
      <c r="Y881" s="40"/>
      <c r="Z881" s="25" t="str">
        <f>IFERROR(__xludf.DUMMYFUNCTION("SPLIT(C881,""
"")"),"Houston, Matt")</f>
        <v>Houston, Matt</v>
      </c>
      <c r="AA881" s="40" t="str">
        <f>IFERROR(__xludf.DUMMYFUNCTION("""COMPUTED_VALUE"""),"1504 Boca Chica Dr")</f>
        <v>1504 Boca Chica Dr</v>
      </c>
      <c r="AB881" s="40" t="str">
        <f>IFERROR(__xludf.DUMMYFUNCTION("""COMPUTED_VALUE"""),"Dallas, TX 75232")</f>
        <v>Dallas, TX 75232</v>
      </c>
      <c r="AC881" s="31" t="s">
        <v>2169</v>
      </c>
      <c r="AD881" s="40"/>
      <c r="AE881" s="40"/>
      <c r="AF881" s="40"/>
      <c r="AG881" s="40" t="s">
        <v>60</v>
      </c>
      <c r="AH881" s="42">
        <v>2481.0</v>
      </c>
      <c r="AI881" s="40" t="s">
        <v>68</v>
      </c>
      <c r="AJ881" s="27">
        <v>500.0</v>
      </c>
      <c r="AK881" s="31" t="s">
        <v>25</v>
      </c>
      <c r="AL881" s="43">
        <v>44830.0</v>
      </c>
      <c r="AM881" s="44">
        <v>44937.81995370371</v>
      </c>
      <c r="AN881" s="30">
        <v>2.0</v>
      </c>
      <c r="AO881" s="40"/>
      <c r="AP881" s="40"/>
      <c r="AQ881" s="40"/>
      <c r="AR881" s="40"/>
      <c r="AS881" s="40"/>
      <c r="AT881" s="47"/>
      <c r="AU881" s="40"/>
      <c r="AV881" s="46" t="str">
        <f>IFERROR(__xludf.DUMMYFUNCTION("""COMPUTED_VALUE"""),"Bolding")</f>
        <v>Bolding</v>
      </c>
      <c r="AW881" s="46">
        <f t="shared" si="7"/>
        <v>50</v>
      </c>
      <c r="AX881" s="47">
        <f t="shared" ref="AX881:BQ881" si="2754">SUMIFS($AJ:$AJ,$V:$V,$AV881,$AK:$AK,AX$2)</f>
        <v>50</v>
      </c>
      <c r="AY881" s="48">
        <f t="shared" si="2754"/>
        <v>0</v>
      </c>
      <c r="AZ881" s="48">
        <f t="shared" si="2754"/>
        <v>0</v>
      </c>
      <c r="BA881" s="48">
        <f t="shared" si="2754"/>
        <v>0</v>
      </c>
      <c r="BB881" s="48">
        <f t="shared" si="2754"/>
        <v>0</v>
      </c>
      <c r="BC881" s="48">
        <f t="shared" si="2754"/>
        <v>0</v>
      </c>
      <c r="BD881" s="48">
        <f t="shared" si="2754"/>
        <v>0</v>
      </c>
      <c r="BE881" s="48">
        <f t="shared" si="2754"/>
        <v>0</v>
      </c>
      <c r="BF881" s="48">
        <f t="shared" si="2754"/>
        <v>0</v>
      </c>
      <c r="BG881" s="48">
        <f t="shared" si="2754"/>
        <v>0</v>
      </c>
      <c r="BH881" s="48">
        <f t="shared" si="2754"/>
        <v>0</v>
      </c>
      <c r="BI881" s="48">
        <f t="shared" si="2754"/>
        <v>0</v>
      </c>
      <c r="BJ881" s="48">
        <f t="shared" si="2754"/>
        <v>0</v>
      </c>
      <c r="BK881" s="48">
        <f t="shared" si="2754"/>
        <v>0</v>
      </c>
      <c r="BL881" s="48">
        <f t="shared" si="2754"/>
        <v>0</v>
      </c>
      <c r="BM881" s="48">
        <f t="shared" si="2754"/>
        <v>0</v>
      </c>
      <c r="BN881" s="48">
        <f t="shared" si="2754"/>
        <v>0</v>
      </c>
      <c r="BO881" s="48">
        <f t="shared" si="2754"/>
        <v>0</v>
      </c>
      <c r="BP881" s="48">
        <f t="shared" si="2754"/>
        <v>0</v>
      </c>
      <c r="BQ881" s="48">
        <f t="shared" si="2754"/>
        <v>0</v>
      </c>
      <c r="BR881" s="36">
        <f t="shared" si="9"/>
        <v>0</v>
      </c>
      <c r="BS881" s="38">
        <f t="shared" si="10"/>
        <v>1</v>
      </c>
      <c r="BT881" s="49">
        <f t="shared" si="11"/>
        <v>0</v>
      </c>
      <c r="BU881" s="38">
        <f t="shared" si="12"/>
        <v>1000</v>
      </c>
      <c r="BV881" s="46" t="str">
        <f>IFERROR(__xludf.DUMMYFUNCTION("""COMPUTED_VALUE"""),"Bolding")</f>
        <v>Bolding</v>
      </c>
      <c r="BW881" s="46">
        <f t="shared" si="13"/>
        <v>50</v>
      </c>
      <c r="BX881" s="47">
        <f t="shared" ref="BX881:CA881" si="2755">AX881-$BU881</f>
        <v>-950</v>
      </c>
      <c r="BY881" s="47">
        <f t="shared" si="2755"/>
        <v>-1000</v>
      </c>
      <c r="BZ881" s="47">
        <f t="shared" si="2755"/>
        <v>-1000</v>
      </c>
      <c r="CA881" s="47">
        <f t="shared" si="2755"/>
        <v>-1000</v>
      </c>
      <c r="CB881" s="47">
        <f t="shared" si="15"/>
        <v>-10000</v>
      </c>
      <c r="CC881" s="47">
        <f t="shared" ref="CC881:CQ881" si="2756">BC881-$BU881</f>
        <v>-1000</v>
      </c>
      <c r="CD881" s="47">
        <f t="shared" si="2756"/>
        <v>-1000</v>
      </c>
      <c r="CE881" s="47">
        <f t="shared" si="2756"/>
        <v>-1000</v>
      </c>
      <c r="CF881" s="47">
        <f t="shared" si="2756"/>
        <v>-1000</v>
      </c>
      <c r="CG881" s="47">
        <f t="shared" si="2756"/>
        <v>-1000</v>
      </c>
      <c r="CH881" s="47">
        <f t="shared" si="2756"/>
        <v>-1000</v>
      </c>
      <c r="CI881" s="47">
        <f t="shared" si="2756"/>
        <v>-1000</v>
      </c>
      <c r="CJ881" s="47">
        <f t="shared" si="2756"/>
        <v>-1000</v>
      </c>
      <c r="CK881" s="47">
        <f t="shared" si="2756"/>
        <v>-1000</v>
      </c>
      <c r="CL881" s="47">
        <f t="shared" si="2756"/>
        <v>-1000</v>
      </c>
      <c r="CM881" s="47">
        <f t="shared" si="2756"/>
        <v>-1000</v>
      </c>
      <c r="CN881" s="47">
        <f t="shared" si="2756"/>
        <v>-1000</v>
      </c>
      <c r="CO881" s="47">
        <f t="shared" si="2756"/>
        <v>-1000</v>
      </c>
      <c r="CP881" s="47">
        <f t="shared" si="2756"/>
        <v>-1000</v>
      </c>
      <c r="CQ881" s="47">
        <f t="shared" si="2756"/>
        <v>-1000</v>
      </c>
      <c r="CR881" s="47"/>
      <c r="CS881" s="47"/>
      <c r="CT881" s="47"/>
      <c r="CU881" s="74"/>
      <c r="CV881" s="74"/>
      <c r="CW881" s="74" t="str">
        <f>IFERROR(__xludf.DUMMYFUNCTION("IF(REGEXMATCH(UPPER(CU881), ""DALLAS""),,CU881)"),"")</f>
        <v/>
      </c>
      <c r="CX881" s="74"/>
      <c r="CY881" s="74"/>
      <c r="CZ881" s="74"/>
      <c r="DA881" s="75"/>
      <c r="DB881" s="74"/>
      <c r="DC881" s="74"/>
      <c r="DD881" s="74"/>
      <c r="DE881" s="74"/>
      <c r="DF881" s="74"/>
      <c r="DG881" s="74"/>
      <c r="DH881" s="74"/>
      <c r="DI881" s="74"/>
      <c r="DJ881" s="74"/>
      <c r="DK881" s="74"/>
      <c r="DL881" s="74"/>
      <c r="DM881" s="74"/>
      <c r="DN881" s="74"/>
      <c r="DO881" s="74"/>
      <c r="DP881" s="74"/>
      <c r="DQ881" s="74"/>
      <c r="DR881" s="74"/>
      <c r="DS881" s="74"/>
      <c r="DT881" s="74"/>
      <c r="DU881" s="74"/>
      <c r="DV881" s="74"/>
      <c r="DW881" s="74"/>
    </row>
    <row r="882">
      <c r="A882" s="22" t="s">
        <v>55</v>
      </c>
      <c r="B882" s="23" t="s">
        <v>56</v>
      </c>
      <c r="C882" s="31" t="s">
        <v>1047</v>
      </c>
      <c r="D882" s="25" t="str">
        <f>IFERROR(__xludf.DUMMYFUNCTION("SPLIT(C882,"" "")"),"McBee,")</f>
        <v>McBee,</v>
      </c>
      <c r="E882" s="22" t="str">
        <f>IFERROR(__xludf.DUMMYFUNCTION("""COMPUTED_VALUE"""),"Lynn
3925")</f>
        <v>Lynn
3925</v>
      </c>
      <c r="F882" s="22" t="str">
        <f>IFERROR(__xludf.DUMMYFUNCTION("""COMPUTED_VALUE"""),"Stonebridge")</f>
        <v>Stonebridge</v>
      </c>
      <c r="G882" s="22" t="str">
        <f>IFERROR(__xludf.DUMMYFUNCTION("""COMPUTED_VALUE"""),"Dr
Dallas,")</f>
        <v>Dr
Dallas,</v>
      </c>
      <c r="H882" s="22" t="str">
        <f>IFERROR(__xludf.DUMMYFUNCTION("""COMPUTED_VALUE"""),"TX")</f>
        <v>TX</v>
      </c>
      <c r="I882" s="22">
        <f>IFERROR(__xludf.DUMMYFUNCTION("""COMPUTED_VALUE"""),75204.0)</f>
        <v>75204</v>
      </c>
      <c r="J882" s="22"/>
      <c r="K882" s="22"/>
      <c r="L882" s="22"/>
      <c r="M882" s="22"/>
      <c r="N882" s="22"/>
      <c r="O882" s="22"/>
      <c r="P882" s="22"/>
      <c r="Q882" s="22"/>
      <c r="R882" s="22"/>
      <c r="S882" s="22"/>
      <c r="T882" s="22"/>
      <c r="U882" s="24" t="str">
        <f>IFERROR(__xludf.DUMMYFUNCTION("SPLIT(E882,""01234567890"")"),"Lynn
")</f>
        <v>Lynn
</v>
      </c>
      <c r="V882" s="24" t="str">
        <f>IFERROR(__xludf.DUMMYFUNCTION("SPLIT(D882,"","")"),"McBee")</f>
        <v>McBee</v>
      </c>
      <c r="W882" s="25" t="str">
        <f t="shared" si="1"/>
        <v>LYNN
 MCBEE</v>
      </c>
      <c r="X882" s="22"/>
      <c r="Y882" s="22"/>
      <c r="Z882" s="25" t="str">
        <f>IFERROR(__xludf.DUMMYFUNCTION("SPLIT(C882,""
"")"),"McBee, Lynn")</f>
        <v>McBee, Lynn</v>
      </c>
      <c r="AA882" s="22" t="str">
        <f>IFERROR(__xludf.DUMMYFUNCTION("""COMPUTED_VALUE"""),"3925 Stonebridge Dr")</f>
        <v>3925 Stonebridge Dr</v>
      </c>
      <c r="AB882" s="22" t="str">
        <f>IFERROR(__xludf.DUMMYFUNCTION("""COMPUTED_VALUE"""),"Dallas, TX 75204")</f>
        <v>Dallas, TX 75204</v>
      </c>
      <c r="AC882" s="31" t="s">
        <v>1049</v>
      </c>
      <c r="AD882" s="22"/>
      <c r="AE882" s="22"/>
      <c r="AF882" s="22"/>
      <c r="AG882" s="22" t="s">
        <v>60</v>
      </c>
      <c r="AH882" s="54">
        <v>2481.0</v>
      </c>
      <c r="AI882" s="22" t="s">
        <v>68</v>
      </c>
      <c r="AJ882" s="27">
        <v>500.0</v>
      </c>
      <c r="AK882" s="31" t="s">
        <v>25</v>
      </c>
      <c r="AL882" s="28">
        <v>44830.0</v>
      </c>
      <c r="AM882" s="29">
        <v>44937.81995370371</v>
      </c>
      <c r="AN882" s="30">
        <v>2.0</v>
      </c>
      <c r="AO882" s="22"/>
      <c r="AP882" s="22"/>
      <c r="AQ882" s="22"/>
      <c r="AR882" s="22"/>
      <c r="AS882" s="22"/>
      <c r="AT882" s="70"/>
      <c r="AU882" s="22"/>
      <c r="AV882" s="57" t="str">
        <f>IFERROR(__xludf.DUMMYFUNCTION("""COMPUTED_VALUE"""),"Revi")</f>
        <v>Revi</v>
      </c>
      <c r="AW882" s="46">
        <f t="shared" si="7"/>
        <v>50</v>
      </c>
      <c r="AX882" s="47">
        <f t="shared" ref="AX882:BQ882" si="2757">SUMIFS($AJ:$AJ,$V:$V,$AV882,$AK:$AK,AX$2)</f>
        <v>50</v>
      </c>
      <c r="AY882" s="48">
        <f t="shared" si="2757"/>
        <v>0</v>
      </c>
      <c r="AZ882" s="48">
        <f t="shared" si="2757"/>
        <v>0</v>
      </c>
      <c r="BA882" s="48">
        <f t="shared" si="2757"/>
        <v>0</v>
      </c>
      <c r="BB882" s="48">
        <f t="shared" si="2757"/>
        <v>0</v>
      </c>
      <c r="BC882" s="48">
        <f t="shared" si="2757"/>
        <v>0</v>
      </c>
      <c r="BD882" s="48">
        <f t="shared" si="2757"/>
        <v>0</v>
      </c>
      <c r="BE882" s="48">
        <f t="shared" si="2757"/>
        <v>0</v>
      </c>
      <c r="BF882" s="48">
        <f t="shared" si="2757"/>
        <v>0</v>
      </c>
      <c r="BG882" s="48">
        <f t="shared" si="2757"/>
        <v>0</v>
      </c>
      <c r="BH882" s="48">
        <f t="shared" si="2757"/>
        <v>0</v>
      </c>
      <c r="BI882" s="48">
        <f t="shared" si="2757"/>
        <v>0</v>
      </c>
      <c r="BJ882" s="48">
        <f t="shared" si="2757"/>
        <v>0</v>
      </c>
      <c r="BK882" s="48">
        <f t="shared" si="2757"/>
        <v>0</v>
      </c>
      <c r="BL882" s="48">
        <f t="shared" si="2757"/>
        <v>0</v>
      </c>
      <c r="BM882" s="48">
        <f t="shared" si="2757"/>
        <v>0</v>
      </c>
      <c r="BN882" s="48">
        <f t="shared" si="2757"/>
        <v>0</v>
      </c>
      <c r="BO882" s="48">
        <f t="shared" si="2757"/>
        <v>0</v>
      </c>
      <c r="BP882" s="48">
        <f t="shared" si="2757"/>
        <v>0</v>
      </c>
      <c r="BQ882" s="48">
        <f t="shared" si="2757"/>
        <v>0</v>
      </c>
      <c r="BR882" s="36">
        <f t="shared" si="9"/>
        <v>0</v>
      </c>
      <c r="BS882" s="38">
        <f t="shared" si="10"/>
        <v>1</v>
      </c>
      <c r="BT882" s="49">
        <f t="shared" si="11"/>
        <v>0</v>
      </c>
      <c r="BU882" s="38">
        <f t="shared" si="12"/>
        <v>1000</v>
      </c>
      <c r="BV882" s="57" t="str">
        <f>IFERROR(__xludf.DUMMYFUNCTION("""COMPUTED_VALUE"""),"Revi")</f>
        <v>Revi</v>
      </c>
      <c r="BW882" s="46">
        <f t="shared" si="13"/>
        <v>50</v>
      </c>
      <c r="BX882" s="47">
        <f t="shared" ref="BX882:CA882" si="2758">AX882-$BU882</f>
        <v>-950</v>
      </c>
      <c r="BY882" s="47">
        <f t="shared" si="2758"/>
        <v>-1000</v>
      </c>
      <c r="BZ882" s="47">
        <f t="shared" si="2758"/>
        <v>-1000</v>
      </c>
      <c r="CA882" s="47">
        <f t="shared" si="2758"/>
        <v>-1000</v>
      </c>
      <c r="CB882" s="47">
        <f t="shared" si="15"/>
        <v>-10000</v>
      </c>
      <c r="CC882" s="47">
        <f t="shared" ref="CC882:CQ882" si="2759">BC882-$BU882</f>
        <v>-1000</v>
      </c>
      <c r="CD882" s="47">
        <f t="shared" si="2759"/>
        <v>-1000</v>
      </c>
      <c r="CE882" s="47">
        <f t="shared" si="2759"/>
        <v>-1000</v>
      </c>
      <c r="CF882" s="47">
        <f t="shared" si="2759"/>
        <v>-1000</v>
      </c>
      <c r="CG882" s="47">
        <f t="shared" si="2759"/>
        <v>-1000</v>
      </c>
      <c r="CH882" s="47">
        <f t="shared" si="2759"/>
        <v>-1000</v>
      </c>
      <c r="CI882" s="47">
        <f t="shared" si="2759"/>
        <v>-1000</v>
      </c>
      <c r="CJ882" s="47">
        <f t="shared" si="2759"/>
        <v>-1000</v>
      </c>
      <c r="CK882" s="47">
        <f t="shared" si="2759"/>
        <v>-1000</v>
      </c>
      <c r="CL882" s="47">
        <f t="shared" si="2759"/>
        <v>-1000</v>
      </c>
      <c r="CM882" s="47">
        <f t="shared" si="2759"/>
        <v>-1000</v>
      </c>
      <c r="CN882" s="47">
        <f t="shared" si="2759"/>
        <v>-1000</v>
      </c>
      <c r="CO882" s="47">
        <f t="shared" si="2759"/>
        <v>-1000</v>
      </c>
      <c r="CP882" s="47">
        <f t="shared" si="2759"/>
        <v>-1000</v>
      </c>
      <c r="CQ882" s="47">
        <f t="shared" si="2759"/>
        <v>-1000</v>
      </c>
      <c r="CR882" s="47"/>
      <c r="CS882" s="47"/>
      <c r="CT882" s="47"/>
      <c r="CU882" s="74"/>
      <c r="CV882" s="74"/>
      <c r="CW882" s="74" t="str">
        <f>IFERROR(__xludf.DUMMYFUNCTION("IF(REGEXMATCH(UPPER(CU882), ""DALLAS""),,CU882)"),"")</f>
        <v/>
      </c>
      <c r="CX882" s="74"/>
      <c r="CY882" s="74"/>
      <c r="CZ882" s="74"/>
      <c r="DA882" s="75"/>
      <c r="DB882" s="74"/>
      <c r="DC882" s="74"/>
      <c r="DD882" s="74"/>
      <c r="DE882" s="74"/>
      <c r="DF882" s="74"/>
      <c r="DG882" s="74"/>
      <c r="DH882" s="74"/>
      <c r="DI882" s="74"/>
      <c r="DJ882" s="74"/>
      <c r="DK882" s="74"/>
      <c r="DL882" s="74"/>
      <c r="DM882" s="74"/>
      <c r="DN882" s="74"/>
      <c r="DO882" s="74"/>
      <c r="DP882" s="74"/>
      <c r="DQ882" s="74"/>
      <c r="DR882" s="74"/>
      <c r="DS882" s="74"/>
      <c r="DT882" s="74"/>
      <c r="DU882" s="74"/>
      <c r="DV882" s="74"/>
      <c r="DW882" s="74"/>
    </row>
    <row r="883">
      <c r="A883" s="40" t="s">
        <v>55</v>
      </c>
      <c r="B883" s="41" t="s">
        <v>56</v>
      </c>
      <c r="C883" s="31" t="s">
        <v>396</v>
      </c>
      <c r="D883" s="25" t="str">
        <f>IFERROR(__xludf.DUMMYFUNCTION("SPLIT(C883,"" "")"),"Berry,")</f>
        <v>Berry,</v>
      </c>
      <c r="E883" s="40" t="str">
        <f>IFERROR(__xludf.DUMMYFUNCTION("""COMPUTED_VALUE"""),"Sammie
1219")</f>
        <v>Sammie
1219</v>
      </c>
      <c r="F883" s="40" t="str">
        <f>IFERROR(__xludf.DUMMYFUNCTION("""COMPUTED_VALUE"""),"Coronado")</f>
        <v>Coronado</v>
      </c>
      <c r="G883" s="40" t="str">
        <f>IFERROR(__xludf.DUMMYFUNCTION("""COMPUTED_VALUE"""),"Ln
Duncanville,")</f>
        <v>Ln
Duncanville,</v>
      </c>
      <c r="H883" s="40" t="str">
        <f>IFERROR(__xludf.DUMMYFUNCTION("""COMPUTED_VALUE"""),"TX")</f>
        <v>TX</v>
      </c>
      <c r="I883" s="40">
        <f>IFERROR(__xludf.DUMMYFUNCTION("""COMPUTED_VALUE"""),75137.0)</f>
        <v>75137</v>
      </c>
      <c r="J883" s="40"/>
      <c r="K883" s="40"/>
      <c r="L883" s="40"/>
      <c r="M883" s="40"/>
      <c r="N883" s="40"/>
      <c r="O883" s="40"/>
      <c r="P883" s="40"/>
      <c r="Q883" s="40"/>
      <c r="R883" s="40"/>
      <c r="S883" s="40"/>
      <c r="T883" s="40"/>
      <c r="U883" s="24" t="str">
        <f>IFERROR(__xludf.DUMMYFUNCTION("SPLIT(E883,""01234567890"")"),"Sammie
")</f>
        <v>Sammie
</v>
      </c>
      <c r="V883" s="24" t="str">
        <f>IFERROR(__xludf.DUMMYFUNCTION("SPLIT(D883,"","")"),"Berry")</f>
        <v>Berry</v>
      </c>
      <c r="W883" s="25" t="str">
        <f t="shared" si="1"/>
        <v>SAMMIE
 BERRY</v>
      </c>
      <c r="X883" s="40"/>
      <c r="Y883" s="40"/>
      <c r="Z883" s="25" t="str">
        <f>IFERROR(__xludf.DUMMYFUNCTION("SPLIT(C883,""
"")"),"Berry, Sammie")</f>
        <v>Berry, Sammie</v>
      </c>
      <c r="AA883" s="40" t="str">
        <f>IFERROR(__xludf.DUMMYFUNCTION("""COMPUTED_VALUE"""),"1219 Coronado Ln")</f>
        <v>1219 Coronado Ln</v>
      </c>
      <c r="AB883" s="40" t="str">
        <f>IFERROR(__xludf.DUMMYFUNCTION("""COMPUTED_VALUE"""),"Duncanville, TX 75137")</f>
        <v>Duncanville, TX 75137</v>
      </c>
      <c r="AC883" s="31" t="s">
        <v>395</v>
      </c>
      <c r="AD883" s="40"/>
      <c r="AE883" s="40"/>
      <c r="AF883" s="40"/>
      <c r="AG883" s="40" t="s">
        <v>60</v>
      </c>
      <c r="AH883" s="42">
        <v>2481.0</v>
      </c>
      <c r="AI883" s="40" t="s">
        <v>68</v>
      </c>
      <c r="AJ883" s="27">
        <v>50.0</v>
      </c>
      <c r="AK883" s="31" t="s">
        <v>25</v>
      </c>
      <c r="AL883" s="43">
        <v>44830.0</v>
      </c>
      <c r="AM883" s="44">
        <v>44937.81995370371</v>
      </c>
      <c r="AN883" s="30">
        <v>2.0</v>
      </c>
      <c r="AO883" s="40"/>
      <c r="AP883" s="40"/>
      <c r="AQ883" s="40"/>
      <c r="AR883" s="40"/>
      <c r="AS883" s="40"/>
      <c r="AT883" s="47"/>
      <c r="AU883" s="40"/>
      <c r="AV883" s="46" t="str">
        <f>IFERROR(__xludf.DUMMYFUNCTION("""COMPUTED_VALUE"""),"Melnick")</f>
        <v>Melnick</v>
      </c>
      <c r="AW883" s="46">
        <f t="shared" si="7"/>
        <v>100</v>
      </c>
      <c r="AX883" s="47">
        <f t="shared" ref="AX883:BQ883" si="2760">SUMIFS($AJ:$AJ,$V:$V,$AV883,$AK:$AK,AX$2)</f>
        <v>100</v>
      </c>
      <c r="AY883" s="48">
        <f t="shared" si="2760"/>
        <v>0</v>
      </c>
      <c r="AZ883" s="48">
        <f t="shared" si="2760"/>
        <v>0</v>
      </c>
      <c r="BA883" s="48">
        <f t="shared" si="2760"/>
        <v>0</v>
      </c>
      <c r="BB883" s="48">
        <f t="shared" si="2760"/>
        <v>0</v>
      </c>
      <c r="BC883" s="48">
        <f t="shared" si="2760"/>
        <v>0</v>
      </c>
      <c r="BD883" s="48">
        <f t="shared" si="2760"/>
        <v>0</v>
      </c>
      <c r="BE883" s="48">
        <f t="shared" si="2760"/>
        <v>0</v>
      </c>
      <c r="BF883" s="48">
        <f t="shared" si="2760"/>
        <v>0</v>
      </c>
      <c r="BG883" s="48">
        <f t="shared" si="2760"/>
        <v>0</v>
      </c>
      <c r="BH883" s="48">
        <f t="shared" si="2760"/>
        <v>0</v>
      </c>
      <c r="BI883" s="48">
        <f t="shared" si="2760"/>
        <v>0</v>
      </c>
      <c r="BJ883" s="48">
        <f t="shared" si="2760"/>
        <v>0</v>
      </c>
      <c r="BK883" s="48">
        <f t="shared" si="2760"/>
        <v>0</v>
      </c>
      <c r="BL883" s="48">
        <f t="shared" si="2760"/>
        <v>0</v>
      </c>
      <c r="BM883" s="48">
        <f t="shared" si="2760"/>
        <v>0</v>
      </c>
      <c r="BN883" s="48">
        <f t="shared" si="2760"/>
        <v>0</v>
      </c>
      <c r="BO883" s="48">
        <f t="shared" si="2760"/>
        <v>0</v>
      </c>
      <c r="BP883" s="48">
        <f t="shared" si="2760"/>
        <v>0</v>
      </c>
      <c r="BQ883" s="48">
        <f t="shared" si="2760"/>
        <v>0</v>
      </c>
      <c r="BR883" s="36">
        <f t="shared" si="9"/>
        <v>0</v>
      </c>
      <c r="BS883" s="38">
        <f t="shared" si="10"/>
        <v>1</v>
      </c>
      <c r="BT883" s="49">
        <f t="shared" si="11"/>
        <v>0</v>
      </c>
      <c r="BU883" s="38">
        <f t="shared" si="12"/>
        <v>1000</v>
      </c>
      <c r="BV883" s="46" t="str">
        <f>IFERROR(__xludf.DUMMYFUNCTION("""COMPUTED_VALUE"""),"Melnick")</f>
        <v>Melnick</v>
      </c>
      <c r="BW883" s="46">
        <f t="shared" si="13"/>
        <v>100</v>
      </c>
      <c r="BX883" s="47">
        <f t="shared" ref="BX883:CA883" si="2761">AX883-$BU883</f>
        <v>-900</v>
      </c>
      <c r="BY883" s="47">
        <f t="shared" si="2761"/>
        <v>-1000</v>
      </c>
      <c r="BZ883" s="47">
        <f t="shared" si="2761"/>
        <v>-1000</v>
      </c>
      <c r="CA883" s="47">
        <f t="shared" si="2761"/>
        <v>-1000</v>
      </c>
      <c r="CB883" s="47">
        <f t="shared" si="15"/>
        <v>-10000</v>
      </c>
      <c r="CC883" s="47">
        <f t="shared" ref="CC883:CQ883" si="2762">BC883-$BU883</f>
        <v>-1000</v>
      </c>
      <c r="CD883" s="47">
        <f t="shared" si="2762"/>
        <v>-1000</v>
      </c>
      <c r="CE883" s="47">
        <f t="shared" si="2762"/>
        <v>-1000</v>
      </c>
      <c r="CF883" s="47">
        <f t="shared" si="2762"/>
        <v>-1000</v>
      </c>
      <c r="CG883" s="47">
        <f t="shared" si="2762"/>
        <v>-1000</v>
      </c>
      <c r="CH883" s="47">
        <f t="shared" si="2762"/>
        <v>-1000</v>
      </c>
      <c r="CI883" s="47">
        <f t="shared" si="2762"/>
        <v>-1000</v>
      </c>
      <c r="CJ883" s="47">
        <f t="shared" si="2762"/>
        <v>-1000</v>
      </c>
      <c r="CK883" s="47">
        <f t="shared" si="2762"/>
        <v>-1000</v>
      </c>
      <c r="CL883" s="47">
        <f t="shared" si="2762"/>
        <v>-1000</v>
      </c>
      <c r="CM883" s="47">
        <f t="shared" si="2762"/>
        <v>-1000</v>
      </c>
      <c r="CN883" s="47">
        <f t="shared" si="2762"/>
        <v>-1000</v>
      </c>
      <c r="CO883" s="47">
        <f t="shared" si="2762"/>
        <v>-1000</v>
      </c>
      <c r="CP883" s="47">
        <f t="shared" si="2762"/>
        <v>-1000</v>
      </c>
      <c r="CQ883" s="47">
        <f t="shared" si="2762"/>
        <v>-1000</v>
      </c>
      <c r="CR883" s="47"/>
      <c r="CS883" s="47"/>
      <c r="CT883" s="47"/>
      <c r="CU883" s="74"/>
      <c r="CV883" s="74"/>
      <c r="CW883" s="74" t="str">
        <f>IFERROR(__xludf.DUMMYFUNCTION("IF(REGEXMATCH(UPPER(CU883), ""DALLAS""),,CU883)"),"")</f>
        <v/>
      </c>
      <c r="CX883" s="74"/>
      <c r="CY883" s="74"/>
      <c r="CZ883" s="74"/>
      <c r="DA883" s="75"/>
      <c r="DB883" s="74"/>
      <c r="DC883" s="74"/>
      <c r="DD883" s="74"/>
      <c r="DE883" s="74"/>
      <c r="DF883" s="74"/>
      <c r="DG883" s="74"/>
      <c r="DH883" s="74"/>
      <c r="DI883" s="74"/>
      <c r="DJ883" s="74"/>
      <c r="DK883" s="74"/>
      <c r="DL883" s="74"/>
      <c r="DM883" s="74"/>
      <c r="DN883" s="74"/>
      <c r="DO883" s="74"/>
      <c r="DP883" s="74"/>
      <c r="DQ883" s="74"/>
      <c r="DR883" s="74"/>
      <c r="DS883" s="74"/>
      <c r="DT883" s="74"/>
      <c r="DU883" s="74"/>
      <c r="DV883" s="74"/>
      <c r="DW883" s="74"/>
    </row>
    <row r="884">
      <c r="A884" s="22" t="s">
        <v>55</v>
      </c>
      <c r="B884" s="23" t="s">
        <v>56</v>
      </c>
      <c r="C884" s="31" t="s">
        <v>2170</v>
      </c>
      <c r="D884" s="25" t="str">
        <f>IFERROR(__xludf.DUMMYFUNCTION("SPLIT(C884,"" "")"),"Fowler,")</f>
        <v>Fowler,</v>
      </c>
      <c r="E884" s="22" t="str">
        <f>IFERROR(__xludf.DUMMYFUNCTION("""COMPUTED_VALUE"""),"Joe")</f>
        <v>Joe</v>
      </c>
      <c r="F884" s="22" t="str">
        <f>IFERROR(__xludf.DUMMYFUNCTION("""COMPUTED_VALUE"""),"Bart
4720")</f>
        <v>Bart
4720</v>
      </c>
      <c r="G884" s="22" t="str">
        <f>IFERROR(__xludf.DUMMYFUNCTION("""COMPUTED_VALUE"""),"Rockcliff")</f>
        <v>Rockcliff</v>
      </c>
      <c r="H884" s="22" t="str">
        <f>IFERROR(__xludf.DUMMYFUNCTION("""COMPUTED_VALUE"""),"Rd
Austin,")</f>
        <v>Rd
Austin,</v>
      </c>
      <c r="I884" s="22" t="str">
        <f>IFERROR(__xludf.DUMMYFUNCTION("""COMPUTED_VALUE"""),"TX")</f>
        <v>TX</v>
      </c>
      <c r="J884" s="22">
        <f>IFERROR(__xludf.DUMMYFUNCTION("""COMPUTED_VALUE"""),78746.0)</f>
        <v>78746</v>
      </c>
      <c r="K884" s="22"/>
      <c r="L884" s="22"/>
      <c r="M884" s="22"/>
      <c r="N884" s="22"/>
      <c r="O884" s="22"/>
      <c r="P884" s="22"/>
      <c r="Q884" s="22"/>
      <c r="R884" s="22"/>
      <c r="S884" s="22"/>
      <c r="T884" s="22"/>
      <c r="U884" s="24" t="str">
        <f>IFERROR(__xludf.DUMMYFUNCTION("SPLIT(E884,""01234567890"")"),"Joe")</f>
        <v>Joe</v>
      </c>
      <c r="V884" s="24" t="str">
        <f>IFERROR(__xludf.DUMMYFUNCTION("SPLIT(D884,"","")"),"Fowler")</f>
        <v>Fowler</v>
      </c>
      <c r="W884" s="25" t="str">
        <f t="shared" si="1"/>
        <v>JOE FOWLER</v>
      </c>
      <c r="X884" s="22"/>
      <c r="Y884" s="22"/>
      <c r="Z884" s="25" t="str">
        <f>IFERROR(__xludf.DUMMYFUNCTION("SPLIT(C884,""
"")"),"Fowler, Joe Bart")</f>
        <v>Fowler, Joe Bart</v>
      </c>
      <c r="AA884" s="22" t="str">
        <f>IFERROR(__xludf.DUMMYFUNCTION("""COMPUTED_VALUE"""),"4720 Rockcliff Rd")</f>
        <v>4720 Rockcliff Rd</v>
      </c>
      <c r="AB884" s="22" t="str">
        <f>IFERROR(__xludf.DUMMYFUNCTION("""COMPUTED_VALUE"""),"Austin, TX 78746")</f>
        <v>Austin, TX 78746</v>
      </c>
      <c r="AC884" s="31" t="s">
        <v>2171</v>
      </c>
      <c r="AD884" s="22"/>
      <c r="AE884" s="22"/>
      <c r="AF884" s="22"/>
      <c r="AG884" s="22" t="s">
        <v>60</v>
      </c>
      <c r="AH884" s="54">
        <v>2481.0</v>
      </c>
      <c r="AI884" s="22" t="s">
        <v>68</v>
      </c>
      <c r="AJ884" s="27">
        <v>1000.0</v>
      </c>
      <c r="AK884" s="31" t="s">
        <v>25</v>
      </c>
      <c r="AL884" s="28">
        <v>44830.0</v>
      </c>
      <c r="AM884" s="29">
        <v>44937.81995370371</v>
      </c>
      <c r="AN884" s="30">
        <v>2.0</v>
      </c>
      <c r="AO884" s="22"/>
      <c r="AP884" s="22"/>
      <c r="AQ884" s="22"/>
      <c r="AR884" s="22"/>
      <c r="AS884" s="22"/>
      <c r="AT884" s="70"/>
      <c r="AU884" s="22"/>
      <c r="AV884" s="57" t="str">
        <f>IFERROR(__xludf.DUMMYFUNCTION("""COMPUTED_VALUE"""),"Schultz")</f>
        <v>Schultz</v>
      </c>
      <c r="AW884" s="46">
        <f t="shared" si="7"/>
        <v>250</v>
      </c>
      <c r="AX884" s="47">
        <f t="shared" ref="AX884:BQ884" si="2763">SUMIFS($AJ:$AJ,$V:$V,$AV884,$AK:$AK,AX$2)</f>
        <v>250</v>
      </c>
      <c r="AY884" s="48">
        <f t="shared" si="2763"/>
        <v>0</v>
      </c>
      <c r="AZ884" s="48">
        <f t="shared" si="2763"/>
        <v>0</v>
      </c>
      <c r="BA884" s="48">
        <f t="shared" si="2763"/>
        <v>0</v>
      </c>
      <c r="BB884" s="48">
        <f t="shared" si="2763"/>
        <v>0</v>
      </c>
      <c r="BC884" s="48">
        <f t="shared" si="2763"/>
        <v>0</v>
      </c>
      <c r="BD884" s="48">
        <f t="shared" si="2763"/>
        <v>0</v>
      </c>
      <c r="BE884" s="48">
        <f t="shared" si="2763"/>
        <v>0</v>
      </c>
      <c r="BF884" s="48">
        <f t="shared" si="2763"/>
        <v>0</v>
      </c>
      <c r="BG884" s="48">
        <f t="shared" si="2763"/>
        <v>0</v>
      </c>
      <c r="BH884" s="48">
        <f t="shared" si="2763"/>
        <v>0</v>
      </c>
      <c r="BI884" s="48">
        <f t="shared" si="2763"/>
        <v>0</v>
      </c>
      <c r="BJ884" s="48">
        <f t="shared" si="2763"/>
        <v>0</v>
      </c>
      <c r="BK884" s="48">
        <f t="shared" si="2763"/>
        <v>0</v>
      </c>
      <c r="BL884" s="48">
        <f t="shared" si="2763"/>
        <v>0</v>
      </c>
      <c r="BM884" s="48">
        <f t="shared" si="2763"/>
        <v>0</v>
      </c>
      <c r="BN884" s="48">
        <f t="shared" si="2763"/>
        <v>0</v>
      </c>
      <c r="BO884" s="48">
        <f t="shared" si="2763"/>
        <v>0</v>
      </c>
      <c r="BP884" s="48">
        <f t="shared" si="2763"/>
        <v>0</v>
      </c>
      <c r="BQ884" s="48">
        <f t="shared" si="2763"/>
        <v>0</v>
      </c>
      <c r="BR884" s="36">
        <f t="shared" si="9"/>
        <v>0</v>
      </c>
      <c r="BS884" s="38">
        <f t="shared" si="10"/>
        <v>1</v>
      </c>
      <c r="BT884" s="49">
        <f t="shared" si="11"/>
        <v>0</v>
      </c>
      <c r="BU884" s="38">
        <f t="shared" si="12"/>
        <v>1000</v>
      </c>
      <c r="BV884" s="57" t="str">
        <f>IFERROR(__xludf.DUMMYFUNCTION("""COMPUTED_VALUE"""),"Schultz")</f>
        <v>Schultz</v>
      </c>
      <c r="BW884" s="46">
        <f t="shared" si="13"/>
        <v>250</v>
      </c>
      <c r="BX884" s="47">
        <f t="shared" ref="BX884:CA884" si="2764">AX884-$BU884</f>
        <v>-750</v>
      </c>
      <c r="BY884" s="47">
        <f t="shared" si="2764"/>
        <v>-1000</v>
      </c>
      <c r="BZ884" s="47">
        <f t="shared" si="2764"/>
        <v>-1000</v>
      </c>
      <c r="CA884" s="47">
        <f t="shared" si="2764"/>
        <v>-1000</v>
      </c>
      <c r="CB884" s="47">
        <f t="shared" si="15"/>
        <v>-10000</v>
      </c>
      <c r="CC884" s="47">
        <f t="shared" ref="CC884:CQ884" si="2765">BC884-$BU884</f>
        <v>-1000</v>
      </c>
      <c r="CD884" s="47">
        <f t="shared" si="2765"/>
        <v>-1000</v>
      </c>
      <c r="CE884" s="47">
        <f t="shared" si="2765"/>
        <v>-1000</v>
      </c>
      <c r="CF884" s="47">
        <f t="shared" si="2765"/>
        <v>-1000</v>
      </c>
      <c r="CG884" s="47">
        <f t="shared" si="2765"/>
        <v>-1000</v>
      </c>
      <c r="CH884" s="47">
        <f t="shared" si="2765"/>
        <v>-1000</v>
      </c>
      <c r="CI884" s="47">
        <f t="shared" si="2765"/>
        <v>-1000</v>
      </c>
      <c r="CJ884" s="47">
        <f t="shared" si="2765"/>
        <v>-1000</v>
      </c>
      <c r="CK884" s="47">
        <f t="shared" si="2765"/>
        <v>-1000</v>
      </c>
      <c r="CL884" s="47">
        <f t="shared" si="2765"/>
        <v>-1000</v>
      </c>
      <c r="CM884" s="47">
        <f t="shared" si="2765"/>
        <v>-1000</v>
      </c>
      <c r="CN884" s="47">
        <f t="shared" si="2765"/>
        <v>-1000</v>
      </c>
      <c r="CO884" s="47">
        <f t="shared" si="2765"/>
        <v>-1000</v>
      </c>
      <c r="CP884" s="47">
        <f t="shared" si="2765"/>
        <v>-1000</v>
      </c>
      <c r="CQ884" s="47">
        <f t="shared" si="2765"/>
        <v>-1000</v>
      </c>
      <c r="CR884" s="47"/>
      <c r="CS884" s="47"/>
      <c r="CT884" s="47"/>
      <c r="CU884" s="74"/>
      <c r="CV884" s="74"/>
      <c r="CW884" s="74" t="str">
        <f>IFERROR(__xludf.DUMMYFUNCTION("IF(REGEXMATCH(UPPER(CU884), ""DALLAS""),,CU884)"),"")</f>
        <v/>
      </c>
      <c r="CX884" s="74"/>
      <c r="CY884" s="74"/>
      <c r="CZ884" s="74"/>
      <c r="DA884" s="75"/>
      <c r="DB884" s="74"/>
      <c r="DC884" s="74"/>
      <c r="DD884" s="74"/>
      <c r="DE884" s="74"/>
      <c r="DF884" s="74"/>
      <c r="DG884" s="74"/>
      <c r="DH884" s="74"/>
      <c r="DI884" s="74"/>
      <c r="DJ884" s="74"/>
      <c r="DK884" s="74"/>
      <c r="DL884" s="74"/>
      <c r="DM884" s="74"/>
      <c r="DN884" s="74"/>
      <c r="DO884" s="74"/>
      <c r="DP884" s="74"/>
      <c r="DQ884" s="74"/>
      <c r="DR884" s="74"/>
      <c r="DS884" s="74"/>
      <c r="DT884" s="74"/>
      <c r="DU884" s="74"/>
      <c r="DV884" s="74"/>
      <c r="DW884" s="74"/>
    </row>
    <row r="885">
      <c r="A885" s="40" t="s">
        <v>55</v>
      </c>
      <c r="B885" s="41" t="s">
        <v>56</v>
      </c>
      <c r="C885" s="31" t="s">
        <v>2172</v>
      </c>
      <c r="D885" s="25" t="str">
        <f>IFERROR(__xludf.DUMMYFUNCTION("SPLIT(C885,"" "")"),"Clark,")</f>
        <v>Clark,</v>
      </c>
      <c r="E885" s="40" t="str">
        <f>IFERROR(__xludf.DUMMYFUNCTION("""COMPUTED_VALUE"""),"Sandra
6029")</f>
        <v>Sandra
6029</v>
      </c>
      <c r="F885" s="40" t="str">
        <f>IFERROR(__xludf.DUMMYFUNCTION("""COMPUTED_VALUE"""),"S")</f>
        <v>S</v>
      </c>
      <c r="G885" s="40" t="str">
        <f>IFERROR(__xludf.DUMMYFUNCTION("""COMPUTED_VALUE"""),"R")</f>
        <v>R</v>
      </c>
      <c r="H885" s="40" t="str">
        <f>IFERROR(__xludf.DUMMYFUNCTION("""COMPUTED_VALUE"""),"L")</f>
        <v>L</v>
      </c>
      <c r="I885" s="40" t="str">
        <f>IFERROR(__xludf.DUMMYFUNCTION("""COMPUTED_VALUE"""),"Thornton")</f>
        <v>Thornton</v>
      </c>
      <c r="J885" s="40" t="str">
        <f>IFERROR(__xludf.DUMMYFUNCTION("""COMPUTED_VALUE"""),"Fwy
Dallas,")</f>
        <v>Fwy
Dallas,</v>
      </c>
      <c r="K885" s="40" t="str">
        <f>IFERROR(__xludf.DUMMYFUNCTION("""COMPUTED_VALUE"""),"TX")</f>
        <v>TX</v>
      </c>
      <c r="L885" s="40">
        <f>IFERROR(__xludf.DUMMYFUNCTION("""COMPUTED_VALUE"""),75232.0)</f>
        <v>75232</v>
      </c>
      <c r="M885" s="40"/>
      <c r="N885" s="40"/>
      <c r="O885" s="40"/>
      <c r="P885" s="40"/>
      <c r="Q885" s="40"/>
      <c r="R885" s="40"/>
      <c r="S885" s="40"/>
      <c r="T885" s="40"/>
      <c r="U885" s="24" t="str">
        <f>IFERROR(__xludf.DUMMYFUNCTION("SPLIT(E885,""01234567890"")"),"Sandra
")</f>
        <v>Sandra
</v>
      </c>
      <c r="V885" s="24" t="str">
        <f>IFERROR(__xludf.DUMMYFUNCTION("SPLIT(D885,"","")"),"Clark")</f>
        <v>Clark</v>
      </c>
      <c r="W885" s="25" t="str">
        <f t="shared" si="1"/>
        <v>SANDRA
 CLARK</v>
      </c>
      <c r="X885" s="40"/>
      <c r="Y885" s="40"/>
      <c r="Z885" s="25" t="str">
        <f>IFERROR(__xludf.DUMMYFUNCTION("SPLIT(C885,""
"")"),"Clark, Sandra")</f>
        <v>Clark, Sandra</v>
      </c>
      <c r="AA885" s="40" t="str">
        <f>IFERROR(__xludf.DUMMYFUNCTION("""COMPUTED_VALUE"""),"6029 S R L Thornton Fwy")</f>
        <v>6029 S R L Thornton Fwy</v>
      </c>
      <c r="AB885" s="40" t="str">
        <f>IFERROR(__xludf.DUMMYFUNCTION("""COMPUTED_VALUE"""),"Dallas, TX 75232")</f>
        <v>Dallas, TX 75232</v>
      </c>
      <c r="AC885" s="31" t="s">
        <v>2173</v>
      </c>
      <c r="AD885" s="40"/>
      <c r="AE885" s="40"/>
      <c r="AF885" s="40"/>
      <c r="AG885" s="40" t="s">
        <v>60</v>
      </c>
      <c r="AH885" s="42">
        <v>2481.0</v>
      </c>
      <c r="AI885" s="40" t="s">
        <v>68</v>
      </c>
      <c r="AJ885" s="27">
        <v>100.0</v>
      </c>
      <c r="AK885" s="31" t="s">
        <v>25</v>
      </c>
      <c r="AL885" s="43">
        <v>44830.0</v>
      </c>
      <c r="AM885" s="44">
        <v>44937.81995370371</v>
      </c>
      <c r="AN885" s="30">
        <v>2.0</v>
      </c>
      <c r="AO885" s="40"/>
      <c r="AP885" s="40"/>
      <c r="AQ885" s="40"/>
      <c r="AR885" s="40"/>
      <c r="AS885" s="40"/>
      <c r="AT885" s="47"/>
      <c r="AU885" s="40"/>
      <c r="AV885" s="46" t="str">
        <f>IFERROR(__xludf.DUMMYFUNCTION("""COMPUTED_VALUE"""),"Dingman")</f>
        <v>Dingman</v>
      </c>
      <c r="AW885" s="46">
        <f t="shared" si="7"/>
        <v>1000</v>
      </c>
      <c r="AX885" s="47">
        <f t="shared" ref="AX885:BQ885" si="2766">SUMIFS($AJ:$AJ,$V:$V,$AV885,$AK:$AK,AX$2)</f>
        <v>1000</v>
      </c>
      <c r="AY885" s="48">
        <f t="shared" si="2766"/>
        <v>0</v>
      </c>
      <c r="AZ885" s="48">
        <f t="shared" si="2766"/>
        <v>0</v>
      </c>
      <c r="BA885" s="48">
        <f t="shared" si="2766"/>
        <v>0</v>
      </c>
      <c r="BB885" s="48">
        <f t="shared" si="2766"/>
        <v>0</v>
      </c>
      <c r="BC885" s="48">
        <f t="shared" si="2766"/>
        <v>0</v>
      </c>
      <c r="BD885" s="48">
        <f t="shared" si="2766"/>
        <v>0</v>
      </c>
      <c r="BE885" s="48">
        <f t="shared" si="2766"/>
        <v>0</v>
      </c>
      <c r="BF885" s="48">
        <f t="shared" si="2766"/>
        <v>0</v>
      </c>
      <c r="BG885" s="48">
        <f t="shared" si="2766"/>
        <v>0</v>
      </c>
      <c r="BH885" s="48">
        <f t="shared" si="2766"/>
        <v>0</v>
      </c>
      <c r="BI885" s="48">
        <f t="shared" si="2766"/>
        <v>0</v>
      </c>
      <c r="BJ885" s="48">
        <f t="shared" si="2766"/>
        <v>0</v>
      </c>
      <c r="BK885" s="48">
        <f t="shared" si="2766"/>
        <v>0</v>
      </c>
      <c r="BL885" s="48">
        <f t="shared" si="2766"/>
        <v>0</v>
      </c>
      <c r="BM885" s="48">
        <f t="shared" si="2766"/>
        <v>0</v>
      </c>
      <c r="BN885" s="48">
        <f t="shared" si="2766"/>
        <v>0</v>
      </c>
      <c r="BO885" s="48">
        <f t="shared" si="2766"/>
        <v>0</v>
      </c>
      <c r="BP885" s="48">
        <f t="shared" si="2766"/>
        <v>0</v>
      </c>
      <c r="BQ885" s="48">
        <f t="shared" si="2766"/>
        <v>0</v>
      </c>
      <c r="BR885" s="36">
        <f t="shared" si="9"/>
        <v>0</v>
      </c>
      <c r="BS885" s="38">
        <f t="shared" si="10"/>
        <v>1</v>
      </c>
      <c r="BT885" s="49">
        <f t="shared" si="11"/>
        <v>0</v>
      </c>
      <c r="BU885" s="38">
        <f t="shared" si="12"/>
        <v>1000</v>
      </c>
      <c r="BV885" s="46" t="str">
        <f>IFERROR(__xludf.DUMMYFUNCTION("""COMPUTED_VALUE"""),"Dingman")</f>
        <v>Dingman</v>
      </c>
      <c r="BW885" s="46">
        <f t="shared" si="13"/>
        <v>1000</v>
      </c>
      <c r="BX885" s="47">
        <f t="shared" ref="BX885:CA885" si="2767">AX885-$BU885</f>
        <v>0</v>
      </c>
      <c r="BY885" s="47">
        <f t="shared" si="2767"/>
        <v>-1000</v>
      </c>
      <c r="BZ885" s="47">
        <f t="shared" si="2767"/>
        <v>-1000</v>
      </c>
      <c r="CA885" s="47">
        <f t="shared" si="2767"/>
        <v>-1000</v>
      </c>
      <c r="CB885" s="47">
        <f t="shared" si="15"/>
        <v>-10000</v>
      </c>
      <c r="CC885" s="47">
        <f t="shared" ref="CC885:CQ885" si="2768">BC885-$BU885</f>
        <v>-1000</v>
      </c>
      <c r="CD885" s="47">
        <f t="shared" si="2768"/>
        <v>-1000</v>
      </c>
      <c r="CE885" s="47">
        <f t="shared" si="2768"/>
        <v>-1000</v>
      </c>
      <c r="CF885" s="47">
        <f t="shared" si="2768"/>
        <v>-1000</v>
      </c>
      <c r="CG885" s="47">
        <f t="shared" si="2768"/>
        <v>-1000</v>
      </c>
      <c r="CH885" s="47">
        <f t="shared" si="2768"/>
        <v>-1000</v>
      </c>
      <c r="CI885" s="47">
        <f t="shared" si="2768"/>
        <v>-1000</v>
      </c>
      <c r="CJ885" s="47">
        <f t="shared" si="2768"/>
        <v>-1000</v>
      </c>
      <c r="CK885" s="47">
        <f t="shared" si="2768"/>
        <v>-1000</v>
      </c>
      <c r="CL885" s="47">
        <f t="shared" si="2768"/>
        <v>-1000</v>
      </c>
      <c r="CM885" s="47">
        <f t="shared" si="2768"/>
        <v>-1000</v>
      </c>
      <c r="CN885" s="47">
        <f t="shared" si="2768"/>
        <v>-1000</v>
      </c>
      <c r="CO885" s="47">
        <f t="shared" si="2768"/>
        <v>-1000</v>
      </c>
      <c r="CP885" s="47">
        <f t="shared" si="2768"/>
        <v>-1000</v>
      </c>
      <c r="CQ885" s="47">
        <f t="shared" si="2768"/>
        <v>-1000</v>
      </c>
      <c r="CR885" s="47"/>
      <c r="CS885" s="47"/>
      <c r="CT885" s="47"/>
      <c r="CU885" s="74"/>
      <c r="CV885" s="74"/>
      <c r="CW885" s="74" t="str">
        <f>IFERROR(__xludf.DUMMYFUNCTION("IF(REGEXMATCH(UPPER(CU885), ""DALLAS""),,CU885)"),"")</f>
        <v/>
      </c>
      <c r="CX885" s="74"/>
      <c r="CY885" s="74"/>
      <c r="CZ885" s="74"/>
      <c r="DA885" s="75"/>
      <c r="DB885" s="74"/>
      <c r="DC885" s="74"/>
      <c r="DD885" s="74"/>
      <c r="DE885" s="74"/>
      <c r="DF885" s="74"/>
      <c r="DG885" s="74"/>
      <c r="DH885" s="74"/>
      <c r="DI885" s="74"/>
      <c r="DJ885" s="74"/>
      <c r="DK885" s="74"/>
      <c r="DL885" s="74"/>
      <c r="DM885" s="74"/>
      <c r="DN885" s="74"/>
      <c r="DO885" s="74"/>
      <c r="DP885" s="74"/>
      <c r="DQ885" s="74"/>
      <c r="DR885" s="74"/>
      <c r="DS885" s="74"/>
      <c r="DT885" s="74"/>
      <c r="DU885" s="74"/>
      <c r="DV885" s="74"/>
      <c r="DW885" s="74"/>
    </row>
    <row r="886">
      <c r="A886" s="22" t="s">
        <v>55</v>
      </c>
      <c r="B886" s="23" t="s">
        <v>56</v>
      </c>
      <c r="C886" s="31" t="s">
        <v>2174</v>
      </c>
      <c r="D886" s="25" t="str">
        <f>IFERROR(__xludf.DUMMYFUNCTION("SPLIT(C886,"" "")"),"Hurst,")</f>
        <v>Hurst,</v>
      </c>
      <c r="E886" s="22" t="str">
        <f>IFERROR(__xludf.DUMMYFUNCTION("""COMPUTED_VALUE"""),"Michael
2100")</f>
        <v>Michael
2100</v>
      </c>
      <c r="F886" s="22" t="str">
        <f>IFERROR(__xludf.DUMMYFUNCTION("""COMPUTED_VALUE"""),"Ross")</f>
        <v>Ross</v>
      </c>
      <c r="G886" s="22" t="str">
        <f>IFERROR(__xludf.DUMMYFUNCTION("""COMPUTED_VALUE"""),"Ave
Dallas,")</f>
        <v>Ave
Dallas,</v>
      </c>
      <c r="H886" s="22" t="str">
        <f>IFERROR(__xludf.DUMMYFUNCTION("""COMPUTED_VALUE"""),"TX")</f>
        <v>TX</v>
      </c>
      <c r="I886" s="22">
        <f>IFERROR(__xludf.DUMMYFUNCTION("""COMPUTED_VALUE"""),75201.0)</f>
        <v>75201</v>
      </c>
      <c r="J886" s="22"/>
      <c r="K886" s="22"/>
      <c r="L886" s="22"/>
      <c r="M886" s="22"/>
      <c r="N886" s="22"/>
      <c r="O886" s="22"/>
      <c r="P886" s="22"/>
      <c r="Q886" s="22"/>
      <c r="R886" s="22"/>
      <c r="S886" s="22"/>
      <c r="T886" s="22"/>
      <c r="U886" s="24" t="str">
        <f>IFERROR(__xludf.DUMMYFUNCTION("SPLIT(E886,""01234567890"")"),"Michael
")</f>
        <v>Michael
</v>
      </c>
      <c r="V886" s="24" t="str">
        <f>IFERROR(__xludf.DUMMYFUNCTION("SPLIT(D886,"","")"),"Hurst")</f>
        <v>Hurst</v>
      </c>
      <c r="W886" s="25" t="str">
        <f t="shared" si="1"/>
        <v>MICHAEL
 HURST</v>
      </c>
      <c r="X886" s="22"/>
      <c r="Y886" s="22"/>
      <c r="Z886" s="25" t="str">
        <f>IFERROR(__xludf.DUMMYFUNCTION("SPLIT(C886,""
"")"),"Hurst, Michael")</f>
        <v>Hurst, Michael</v>
      </c>
      <c r="AA886" s="22" t="str">
        <f>IFERROR(__xludf.DUMMYFUNCTION("""COMPUTED_VALUE"""),"2100 Ross Ave")</f>
        <v>2100 Ross Ave</v>
      </c>
      <c r="AB886" s="22" t="str">
        <f>IFERROR(__xludf.DUMMYFUNCTION("""COMPUTED_VALUE"""),"Dallas, TX 75201")</f>
        <v>Dallas, TX 75201</v>
      </c>
      <c r="AC886" s="31" t="s">
        <v>2175</v>
      </c>
      <c r="AD886" s="22"/>
      <c r="AE886" s="22"/>
      <c r="AF886" s="22"/>
      <c r="AG886" s="22" t="s">
        <v>60</v>
      </c>
      <c r="AH886" s="54">
        <v>2481.0</v>
      </c>
      <c r="AI886" s="22" t="s">
        <v>68</v>
      </c>
      <c r="AJ886" s="27">
        <v>100.0</v>
      </c>
      <c r="AK886" s="31" t="s">
        <v>25</v>
      </c>
      <c r="AL886" s="28">
        <v>44831.0</v>
      </c>
      <c r="AM886" s="29">
        <v>44937.81995370371</v>
      </c>
      <c r="AN886" s="30">
        <v>2.0</v>
      </c>
      <c r="AO886" s="22"/>
      <c r="AP886" s="22"/>
      <c r="AQ886" s="22"/>
      <c r="AR886" s="22"/>
      <c r="AS886" s="22"/>
      <c r="AT886" s="70"/>
      <c r="AU886" s="22"/>
      <c r="AV886" s="57" t="str">
        <f>IFERROR(__xludf.DUMMYFUNCTION("""COMPUTED_VALUE"""),"Urby")</f>
        <v>Urby</v>
      </c>
      <c r="AW886" s="46">
        <f t="shared" si="7"/>
        <v>250</v>
      </c>
      <c r="AX886" s="47">
        <f t="shared" ref="AX886:BQ886" si="2769">SUMIFS($AJ:$AJ,$V:$V,$AV886,$AK:$AK,AX$2)</f>
        <v>250</v>
      </c>
      <c r="AY886" s="48">
        <f t="shared" si="2769"/>
        <v>0</v>
      </c>
      <c r="AZ886" s="48">
        <f t="shared" si="2769"/>
        <v>0</v>
      </c>
      <c r="BA886" s="48">
        <f t="shared" si="2769"/>
        <v>0</v>
      </c>
      <c r="BB886" s="48">
        <f t="shared" si="2769"/>
        <v>0</v>
      </c>
      <c r="BC886" s="48">
        <f t="shared" si="2769"/>
        <v>0</v>
      </c>
      <c r="BD886" s="48">
        <f t="shared" si="2769"/>
        <v>0</v>
      </c>
      <c r="BE886" s="48">
        <f t="shared" si="2769"/>
        <v>0</v>
      </c>
      <c r="BF886" s="48">
        <f t="shared" si="2769"/>
        <v>0</v>
      </c>
      <c r="BG886" s="48">
        <f t="shared" si="2769"/>
        <v>0</v>
      </c>
      <c r="BH886" s="48">
        <f t="shared" si="2769"/>
        <v>0</v>
      </c>
      <c r="BI886" s="48">
        <f t="shared" si="2769"/>
        <v>0</v>
      </c>
      <c r="BJ886" s="48">
        <f t="shared" si="2769"/>
        <v>0</v>
      </c>
      <c r="BK886" s="48">
        <f t="shared" si="2769"/>
        <v>0</v>
      </c>
      <c r="BL886" s="48">
        <f t="shared" si="2769"/>
        <v>0</v>
      </c>
      <c r="BM886" s="48">
        <f t="shared" si="2769"/>
        <v>0</v>
      </c>
      <c r="BN886" s="48">
        <f t="shared" si="2769"/>
        <v>0</v>
      </c>
      <c r="BO886" s="48">
        <f t="shared" si="2769"/>
        <v>0</v>
      </c>
      <c r="BP886" s="48">
        <f t="shared" si="2769"/>
        <v>0</v>
      </c>
      <c r="BQ886" s="48">
        <f t="shared" si="2769"/>
        <v>0</v>
      </c>
      <c r="BR886" s="36">
        <f t="shared" si="9"/>
        <v>0</v>
      </c>
      <c r="BS886" s="38">
        <f t="shared" si="10"/>
        <v>1</v>
      </c>
      <c r="BT886" s="49">
        <f t="shared" si="11"/>
        <v>0</v>
      </c>
      <c r="BU886" s="38">
        <f t="shared" si="12"/>
        <v>1000</v>
      </c>
      <c r="BV886" s="57" t="str">
        <f>IFERROR(__xludf.DUMMYFUNCTION("""COMPUTED_VALUE"""),"Urby")</f>
        <v>Urby</v>
      </c>
      <c r="BW886" s="46">
        <f t="shared" si="13"/>
        <v>250</v>
      </c>
      <c r="BX886" s="47">
        <f t="shared" ref="BX886:CA886" si="2770">AX886-$BU886</f>
        <v>-750</v>
      </c>
      <c r="BY886" s="47">
        <f t="shared" si="2770"/>
        <v>-1000</v>
      </c>
      <c r="BZ886" s="47">
        <f t="shared" si="2770"/>
        <v>-1000</v>
      </c>
      <c r="CA886" s="47">
        <f t="shared" si="2770"/>
        <v>-1000</v>
      </c>
      <c r="CB886" s="47">
        <f t="shared" si="15"/>
        <v>-10000</v>
      </c>
      <c r="CC886" s="47">
        <f t="shared" ref="CC886:CQ886" si="2771">BC886-$BU886</f>
        <v>-1000</v>
      </c>
      <c r="CD886" s="47">
        <f t="shared" si="2771"/>
        <v>-1000</v>
      </c>
      <c r="CE886" s="47">
        <f t="shared" si="2771"/>
        <v>-1000</v>
      </c>
      <c r="CF886" s="47">
        <f t="shared" si="2771"/>
        <v>-1000</v>
      </c>
      <c r="CG886" s="47">
        <f t="shared" si="2771"/>
        <v>-1000</v>
      </c>
      <c r="CH886" s="47">
        <f t="shared" si="2771"/>
        <v>-1000</v>
      </c>
      <c r="CI886" s="47">
        <f t="shared" si="2771"/>
        <v>-1000</v>
      </c>
      <c r="CJ886" s="47">
        <f t="shared" si="2771"/>
        <v>-1000</v>
      </c>
      <c r="CK886" s="47">
        <f t="shared" si="2771"/>
        <v>-1000</v>
      </c>
      <c r="CL886" s="47">
        <f t="shared" si="2771"/>
        <v>-1000</v>
      </c>
      <c r="CM886" s="47">
        <f t="shared" si="2771"/>
        <v>-1000</v>
      </c>
      <c r="CN886" s="47">
        <f t="shared" si="2771"/>
        <v>-1000</v>
      </c>
      <c r="CO886" s="47">
        <f t="shared" si="2771"/>
        <v>-1000</v>
      </c>
      <c r="CP886" s="47">
        <f t="shared" si="2771"/>
        <v>-1000</v>
      </c>
      <c r="CQ886" s="47">
        <f t="shared" si="2771"/>
        <v>-1000</v>
      </c>
      <c r="CR886" s="47"/>
      <c r="CS886" s="47"/>
      <c r="CT886" s="47"/>
      <c r="CU886" s="74"/>
      <c r="CV886" s="74"/>
      <c r="CW886" s="74" t="str">
        <f>IFERROR(__xludf.DUMMYFUNCTION("IF(REGEXMATCH(UPPER(CU886), ""DALLAS""),,CU886)"),"")</f>
        <v/>
      </c>
      <c r="CX886" s="74"/>
      <c r="CY886" s="74"/>
      <c r="CZ886" s="74"/>
      <c r="DA886" s="75"/>
      <c r="DB886" s="74"/>
      <c r="DC886" s="74"/>
      <c r="DD886" s="74"/>
      <c r="DE886" s="74"/>
      <c r="DF886" s="74"/>
      <c r="DG886" s="74"/>
      <c r="DH886" s="74"/>
      <c r="DI886" s="74"/>
      <c r="DJ886" s="74"/>
      <c r="DK886" s="74"/>
      <c r="DL886" s="74"/>
      <c r="DM886" s="74"/>
      <c r="DN886" s="74"/>
      <c r="DO886" s="74"/>
      <c r="DP886" s="74"/>
      <c r="DQ886" s="74"/>
      <c r="DR886" s="74"/>
      <c r="DS886" s="74"/>
      <c r="DT886" s="74"/>
      <c r="DU886" s="74"/>
      <c r="DV886" s="74"/>
      <c r="DW886" s="74"/>
    </row>
    <row r="887">
      <c r="A887" s="40" t="s">
        <v>55</v>
      </c>
      <c r="B887" s="41" t="s">
        <v>56</v>
      </c>
      <c r="C887" s="31" t="s">
        <v>2176</v>
      </c>
      <c r="D887" s="25" t="str">
        <f>IFERROR(__xludf.DUMMYFUNCTION("SPLIT(C887,"" "")"),"Tony,")</f>
        <v>Tony,</v>
      </c>
      <c r="E887" s="40" t="str">
        <f>IFERROR(__xludf.DUMMYFUNCTION("""COMPUTED_VALUE"""),"Bryan
1500")</f>
        <v>Bryan
1500</v>
      </c>
      <c r="F887" s="40" t="str">
        <f>IFERROR(__xludf.DUMMYFUNCTION("""COMPUTED_VALUE"""),"Pecos")</f>
        <v>Pecos</v>
      </c>
      <c r="G887" s="40" t="str">
        <f>IFERROR(__xludf.DUMMYFUNCTION("""COMPUTED_VALUE"""),"St
Dallas,")</f>
        <v>St
Dallas,</v>
      </c>
      <c r="H887" s="40" t="str">
        <f>IFERROR(__xludf.DUMMYFUNCTION("""COMPUTED_VALUE"""),"TX")</f>
        <v>TX</v>
      </c>
      <c r="I887" s="40">
        <f>IFERROR(__xludf.DUMMYFUNCTION("""COMPUTED_VALUE"""),75204.0)</f>
        <v>75204</v>
      </c>
      <c r="J887" s="40"/>
      <c r="K887" s="40"/>
      <c r="L887" s="40"/>
      <c r="M887" s="40"/>
      <c r="N887" s="40"/>
      <c r="O887" s="40"/>
      <c r="P887" s="40"/>
      <c r="Q887" s="40"/>
      <c r="R887" s="40"/>
      <c r="S887" s="40"/>
      <c r="T887" s="40"/>
      <c r="U887" s="24" t="str">
        <f>IFERROR(__xludf.DUMMYFUNCTION("SPLIT(E887,""01234567890"")"),"Bryan
")</f>
        <v>Bryan
</v>
      </c>
      <c r="V887" s="24" t="str">
        <f>IFERROR(__xludf.DUMMYFUNCTION("SPLIT(D887,"","")"),"Tony")</f>
        <v>Tony</v>
      </c>
      <c r="W887" s="25" t="str">
        <f t="shared" si="1"/>
        <v>BRYAN
 TONY</v>
      </c>
      <c r="X887" s="40"/>
      <c r="Y887" s="40"/>
      <c r="Z887" s="25" t="str">
        <f>IFERROR(__xludf.DUMMYFUNCTION("SPLIT(C887,""
"")"),"Tony, Bryan")</f>
        <v>Tony, Bryan</v>
      </c>
      <c r="AA887" s="40" t="str">
        <f>IFERROR(__xludf.DUMMYFUNCTION("""COMPUTED_VALUE"""),"1500 Pecos St")</f>
        <v>1500 Pecos St</v>
      </c>
      <c r="AB887" s="40" t="str">
        <f>IFERROR(__xludf.DUMMYFUNCTION("""COMPUTED_VALUE"""),"Dallas, TX 75204")</f>
        <v>Dallas, TX 75204</v>
      </c>
      <c r="AC887" s="31" t="s">
        <v>2177</v>
      </c>
      <c r="AD887" s="40"/>
      <c r="AE887" s="40"/>
      <c r="AF887" s="40"/>
      <c r="AG887" s="40" t="s">
        <v>60</v>
      </c>
      <c r="AH887" s="42">
        <v>2481.0</v>
      </c>
      <c r="AI887" s="40" t="s">
        <v>68</v>
      </c>
      <c r="AJ887" s="27">
        <v>50.0</v>
      </c>
      <c r="AK887" s="31" t="s">
        <v>25</v>
      </c>
      <c r="AL887" s="43">
        <v>44831.0</v>
      </c>
      <c r="AM887" s="44">
        <v>44937.81995370371</v>
      </c>
      <c r="AN887" s="30">
        <v>2.0</v>
      </c>
      <c r="AO887" s="40"/>
      <c r="AP887" s="40"/>
      <c r="AQ887" s="40"/>
      <c r="AR887" s="40"/>
      <c r="AS887" s="40"/>
      <c r="AT887" s="47"/>
      <c r="AU887" s="40"/>
      <c r="AV887" s="46" t="str">
        <f>IFERROR(__xludf.DUMMYFUNCTION("""COMPUTED_VALUE"""),"Hargraves")</f>
        <v>Hargraves</v>
      </c>
      <c r="AW887" s="46">
        <f t="shared" si="7"/>
        <v>1000</v>
      </c>
      <c r="AX887" s="47">
        <f t="shared" ref="AX887:BQ887" si="2772">SUMIFS($AJ:$AJ,$V:$V,$AV887,$AK:$AK,AX$2)</f>
        <v>1000</v>
      </c>
      <c r="AY887" s="48">
        <f t="shared" si="2772"/>
        <v>0</v>
      </c>
      <c r="AZ887" s="48">
        <f t="shared" si="2772"/>
        <v>0</v>
      </c>
      <c r="BA887" s="48">
        <f t="shared" si="2772"/>
        <v>0</v>
      </c>
      <c r="BB887" s="48">
        <f t="shared" si="2772"/>
        <v>0</v>
      </c>
      <c r="BC887" s="48">
        <f t="shared" si="2772"/>
        <v>0</v>
      </c>
      <c r="BD887" s="48">
        <f t="shared" si="2772"/>
        <v>0</v>
      </c>
      <c r="BE887" s="48">
        <f t="shared" si="2772"/>
        <v>0</v>
      </c>
      <c r="BF887" s="48">
        <f t="shared" si="2772"/>
        <v>0</v>
      </c>
      <c r="BG887" s="48">
        <f t="shared" si="2772"/>
        <v>0</v>
      </c>
      <c r="BH887" s="48">
        <f t="shared" si="2772"/>
        <v>0</v>
      </c>
      <c r="BI887" s="48">
        <f t="shared" si="2772"/>
        <v>0</v>
      </c>
      <c r="BJ887" s="48">
        <f t="shared" si="2772"/>
        <v>0</v>
      </c>
      <c r="BK887" s="48">
        <f t="shared" si="2772"/>
        <v>0</v>
      </c>
      <c r="BL887" s="48">
        <f t="shared" si="2772"/>
        <v>0</v>
      </c>
      <c r="BM887" s="48">
        <f t="shared" si="2772"/>
        <v>0</v>
      </c>
      <c r="BN887" s="48">
        <f t="shared" si="2772"/>
        <v>0</v>
      </c>
      <c r="BO887" s="48">
        <f t="shared" si="2772"/>
        <v>0</v>
      </c>
      <c r="BP887" s="48">
        <f t="shared" si="2772"/>
        <v>0</v>
      </c>
      <c r="BQ887" s="48">
        <f t="shared" si="2772"/>
        <v>0</v>
      </c>
      <c r="BR887" s="36">
        <f t="shared" si="9"/>
        <v>0</v>
      </c>
      <c r="BS887" s="38">
        <f t="shared" si="10"/>
        <v>1</v>
      </c>
      <c r="BT887" s="49">
        <f t="shared" si="11"/>
        <v>0</v>
      </c>
      <c r="BU887" s="38">
        <f t="shared" si="12"/>
        <v>1000</v>
      </c>
      <c r="BV887" s="46" t="str">
        <f>IFERROR(__xludf.DUMMYFUNCTION("""COMPUTED_VALUE"""),"Hargraves")</f>
        <v>Hargraves</v>
      </c>
      <c r="BW887" s="46">
        <f t="shared" si="13"/>
        <v>1000</v>
      </c>
      <c r="BX887" s="47">
        <f t="shared" ref="BX887:CA887" si="2773">AX887-$BU887</f>
        <v>0</v>
      </c>
      <c r="BY887" s="47">
        <f t="shared" si="2773"/>
        <v>-1000</v>
      </c>
      <c r="BZ887" s="47">
        <f t="shared" si="2773"/>
        <v>-1000</v>
      </c>
      <c r="CA887" s="47">
        <f t="shared" si="2773"/>
        <v>-1000</v>
      </c>
      <c r="CB887" s="47">
        <f t="shared" si="15"/>
        <v>-10000</v>
      </c>
      <c r="CC887" s="47">
        <f t="shared" ref="CC887:CQ887" si="2774">BC887-$BU887</f>
        <v>-1000</v>
      </c>
      <c r="CD887" s="47">
        <f t="shared" si="2774"/>
        <v>-1000</v>
      </c>
      <c r="CE887" s="47">
        <f t="shared" si="2774"/>
        <v>-1000</v>
      </c>
      <c r="CF887" s="47">
        <f t="shared" si="2774"/>
        <v>-1000</v>
      </c>
      <c r="CG887" s="47">
        <f t="shared" si="2774"/>
        <v>-1000</v>
      </c>
      <c r="CH887" s="47">
        <f t="shared" si="2774"/>
        <v>-1000</v>
      </c>
      <c r="CI887" s="47">
        <f t="shared" si="2774"/>
        <v>-1000</v>
      </c>
      <c r="CJ887" s="47">
        <f t="shared" si="2774"/>
        <v>-1000</v>
      </c>
      <c r="CK887" s="47">
        <f t="shared" si="2774"/>
        <v>-1000</v>
      </c>
      <c r="CL887" s="47">
        <f t="shared" si="2774"/>
        <v>-1000</v>
      </c>
      <c r="CM887" s="47">
        <f t="shared" si="2774"/>
        <v>-1000</v>
      </c>
      <c r="CN887" s="47">
        <f t="shared" si="2774"/>
        <v>-1000</v>
      </c>
      <c r="CO887" s="47">
        <f t="shared" si="2774"/>
        <v>-1000</v>
      </c>
      <c r="CP887" s="47">
        <f t="shared" si="2774"/>
        <v>-1000</v>
      </c>
      <c r="CQ887" s="47">
        <f t="shared" si="2774"/>
        <v>-1000</v>
      </c>
      <c r="CR887" s="47"/>
      <c r="CS887" s="47"/>
      <c r="CT887" s="47"/>
      <c r="CU887" s="74"/>
      <c r="CV887" s="74"/>
      <c r="CW887" s="74" t="str">
        <f>IFERROR(__xludf.DUMMYFUNCTION("IF(REGEXMATCH(UPPER(CU887), ""DALLAS""),,CU887)"),"")</f>
        <v/>
      </c>
      <c r="CX887" s="74"/>
      <c r="CY887" s="74"/>
      <c r="CZ887" s="74"/>
      <c r="DA887" s="75"/>
      <c r="DB887" s="74"/>
      <c r="DC887" s="74"/>
      <c r="DD887" s="74"/>
      <c r="DE887" s="74"/>
      <c r="DF887" s="74"/>
      <c r="DG887" s="74"/>
      <c r="DH887" s="74"/>
      <c r="DI887" s="74"/>
      <c r="DJ887" s="74"/>
      <c r="DK887" s="74"/>
      <c r="DL887" s="74"/>
      <c r="DM887" s="74"/>
      <c r="DN887" s="74"/>
      <c r="DO887" s="74"/>
      <c r="DP887" s="74"/>
      <c r="DQ887" s="74"/>
      <c r="DR887" s="74"/>
      <c r="DS887" s="74"/>
      <c r="DT887" s="74"/>
      <c r="DU887" s="74"/>
      <c r="DV887" s="74"/>
      <c r="DW887" s="74"/>
    </row>
    <row r="888">
      <c r="A888" s="22" t="s">
        <v>55</v>
      </c>
      <c r="B888" s="23" t="s">
        <v>56</v>
      </c>
      <c r="C888" s="31" t="s">
        <v>2178</v>
      </c>
      <c r="D888" s="25" t="str">
        <f>IFERROR(__xludf.DUMMYFUNCTION("SPLIT(C888,"" "")"),"Luallen,")</f>
        <v>Luallen,</v>
      </c>
      <c r="E888" s="22" t="str">
        <f>IFERROR(__xludf.DUMMYFUNCTION("""COMPUTED_VALUE"""),"Brian
2772")</f>
        <v>Brian
2772</v>
      </c>
      <c r="F888" s="22" t="str">
        <f>IFERROR(__xludf.DUMMYFUNCTION("""COMPUTED_VALUE"""),"Gaston")</f>
        <v>Gaston</v>
      </c>
      <c r="G888" s="22" t="str">
        <f>IFERROR(__xludf.DUMMYFUNCTION("""COMPUTED_VALUE"""),"Ave
Dallas,")</f>
        <v>Ave
Dallas,</v>
      </c>
      <c r="H888" s="22" t="str">
        <f>IFERROR(__xludf.DUMMYFUNCTION("""COMPUTED_VALUE"""),"TX")</f>
        <v>TX</v>
      </c>
      <c r="I888" s="22">
        <f>IFERROR(__xludf.DUMMYFUNCTION("""COMPUTED_VALUE"""),75226.0)</f>
        <v>75226</v>
      </c>
      <c r="J888" s="22"/>
      <c r="K888" s="22"/>
      <c r="L888" s="22"/>
      <c r="M888" s="22"/>
      <c r="N888" s="22"/>
      <c r="O888" s="22"/>
      <c r="P888" s="22"/>
      <c r="Q888" s="22"/>
      <c r="R888" s="22"/>
      <c r="S888" s="22"/>
      <c r="T888" s="22"/>
      <c r="U888" s="24" t="str">
        <f>IFERROR(__xludf.DUMMYFUNCTION("SPLIT(E888,""01234567890"")"),"Brian
")</f>
        <v>Brian
</v>
      </c>
      <c r="V888" s="24" t="str">
        <f>IFERROR(__xludf.DUMMYFUNCTION("SPLIT(D888,"","")"),"Luallen")</f>
        <v>Luallen</v>
      </c>
      <c r="W888" s="25" t="str">
        <f t="shared" si="1"/>
        <v>BRIAN
 LUALLEN</v>
      </c>
      <c r="X888" s="22"/>
      <c r="Y888" s="22"/>
      <c r="Z888" s="25" t="str">
        <f>IFERROR(__xludf.DUMMYFUNCTION("SPLIT(C888,""
"")"),"Luallen, Brian")</f>
        <v>Luallen, Brian</v>
      </c>
      <c r="AA888" s="22" t="str">
        <f>IFERROR(__xludf.DUMMYFUNCTION("""COMPUTED_VALUE"""),"2772 Gaston Ave")</f>
        <v>2772 Gaston Ave</v>
      </c>
      <c r="AB888" s="22" t="str">
        <f>IFERROR(__xludf.DUMMYFUNCTION("""COMPUTED_VALUE"""),"Dallas, TX 75226")</f>
        <v>Dallas, TX 75226</v>
      </c>
      <c r="AC888" s="31" t="s">
        <v>2179</v>
      </c>
      <c r="AD888" s="22"/>
      <c r="AE888" s="22"/>
      <c r="AF888" s="22"/>
      <c r="AG888" s="22" t="s">
        <v>60</v>
      </c>
      <c r="AH888" s="54">
        <v>2481.0</v>
      </c>
      <c r="AI888" s="22" t="s">
        <v>68</v>
      </c>
      <c r="AJ888" s="27">
        <v>250.0</v>
      </c>
      <c r="AK888" s="31" t="s">
        <v>25</v>
      </c>
      <c r="AL888" s="28">
        <v>44832.0</v>
      </c>
      <c r="AM888" s="29">
        <v>44937.81995370371</v>
      </c>
      <c r="AN888" s="30">
        <v>2.0</v>
      </c>
      <c r="AO888" s="22"/>
      <c r="AP888" s="22"/>
      <c r="AQ888" s="22"/>
      <c r="AR888" s="22"/>
      <c r="AS888" s="22"/>
      <c r="AT888" s="70"/>
      <c r="AU888" s="22"/>
      <c r="AV888" s="57" t="str">
        <f>IFERROR(__xludf.DUMMYFUNCTION("""COMPUTED_VALUE"""),"Woodruff")</f>
        <v>Woodruff</v>
      </c>
      <c r="AW888" s="46">
        <f t="shared" si="7"/>
        <v>1000</v>
      </c>
      <c r="AX888" s="47">
        <f t="shared" ref="AX888:BQ888" si="2775">SUMIFS($AJ:$AJ,$V:$V,$AV888,$AK:$AK,AX$2)</f>
        <v>1000</v>
      </c>
      <c r="AY888" s="48">
        <f t="shared" si="2775"/>
        <v>0</v>
      </c>
      <c r="AZ888" s="48">
        <f t="shared" si="2775"/>
        <v>0</v>
      </c>
      <c r="BA888" s="48">
        <f t="shared" si="2775"/>
        <v>0</v>
      </c>
      <c r="BB888" s="48">
        <f t="shared" si="2775"/>
        <v>0</v>
      </c>
      <c r="BC888" s="48">
        <f t="shared" si="2775"/>
        <v>0</v>
      </c>
      <c r="BD888" s="48">
        <f t="shared" si="2775"/>
        <v>0</v>
      </c>
      <c r="BE888" s="48">
        <f t="shared" si="2775"/>
        <v>0</v>
      </c>
      <c r="BF888" s="48">
        <f t="shared" si="2775"/>
        <v>0</v>
      </c>
      <c r="BG888" s="48">
        <f t="shared" si="2775"/>
        <v>0</v>
      </c>
      <c r="BH888" s="48">
        <f t="shared" si="2775"/>
        <v>0</v>
      </c>
      <c r="BI888" s="48">
        <f t="shared" si="2775"/>
        <v>0</v>
      </c>
      <c r="BJ888" s="48">
        <f t="shared" si="2775"/>
        <v>0</v>
      </c>
      <c r="BK888" s="48">
        <f t="shared" si="2775"/>
        <v>0</v>
      </c>
      <c r="BL888" s="48">
        <f t="shared" si="2775"/>
        <v>0</v>
      </c>
      <c r="BM888" s="48">
        <f t="shared" si="2775"/>
        <v>0</v>
      </c>
      <c r="BN888" s="48">
        <f t="shared" si="2775"/>
        <v>0</v>
      </c>
      <c r="BO888" s="48">
        <f t="shared" si="2775"/>
        <v>0</v>
      </c>
      <c r="BP888" s="48">
        <f t="shared" si="2775"/>
        <v>0</v>
      </c>
      <c r="BQ888" s="48">
        <f t="shared" si="2775"/>
        <v>0</v>
      </c>
      <c r="BR888" s="36">
        <f t="shared" si="9"/>
        <v>0</v>
      </c>
      <c r="BS888" s="38">
        <f t="shared" si="10"/>
        <v>1</v>
      </c>
      <c r="BT888" s="49">
        <f t="shared" si="11"/>
        <v>0</v>
      </c>
      <c r="BU888" s="38">
        <f t="shared" si="12"/>
        <v>1000</v>
      </c>
      <c r="BV888" s="57" t="str">
        <f>IFERROR(__xludf.DUMMYFUNCTION("""COMPUTED_VALUE"""),"Woodruff")</f>
        <v>Woodruff</v>
      </c>
      <c r="BW888" s="46">
        <f t="shared" si="13"/>
        <v>1000</v>
      </c>
      <c r="BX888" s="47">
        <f t="shared" ref="BX888:CA888" si="2776">AX888-$BU888</f>
        <v>0</v>
      </c>
      <c r="BY888" s="47">
        <f t="shared" si="2776"/>
        <v>-1000</v>
      </c>
      <c r="BZ888" s="47">
        <f t="shared" si="2776"/>
        <v>-1000</v>
      </c>
      <c r="CA888" s="47">
        <f t="shared" si="2776"/>
        <v>-1000</v>
      </c>
      <c r="CB888" s="47">
        <f t="shared" si="15"/>
        <v>-10000</v>
      </c>
      <c r="CC888" s="47">
        <f t="shared" ref="CC888:CQ888" si="2777">BC888-$BU888</f>
        <v>-1000</v>
      </c>
      <c r="CD888" s="47">
        <f t="shared" si="2777"/>
        <v>-1000</v>
      </c>
      <c r="CE888" s="47">
        <f t="shared" si="2777"/>
        <v>-1000</v>
      </c>
      <c r="CF888" s="47">
        <f t="shared" si="2777"/>
        <v>-1000</v>
      </c>
      <c r="CG888" s="47">
        <f t="shared" si="2777"/>
        <v>-1000</v>
      </c>
      <c r="CH888" s="47">
        <f t="shared" si="2777"/>
        <v>-1000</v>
      </c>
      <c r="CI888" s="47">
        <f t="shared" si="2777"/>
        <v>-1000</v>
      </c>
      <c r="CJ888" s="47">
        <f t="shared" si="2777"/>
        <v>-1000</v>
      </c>
      <c r="CK888" s="47">
        <f t="shared" si="2777"/>
        <v>-1000</v>
      </c>
      <c r="CL888" s="47">
        <f t="shared" si="2777"/>
        <v>-1000</v>
      </c>
      <c r="CM888" s="47">
        <f t="shared" si="2777"/>
        <v>-1000</v>
      </c>
      <c r="CN888" s="47">
        <f t="shared" si="2777"/>
        <v>-1000</v>
      </c>
      <c r="CO888" s="47">
        <f t="shared" si="2777"/>
        <v>-1000</v>
      </c>
      <c r="CP888" s="47">
        <f t="shared" si="2777"/>
        <v>-1000</v>
      </c>
      <c r="CQ888" s="47">
        <f t="shared" si="2777"/>
        <v>-1000</v>
      </c>
      <c r="CR888" s="47"/>
      <c r="CS888" s="47"/>
      <c r="CT888" s="47"/>
      <c r="CU888" s="74"/>
      <c r="CV888" s="74"/>
      <c r="CW888" s="74" t="str">
        <f>IFERROR(__xludf.DUMMYFUNCTION("IF(REGEXMATCH(UPPER(CU888), ""DALLAS""),,CU888)"),"")</f>
        <v/>
      </c>
      <c r="CX888" s="74"/>
      <c r="CY888" s="74"/>
      <c r="CZ888" s="74"/>
      <c r="DA888" s="75"/>
      <c r="DB888" s="74"/>
      <c r="DC888" s="74"/>
      <c r="DD888" s="74"/>
      <c r="DE888" s="74"/>
      <c r="DF888" s="74"/>
      <c r="DG888" s="74"/>
      <c r="DH888" s="74"/>
      <c r="DI888" s="74"/>
      <c r="DJ888" s="74"/>
      <c r="DK888" s="74"/>
      <c r="DL888" s="74"/>
      <c r="DM888" s="74"/>
      <c r="DN888" s="74"/>
      <c r="DO888" s="74"/>
      <c r="DP888" s="74"/>
      <c r="DQ888" s="74"/>
      <c r="DR888" s="74"/>
      <c r="DS888" s="74"/>
      <c r="DT888" s="74"/>
      <c r="DU888" s="74"/>
      <c r="DV888" s="74"/>
      <c r="DW888" s="74"/>
    </row>
    <row r="889">
      <c r="A889" s="40" t="s">
        <v>55</v>
      </c>
      <c r="B889" s="41" t="s">
        <v>56</v>
      </c>
      <c r="C889" s="31" t="s">
        <v>2180</v>
      </c>
      <c r="D889" s="25" t="str">
        <f>IFERROR(__xludf.DUMMYFUNCTION("SPLIT(C889,"" "")"),"Williams,")</f>
        <v>Williams,</v>
      </c>
      <c r="E889" s="40" t="str">
        <f>IFERROR(__xludf.DUMMYFUNCTION("""COMPUTED_VALUE"""),"Johnette
1609")</f>
        <v>Johnette
1609</v>
      </c>
      <c r="F889" s="40" t="str">
        <f>IFERROR(__xludf.DUMMYFUNCTION("""COMPUTED_VALUE"""),"Lauren")</f>
        <v>Lauren</v>
      </c>
      <c r="G889" s="40" t="str">
        <f>IFERROR(__xludf.DUMMYFUNCTION("""COMPUTED_VALUE"""),"Springs")</f>
        <v>Springs</v>
      </c>
      <c r="H889" s="40" t="str">
        <f>IFERROR(__xludf.DUMMYFUNCTION("""COMPUTED_VALUE"""),"Court
DeSoto,")</f>
        <v>Court
DeSoto,</v>
      </c>
      <c r="I889" s="40" t="str">
        <f>IFERROR(__xludf.DUMMYFUNCTION("""COMPUTED_VALUE"""),"TX")</f>
        <v>TX</v>
      </c>
      <c r="J889" s="40">
        <f>IFERROR(__xludf.DUMMYFUNCTION("""COMPUTED_VALUE"""),75115.0)</f>
        <v>75115</v>
      </c>
      <c r="K889" s="40"/>
      <c r="L889" s="40"/>
      <c r="M889" s="40"/>
      <c r="N889" s="40"/>
      <c r="O889" s="40"/>
      <c r="P889" s="40"/>
      <c r="Q889" s="40"/>
      <c r="R889" s="40"/>
      <c r="S889" s="40"/>
      <c r="T889" s="40"/>
      <c r="U889" s="24" t="str">
        <f>IFERROR(__xludf.DUMMYFUNCTION("SPLIT(E889,""01234567890"")"),"Johnette
")</f>
        <v>Johnette
</v>
      </c>
      <c r="V889" s="24" t="str">
        <f>IFERROR(__xludf.DUMMYFUNCTION("SPLIT(D889,"","")"),"Williams")</f>
        <v>Williams</v>
      </c>
      <c r="W889" s="25" t="str">
        <f t="shared" si="1"/>
        <v>JOHNETTE
 WILLIAMS</v>
      </c>
      <c r="X889" s="40"/>
      <c r="Y889" s="40"/>
      <c r="Z889" s="25" t="str">
        <f>IFERROR(__xludf.DUMMYFUNCTION("SPLIT(C889,""
"")"),"Williams, Johnette")</f>
        <v>Williams, Johnette</v>
      </c>
      <c r="AA889" s="40" t="str">
        <f>IFERROR(__xludf.DUMMYFUNCTION("""COMPUTED_VALUE"""),"1609 Lauren Springs Court")</f>
        <v>1609 Lauren Springs Court</v>
      </c>
      <c r="AB889" s="40" t="str">
        <f>IFERROR(__xludf.DUMMYFUNCTION("""COMPUTED_VALUE"""),"DeSoto, TX 75115")</f>
        <v>DeSoto, TX 75115</v>
      </c>
      <c r="AC889" s="31" t="s">
        <v>2181</v>
      </c>
      <c r="AD889" s="40"/>
      <c r="AE889" s="40"/>
      <c r="AF889" s="40"/>
      <c r="AG889" s="40" t="s">
        <v>60</v>
      </c>
      <c r="AH889" s="42">
        <v>2481.0</v>
      </c>
      <c r="AI889" s="40" t="s">
        <v>68</v>
      </c>
      <c r="AJ889" s="27">
        <v>10.0</v>
      </c>
      <c r="AK889" s="31" t="s">
        <v>25</v>
      </c>
      <c r="AL889" s="43">
        <v>44833.0</v>
      </c>
      <c r="AM889" s="44">
        <v>44937.81995370371</v>
      </c>
      <c r="AN889" s="30">
        <v>2.0</v>
      </c>
      <c r="AO889" s="40"/>
      <c r="AP889" s="40"/>
      <c r="AQ889" s="40"/>
      <c r="AR889" s="40"/>
      <c r="AS889" s="40"/>
      <c r="AT889" s="47"/>
      <c r="AU889" s="40"/>
      <c r="AV889" s="46" t="str">
        <f>IFERROR(__xludf.DUMMYFUNCTION("""COMPUTED_VALUE"""),"Dalheim")</f>
        <v>Dalheim</v>
      </c>
      <c r="AW889" s="46">
        <f t="shared" si="7"/>
        <v>500</v>
      </c>
      <c r="AX889" s="47">
        <f t="shared" ref="AX889:BQ889" si="2778">SUMIFS($AJ:$AJ,$V:$V,$AV889,$AK:$AK,AX$2)</f>
        <v>500</v>
      </c>
      <c r="AY889" s="48">
        <f t="shared" si="2778"/>
        <v>0</v>
      </c>
      <c r="AZ889" s="48">
        <f t="shared" si="2778"/>
        <v>0</v>
      </c>
      <c r="BA889" s="48">
        <f t="shared" si="2778"/>
        <v>0</v>
      </c>
      <c r="BB889" s="48">
        <f t="shared" si="2778"/>
        <v>0</v>
      </c>
      <c r="BC889" s="48">
        <f t="shared" si="2778"/>
        <v>0</v>
      </c>
      <c r="BD889" s="48">
        <f t="shared" si="2778"/>
        <v>0</v>
      </c>
      <c r="BE889" s="48">
        <f t="shared" si="2778"/>
        <v>0</v>
      </c>
      <c r="BF889" s="48">
        <f t="shared" si="2778"/>
        <v>0</v>
      </c>
      <c r="BG889" s="48">
        <f t="shared" si="2778"/>
        <v>0</v>
      </c>
      <c r="BH889" s="48">
        <f t="shared" si="2778"/>
        <v>0</v>
      </c>
      <c r="BI889" s="48">
        <f t="shared" si="2778"/>
        <v>0</v>
      </c>
      <c r="BJ889" s="48">
        <f t="shared" si="2778"/>
        <v>0</v>
      </c>
      <c r="BK889" s="48">
        <f t="shared" si="2778"/>
        <v>0</v>
      </c>
      <c r="BL889" s="48">
        <f t="shared" si="2778"/>
        <v>0</v>
      </c>
      <c r="BM889" s="48">
        <f t="shared" si="2778"/>
        <v>0</v>
      </c>
      <c r="BN889" s="48">
        <f t="shared" si="2778"/>
        <v>0</v>
      </c>
      <c r="BO889" s="48">
        <f t="shared" si="2778"/>
        <v>0</v>
      </c>
      <c r="BP889" s="48">
        <f t="shared" si="2778"/>
        <v>0</v>
      </c>
      <c r="BQ889" s="48">
        <f t="shared" si="2778"/>
        <v>0</v>
      </c>
      <c r="BR889" s="36">
        <f t="shared" si="9"/>
        <v>0</v>
      </c>
      <c r="BS889" s="38">
        <f t="shared" si="10"/>
        <v>1</v>
      </c>
      <c r="BT889" s="49">
        <f t="shared" si="11"/>
        <v>0</v>
      </c>
      <c r="BU889" s="38">
        <f t="shared" si="12"/>
        <v>1000</v>
      </c>
      <c r="BV889" s="46" t="str">
        <f>IFERROR(__xludf.DUMMYFUNCTION("""COMPUTED_VALUE"""),"Dalheim")</f>
        <v>Dalheim</v>
      </c>
      <c r="BW889" s="46">
        <f t="shared" si="13"/>
        <v>500</v>
      </c>
      <c r="BX889" s="47">
        <f t="shared" ref="BX889:CA889" si="2779">AX889-$BU889</f>
        <v>-500</v>
      </c>
      <c r="BY889" s="47">
        <f t="shared" si="2779"/>
        <v>-1000</v>
      </c>
      <c r="BZ889" s="47">
        <f t="shared" si="2779"/>
        <v>-1000</v>
      </c>
      <c r="CA889" s="47">
        <f t="shared" si="2779"/>
        <v>-1000</v>
      </c>
      <c r="CB889" s="47">
        <f t="shared" si="15"/>
        <v>-10000</v>
      </c>
      <c r="CC889" s="47">
        <f t="shared" ref="CC889:CQ889" si="2780">BC889-$BU889</f>
        <v>-1000</v>
      </c>
      <c r="CD889" s="47">
        <f t="shared" si="2780"/>
        <v>-1000</v>
      </c>
      <c r="CE889" s="47">
        <f t="shared" si="2780"/>
        <v>-1000</v>
      </c>
      <c r="CF889" s="47">
        <f t="shared" si="2780"/>
        <v>-1000</v>
      </c>
      <c r="CG889" s="47">
        <f t="shared" si="2780"/>
        <v>-1000</v>
      </c>
      <c r="CH889" s="47">
        <f t="shared" si="2780"/>
        <v>-1000</v>
      </c>
      <c r="CI889" s="47">
        <f t="shared" si="2780"/>
        <v>-1000</v>
      </c>
      <c r="CJ889" s="47">
        <f t="shared" si="2780"/>
        <v>-1000</v>
      </c>
      <c r="CK889" s="47">
        <f t="shared" si="2780"/>
        <v>-1000</v>
      </c>
      <c r="CL889" s="47">
        <f t="shared" si="2780"/>
        <v>-1000</v>
      </c>
      <c r="CM889" s="47">
        <f t="shared" si="2780"/>
        <v>-1000</v>
      </c>
      <c r="CN889" s="47">
        <f t="shared" si="2780"/>
        <v>-1000</v>
      </c>
      <c r="CO889" s="47">
        <f t="shared" si="2780"/>
        <v>-1000</v>
      </c>
      <c r="CP889" s="47">
        <f t="shared" si="2780"/>
        <v>-1000</v>
      </c>
      <c r="CQ889" s="47">
        <f t="shared" si="2780"/>
        <v>-1000</v>
      </c>
      <c r="CR889" s="47"/>
      <c r="CS889" s="47"/>
      <c r="CT889" s="47"/>
      <c r="CU889" s="74"/>
      <c r="CV889" s="74"/>
      <c r="CW889" s="74" t="str">
        <f>IFERROR(__xludf.DUMMYFUNCTION("IF(REGEXMATCH(UPPER(CU889), ""DALLAS""),,CU889)"),"")</f>
        <v/>
      </c>
      <c r="CX889" s="74"/>
      <c r="CY889" s="74"/>
      <c r="CZ889" s="74"/>
      <c r="DA889" s="75"/>
      <c r="DB889" s="74"/>
      <c r="DC889" s="74"/>
      <c r="DD889" s="74"/>
      <c r="DE889" s="74"/>
      <c r="DF889" s="74"/>
      <c r="DG889" s="74"/>
      <c r="DH889" s="74"/>
      <c r="DI889" s="74"/>
      <c r="DJ889" s="74"/>
      <c r="DK889" s="74"/>
      <c r="DL889" s="74"/>
      <c r="DM889" s="74"/>
      <c r="DN889" s="74"/>
      <c r="DO889" s="74"/>
      <c r="DP889" s="74"/>
      <c r="DQ889" s="74"/>
      <c r="DR889" s="74"/>
      <c r="DS889" s="74"/>
      <c r="DT889" s="74"/>
      <c r="DU889" s="74"/>
      <c r="DV889" s="74"/>
      <c r="DW889" s="74"/>
    </row>
    <row r="890">
      <c r="A890" s="22" t="s">
        <v>55</v>
      </c>
      <c r="B890" s="23" t="s">
        <v>56</v>
      </c>
      <c r="C890" s="31" t="s">
        <v>2182</v>
      </c>
      <c r="D890" s="25" t="str">
        <f>IFERROR(__xludf.DUMMYFUNCTION("SPLIT(C890,"" "")"),"Davenport,")</f>
        <v>Davenport,</v>
      </c>
      <c r="E890" s="22" t="str">
        <f>IFERROR(__xludf.DUMMYFUNCTION("""COMPUTED_VALUE"""),"Cheryl
7575")</f>
        <v>Cheryl
7575</v>
      </c>
      <c r="F890" s="22" t="str">
        <f>IFERROR(__xludf.DUMMYFUNCTION("""COMPUTED_VALUE"""),"S")</f>
        <v>S</v>
      </c>
      <c r="G890" s="22" t="str">
        <f>IFERROR(__xludf.DUMMYFUNCTION("""COMPUTED_VALUE"""),"Westmoreland
Dallas,")</f>
        <v>Westmoreland
Dallas,</v>
      </c>
      <c r="H890" s="22" t="str">
        <f>IFERROR(__xludf.DUMMYFUNCTION("""COMPUTED_VALUE"""),"TX")</f>
        <v>TX</v>
      </c>
      <c r="I890" s="22">
        <f>IFERROR(__xludf.DUMMYFUNCTION("""COMPUTED_VALUE"""),75237.0)</f>
        <v>75237</v>
      </c>
      <c r="J890" s="22"/>
      <c r="K890" s="22"/>
      <c r="L890" s="22"/>
      <c r="M890" s="22"/>
      <c r="N890" s="22"/>
      <c r="O890" s="22"/>
      <c r="P890" s="22"/>
      <c r="Q890" s="22"/>
      <c r="R890" s="22"/>
      <c r="S890" s="22"/>
      <c r="T890" s="22"/>
      <c r="U890" s="24" t="str">
        <f>IFERROR(__xludf.DUMMYFUNCTION("SPLIT(E890,""01234567890"")"),"Cheryl
")</f>
        <v>Cheryl
</v>
      </c>
      <c r="V890" s="24" t="str">
        <f>IFERROR(__xludf.DUMMYFUNCTION("SPLIT(D890,"","")"),"Davenport")</f>
        <v>Davenport</v>
      </c>
      <c r="W890" s="25" t="str">
        <f t="shared" si="1"/>
        <v>CHERYL
 DAVENPORT</v>
      </c>
      <c r="X890" s="22"/>
      <c r="Y890" s="22"/>
      <c r="Z890" s="25" t="str">
        <f>IFERROR(__xludf.DUMMYFUNCTION("SPLIT(C890,""
"")"),"Davenport, Cheryl")</f>
        <v>Davenport, Cheryl</v>
      </c>
      <c r="AA890" s="22" t="str">
        <f>IFERROR(__xludf.DUMMYFUNCTION("""COMPUTED_VALUE"""),"7575 S Westmoreland")</f>
        <v>7575 S Westmoreland</v>
      </c>
      <c r="AB890" s="22" t="str">
        <f>IFERROR(__xludf.DUMMYFUNCTION("""COMPUTED_VALUE"""),"Dallas, TX 75237")</f>
        <v>Dallas, TX 75237</v>
      </c>
      <c r="AC890" s="31" t="s">
        <v>2183</v>
      </c>
      <c r="AD890" s="22"/>
      <c r="AE890" s="22"/>
      <c r="AF890" s="22"/>
      <c r="AG890" s="22" t="s">
        <v>60</v>
      </c>
      <c r="AH890" s="54">
        <v>2481.0</v>
      </c>
      <c r="AI890" s="22" t="s">
        <v>68</v>
      </c>
      <c r="AJ890" s="27">
        <v>100.0</v>
      </c>
      <c r="AK890" s="31" t="s">
        <v>25</v>
      </c>
      <c r="AL890" s="28">
        <v>44833.0</v>
      </c>
      <c r="AM890" s="29">
        <v>44937.81995370371</v>
      </c>
      <c r="AN890" s="30">
        <v>2.0</v>
      </c>
      <c r="AO890" s="22"/>
      <c r="AP890" s="22"/>
      <c r="AQ890" s="22"/>
      <c r="AR890" s="22"/>
      <c r="AS890" s="22"/>
      <c r="AT890" s="70"/>
      <c r="AU890" s="22"/>
      <c r="AV890" s="57" t="str">
        <f>IFERROR(__xludf.DUMMYFUNCTION("""COMPUTED_VALUE"""),"Edwards")</f>
        <v>Edwards</v>
      </c>
      <c r="AW890" s="46">
        <f t="shared" si="7"/>
        <v>100</v>
      </c>
      <c r="AX890" s="47">
        <f t="shared" ref="AX890:BQ890" si="2781">SUMIFS($AJ:$AJ,$V:$V,$AV890,$AK:$AK,AX$2)</f>
        <v>100</v>
      </c>
      <c r="AY890" s="48">
        <f t="shared" si="2781"/>
        <v>0</v>
      </c>
      <c r="AZ890" s="48">
        <f t="shared" si="2781"/>
        <v>0</v>
      </c>
      <c r="BA890" s="48">
        <f t="shared" si="2781"/>
        <v>0</v>
      </c>
      <c r="BB890" s="48">
        <f t="shared" si="2781"/>
        <v>0</v>
      </c>
      <c r="BC890" s="48">
        <f t="shared" si="2781"/>
        <v>0</v>
      </c>
      <c r="BD890" s="48">
        <f t="shared" si="2781"/>
        <v>0</v>
      </c>
      <c r="BE890" s="48">
        <f t="shared" si="2781"/>
        <v>0</v>
      </c>
      <c r="BF890" s="48">
        <f t="shared" si="2781"/>
        <v>0</v>
      </c>
      <c r="BG890" s="48">
        <f t="shared" si="2781"/>
        <v>0</v>
      </c>
      <c r="BH890" s="48">
        <f t="shared" si="2781"/>
        <v>0</v>
      </c>
      <c r="BI890" s="48">
        <f t="shared" si="2781"/>
        <v>0</v>
      </c>
      <c r="BJ890" s="48">
        <f t="shared" si="2781"/>
        <v>0</v>
      </c>
      <c r="BK890" s="48">
        <f t="shared" si="2781"/>
        <v>0</v>
      </c>
      <c r="BL890" s="48">
        <f t="shared" si="2781"/>
        <v>0</v>
      </c>
      <c r="BM890" s="48">
        <f t="shared" si="2781"/>
        <v>0</v>
      </c>
      <c r="BN890" s="48">
        <f t="shared" si="2781"/>
        <v>0</v>
      </c>
      <c r="BO890" s="48">
        <f t="shared" si="2781"/>
        <v>0</v>
      </c>
      <c r="BP890" s="48">
        <f t="shared" si="2781"/>
        <v>0</v>
      </c>
      <c r="BQ890" s="48">
        <f t="shared" si="2781"/>
        <v>0</v>
      </c>
      <c r="BR890" s="36">
        <f t="shared" si="9"/>
        <v>0</v>
      </c>
      <c r="BS890" s="38">
        <f t="shared" si="10"/>
        <v>1</v>
      </c>
      <c r="BT890" s="49">
        <f t="shared" si="11"/>
        <v>0</v>
      </c>
      <c r="BU890" s="38">
        <f t="shared" si="12"/>
        <v>1000</v>
      </c>
      <c r="BV890" s="57" t="str">
        <f>IFERROR(__xludf.DUMMYFUNCTION("""COMPUTED_VALUE"""),"Edwards")</f>
        <v>Edwards</v>
      </c>
      <c r="BW890" s="46">
        <f t="shared" si="13"/>
        <v>100</v>
      </c>
      <c r="BX890" s="47">
        <f t="shared" ref="BX890:CA890" si="2782">AX890-$BU890</f>
        <v>-900</v>
      </c>
      <c r="BY890" s="47">
        <f t="shared" si="2782"/>
        <v>-1000</v>
      </c>
      <c r="BZ890" s="47">
        <f t="shared" si="2782"/>
        <v>-1000</v>
      </c>
      <c r="CA890" s="47">
        <f t="shared" si="2782"/>
        <v>-1000</v>
      </c>
      <c r="CB890" s="47">
        <f t="shared" si="15"/>
        <v>-10000</v>
      </c>
      <c r="CC890" s="47">
        <f t="shared" ref="CC890:CQ890" si="2783">BC890-$BU890</f>
        <v>-1000</v>
      </c>
      <c r="CD890" s="47">
        <f t="shared" si="2783"/>
        <v>-1000</v>
      </c>
      <c r="CE890" s="47">
        <f t="shared" si="2783"/>
        <v>-1000</v>
      </c>
      <c r="CF890" s="47">
        <f t="shared" si="2783"/>
        <v>-1000</v>
      </c>
      <c r="CG890" s="47">
        <f t="shared" si="2783"/>
        <v>-1000</v>
      </c>
      <c r="CH890" s="47">
        <f t="shared" si="2783"/>
        <v>-1000</v>
      </c>
      <c r="CI890" s="47">
        <f t="shared" si="2783"/>
        <v>-1000</v>
      </c>
      <c r="CJ890" s="47">
        <f t="shared" si="2783"/>
        <v>-1000</v>
      </c>
      <c r="CK890" s="47">
        <f t="shared" si="2783"/>
        <v>-1000</v>
      </c>
      <c r="CL890" s="47">
        <f t="shared" si="2783"/>
        <v>-1000</v>
      </c>
      <c r="CM890" s="47">
        <f t="shared" si="2783"/>
        <v>-1000</v>
      </c>
      <c r="CN890" s="47">
        <f t="shared" si="2783"/>
        <v>-1000</v>
      </c>
      <c r="CO890" s="47">
        <f t="shared" si="2783"/>
        <v>-1000</v>
      </c>
      <c r="CP890" s="47">
        <f t="shared" si="2783"/>
        <v>-1000</v>
      </c>
      <c r="CQ890" s="47">
        <f t="shared" si="2783"/>
        <v>-1000</v>
      </c>
      <c r="CR890" s="47"/>
      <c r="CS890" s="47"/>
      <c r="CT890" s="47"/>
      <c r="CU890" s="74"/>
      <c r="CV890" s="74"/>
      <c r="CW890" s="74" t="str">
        <f>IFERROR(__xludf.DUMMYFUNCTION("IF(REGEXMATCH(UPPER(CU890), ""DALLAS""),,CU890)"),"")</f>
        <v/>
      </c>
      <c r="CX890" s="74"/>
      <c r="CY890" s="74"/>
      <c r="CZ890" s="74"/>
      <c r="DA890" s="75"/>
      <c r="DB890" s="74"/>
      <c r="DC890" s="74"/>
      <c r="DD890" s="74"/>
      <c r="DE890" s="74"/>
      <c r="DF890" s="74"/>
      <c r="DG890" s="74"/>
      <c r="DH890" s="74"/>
      <c r="DI890" s="74"/>
      <c r="DJ890" s="74"/>
      <c r="DK890" s="74"/>
      <c r="DL890" s="74"/>
      <c r="DM890" s="74"/>
      <c r="DN890" s="74"/>
      <c r="DO890" s="74"/>
      <c r="DP890" s="74"/>
      <c r="DQ890" s="74"/>
      <c r="DR890" s="74"/>
      <c r="DS890" s="74"/>
      <c r="DT890" s="74"/>
      <c r="DU890" s="74"/>
      <c r="DV890" s="74"/>
      <c r="DW890" s="74"/>
    </row>
    <row r="891">
      <c r="A891" s="40" t="s">
        <v>55</v>
      </c>
      <c r="B891" s="41" t="s">
        <v>56</v>
      </c>
      <c r="C891" s="31" t="s">
        <v>2184</v>
      </c>
      <c r="D891" s="25" t="str">
        <f>IFERROR(__xludf.DUMMYFUNCTION("SPLIT(C891,"" "")"),"Mueller,")</f>
        <v>Mueller,</v>
      </c>
      <c r="E891" s="40" t="str">
        <f>IFERROR(__xludf.DUMMYFUNCTION("""COMPUTED_VALUE"""),"Jason
10331")</f>
        <v>Jason
10331</v>
      </c>
      <c r="F891" s="40" t="str">
        <f>IFERROR(__xludf.DUMMYFUNCTION("""COMPUTED_VALUE"""),"Sherbrook")</f>
        <v>Sherbrook</v>
      </c>
      <c r="G891" s="40" t="str">
        <f>IFERROR(__xludf.DUMMYFUNCTION("""COMPUTED_VALUE"""),"Ln
Dallas,")</f>
        <v>Ln
Dallas,</v>
      </c>
      <c r="H891" s="40" t="str">
        <f>IFERROR(__xludf.DUMMYFUNCTION("""COMPUTED_VALUE"""),"TX")</f>
        <v>TX</v>
      </c>
      <c r="I891" s="40">
        <f>IFERROR(__xludf.DUMMYFUNCTION("""COMPUTED_VALUE"""),75229.0)</f>
        <v>75229</v>
      </c>
      <c r="J891" s="40"/>
      <c r="K891" s="40"/>
      <c r="L891" s="40"/>
      <c r="M891" s="40"/>
      <c r="N891" s="40"/>
      <c r="O891" s="40"/>
      <c r="P891" s="40"/>
      <c r="Q891" s="40"/>
      <c r="R891" s="40"/>
      <c r="S891" s="40"/>
      <c r="T891" s="40"/>
      <c r="U891" s="24" t="str">
        <f>IFERROR(__xludf.DUMMYFUNCTION("SPLIT(E891,""01234567890"")"),"Jason
")</f>
        <v>Jason
</v>
      </c>
      <c r="V891" s="24" t="str">
        <f>IFERROR(__xludf.DUMMYFUNCTION("SPLIT(D891,"","")"),"Mueller")</f>
        <v>Mueller</v>
      </c>
      <c r="W891" s="25" t="str">
        <f t="shared" si="1"/>
        <v>JASON
 MUELLER</v>
      </c>
      <c r="X891" s="40"/>
      <c r="Y891" s="40"/>
      <c r="Z891" s="25" t="str">
        <f>IFERROR(__xludf.DUMMYFUNCTION("SPLIT(C891,""
"")"),"Mueller, Jason")</f>
        <v>Mueller, Jason</v>
      </c>
      <c r="AA891" s="40" t="str">
        <f>IFERROR(__xludf.DUMMYFUNCTION("""COMPUTED_VALUE"""),"10331 Sherbrook Ln")</f>
        <v>10331 Sherbrook Ln</v>
      </c>
      <c r="AB891" s="40" t="str">
        <f>IFERROR(__xludf.DUMMYFUNCTION("""COMPUTED_VALUE"""),"Dallas, TX 75229")</f>
        <v>Dallas, TX 75229</v>
      </c>
      <c r="AC891" s="31" t="s">
        <v>2185</v>
      </c>
      <c r="AD891" s="40"/>
      <c r="AE891" s="40"/>
      <c r="AF891" s="40"/>
      <c r="AG891" s="40" t="s">
        <v>60</v>
      </c>
      <c r="AH891" s="42">
        <v>2481.0</v>
      </c>
      <c r="AI891" s="40" t="s">
        <v>68</v>
      </c>
      <c r="AJ891" s="27">
        <v>50.0</v>
      </c>
      <c r="AK891" s="31" t="s">
        <v>25</v>
      </c>
      <c r="AL891" s="43">
        <v>44833.0</v>
      </c>
      <c r="AM891" s="44">
        <v>44937.81995370371</v>
      </c>
      <c r="AN891" s="30">
        <v>2.0</v>
      </c>
      <c r="AO891" s="40"/>
      <c r="AP891" s="40"/>
      <c r="AQ891" s="40"/>
      <c r="AR891" s="40"/>
      <c r="AS891" s="40"/>
      <c r="AT891" s="47"/>
      <c r="AU891" s="40"/>
      <c r="AV891" s="46" t="str">
        <f>IFERROR(__xludf.DUMMYFUNCTION("""COMPUTED_VALUE"""),"Spence")</f>
        <v>Spence</v>
      </c>
      <c r="AW891" s="46">
        <f t="shared" si="7"/>
        <v>1400</v>
      </c>
      <c r="AX891" s="47">
        <f t="shared" ref="AX891:BQ891" si="2784">SUMIFS($AJ:$AJ,$V:$V,$AV891,$AK:$AK,AX$2)</f>
        <v>1400</v>
      </c>
      <c r="AY891" s="48">
        <f t="shared" si="2784"/>
        <v>0</v>
      </c>
      <c r="AZ891" s="48">
        <f t="shared" si="2784"/>
        <v>0</v>
      </c>
      <c r="BA891" s="48">
        <f t="shared" si="2784"/>
        <v>0</v>
      </c>
      <c r="BB891" s="48">
        <f t="shared" si="2784"/>
        <v>0</v>
      </c>
      <c r="BC891" s="48">
        <f t="shared" si="2784"/>
        <v>0</v>
      </c>
      <c r="BD891" s="48">
        <f t="shared" si="2784"/>
        <v>0</v>
      </c>
      <c r="BE891" s="48">
        <f t="shared" si="2784"/>
        <v>0</v>
      </c>
      <c r="BF891" s="48">
        <f t="shared" si="2784"/>
        <v>0</v>
      </c>
      <c r="BG891" s="48">
        <f t="shared" si="2784"/>
        <v>0</v>
      </c>
      <c r="BH891" s="48">
        <f t="shared" si="2784"/>
        <v>0</v>
      </c>
      <c r="BI891" s="48">
        <f t="shared" si="2784"/>
        <v>0</v>
      </c>
      <c r="BJ891" s="48">
        <f t="shared" si="2784"/>
        <v>0</v>
      </c>
      <c r="BK891" s="48">
        <f t="shared" si="2784"/>
        <v>0</v>
      </c>
      <c r="BL891" s="48">
        <f t="shared" si="2784"/>
        <v>0</v>
      </c>
      <c r="BM891" s="48">
        <f t="shared" si="2784"/>
        <v>0</v>
      </c>
      <c r="BN891" s="48">
        <f t="shared" si="2784"/>
        <v>0</v>
      </c>
      <c r="BO891" s="48">
        <f t="shared" si="2784"/>
        <v>0</v>
      </c>
      <c r="BP891" s="48">
        <f t="shared" si="2784"/>
        <v>0</v>
      </c>
      <c r="BQ891" s="48">
        <f t="shared" si="2784"/>
        <v>0</v>
      </c>
      <c r="BR891" s="36">
        <f t="shared" si="9"/>
        <v>1</v>
      </c>
      <c r="BS891" s="38">
        <f t="shared" si="10"/>
        <v>2</v>
      </c>
      <c r="BT891" s="49">
        <f t="shared" si="11"/>
        <v>0</v>
      </c>
      <c r="BU891" s="38">
        <f t="shared" si="12"/>
        <v>2000</v>
      </c>
      <c r="BV891" s="46" t="str">
        <f>IFERROR(__xludf.DUMMYFUNCTION("""COMPUTED_VALUE"""),"Spence")</f>
        <v>Spence</v>
      </c>
      <c r="BW891" s="46">
        <f t="shared" si="13"/>
        <v>1400</v>
      </c>
      <c r="BX891" s="47">
        <f t="shared" ref="BX891:CA891" si="2785">AX891-$BU891</f>
        <v>-600</v>
      </c>
      <c r="BY891" s="47">
        <f t="shared" si="2785"/>
        <v>-2000</v>
      </c>
      <c r="BZ891" s="47">
        <f t="shared" si="2785"/>
        <v>-2000</v>
      </c>
      <c r="CA891" s="47">
        <f t="shared" si="2785"/>
        <v>-2000</v>
      </c>
      <c r="CB891" s="47">
        <f t="shared" si="15"/>
        <v>-20000</v>
      </c>
      <c r="CC891" s="47">
        <f t="shared" ref="CC891:CQ891" si="2786">BC891-$BU891</f>
        <v>-2000</v>
      </c>
      <c r="CD891" s="47">
        <f t="shared" si="2786"/>
        <v>-2000</v>
      </c>
      <c r="CE891" s="47">
        <f t="shared" si="2786"/>
        <v>-2000</v>
      </c>
      <c r="CF891" s="47">
        <f t="shared" si="2786"/>
        <v>-2000</v>
      </c>
      <c r="CG891" s="47">
        <f t="shared" si="2786"/>
        <v>-2000</v>
      </c>
      <c r="CH891" s="47">
        <f t="shared" si="2786"/>
        <v>-2000</v>
      </c>
      <c r="CI891" s="47">
        <f t="shared" si="2786"/>
        <v>-2000</v>
      </c>
      <c r="CJ891" s="47">
        <f t="shared" si="2786"/>
        <v>-2000</v>
      </c>
      <c r="CK891" s="47">
        <f t="shared" si="2786"/>
        <v>-2000</v>
      </c>
      <c r="CL891" s="47">
        <f t="shared" si="2786"/>
        <v>-2000</v>
      </c>
      <c r="CM891" s="47">
        <f t="shared" si="2786"/>
        <v>-2000</v>
      </c>
      <c r="CN891" s="47">
        <f t="shared" si="2786"/>
        <v>-2000</v>
      </c>
      <c r="CO891" s="47">
        <f t="shared" si="2786"/>
        <v>-2000</v>
      </c>
      <c r="CP891" s="47">
        <f t="shared" si="2786"/>
        <v>-2000</v>
      </c>
      <c r="CQ891" s="47">
        <f t="shared" si="2786"/>
        <v>-2000</v>
      </c>
      <c r="CR891" s="47"/>
      <c r="CS891" s="47"/>
      <c r="CT891" s="47"/>
      <c r="CU891" s="74"/>
      <c r="CV891" s="74"/>
      <c r="CW891" s="74" t="str">
        <f>IFERROR(__xludf.DUMMYFUNCTION("IF(REGEXMATCH(UPPER(CU891), ""DALLAS""),,CU891)"),"")</f>
        <v/>
      </c>
      <c r="CX891" s="74"/>
      <c r="CY891" s="74"/>
      <c r="CZ891" s="74"/>
      <c r="DA891" s="75"/>
      <c r="DB891" s="74"/>
      <c r="DC891" s="74"/>
      <c r="DD891" s="74"/>
      <c r="DE891" s="74"/>
      <c r="DF891" s="74"/>
      <c r="DG891" s="74"/>
      <c r="DH891" s="74"/>
      <c r="DI891" s="74"/>
      <c r="DJ891" s="74"/>
      <c r="DK891" s="74"/>
      <c r="DL891" s="74"/>
      <c r="DM891" s="74"/>
      <c r="DN891" s="74"/>
      <c r="DO891" s="74"/>
      <c r="DP891" s="74"/>
      <c r="DQ891" s="74"/>
      <c r="DR891" s="74"/>
      <c r="DS891" s="74"/>
      <c r="DT891" s="74"/>
      <c r="DU891" s="74"/>
      <c r="DV891" s="74"/>
      <c r="DW891" s="74"/>
    </row>
    <row r="892">
      <c r="A892" s="22" t="s">
        <v>55</v>
      </c>
      <c r="B892" s="23" t="s">
        <v>56</v>
      </c>
      <c r="C892" s="31" t="s">
        <v>2186</v>
      </c>
      <c r="D892" s="25" t="str">
        <f>IFERROR(__xludf.DUMMYFUNCTION("SPLIT(C892,"" "")"),"Shirejian,")</f>
        <v>Shirejian,</v>
      </c>
      <c r="E892" s="22" t="str">
        <f>IFERROR(__xludf.DUMMYFUNCTION("""COMPUTED_VALUE"""),"George
10404")</f>
        <v>George
10404</v>
      </c>
      <c r="F892" s="22" t="str">
        <f>IFERROR(__xludf.DUMMYFUNCTION("""COMPUTED_VALUE"""),"Westlawn
Dallas,")</f>
        <v>Westlawn
Dallas,</v>
      </c>
      <c r="G892" s="22" t="str">
        <f>IFERROR(__xludf.DUMMYFUNCTION("""COMPUTED_VALUE"""),"TX")</f>
        <v>TX</v>
      </c>
      <c r="H892" s="22">
        <f>IFERROR(__xludf.DUMMYFUNCTION("""COMPUTED_VALUE"""),75229.0)</f>
        <v>75229</v>
      </c>
      <c r="I892" s="22"/>
      <c r="J892" s="22"/>
      <c r="K892" s="22"/>
      <c r="L892" s="22"/>
      <c r="M892" s="22"/>
      <c r="N892" s="22"/>
      <c r="O892" s="22"/>
      <c r="P892" s="22"/>
      <c r="Q892" s="22"/>
      <c r="R892" s="22"/>
      <c r="S892" s="22"/>
      <c r="T892" s="22"/>
      <c r="U892" s="24" t="str">
        <f>IFERROR(__xludf.DUMMYFUNCTION("SPLIT(E892,""01234567890"")"),"George
")</f>
        <v>George
</v>
      </c>
      <c r="V892" s="24" t="str">
        <f>IFERROR(__xludf.DUMMYFUNCTION("SPLIT(D892,"","")"),"Shirejian")</f>
        <v>Shirejian</v>
      </c>
      <c r="W892" s="25" t="str">
        <f t="shared" si="1"/>
        <v>GEORGE
 SHIREJIAN</v>
      </c>
      <c r="X892" s="22"/>
      <c r="Y892" s="22"/>
      <c r="Z892" s="25" t="str">
        <f>IFERROR(__xludf.DUMMYFUNCTION("SPLIT(C892,""
"")"),"Shirejian, George")</f>
        <v>Shirejian, George</v>
      </c>
      <c r="AA892" s="22" t="str">
        <f>IFERROR(__xludf.DUMMYFUNCTION("""COMPUTED_VALUE"""),"10404 Westlawn")</f>
        <v>10404 Westlawn</v>
      </c>
      <c r="AB892" s="22" t="str">
        <f>IFERROR(__xludf.DUMMYFUNCTION("""COMPUTED_VALUE"""),"Dallas, TX 75229")</f>
        <v>Dallas, TX 75229</v>
      </c>
      <c r="AC892" s="31" t="s">
        <v>2187</v>
      </c>
      <c r="AD892" s="22"/>
      <c r="AE892" s="22"/>
      <c r="AF892" s="22"/>
      <c r="AG892" s="22" t="s">
        <v>60</v>
      </c>
      <c r="AH892" s="54">
        <v>2481.0</v>
      </c>
      <c r="AI892" s="22" t="s">
        <v>68</v>
      </c>
      <c r="AJ892" s="27">
        <v>100.0</v>
      </c>
      <c r="AK892" s="31" t="s">
        <v>25</v>
      </c>
      <c r="AL892" s="28">
        <v>44833.0</v>
      </c>
      <c r="AM892" s="29">
        <v>44937.81995370371</v>
      </c>
      <c r="AN892" s="30">
        <v>2.0</v>
      </c>
      <c r="AO892" s="22"/>
      <c r="AP892" s="22"/>
      <c r="AQ892" s="22"/>
      <c r="AR892" s="22"/>
      <c r="AS892" s="22"/>
      <c r="AT892" s="70"/>
      <c r="AU892" s="22"/>
      <c r="AV892" s="57" t="str">
        <f>IFERROR(__xludf.DUMMYFUNCTION("""COMPUTED_VALUE"""),"Peña")</f>
        <v>Peña</v>
      </c>
      <c r="AW892" s="46">
        <f t="shared" si="7"/>
        <v>474.7</v>
      </c>
      <c r="AX892" s="47">
        <f t="shared" ref="AX892:BQ892" si="2787">SUMIFS($AJ:$AJ,$V:$V,$AV892,$AK:$AK,AX$2)</f>
        <v>474.7</v>
      </c>
      <c r="AY892" s="48">
        <f t="shared" si="2787"/>
        <v>0</v>
      </c>
      <c r="AZ892" s="48">
        <f t="shared" si="2787"/>
        <v>0</v>
      </c>
      <c r="BA892" s="48">
        <f t="shared" si="2787"/>
        <v>0</v>
      </c>
      <c r="BB892" s="48">
        <f t="shared" si="2787"/>
        <v>0</v>
      </c>
      <c r="BC892" s="48">
        <f t="shared" si="2787"/>
        <v>0</v>
      </c>
      <c r="BD892" s="48">
        <f t="shared" si="2787"/>
        <v>0</v>
      </c>
      <c r="BE892" s="48">
        <f t="shared" si="2787"/>
        <v>0</v>
      </c>
      <c r="BF892" s="48">
        <f t="shared" si="2787"/>
        <v>0</v>
      </c>
      <c r="BG892" s="48">
        <f t="shared" si="2787"/>
        <v>0</v>
      </c>
      <c r="BH892" s="48">
        <f t="shared" si="2787"/>
        <v>0</v>
      </c>
      <c r="BI892" s="48">
        <f t="shared" si="2787"/>
        <v>0</v>
      </c>
      <c r="BJ892" s="48">
        <f t="shared" si="2787"/>
        <v>0</v>
      </c>
      <c r="BK892" s="48">
        <f t="shared" si="2787"/>
        <v>0</v>
      </c>
      <c r="BL892" s="48">
        <f t="shared" si="2787"/>
        <v>0</v>
      </c>
      <c r="BM892" s="48">
        <f t="shared" si="2787"/>
        <v>0</v>
      </c>
      <c r="BN892" s="48">
        <f t="shared" si="2787"/>
        <v>0</v>
      </c>
      <c r="BO892" s="48">
        <f t="shared" si="2787"/>
        <v>0</v>
      </c>
      <c r="BP892" s="48">
        <f t="shared" si="2787"/>
        <v>0</v>
      </c>
      <c r="BQ892" s="48">
        <f t="shared" si="2787"/>
        <v>0</v>
      </c>
      <c r="BR892" s="36">
        <f t="shared" si="9"/>
        <v>0</v>
      </c>
      <c r="BS892" s="38">
        <f t="shared" si="10"/>
        <v>1</v>
      </c>
      <c r="BT892" s="49">
        <f t="shared" si="11"/>
        <v>0</v>
      </c>
      <c r="BU892" s="38">
        <f t="shared" si="12"/>
        <v>1000</v>
      </c>
      <c r="BV892" s="57" t="str">
        <f>IFERROR(__xludf.DUMMYFUNCTION("""COMPUTED_VALUE"""),"Peña")</f>
        <v>Peña</v>
      </c>
      <c r="BW892" s="46">
        <f t="shared" si="13"/>
        <v>474.7</v>
      </c>
      <c r="BX892" s="47">
        <f t="shared" ref="BX892:CA892" si="2788">AX892-$BU892</f>
        <v>-525.3</v>
      </c>
      <c r="BY892" s="47">
        <f t="shared" si="2788"/>
        <v>-1000</v>
      </c>
      <c r="BZ892" s="47">
        <f t="shared" si="2788"/>
        <v>-1000</v>
      </c>
      <c r="CA892" s="47">
        <f t="shared" si="2788"/>
        <v>-1000</v>
      </c>
      <c r="CB892" s="47">
        <f t="shared" si="15"/>
        <v>-10000</v>
      </c>
      <c r="CC892" s="47">
        <f t="shared" ref="CC892:CQ892" si="2789">BC892-$BU892</f>
        <v>-1000</v>
      </c>
      <c r="CD892" s="47">
        <f t="shared" si="2789"/>
        <v>-1000</v>
      </c>
      <c r="CE892" s="47">
        <f t="shared" si="2789"/>
        <v>-1000</v>
      </c>
      <c r="CF892" s="47">
        <f t="shared" si="2789"/>
        <v>-1000</v>
      </c>
      <c r="CG892" s="47">
        <f t="shared" si="2789"/>
        <v>-1000</v>
      </c>
      <c r="CH892" s="47">
        <f t="shared" si="2789"/>
        <v>-1000</v>
      </c>
      <c r="CI892" s="47">
        <f t="shared" si="2789"/>
        <v>-1000</v>
      </c>
      <c r="CJ892" s="47">
        <f t="shared" si="2789"/>
        <v>-1000</v>
      </c>
      <c r="CK892" s="47">
        <f t="shared" si="2789"/>
        <v>-1000</v>
      </c>
      <c r="CL892" s="47">
        <f t="shared" si="2789"/>
        <v>-1000</v>
      </c>
      <c r="CM892" s="47">
        <f t="shared" si="2789"/>
        <v>-1000</v>
      </c>
      <c r="CN892" s="47">
        <f t="shared" si="2789"/>
        <v>-1000</v>
      </c>
      <c r="CO892" s="47">
        <f t="shared" si="2789"/>
        <v>-1000</v>
      </c>
      <c r="CP892" s="47">
        <f t="shared" si="2789"/>
        <v>-1000</v>
      </c>
      <c r="CQ892" s="47">
        <f t="shared" si="2789"/>
        <v>-1000</v>
      </c>
      <c r="CR892" s="47"/>
      <c r="CS892" s="47"/>
      <c r="CT892" s="47"/>
      <c r="CU892" s="74"/>
      <c r="CV892" s="74"/>
      <c r="CW892" s="74" t="str">
        <f>IFERROR(__xludf.DUMMYFUNCTION("IF(REGEXMATCH(UPPER(CU892), ""DALLAS""),,CU892)"),"")</f>
        <v/>
      </c>
      <c r="CX892" s="74"/>
      <c r="CY892" s="74"/>
      <c r="CZ892" s="74"/>
      <c r="DA892" s="75"/>
      <c r="DB892" s="74"/>
      <c r="DC892" s="74"/>
      <c r="DD892" s="74"/>
      <c r="DE892" s="74"/>
      <c r="DF892" s="74"/>
      <c r="DG892" s="74"/>
      <c r="DH892" s="74"/>
      <c r="DI892" s="74"/>
      <c r="DJ892" s="74"/>
      <c r="DK892" s="74"/>
      <c r="DL892" s="74"/>
      <c r="DM892" s="74"/>
      <c r="DN892" s="74"/>
      <c r="DO892" s="74"/>
      <c r="DP892" s="74"/>
      <c r="DQ892" s="74"/>
      <c r="DR892" s="74"/>
      <c r="DS892" s="74"/>
      <c r="DT892" s="74"/>
      <c r="DU892" s="74"/>
      <c r="DV892" s="74"/>
      <c r="DW892" s="74"/>
    </row>
    <row r="893">
      <c r="A893" s="40" t="s">
        <v>55</v>
      </c>
      <c r="B893" s="41" t="s">
        <v>56</v>
      </c>
      <c r="C893" s="31" t="s">
        <v>2188</v>
      </c>
      <c r="D893" s="25" t="str">
        <f>IFERROR(__xludf.DUMMYFUNCTION("SPLIT(C893,"" "")"),"Toney,")</f>
        <v>Toney,</v>
      </c>
      <c r="E893" s="40" t="str">
        <f>IFERROR(__xludf.DUMMYFUNCTION("""COMPUTED_VALUE"""),"Keith
4619")</f>
        <v>Keith
4619</v>
      </c>
      <c r="F893" s="40" t="str">
        <f>IFERROR(__xludf.DUMMYFUNCTION("""COMPUTED_VALUE"""),"Wedgecrest")</f>
        <v>Wedgecrest</v>
      </c>
      <c r="G893" s="40" t="str">
        <f>IFERROR(__xludf.DUMMYFUNCTION("""COMPUTED_VALUE"""),"Dr
Dallas,")</f>
        <v>Dr
Dallas,</v>
      </c>
      <c r="H893" s="40" t="str">
        <f>IFERROR(__xludf.DUMMYFUNCTION("""COMPUTED_VALUE"""),"TX")</f>
        <v>TX</v>
      </c>
      <c r="I893" s="40">
        <f>IFERROR(__xludf.DUMMYFUNCTION("""COMPUTED_VALUE"""),75232.0)</f>
        <v>75232</v>
      </c>
      <c r="J893" s="40"/>
      <c r="K893" s="40"/>
      <c r="L893" s="40"/>
      <c r="M893" s="40"/>
      <c r="N893" s="40"/>
      <c r="O893" s="40"/>
      <c r="P893" s="40"/>
      <c r="Q893" s="40"/>
      <c r="R893" s="40"/>
      <c r="S893" s="40"/>
      <c r="T893" s="40"/>
      <c r="U893" s="24" t="str">
        <f>IFERROR(__xludf.DUMMYFUNCTION("SPLIT(E893,""01234567890"")"),"Keith
")</f>
        <v>Keith
</v>
      </c>
      <c r="V893" s="24" t="str">
        <f>IFERROR(__xludf.DUMMYFUNCTION("SPLIT(D893,"","")"),"Toney")</f>
        <v>Toney</v>
      </c>
      <c r="W893" s="25" t="str">
        <f t="shared" si="1"/>
        <v>KEITH
 TONEY</v>
      </c>
      <c r="X893" s="40"/>
      <c r="Y893" s="40"/>
      <c r="Z893" s="25" t="str">
        <f>IFERROR(__xludf.DUMMYFUNCTION("SPLIT(C893,""
"")"),"Toney, Keith")</f>
        <v>Toney, Keith</v>
      </c>
      <c r="AA893" s="40" t="str">
        <f>IFERROR(__xludf.DUMMYFUNCTION("""COMPUTED_VALUE"""),"4619 Wedgecrest Dr")</f>
        <v>4619 Wedgecrest Dr</v>
      </c>
      <c r="AB893" s="40" t="str">
        <f>IFERROR(__xludf.DUMMYFUNCTION("""COMPUTED_VALUE"""),"Dallas, TX 75232")</f>
        <v>Dallas, TX 75232</v>
      </c>
      <c r="AC893" s="31" t="s">
        <v>2189</v>
      </c>
      <c r="AD893" s="40"/>
      <c r="AE893" s="40"/>
      <c r="AF893" s="40"/>
      <c r="AG893" s="40" t="s">
        <v>60</v>
      </c>
      <c r="AH893" s="42">
        <v>2481.0</v>
      </c>
      <c r="AI893" s="40" t="s">
        <v>68</v>
      </c>
      <c r="AJ893" s="27">
        <v>250.0</v>
      </c>
      <c r="AK893" s="31" t="s">
        <v>25</v>
      </c>
      <c r="AL893" s="43">
        <v>44833.0</v>
      </c>
      <c r="AM893" s="44">
        <v>44937.81995370371</v>
      </c>
      <c r="AN893" s="30">
        <v>2.0</v>
      </c>
      <c r="AO893" s="40"/>
      <c r="AP893" s="40"/>
      <c r="AQ893" s="40"/>
      <c r="AR893" s="40"/>
      <c r="AS893" s="40"/>
      <c r="AT893" s="47"/>
      <c r="AU893" s="40"/>
      <c r="AV893" s="46" t="str">
        <f>IFERROR(__xludf.DUMMYFUNCTION("""COMPUTED_VALUE"""),"Schorman")</f>
        <v>Schorman</v>
      </c>
      <c r="AW893" s="46">
        <f t="shared" si="7"/>
        <v>250</v>
      </c>
      <c r="AX893" s="47">
        <f t="shared" ref="AX893:BQ893" si="2790">SUMIFS($AJ:$AJ,$V:$V,$AV893,$AK:$AK,AX$2)</f>
        <v>250</v>
      </c>
      <c r="AY893" s="48">
        <f t="shared" si="2790"/>
        <v>0</v>
      </c>
      <c r="AZ893" s="48">
        <f t="shared" si="2790"/>
        <v>0</v>
      </c>
      <c r="BA893" s="48">
        <f t="shared" si="2790"/>
        <v>0</v>
      </c>
      <c r="BB893" s="48">
        <f t="shared" si="2790"/>
        <v>0</v>
      </c>
      <c r="BC893" s="48">
        <f t="shared" si="2790"/>
        <v>0</v>
      </c>
      <c r="BD893" s="48">
        <f t="shared" si="2790"/>
        <v>0</v>
      </c>
      <c r="BE893" s="48">
        <f t="shared" si="2790"/>
        <v>0</v>
      </c>
      <c r="BF893" s="48">
        <f t="shared" si="2790"/>
        <v>0</v>
      </c>
      <c r="BG893" s="48">
        <f t="shared" si="2790"/>
        <v>0</v>
      </c>
      <c r="BH893" s="48">
        <f t="shared" si="2790"/>
        <v>0</v>
      </c>
      <c r="BI893" s="48">
        <f t="shared" si="2790"/>
        <v>0</v>
      </c>
      <c r="BJ893" s="48">
        <f t="shared" si="2790"/>
        <v>0</v>
      </c>
      <c r="BK893" s="48">
        <f t="shared" si="2790"/>
        <v>0</v>
      </c>
      <c r="BL893" s="48">
        <f t="shared" si="2790"/>
        <v>0</v>
      </c>
      <c r="BM893" s="48">
        <f t="shared" si="2790"/>
        <v>0</v>
      </c>
      <c r="BN893" s="48">
        <f t="shared" si="2790"/>
        <v>0</v>
      </c>
      <c r="BO893" s="48">
        <f t="shared" si="2790"/>
        <v>0</v>
      </c>
      <c r="BP893" s="48">
        <f t="shared" si="2790"/>
        <v>0</v>
      </c>
      <c r="BQ893" s="48">
        <f t="shared" si="2790"/>
        <v>0</v>
      </c>
      <c r="BR893" s="36">
        <f t="shared" si="9"/>
        <v>0</v>
      </c>
      <c r="BS893" s="38">
        <f t="shared" si="10"/>
        <v>1</v>
      </c>
      <c r="BT893" s="49">
        <f t="shared" si="11"/>
        <v>0</v>
      </c>
      <c r="BU893" s="38">
        <f t="shared" si="12"/>
        <v>1000</v>
      </c>
      <c r="BV893" s="46" t="str">
        <f>IFERROR(__xludf.DUMMYFUNCTION("""COMPUTED_VALUE"""),"Schorman")</f>
        <v>Schorman</v>
      </c>
      <c r="BW893" s="46">
        <f t="shared" si="13"/>
        <v>250</v>
      </c>
      <c r="BX893" s="47">
        <f t="shared" ref="BX893:CA893" si="2791">AX893-$BU893</f>
        <v>-750</v>
      </c>
      <c r="BY893" s="47">
        <f t="shared" si="2791"/>
        <v>-1000</v>
      </c>
      <c r="BZ893" s="47">
        <f t="shared" si="2791"/>
        <v>-1000</v>
      </c>
      <c r="CA893" s="47">
        <f t="shared" si="2791"/>
        <v>-1000</v>
      </c>
      <c r="CB893" s="47">
        <f t="shared" si="15"/>
        <v>-10000</v>
      </c>
      <c r="CC893" s="47">
        <f t="shared" ref="CC893:CQ893" si="2792">BC893-$BU893</f>
        <v>-1000</v>
      </c>
      <c r="CD893" s="47">
        <f t="shared" si="2792"/>
        <v>-1000</v>
      </c>
      <c r="CE893" s="47">
        <f t="shared" si="2792"/>
        <v>-1000</v>
      </c>
      <c r="CF893" s="47">
        <f t="shared" si="2792"/>
        <v>-1000</v>
      </c>
      <c r="CG893" s="47">
        <f t="shared" si="2792"/>
        <v>-1000</v>
      </c>
      <c r="CH893" s="47">
        <f t="shared" si="2792"/>
        <v>-1000</v>
      </c>
      <c r="CI893" s="47">
        <f t="shared" si="2792"/>
        <v>-1000</v>
      </c>
      <c r="CJ893" s="47">
        <f t="shared" si="2792"/>
        <v>-1000</v>
      </c>
      <c r="CK893" s="47">
        <f t="shared" si="2792"/>
        <v>-1000</v>
      </c>
      <c r="CL893" s="47">
        <f t="shared" si="2792"/>
        <v>-1000</v>
      </c>
      <c r="CM893" s="47">
        <f t="shared" si="2792"/>
        <v>-1000</v>
      </c>
      <c r="CN893" s="47">
        <f t="shared" si="2792"/>
        <v>-1000</v>
      </c>
      <c r="CO893" s="47">
        <f t="shared" si="2792"/>
        <v>-1000</v>
      </c>
      <c r="CP893" s="47">
        <f t="shared" si="2792"/>
        <v>-1000</v>
      </c>
      <c r="CQ893" s="47">
        <f t="shared" si="2792"/>
        <v>-1000</v>
      </c>
      <c r="CR893" s="47"/>
      <c r="CS893" s="47"/>
      <c r="CT893" s="47"/>
      <c r="CU893" s="74"/>
      <c r="CV893" s="74"/>
      <c r="CW893" s="74" t="str">
        <f>IFERROR(__xludf.DUMMYFUNCTION("IF(REGEXMATCH(UPPER(CU893), ""DALLAS""),,CU893)"),"")</f>
        <v/>
      </c>
      <c r="CX893" s="74"/>
      <c r="CY893" s="74"/>
      <c r="CZ893" s="74"/>
      <c r="DA893" s="75"/>
      <c r="DB893" s="74"/>
      <c r="DC893" s="74"/>
      <c r="DD893" s="74"/>
      <c r="DE893" s="74"/>
      <c r="DF893" s="74"/>
      <c r="DG893" s="74"/>
      <c r="DH893" s="74"/>
      <c r="DI893" s="74"/>
      <c r="DJ893" s="74"/>
      <c r="DK893" s="74"/>
      <c r="DL893" s="74"/>
      <c r="DM893" s="74"/>
      <c r="DN893" s="74"/>
      <c r="DO893" s="74"/>
      <c r="DP893" s="74"/>
      <c r="DQ893" s="74"/>
      <c r="DR893" s="74"/>
      <c r="DS893" s="74"/>
      <c r="DT893" s="74"/>
      <c r="DU893" s="74"/>
      <c r="DV893" s="74"/>
      <c r="DW893" s="74"/>
    </row>
    <row r="894">
      <c r="A894" s="22" t="s">
        <v>55</v>
      </c>
      <c r="B894" s="23" t="s">
        <v>56</v>
      </c>
      <c r="C894" s="31" t="s">
        <v>189</v>
      </c>
      <c r="D894" s="25" t="str">
        <f>IFERROR(__xludf.DUMMYFUNCTION("SPLIT(C894,"" "")"),"Anderson,")</f>
        <v>Anderson,</v>
      </c>
      <c r="E894" s="22" t="str">
        <f>IFERROR(__xludf.DUMMYFUNCTION("""COMPUTED_VALUE"""),"Terri
657")</f>
        <v>Terri
657</v>
      </c>
      <c r="F894" s="22" t="str">
        <f>IFERROR(__xludf.DUMMYFUNCTION("""COMPUTED_VALUE"""),"Knights")</f>
        <v>Knights</v>
      </c>
      <c r="G894" s="22" t="str">
        <f>IFERROR(__xludf.DUMMYFUNCTION("""COMPUTED_VALUE"""),"Way
Coppell,")</f>
        <v>Way
Coppell,</v>
      </c>
      <c r="H894" s="22" t="str">
        <f>IFERROR(__xludf.DUMMYFUNCTION("""COMPUTED_VALUE"""),"TX")</f>
        <v>TX</v>
      </c>
      <c r="I894" s="22">
        <f>IFERROR(__xludf.DUMMYFUNCTION("""COMPUTED_VALUE"""),75019.0)</f>
        <v>75019</v>
      </c>
      <c r="J894" s="22"/>
      <c r="K894" s="22"/>
      <c r="L894" s="22"/>
      <c r="M894" s="22"/>
      <c r="N894" s="22"/>
      <c r="O894" s="22"/>
      <c r="P894" s="22"/>
      <c r="Q894" s="22"/>
      <c r="R894" s="22"/>
      <c r="S894" s="22"/>
      <c r="T894" s="22"/>
      <c r="U894" s="24" t="str">
        <f>IFERROR(__xludf.DUMMYFUNCTION("SPLIT(E894,""01234567890"")"),"Terri
")</f>
        <v>Terri
</v>
      </c>
      <c r="V894" s="24" t="str">
        <f>IFERROR(__xludf.DUMMYFUNCTION("SPLIT(D894,"","")"),"Anderson")</f>
        <v>Anderson</v>
      </c>
      <c r="W894" s="25" t="str">
        <f t="shared" si="1"/>
        <v>TERRI
 ANDERSON</v>
      </c>
      <c r="X894" s="22"/>
      <c r="Y894" s="22"/>
      <c r="Z894" s="25" t="str">
        <f>IFERROR(__xludf.DUMMYFUNCTION("SPLIT(C894,""
"")"),"Anderson, Terri")</f>
        <v>Anderson, Terri</v>
      </c>
      <c r="AA894" s="22" t="str">
        <f>IFERROR(__xludf.DUMMYFUNCTION("""COMPUTED_VALUE"""),"657 Knights Way")</f>
        <v>657 Knights Way</v>
      </c>
      <c r="AB894" s="22" t="str">
        <f>IFERROR(__xludf.DUMMYFUNCTION("""COMPUTED_VALUE"""),"Coppell, TX 75019")</f>
        <v>Coppell, TX 75019</v>
      </c>
      <c r="AC894" s="31" t="s">
        <v>191</v>
      </c>
      <c r="AD894" s="22"/>
      <c r="AE894" s="22"/>
      <c r="AF894" s="22"/>
      <c r="AG894" s="22" t="s">
        <v>60</v>
      </c>
      <c r="AH894" s="54">
        <v>2481.0</v>
      </c>
      <c r="AI894" s="22" t="s">
        <v>68</v>
      </c>
      <c r="AJ894" s="27">
        <v>500.0</v>
      </c>
      <c r="AK894" s="31" t="s">
        <v>25</v>
      </c>
      <c r="AL894" s="28">
        <v>44833.0</v>
      </c>
      <c r="AM894" s="29">
        <v>44937.81995370371</v>
      </c>
      <c r="AN894" s="30">
        <v>2.0</v>
      </c>
      <c r="AO894" s="22"/>
      <c r="AP894" s="22"/>
      <c r="AQ894" s="22"/>
      <c r="AR894" s="22"/>
      <c r="AS894" s="22"/>
      <c r="AT894" s="70"/>
      <c r="AU894" s="22"/>
      <c r="AV894" s="57" t="str">
        <f>IFERROR(__xludf.DUMMYFUNCTION("""COMPUTED_VALUE"""),"Pirkey")</f>
        <v>Pirkey</v>
      </c>
      <c r="AW894" s="46">
        <f t="shared" si="7"/>
        <v>1000</v>
      </c>
      <c r="AX894" s="47">
        <f t="shared" ref="AX894:BQ894" si="2793">SUMIFS($AJ:$AJ,$V:$V,$AV894,$AK:$AK,AX$2)</f>
        <v>1000</v>
      </c>
      <c r="AY894" s="48">
        <f t="shared" si="2793"/>
        <v>0</v>
      </c>
      <c r="AZ894" s="48">
        <f t="shared" si="2793"/>
        <v>0</v>
      </c>
      <c r="BA894" s="48">
        <f t="shared" si="2793"/>
        <v>0</v>
      </c>
      <c r="BB894" s="48">
        <f t="shared" si="2793"/>
        <v>0</v>
      </c>
      <c r="BC894" s="48">
        <f t="shared" si="2793"/>
        <v>0</v>
      </c>
      <c r="BD894" s="48">
        <f t="shared" si="2793"/>
        <v>0</v>
      </c>
      <c r="BE894" s="48">
        <f t="shared" si="2793"/>
        <v>0</v>
      </c>
      <c r="BF894" s="48">
        <f t="shared" si="2793"/>
        <v>0</v>
      </c>
      <c r="BG894" s="48">
        <f t="shared" si="2793"/>
        <v>0</v>
      </c>
      <c r="BH894" s="48">
        <f t="shared" si="2793"/>
        <v>0</v>
      </c>
      <c r="BI894" s="48">
        <f t="shared" si="2793"/>
        <v>0</v>
      </c>
      <c r="BJ894" s="48">
        <f t="shared" si="2793"/>
        <v>0</v>
      </c>
      <c r="BK894" s="48">
        <f t="shared" si="2793"/>
        <v>0</v>
      </c>
      <c r="BL894" s="48">
        <f t="shared" si="2793"/>
        <v>0</v>
      </c>
      <c r="BM894" s="48">
        <f t="shared" si="2793"/>
        <v>0</v>
      </c>
      <c r="BN894" s="48">
        <f t="shared" si="2793"/>
        <v>0</v>
      </c>
      <c r="BO894" s="48">
        <f t="shared" si="2793"/>
        <v>0</v>
      </c>
      <c r="BP894" s="48">
        <f t="shared" si="2793"/>
        <v>0</v>
      </c>
      <c r="BQ894" s="48">
        <f t="shared" si="2793"/>
        <v>0</v>
      </c>
      <c r="BR894" s="36">
        <f t="shared" si="9"/>
        <v>0</v>
      </c>
      <c r="BS894" s="38">
        <f t="shared" si="10"/>
        <v>1</v>
      </c>
      <c r="BT894" s="49">
        <f t="shared" si="11"/>
        <v>0</v>
      </c>
      <c r="BU894" s="38">
        <f t="shared" si="12"/>
        <v>1000</v>
      </c>
      <c r="BV894" s="57" t="str">
        <f>IFERROR(__xludf.DUMMYFUNCTION("""COMPUTED_VALUE"""),"Pirkey")</f>
        <v>Pirkey</v>
      </c>
      <c r="BW894" s="46">
        <f t="shared" si="13"/>
        <v>1000</v>
      </c>
      <c r="BX894" s="47">
        <f t="shared" ref="BX894:CA894" si="2794">AX894-$BU894</f>
        <v>0</v>
      </c>
      <c r="BY894" s="47">
        <f t="shared" si="2794"/>
        <v>-1000</v>
      </c>
      <c r="BZ894" s="47">
        <f t="shared" si="2794"/>
        <v>-1000</v>
      </c>
      <c r="CA894" s="47">
        <f t="shared" si="2794"/>
        <v>-1000</v>
      </c>
      <c r="CB894" s="47">
        <f t="shared" si="15"/>
        <v>-10000</v>
      </c>
      <c r="CC894" s="47">
        <f t="shared" ref="CC894:CQ894" si="2795">BC894-$BU894</f>
        <v>-1000</v>
      </c>
      <c r="CD894" s="47">
        <f t="shared" si="2795"/>
        <v>-1000</v>
      </c>
      <c r="CE894" s="47">
        <f t="shared" si="2795"/>
        <v>-1000</v>
      </c>
      <c r="CF894" s="47">
        <f t="shared" si="2795"/>
        <v>-1000</v>
      </c>
      <c r="CG894" s="47">
        <f t="shared" si="2795"/>
        <v>-1000</v>
      </c>
      <c r="CH894" s="47">
        <f t="shared" si="2795"/>
        <v>-1000</v>
      </c>
      <c r="CI894" s="47">
        <f t="shared" si="2795"/>
        <v>-1000</v>
      </c>
      <c r="CJ894" s="47">
        <f t="shared" si="2795"/>
        <v>-1000</v>
      </c>
      <c r="CK894" s="47">
        <f t="shared" si="2795"/>
        <v>-1000</v>
      </c>
      <c r="CL894" s="47">
        <f t="shared" si="2795"/>
        <v>-1000</v>
      </c>
      <c r="CM894" s="47">
        <f t="shared" si="2795"/>
        <v>-1000</v>
      </c>
      <c r="CN894" s="47">
        <f t="shared" si="2795"/>
        <v>-1000</v>
      </c>
      <c r="CO894" s="47">
        <f t="shared" si="2795"/>
        <v>-1000</v>
      </c>
      <c r="CP894" s="47">
        <f t="shared" si="2795"/>
        <v>-1000</v>
      </c>
      <c r="CQ894" s="47">
        <f t="shared" si="2795"/>
        <v>-1000</v>
      </c>
      <c r="CR894" s="47"/>
      <c r="CS894" s="47"/>
      <c r="CT894" s="47"/>
      <c r="CU894" s="74"/>
      <c r="CV894" s="74"/>
      <c r="CW894" s="74" t="str">
        <f>IFERROR(__xludf.DUMMYFUNCTION("IF(REGEXMATCH(UPPER(CU894), ""DALLAS""),,CU894)"),"")</f>
        <v/>
      </c>
      <c r="CX894" s="74"/>
      <c r="CY894" s="74"/>
      <c r="CZ894" s="74"/>
      <c r="DA894" s="75"/>
      <c r="DB894" s="74"/>
      <c r="DC894" s="74"/>
      <c r="DD894" s="74"/>
      <c r="DE894" s="74"/>
      <c r="DF894" s="74"/>
      <c r="DG894" s="74"/>
      <c r="DH894" s="74"/>
      <c r="DI894" s="74"/>
      <c r="DJ894" s="74"/>
      <c r="DK894" s="74"/>
      <c r="DL894" s="74"/>
      <c r="DM894" s="74"/>
      <c r="DN894" s="74"/>
      <c r="DO894" s="74"/>
      <c r="DP894" s="74"/>
      <c r="DQ894" s="74"/>
      <c r="DR894" s="74"/>
      <c r="DS894" s="74"/>
      <c r="DT894" s="74"/>
      <c r="DU894" s="74"/>
      <c r="DV894" s="74"/>
      <c r="DW894" s="74"/>
    </row>
    <row r="895">
      <c r="A895" s="40" t="s">
        <v>55</v>
      </c>
      <c r="B895" s="41" t="s">
        <v>56</v>
      </c>
      <c r="C895" s="31" t="s">
        <v>2190</v>
      </c>
      <c r="D895" s="25" t="str">
        <f>IFERROR(__xludf.DUMMYFUNCTION("SPLIT(C895,"" "")"),"Starling,")</f>
        <v>Starling,</v>
      </c>
      <c r="E895" s="40" t="str">
        <f>IFERROR(__xludf.DUMMYFUNCTION("""COMPUTED_VALUE"""),"Christina
8501")</f>
        <v>Christina
8501</v>
      </c>
      <c r="F895" s="40" t="str">
        <f>IFERROR(__xludf.DUMMYFUNCTION("""COMPUTED_VALUE"""),"Old")</f>
        <v>Old</v>
      </c>
      <c r="G895" s="40" t="str">
        <f>IFERROR(__xludf.DUMMYFUNCTION("""COMPUTED_VALUE"""),"Hickory")</f>
        <v>Hickory</v>
      </c>
      <c r="H895" s="40" t="str">
        <f>IFERROR(__xludf.DUMMYFUNCTION("""COMPUTED_VALUE"""),"Trail
Dallas,")</f>
        <v>Trail
Dallas,</v>
      </c>
      <c r="I895" s="40" t="str">
        <f>IFERROR(__xludf.DUMMYFUNCTION("""COMPUTED_VALUE"""),"TX")</f>
        <v>TX</v>
      </c>
      <c r="J895" s="40">
        <f>IFERROR(__xludf.DUMMYFUNCTION("""COMPUTED_VALUE"""),75237.0)</f>
        <v>75237</v>
      </c>
      <c r="K895" s="40"/>
      <c r="L895" s="40"/>
      <c r="M895" s="40"/>
      <c r="N895" s="40"/>
      <c r="O895" s="40"/>
      <c r="P895" s="40"/>
      <c r="Q895" s="40"/>
      <c r="R895" s="40"/>
      <c r="S895" s="40"/>
      <c r="T895" s="40"/>
      <c r="U895" s="24" t="str">
        <f>IFERROR(__xludf.DUMMYFUNCTION("SPLIT(E895,""01234567890"")"),"Christina
")</f>
        <v>Christina
</v>
      </c>
      <c r="V895" s="24" t="str">
        <f>IFERROR(__xludf.DUMMYFUNCTION("SPLIT(D895,"","")"),"Starling")</f>
        <v>Starling</v>
      </c>
      <c r="W895" s="25" t="str">
        <f t="shared" si="1"/>
        <v>CHRISTINA
 STARLING</v>
      </c>
      <c r="X895" s="40"/>
      <c r="Y895" s="40"/>
      <c r="Z895" s="25" t="str">
        <f>IFERROR(__xludf.DUMMYFUNCTION("SPLIT(C895,""
"")"),"Starling, Christina")</f>
        <v>Starling, Christina</v>
      </c>
      <c r="AA895" s="40" t="str">
        <f>IFERROR(__xludf.DUMMYFUNCTION("""COMPUTED_VALUE"""),"8501 Old Hickory Trail")</f>
        <v>8501 Old Hickory Trail</v>
      </c>
      <c r="AB895" s="40" t="str">
        <f>IFERROR(__xludf.DUMMYFUNCTION("""COMPUTED_VALUE"""),"Dallas, TX 75237")</f>
        <v>Dallas, TX 75237</v>
      </c>
      <c r="AC895" s="31" t="s">
        <v>2191</v>
      </c>
      <c r="AD895" s="40"/>
      <c r="AE895" s="40"/>
      <c r="AF895" s="40"/>
      <c r="AG895" s="40" t="s">
        <v>60</v>
      </c>
      <c r="AH895" s="42">
        <v>2481.0</v>
      </c>
      <c r="AI895" s="40" t="s">
        <v>68</v>
      </c>
      <c r="AJ895" s="27">
        <v>10.0</v>
      </c>
      <c r="AK895" s="31" t="s">
        <v>25</v>
      </c>
      <c r="AL895" s="43">
        <v>44833.0</v>
      </c>
      <c r="AM895" s="44">
        <v>44937.81995370371</v>
      </c>
      <c r="AN895" s="30">
        <v>2.0</v>
      </c>
      <c r="AO895" s="40"/>
      <c r="AP895" s="40"/>
      <c r="AQ895" s="40"/>
      <c r="AR895" s="40"/>
      <c r="AS895" s="40"/>
      <c r="AT895" s="47"/>
      <c r="AU895" s="40"/>
      <c r="AV895" s="46" t="str">
        <f>IFERROR(__xludf.DUMMYFUNCTION("""COMPUTED_VALUE"""),"Beitler")</f>
        <v>Beitler</v>
      </c>
      <c r="AW895" s="46">
        <f t="shared" si="7"/>
        <v>100</v>
      </c>
      <c r="AX895" s="47">
        <f t="shared" ref="AX895:BQ895" si="2796">SUMIFS($AJ:$AJ,$V:$V,$AV895,$AK:$AK,AX$2)</f>
        <v>100</v>
      </c>
      <c r="AY895" s="48">
        <f t="shared" si="2796"/>
        <v>0</v>
      </c>
      <c r="AZ895" s="48">
        <f t="shared" si="2796"/>
        <v>0</v>
      </c>
      <c r="BA895" s="48">
        <f t="shared" si="2796"/>
        <v>0</v>
      </c>
      <c r="BB895" s="48">
        <f t="shared" si="2796"/>
        <v>0</v>
      </c>
      <c r="BC895" s="48">
        <f t="shared" si="2796"/>
        <v>0</v>
      </c>
      <c r="BD895" s="48">
        <f t="shared" si="2796"/>
        <v>0</v>
      </c>
      <c r="BE895" s="48">
        <f t="shared" si="2796"/>
        <v>0</v>
      </c>
      <c r="BF895" s="48">
        <f t="shared" si="2796"/>
        <v>0</v>
      </c>
      <c r="BG895" s="48">
        <f t="shared" si="2796"/>
        <v>0</v>
      </c>
      <c r="BH895" s="48">
        <f t="shared" si="2796"/>
        <v>0</v>
      </c>
      <c r="BI895" s="48">
        <f t="shared" si="2796"/>
        <v>0</v>
      </c>
      <c r="BJ895" s="48">
        <f t="shared" si="2796"/>
        <v>0</v>
      </c>
      <c r="BK895" s="48">
        <f t="shared" si="2796"/>
        <v>0</v>
      </c>
      <c r="BL895" s="48">
        <f t="shared" si="2796"/>
        <v>0</v>
      </c>
      <c r="BM895" s="48">
        <f t="shared" si="2796"/>
        <v>0</v>
      </c>
      <c r="BN895" s="48">
        <f t="shared" si="2796"/>
        <v>0</v>
      </c>
      <c r="BO895" s="48">
        <f t="shared" si="2796"/>
        <v>0</v>
      </c>
      <c r="BP895" s="48">
        <f t="shared" si="2796"/>
        <v>0</v>
      </c>
      <c r="BQ895" s="48">
        <f t="shared" si="2796"/>
        <v>0</v>
      </c>
      <c r="BR895" s="36">
        <f t="shared" si="9"/>
        <v>0</v>
      </c>
      <c r="BS895" s="38">
        <f t="shared" si="10"/>
        <v>1</v>
      </c>
      <c r="BT895" s="49">
        <f t="shared" si="11"/>
        <v>0</v>
      </c>
      <c r="BU895" s="38">
        <f t="shared" si="12"/>
        <v>1000</v>
      </c>
      <c r="BV895" s="46" t="str">
        <f>IFERROR(__xludf.DUMMYFUNCTION("""COMPUTED_VALUE"""),"Beitler")</f>
        <v>Beitler</v>
      </c>
      <c r="BW895" s="46">
        <f t="shared" si="13"/>
        <v>100</v>
      </c>
      <c r="BX895" s="47">
        <f t="shared" ref="BX895:CA895" si="2797">AX895-$BU895</f>
        <v>-900</v>
      </c>
      <c r="BY895" s="47">
        <f t="shared" si="2797"/>
        <v>-1000</v>
      </c>
      <c r="BZ895" s="47">
        <f t="shared" si="2797"/>
        <v>-1000</v>
      </c>
      <c r="CA895" s="47">
        <f t="shared" si="2797"/>
        <v>-1000</v>
      </c>
      <c r="CB895" s="47">
        <f t="shared" si="15"/>
        <v>-10000</v>
      </c>
      <c r="CC895" s="47">
        <f t="shared" ref="CC895:CQ895" si="2798">BC895-$BU895</f>
        <v>-1000</v>
      </c>
      <c r="CD895" s="47">
        <f t="shared" si="2798"/>
        <v>-1000</v>
      </c>
      <c r="CE895" s="47">
        <f t="shared" si="2798"/>
        <v>-1000</v>
      </c>
      <c r="CF895" s="47">
        <f t="shared" si="2798"/>
        <v>-1000</v>
      </c>
      <c r="CG895" s="47">
        <f t="shared" si="2798"/>
        <v>-1000</v>
      </c>
      <c r="CH895" s="47">
        <f t="shared" si="2798"/>
        <v>-1000</v>
      </c>
      <c r="CI895" s="47">
        <f t="shared" si="2798"/>
        <v>-1000</v>
      </c>
      <c r="CJ895" s="47">
        <f t="shared" si="2798"/>
        <v>-1000</v>
      </c>
      <c r="CK895" s="47">
        <f t="shared" si="2798"/>
        <v>-1000</v>
      </c>
      <c r="CL895" s="47">
        <f t="shared" si="2798"/>
        <v>-1000</v>
      </c>
      <c r="CM895" s="47">
        <f t="shared" si="2798"/>
        <v>-1000</v>
      </c>
      <c r="CN895" s="47">
        <f t="shared" si="2798"/>
        <v>-1000</v>
      </c>
      <c r="CO895" s="47">
        <f t="shared" si="2798"/>
        <v>-1000</v>
      </c>
      <c r="CP895" s="47">
        <f t="shared" si="2798"/>
        <v>-1000</v>
      </c>
      <c r="CQ895" s="47">
        <f t="shared" si="2798"/>
        <v>-1000</v>
      </c>
      <c r="CR895" s="47"/>
      <c r="CS895" s="47"/>
      <c r="CT895" s="47"/>
      <c r="CU895" s="74"/>
      <c r="CV895" s="74"/>
      <c r="CW895" s="74" t="str">
        <f>IFERROR(__xludf.DUMMYFUNCTION("IF(REGEXMATCH(UPPER(CU895), ""DALLAS""),,CU895)"),"")</f>
        <v/>
      </c>
      <c r="CX895" s="74"/>
      <c r="CY895" s="74"/>
      <c r="CZ895" s="74"/>
      <c r="DA895" s="75"/>
      <c r="DB895" s="74"/>
      <c r="DC895" s="74"/>
      <c r="DD895" s="74"/>
      <c r="DE895" s="74"/>
      <c r="DF895" s="74"/>
      <c r="DG895" s="74"/>
      <c r="DH895" s="74"/>
      <c r="DI895" s="74"/>
      <c r="DJ895" s="74"/>
      <c r="DK895" s="74"/>
      <c r="DL895" s="74"/>
      <c r="DM895" s="74"/>
      <c r="DN895" s="74"/>
      <c r="DO895" s="74"/>
      <c r="DP895" s="74"/>
      <c r="DQ895" s="74"/>
      <c r="DR895" s="74"/>
      <c r="DS895" s="74"/>
      <c r="DT895" s="74"/>
      <c r="DU895" s="74"/>
      <c r="DV895" s="74"/>
      <c r="DW895" s="74"/>
    </row>
    <row r="896">
      <c r="A896" s="22" t="s">
        <v>55</v>
      </c>
      <c r="B896" s="23" t="s">
        <v>56</v>
      </c>
      <c r="C896" s="31" t="s">
        <v>958</v>
      </c>
      <c r="D896" s="25" t="str">
        <f>IFERROR(__xludf.DUMMYFUNCTION("SPLIT(C896,"" "")"),"Childress,")</f>
        <v>Childress,</v>
      </c>
      <c r="E896" s="22" t="str">
        <f>IFERROR(__xludf.DUMMYFUNCTION("""COMPUTED_VALUE"""),"Anita
8366")</f>
        <v>Anita
8366</v>
      </c>
      <c r="F896" s="22" t="str">
        <f>IFERROR(__xludf.DUMMYFUNCTION("""COMPUTED_VALUE"""),"Santa")</f>
        <v>Santa</v>
      </c>
      <c r="G896" s="22" t="str">
        <f>IFERROR(__xludf.DUMMYFUNCTION("""COMPUTED_VALUE"""),"Clara")</f>
        <v>Clara</v>
      </c>
      <c r="H896" s="22" t="str">
        <f>IFERROR(__xludf.DUMMYFUNCTION("""COMPUTED_VALUE"""),"Dr
Dallas,")</f>
        <v>Dr
Dallas,</v>
      </c>
      <c r="I896" s="22" t="str">
        <f>IFERROR(__xludf.DUMMYFUNCTION("""COMPUTED_VALUE"""),"TX")</f>
        <v>TX</v>
      </c>
      <c r="J896" s="22">
        <f>IFERROR(__xludf.DUMMYFUNCTION("""COMPUTED_VALUE"""),75218.0)</f>
        <v>75218</v>
      </c>
      <c r="K896" s="22"/>
      <c r="L896" s="22"/>
      <c r="M896" s="22"/>
      <c r="N896" s="22"/>
      <c r="O896" s="22"/>
      <c r="P896" s="22"/>
      <c r="Q896" s="22"/>
      <c r="R896" s="22"/>
      <c r="S896" s="22"/>
      <c r="T896" s="22"/>
      <c r="U896" s="24" t="str">
        <f>IFERROR(__xludf.DUMMYFUNCTION("SPLIT(E896,""01234567890"")"),"Anita
")</f>
        <v>Anita
</v>
      </c>
      <c r="V896" s="24" t="str">
        <f>IFERROR(__xludf.DUMMYFUNCTION("SPLIT(D896,"","")"),"Childress")</f>
        <v>Childress</v>
      </c>
      <c r="W896" s="25" t="str">
        <f t="shared" si="1"/>
        <v>ANITA
 CHILDRESS</v>
      </c>
      <c r="X896" s="22"/>
      <c r="Y896" s="22"/>
      <c r="Z896" s="25" t="str">
        <f>IFERROR(__xludf.DUMMYFUNCTION("SPLIT(C896,""
"")"),"Childress, Anita")</f>
        <v>Childress, Anita</v>
      </c>
      <c r="AA896" s="22" t="str">
        <f>IFERROR(__xludf.DUMMYFUNCTION("""COMPUTED_VALUE"""),"8366 Santa Clara Dr")</f>
        <v>8366 Santa Clara Dr</v>
      </c>
      <c r="AB896" s="22" t="str">
        <f>IFERROR(__xludf.DUMMYFUNCTION("""COMPUTED_VALUE"""),"Dallas, TX 75218")</f>
        <v>Dallas, TX 75218</v>
      </c>
      <c r="AC896" s="31" t="s">
        <v>960</v>
      </c>
      <c r="AD896" s="22"/>
      <c r="AE896" s="22"/>
      <c r="AF896" s="22"/>
      <c r="AG896" s="22" t="s">
        <v>60</v>
      </c>
      <c r="AH896" s="54">
        <v>2481.0</v>
      </c>
      <c r="AI896" s="22" t="s">
        <v>68</v>
      </c>
      <c r="AJ896" s="27">
        <v>250.0</v>
      </c>
      <c r="AK896" s="31" t="s">
        <v>25</v>
      </c>
      <c r="AL896" s="28">
        <v>44833.0</v>
      </c>
      <c r="AM896" s="29">
        <v>44937.81995370371</v>
      </c>
      <c r="AN896" s="30">
        <v>2.0</v>
      </c>
      <c r="AO896" s="22"/>
      <c r="AP896" s="22"/>
      <c r="AQ896" s="22"/>
      <c r="AR896" s="22"/>
      <c r="AS896" s="22"/>
      <c r="AT896" s="70"/>
      <c r="AU896" s="22"/>
      <c r="AV896" s="57" t="str">
        <f>IFERROR(__xludf.DUMMYFUNCTION("""COMPUTED_VALUE"""),"Camarillo")</f>
        <v>Camarillo</v>
      </c>
      <c r="AW896" s="46">
        <f t="shared" si="7"/>
        <v>500</v>
      </c>
      <c r="AX896" s="47">
        <f t="shared" ref="AX896:BQ896" si="2799">SUMIFS($AJ:$AJ,$V:$V,$AV896,$AK:$AK,AX$2)</f>
        <v>500</v>
      </c>
      <c r="AY896" s="48">
        <f t="shared" si="2799"/>
        <v>0</v>
      </c>
      <c r="AZ896" s="48">
        <f t="shared" si="2799"/>
        <v>0</v>
      </c>
      <c r="BA896" s="48">
        <f t="shared" si="2799"/>
        <v>0</v>
      </c>
      <c r="BB896" s="48">
        <f t="shared" si="2799"/>
        <v>0</v>
      </c>
      <c r="BC896" s="48">
        <f t="shared" si="2799"/>
        <v>0</v>
      </c>
      <c r="BD896" s="48">
        <f t="shared" si="2799"/>
        <v>0</v>
      </c>
      <c r="BE896" s="48">
        <f t="shared" si="2799"/>
        <v>0</v>
      </c>
      <c r="BF896" s="48">
        <f t="shared" si="2799"/>
        <v>0</v>
      </c>
      <c r="BG896" s="48">
        <f t="shared" si="2799"/>
        <v>0</v>
      </c>
      <c r="BH896" s="48">
        <f t="shared" si="2799"/>
        <v>0</v>
      </c>
      <c r="BI896" s="48">
        <f t="shared" si="2799"/>
        <v>0</v>
      </c>
      <c r="BJ896" s="48">
        <f t="shared" si="2799"/>
        <v>0</v>
      </c>
      <c r="BK896" s="48">
        <f t="shared" si="2799"/>
        <v>0</v>
      </c>
      <c r="BL896" s="48">
        <f t="shared" si="2799"/>
        <v>0</v>
      </c>
      <c r="BM896" s="48">
        <f t="shared" si="2799"/>
        <v>0</v>
      </c>
      <c r="BN896" s="48">
        <f t="shared" si="2799"/>
        <v>0</v>
      </c>
      <c r="BO896" s="48">
        <f t="shared" si="2799"/>
        <v>0</v>
      </c>
      <c r="BP896" s="48">
        <f t="shared" si="2799"/>
        <v>0</v>
      </c>
      <c r="BQ896" s="48">
        <f t="shared" si="2799"/>
        <v>0</v>
      </c>
      <c r="BR896" s="36">
        <f t="shared" si="9"/>
        <v>0</v>
      </c>
      <c r="BS896" s="38">
        <f t="shared" si="10"/>
        <v>1</v>
      </c>
      <c r="BT896" s="49">
        <f t="shared" si="11"/>
        <v>0</v>
      </c>
      <c r="BU896" s="38">
        <f t="shared" si="12"/>
        <v>1000</v>
      </c>
      <c r="BV896" s="57" t="str">
        <f>IFERROR(__xludf.DUMMYFUNCTION("""COMPUTED_VALUE"""),"Camarillo")</f>
        <v>Camarillo</v>
      </c>
      <c r="BW896" s="46">
        <f t="shared" si="13"/>
        <v>500</v>
      </c>
      <c r="BX896" s="47">
        <f t="shared" ref="BX896:CA896" si="2800">AX896-$BU896</f>
        <v>-500</v>
      </c>
      <c r="BY896" s="47">
        <f t="shared" si="2800"/>
        <v>-1000</v>
      </c>
      <c r="BZ896" s="47">
        <f t="shared" si="2800"/>
        <v>-1000</v>
      </c>
      <c r="CA896" s="47">
        <f t="shared" si="2800"/>
        <v>-1000</v>
      </c>
      <c r="CB896" s="47">
        <f t="shared" si="15"/>
        <v>-10000</v>
      </c>
      <c r="CC896" s="47">
        <f t="shared" ref="CC896:CQ896" si="2801">BC896-$BU896</f>
        <v>-1000</v>
      </c>
      <c r="CD896" s="47">
        <f t="shared" si="2801"/>
        <v>-1000</v>
      </c>
      <c r="CE896" s="47">
        <f t="shared" si="2801"/>
        <v>-1000</v>
      </c>
      <c r="CF896" s="47">
        <f t="shared" si="2801"/>
        <v>-1000</v>
      </c>
      <c r="CG896" s="47">
        <f t="shared" si="2801"/>
        <v>-1000</v>
      </c>
      <c r="CH896" s="47">
        <f t="shared" si="2801"/>
        <v>-1000</v>
      </c>
      <c r="CI896" s="47">
        <f t="shared" si="2801"/>
        <v>-1000</v>
      </c>
      <c r="CJ896" s="47">
        <f t="shared" si="2801"/>
        <v>-1000</v>
      </c>
      <c r="CK896" s="47">
        <f t="shared" si="2801"/>
        <v>-1000</v>
      </c>
      <c r="CL896" s="47">
        <f t="shared" si="2801"/>
        <v>-1000</v>
      </c>
      <c r="CM896" s="47">
        <f t="shared" si="2801"/>
        <v>-1000</v>
      </c>
      <c r="CN896" s="47">
        <f t="shared" si="2801"/>
        <v>-1000</v>
      </c>
      <c r="CO896" s="47">
        <f t="shared" si="2801"/>
        <v>-1000</v>
      </c>
      <c r="CP896" s="47">
        <f t="shared" si="2801"/>
        <v>-1000</v>
      </c>
      <c r="CQ896" s="47">
        <f t="shared" si="2801"/>
        <v>-1000</v>
      </c>
      <c r="CR896" s="47"/>
      <c r="CS896" s="47"/>
      <c r="CT896" s="47"/>
      <c r="CU896" s="74"/>
      <c r="CV896" s="74"/>
      <c r="CW896" s="74" t="str">
        <f>IFERROR(__xludf.DUMMYFUNCTION("IF(REGEXMATCH(UPPER(CU896), ""DALLAS""),,CU896)"),"")</f>
        <v/>
      </c>
      <c r="CX896" s="74"/>
      <c r="CY896" s="74"/>
      <c r="CZ896" s="74"/>
      <c r="DA896" s="75"/>
      <c r="DB896" s="74"/>
      <c r="DC896" s="74"/>
      <c r="DD896" s="74"/>
      <c r="DE896" s="74"/>
      <c r="DF896" s="74"/>
      <c r="DG896" s="74"/>
      <c r="DH896" s="74"/>
      <c r="DI896" s="74"/>
      <c r="DJ896" s="74"/>
      <c r="DK896" s="74"/>
      <c r="DL896" s="74"/>
      <c r="DM896" s="74"/>
      <c r="DN896" s="74"/>
      <c r="DO896" s="74"/>
      <c r="DP896" s="74"/>
      <c r="DQ896" s="74"/>
      <c r="DR896" s="74"/>
      <c r="DS896" s="74"/>
      <c r="DT896" s="74"/>
      <c r="DU896" s="74"/>
      <c r="DV896" s="74"/>
      <c r="DW896" s="74"/>
    </row>
    <row r="897">
      <c r="A897" s="40" t="s">
        <v>55</v>
      </c>
      <c r="B897" s="41" t="s">
        <v>56</v>
      </c>
      <c r="C897" s="31" t="s">
        <v>2192</v>
      </c>
      <c r="D897" s="25" t="str">
        <f>IFERROR(__xludf.DUMMYFUNCTION("SPLIT(C897,"" "")"),"Kazora,")</f>
        <v>Kazora,</v>
      </c>
      <c r="E897" s="40" t="str">
        <f>IFERROR(__xludf.DUMMYFUNCTION("""COMPUTED_VALUE"""),"Benedict
637")</f>
        <v>Benedict
637</v>
      </c>
      <c r="F897" s="40" t="str">
        <f>IFERROR(__xludf.DUMMYFUNCTION("""COMPUTED_VALUE"""),"Medinah")</f>
        <v>Medinah</v>
      </c>
      <c r="G897" s="40" t="str">
        <f>IFERROR(__xludf.DUMMYFUNCTION("""COMPUTED_VALUE"""),"Rd
Red")</f>
        <v>Rd
Red</v>
      </c>
      <c r="H897" s="40" t="str">
        <f>IFERROR(__xludf.DUMMYFUNCTION("""COMPUTED_VALUE"""),"Oak,")</f>
        <v>Oak,</v>
      </c>
      <c r="I897" s="40" t="str">
        <f>IFERROR(__xludf.DUMMYFUNCTION("""COMPUTED_VALUE"""),"TX")</f>
        <v>TX</v>
      </c>
      <c r="J897" s="40">
        <f>IFERROR(__xludf.DUMMYFUNCTION("""COMPUTED_VALUE"""),75154.0)</f>
        <v>75154</v>
      </c>
      <c r="K897" s="40"/>
      <c r="L897" s="40"/>
      <c r="M897" s="40"/>
      <c r="N897" s="40"/>
      <c r="O897" s="40"/>
      <c r="P897" s="40"/>
      <c r="Q897" s="40"/>
      <c r="R897" s="40"/>
      <c r="S897" s="40"/>
      <c r="T897" s="40"/>
      <c r="U897" s="24" t="str">
        <f>IFERROR(__xludf.DUMMYFUNCTION("SPLIT(E897,""01234567890"")"),"Benedict
")</f>
        <v>Benedict
</v>
      </c>
      <c r="V897" s="24" t="str">
        <f>IFERROR(__xludf.DUMMYFUNCTION("SPLIT(D897,"","")"),"Kazora")</f>
        <v>Kazora</v>
      </c>
      <c r="W897" s="25" t="str">
        <f t="shared" si="1"/>
        <v>BENEDICT
 KAZORA</v>
      </c>
      <c r="X897" s="40"/>
      <c r="Y897" s="40"/>
      <c r="Z897" s="25" t="str">
        <f>IFERROR(__xludf.DUMMYFUNCTION("SPLIT(C897,""
"")"),"Kazora, Benedict")</f>
        <v>Kazora, Benedict</v>
      </c>
      <c r="AA897" s="40" t="str">
        <f>IFERROR(__xludf.DUMMYFUNCTION("""COMPUTED_VALUE"""),"637 Medinah Rd")</f>
        <v>637 Medinah Rd</v>
      </c>
      <c r="AB897" s="40" t="str">
        <f>IFERROR(__xludf.DUMMYFUNCTION("""COMPUTED_VALUE"""),"Red Oak, TX 75154")</f>
        <v>Red Oak, TX 75154</v>
      </c>
      <c r="AC897" s="31" t="s">
        <v>2193</v>
      </c>
      <c r="AD897" s="40"/>
      <c r="AE897" s="40"/>
      <c r="AF897" s="40"/>
      <c r="AG897" s="40" t="s">
        <v>60</v>
      </c>
      <c r="AH897" s="42">
        <v>2481.0</v>
      </c>
      <c r="AI897" s="40" t="s">
        <v>68</v>
      </c>
      <c r="AJ897" s="27">
        <v>1000.0</v>
      </c>
      <c r="AK897" s="31" t="s">
        <v>25</v>
      </c>
      <c r="AL897" s="43">
        <v>44833.0</v>
      </c>
      <c r="AM897" s="44">
        <v>44937.81995370371</v>
      </c>
      <c r="AN897" s="30">
        <v>2.0</v>
      </c>
      <c r="AO897" s="40"/>
      <c r="AP897" s="40"/>
      <c r="AQ897" s="40"/>
      <c r="AR897" s="40"/>
      <c r="AS897" s="40"/>
      <c r="AT897" s="47"/>
      <c r="AU897" s="40"/>
      <c r="AV897" s="46" t="str">
        <f>IFERROR(__xludf.DUMMYFUNCTION("""COMPUTED_VALUE"""),"Dismore")</f>
        <v>Dismore</v>
      </c>
      <c r="AW897" s="46">
        <f t="shared" si="7"/>
        <v>1000</v>
      </c>
      <c r="AX897" s="47">
        <f t="shared" ref="AX897:BQ897" si="2802">SUMIFS($AJ:$AJ,$V:$V,$AV897,$AK:$AK,AX$2)</f>
        <v>1000</v>
      </c>
      <c r="AY897" s="48">
        <f t="shared" si="2802"/>
        <v>0</v>
      </c>
      <c r="AZ897" s="48">
        <f t="shared" si="2802"/>
        <v>0</v>
      </c>
      <c r="BA897" s="48">
        <f t="shared" si="2802"/>
        <v>0</v>
      </c>
      <c r="BB897" s="48">
        <f t="shared" si="2802"/>
        <v>0</v>
      </c>
      <c r="BC897" s="48">
        <f t="shared" si="2802"/>
        <v>0</v>
      </c>
      <c r="BD897" s="48">
        <f t="shared" si="2802"/>
        <v>0</v>
      </c>
      <c r="BE897" s="48">
        <f t="shared" si="2802"/>
        <v>0</v>
      </c>
      <c r="BF897" s="48">
        <f t="shared" si="2802"/>
        <v>0</v>
      </c>
      <c r="BG897" s="48">
        <f t="shared" si="2802"/>
        <v>0</v>
      </c>
      <c r="BH897" s="48">
        <f t="shared" si="2802"/>
        <v>0</v>
      </c>
      <c r="BI897" s="48">
        <f t="shared" si="2802"/>
        <v>0</v>
      </c>
      <c r="BJ897" s="48">
        <f t="shared" si="2802"/>
        <v>0</v>
      </c>
      <c r="BK897" s="48">
        <f t="shared" si="2802"/>
        <v>0</v>
      </c>
      <c r="BL897" s="48">
        <f t="shared" si="2802"/>
        <v>0</v>
      </c>
      <c r="BM897" s="48">
        <f t="shared" si="2802"/>
        <v>0</v>
      </c>
      <c r="BN897" s="48">
        <f t="shared" si="2802"/>
        <v>0</v>
      </c>
      <c r="BO897" s="48">
        <f t="shared" si="2802"/>
        <v>0</v>
      </c>
      <c r="BP897" s="48">
        <f t="shared" si="2802"/>
        <v>0</v>
      </c>
      <c r="BQ897" s="48">
        <f t="shared" si="2802"/>
        <v>0</v>
      </c>
      <c r="BR897" s="36">
        <f t="shared" si="9"/>
        <v>0</v>
      </c>
      <c r="BS897" s="38">
        <f t="shared" si="10"/>
        <v>1</v>
      </c>
      <c r="BT897" s="49">
        <f t="shared" si="11"/>
        <v>0</v>
      </c>
      <c r="BU897" s="38">
        <f t="shared" si="12"/>
        <v>1000</v>
      </c>
      <c r="BV897" s="46" t="str">
        <f>IFERROR(__xludf.DUMMYFUNCTION("""COMPUTED_VALUE"""),"Dismore")</f>
        <v>Dismore</v>
      </c>
      <c r="BW897" s="46">
        <f t="shared" si="13"/>
        <v>1000</v>
      </c>
      <c r="BX897" s="47">
        <f t="shared" ref="BX897:CA897" si="2803">AX897-$BU897</f>
        <v>0</v>
      </c>
      <c r="BY897" s="47">
        <f t="shared" si="2803"/>
        <v>-1000</v>
      </c>
      <c r="BZ897" s="47">
        <f t="shared" si="2803"/>
        <v>-1000</v>
      </c>
      <c r="CA897" s="47">
        <f t="shared" si="2803"/>
        <v>-1000</v>
      </c>
      <c r="CB897" s="47">
        <f t="shared" si="15"/>
        <v>-10000</v>
      </c>
      <c r="CC897" s="47">
        <f t="shared" ref="CC897:CQ897" si="2804">BC897-$BU897</f>
        <v>-1000</v>
      </c>
      <c r="CD897" s="47">
        <f t="shared" si="2804"/>
        <v>-1000</v>
      </c>
      <c r="CE897" s="47">
        <f t="shared" si="2804"/>
        <v>-1000</v>
      </c>
      <c r="CF897" s="47">
        <f t="shared" si="2804"/>
        <v>-1000</v>
      </c>
      <c r="CG897" s="47">
        <f t="shared" si="2804"/>
        <v>-1000</v>
      </c>
      <c r="CH897" s="47">
        <f t="shared" si="2804"/>
        <v>-1000</v>
      </c>
      <c r="CI897" s="47">
        <f t="shared" si="2804"/>
        <v>-1000</v>
      </c>
      <c r="CJ897" s="47">
        <f t="shared" si="2804"/>
        <v>-1000</v>
      </c>
      <c r="CK897" s="47">
        <f t="shared" si="2804"/>
        <v>-1000</v>
      </c>
      <c r="CL897" s="47">
        <f t="shared" si="2804"/>
        <v>-1000</v>
      </c>
      <c r="CM897" s="47">
        <f t="shared" si="2804"/>
        <v>-1000</v>
      </c>
      <c r="CN897" s="47">
        <f t="shared" si="2804"/>
        <v>-1000</v>
      </c>
      <c r="CO897" s="47">
        <f t="shared" si="2804"/>
        <v>-1000</v>
      </c>
      <c r="CP897" s="47">
        <f t="shared" si="2804"/>
        <v>-1000</v>
      </c>
      <c r="CQ897" s="47">
        <f t="shared" si="2804"/>
        <v>-1000</v>
      </c>
      <c r="CR897" s="47"/>
      <c r="CS897" s="47"/>
      <c r="CT897" s="47"/>
      <c r="CU897" s="74"/>
      <c r="CV897" s="74"/>
      <c r="CW897" s="74" t="str">
        <f>IFERROR(__xludf.DUMMYFUNCTION("IF(REGEXMATCH(UPPER(CU897), ""DALLAS""),,CU897)"),"")</f>
        <v/>
      </c>
      <c r="CX897" s="74"/>
      <c r="CY897" s="74"/>
      <c r="CZ897" s="74"/>
      <c r="DA897" s="75"/>
      <c r="DB897" s="74"/>
      <c r="DC897" s="74"/>
      <c r="DD897" s="74"/>
      <c r="DE897" s="74"/>
      <c r="DF897" s="74"/>
      <c r="DG897" s="74"/>
      <c r="DH897" s="74"/>
      <c r="DI897" s="74"/>
      <c r="DJ897" s="74"/>
      <c r="DK897" s="74"/>
      <c r="DL897" s="74"/>
      <c r="DM897" s="74"/>
      <c r="DN897" s="74"/>
      <c r="DO897" s="74"/>
      <c r="DP897" s="74"/>
      <c r="DQ897" s="74"/>
      <c r="DR897" s="74"/>
      <c r="DS897" s="74"/>
      <c r="DT897" s="74"/>
      <c r="DU897" s="74"/>
      <c r="DV897" s="74"/>
      <c r="DW897" s="74"/>
    </row>
    <row r="898">
      <c r="A898" s="22" t="s">
        <v>55</v>
      </c>
      <c r="B898" s="23" t="s">
        <v>56</v>
      </c>
      <c r="C898" s="31" t="s">
        <v>2194</v>
      </c>
      <c r="D898" s="25" t="str">
        <f>IFERROR(__xludf.DUMMYFUNCTION("SPLIT(C898,"" "")"),"Parker,")</f>
        <v>Parker,</v>
      </c>
      <c r="E898" s="22" t="str">
        <f>IFERROR(__xludf.DUMMYFUNCTION("""COMPUTED_VALUE"""),"Petey
1717")</f>
        <v>Petey
1717</v>
      </c>
      <c r="F898" s="22" t="str">
        <f>IFERROR(__xludf.DUMMYFUNCTION("""COMPUTED_VALUE"""),"Arts")</f>
        <v>Arts</v>
      </c>
      <c r="G898" s="22" t="str">
        <f>IFERROR(__xludf.DUMMYFUNCTION("""COMPUTED_VALUE"""),"Plaza
Dallas,")</f>
        <v>Plaza
Dallas,</v>
      </c>
      <c r="H898" s="22" t="str">
        <f>IFERROR(__xludf.DUMMYFUNCTION("""COMPUTED_VALUE"""),"TX")</f>
        <v>TX</v>
      </c>
      <c r="I898" s="22">
        <f>IFERROR(__xludf.DUMMYFUNCTION("""COMPUTED_VALUE"""),75201.0)</f>
        <v>75201</v>
      </c>
      <c r="J898" s="22"/>
      <c r="K898" s="22"/>
      <c r="L898" s="22"/>
      <c r="M898" s="22"/>
      <c r="N898" s="22"/>
      <c r="O898" s="22"/>
      <c r="P898" s="22"/>
      <c r="Q898" s="22"/>
      <c r="R898" s="22"/>
      <c r="S898" s="22"/>
      <c r="T898" s="22"/>
      <c r="U898" s="24" t="str">
        <f>IFERROR(__xludf.DUMMYFUNCTION("SPLIT(E898,""01234567890"")"),"Petey
")</f>
        <v>Petey
</v>
      </c>
      <c r="V898" s="24" t="str">
        <f>IFERROR(__xludf.DUMMYFUNCTION("SPLIT(D898,"","")"),"Parker")</f>
        <v>Parker</v>
      </c>
      <c r="W898" s="25" t="str">
        <f t="shared" si="1"/>
        <v>PETEY
 PARKER</v>
      </c>
      <c r="X898" s="22"/>
      <c r="Y898" s="22"/>
      <c r="Z898" s="25" t="str">
        <f>IFERROR(__xludf.DUMMYFUNCTION("SPLIT(C898,""
"")"),"Parker, Petey")</f>
        <v>Parker, Petey</v>
      </c>
      <c r="AA898" s="22" t="str">
        <f>IFERROR(__xludf.DUMMYFUNCTION("""COMPUTED_VALUE"""),"1717 Arts Plaza")</f>
        <v>1717 Arts Plaza</v>
      </c>
      <c r="AB898" s="22" t="str">
        <f>IFERROR(__xludf.DUMMYFUNCTION("""COMPUTED_VALUE"""),"Dallas, TX 75201")</f>
        <v>Dallas, TX 75201</v>
      </c>
      <c r="AC898" s="31" t="s">
        <v>2195</v>
      </c>
      <c r="AD898" s="22"/>
      <c r="AE898" s="22"/>
      <c r="AF898" s="22"/>
      <c r="AG898" s="22" t="s">
        <v>60</v>
      </c>
      <c r="AH898" s="54">
        <v>2481.0</v>
      </c>
      <c r="AI898" s="22" t="s">
        <v>68</v>
      </c>
      <c r="AJ898" s="27">
        <v>100.0</v>
      </c>
      <c r="AK898" s="31" t="s">
        <v>25</v>
      </c>
      <c r="AL898" s="28">
        <v>44833.0</v>
      </c>
      <c r="AM898" s="29">
        <v>44937.81995370371</v>
      </c>
      <c r="AN898" s="30">
        <v>2.0</v>
      </c>
      <c r="AO898" s="22"/>
      <c r="AP898" s="22"/>
      <c r="AQ898" s="22"/>
      <c r="AR898" s="22"/>
      <c r="AS898" s="22"/>
      <c r="AT898" s="70"/>
      <c r="AU898" s="22"/>
      <c r="AV898" s="57" t="str">
        <f>IFERROR(__xludf.DUMMYFUNCTION("""COMPUTED_VALUE"""),"Owens")</f>
        <v>Owens</v>
      </c>
      <c r="AW898" s="46">
        <f t="shared" si="7"/>
        <v>200</v>
      </c>
      <c r="AX898" s="47">
        <f t="shared" ref="AX898:BQ898" si="2805">SUMIFS($AJ:$AJ,$V:$V,$AV898,$AK:$AK,AX$2)</f>
        <v>200</v>
      </c>
      <c r="AY898" s="48">
        <f t="shared" si="2805"/>
        <v>0</v>
      </c>
      <c r="AZ898" s="48">
        <f t="shared" si="2805"/>
        <v>0</v>
      </c>
      <c r="BA898" s="48">
        <f t="shared" si="2805"/>
        <v>0</v>
      </c>
      <c r="BB898" s="48">
        <f t="shared" si="2805"/>
        <v>0</v>
      </c>
      <c r="BC898" s="48">
        <f t="shared" si="2805"/>
        <v>0</v>
      </c>
      <c r="BD898" s="48">
        <f t="shared" si="2805"/>
        <v>0</v>
      </c>
      <c r="BE898" s="48">
        <f t="shared" si="2805"/>
        <v>0</v>
      </c>
      <c r="BF898" s="48">
        <f t="shared" si="2805"/>
        <v>0</v>
      </c>
      <c r="BG898" s="48">
        <f t="shared" si="2805"/>
        <v>0</v>
      </c>
      <c r="BH898" s="48">
        <f t="shared" si="2805"/>
        <v>0</v>
      </c>
      <c r="BI898" s="48">
        <f t="shared" si="2805"/>
        <v>0</v>
      </c>
      <c r="BJ898" s="48">
        <f t="shared" si="2805"/>
        <v>0</v>
      </c>
      <c r="BK898" s="48">
        <f t="shared" si="2805"/>
        <v>0</v>
      </c>
      <c r="BL898" s="48">
        <f t="shared" si="2805"/>
        <v>0</v>
      </c>
      <c r="BM898" s="48">
        <f t="shared" si="2805"/>
        <v>0</v>
      </c>
      <c r="BN898" s="48">
        <f t="shared" si="2805"/>
        <v>0</v>
      </c>
      <c r="BO898" s="48">
        <f t="shared" si="2805"/>
        <v>0</v>
      </c>
      <c r="BP898" s="48">
        <f t="shared" si="2805"/>
        <v>0</v>
      </c>
      <c r="BQ898" s="48">
        <f t="shared" si="2805"/>
        <v>0</v>
      </c>
      <c r="BR898" s="36">
        <f t="shared" si="9"/>
        <v>0</v>
      </c>
      <c r="BS898" s="38">
        <f t="shared" si="10"/>
        <v>1</v>
      </c>
      <c r="BT898" s="49">
        <f t="shared" si="11"/>
        <v>0</v>
      </c>
      <c r="BU898" s="38">
        <f t="shared" si="12"/>
        <v>1000</v>
      </c>
      <c r="BV898" s="57" t="str">
        <f>IFERROR(__xludf.DUMMYFUNCTION("""COMPUTED_VALUE"""),"Owens")</f>
        <v>Owens</v>
      </c>
      <c r="BW898" s="46">
        <f t="shared" si="13"/>
        <v>200</v>
      </c>
      <c r="BX898" s="47">
        <f t="shared" ref="BX898:CA898" si="2806">AX898-$BU898</f>
        <v>-800</v>
      </c>
      <c r="BY898" s="47">
        <f t="shared" si="2806"/>
        <v>-1000</v>
      </c>
      <c r="BZ898" s="47">
        <f t="shared" si="2806"/>
        <v>-1000</v>
      </c>
      <c r="CA898" s="47">
        <f t="shared" si="2806"/>
        <v>-1000</v>
      </c>
      <c r="CB898" s="47">
        <f t="shared" si="15"/>
        <v>-10000</v>
      </c>
      <c r="CC898" s="47">
        <f t="shared" ref="CC898:CQ898" si="2807">BC898-$BU898</f>
        <v>-1000</v>
      </c>
      <c r="CD898" s="47">
        <f t="shared" si="2807"/>
        <v>-1000</v>
      </c>
      <c r="CE898" s="47">
        <f t="shared" si="2807"/>
        <v>-1000</v>
      </c>
      <c r="CF898" s="47">
        <f t="shared" si="2807"/>
        <v>-1000</v>
      </c>
      <c r="CG898" s="47">
        <f t="shared" si="2807"/>
        <v>-1000</v>
      </c>
      <c r="CH898" s="47">
        <f t="shared" si="2807"/>
        <v>-1000</v>
      </c>
      <c r="CI898" s="47">
        <f t="shared" si="2807"/>
        <v>-1000</v>
      </c>
      <c r="CJ898" s="47">
        <f t="shared" si="2807"/>
        <v>-1000</v>
      </c>
      <c r="CK898" s="47">
        <f t="shared" si="2807"/>
        <v>-1000</v>
      </c>
      <c r="CL898" s="47">
        <f t="shared" si="2807"/>
        <v>-1000</v>
      </c>
      <c r="CM898" s="47">
        <f t="shared" si="2807"/>
        <v>-1000</v>
      </c>
      <c r="CN898" s="47">
        <f t="shared" si="2807"/>
        <v>-1000</v>
      </c>
      <c r="CO898" s="47">
        <f t="shared" si="2807"/>
        <v>-1000</v>
      </c>
      <c r="CP898" s="47">
        <f t="shared" si="2807"/>
        <v>-1000</v>
      </c>
      <c r="CQ898" s="47">
        <f t="shared" si="2807"/>
        <v>-1000</v>
      </c>
      <c r="CR898" s="47"/>
      <c r="CS898" s="47"/>
      <c r="CT898" s="47"/>
      <c r="CU898" s="74"/>
      <c r="CV898" s="74"/>
      <c r="CW898" s="74" t="str">
        <f>IFERROR(__xludf.DUMMYFUNCTION("IF(REGEXMATCH(UPPER(CU898), ""DALLAS""),,CU898)"),"")</f>
        <v/>
      </c>
      <c r="CX898" s="74"/>
      <c r="CY898" s="74"/>
      <c r="CZ898" s="74"/>
      <c r="DA898" s="75"/>
      <c r="DB898" s="74"/>
      <c r="DC898" s="74"/>
      <c r="DD898" s="74"/>
      <c r="DE898" s="74"/>
      <c r="DF898" s="74"/>
      <c r="DG898" s="74"/>
      <c r="DH898" s="74"/>
      <c r="DI898" s="74"/>
      <c r="DJ898" s="74"/>
      <c r="DK898" s="74"/>
      <c r="DL898" s="74"/>
      <c r="DM898" s="74"/>
      <c r="DN898" s="74"/>
      <c r="DO898" s="74"/>
      <c r="DP898" s="74"/>
      <c r="DQ898" s="74"/>
      <c r="DR898" s="74"/>
      <c r="DS898" s="74"/>
      <c r="DT898" s="74"/>
      <c r="DU898" s="74"/>
      <c r="DV898" s="74"/>
      <c r="DW898" s="74"/>
    </row>
    <row r="899">
      <c r="A899" s="40" t="s">
        <v>55</v>
      </c>
      <c r="B899" s="41" t="s">
        <v>56</v>
      </c>
      <c r="C899" s="31" t="s">
        <v>2196</v>
      </c>
      <c r="D899" s="25" t="str">
        <f>IFERROR(__xludf.DUMMYFUNCTION("SPLIT(C899,"" "")"),"Cager,")</f>
        <v>Cager,</v>
      </c>
      <c r="E899" s="40" t="str">
        <f>IFERROR(__xludf.DUMMYFUNCTION("""COMPUTED_VALUE"""),"Rubye
5315")</f>
        <v>Rubye
5315</v>
      </c>
      <c r="F899" s="40" t="str">
        <f>IFERROR(__xludf.DUMMYFUNCTION("""COMPUTED_VALUE"""),"Rocky")</f>
        <v>Rocky</v>
      </c>
      <c r="G899" s="40" t="str">
        <f>IFERROR(__xludf.DUMMYFUNCTION("""COMPUTED_VALUE"""),"Ridge")</f>
        <v>Ridge</v>
      </c>
      <c r="H899" s="40" t="str">
        <f>IFERROR(__xludf.DUMMYFUNCTION("""COMPUTED_VALUE"""),"Rd
Dallas,")</f>
        <v>Rd
Dallas,</v>
      </c>
      <c r="I899" s="40" t="str">
        <f>IFERROR(__xludf.DUMMYFUNCTION("""COMPUTED_VALUE"""),"TX")</f>
        <v>TX</v>
      </c>
      <c r="J899" s="40">
        <f>IFERROR(__xludf.DUMMYFUNCTION("""COMPUTED_VALUE"""),75241.0)</f>
        <v>75241</v>
      </c>
      <c r="K899" s="40"/>
      <c r="L899" s="40"/>
      <c r="M899" s="40"/>
      <c r="N899" s="40"/>
      <c r="O899" s="40"/>
      <c r="P899" s="40"/>
      <c r="Q899" s="40"/>
      <c r="R899" s="40"/>
      <c r="S899" s="40"/>
      <c r="T899" s="40"/>
      <c r="U899" s="24" t="str">
        <f>IFERROR(__xludf.DUMMYFUNCTION("SPLIT(E899,""01234567890"")"),"Rubye
")</f>
        <v>Rubye
</v>
      </c>
      <c r="V899" s="24" t="str">
        <f>IFERROR(__xludf.DUMMYFUNCTION("SPLIT(D899,"","")"),"Cager")</f>
        <v>Cager</v>
      </c>
      <c r="W899" s="25" t="str">
        <f t="shared" si="1"/>
        <v>RUBYE
 CAGER</v>
      </c>
      <c r="X899" s="40"/>
      <c r="Y899" s="40"/>
      <c r="Z899" s="25" t="str">
        <f>IFERROR(__xludf.DUMMYFUNCTION("SPLIT(C899,""
"")"),"Cager, Rubye")</f>
        <v>Cager, Rubye</v>
      </c>
      <c r="AA899" s="40" t="str">
        <f>IFERROR(__xludf.DUMMYFUNCTION("""COMPUTED_VALUE"""),"5315 Rocky Ridge Rd")</f>
        <v>5315 Rocky Ridge Rd</v>
      </c>
      <c r="AB899" s="40" t="str">
        <f>IFERROR(__xludf.DUMMYFUNCTION("""COMPUTED_VALUE"""),"Dallas, TX 75241")</f>
        <v>Dallas, TX 75241</v>
      </c>
      <c r="AC899" s="31" t="s">
        <v>2197</v>
      </c>
      <c r="AD899" s="40"/>
      <c r="AE899" s="40"/>
      <c r="AF899" s="40"/>
      <c r="AG899" s="40" t="s">
        <v>60</v>
      </c>
      <c r="AH899" s="42">
        <v>2481.0</v>
      </c>
      <c r="AI899" s="40" t="s">
        <v>68</v>
      </c>
      <c r="AJ899" s="27">
        <v>20.0</v>
      </c>
      <c r="AK899" s="31" t="s">
        <v>25</v>
      </c>
      <c r="AL899" s="43">
        <v>44833.0</v>
      </c>
      <c r="AM899" s="44">
        <v>44937.81995370371</v>
      </c>
      <c r="AN899" s="30">
        <v>2.0</v>
      </c>
      <c r="AO899" s="40"/>
      <c r="AP899" s="40"/>
      <c r="AQ899" s="40"/>
      <c r="AR899" s="40"/>
      <c r="AS899" s="40"/>
      <c r="AT899" s="47"/>
      <c r="AU899" s="40"/>
      <c r="AV899" s="46" t="str">
        <f>IFERROR(__xludf.DUMMYFUNCTION("""COMPUTED_VALUE"""),"Santa")</f>
        <v>Santa</v>
      </c>
      <c r="AW899" s="46">
        <f t="shared" si="7"/>
        <v>1000</v>
      </c>
      <c r="AX899" s="47">
        <f t="shared" ref="AX899:BQ899" si="2808">SUMIFS($AJ:$AJ,$V:$V,$AV899,$AK:$AK,AX$2)</f>
        <v>1000</v>
      </c>
      <c r="AY899" s="48">
        <f t="shared" si="2808"/>
        <v>0</v>
      </c>
      <c r="AZ899" s="48">
        <f t="shared" si="2808"/>
        <v>0</v>
      </c>
      <c r="BA899" s="48">
        <f t="shared" si="2808"/>
        <v>0</v>
      </c>
      <c r="BB899" s="48">
        <f t="shared" si="2808"/>
        <v>0</v>
      </c>
      <c r="BC899" s="48">
        <f t="shared" si="2808"/>
        <v>0</v>
      </c>
      <c r="BD899" s="48">
        <f t="shared" si="2808"/>
        <v>0</v>
      </c>
      <c r="BE899" s="48">
        <f t="shared" si="2808"/>
        <v>0</v>
      </c>
      <c r="BF899" s="48">
        <f t="shared" si="2808"/>
        <v>0</v>
      </c>
      <c r="BG899" s="48">
        <f t="shared" si="2808"/>
        <v>0</v>
      </c>
      <c r="BH899" s="48">
        <f t="shared" si="2808"/>
        <v>0</v>
      </c>
      <c r="BI899" s="48">
        <f t="shared" si="2808"/>
        <v>0</v>
      </c>
      <c r="BJ899" s="48">
        <f t="shared" si="2808"/>
        <v>0</v>
      </c>
      <c r="BK899" s="48">
        <f t="shared" si="2808"/>
        <v>0</v>
      </c>
      <c r="BL899" s="48">
        <f t="shared" si="2808"/>
        <v>0</v>
      </c>
      <c r="BM899" s="48">
        <f t="shared" si="2808"/>
        <v>0</v>
      </c>
      <c r="BN899" s="48">
        <f t="shared" si="2808"/>
        <v>0</v>
      </c>
      <c r="BO899" s="48">
        <f t="shared" si="2808"/>
        <v>0</v>
      </c>
      <c r="BP899" s="48">
        <f t="shared" si="2808"/>
        <v>0</v>
      </c>
      <c r="BQ899" s="48">
        <f t="shared" si="2808"/>
        <v>0</v>
      </c>
      <c r="BR899" s="36">
        <f t="shared" si="9"/>
        <v>0</v>
      </c>
      <c r="BS899" s="38">
        <f t="shared" si="10"/>
        <v>1</v>
      </c>
      <c r="BT899" s="49">
        <f t="shared" si="11"/>
        <v>0</v>
      </c>
      <c r="BU899" s="38">
        <f t="shared" si="12"/>
        <v>1000</v>
      </c>
      <c r="BV899" s="46" t="str">
        <f>IFERROR(__xludf.DUMMYFUNCTION("""COMPUTED_VALUE"""),"Santa")</f>
        <v>Santa</v>
      </c>
      <c r="BW899" s="46">
        <f t="shared" si="13"/>
        <v>1000</v>
      </c>
      <c r="BX899" s="47">
        <f t="shared" ref="BX899:CA899" si="2809">AX899-$BU899</f>
        <v>0</v>
      </c>
      <c r="BY899" s="47">
        <f t="shared" si="2809"/>
        <v>-1000</v>
      </c>
      <c r="BZ899" s="47">
        <f t="shared" si="2809"/>
        <v>-1000</v>
      </c>
      <c r="CA899" s="47">
        <f t="shared" si="2809"/>
        <v>-1000</v>
      </c>
      <c r="CB899" s="47">
        <f t="shared" si="15"/>
        <v>-10000</v>
      </c>
      <c r="CC899" s="47">
        <f t="shared" ref="CC899:CQ899" si="2810">BC899-$BU899</f>
        <v>-1000</v>
      </c>
      <c r="CD899" s="47">
        <f t="shared" si="2810"/>
        <v>-1000</v>
      </c>
      <c r="CE899" s="47">
        <f t="shared" si="2810"/>
        <v>-1000</v>
      </c>
      <c r="CF899" s="47">
        <f t="shared" si="2810"/>
        <v>-1000</v>
      </c>
      <c r="CG899" s="47">
        <f t="shared" si="2810"/>
        <v>-1000</v>
      </c>
      <c r="CH899" s="47">
        <f t="shared" si="2810"/>
        <v>-1000</v>
      </c>
      <c r="CI899" s="47">
        <f t="shared" si="2810"/>
        <v>-1000</v>
      </c>
      <c r="CJ899" s="47">
        <f t="shared" si="2810"/>
        <v>-1000</v>
      </c>
      <c r="CK899" s="47">
        <f t="shared" si="2810"/>
        <v>-1000</v>
      </c>
      <c r="CL899" s="47">
        <f t="shared" si="2810"/>
        <v>-1000</v>
      </c>
      <c r="CM899" s="47">
        <f t="shared" si="2810"/>
        <v>-1000</v>
      </c>
      <c r="CN899" s="47">
        <f t="shared" si="2810"/>
        <v>-1000</v>
      </c>
      <c r="CO899" s="47">
        <f t="shared" si="2810"/>
        <v>-1000</v>
      </c>
      <c r="CP899" s="47">
        <f t="shared" si="2810"/>
        <v>-1000</v>
      </c>
      <c r="CQ899" s="47">
        <f t="shared" si="2810"/>
        <v>-1000</v>
      </c>
      <c r="CR899" s="47"/>
      <c r="CS899" s="47"/>
      <c r="CT899" s="47"/>
      <c r="CU899" s="74"/>
      <c r="CV899" s="74"/>
      <c r="CW899" s="74" t="str">
        <f>IFERROR(__xludf.DUMMYFUNCTION("IF(REGEXMATCH(UPPER(CU899), ""DALLAS""),,CU899)"),"")</f>
        <v/>
      </c>
      <c r="CX899" s="74"/>
      <c r="CY899" s="74"/>
      <c r="CZ899" s="74"/>
      <c r="DA899" s="75"/>
      <c r="DB899" s="74"/>
      <c r="DC899" s="74"/>
      <c r="DD899" s="74"/>
      <c r="DE899" s="74"/>
      <c r="DF899" s="74"/>
      <c r="DG899" s="74"/>
      <c r="DH899" s="74"/>
      <c r="DI899" s="74"/>
      <c r="DJ899" s="74"/>
      <c r="DK899" s="74"/>
      <c r="DL899" s="74"/>
      <c r="DM899" s="74"/>
      <c r="DN899" s="74"/>
      <c r="DO899" s="74"/>
      <c r="DP899" s="74"/>
      <c r="DQ899" s="74"/>
      <c r="DR899" s="74"/>
      <c r="DS899" s="74"/>
      <c r="DT899" s="74"/>
      <c r="DU899" s="74"/>
      <c r="DV899" s="74"/>
      <c r="DW899" s="74"/>
    </row>
    <row r="900">
      <c r="A900" s="22" t="s">
        <v>55</v>
      </c>
      <c r="B900" s="23" t="s">
        <v>56</v>
      </c>
      <c r="C900" s="31" t="s">
        <v>2198</v>
      </c>
      <c r="D900" s="25" t="str">
        <f>IFERROR(__xludf.DUMMYFUNCTION("SPLIT(C900,"" "")"),"Johnson,")</f>
        <v>Johnson,</v>
      </c>
      <c r="E900" s="22" t="str">
        <f>IFERROR(__xludf.DUMMYFUNCTION("""COMPUTED_VALUE"""),"Willis
1700")</f>
        <v>Willis
1700</v>
      </c>
      <c r="F900" s="22" t="str">
        <f>IFERROR(__xludf.DUMMYFUNCTION("""COMPUTED_VALUE"""),"Pacific")</f>
        <v>Pacific</v>
      </c>
      <c r="G900" s="22" t="str">
        <f>IFERROR(__xludf.DUMMYFUNCTION("""COMPUTED_VALUE"""),"Ave
Dallas,")</f>
        <v>Ave
Dallas,</v>
      </c>
      <c r="H900" s="22" t="str">
        <f>IFERROR(__xludf.DUMMYFUNCTION("""COMPUTED_VALUE"""),"TX")</f>
        <v>TX</v>
      </c>
      <c r="I900" s="22">
        <f>IFERROR(__xludf.DUMMYFUNCTION("""COMPUTED_VALUE"""),75201.0)</f>
        <v>75201</v>
      </c>
      <c r="J900" s="22"/>
      <c r="K900" s="22"/>
      <c r="L900" s="22"/>
      <c r="M900" s="22"/>
      <c r="N900" s="22"/>
      <c r="O900" s="22"/>
      <c r="P900" s="22"/>
      <c r="Q900" s="22"/>
      <c r="R900" s="22"/>
      <c r="S900" s="22"/>
      <c r="T900" s="22"/>
      <c r="U900" s="24" t="str">
        <f>IFERROR(__xludf.DUMMYFUNCTION("SPLIT(E900,""01234567890"")"),"Willis
")</f>
        <v>Willis
</v>
      </c>
      <c r="V900" s="24" t="str">
        <f>IFERROR(__xludf.DUMMYFUNCTION("SPLIT(D900,"","")"),"Johnson")</f>
        <v>Johnson</v>
      </c>
      <c r="W900" s="25" t="str">
        <f t="shared" si="1"/>
        <v>WILLIS
 JOHNSON</v>
      </c>
      <c r="X900" s="22"/>
      <c r="Y900" s="22"/>
      <c r="Z900" s="25" t="str">
        <f>IFERROR(__xludf.DUMMYFUNCTION("SPLIT(C900,""
"")"),"Johnson, Willis")</f>
        <v>Johnson, Willis</v>
      </c>
      <c r="AA900" s="22" t="str">
        <f>IFERROR(__xludf.DUMMYFUNCTION("""COMPUTED_VALUE"""),"1700 Pacific Ave")</f>
        <v>1700 Pacific Ave</v>
      </c>
      <c r="AB900" s="22" t="str">
        <f>IFERROR(__xludf.DUMMYFUNCTION("""COMPUTED_VALUE"""),"Dallas, TX 75201")</f>
        <v>Dallas, TX 75201</v>
      </c>
      <c r="AC900" s="31" t="s">
        <v>1476</v>
      </c>
      <c r="AD900" s="22"/>
      <c r="AE900" s="22"/>
      <c r="AF900" s="22"/>
      <c r="AG900" s="22" t="s">
        <v>60</v>
      </c>
      <c r="AH900" s="54">
        <v>2481.0</v>
      </c>
      <c r="AI900" s="22" t="s">
        <v>68</v>
      </c>
      <c r="AJ900" s="27">
        <v>1000.0</v>
      </c>
      <c r="AK900" s="31" t="s">
        <v>25</v>
      </c>
      <c r="AL900" s="28">
        <v>44833.0</v>
      </c>
      <c r="AM900" s="29">
        <v>44937.81995370371</v>
      </c>
      <c r="AN900" s="30">
        <v>2.0</v>
      </c>
      <c r="AO900" s="22"/>
      <c r="AP900" s="22"/>
      <c r="AQ900" s="22"/>
      <c r="AR900" s="22"/>
      <c r="AS900" s="22"/>
      <c r="AT900" s="70"/>
      <c r="AU900" s="22"/>
      <c r="AV900" s="57" t="str">
        <f>IFERROR(__xludf.DUMMYFUNCTION("""COMPUTED_VALUE"""),"Thorne")</f>
        <v>Thorne</v>
      </c>
      <c r="AW900" s="46">
        <f t="shared" si="7"/>
        <v>500</v>
      </c>
      <c r="AX900" s="47">
        <f t="shared" ref="AX900:BQ900" si="2811">SUMIFS($AJ:$AJ,$V:$V,$AV900,$AK:$AK,AX$2)</f>
        <v>500</v>
      </c>
      <c r="AY900" s="48">
        <f t="shared" si="2811"/>
        <v>0</v>
      </c>
      <c r="AZ900" s="48">
        <f t="shared" si="2811"/>
        <v>0</v>
      </c>
      <c r="BA900" s="48">
        <f t="shared" si="2811"/>
        <v>0</v>
      </c>
      <c r="BB900" s="48">
        <f t="shared" si="2811"/>
        <v>0</v>
      </c>
      <c r="BC900" s="48">
        <f t="shared" si="2811"/>
        <v>0</v>
      </c>
      <c r="BD900" s="48">
        <f t="shared" si="2811"/>
        <v>0</v>
      </c>
      <c r="BE900" s="48">
        <f t="shared" si="2811"/>
        <v>0</v>
      </c>
      <c r="BF900" s="48">
        <f t="shared" si="2811"/>
        <v>0</v>
      </c>
      <c r="BG900" s="48">
        <f t="shared" si="2811"/>
        <v>0</v>
      </c>
      <c r="BH900" s="48">
        <f t="shared" si="2811"/>
        <v>0</v>
      </c>
      <c r="BI900" s="48">
        <f t="shared" si="2811"/>
        <v>0</v>
      </c>
      <c r="BJ900" s="48">
        <f t="shared" si="2811"/>
        <v>0</v>
      </c>
      <c r="BK900" s="48">
        <f t="shared" si="2811"/>
        <v>0</v>
      </c>
      <c r="BL900" s="48">
        <f t="shared" si="2811"/>
        <v>0</v>
      </c>
      <c r="BM900" s="48">
        <f t="shared" si="2811"/>
        <v>0</v>
      </c>
      <c r="BN900" s="48">
        <f t="shared" si="2811"/>
        <v>0</v>
      </c>
      <c r="BO900" s="48">
        <f t="shared" si="2811"/>
        <v>0</v>
      </c>
      <c r="BP900" s="48">
        <f t="shared" si="2811"/>
        <v>0</v>
      </c>
      <c r="BQ900" s="48">
        <f t="shared" si="2811"/>
        <v>0</v>
      </c>
      <c r="BR900" s="36">
        <f t="shared" si="9"/>
        <v>0</v>
      </c>
      <c r="BS900" s="38">
        <f t="shared" si="10"/>
        <v>1</v>
      </c>
      <c r="BT900" s="49">
        <f t="shared" si="11"/>
        <v>0</v>
      </c>
      <c r="BU900" s="38">
        <f t="shared" si="12"/>
        <v>1000</v>
      </c>
      <c r="BV900" s="57" t="str">
        <f>IFERROR(__xludf.DUMMYFUNCTION("""COMPUTED_VALUE"""),"Thorne")</f>
        <v>Thorne</v>
      </c>
      <c r="BW900" s="46">
        <f t="shared" si="13"/>
        <v>500</v>
      </c>
      <c r="BX900" s="47">
        <f t="shared" ref="BX900:CA900" si="2812">AX900-$BU900</f>
        <v>-500</v>
      </c>
      <c r="BY900" s="47">
        <f t="shared" si="2812"/>
        <v>-1000</v>
      </c>
      <c r="BZ900" s="47">
        <f t="shared" si="2812"/>
        <v>-1000</v>
      </c>
      <c r="CA900" s="47">
        <f t="shared" si="2812"/>
        <v>-1000</v>
      </c>
      <c r="CB900" s="47">
        <f t="shared" si="15"/>
        <v>-10000</v>
      </c>
      <c r="CC900" s="47">
        <f t="shared" ref="CC900:CQ900" si="2813">BC900-$BU900</f>
        <v>-1000</v>
      </c>
      <c r="CD900" s="47">
        <f t="shared" si="2813"/>
        <v>-1000</v>
      </c>
      <c r="CE900" s="47">
        <f t="shared" si="2813"/>
        <v>-1000</v>
      </c>
      <c r="CF900" s="47">
        <f t="shared" si="2813"/>
        <v>-1000</v>
      </c>
      <c r="CG900" s="47">
        <f t="shared" si="2813"/>
        <v>-1000</v>
      </c>
      <c r="CH900" s="47">
        <f t="shared" si="2813"/>
        <v>-1000</v>
      </c>
      <c r="CI900" s="47">
        <f t="shared" si="2813"/>
        <v>-1000</v>
      </c>
      <c r="CJ900" s="47">
        <f t="shared" si="2813"/>
        <v>-1000</v>
      </c>
      <c r="CK900" s="47">
        <f t="shared" si="2813"/>
        <v>-1000</v>
      </c>
      <c r="CL900" s="47">
        <f t="shared" si="2813"/>
        <v>-1000</v>
      </c>
      <c r="CM900" s="47">
        <f t="shared" si="2813"/>
        <v>-1000</v>
      </c>
      <c r="CN900" s="47">
        <f t="shared" si="2813"/>
        <v>-1000</v>
      </c>
      <c r="CO900" s="47">
        <f t="shared" si="2813"/>
        <v>-1000</v>
      </c>
      <c r="CP900" s="47">
        <f t="shared" si="2813"/>
        <v>-1000</v>
      </c>
      <c r="CQ900" s="47">
        <f t="shared" si="2813"/>
        <v>-1000</v>
      </c>
      <c r="CR900" s="47"/>
      <c r="CS900" s="47"/>
      <c r="CT900" s="47"/>
      <c r="CU900" s="74"/>
      <c r="CV900" s="74"/>
      <c r="CW900" s="74" t="str">
        <f>IFERROR(__xludf.DUMMYFUNCTION("IF(REGEXMATCH(UPPER(CU900), ""DALLAS""),,CU900)"),"")</f>
        <v/>
      </c>
      <c r="CX900" s="74"/>
      <c r="CY900" s="74"/>
      <c r="CZ900" s="74"/>
      <c r="DA900" s="75"/>
      <c r="DB900" s="74"/>
      <c r="DC900" s="74"/>
      <c r="DD900" s="74"/>
      <c r="DE900" s="74"/>
      <c r="DF900" s="74"/>
      <c r="DG900" s="74"/>
      <c r="DH900" s="74"/>
      <c r="DI900" s="74"/>
      <c r="DJ900" s="74"/>
      <c r="DK900" s="74"/>
      <c r="DL900" s="74"/>
      <c r="DM900" s="74"/>
      <c r="DN900" s="74"/>
      <c r="DO900" s="74"/>
      <c r="DP900" s="74"/>
      <c r="DQ900" s="74"/>
      <c r="DR900" s="74"/>
      <c r="DS900" s="74"/>
      <c r="DT900" s="74"/>
      <c r="DU900" s="74"/>
      <c r="DV900" s="74"/>
      <c r="DW900" s="74"/>
    </row>
    <row r="901">
      <c r="A901" s="40" t="s">
        <v>55</v>
      </c>
      <c r="B901" s="41" t="s">
        <v>56</v>
      </c>
      <c r="C901" s="31" t="s">
        <v>2199</v>
      </c>
      <c r="D901" s="25" t="str">
        <f>IFERROR(__xludf.DUMMYFUNCTION("SPLIT(C901,"" "")"),"Twining,")</f>
        <v>Twining,</v>
      </c>
      <c r="E901" s="40" t="str">
        <f>IFERROR(__xludf.DUMMYFUNCTION("""COMPUTED_VALUE"""),"Kevin
8122")</f>
        <v>Kevin
8122</v>
      </c>
      <c r="F901" s="40" t="str">
        <f>IFERROR(__xludf.DUMMYFUNCTION("""COMPUTED_VALUE"""),"San")</f>
        <v>San</v>
      </c>
      <c r="G901" s="40" t="str">
        <f>IFERROR(__xludf.DUMMYFUNCTION("""COMPUTED_VALUE"""),"Benito")</f>
        <v>Benito</v>
      </c>
      <c r="H901" s="40" t="str">
        <f>IFERROR(__xludf.DUMMYFUNCTION("""COMPUTED_VALUE"""),"Way
Dallas,")</f>
        <v>Way
Dallas,</v>
      </c>
      <c r="I901" s="40" t="str">
        <f>IFERROR(__xludf.DUMMYFUNCTION("""COMPUTED_VALUE"""),"TX")</f>
        <v>TX</v>
      </c>
      <c r="J901" s="40">
        <f>IFERROR(__xludf.DUMMYFUNCTION("""COMPUTED_VALUE"""),75218.0)</f>
        <v>75218</v>
      </c>
      <c r="K901" s="40"/>
      <c r="L901" s="40"/>
      <c r="M901" s="40"/>
      <c r="N901" s="40"/>
      <c r="O901" s="40"/>
      <c r="P901" s="40"/>
      <c r="Q901" s="40"/>
      <c r="R901" s="40"/>
      <c r="S901" s="40"/>
      <c r="T901" s="40"/>
      <c r="U901" s="24" t="str">
        <f>IFERROR(__xludf.DUMMYFUNCTION("SPLIT(E901,""01234567890"")"),"Kevin
")</f>
        <v>Kevin
</v>
      </c>
      <c r="V901" s="24" t="str">
        <f>IFERROR(__xludf.DUMMYFUNCTION("SPLIT(D901,"","")"),"Twining")</f>
        <v>Twining</v>
      </c>
      <c r="W901" s="25" t="str">
        <f t="shared" si="1"/>
        <v>KEVIN
 TWINING</v>
      </c>
      <c r="X901" s="40"/>
      <c r="Y901" s="40"/>
      <c r="Z901" s="25" t="str">
        <f>IFERROR(__xludf.DUMMYFUNCTION("SPLIT(C901,""
"")"),"Twining, Kevin")</f>
        <v>Twining, Kevin</v>
      </c>
      <c r="AA901" s="40" t="str">
        <f>IFERROR(__xludf.DUMMYFUNCTION("""COMPUTED_VALUE"""),"8122 San Benito Way")</f>
        <v>8122 San Benito Way</v>
      </c>
      <c r="AB901" s="40" t="str">
        <f>IFERROR(__xludf.DUMMYFUNCTION("""COMPUTED_VALUE"""),"Dallas, TX 75218")</f>
        <v>Dallas, TX 75218</v>
      </c>
      <c r="AC901" s="31" t="s">
        <v>2200</v>
      </c>
      <c r="AD901" s="40"/>
      <c r="AE901" s="40"/>
      <c r="AF901" s="40"/>
      <c r="AG901" s="40" t="s">
        <v>60</v>
      </c>
      <c r="AH901" s="42">
        <v>2481.0</v>
      </c>
      <c r="AI901" s="40" t="s">
        <v>68</v>
      </c>
      <c r="AJ901" s="27">
        <v>100.0</v>
      </c>
      <c r="AK901" s="31" t="s">
        <v>25</v>
      </c>
      <c r="AL901" s="43">
        <v>44833.0</v>
      </c>
      <c r="AM901" s="44">
        <v>44937.81995370371</v>
      </c>
      <c r="AN901" s="30">
        <v>2.0</v>
      </c>
      <c r="AO901" s="40"/>
      <c r="AP901" s="40"/>
      <c r="AQ901" s="40"/>
      <c r="AR901" s="40"/>
      <c r="AS901" s="40"/>
      <c r="AT901" s="47"/>
      <c r="AU901" s="40"/>
      <c r="AV901" s="46" t="str">
        <f>IFERROR(__xludf.DUMMYFUNCTION("""COMPUTED_VALUE"""),"Smades")</f>
        <v>Smades</v>
      </c>
      <c r="AW901" s="46">
        <f t="shared" si="7"/>
        <v>100</v>
      </c>
      <c r="AX901" s="47">
        <f t="shared" ref="AX901:BQ901" si="2814">SUMIFS($AJ:$AJ,$V:$V,$AV901,$AK:$AK,AX$2)</f>
        <v>100</v>
      </c>
      <c r="AY901" s="48">
        <f t="shared" si="2814"/>
        <v>0</v>
      </c>
      <c r="AZ901" s="48">
        <f t="shared" si="2814"/>
        <v>0</v>
      </c>
      <c r="BA901" s="48">
        <f t="shared" si="2814"/>
        <v>0</v>
      </c>
      <c r="BB901" s="48">
        <f t="shared" si="2814"/>
        <v>0</v>
      </c>
      <c r="BC901" s="48">
        <f t="shared" si="2814"/>
        <v>0</v>
      </c>
      <c r="BD901" s="48">
        <f t="shared" si="2814"/>
        <v>0</v>
      </c>
      <c r="BE901" s="48">
        <f t="shared" si="2814"/>
        <v>0</v>
      </c>
      <c r="BF901" s="48">
        <f t="shared" si="2814"/>
        <v>0</v>
      </c>
      <c r="BG901" s="48">
        <f t="shared" si="2814"/>
        <v>0</v>
      </c>
      <c r="BH901" s="48">
        <f t="shared" si="2814"/>
        <v>0</v>
      </c>
      <c r="BI901" s="48">
        <f t="shared" si="2814"/>
        <v>0</v>
      </c>
      <c r="BJ901" s="48">
        <f t="shared" si="2814"/>
        <v>0</v>
      </c>
      <c r="BK901" s="48">
        <f t="shared" si="2814"/>
        <v>0</v>
      </c>
      <c r="BL901" s="48">
        <f t="shared" si="2814"/>
        <v>0</v>
      </c>
      <c r="BM901" s="48">
        <f t="shared" si="2814"/>
        <v>0</v>
      </c>
      <c r="BN901" s="48">
        <f t="shared" si="2814"/>
        <v>0</v>
      </c>
      <c r="BO901" s="48">
        <f t="shared" si="2814"/>
        <v>0</v>
      </c>
      <c r="BP901" s="48">
        <f t="shared" si="2814"/>
        <v>0</v>
      </c>
      <c r="BQ901" s="48">
        <f t="shared" si="2814"/>
        <v>0</v>
      </c>
      <c r="BR901" s="36">
        <f t="shared" si="9"/>
        <v>0</v>
      </c>
      <c r="BS901" s="38">
        <f t="shared" si="10"/>
        <v>1</v>
      </c>
      <c r="BT901" s="49">
        <f t="shared" si="11"/>
        <v>0</v>
      </c>
      <c r="BU901" s="38">
        <f t="shared" si="12"/>
        <v>1000</v>
      </c>
      <c r="BV901" s="46" t="str">
        <f>IFERROR(__xludf.DUMMYFUNCTION("""COMPUTED_VALUE"""),"Smades")</f>
        <v>Smades</v>
      </c>
      <c r="BW901" s="46">
        <f t="shared" si="13"/>
        <v>100</v>
      </c>
      <c r="BX901" s="47">
        <f t="shared" ref="BX901:CA901" si="2815">AX901-$BU901</f>
        <v>-900</v>
      </c>
      <c r="BY901" s="47">
        <f t="shared" si="2815"/>
        <v>-1000</v>
      </c>
      <c r="BZ901" s="47">
        <f t="shared" si="2815"/>
        <v>-1000</v>
      </c>
      <c r="CA901" s="47">
        <f t="shared" si="2815"/>
        <v>-1000</v>
      </c>
      <c r="CB901" s="47">
        <f t="shared" si="15"/>
        <v>-10000</v>
      </c>
      <c r="CC901" s="47">
        <f t="shared" ref="CC901:CQ901" si="2816">BC901-$BU901</f>
        <v>-1000</v>
      </c>
      <c r="CD901" s="47">
        <f t="shared" si="2816"/>
        <v>-1000</v>
      </c>
      <c r="CE901" s="47">
        <f t="shared" si="2816"/>
        <v>-1000</v>
      </c>
      <c r="CF901" s="47">
        <f t="shared" si="2816"/>
        <v>-1000</v>
      </c>
      <c r="CG901" s="47">
        <f t="shared" si="2816"/>
        <v>-1000</v>
      </c>
      <c r="CH901" s="47">
        <f t="shared" si="2816"/>
        <v>-1000</v>
      </c>
      <c r="CI901" s="47">
        <f t="shared" si="2816"/>
        <v>-1000</v>
      </c>
      <c r="CJ901" s="47">
        <f t="shared" si="2816"/>
        <v>-1000</v>
      </c>
      <c r="CK901" s="47">
        <f t="shared" si="2816"/>
        <v>-1000</v>
      </c>
      <c r="CL901" s="47">
        <f t="shared" si="2816"/>
        <v>-1000</v>
      </c>
      <c r="CM901" s="47">
        <f t="shared" si="2816"/>
        <v>-1000</v>
      </c>
      <c r="CN901" s="47">
        <f t="shared" si="2816"/>
        <v>-1000</v>
      </c>
      <c r="CO901" s="47">
        <f t="shared" si="2816"/>
        <v>-1000</v>
      </c>
      <c r="CP901" s="47">
        <f t="shared" si="2816"/>
        <v>-1000</v>
      </c>
      <c r="CQ901" s="47">
        <f t="shared" si="2816"/>
        <v>-1000</v>
      </c>
      <c r="CR901" s="47"/>
      <c r="CS901" s="47"/>
      <c r="CT901" s="47"/>
      <c r="CU901" s="74"/>
      <c r="CV901" s="74"/>
      <c r="CW901" s="74" t="str">
        <f>IFERROR(__xludf.DUMMYFUNCTION("IF(REGEXMATCH(UPPER(CU901), ""DALLAS""),,CU901)"),"")</f>
        <v/>
      </c>
      <c r="CX901" s="74"/>
      <c r="CY901" s="74"/>
      <c r="CZ901" s="74"/>
      <c r="DA901" s="75"/>
      <c r="DB901" s="74"/>
      <c r="DC901" s="74"/>
      <c r="DD901" s="74"/>
      <c r="DE901" s="74"/>
      <c r="DF901" s="74"/>
      <c r="DG901" s="74"/>
      <c r="DH901" s="74"/>
      <c r="DI901" s="74"/>
      <c r="DJ901" s="74"/>
      <c r="DK901" s="74"/>
      <c r="DL901" s="74"/>
      <c r="DM901" s="74"/>
      <c r="DN901" s="74"/>
      <c r="DO901" s="74"/>
      <c r="DP901" s="74"/>
      <c r="DQ901" s="74"/>
      <c r="DR901" s="74"/>
      <c r="DS901" s="74"/>
      <c r="DT901" s="74"/>
      <c r="DU901" s="74"/>
      <c r="DV901" s="74"/>
      <c r="DW901" s="74"/>
    </row>
    <row r="902">
      <c r="A902" s="22" t="s">
        <v>55</v>
      </c>
      <c r="B902" s="23" t="s">
        <v>56</v>
      </c>
      <c r="C902" s="31" t="s">
        <v>2201</v>
      </c>
      <c r="D902" s="25" t="str">
        <f>IFERROR(__xludf.DUMMYFUNCTION("SPLIT(C902,"" "")"),"Parish,")</f>
        <v>Parish,</v>
      </c>
      <c r="E902" s="22" t="str">
        <f>IFERROR(__xludf.DUMMYFUNCTION("""COMPUTED_VALUE"""),"Deborah
3114")</f>
        <v>Deborah
3114</v>
      </c>
      <c r="F902" s="22" t="str">
        <f>IFERROR(__xludf.DUMMYFUNCTION("""COMPUTED_VALUE"""),"Dorrington")</f>
        <v>Dorrington</v>
      </c>
      <c r="G902" s="22" t="str">
        <f>IFERROR(__xludf.DUMMYFUNCTION("""COMPUTED_VALUE"""),"Cir
Dallas,")</f>
        <v>Cir
Dallas,</v>
      </c>
      <c r="H902" s="22" t="str">
        <f>IFERROR(__xludf.DUMMYFUNCTION("""COMPUTED_VALUE"""),"TX")</f>
        <v>TX</v>
      </c>
      <c r="I902" s="22">
        <f>IFERROR(__xludf.DUMMYFUNCTION("""COMPUTED_VALUE"""),75228.0)</f>
        <v>75228</v>
      </c>
      <c r="J902" s="22"/>
      <c r="K902" s="22"/>
      <c r="L902" s="22"/>
      <c r="M902" s="22"/>
      <c r="N902" s="22"/>
      <c r="O902" s="22"/>
      <c r="P902" s="22"/>
      <c r="Q902" s="22"/>
      <c r="R902" s="22"/>
      <c r="S902" s="22"/>
      <c r="T902" s="22"/>
      <c r="U902" s="24" t="str">
        <f>IFERROR(__xludf.DUMMYFUNCTION("SPLIT(E902,""01234567890"")"),"Deborah
")</f>
        <v>Deborah
</v>
      </c>
      <c r="V902" s="24" t="str">
        <f>IFERROR(__xludf.DUMMYFUNCTION("SPLIT(D902,"","")"),"Parish")</f>
        <v>Parish</v>
      </c>
      <c r="W902" s="25" t="str">
        <f t="shared" si="1"/>
        <v>DEBORAH
 PARISH</v>
      </c>
      <c r="X902" s="22"/>
      <c r="Y902" s="22"/>
      <c r="Z902" s="25" t="str">
        <f>IFERROR(__xludf.DUMMYFUNCTION("SPLIT(C902,""
"")"),"Parish, Deborah")</f>
        <v>Parish, Deborah</v>
      </c>
      <c r="AA902" s="22" t="str">
        <f>IFERROR(__xludf.DUMMYFUNCTION("""COMPUTED_VALUE"""),"3114 Dorrington Cir")</f>
        <v>3114 Dorrington Cir</v>
      </c>
      <c r="AB902" s="22" t="str">
        <f>IFERROR(__xludf.DUMMYFUNCTION("""COMPUTED_VALUE"""),"Dallas, TX 75228")</f>
        <v>Dallas, TX 75228</v>
      </c>
      <c r="AC902" s="31" t="s">
        <v>906</v>
      </c>
      <c r="AD902" s="22"/>
      <c r="AE902" s="22"/>
      <c r="AF902" s="22"/>
      <c r="AG902" s="22" t="s">
        <v>60</v>
      </c>
      <c r="AH902" s="54">
        <v>2481.0</v>
      </c>
      <c r="AI902" s="22" t="s">
        <v>68</v>
      </c>
      <c r="AJ902" s="27">
        <v>50.0</v>
      </c>
      <c r="AK902" s="31" t="s">
        <v>25</v>
      </c>
      <c r="AL902" s="28">
        <v>44833.0</v>
      </c>
      <c r="AM902" s="29">
        <v>44937.81995370371</v>
      </c>
      <c r="AN902" s="30">
        <v>2.0</v>
      </c>
      <c r="AO902" s="22"/>
      <c r="AP902" s="22"/>
      <c r="AQ902" s="22"/>
      <c r="AR902" s="22"/>
      <c r="AS902" s="22"/>
      <c r="AT902" s="70"/>
      <c r="AU902" s="22"/>
      <c r="AV902" s="57" t="str">
        <f>IFERROR(__xludf.DUMMYFUNCTION("""COMPUTED_VALUE"""),"Ellison")</f>
        <v>Ellison</v>
      </c>
      <c r="AW902" s="46">
        <f t="shared" si="7"/>
        <v>50</v>
      </c>
      <c r="AX902" s="47">
        <f t="shared" ref="AX902:BQ902" si="2817">SUMIFS($AJ:$AJ,$V:$V,$AV902,$AK:$AK,AX$2)</f>
        <v>50</v>
      </c>
      <c r="AY902" s="48">
        <f t="shared" si="2817"/>
        <v>0</v>
      </c>
      <c r="AZ902" s="48">
        <f t="shared" si="2817"/>
        <v>0</v>
      </c>
      <c r="BA902" s="48">
        <f t="shared" si="2817"/>
        <v>0</v>
      </c>
      <c r="BB902" s="48">
        <f t="shared" si="2817"/>
        <v>0</v>
      </c>
      <c r="BC902" s="48">
        <f t="shared" si="2817"/>
        <v>0</v>
      </c>
      <c r="BD902" s="48">
        <f t="shared" si="2817"/>
        <v>0</v>
      </c>
      <c r="BE902" s="48">
        <f t="shared" si="2817"/>
        <v>0</v>
      </c>
      <c r="BF902" s="48">
        <f t="shared" si="2817"/>
        <v>0</v>
      </c>
      <c r="BG902" s="48">
        <f t="shared" si="2817"/>
        <v>0</v>
      </c>
      <c r="BH902" s="48">
        <f t="shared" si="2817"/>
        <v>0</v>
      </c>
      <c r="BI902" s="48">
        <f t="shared" si="2817"/>
        <v>0</v>
      </c>
      <c r="BJ902" s="48">
        <f t="shared" si="2817"/>
        <v>0</v>
      </c>
      <c r="BK902" s="48">
        <f t="shared" si="2817"/>
        <v>0</v>
      </c>
      <c r="BL902" s="48">
        <f t="shared" si="2817"/>
        <v>0</v>
      </c>
      <c r="BM902" s="48">
        <f t="shared" si="2817"/>
        <v>0</v>
      </c>
      <c r="BN902" s="48">
        <f t="shared" si="2817"/>
        <v>0</v>
      </c>
      <c r="BO902" s="48">
        <f t="shared" si="2817"/>
        <v>0</v>
      </c>
      <c r="BP902" s="48">
        <f t="shared" si="2817"/>
        <v>0</v>
      </c>
      <c r="BQ902" s="48">
        <f t="shared" si="2817"/>
        <v>0</v>
      </c>
      <c r="BR902" s="36">
        <f t="shared" si="9"/>
        <v>0</v>
      </c>
      <c r="BS902" s="38">
        <f t="shared" si="10"/>
        <v>1</v>
      </c>
      <c r="BT902" s="49">
        <f t="shared" si="11"/>
        <v>0</v>
      </c>
      <c r="BU902" s="38">
        <f t="shared" si="12"/>
        <v>1000</v>
      </c>
      <c r="BV902" s="57" t="str">
        <f>IFERROR(__xludf.DUMMYFUNCTION("""COMPUTED_VALUE"""),"Ellison")</f>
        <v>Ellison</v>
      </c>
      <c r="BW902" s="46">
        <f t="shared" si="13"/>
        <v>50</v>
      </c>
      <c r="BX902" s="47">
        <f t="shared" ref="BX902:CA902" si="2818">AX902-$BU902</f>
        <v>-950</v>
      </c>
      <c r="BY902" s="47">
        <f t="shared" si="2818"/>
        <v>-1000</v>
      </c>
      <c r="BZ902" s="47">
        <f t="shared" si="2818"/>
        <v>-1000</v>
      </c>
      <c r="CA902" s="47">
        <f t="shared" si="2818"/>
        <v>-1000</v>
      </c>
      <c r="CB902" s="47">
        <f t="shared" si="15"/>
        <v>-10000</v>
      </c>
      <c r="CC902" s="47">
        <f t="shared" ref="CC902:CQ902" si="2819">BC902-$BU902</f>
        <v>-1000</v>
      </c>
      <c r="CD902" s="47">
        <f t="shared" si="2819"/>
        <v>-1000</v>
      </c>
      <c r="CE902" s="47">
        <f t="shared" si="2819"/>
        <v>-1000</v>
      </c>
      <c r="CF902" s="47">
        <f t="shared" si="2819"/>
        <v>-1000</v>
      </c>
      <c r="CG902" s="47">
        <f t="shared" si="2819"/>
        <v>-1000</v>
      </c>
      <c r="CH902" s="47">
        <f t="shared" si="2819"/>
        <v>-1000</v>
      </c>
      <c r="CI902" s="47">
        <f t="shared" si="2819"/>
        <v>-1000</v>
      </c>
      <c r="CJ902" s="47">
        <f t="shared" si="2819"/>
        <v>-1000</v>
      </c>
      <c r="CK902" s="47">
        <f t="shared" si="2819"/>
        <v>-1000</v>
      </c>
      <c r="CL902" s="47">
        <f t="shared" si="2819"/>
        <v>-1000</v>
      </c>
      <c r="CM902" s="47">
        <f t="shared" si="2819"/>
        <v>-1000</v>
      </c>
      <c r="CN902" s="47">
        <f t="shared" si="2819"/>
        <v>-1000</v>
      </c>
      <c r="CO902" s="47">
        <f t="shared" si="2819"/>
        <v>-1000</v>
      </c>
      <c r="CP902" s="47">
        <f t="shared" si="2819"/>
        <v>-1000</v>
      </c>
      <c r="CQ902" s="47">
        <f t="shared" si="2819"/>
        <v>-1000</v>
      </c>
      <c r="CR902" s="47"/>
      <c r="CS902" s="47"/>
      <c r="CT902" s="47"/>
      <c r="CU902" s="74"/>
      <c r="CV902" s="74"/>
      <c r="CW902" s="74" t="str">
        <f>IFERROR(__xludf.DUMMYFUNCTION("IF(REGEXMATCH(UPPER(CU902), ""DALLAS""),,CU902)"),"")</f>
        <v/>
      </c>
      <c r="CX902" s="74"/>
      <c r="CY902" s="74"/>
      <c r="CZ902" s="74"/>
      <c r="DA902" s="75"/>
      <c r="DB902" s="74"/>
      <c r="DC902" s="74"/>
      <c r="DD902" s="74"/>
      <c r="DE902" s="74"/>
      <c r="DF902" s="74"/>
      <c r="DG902" s="74"/>
      <c r="DH902" s="74"/>
      <c r="DI902" s="74"/>
      <c r="DJ902" s="74"/>
      <c r="DK902" s="74"/>
      <c r="DL902" s="74"/>
      <c r="DM902" s="74"/>
      <c r="DN902" s="74"/>
      <c r="DO902" s="74"/>
      <c r="DP902" s="74"/>
      <c r="DQ902" s="74"/>
      <c r="DR902" s="74"/>
      <c r="DS902" s="74"/>
      <c r="DT902" s="74"/>
      <c r="DU902" s="74"/>
      <c r="DV902" s="74"/>
      <c r="DW902" s="74"/>
    </row>
    <row r="903">
      <c r="A903" s="40" t="s">
        <v>55</v>
      </c>
      <c r="B903" s="41" t="s">
        <v>56</v>
      </c>
      <c r="C903" s="31" t="s">
        <v>2202</v>
      </c>
      <c r="D903" s="25" t="str">
        <f>IFERROR(__xludf.DUMMYFUNCTION("SPLIT(C903,"" "")"),"Parish,")</f>
        <v>Parish,</v>
      </c>
      <c r="E903" s="40" t="str">
        <f>IFERROR(__xludf.DUMMYFUNCTION("""COMPUTED_VALUE"""),"Donald
3114")</f>
        <v>Donald
3114</v>
      </c>
      <c r="F903" s="40" t="str">
        <f>IFERROR(__xludf.DUMMYFUNCTION("""COMPUTED_VALUE"""),"Dorrington")</f>
        <v>Dorrington</v>
      </c>
      <c r="G903" s="40" t="str">
        <f>IFERROR(__xludf.DUMMYFUNCTION("""COMPUTED_VALUE"""),"Cir
Dallas,")</f>
        <v>Cir
Dallas,</v>
      </c>
      <c r="H903" s="40" t="str">
        <f>IFERROR(__xludf.DUMMYFUNCTION("""COMPUTED_VALUE"""),"TX")</f>
        <v>TX</v>
      </c>
      <c r="I903" s="40">
        <f>IFERROR(__xludf.DUMMYFUNCTION("""COMPUTED_VALUE"""),75228.0)</f>
        <v>75228</v>
      </c>
      <c r="J903" s="40"/>
      <c r="K903" s="40"/>
      <c r="L903" s="40"/>
      <c r="M903" s="40"/>
      <c r="N903" s="40"/>
      <c r="O903" s="40"/>
      <c r="P903" s="40"/>
      <c r="Q903" s="40"/>
      <c r="R903" s="40"/>
      <c r="S903" s="40"/>
      <c r="T903" s="40"/>
      <c r="U903" s="24" t="str">
        <f>IFERROR(__xludf.DUMMYFUNCTION("SPLIT(E903,""01234567890"")"),"Donald
")</f>
        <v>Donald
</v>
      </c>
      <c r="V903" s="24" t="str">
        <f>IFERROR(__xludf.DUMMYFUNCTION("SPLIT(D903,"","")"),"Parish")</f>
        <v>Parish</v>
      </c>
      <c r="W903" s="25" t="str">
        <f t="shared" si="1"/>
        <v>DONALD
 PARISH</v>
      </c>
      <c r="X903" s="40"/>
      <c r="Y903" s="40"/>
      <c r="Z903" s="25" t="str">
        <f>IFERROR(__xludf.DUMMYFUNCTION("SPLIT(C903,""
"")"),"Parish, Donald")</f>
        <v>Parish, Donald</v>
      </c>
      <c r="AA903" s="40" t="str">
        <f>IFERROR(__xludf.DUMMYFUNCTION("""COMPUTED_VALUE"""),"3114 Dorrington Cir")</f>
        <v>3114 Dorrington Cir</v>
      </c>
      <c r="AB903" s="40" t="str">
        <f>IFERROR(__xludf.DUMMYFUNCTION("""COMPUTED_VALUE"""),"Dallas, TX 75228")</f>
        <v>Dallas, TX 75228</v>
      </c>
      <c r="AC903" s="31" t="s">
        <v>2203</v>
      </c>
      <c r="AD903" s="40"/>
      <c r="AE903" s="40"/>
      <c r="AF903" s="40"/>
      <c r="AG903" s="40" t="s">
        <v>60</v>
      </c>
      <c r="AH903" s="42">
        <v>2481.0</v>
      </c>
      <c r="AI903" s="40" t="s">
        <v>68</v>
      </c>
      <c r="AJ903" s="27">
        <v>100.0</v>
      </c>
      <c r="AK903" s="31" t="s">
        <v>25</v>
      </c>
      <c r="AL903" s="43">
        <v>44833.0</v>
      </c>
      <c r="AM903" s="44">
        <v>44937.81995370371</v>
      </c>
      <c r="AN903" s="30">
        <v>2.0</v>
      </c>
      <c r="AO903" s="40"/>
      <c r="AP903" s="40"/>
      <c r="AQ903" s="40"/>
      <c r="AR903" s="40"/>
      <c r="AS903" s="40"/>
      <c r="AT903" s="47"/>
      <c r="AU903" s="40"/>
      <c r="AV903" s="46" t="str">
        <f>IFERROR(__xludf.DUMMYFUNCTION("""COMPUTED_VALUE"""),"Edgemon")</f>
        <v>Edgemon</v>
      </c>
      <c r="AW903" s="46">
        <f t="shared" si="7"/>
        <v>100</v>
      </c>
      <c r="AX903" s="47">
        <f t="shared" ref="AX903:BQ903" si="2820">SUMIFS($AJ:$AJ,$V:$V,$AV903,$AK:$AK,AX$2)</f>
        <v>100</v>
      </c>
      <c r="AY903" s="48">
        <f t="shared" si="2820"/>
        <v>0</v>
      </c>
      <c r="AZ903" s="48">
        <f t="shared" si="2820"/>
        <v>0</v>
      </c>
      <c r="BA903" s="48">
        <f t="shared" si="2820"/>
        <v>0</v>
      </c>
      <c r="BB903" s="48">
        <f t="shared" si="2820"/>
        <v>0</v>
      </c>
      <c r="BC903" s="48">
        <f t="shared" si="2820"/>
        <v>0</v>
      </c>
      <c r="BD903" s="48">
        <f t="shared" si="2820"/>
        <v>0</v>
      </c>
      <c r="BE903" s="48">
        <f t="shared" si="2820"/>
        <v>0</v>
      </c>
      <c r="BF903" s="48">
        <f t="shared" si="2820"/>
        <v>0</v>
      </c>
      <c r="BG903" s="48">
        <f t="shared" si="2820"/>
        <v>0</v>
      </c>
      <c r="BH903" s="48">
        <f t="shared" si="2820"/>
        <v>0</v>
      </c>
      <c r="BI903" s="48">
        <f t="shared" si="2820"/>
        <v>0</v>
      </c>
      <c r="BJ903" s="48">
        <f t="shared" si="2820"/>
        <v>0</v>
      </c>
      <c r="BK903" s="48">
        <f t="shared" si="2820"/>
        <v>0</v>
      </c>
      <c r="BL903" s="48">
        <f t="shared" si="2820"/>
        <v>0</v>
      </c>
      <c r="BM903" s="48">
        <f t="shared" si="2820"/>
        <v>0</v>
      </c>
      <c r="BN903" s="48">
        <f t="shared" si="2820"/>
        <v>0</v>
      </c>
      <c r="BO903" s="48">
        <f t="shared" si="2820"/>
        <v>0</v>
      </c>
      <c r="BP903" s="48">
        <f t="shared" si="2820"/>
        <v>0</v>
      </c>
      <c r="BQ903" s="48">
        <f t="shared" si="2820"/>
        <v>0</v>
      </c>
      <c r="BR903" s="36">
        <f t="shared" si="9"/>
        <v>0</v>
      </c>
      <c r="BS903" s="38">
        <f t="shared" si="10"/>
        <v>1</v>
      </c>
      <c r="BT903" s="49">
        <f t="shared" si="11"/>
        <v>0</v>
      </c>
      <c r="BU903" s="38">
        <f t="shared" si="12"/>
        <v>1000</v>
      </c>
      <c r="BV903" s="46" t="str">
        <f>IFERROR(__xludf.DUMMYFUNCTION("""COMPUTED_VALUE"""),"Edgemon")</f>
        <v>Edgemon</v>
      </c>
      <c r="BW903" s="46">
        <f t="shared" si="13"/>
        <v>100</v>
      </c>
      <c r="BX903" s="47">
        <f t="shared" ref="BX903:CA903" si="2821">AX903-$BU903</f>
        <v>-900</v>
      </c>
      <c r="BY903" s="47">
        <f t="shared" si="2821"/>
        <v>-1000</v>
      </c>
      <c r="BZ903" s="47">
        <f t="shared" si="2821"/>
        <v>-1000</v>
      </c>
      <c r="CA903" s="47">
        <f t="shared" si="2821"/>
        <v>-1000</v>
      </c>
      <c r="CB903" s="47">
        <f t="shared" si="15"/>
        <v>-10000</v>
      </c>
      <c r="CC903" s="47">
        <f t="shared" ref="CC903:CQ903" si="2822">BC903-$BU903</f>
        <v>-1000</v>
      </c>
      <c r="CD903" s="47">
        <f t="shared" si="2822"/>
        <v>-1000</v>
      </c>
      <c r="CE903" s="47">
        <f t="shared" si="2822"/>
        <v>-1000</v>
      </c>
      <c r="CF903" s="47">
        <f t="shared" si="2822"/>
        <v>-1000</v>
      </c>
      <c r="CG903" s="47">
        <f t="shared" si="2822"/>
        <v>-1000</v>
      </c>
      <c r="CH903" s="47">
        <f t="shared" si="2822"/>
        <v>-1000</v>
      </c>
      <c r="CI903" s="47">
        <f t="shared" si="2822"/>
        <v>-1000</v>
      </c>
      <c r="CJ903" s="47">
        <f t="shared" si="2822"/>
        <v>-1000</v>
      </c>
      <c r="CK903" s="47">
        <f t="shared" si="2822"/>
        <v>-1000</v>
      </c>
      <c r="CL903" s="47">
        <f t="shared" si="2822"/>
        <v>-1000</v>
      </c>
      <c r="CM903" s="47">
        <f t="shared" si="2822"/>
        <v>-1000</v>
      </c>
      <c r="CN903" s="47">
        <f t="shared" si="2822"/>
        <v>-1000</v>
      </c>
      <c r="CO903" s="47">
        <f t="shared" si="2822"/>
        <v>-1000</v>
      </c>
      <c r="CP903" s="47">
        <f t="shared" si="2822"/>
        <v>-1000</v>
      </c>
      <c r="CQ903" s="47">
        <f t="shared" si="2822"/>
        <v>-1000</v>
      </c>
      <c r="CR903" s="47"/>
      <c r="CS903" s="47"/>
      <c r="CT903" s="47"/>
      <c r="CU903" s="74"/>
      <c r="CV903" s="74"/>
      <c r="CW903" s="74" t="str">
        <f>IFERROR(__xludf.DUMMYFUNCTION("IF(REGEXMATCH(UPPER(CU903), ""DALLAS""),,CU903)"),"")</f>
        <v/>
      </c>
      <c r="CX903" s="74"/>
      <c r="CY903" s="74"/>
      <c r="CZ903" s="74"/>
      <c r="DA903" s="75"/>
      <c r="DB903" s="74"/>
      <c r="DC903" s="74"/>
      <c r="DD903" s="74"/>
      <c r="DE903" s="74"/>
      <c r="DF903" s="74"/>
      <c r="DG903" s="74"/>
      <c r="DH903" s="74"/>
      <c r="DI903" s="74"/>
      <c r="DJ903" s="74"/>
      <c r="DK903" s="74"/>
      <c r="DL903" s="74"/>
      <c r="DM903" s="74"/>
      <c r="DN903" s="74"/>
      <c r="DO903" s="74"/>
      <c r="DP903" s="74"/>
      <c r="DQ903" s="74"/>
      <c r="DR903" s="74"/>
      <c r="DS903" s="74"/>
      <c r="DT903" s="74"/>
      <c r="DU903" s="74"/>
      <c r="DV903" s="74"/>
      <c r="DW903" s="74"/>
    </row>
    <row r="904">
      <c r="A904" s="22" t="s">
        <v>55</v>
      </c>
      <c r="B904" s="23" t="s">
        <v>56</v>
      </c>
      <c r="C904" s="31" t="s">
        <v>2204</v>
      </c>
      <c r="D904" s="25" t="str">
        <f>IFERROR(__xludf.DUMMYFUNCTION("SPLIT(C904,"" "")"),"Davidson,")</f>
        <v>Davidson,</v>
      </c>
      <c r="E904" s="22" t="str">
        <f>IFERROR(__xludf.DUMMYFUNCTION("""COMPUTED_VALUE"""),"John")</f>
        <v>John</v>
      </c>
      <c r="F904" s="22" t="str">
        <f>IFERROR(__xludf.DUMMYFUNCTION("""COMPUTED_VALUE"""),"Mark
9010")</f>
        <v>Mark
9010</v>
      </c>
      <c r="G904" s="22" t="str">
        <f>IFERROR(__xludf.DUMMYFUNCTION("""COMPUTED_VALUE"""),"Eustis")</f>
        <v>Eustis</v>
      </c>
      <c r="H904" s="22" t="str">
        <f>IFERROR(__xludf.DUMMYFUNCTION("""COMPUTED_VALUE"""),"Ave
Dallas,")</f>
        <v>Ave
Dallas,</v>
      </c>
      <c r="I904" s="22" t="str">
        <f>IFERROR(__xludf.DUMMYFUNCTION("""COMPUTED_VALUE"""),"TX")</f>
        <v>TX</v>
      </c>
      <c r="J904" s="22">
        <f>IFERROR(__xludf.DUMMYFUNCTION("""COMPUTED_VALUE"""),75218.0)</f>
        <v>75218</v>
      </c>
      <c r="K904" s="22"/>
      <c r="L904" s="22"/>
      <c r="M904" s="22"/>
      <c r="N904" s="22"/>
      <c r="O904" s="22"/>
      <c r="P904" s="22"/>
      <c r="Q904" s="22"/>
      <c r="R904" s="22"/>
      <c r="S904" s="22"/>
      <c r="T904" s="22"/>
      <c r="U904" s="24" t="str">
        <f>IFERROR(__xludf.DUMMYFUNCTION("SPLIT(E904,""01234567890"")"),"John")</f>
        <v>John</v>
      </c>
      <c r="V904" s="24" t="str">
        <f>IFERROR(__xludf.DUMMYFUNCTION("SPLIT(D904,"","")"),"Davidson")</f>
        <v>Davidson</v>
      </c>
      <c r="W904" s="25" t="str">
        <f t="shared" si="1"/>
        <v>JOHN DAVIDSON</v>
      </c>
      <c r="X904" s="22"/>
      <c r="Y904" s="22"/>
      <c r="Z904" s="25" t="str">
        <f>IFERROR(__xludf.DUMMYFUNCTION("SPLIT(C904,""
"")"),"Davidson, John Mark")</f>
        <v>Davidson, John Mark</v>
      </c>
      <c r="AA904" s="22" t="str">
        <f>IFERROR(__xludf.DUMMYFUNCTION("""COMPUTED_VALUE"""),"9010 Eustis Ave")</f>
        <v>9010 Eustis Ave</v>
      </c>
      <c r="AB904" s="22" t="str">
        <f>IFERROR(__xludf.DUMMYFUNCTION("""COMPUTED_VALUE"""),"Dallas, TX 75218")</f>
        <v>Dallas, TX 75218</v>
      </c>
      <c r="AC904" s="31" t="s">
        <v>2205</v>
      </c>
      <c r="AD904" s="22"/>
      <c r="AE904" s="22"/>
      <c r="AF904" s="22"/>
      <c r="AG904" s="22" t="s">
        <v>60</v>
      </c>
      <c r="AH904" s="54">
        <v>2481.0</v>
      </c>
      <c r="AI904" s="22" t="s">
        <v>68</v>
      </c>
      <c r="AJ904" s="27">
        <v>100.0</v>
      </c>
      <c r="AK904" s="31" t="s">
        <v>25</v>
      </c>
      <c r="AL904" s="28">
        <v>44833.0</v>
      </c>
      <c r="AM904" s="29">
        <v>44937.81995370371</v>
      </c>
      <c r="AN904" s="30">
        <v>2.0</v>
      </c>
      <c r="AO904" s="22"/>
      <c r="AP904" s="22"/>
      <c r="AQ904" s="22"/>
      <c r="AR904" s="22"/>
      <c r="AS904" s="22"/>
      <c r="AT904" s="70"/>
      <c r="AU904" s="22"/>
      <c r="AV904" s="57" t="str">
        <f>IFERROR(__xludf.DUMMYFUNCTION("""COMPUTED_VALUE"""),"Greenhouse")</f>
        <v>Greenhouse</v>
      </c>
      <c r="AW904" s="46">
        <f t="shared" si="7"/>
        <v>100</v>
      </c>
      <c r="AX904" s="47">
        <f t="shared" ref="AX904:BQ904" si="2823">SUMIFS($AJ:$AJ,$V:$V,$AV904,$AK:$AK,AX$2)</f>
        <v>100</v>
      </c>
      <c r="AY904" s="48">
        <f t="shared" si="2823"/>
        <v>0</v>
      </c>
      <c r="AZ904" s="48">
        <f t="shared" si="2823"/>
        <v>0</v>
      </c>
      <c r="BA904" s="48">
        <f t="shared" si="2823"/>
        <v>0</v>
      </c>
      <c r="BB904" s="48">
        <f t="shared" si="2823"/>
        <v>0</v>
      </c>
      <c r="BC904" s="48">
        <f t="shared" si="2823"/>
        <v>0</v>
      </c>
      <c r="BD904" s="48">
        <f t="shared" si="2823"/>
        <v>0</v>
      </c>
      <c r="BE904" s="48">
        <f t="shared" si="2823"/>
        <v>0</v>
      </c>
      <c r="BF904" s="48">
        <f t="shared" si="2823"/>
        <v>0</v>
      </c>
      <c r="BG904" s="48">
        <f t="shared" si="2823"/>
        <v>0</v>
      </c>
      <c r="BH904" s="48">
        <f t="shared" si="2823"/>
        <v>0</v>
      </c>
      <c r="BI904" s="48">
        <f t="shared" si="2823"/>
        <v>0</v>
      </c>
      <c r="BJ904" s="48">
        <f t="shared" si="2823"/>
        <v>0</v>
      </c>
      <c r="BK904" s="48">
        <f t="shared" si="2823"/>
        <v>0</v>
      </c>
      <c r="BL904" s="48">
        <f t="shared" si="2823"/>
        <v>0</v>
      </c>
      <c r="BM904" s="48">
        <f t="shared" si="2823"/>
        <v>0</v>
      </c>
      <c r="BN904" s="48">
        <f t="shared" si="2823"/>
        <v>0</v>
      </c>
      <c r="BO904" s="48">
        <f t="shared" si="2823"/>
        <v>0</v>
      </c>
      <c r="BP904" s="48">
        <f t="shared" si="2823"/>
        <v>0</v>
      </c>
      <c r="BQ904" s="48">
        <f t="shared" si="2823"/>
        <v>0</v>
      </c>
      <c r="BR904" s="36">
        <f t="shared" si="9"/>
        <v>0</v>
      </c>
      <c r="BS904" s="38">
        <f t="shared" si="10"/>
        <v>1</v>
      </c>
      <c r="BT904" s="49">
        <f t="shared" si="11"/>
        <v>0</v>
      </c>
      <c r="BU904" s="38">
        <f t="shared" si="12"/>
        <v>1000</v>
      </c>
      <c r="BV904" s="57" t="str">
        <f>IFERROR(__xludf.DUMMYFUNCTION("""COMPUTED_VALUE"""),"Greenhouse")</f>
        <v>Greenhouse</v>
      </c>
      <c r="BW904" s="46">
        <f t="shared" si="13"/>
        <v>100</v>
      </c>
      <c r="BX904" s="47">
        <f t="shared" ref="BX904:CA904" si="2824">AX904-$BU904</f>
        <v>-900</v>
      </c>
      <c r="BY904" s="47">
        <f t="shared" si="2824"/>
        <v>-1000</v>
      </c>
      <c r="BZ904" s="47">
        <f t="shared" si="2824"/>
        <v>-1000</v>
      </c>
      <c r="CA904" s="47">
        <f t="shared" si="2824"/>
        <v>-1000</v>
      </c>
      <c r="CB904" s="47">
        <f t="shared" si="15"/>
        <v>-10000</v>
      </c>
      <c r="CC904" s="47">
        <f t="shared" ref="CC904:CQ904" si="2825">BC904-$BU904</f>
        <v>-1000</v>
      </c>
      <c r="CD904" s="47">
        <f t="shared" si="2825"/>
        <v>-1000</v>
      </c>
      <c r="CE904" s="47">
        <f t="shared" si="2825"/>
        <v>-1000</v>
      </c>
      <c r="CF904" s="47">
        <f t="shared" si="2825"/>
        <v>-1000</v>
      </c>
      <c r="CG904" s="47">
        <f t="shared" si="2825"/>
        <v>-1000</v>
      </c>
      <c r="CH904" s="47">
        <f t="shared" si="2825"/>
        <v>-1000</v>
      </c>
      <c r="CI904" s="47">
        <f t="shared" si="2825"/>
        <v>-1000</v>
      </c>
      <c r="CJ904" s="47">
        <f t="shared" si="2825"/>
        <v>-1000</v>
      </c>
      <c r="CK904" s="47">
        <f t="shared" si="2825"/>
        <v>-1000</v>
      </c>
      <c r="CL904" s="47">
        <f t="shared" si="2825"/>
        <v>-1000</v>
      </c>
      <c r="CM904" s="47">
        <f t="shared" si="2825"/>
        <v>-1000</v>
      </c>
      <c r="CN904" s="47">
        <f t="shared" si="2825"/>
        <v>-1000</v>
      </c>
      <c r="CO904" s="47">
        <f t="shared" si="2825"/>
        <v>-1000</v>
      </c>
      <c r="CP904" s="47">
        <f t="shared" si="2825"/>
        <v>-1000</v>
      </c>
      <c r="CQ904" s="47">
        <f t="shared" si="2825"/>
        <v>-1000</v>
      </c>
      <c r="CR904" s="47"/>
      <c r="CS904" s="47"/>
      <c r="CT904" s="47"/>
      <c r="CU904" s="74"/>
      <c r="CV904" s="74"/>
      <c r="CW904" s="74" t="str">
        <f>IFERROR(__xludf.DUMMYFUNCTION("IF(REGEXMATCH(UPPER(CU904), ""DALLAS""),,CU904)"),"")</f>
        <v/>
      </c>
      <c r="CX904" s="74"/>
      <c r="CY904" s="74"/>
      <c r="CZ904" s="74"/>
      <c r="DA904" s="75"/>
      <c r="DB904" s="74"/>
      <c r="DC904" s="74"/>
      <c r="DD904" s="74"/>
      <c r="DE904" s="74"/>
      <c r="DF904" s="74"/>
      <c r="DG904" s="74"/>
      <c r="DH904" s="74"/>
      <c r="DI904" s="74"/>
      <c r="DJ904" s="74"/>
      <c r="DK904" s="74"/>
      <c r="DL904" s="74"/>
      <c r="DM904" s="74"/>
      <c r="DN904" s="74"/>
      <c r="DO904" s="74"/>
      <c r="DP904" s="74"/>
      <c r="DQ904" s="74"/>
      <c r="DR904" s="74"/>
      <c r="DS904" s="74"/>
      <c r="DT904" s="74"/>
      <c r="DU904" s="74"/>
      <c r="DV904" s="74"/>
      <c r="DW904" s="74"/>
    </row>
    <row r="905">
      <c r="A905" s="40" t="s">
        <v>55</v>
      </c>
      <c r="B905" s="41" t="s">
        <v>56</v>
      </c>
      <c r="C905" s="31" t="s">
        <v>2206</v>
      </c>
      <c r="D905" s="25" t="str">
        <f>IFERROR(__xludf.DUMMYFUNCTION("SPLIT(C905,"" "")"),"Vaca,")</f>
        <v>Vaca,</v>
      </c>
      <c r="E905" s="40" t="str">
        <f>IFERROR(__xludf.DUMMYFUNCTION("""COMPUTED_VALUE"""),"Nina
10670")</f>
        <v>Nina
10670</v>
      </c>
      <c r="F905" s="40" t="str">
        <f>IFERROR(__xludf.DUMMYFUNCTION("""COMPUTED_VALUE"""),"N")</f>
        <v>N</v>
      </c>
      <c r="G905" s="40" t="str">
        <f>IFERROR(__xludf.DUMMYFUNCTION("""COMPUTED_VALUE"""),"Central")</f>
        <v>Central</v>
      </c>
      <c r="H905" s="40" t="str">
        <f>IFERROR(__xludf.DUMMYFUNCTION("""COMPUTED_VALUE"""),"Expy
Dallas,")</f>
        <v>Expy
Dallas,</v>
      </c>
      <c r="I905" s="40" t="str">
        <f>IFERROR(__xludf.DUMMYFUNCTION("""COMPUTED_VALUE"""),"TX")</f>
        <v>TX</v>
      </c>
      <c r="J905" s="40">
        <f>IFERROR(__xludf.DUMMYFUNCTION("""COMPUTED_VALUE"""),75231.0)</f>
        <v>75231</v>
      </c>
      <c r="K905" s="40"/>
      <c r="L905" s="40"/>
      <c r="M905" s="40"/>
      <c r="N905" s="40"/>
      <c r="O905" s="40"/>
      <c r="P905" s="40"/>
      <c r="Q905" s="40"/>
      <c r="R905" s="40"/>
      <c r="S905" s="40"/>
      <c r="T905" s="40"/>
      <c r="U905" s="24" t="str">
        <f>IFERROR(__xludf.DUMMYFUNCTION("SPLIT(E905,""01234567890"")"),"Nina
")</f>
        <v>Nina
</v>
      </c>
      <c r="V905" s="24" t="str">
        <f>IFERROR(__xludf.DUMMYFUNCTION("SPLIT(D905,"","")"),"Vaca")</f>
        <v>Vaca</v>
      </c>
      <c r="W905" s="25" t="str">
        <f t="shared" si="1"/>
        <v>NINA
 VACA</v>
      </c>
      <c r="X905" s="40"/>
      <c r="Y905" s="40"/>
      <c r="Z905" s="25" t="str">
        <f>IFERROR(__xludf.DUMMYFUNCTION("SPLIT(C905,""
"")"),"Vaca, Nina")</f>
        <v>Vaca, Nina</v>
      </c>
      <c r="AA905" s="40" t="str">
        <f>IFERROR(__xludf.DUMMYFUNCTION("""COMPUTED_VALUE"""),"10670 N Central Expy")</f>
        <v>10670 N Central Expy</v>
      </c>
      <c r="AB905" s="40" t="str">
        <f>IFERROR(__xludf.DUMMYFUNCTION("""COMPUTED_VALUE"""),"Dallas, TX 75231")</f>
        <v>Dallas, TX 75231</v>
      </c>
      <c r="AC905" s="31" t="s">
        <v>2207</v>
      </c>
      <c r="AD905" s="40"/>
      <c r="AE905" s="40"/>
      <c r="AF905" s="40"/>
      <c r="AG905" s="40" t="s">
        <v>60</v>
      </c>
      <c r="AH905" s="42">
        <v>2481.0</v>
      </c>
      <c r="AI905" s="40" t="s">
        <v>68</v>
      </c>
      <c r="AJ905" s="27">
        <v>5000.0</v>
      </c>
      <c r="AK905" s="31" t="s">
        <v>25</v>
      </c>
      <c r="AL905" s="43">
        <v>44833.0</v>
      </c>
      <c r="AM905" s="44">
        <v>44937.81995370371</v>
      </c>
      <c r="AN905" s="30">
        <v>2.0</v>
      </c>
      <c r="AO905" s="40"/>
      <c r="AP905" s="40"/>
      <c r="AQ905" s="40"/>
      <c r="AR905" s="40"/>
      <c r="AS905" s="40"/>
      <c r="AT905" s="47"/>
      <c r="AU905" s="40"/>
      <c r="AV905" s="46" t="str">
        <f>IFERROR(__xludf.DUMMYFUNCTION("""COMPUTED_VALUE"""),"McLaren")</f>
        <v>McLaren</v>
      </c>
      <c r="AW905" s="46">
        <f t="shared" si="7"/>
        <v>237.2</v>
      </c>
      <c r="AX905" s="47">
        <f t="shared" ref="AX905:BQ905" si="2826">SUMIFS($AJ:$AJ,$V:$V,$AV905,$AK:$AK,AX$2)</f>
        <v>237.2</v>
      </c>
      <c r="AY905" s="48">
        <f t="shared" si="2826"/>
        <v>0</v>
      </c>
      <c r="AZ905" s="48">
        <f t="shared" si="2826"/>
        <v>0</v>
      </c>
      <c r="BA905" s="48">
        <f t="shared" si="2826"/>
        <v>0</v>
      </c>
      <c r="BB905" s="48">
        <f t="shared" si="2826"/>
        <v>0</v>
      </c>
      <c r="BC905" s="48">
        <f t="shared" si="2826"/>
        <v>0</v>
      </c>
      <c r="BD905" s="48">
        <f t="shared" si="2826"/>
        <v>0</v>
      </c>
      <c r="BE905" s="48">
        <f t="shared" si="2826"/>
        <v>0</v>
      </c>
      <c r="BF905" s="48">
        <f t="shared" si="2826"/>
        <v>0</v>
      </c>
      <c r="BG905" s="48">
        <f t="shared" si="2826"/>
        <v>0</v>
      </c>
      <c r="BH905" s="48">
        <f t="shared" si="2826"/>
        <v>0</v>
      </c>
      <c r="BI905" s="48">
        <f t="shared" si="2826"/>
        <v>0</v>
      </c>
      <c r="BJ905" s="48">
        <f t="shared" si="2826"/>
        <v>0</v>
      </c>
      <c r="BK905" s="48">
        <f t="shared" si="2826"/>
        <v>0</v>
      </c>
      <c r="BL905" s="48">
        <f t="shared" si="2826"/>
        <v>0</v>
      </c>
      <c r="BM905" s="48">
        <f t="shared" si="2826"/>
        <v>0</v>
      </c>
      <c r="BN905" s="48">
        <f t="shared" si="2826"/>
        <v>0</v>
      </c>
      <c r="BO905" s="48">
        <f t="shared" si="2826"/>
        <v>0</v>
      </c>
      <c r="BP905" s="48">
        <f t="shared" si="2826"/>
        <v>0</v>
      </c>
      <c r="BQ905" s="48">
        <f t="shared" si="2826"/>
        <v>0</v>
      </c>
      <c r="BR905" s="36">
        <f t="shared" si="9"/>
        <v>0</v>
      </c>
      <c r="BS905" s="38">
        <f t="shared" si="10"/>
        <v>1</v>
      </c>
      <c r="BT905" s="49">
        <f t="shared" si="11"/>
        <v>0</v>
      </c>
      <c r="BU905" s="38">
        <f t="shared" si="12"/>
        <v>1000</v>
      </c>
      <c r="BV905" s="46" t="str">
        <f>IFERROR(__xludf.DUMMYFUNCTION("""COMPUTED_VALUE"""),"McLaren")</f>
        <v>McLaren</v>
      </c>
      <c r="BW905" s="46">
        <f t="shared" si="13"/>
        <v>237.2</v>
      </c>
      <c r="BX905" s="47">
        <f t="shared" ref="BX905:CA905" si="2827">AX905-$BU905</f>
        <v>-762.8</v>
      </c>
      <c r="BY905" s="47">
        <f t="shared" si="2827"/>
        <v>-1000</v>
      </c>
      <c r="BZ905" s="47">
        <f t="shared" si="2827"/>
        <v>-1000</v>
      </c>
      <c r="CA905" s="47">
        <f t="shared" si="2827"/>
        <v>-1000</v>
      </c>
      <c r="CB905" s="47">
        <f t="shared" si="15"/>
        <v>-10000</v>
      </c>
      <c r="CC905" s="47">
        <f t="shared" ref="CC905:CQ905" si="2828">BC905-$BU905</f>
        <v>-1000</v>
      </c>
      <c r="CD905" s="47">
        <f t="shared" si="2828"/>
        <v>-1000</v>
      </c>
      <c r="CE905" s="47">
        <f t="shared" si="2828"/>
        <v>-1000</v>
      </c>
      <c r="CF905" s="47">
        <f t="shared" si="2828"/>
        <v>-1000</v>
      </c>
      <c r="CG905" s="47">
        <f t="shared" si="2828"/>
        <v>-1000</v>
      </c>
      <c r="CH905" s="47">
        <f t="shared" si="2828"/>
        <v>-1000</v>
      </c>
      <c r="CI905" s="47">
        <f t="shared" si="2828"/>
        <v>-1000</v>
      </c>
      <c r="CJ905" s="47">
        <f t="shared" si="2828"/>
        <v>-1000</v>
      </c>
      <c r="CK905" s="47">
        <f t="shared" si="2828"/>
        <v>-1000</v>
      </c>
      <c r="CL905" s="47">
        <f t="shared" si="2828"/>
        <v>-1000</v>
      </c>
      <c r="CM905" s="47">
        <f t="shared" si="2828"/>
        <v>-1000</v>
      </c>
      <c r="CN905" s="47">
        <f t="shared" si="2828"/>
        <v>-1000</v>
      </c>
      <c r="CO905" s="47">
        <f t="shared" si="2828"/>
        <v>-1000</v>
      </c>
      <c r="CP905" s="47">
        <f t="shared" si="2828"/>
        <v>-1000</v>
      </c>
      <c r="CQ905" s="47">
        <f t="shared" si="2828"/>
        <v>-1000</v>
      </c>
      <c r="CR905" s="47"/>
      <c r="CS905" s="47"/>
      <c r="CT905" s="47"/>
      <c r="CU905" s="74"/>
      <c r="CV905" s="74"/>
      <c r="CW905" s="74" t="str">
        <f>IFERROR(__xludf.DUMMYFUNCTION("IF(REGEXMATCH(UPPER(CU905), ""DALLAS""),,CU905)"),"")</f>
        <v/>
      </c>
      <c r="CX905" s="74"/>
      <c r="CY905" s="74"/>
      <c r="CZ905" s="74"/>
      <c r="DA905" s="75"/>
      <c r="DB905" s="74"/>
      <c r="DC905" s="74"/>
      <c r="DD905" s="74"/>
      <c r="DE905" s="74"/>
      <c r="DF905" s="74"/>
      <c r="DG905" s="74"/>
      <c r="DH905" s="74"/>
      <c r="DI905" s="74"/>
      <c r="DJ905" s="74"/>
      <c r="DK905" s="74"/>
      <c r="DL905" s="74"/>
      <c r="DM905" s="74"/>
      <c r="DN905" s="74"/>
      <c r="DO905" s="74"/>
      <c r="DP905" s="74"/>
      <c r="DQ905" s="74"/>
      <c r="DR905" s="74"/>
      <c r="DS905" s="74"/>
      <c r="DT905" s="74"/>
      <c r="DU905" s="74"/>
      <c r="DV905" s="74"/>
      <c r="DW905" s="74"/>
    </row>
    <row r="906">
      <c r="A906" s="22" t="s">
        <v>55</v>
      </c>
      <c r="B906" s="23" t="s">
        <v>56</v>
      </c>
      <c r="C906" s="31" t="s">
        <v>2208</v>
      </c>
      <c r="D906" s="25" t="str">
        <f>IFERROR(__xludf.DUMMYFUNCTION("SPLIT(C906,"" "")"),"Hinojosa,")</f>
        <v>Hinojosa,</v>
      </c>
      <c r="E906" s="22" t="str">
        <f>IFERROR(__xludf.DUMMYFUNCTION("""COMPUTED_VALUE"""),"Gustavo
4431")</f>
        <v>Gustavo
4431</v>
      </c>
      <c r="F906" s="22" t="str">
        <f>IFERROR(__xludf.DUMMYFUNCTION("""COMPUTED_VALUE"""),"Holland")</f>
        <v>Holland</v>
      </c>
      <c r="G906" s="22" t="str">
        <f>IFERROR(__xludf.DUMMYFUNCTION("""COMPUTED_VALUE"""),"Ave
Dallas,")</f>
        <v>Ave
Dallas,</v>
      </c>
      <c r="H906" s="22" t="str">
        <f>IFERROR(__xludf.DUMMYFUNCTION("""COMPUTED_VALUE"""),"TX")</f>
        <v>TX</v>
      </c>
      <c r="I906" s="22">
        <f>IFERROR(__xludf.DUMMYFUNCTION("""COMPUTED_VALUE"""),75219.0)</f>
        <v>75219</v>
      </c>
      <c r="J906" s="22"/>
      <c r="K906" s="22"/>
      <c r="L906" s="22"/>
      <c r="M906" s="22"/>
      <c r="N906" s="22"/>
      <c r="O906" s="22"/>
      <c r="P906" s="22"/>
      <c r="Q906" s="22"/>
      <c r="R906" s="22"/>
      <c r="S906" s="22"/>
      <c r="T906" s="22"/>
      <c r="U906" s="24" t="str">
        <f>IFERROR(__xludf.DUMMYFUNCTION("SPLIT(E906,""01234567890"")"),"Gustavo
")</f>
        <v>Gustavo
</v>
      </c>
      <c r="V906" s="24" t="str">
        <f>IFERROR(__xludf.DUMMYFUNCTION("SPLIT(D906,"","")"),"Hinojosa")</f>
        <v>Hinojosa</v>
      </c>
      <c r="W906" s="25" t="str">
        <f t="shared" si="1"/>
        <v>GUSTAVO
 HINOJOSA</v>
      </c>
      <c r="X906" s="22"/>
      <c r="Y906" s="22"/>
      <c r="Z906" s="25" t="str">
        <f>IFERROR(__xludf.DUMMYFUNCTION("SPLIT(C906,""
"")"),"Hinojosa, Gustavo")</f>
        <v>Hinojosa, Gustavo</v>
      </c>
      <c r="AA906" s="22" t="str">
        <f>IFERROR(__xludf.DUMMYFUNCTION("""COMPUTED_VALUE"""),"4431 Holland Ave")</f>
        <v>4431 Holland Ave</v>
      </c>
      <c r="AB906" s="22" t="str">
        <f>IFERROR(__xludf.DUMMYFUNCTION("""COMPUTED_VALUE"""),"Dallas, TX 75219")</f>
        <v>Dallas, TX 75219</v>
      </c>
      <c r="AC906" s="31" t="s">
        <v>2209</v>
      </c>
      <c r="AD906" s="22"/>
      <c r="AE906" s="22"/>
      <c r="AF906" s="22"/>
      <c r="AG906" s="22" t="s">
        <v>60</v>
      </c>
      <c r="AH906" s="54">
        <v>2481.0</v>
      </c>
      <c r="AI906" s="22" t="s">
        <v>68</v>
      </c>
      <c r="AJ906" s="27">
        <v>100.0</v>
      </c>
      <c r="AK906" s="31" t="s">
        <v>25</v>
      </c>
      <c r="AL906" s="28">
        <v>44833.0</v>
      </c>
      <c r="AM906" s="29">
        <v>44937.81995370371</v>
      </c>
      <c r="AN906" s="30">
        <v>2.0</v>
      </c>
      <c r="AO906" s="22"/>
      <c r="AP906" s="22"/>
      <c r="AQ906" s="22"/>
      <c r="AR906" s="22"/>
      <c r="AS906" s="22"/>
      <c r="AT906" s="70"/>
      <c r="AU906" s="22"/>
      <c r="AV906" s="57" t="str">
        <f>IFERROR(__xludf.DUMMYFUNCTION("""COMPUTED_VALUE"""),"Hellyar")</f>
        <v>Hellyar</v>
      </c>
      <c r="AW906" s="46">
        <f t="shared" si="7"/>
        <v>250</v>
      </c>
      <c r="AX906" s="47">
        <f t="shared" ref="AX906:BQ906" si="2829">SUMIFS($AJ:$AJ,$V:$V,$AV906,$AK:$AK,AX$2)</f>
        <v>250</v>
      </c>
      <c r="AY906" s="48">
        <f t="shared" si="2829"/>
        <v>0</v>
      </c>
      <c r="AZ906" s="48">
        <f t="shared" si="2829"/>
        <v>0</v>
      </c>
      <c r="BA906" s="48">
        <f t="shared" si="2829"/>
        <v>0</v>
      </c>
      <c r="BB906" s="48">
        <f t="shared" si="2829"/>
        <v>0</v>
      </c>
      <c r="BC906" s="48">
        <f t="shared" si="2829"/>
        <v>0</v>
      </c>
      <c r="BD906" s="48">
        <f t="shared" si="2829"/>
        <v>0</v>
      </c>
      <c r="BE906" s="48">
        <f t="shared" si="2829"/>
        <v>0</v>
      </c>
      <c r="BF906" s="48">
        <f t="shared" si="2829"/>
        <v>0</v>
      </c>
      <c r="BG906" s="48">
        <f t="shared" si="2829"/>
        <v>0</v>
      </c>
      <c r="BH906" s="48">
        <f t="shared" si="2829"/>
        <v>0</v>
      </c>
      <c r="BI906" s="48">
        <f t="shared" si="2829"/>
        <v>0</v>
      </c>
      <c r="BJ906" s="48">
        <f t="shared" si="2829"/>
        <v>0</v>
      </c>
      <c r="BK906" s="48">
        <f t="shared" si="2829"/>
        <v>0</v>
      </c>
      <c r="BL906" s="48">
        <f t="shared" si="2829"/>
        <v>0</v>
      </c>
      <c r="BM906" s="48">
        <f t="shared" si="2829"/>
        <v>0</v>
      </c>
      <c r="BN906" s="48">
        <f t="shared" si="2829"/>
        <v>0</v>
      </c>
      <c r="BO906" s="48">
        <f t="shared" si="2829"/>
        <v>0</v>
      </c>
      <c r="BP906" s="48">
        <f t="shared" si="2829"/>
        <v>0</v>
      </c>
      <c r="BQ906" s="48">
        <f t="shared" si="2829"/>
        <v>0</v>
      </c>
      <c r="BR906" s="36">
        <f t="shared" si="9"/>
        <v>0</v>
      </c>
      <c r="BS906" s="38">
        <f t="shared" si="10"/>
        <v>1</v>
      </c>
      <c r="BT906" s="49">
        <f t="shared" si="11"/>
        <v>0</v>
      </c>
      <c r="BU906" s="38">
        <f t="shared" si="12"/>
        <v>1000</v>
      </c>
      <c r="BV906" s="57" t="str">
        <f>IFERROR(__xludf.DUMMYFUNCTION("""COMPUTED_VALUE"""),"Hellyar")</f>
        <v>Hellyar</v>
      </c>
      <c r="BW906" s="46">
        <f t="shared" si="13"/>
        <v>250</v>
      </c>
      <c r="BX906" s="47">
        <f t="shared" ref="BX906:CA906" si="2830">AX906-$BU906</f>
        <v>-750</v>
      </c>
      <c r="BY906" s="47">
        <f t="shared" si="2830"/>
        <v>-1000</v>
      </c>
      <c r="BZ906" s="47">
        <f t="shared" si="2830"/>
        <v>-1000</v>
      </c>
      <c r="CA906" s="47">
        <f t="shared" si="2830"/>
        <v>-1000</v>
      </c>
      <c r="CB906" s="47">
        <f t="shared" si="15"/>
        <v>-10000</v>
      </c>
      <c r="CC906" s="47">
        <f t="shared" ref="CC906:CQ906" si="2831">BC906-$BU906</f>
        <v>-1000</v>
      </c>
      <c r="CD906" s="47">
        <f t="shared" si="2831"/>
        <v>-1000</v>
      </c>
      <c r="CE906" s="47">
        <f t="shared" si="2831"/>
        <v>-1000</v>
      </c>
      <c r="CF906" s="47">
        <f t="shared" si="2831"/>
        <v>-1000</v>
      </c>
      <c r="CG906" s="47">
        <f t="shared" si="2831"/>
        <v>-1000</v>
      </c>
      <c r="CH906" s="47">
        <f t="shared" si="2831"/>
        <v>-1000</v>
      </c>
      <c r="CI906" s="47">
        <f t="shared" si="2831"/>
        <v>-1000</v>
      </c>
      <c r="CJ906" s="47">
        <f t="shared" si="2831"/>
        <v>-1000</v>
      </c>
      <c r="CK906" s="47">
        <f t="shared" si="2831"/>
        <v>-1000</v>
      </c>
      <c r="CL906" s="47">
        <f t="shared" si="2831"/>
        <v>-1000</v>
      </c>
      <c r="CM906" s="47">
        <f t="shared" si="2831"/>
        <v>-1000</v>
      </c>
      <c r="CN906" s="47">
        <f t="shared" si="2831"/>
        <v>-1000</v>
      </c>
      <c r="CO906" s="47">
        <f t="shared" si="2831"/>
        <v>-1000</v>
      </c>
      <c r="CP906" s="47">
        <f t="shared" si="2831"/>
        <v>-1000</v>
      </c>
      <c r="CQ906" s="47">
        <f t="shared" si="2831"/>
        <v>-1000</v>
      </c>
      <c r="CR906" s="47"/>
      <c r="CS906" s="47"/>
      <c r="CT906" s="47"/>
      <c r="CU906" s="74"/>
      <c r="CV906" s="74"/>
      <c r="CW906" s="74" t="str">
        <f>IFERROR(__xludf.DUMMYFUNCTION("IF(REGEXMATCH(UPPER(CU906), ""DALLAS""),,CU906)"),"")</f>
        <v/>
      </c>
      <c r="CX906" s="74"/>
      <c r="CY906" s="74"/>
      <c r="CZ906" s="74"/>
      <c r="DA906" s="75"/>
      <c r="DB906" s="74"/>
      <c r="DC906" s="74"/>
      <c r="DD906" s="74"/>
      <c r="DE906" s="74"/>
      <c r="DF906" s="74"/>
      <c r="DG906" s="74"/>
      <c r="DH906" s="74"/>
      <c r="DI906" s="74"/>
      <c r="DJ906" s="74"/>
      <c r="DK906" s="74"/>
      <c r="DL906" s="74"/>
      <c r="DM906" s="74"/>
      <c r="DN906" s="74"/>
      <c r="DO906" s="74"/>
      <c r="DP906" s="74"/>
      <c r="DQ906" s="74"/>
      <c r="DR906" s="74"/>
      <c r="DS906" s="74"/>
      <c r="DT906" s="74"/>
      <c r="DU906" s="74"/>
      <c r="DV906" s="74"/>
      <c r="DW906" s="74"/>
    </row>
    <row r="907">
      <c r="A907" s="40" t="s">
        <v>55</v>
      </c>
      <c r="B907" s="41" t="s">
        <v>56</v>
      </c>
      <c r="C907" s="31" t="s">
        <v>2210</v>
      </c>
      <c r="D907" s="25" t="str">
        <f>IFERROR(__xludf.DUMMYFUNCTION("SPLIT(C907,"" "")"),"Harris,")</f>
        <v>Harris,</v>
      </c>
      <c r="E907" s="40" t="str">
        <f>IFERROR(__xludf.DUMMYFUNCTION("""COMPUTED_VALUE"""),"Tonie
1503")</f>
        <v>Tonie
1503</v>
      </c>
      <c r="F907" s="40" t="str">
        <f>IFERROR(__xludf.DUMMYFUNCTION("""COMPUTED_VALUE"""),"Tubman")</f>
        <v>Tubman</v>
      </c>
      <c r="G907" s="40" t="str">
        <f>IFERROR(__xludf.DUMMYFUNCTION("""COMPUTED_VALUE"""),"Road")</f>
        <v>Road</v>
      </c>
      <c r="H907" s="40" t="str">
        <f>IFERROR(__xludf.DUMMYFUNCTION("""COMPUTED_VALUE"""),"Southeast
Washington,")</f>
        <v>Southeast
Washington,</v>
      </c>
      <c r="I907" s="40" t="str">
        <f>IFERROR(__xludf.DUMMYFUNCTION("""COMPUTED_VALUE"""),"DC")</f>
        <v>DC</v>
      </c>
      <c r="J907" s="40">
        <f>IFERROR(__xludf.DUMMYFUNCTION("""COMPUTED_VALUE"""),20020.0)</f>
        <v>20020</v>
      </c>
      <c r="K907" s="40"/>
      <c r="L907" s="40"/>
      <c r="M907" s="40"/>
      <c r="N907" s="40"/>
      <c r="O907" s="40"/>
      <c r="P907" s="40"/>
      <c r="Q907" s="40"/>
      <c r="R907" s="40"/>
      <c r="S907" s="40"/>
      <c r="T907" s="40"/>
      <c r="U907" s="24" t="str">
        <f>IFERROR(__xludf.DUMMYFUNCTION("SPLIT(E907,""01234567890"")"),"Tonie
")</f>
        <v>Tonie
</v>
      </c>
      <c r="V907" s="24" t="str">
        <f>IFERROR(__xludf.DUMMYFUNCTION("SPLIT(D907,"","")"),"Harris")</f>
        <v>Harris</v>
      </c>
      <c r="W907" s="25" t="str">
        <f t="shared" si="1"/>
        <v>TONIE
 HARRIS</v>
      </c>
      <c r="X907" s="40"/>
      <c r="Y907" s="40"/>
      <c r="Z907" s="25" t="str">
        <f>IFERROR(__xludf.DUMMYFUNCTION("SPLIT(C907,""
"")"),"Harris, Tonie")</f>
        <v>Harris, Tonie</v>
      </c>
      <c r="AA907" s="40" t="str">
        <f>IFERROR(__xludf.DUMMYFUNCTION("""COMPUTED_VALUE"""),"1503 Tubman Road Southeast")</f>
        <v>1503 Tubman Road Southeast</v>
      </c>
      <c r="AB907" s="40" t="str">
        <f>IFERROR(__xludf.DUMMYFUNCTION("""COMPUTED_VALUE"""),"Washington, DC 20020")</f>
        <v>Washington, DC 20020</v>
      </c>
      <c r="AC907" s="31" t="s">
        <v>2211</v>
      </c>
      <c r="AD907" s="40"/>
      <c r="AE907" s="40"/>
      <c r="AF907" s="40"/>
      <c r="AG907" s="40" t="s">
        <v>60</v>
      </c>
      <c r="AH907" s="42">
        <v>2481.0</v>
      </c>
      <c r="AI907" s="40" t="s">
        <v>68</v>
      </c>
      <c r="AJ907" s="27">
        <v>25.0</v>
      </c>
      <c r="AK907" s="31" t="s">
        <v>25</v>
      </c>
      <c r="AL907" s="43">
        <v>44834.0</v>
      </c>
      <c r="AM907" s="44">
        <v>44937.81995370371</v>
      </c>
      <c r="AN907" s="30">
        <v>2.0</v>
      </c>
      <c r="AO907" s="40"/>
      <c r="AP907" s="40"/>
      <c r="AQ907" s="40"/>
      <c r="AR907" s="40"/>
      <c r="AS907" s="40"/>
      <c r="AT907" s="47"/>
      <c r="AU907" s="40"/>
      <c r="AV907" s="46" t="str">
        <f>IFERROR(__xludf.DUMMYFUNCTION("""COMPUTED_VALUE"""),"Linburg")</f>
        <v>Linburg</v>
      </c>
      <c r="AW907" s="46">
        <f t="shared" si="7"/>
        <v>1250</v>
      </c>
      <c r="AX907" s="47">
        <f t="shared" ref="AX907:BQ907" si="2832">SUMIFS($AJ:$AJ,$V:$V,$AV907,$AK:$AK,AX$2)</f>
        <v>1250</v>
      </c>
      <c r="AY907" s="48">
        <f t="shared" si="2832"/>
        <v>0</v>
      </c>
      <c r="AZ907" s="48">
        <f t="shared" si="2832"/>
        <v>0</v>
      </c>
      <c r="BA907" s="48">
        <f t="shared" si="2832"/>
        <v>0</v>
      </c>
      <c r="BB907" s="48">
        <f t="shared" si="2832"/>
        <v>0</v>
      </c>
      <c r="BC907" s="48">
        <f t="shared" si="2832"/>
        <v>0</v>
      </c>
      <c r="BD907" s="48">
        <f t="shared" si="2832"/>
        <v>0</v>
      </c>
      <c r="BE907" s="48">
        <f t="shared" si="2832"/>
        <v>0</v>
      </c>
      <c r="BF907" s="48">
        <f t="shared" si="2832"/>
        <v>0</v>
      </c>
      <c r="BG907" s="48">
        <f t="shared" si="2832"/>
        <v>0</v>
      </c>
      <c r="BH907" s="48">
        <f t="shared" si="2832"/>
        <v>0</v>
      </c>
      <c r="BI907" s="48">
        <f t="shared" si="2832"/>
        <v>0</v>
      </c>
      <c r="BJ907" s="48">
        <f t="shared" si="2832"/>
        <v>0</v>
      </c>
      <c r="BK907" s="48">
        <f t="shared" si="2832"/>
        <v>0</v>
      </c>
      <c r="BL907" s="48">
        <f t="shared" si="2832"/>
        <v>0</v>
      </c>
      <c r="BM907" s="48">
        <f t="shared" si="2832"/>
        <v>0</v>
      </c>
      <c r="BN907" s="48">
        <f t="shared" si="2832"/>
        <v>0</v>
      </c>
      <c r="BO907" s="48">
        <f t="shared" si="2832"/>
        <v>0</v>
      </c>
      <c r="BP907" s="48">
        <f t="shared" si="2832"/>
        <v>0</v>
      </c>
      <c r="BQ907" s="48">
        <f t="shared" si="2832"/>
        <v>0</v>
      </c>
      <c r="BR907" s="36">
        <f t="shared" si="9"/>
        <v>1</v>
      </c>
      <c r="BS907" s="38">
        <f t="shared" si="10"/>
        <v>2</v>
      </c>
      <c r="BT907" s="49">
        <f t="shared" si="11"/>
        <v>0</v>
      </c>
      <c r="BU907" s="38">
        <f t="shared" si="12"/>
        <v>2000</v>
      </c>
      <c r="BV907" s="46" t="str">
        <f>IFERROR(__xludf.DUMMYFUNCTION("""COMPUTED_VALUE"""),"Linburg")</f>
        <v>Linburg</v>
      </c>
      <c r="BW907" s="46">
        <f t="shared" si="13"/>
        <v>1250</v>
      </c>
      <c r="BX907" s="47">
        <f t="shared" ref="BX907:CA907" si="2833">AX907-$BU907</f>
        <v>-750</v>
      </c>
      <c r="BY907" s="47">
        <f t="shared" si="2833"/>
        <v>-2000</v>
      </c>
      <c r="BZ907" s="47">
        <f t="shared" si="2833"/>
        <v>-2000</v>
      </c>
      <c r="CA907" s="47">
        <f t="shared" si="2833"/>
        <v>-2000</v>
      </c>
      <c r="CB907" s="47">
        <f t="shared" si="15"/>
        <v>-20000</v>
      </c>
      <c r="CC907" s="47">
        <f t="shared" ref="CC907:CQ907" si="2834">BC907-$BU907</f>
        <v>-2000</v>
      </c>
      <c r="CD907" s="47">
        <f t="shared" si="2834"/>
        <v>-2000</v>
      </c>
      <c r="CE907" s="47">
        <f t="shared" si="2834"/>
        <v>-2000</v>
      </c>
      <c r="CF907" s="47">
        <f t="shared" si="2834"/>
        <v>-2000</v>
      </c>
      <c r="CG907" s="47">
        <f t="shared" si="2834"/>
        <v>-2000</v>
      </c>
      <c r="CH907" s="47">
        <f t="shared" si="2834"/>
        <v>-2000</v>
      </c>
      <c r="CI907" s="47">
        <f t="shared" si="2834"/>
        <v>-2000</v>
      </c>
      <c r="CJ907" s="47">
        <f t="shared" si="2834"/>
        <v>-2000</v>
      </c>
      <c r="CK907" s="47">
        <f t="shared" si="2834"/>
        <v>-2000</v>
      </c>
      <c r="CL907" s="47">
        <f t="shared" si="2834"/>
        <v>-2000</v>
      </c>
      <c r="CM907" s="47">
        <f t="shared" si="2834"/>
        <v>-2000</v>
      </c>
      <c r="CN907" s="47">
        <f t="shared" si="2834"/>
        <v>-2000</v>
      </c>
      <c r="CO907" s="47">
        <f t="shared" si="2834"/>
        <v>-2000</v>
      </c>
      <c r="CP907" s="47">
        <f t="shared" si="2834"/>
        <v>-2000</v>
      </c>
      <c r="CQ907" s="47">
        <f t="shared" si="2834"/>
        <v>-2000</v>
      </c>
      <c r="CR907" s="47"/>
      <c r="CS907" s="47"/>
      <c r="CT907" s="47"/>
      <c r="CU907" s="74"/>
      <c r="CV907" s="74"/>
      <c r="CW907" s="74" t="str">
        <f>IFERROR(__xludf.DUMMYFUNCTION("IF(REGEXMATCH(UPPER(CU907), ""DALLAS""),,CU907)"),"")</f>
        <v/>
      </c>
      <c r="CX907" s="74"/>
      <c r="CY907" s="74"/>
      <c r="CZ907" s="74"/>
      <c r="DA907" s="75"/>
      <c r="DB907" s="74"/>
      <c r="DC907" s="74"/>
      <c r="DD907" s="74"/>
      <c r="DE907" s="74"/>
      <c r="DF907" s="74"/>
      <c r="DG907" s="74"/>
      <c r="DH907" s="74"/>
      <c r="DI907" s="74"/>
      <c r="DJ907" s="74"/>
      <c r="DK907" s="74"/>
      <c r="DL907" s="74"/>
      <c r="DM907" s="74"/>
      <c r="DN907" s="74"/>
      <c r="DO907" s="74"/>
      <c r="DP907" s="74"/>
      <c r="DQ907" s="74"/>
      <c r="DR907" s="74"/>
      <c r="DS907" s="74"/>
      <c r="DT907" s="74"/>
      <c r="DU907" s="74"/>
      <c r="DV907" s="74"/>
      <c r="DW907" s="74"/>
    </row>
    <row r="908">
      <c r="A908" s="22" t="s">
        <v>55</v>
      </c>
      <c r="B908" s="23" t="s">
        <v>56</v>
      </c>
      <c r="C908" s="31" t="s">
        <v>2212</v>
      </c>
      <c r="D908" s="25" t="str">
        <f>IFERROR(__xludf.DUMMYFUNCTION("SPLIT(C908,"" "")"),"Meade,")</f>
        <v>Meade,</v>
      </c>
      <c r="E908" s="22" t="str">
        <f>IFERROR(__xludf.DUMMYFUNCTION("""COMPUTED_VALUE"""),"Nikelle
5363")</f>
        <v>Nikelle
5363</v>
      </c>
      <c r="F908" s="22" t="str">
        <f>IFERROR(__xludf.DUMMYFUNCTION("""COMPUTED_VALUE"""),"Austral")</f>
        <v>Austral</v>
      </c>
      <c r="G908" s="22" t="str">
        <f>IFERROR(__xludf.DUMMYFUNCTION("""COMPUTED_VALUE"""),"Loop
Austin,")</f>
        <v>Loop
Austin,</v>
      </c>
      <c r="H908" s="22" t="str">
        <f>IFERROR(__xludf.DUMMYFUNCTION("""COMPUTED_VALUE"""),"TX")</f>
        <v>TX</v>
      </c>
      <c r="I908" s="22">
        <f>IFERROR(__xludf.DUMMYFUNCTION("""COMPUTED_VALUE"""),78739.0)</f>
        <v>78739</v>
      </c>
      <c r="J908" s="22"/>
      <c r="K908" s="22"/>
      <c r="L908" s="22"/>
      <c r="M908" s="22"/>
      <c r="N908" s="22"/>
      <c r="O908" s="22"/>
      <c r="P908" s="22"/>
      <c r="Q908" s="22"/>
      <c r="R908" s="22"/>
      <c r="S908" s="22"/>
      <c r="T908" s="22"/>
      <c r="U908" s="24" t="str">
        <f>IFERROR(__xludf.DUMMYFUNCTION("SPLIT(E908,""01234567890"")"),"Nikelle
")</f>
        <v>Nikelle
</v>
      </c>
      <c r="V908" s="24" t="str">
        <f>IFERROR(__xludf.DUMMYFUNCTION("SPLIT(D908,"","")"),"Meade")</f>
        <v>Meade</v>
      </c>
      <c r="W908" s="25" t="str">
        <f t="shared" si="1"/>
        <v>NIKELLE
 MEADE</v>
      </c>
      <c r="X908" s="22"/>
      <c r="Y908" s="22"/>
      <c r="Z908" s="25" t="str">
        <f>IFERROR(__xludf.DUMMYFUNCTION("SPLIT(C908,""
"")"),"Meade, Nikelle")</f>
        <v>Meade, Nikelle</v>
      </c>
      <c r="AA908" s="22" t="str">
        <f>IFERROR(__xludf.DUMMYFUNCTION("""COMPUTED_VALUE"""),"5363 Austral Loop")</f>
        <v>5363 Austral Loop</v>
      </c>
      <c r="AB908" s="22" t="str">
        <f>IFERROR(__xludf.DUMMYFUNCTION("""COMPUTED_VALUE"""),"Austin, TX 78739")</f>
        <v>Austin, TX 78739</v>
      </c>
      <c r="AC908" s="31" t="s">
        <v>2213</v>
      </c>
      <c r="AD908" s="22"/>
      <c r="AE908" s="22"/>
      <c r="AF908" s="22"/>
      <c r="AG908" s="22" t="s">
        <v>60</v>
      </c>
      <c r="AH908" s="54">
        <v>2481.0</v>
      </c>
      <c r="AI908" s="22" t="s">
        <v>68</v>
      </c>
      <c r="AJ908" s="27">
        <v>5000.0</v>
      </c>
      <c r="AK908" s="31" t="s">
        <v>25</v>
      </c>
      <c r="AL908" s="28">
        <v>44834.0</v>
      </c>
      <c r="AM908" s="29">
        <v>44937.81995370371</v>
      </c>
      <c r="AN908" s="30">
        <v>2.0</v>
      </c>
      <c r="AO908" s="22"/>
      <c r="AP908" s="22"/>
      <c r="AQ908" s="22"/>
      <c r="AR908" s="22"/>
      <c r="AS908" s="22"/>
      <c r="AT908" s="70"/>
      <c r="AU908" s="22"/>
      <c r="AV908" s="57" t="str">
        <f>IFERROR(__xludf.DUMMYFUNCTION("""COMPUTED_VALUE"""),"Rouse")</f>
        <v>Rouse</v>
      </c>
      <c r="AW908" s="46">
        <f t="shared" si="7"/>
        <v>189.7</v>
      </c>
      <c r="AX908" s="47">
        <f t="shared" ref="AX908:BQ908" si="2835">SUMIFS($AJ:$AJ,$V:$V,$AV908,$AK:$AK,AX$2)</f>
        <v>189.7</v>
      </c>
      <c r="AY908" s="48">
        <f t="shared" si="2835"/>
        <v>0</v>
      </c>
      <c r="AZ908" s="48">
        <f t="shared" si="2835"/>
        <v>0</v>
      </c>
      <c r="BA908" s="48">
        <f t="shared" si="2835"/>
        <v>0</v>
      </c>
      <c r="BB908" s="48">
        <f t="shared" si="2835"/>
        <v>0</v>
      </c>
      <c r="BC908" s="48">
        <f t="shared" si="2835"/>
        <v>0</v>
      </c>
      <c r="BD908" s="48">
        <f t="shared" si="2835"/>
        <v>0</v>
      </c>
      <c r="BE908" s="48">
        <f t="shared" si="2835"/>
        <v>0</v>
      </c>
      <c r="BF908" s="48">
        <f t="shared" si="2835"/>
        <v>0</v>
      </c>
      <c r="BG908" s="48">
        <f t="shared" si="2835"/>
        <v>0</v>
      </c>
      <c r="BH908" s="48">
        <f t="shared" si="2835"/>
        <v>0</v>
      </c>
      <c r="BI908" s="48">
        <f t="shared" si="2835"/>
        <v>0</v>
      </c>
      <c r="BJ908" s="48">
        <f t="shared" si="2835"/>
        <v>0</v>
      </c>
      <c r="BK908" s="48">
        <f t="shared" si="2835"/>
        <v>0</v>
      </c>
      <c r="BL908" s="48">
        <f t="shared" si="2835"/>
        <v>0</v>
      </c>
      <c r="BM908" s="48">
        <f t="shared" si="2835"/>
        <v>0</v>
      </c>
      <c r="BN908" s="48">
        <f t="shared" si="2835"/>
        <v>0</v>
      </c>
      <c r="BO908" s="48">
        <f t="shared" si="2835"/>
        <v>0</v>
      </c>
      <c r="BP908" s="48">
        <f t="shared" si="2835"/>
        <v>0</v>
      </c>
      <c r="BQ908" s="48">
        <f t="shared" si="2835"/>
        <v>0</v>
      </c>
      <c r="BR908" s="36">
        <f t="shared" si="9"/>
        <v>0</v>
      </c>
      <c r="BS908" s="38">
        <f t="shared" si="10"/>
        <v>1</v>
      </c>
      <c r="BT908" s="49">
        <f t="shared" si="11"/>
        <v>0</v>
      </c>
      <c r="BU908" s="38">
        <f t="shared" si="12"/>
        <v>1000</v>
      </c>
      <c r="BV908" s="57" t="str">
        <f>IFERROR(__xludf.DUMMYFUNCTION("""COMPUTED_VALUE"""),"Rouse")</f>
        <v>Rouse</v>
      </c>
      <c r="BW908" s="46">
        <f t="shared" si="13"/>
        <v>189.7</v>
      </c>
      <c r="BX908" s="47">
        <f t="shared" ref="BX908:CA908" si="2836">AX908-$BU908</f>
        <v>-810.3</v>
      </c>
      <c r="BY908" s="47">
        <f t="shared" si="2836"/>
        <v>-1000</v>
      </c>
      <c r="BZ908" s="47">
        <f t="shared" si="2836"/>
        <v>-1000</v>
      </c>
      <c r="CA908" s="47">
        <f t="shared" si="2836"/>
        <v>-1000</v>
      </c>
      <c r="CB908" s="47">
        <f t="shared" si="15"/>
        <v>-10000</v>
      </c>
      <c r="CC908" s="47">
        <f t="shared" ref="CC908:CQ908" si="2837">BC908-$BU908</f>
        <v>-1000</v>
      </c>
      <c r="CD908" s="47">
        <f t="shared" si="2837"/>
        <v>-1000</v>
      </c>
      <c r="CE908" s="47">
        <f t="shared" si="2837"/>
        <v>-1000</v>
      </c>
      <c r="CF908" s="47">
        <f t="shared" si="2837"/>
        <v>-1000</v>
      </c>
      <c r="CG908" s="47">
        <f t="shared" si="2837"/>
        <v>-1000</v>
      </c>
      <c r="CH908" s="47">
        <f t="shared" si="2837"/>
        <v>-1000</v>
      </c>
      <c r="CI908" s="47">
        <f t="shared" si="2837"/>
        <v>-1000</v>
      </c>
      <c r="CJ908" s="47">
        <f t="shared" si="2837"/>
        <v>-1000</v>
      </c>
      <c r="CK908" s="47">
        <f t="shared" si="2837"/>
        <v>-1000</v>
      </c>
      <c r="CL908" s="47">
        <f t="shared" si="2837"/>
        <v>-1000</v>
      </c>
      <c r="CM908" s="47">
        <f t="shared" si="2837"/>
        <v>-1000</v>
      </c>
      <c r="CN908" s="47">
        <f t="shared" si="2837"/>
        <v>-1000</v>
      </c>
      <c r="CO908" s="47">
        <f t="shared" si="2837"/>
        <v>-1000</v>
      </c>
      <c r="CP908" s="47">
        <f t="shared" si="2837"/>
        <v>-1000</v>
      </c>
      <c r="CQ908" s="47">
        <f t="shared" si="2837"/>
        <v>-1000</v>
      </c>
      <c r="CR908" s="47"/>
      <c r="CS908" s="47"/>
      <c r="CT908" s="47"/>
      <c r="CU908" s="74"/>
      <c r="CV908" s="74"/>
      <c r="CW908" s="74" t="str">
        <f>IFERROR(__xludf.DUMMYFUNCTION("IF(REGEXMATCH(UPPER(CU908), ""DALLAS""),,CU908)"),"")</f>
        <v/>
      </c>
      <c r="CX908" s="74"/>
      <c r="CY908" s="74"/>
      <c r="CZ908" s="74"/>
      <c r="DA908" s="75"/>
      <c r="DB908" s="74"/>
      <c r="DC908" s="74"/>
      <c r="DD908" s="74"/>
      <c r="DE908" s="74"/>
      <c r="DF908" s="74"/>
      <c r="DG908" s="74"/>
      <c r="DH908" s="74"/>
      <c r="DI908" s="74"/>
      <c r="DJ908" s="74"/>
      <c r="DK908" s="74"/>
      <c r="DL908" s="74"/>
      <c r="DM908" s="74"/>
      <c r="DN908" s="74"/>
      <c r="DO908" s="74"/>
      <c r="DP908" s="74"/>
      <c r="DQ908" s="74"/>
      <c r="DR908" s="74"/>
      <c r="DS908" s="74"/>
      <c r="DT908" s="74"/>
      <c r="DU908" s="74"/>
      <c r="DV908" s="74"/>
      <c r="DW908" s="74"/>
    </row>
    <row r="909">
      <c r="A909" s="40" t="s">
        <v>55</v>
      </c>
      <c r="B909" s="41" t="s">
        <v>56</v>
      </c>
      <c r="C909" s="31" t="s">
        <v>2214</v>
      </c>
      <c r="D909" s="25" t="str">
        <f>IFERROR(__xludf.DUMMYFUNCTION("SPLIT(C909,"" "")"),"Satterthwaite,")</f>
        <v>Satterthwaite,</v>
      </c>
      <c r="E909" s="40" t="str">
        <f>IFERROR(__xludf.DUMMYFUNCTION("""COMPUTED_VALUE"""),"Gwendolyn
4804")</f>
        <v>Gwendolyn
4804</v>
      </c>
      <c r="F909" s="40" t="str">
        <f>IFERROR(__xludf.DUMMYFUNCTION("""COMPUTED_VALUE"""),"Cape")</f>
        <v>Cape</v>
      </c>
      <c r="G909" s="40" t="str">
        <f>IFERROR(__xludf.DUMMYFUNCTION("""COMPUTED_VALUE"""),"Coral")</f>
        <v>Coral</v>
      </c>
      <c r="H909" s="40" t="str">
        <f>IFERROR(__xludf.DUMMYFUNCTION("""COMPUTED_VALUE"""),"Dr
Dallas,")</f>
        <v>Dr
Dallas,</v>
      </c>
      <c r="I909" s="40" t="str">
        <f>IFERROR(__xludf.DUMMYFUNCTION("""COMPUTED_VALUE"""),"TX")</f>
        <v>TX</v>
      </c>
      <c r="J909" s="40">
        <f>IFERROR(__xludf.DUMMYFUNCTION("""COMPUTED_VALUE"""),75287.0)</f>
        <v>75287</v>
      </c>
      <c r="K909" s="40"/>
      <c r="L909" s="40"/>
      <c r="M909" s="40"/>
      <c r="N909" s="40"/>
      <c r="O909" s="40"/>
      <c r="P909" s="40"/>
      <c r="Q909" s="40"/>
      <c r="R909" s="40"/>
      <c r="S909" s="40"/>
      <c r="T909" s="40"/>
      <c r="U909" s="24" t="str">
        <f>IFERROR(__xludf.DUMMYFUNCTION("SPLIT(E909,""01234567890"")"),"Gwendolyn
")</f>
        <v>Gwendolyn
</v>
      </c>
      <c r="V909" s="24" t="str">
        <f>IFERROR(__xludf.DUMMYFUNCTION("SPLIT(D909,"","")"),"Satterthwaite")</f>
        <v>Satterthwaite</v>
      </c>
      <c r="W909" s="25" t="str">
        <f t="shared" si="1"/>
        <v>GWENDOLYN
 SATTERTHWAITE</v>
      </c>
      <c r="X909" s="40"/>
      <c r="Y909" s="40"/>
      <c r="Z909" s="25" t="str">
        <f>IFERROR(__xludf.DUMMYFUNCTION("SPLIT(C909,""
"")"),"Satterthwaite, Gwendolyn")</f>
        <v>Satterthwaite, Gwendolyn</v>
      </c>
      <c r="AA909" s="40" t="str">
        <f>IFERROR(__xludf.DUMMYFUNCTION("""COMPUTED_VALUE"""),"4804 Cape Coral Dr")</f>
        <v>4804 Cape Coral Dr</v>
      </c>
      <c r="AB909" s="40" t="str">
        <f>IFERROR(__xludf.DUMMYFUNCTION("""COMPUTED_VALUE"""),"Dallas, TX 75287")</f>
        <v>Dallas, TX 75287</v>
      </c>
      <c r="AC909" s="31" t="s">
        <v>2215</v>
      </c>
      <c r="AD909" s="40"/>
      <c r="AE909" s="40"/>
      <c r="AF909" s="40"/>
      <c r="AG909" s="40" t="s">
        <v>60</v>
      </c>
      <c r="AH909" s="42">
        <v>2481.0</v>
      </c>
      <c r="AI909" s="40" t="s">
        <v>68</v>
      </c>
      <c r="AJ909" s="27">
        <v>100.0</v>
      </c>
      <c r="AK909" s="31" t="s">
        <v>25</v>
      </c>
      <c r="AL909" s="43">
        <v>44834.0</v>
      </c>
      <c r="AM909" s="44">
        <v>44937.81995370371</v>
      </c>
      <c r="AN909" s="30">
        <v>2.0</v>
      </c>
      <c r="AO909" s="40"/>
      <c r="AP909" s="40"/>
      <c r="AQ909" s="40"/>
      <c r="AR909" s="40"/>
      <c r="AS909" s="40"/>
      <c r="AT909" s="47"/>
      <c r="AU909" s="40"/>
      <c r="AV909" s="46" t="str">
        <f>IFERROR(__xludf.DUMMYFUNCTION("""COMPUTED_VALUE"""),"Larsen")</f>
        <v>Larsen</v>
      </c>
      <c r="AW909" s="46">
        <f t="shared" si="7"/>
        <v>100</v>
      </c>
      <c r="AX909" s="47">
        <f t="shared" ref="AX909:BQ909" si="2838">SUMIFS($AJ:$AJ,$V:$V,$AV909,$AK:$AK,AX$2)</f>
        <v>100</v>
      </c>
      <c r="AY909" s="48">
        <f t="shared" si="2838"/>
        <v>0</v>
      </c>
      <c r="AZ909" s="48">
        <f t="shared" si="2838"/>
        <v>0</v>
      </c>
      <c r="BA909" s="48">
        <f t="shared" si="2838"/>
        <v>0</v>
      </c>
      <c r="BB909" s="48">
        <f t="shared" si="2838"/>
        <v>0</v>
      </c>
      <c r="BC909" s="48">
        <f t="shared" si="2838"/>
        <v>0</v>
      </c>
      <c r="BD909" s="48">
        <f t="shared" si="2838"/>
        <v>0</v>
      </c>
      <c r="BE909" s="48">
        <f t="shared" si="2838"/>
        <v>0</v>
      </c>
      <c r="BF909" s="48">
        <f t="shared" si="2838"/>
        <v>0</v>
      </c>
      <c r="BG909" s="48">
        <f t="shared" si="2838"/>
        <v>0</v>
      </c>
      <c r="BH909" s="48">
        <f t="shared" si="2838"/>
        <v>0</v>
      </c>
      <c r="BI909" s="48">
        <f t="shared" si="2838"/>
        <v>0</v>
      </c>
      <c r="BJ909" s="48">
        <f t="shared" si="2838"/>
        <v>0</v>
      </c>
      <c r="BK909" s="48">
        <f t="shared" si="2838"/>
        <v>0</v>
      </c>
      <c r="BL909" s="48">
        <f t="shared" si="2838"/>
        <v>0</v>
      </c>
      <c r="BM909" s="48">
        <f t="shared" si="2838"/>
        <v>0</v>
      </c>
      <c r="BN909" s="48">
        <f t="shared" si="2838"/>
        <v>0</v>
      </c>
      <c r="BO909" s="48">
        <f t="shared" si="2838"/>
        <v>0</v>
      </c>
      <c r="BP909" s="48">
        <f t="shared" si="2838"/>
        <v>0</v>
      </c>
      <c r="BQ909" s="48">
        <f t="shared" si="2838"/>
        <v>0</v>
      </c>
      <c r="BR909" s="36">
        <f t="shared" si="9"/>
        <v>0</v>
      </c>
      <c r="BS909" s="38">
        <f t="shared" si="10"/>
        <v>1</v>
      </c>
      <c r="BT909" s="49">
        <f t="shared" si="11"/>
        <v>0</v>
      </c>
      <c r="BU909" s="38">
        <f t="shared" si="12"/>
        <v>1000</v>
      </c>
      <c r="BV909" s="46" t="str">
        <f>IFERROR(__xludf.DUMMYFUNCTION("""COMPUTED_VALUE"""),"Larsen")</f>
        <v>Larsen</v>
      </c>
      <c r="BW909" s="46">
        <f t="shared" si="13"/>
        <v>100</v>
      </c>
      <c r="BX909" s="47">
        <f t="shared" ref="BX909:CA909" si="2839">AX909-$BU909</f>
        <v>-900</v>
      </c>
      <c r="BY909" s="47">
        <f t="shared" si="2839"/>
        <v>-1000</v>
      </c>
      <c r="BZ909" s="47">
        <f t="shared" si="2839"/>
        <v>-1000</v>
      </c>
      <c r="CA909" s="47">
        <f t="shared" si="2839"/>
        <v>-1000</v>
      </c>
      <c r="CB909" s="47">
        <f t="shared" si="15"/>
        <v>-10000</v>
      </c>
      <c r="CC909" s="47">
        <f t="shared" ref="CC909:CQ909" si="2840">BC909-$BU909</f>
        <v>-1000</v>
      </c>
      <c r="CD909" s="47">
        <f t="shared" si="2840"/>
        <v>-1000</v>
      </c>
      <c r="CE909" s="47">
        <f t="shared" si="2840"/>
        <v>-1000</v>
      </c>
      <c r="CF909" s="47">
        <f t="shared" si="2840"/>
        <v>-1000</v>
      </c>
      <c r="CG909" s="47">
        <f t="shared" si="2840"/>
        <v>-1000</v>
      </c>
      <c r="CH909" s="47">
        <f t="shared" si="2840"/>
        <v>-1000</v>
      </c>
      <c r="CI909" s="47">
        <f t="shared" si="2840"/>
        <v>-1000</v>
      </c>
      <c r="CJ909" s="47">
        <f t="shared" si="2840"/>
        <v>-1000</v>
      </c>
      <c r="CK909" s="47">
        <f t="shared" si="2840"/>
        <v>-1000</v>
      </c>
      <c r="CL909" s="47">
        <f t="shared" si="2840"/>
        <v>-1000</v>
      </c>
      <c r="CM909" s="47">
        <f t="shared" si="2840"/>
        <v>-1000</v>
      </c>
      <c r="CN909" s="47">
        <f t="shared" si="2840"/>
        <v>-1000</v>
      </c>
      <c r="CO909" s="47">
        <f t="shared" si="2840"/>
        <v>-1000</v>
      </c>
      <c r="CP909" s="47">
        <f t="shared" si="2840"/>
        <v>-1000</v>
      </c>
      <c r="CQ909" s="47">
        <f t="shared" si="2840"/>
        <v>-1000</v>
      </c>
      <c r="CR909" s="47"/>
      <c r="CS909" s="47"/>
      <c r="CT909" s="47"/>
      <c r="CU909" s="74"/>
      <c r="CV909" s="74"/>
      <c r="CW909" s="74" t="str">
        <f>IFERROR(__xludf.DUMMYFUNCTION("IF(REGEXMATCH(UPPER(CU909), ""DALLAS""),,CU909)"),"")</f>
        <v/>
      </c>
      <c r="CX909" s="74"/>
      <c r="CY909" s="74"/>
      <c r="CZ909" s="74"/>
      <c r="DA909" s="75"/>
      <c r="DB909" s="74"/>
      <c r="DC909" s="74"/>
      <c r="DD909" s="74"/>
      <c r="DE909" s="74"/>
      <c r="DF909" s="74"/>
      <c r="DG909" s="74"/>
      <c r="DH909" s="74"/>
      <c r="DI909" s="74"/>
      <c r="DJ909" s="74"/>
      <c r="DK909" s="74"/>
      <c r="DL909" s="74"/>
      <c r="DM909" s="74"/>
      <c r="DN909" s="74"/>
      <c r="DO909" s="74"/>
      <c r="DP909" s="74"/>
      <c r="DQ909" s="74"/>
      <c r="DR909" s="74"/>
      <c r="DS909" s="74"/>
      <c r="DT909" s="74"/>
      <c r="DU909" s="74"/>
      <c r="DV909" s="74"/>
      <c r="DW909" s="74"/>
    </row>
    <row r="910">
      <c r="A910" s="22" t="s">
        <v>55</v>
      </c>
      <c r="B910" s="23" t="s">
        <v>56</v>
      </c>
      <c r="C910" s="31" t="s">
        <v>2098</v>
      </c>
      <c r="D910" s="25" t="str">
        <f>IFERROR(__xludf.DUMMYFUNCTION("SPLIT(C910,"" "")"),"Jackson,")</f>
        <v>Jackson,</v>
      </c>
      <c r="E910" s="22" t="str">
        <f>IFERROR(__xludf.DUMMYFUNCTION("""COMPUTED_VALUE"""),"Sarah
8600")</f>
        <v>Sarah
8600</v>
      </c>
      <c r="F910" s="22" t="str">
        <f>IFERROR(__xludf.DUMMYFUNCTION("""COMPUTED_VALUE"""),"Thackery")</f>
        <v>Thackery</v>
      </c>
      <c r="G910" s="22" t="str">
        <f>IFERROR(__xludf.DUMMYFUNCTION("""COMPUTED_VALUE"""),"St
Dallas,")</f>
        <v>St
Dallas,</v>
      </c>
      <c r="H910" s="22" t="str">
        <f>IFERROR(__xludf.DUMMYFUNCTION("""COMPUTED_VALUE"""),"TX")</f>
        <v>TX</v>
      </c>
      <c r="I910" s="22">
        <f>IFERROR(__xludf.DUMMYFUNCTION("""COMPUTED_VALUE"""),75225.0)</f>
        <v>75225</v>
      </c>
      <c r="J910" s="22"/>
      <c r="K910" s="22"/>
      <c r="L910" s="22"/>
      <c r="M910" s="22"/>
      <c r="N910" s="22"/>
      <c r="O910" s="22"/>
      <c r="P910" s="22"/>
      <c r="Q910" s="22"/>
      <c r="R910" s="22"/>
      <c r="S910" s="22"/>
      <c r="T910" s="22"/>
      <c r="U910" s="24" t="str">
        <f>IFERROR(__xludf.DUMMYFUNCTION("SPLIT(E910,""01234567890"")"),"Sarah
")</f>
        <v>Sarah
</v>
      </c>
      <c r="V910" s="24" t="str">
        <f>IFERROR(__xludf.DUMMYFUNCTION("SPLIT(D910,"","")"),"Jackson")</f>
        <v>Jackson</v>
      </c>
      <c r="W910" s="25" t="str">
        <f t="shared" si="1"/>
        <v>SARAH
 JACKSON</v>
      </c>
      <c r="X910" s="22"/>
      <c r="Y910" s="22"/>
      <c r="Z910" s="25" t="str">
        <f>IFERROR(__xludf.DUMMYFUNCTION("SPLIT(C910,""
"")"),"Jackson, Sarah")</f>
        <v>Jackson, Sarah</v>
      </c>
      <c r="AA910" s="22" t="str">
        <f>IFERROR(__xludf.DUMMYFUNCTION("""COMPUTED_VALUE"""),"8600 Thackery St")</f>
        <v>8600 Thackery St</v>
      </c>
      <c r="AB910" s="22" t="str">
        <f>IFERROR(__xludf.DUMMYFUNCTION("""COMPUTED_VALUE"""),"Dallas, TX 75225")</f>
        <v>Dallas, TX 75225</v>
      </c>
      <c r="AC910" s="31" t="s">
        <v>2099</v>
      </c>
      <c r="AD910" s="22"/>
      <c r="AE910" s="22"/>
      <c r="AF910" s="22"/>
      <c r="AG910" s="22" t="s">
        <v>60</v>
      </c>
      <c r="AH910" s="54">
        <v>2481.0</v>
      </c>
      <c r="AI910" s="22" t="s">
        <v>68</v>
      </c>
      <c r="AJ910" s="27">
        <v>50.0</v>
      </c>
      <c r="AK910" s="31" t="s">
        <v>25</v>
      </c>
      <c r="AL910" s="28">
        <v>44834.0</v>
      </c>
      <c r="AM910" s="29">
        <v>44937.81995370371</v>
      </c>
      <c r="AN910" s="30">
        <v>2.0</v>
      </c>
      <c r="AO910" s="22"/>
      <c r="AP910" s="22"/>
      <c r="AQ910" s="22"/>
      <c r="AR910" s="22"/>
      <c r="AS910" s="22"/>
      <c r="AT910" s="70"/>
      <c r="AU910" s="22"/>
      <c r="AV910" s="57" t="str">
        <f>IFERROR(__xludf.DUMMYFUNCTION("""COMPUTED_VALUE"""),"McGinnis")</f>
        <v>McGinnis</v>
      </c>
      <c r="AW910" s="46">
        <f t="shared" si="7"/>
        <v>100</v>
      </c>
      <c r="AX910" s="47">
        <f t="shared" ref="AX910:BQ910" si="2841">SUMIFS($AJ:$AJ,$V:$V,$AV910,$AK:$AK,AX$2)</f>
        <v>100</v>
      </c>
      <c r="AY910" s="48">
        <f t="shared" si="2841"/>
        <v>0</v>
      </c>
      <c r="AZ910" s="48">
        <f t="shared" si="2841"/>
        <v>0</v>
      </c>
      <c r="BA910" s="48">
        <f t="shared" si="2841"/>
        <v>0</v>
      </c>
      <c r="BB910" s="48">
        <f t="shared" si="2841"/>
        <v>0</v>
      </c>
      <c r="BC910" s="48">
        <f t="shared" si="2841"/>
        <v>0</v>
      </c>
      <c r="BD910" s="48">
        <f t="shared" si="2841"/>
        <v>0</v>
      </c>
      <c r="BE910" s="48">
        <f t="shared" si="2841"/>
        <v>0</v>
      </c>
      <c r="BF910" s="48">
        <f t="shared" si="2841"/>
        <v>0</v>
      </c>
      <c r="BG910" s="48">
        <f t="shared" si="2841"/>
        <v>0</v>
      </c>
      <c r="BH910" s="48">
        <f t="shared" si="2841"/>
        <v>0</v>
      </c>
      <c r="BI910" s="48">
        <f t="shared" si="2841"/>
        <v>0</v>
      </c>
      <c r="BJ910" s="48">
        <f t="shared" si="2841"/>
        <v>0</v>
      </c>
      <c r="BK910" s="48">
        <f t="shared" si="2841"/>
        <v>0</v>
      </c>
      <c r="BL910" s="48">
        <f t="shared" si="2841"/>
        <v>0</v>
      </c>
      <c r="BM910" s="48">
        <f t="shared" si="2841"/>
        <v>0</v>
      </c>
      <c r="BN910" s="48">
        <f t="shared" si="2841"/>
        <v>0</v>
      </c>
      <c r="BO910" s="48">
        <f t="shared" si="2841"/>
        <v>0</v>
      </c>
      <c r="BP910" s="48">
        <f t="shared" si="2841"/>
        <v>0</v>
      </c>
      <c r="BQ910" s="48">
        <f t="shared" si="2841"/>
        <v>0</v>
      </c>
      <c r="BR910" s="36">
        <f t="shared" si="9"/>
        <v>0</v>
      </c>
      <c r="BS910" s="38">
        <f t="shared" si="10"/>
        <v>1</v>
      </c>
      <c r="BT910" s="49">
        <f t="shared" si="11"/>
        <v>0</v>
      </c>
      <c r="BU910" s="38">
        <f t="shared" si="12"/>
        <v>1000</v>
      </c>
      <c r="BV910" s="57" t="str">
        <f>IFERROR(__xludf.DUMMYFUNCTION("""COMPUTED_VALUE"""),"McGinnis")</f>
        <v>McGinnis</v>
      </c>
      <c r="BW910" s="46">
        <f t="shared" si="13"/>
        <v>100</v>
      </c>
      <c r="BX910" s="47">
        <f t="shared" ref="BX910:CA910" si="2842">AX910-$BU910</f>
        <v>-900</v>
      </c>
      <c r="BY910" s="47">
        <f t="shared" si="2842"/>
        <v>-1000</v>
      </c>
      <c r="BZ910" s="47">
        <f t="shared" si="2842"/>
        <v>-1000</v>
      </c>
      <c r="CA910" s="47">
        <f t="shared" si="2842"/>
        <v>-1000</v>
      </c>
      <c r="CB910" s="47">
        <f t="shared" si="15"/>
        <v>-10000</v>
      </c>
      <c r="CC910" s="47">
        <f t="shared" ref="CC910:CQ910" si="2843">BC910-$BU910</f>
        <v>-1000</v>
      </c>
      <c r="CD910" s="47">
        <f t="shared" si="2843"/>
        <v>-1000</v>
      </c>
      <c r="CE910" s="47">
        <f t="shared" si="2843"/>
        <v>-1000</v>
      </c>
      <c r="CF910" s="47">
        <f t="shared" si="2843"/>
        <v>-1000</v>
      </c>
      <c r="CG910" s="47">
        <f t="shared" si="2843"/>
        <v>-1000</v>
      </c>
      <c r="CH910" s="47">
        <f t="shared" si="2843"/>
        <v>-1000</v>
      </c>
      <c r="CI910" s="47">
        <f t="shared" si="2843"/>
        <v>-1000</v>
      </c>
      <c r="CJ910" s="47">
        <f t="shared" si="2843"/>
        <v>-1000</v>
      </c>
      <c r="CK910" s="47">
        <f t="shared" si="2843"/>
        <v>-1000</v>
      </c>
      <c r="CL910" s="47">
        <f t="shared" si="2843"/>
        <v>-1000</v>
      </c>
      <c r="CM910" s="47">
        <f t="shared" si="2843"/>
        <v>-1000</v>
      </c>
      <c r="CN910" s="47">
        <f t="shared" si="2843"/>
        <v>-1000</v>
      </c>
      <c r="CO910" s="47">
        <f t="shared" si="2843"/>
        <v>-1000</v>
      </c>
      <c r="CP910" s="47">
        <f t="shared" si="2843"/>
        <v>-1000</v>
      </c>
      <c r="CQ910" s="47">
        <f t="shared" si="2843"/>
        <v>-1000</v>
      </c>
      <c r="CR910" s="47"/>
      <c r="CS910" s="47"/>
      <c r="CT910" s="47"/>
      <c r="CU910" s="74"/>
      <c r="CV910" s="74"/>
      <c r="CW910" s="74" t="str">
        <f>IFERROR(__xludf.DUMMYFUNCTION("IF(REGEXMATCH(UPPER(CU910), ""DALLAS""),,CU910)"),"")</f>
        <v/>
      </c>
      <c r="CX910" s="74"/>
      <c r="CY910" s="74"/>
      <c r="CZ910" s="74"/>
      <c r="DA910" s="75"/>
      <c r="DB910" s="74"/>
      <c r="DC910" s="74"/>
      <c r="DD910" s="74"/>
      <c r="DE910" s="74"/>
      <c r="DF910" s="74"/>
      <c r="DG910" s="74"/>
      <c r="DH910" s="74"/>
      <c r="DI910" s="74"/>
      <c r="DJ910" s="74"/>
      <c r="DK910" s="74"/>
      <c r="DL910" s="74"/>
      <c r="DM910" s="74"/>
      <c r="DN910" s="74"/>
      <c r="DO910" s="74"/>
      <c r="DP910" s="74"/>
      <c r="DQ910" s="74"/>
      <c r="DR910" s="74"/>
      <c r="DS910" s="74"/>
      <c r="DT910" s="74"/>
      <c r="DU910" s="74"/>
      <c r="DV910" s="74"/>
      <c r="DW910" s="74"/>
    </row>
    <row r="911">
      <c r="A911" s="40" t="s">
        <v>55</v>
      </c>
      <c r="B911" s="41" t="s">
        <v>56</v>
      </c>
      <c r="C911" s="31" t="s">
        <v>2216</v>
      </c>
      <c r="D911" s="25" t="str">
        <f>IFERROR(__xludf.DUMMYFUNCTION("SPLIT(C911,"" "")"),"Kutac,")</f>
        <v>Kutac,</v>
      </c>
      <c r="E911" s="40" t="str">
        <f>IFERROR(__xludf.DUMMYFUNCTION("""COMPUTED_VALUE"""),"Gary")</f>
        <v>Gary</v>
      </c>
      <c r="F911" s="40" t="str">
        <f>IFERROR(__xludf.DUMMYFUNCTION("""COMPUTED_VALUE"""),"&amp;")</f>
        <v>&amp;</v>
      </c>
      <c r="G911" s="40" t="str">
        <f>IFERROR(__xludf.DUMMYFUNCTION("""COMPUTED_VALUE"""),"Angela
1552")</f>
        <v>Angela
1552</v>
      </c>
      <c r="H911" s="40" t="str">
        <f>IFERROR(__xludf.DUMMYFUNCTION("""COMPUTED_VALUE"""),"San")</f>
        <v>San</v>
      </c>
      <c r="I911" s="40" t="str">
        <f>IFERROR(__xludf.DUMMYFUNCTION("""COMPUTED_VALUE"""),"Saba")</f>
        <v>Saba</v>
      </c>
      <c r="J911" s="40" t="str">
        <f>IFERROR(__xludf.DUMMYFUNCTION("""COMPUTED_VALUE"""),"Dr
Dallas,")</f>
        <v>Dr
Dallas,</v>
      </c>
      <c r="K911" s="40" t="str">
        <f>IFERROR(__xludf.DUMMYFUNCTION("""COMPUTED_VALUE"""),"TX")</f>
        <v>TX</v>
      </c>
      <c r="L911" s="40">
        <f>IFERROR(__xludf.DUMMYFUNCTION("""COMPUTED_VALUE"""),75218.0)</f>
        <v>75218</v>
      </c>
      <c r="M911" s="40"/>
      <c r="N911" s="40"/>
      <c r="O911" s="40"/>
      <c r="P911" s="40"/>
      <c r="Q911" s="40"/>
      <c r="R911" s="40"/>
      <c r="S911" s="40"/>
      <c r="T911" s="40"/>
      <c r="U911" s="24" t="str">
        <f>IFERROR(__xludf.DUMMYFUNCTION("SPLIT(E911,""01234567890"")"),"Gary")</f>
        <v>Gary</v>
      </c>
      <c r="V911" s="24" t="str">
        <f>IFERROR(__xludf.DUMMYFUNCTION("SPLIT(D911,"","")"),"Kutac")</f>
        <v>Kutac</v>
      </c>
      <c r="W911" s="25" t="str">
        <f t="shared" si="1"/>
        <v>GARY KUTAC</v>
      </c>
      <c r="X911" s="40"/>
      <c r="Y911" s="40"/>
      <c r="Z911" s="25" t="str">
        <f>IFERROR(__xludf.DUMMYFUNCTION("SPLIT(C911,""
"")"),"Kutac, Gary &amp; Angela")</f>
        <v>Kutac, Gary &amp; Angela</v>
      </c>
      <c r="AA911" s="40" t="str">
        <f>IFERROR(__xludf.DUMMYFUNCTION("""COMPUTED_VALUE"""),"1552 San Saba Dr")</f>
        <v>1552 San Saba Dr</v>
      </c>
      <c r="AB911" s="40" t="str">
        <f>IFERROR(__xludf.DUMMYFUNCTION("""COMPUTED_VALUE"""),"Dallas, TX 75218")</f>
        <v>Dallas, TX 75218</v>
      </c>
      <c r="AC911" s="31" t="s">
        <v>2217</v>
      </c>
      <c r="AD911" s="40"/>
      <c r="AE911" s="40"/>
      <c r="AF911" s="40"/>
      <c r="AG911" s="40" t="s">
        <v>60</v>
      </c>
      <c r="AH911" s="42">
        <v>2481.0</v>
      </c>
      <c r="AI911" s="40" t="s">
        <v>68</v>
      </c>
      <c r="AJ911" s="27">
        <v>100.0</v>
      </c>
      <c r="AK911" s="31" t="s">
        <v>25</v>
      </c>
      <c r="AL911" s="43">
        <v>44834.0</v>
      </c>
      <c r="AM911" s="44">
        <v>44937.81995370371</v>
      </c>
      <c r="AN911" s="30">
        <v>2.0</v>
      </c>
      <c r="AO911" s="40"/>
      <c r="AP911" s="40"/>
      <c r="AQ911" s="40"/>
      <c r="AR911" s="40"/>
      <c r="AS911" s="40"/>
      <c r="AT911" s="47"/>
      <c r="AU911" s="40"/>
      <c r="AV911" s="46" t="str">
        <f>IFERROR(__xludf.DUMMYFUNCTION("""COMPUTED_VALUE"""),"Culak")</f>
        <v>Culak</v>
      </c>
      <c r="AW911" s="46">
        <f t="shared" si="7"/>
        <v>50</v>
      </c>
      <c r="AX911" s="47">
        <f t="shared" ref="AX911:BQ911" si="2844">SUMIFS($AJ:$AJ,$V:$V,$AV911,$AK:$AK,AX$2)</f>
        <v>50</v>
      </c>
      <c r="AY911" s="48">
        <f t="shared" si="2844"/>
        <v>0</v>
      </c>
      <c r="AZ911" s="48">
        <f t="shared" si="2844"/>
        <v>0</v>
      </c>
      <c r="BA911" s="48">
        <f t="shared" si="2844"/>
        <v>0</v>
      </c>
      <c r="BB911" s="48">
        <f t="shared" si="2844"/>
        <v>0</v>
      </c>
      <c r="BC911" s="48">
        <f t="shared" si="2844"/>
        <v>0</v>
      </c>
      <c r="BD911" s="48">
        <f t="shared" si="2844"/>
        <v>0</v>
      </c>
      <c r="BE911" s="48">
        <f t="shared" si="2844"/>
        <v>0</v>
      </c>
      <c r="BF911" s="48">
        <f t="shared" si="2844"/>
        <v>0</v>
      </c>
      <c r="BG911" s="48">
        <f t="shared" si="2844"/>
        <v>0</v>
      </c>
      <c r="BH911" s="48">
        <f t="shared" si="2844"/>
        <v>0</v>
      </c>
      <c r="BI911" s="48">
        <f t="shared" si="2844"/>
        <v>0</v>
      </c>
      <c r="BJ911" s="48">
        <f t="shared" si="2844"/>
        <v>0</v>
      </c>
      <c r="BK911" s="48">
        <f t="shared" si="2844"/>
        <v>0</v>
      </c>
      <c r="BL911" s="48">
        <f t="shared" si="2844"/>
        <v>0</v>
      </c>
      <c r="BM911" s="48">
        <f t="shared" si="2844"/>
        <v>0</v>
      </c>
      <c r="BN911" s="48">
        <f t="shared" si="2844"/>
        <v>0</v>
      </c>
      <c r="BO911" s="48">
        <f t="shared" si="2844"/>
        <v>0</v>
      </c>
      <c r="BP911" s="48">
        <f t="shared" si="2844"/>
        <v>0</v>
      </c>
      <c r="BQ911" s="48">
        <f t="shared" si="2844"/>
        <v>0</v>
      </c>
      <c r="BR911" s="36">
        <f t="shared" si="9"/>
        <v>0</v>
      </c>
      <c r="BS911" s="38">
        <f t="shared" si="10"/>
        <v>1</v>
      </c>
      <c r="BT911" s="49">
        <f t="shared" si="11"/>
        <v>0</v>
      </c>
      <c r="BU911" s="38">
        <f t="shared" si="12"/>
        <v>1000</v>
      </c>
      <c r="BV911" s="46" t="str">
        <f>IFERROR(__xludf.DUMMYFUNCTION("""COMPUTED_VALUE"""),"Culak")</f>
        <v>Culak</v>
      </c>
      <c r="BW911" s="46">
        <f t="shared" si="13"/>
        <v>50</v>
      </c>
      <c r="BX911" s="47">
        <f t="shared" ref="BX911:CA911" si="2845">AX911-$BU911</f>
        <v>-950</v>
      </c>
      <c r="BY911" s="47">
        <f t="shared" si="2845"/>
        <v>-1000</v>
      </c>
      <c r="BZ911" s="47">
        <f t="shared" si="2845"/>
        <v>-1000</v>
      </c>
      <c r="CA911" s="47">
        <f t="shared" si="2845"/>
        <v>-1000</v>
      </c>
      <c r="CB911" s="47">
        <f t="shared" si="15"/>
        <v>-10000</v>
      </c>
      <c r="CC911" s="47">
        <f t="shared" ref="CC911:CQ911" si="2846">BC911-$BU911</f>
        <v>-1000</v>
      </c>
      <c r="CD911" s="47">
        <f t="shared" si="2846"/>
        <v>-1000</v>
      </c>
      <c r="CE911" s="47">
        <f t="shared" si="2846"/>
        <v>-1000</v>
      </c>
      <c r="CF911" s="47">
        <f t="shared" si="2846"/>
        <v>-1000</v>
      </c>
      <c r="CG911" s="47">
        <f t="shared" si="2846"/>
        <v>-1000</v>
      </c>
      <c r="CH911" s="47">
        <f t="shared" si="2846"/>
        <v>-1000</v>
      </c>
      <c r="CI911" s="47">
        <f t="shared" si="2846"/>
        <v>-1000</v>
      </c>
      <c r="CJ911" s="47">
        <f t="shared" si="2846"/>
        <v>-1000</v>
      </c>
      <c r="CK911" s="47">
        <f t="shared" si="2846"/>
        <v>-1000</v>
      </c>
      <c r="CL911" s="47">
        <f t="shared" si="2846"/>
        <v>-1000</v>
      </c>
      <c r="CM911" s="47">
        <f t="shared" si="2846"/>
        <v>-1000</v>
      </c>
      <c r="CN911" s="47">
        <f t="shared" si="2846"/>
        <v>-1000</v>
      </c>
      <c r="CO911" s="47">
        <f t="shared" si="2846"/>
        <v>-1000</v>
      </c>
      <c r="CP911" s="47">
        <f t="shared" si="2846"/>
        <v>-1000</v>
      </c>
      <c r="CQ911" s="47">
        <f t="shared" si="2846"/>
        <v>-1000</v>
      </c>
      <c r="CR911" s="47"/>
      <c r="CS911" s="47"/>
      <c r="CT911" s="47"/>
      <c r="CU911" s="74"/>
      <c r="CV911" s="74"/>
      <c r="CW911" s="74" t="str">
        <f>IFERROR(__xludf.DUMMYFUNCTION("IF(REGEXMATCH(UPPER(CU911), ""DALLAS""),,CU911)"),"")</f>
        <v/>
      </c>
      <c r="CX911" s="74"/>
      <c r="CY911" s="74"/>
      <c r="CZ911" s="74"/>
      <c r="DA911" s="75"/>
      <c r="DB911" s="74"/>
      <c r="DC911" s="74"/>
      <c r="DD911" s="74"/>
      <c r="DE911" s="74"/>
      <c r="DF911" s="74"/>
      <c r="DG911" s="74"/>
      <c r="DH911" s="74"/>
      <c r="DI911" s="74"/>
      <c r="DJ911" s="74"/>
      <c r="DK911" s="74"/>
      <c r="DL911" s="74"/>
      <c r="DM911" s="74"/>
      <c r="DN911" s="74"/>
      <c r="DO911" s="74"/>
      <c r="DP911" s="74"/>
      <c r="DQ911" s="74"/>
      <c r="DR911" s="74"/>
      <c r="DS911" s="74"/>
      <c r="DT911" s="74"/>
      <c r="DU911" s="74"/>
      <c r="DV911" s="74"/>
      <c r="DW911" s="74"/>
    </row>
    <row r="912">
      <c r="A912" s="22" t="s">
        <v>55</v>
      </c>
      <c r="B912" s="23" t="s">
        <v>56</v>
      </c>
      <c r="C912" s="31" t="s">
        <v>2218</v>
      </c>
      <c r="D912" s="25" t="str">
        <f>IFERROR(__xludf.DUMMYFUNCTION("SPLIT(C912,"" "")"),"Sandler,")</f>
        <v>Sandler,</v>
      </c>
      <c r="E912" s="22" t="str">
        <f>IFERROR(__xludf.DUMMYFUNCTION("""COMPUTED_VALUE"""),"Derek
6426")</f>
        <v>Derek
6426</v>
      </c>
      <c r="F912" s="22" t="str">
        <f>IFERROR(__xludf.DUMMYFUNCTION("""COMPUTED_VALUE"""),"Woodland")</f>
        <v>Woodland</v>
      </c>
      <c r="G912" s="22" t="str">
        <f>IFERROR(__xludf.DUMMYFUNCTION("""COMPUTED_VALUE"""),"Dr
Dallas,")</f>
        <v>Dr
Dallas,</v>
      </c>
      <c r="H912" s="22" t="str">
        <f>IFERROR(__xludf.DUMMYFUNCTION("""COMPUTED_VALUE"""),"TX")</f>
        <v>TX</v>
      </c>
      <c r="I912" s="22">
        <f>IFERROR(__xludf.DUMMYFUNCTION("""COMPUTED_VALUE"""),75225.0)</f>
        <v>75225</v>
      </c>
      <c r="J912" s="22"/>
      <c r="K912" s="22"/>
      <c r="L912" s="22"/>
      <c r="M912" s="22"/>
      <c r="N912" s="22"/>
      <c r="O912" s="22"/>
      <c r="P912" s="22"/>
      <c r="Q912" s="22"/>
      <c r="R912" s="22"/>
      <c r="S912" s="22"/>
      <c r="T912" s="22"/>
      <c r="U912" s="24" t="str">
        <f>IFERROR(__xludf.DUMMYFUNCTION("SPLIT(E912,""01234567890"")"),"Derek
")</f>
        <v>Derek
</v>
      </c>
      <c r="V912" s="24" t="str">
        <f>IFERROR(__xludf.DUMMYFUNCTION("SPLIT(D912,"","")"),"Sandler")</f>
        <v>Sandler</v>
      </c>
      <c r="W912" s="25" t="str">
        <f t="shared" si="1"/>
        <v>DEREK
 SANDLER</v>
      </c>
      <c r="X912" s="22"/>
      <c r="Y912" s="22"/>
      <c r="Z912" s="25" t="str">
        <f>IFERROR(__xludf.DUMMYFUNCTION("SPLIT(C912,""
"")"),"Sandler, Derek")</f>
        <v>Sandler, Derek</v>
      </c>
      <c r="AA912" s="22" t="str">
        <f>IFERROR(__xludf.DUMMYFUNCTION("""COMPUTED_VALUE"""),"6426 Woodland Dr")</f>
        <v>6426 Woodland Dr</v>
      </c>
      <c r="AB912" s="22" t="str">
        <f>IFERROR(__xludf.DUMMYFUNCTION("""COMPUTED_VALUE"""),"Dallas, TX 75225")</f>
        <v>Dallas, TX 75225</v>
      </c>
      <c r="AC912" s="31" t="s">
        <v>2219</v>
      </c>
      <c r="AD912" s="22"/>
      <c r="AE912" s="22"/>
      <c r="AF912" s="22"/>
      <c r="AG912" s="22" t="s">
        <v>60</v>
      </c>
      <c r="AH912" s="54">
        <v>2481.0</v>
      </c>
      <c r="AI912" s="22" t="s">
        <v>68</v>
      </c>
      <c r="AJ912" s="27">
        <v>100.0</v>
      </c>
      <c r="AK912" s="31" t="s">
        <v>25</v>
      </c>
      <c r="AL912" s="28">
        <v>44834.0</v>
      </c>
      <c r="AM912" s="29">
        <v>44937.81995370371</v>
      </c>
      <c r="AN912" s="30">
        <v>2.0</v>
      </c>
      <c r="AO912" s="22"/>
      <c r="AP912" s="22"/>
      <c r="AQ912" s="22"/>
      <c r="AR912" s="22"/>
      <c r="AS912" s="22"/>
      <c r="AT912" s="70"/>
      <c r="AU912" s="22"/>
      <c r="AV912" s="57" t="str">
        <f>IFERROR(__xludf.DUMMYFUNCTION("""COMPUTED_VALUE"""),"Christopher")</f>
        <v>Christopher</v>
      </c>
      <c r="AW912" s="46">
        <f t="shared" si="7"/>
        <v>50</v>
      </c>
      <c r="AX912" s="47">
        <f t="shared" ref="AX912:BQ912" si="2847">SUMIFS($AJ:$AJ,$V:$V,$AV912,$AK:$AK,AX$2)</f>
        <v>50</v>
      </c>
      <c r="AY912" s="48">
        <f t="shared" si="2847"/>
        <v>0</v>
      </c>
      <c r="AZ912" s="48">
        <f t="shared" si="2847"/>
        <v>0</v>
      </c>
      <c r="BA912" s="48">
        <f t="shared" si="2847"/>
        <v>0</v>
      </c>
      <c r="BB912" s="48">
        <f t="shared" si="2847"/>
        <v>0</v>
      </c>
      <c r="BC912" s="48">
        <f t="shared" si="2847"/>
        <v>0</v>
      </c>
      <c r="BD912" s="48">
        <f t="shared" si="2847"/>
        <v>0</v>
      </c>
      <c r="BE912" s="48">
        <f t="shared" si="2847"/>
        <v>0</v>
      </c>
      <c r="BF912" s="48">
        <f t="shared" si="2847"/>
        <v>0</v>
      </c>
      <c r="BG912" s="48">
        <f t="shared" si="2847"/>
        <v>0</v>
      </c>
      <c r="BH912" s="48">
        <f t="shared" si="2847"/>
        <v>0</v>
      </c>
      <c r="BI912" s="48">
        <f t="shared" si="2847"/>
        <v>0</v>
      </c>
      <c r="BJ912" s="48">
        <f t="shared" si="2847"/>
        <v>0</v>
      </c>
      <c r="BK912" s="48">
        <f t="shared" si="2847"/>
        <v>0</v>
      </c>
      <c r="BL912" s="48">
        <f t="shared" si="2847"/>
        <v>0</v>
      </c>
      <c r="BM912" s="48">
        <f t="shared" si="2847"/>
        <v>0</v>
      </c>
      <c r="BN912" s="48">
        <f t="shared" si="2847"/>
        <v>0</v>
      </c>
      <c r="BO912" s="48">
        <f t="shared" si="2847"/>
        <v>0</v>
      </c>
      <c r="BP912" s="48">
        <f t="shared" si="2847"/>
        <v>0</v>
      </c>
      <c r="BQ912" s="48">
        <f t="shared" si="2847"/>
        <v>0</v>
      </c>
      <c r="BR912" s="36">
        <f t="shared" si="9"/>
        <v>0</v>
      </c>
      <c r="BS912" s="38">
        <f t="shared" si="10"/>
        <v>1</v>
      </c>
      <c r="BT912" s="49">
        <f t="shared" si="11"/>
        <v>0</v>
      </c>
      <c r="BU912" s="38">
        <f t="shared" si="12"/>
        <v>1000</v>
      </c>
      <c r="BV912" s="57" t="str">
        <f>IFERROR(__xludf.DUMMYFUNCTION("""COMPUTED_VALUE"""),"Christopher")</f>
        <v>Christopher</v>
      </c>
      <c r="BW912" s="46">
        <f t="shared" si="13"/>
        <v>50</v>
      </c>
      <c r="BX912" s="47">
        <f t="shared" ref="BX912:CA912" si="2848">AX912-$BU912</f>
        <v>-950</v>
      </c>
      <c r="BY912" s="47">
        <f t="shared" si="2848"/>
        <v>-1000</v>
      </c>
      <c r="BZ912" s="47">
        <f t="shared" si="2848"/>
        <v>-1000</v>
      </c>
      <c r="CA912" s="47">
        <f t="shared" si="2848"/>
        <v>-1000</v>
      </c>
      <c r="CB912" s="47">
        <f t="shared" si="15"/>
        <v>-10000</v>
      </c>
      <c r="CC912" s="47">
        <f t="shared" ref="CC912:CQ912" si="2849">BC912-$BU912</f>
        <v>-1000</v>
      </c>
      <c r="CD912" s="47">
        <f t="shared" si="2849"/>
        <v>-1000</v>
      </c>
      <c r="CE912" s="47">
        <f t="shared" si="2849"/>
        <v>-1000</v>
      </c>
      <c r="CF912" s="47">
        <f t="shared" si="2849"/>
        <v>-1000</v>
      </c>
      <c r="CG912" s="47">
        <f t="shared" si="2849"/>
        <v>-1000</v>
      </c>
      <c r="CH912" s="47">
        <f t="shared" si="2849"/>
        <v>-1000</v>
      </c>
      <c r="CI912" s="47">
        <f t="shared" si="2849"/>
        <v>-1000</v>
      </c>
      <c r="CJ912" s="47">
        <f t="shared" si="2849"/>
        <v>-1000</v>
      </c>
      <c r="CK912" s="47">
        <f t="shared" si="2849"/>
        <v>-1000</v>
      </c>
      <c r="CL912" s="47">
        <f t="shared" si="2849"/>
        <v>-1000</v>
      </c>
      <c r="CM912" s="47">
        <f t="shared" si="2849"/>
        <v>-1000</v>
      </c>
      <c r="CN912" s="47">
        <f t="shared" si="2849"/>
        <v>-1000</v>
      </c>
      <c r="CO912" s="47">
        <f t="shared" si="2849"/>
        <v>-1000</v>
      </c>
      <c r="CP912" s="47">
        <f t="shared" si="2849"/>
        <v>-1000</v>
      </c>
      <c r="CQ912" s="47">
        <f t="shared" si="2849"/>
        <v>-1000</v>
      </c>
      <c r="CR912" s="47"/>
      <c r="CS912" s="47"/>
      <c r="CT912" s="47"/>
      <c r="CU912" s="74"/>
      <c r="CV912" s="74"/>
      <c r="CW912" s="74" t="str">
        <f>IFERROR(__xludf.DUMMYFUNCTION("IF(REGEXMATCH(UPPER(CU912), ""DALLAS""),,CU912)"),"")</f>
        <v/>
      </c>
      <c r="CX912" s="74"/>
      <c r="CY912" s="74"/>
      <c r="CZ912" s="74"/>
      <c r="DA912" s="75"/>
      <c r="DB912" s="74"/>
      <c r="DC912" s="74"/>
      <c r="DD912" s="74"/>
      <c r="DE912" s="74"/>
      <c r="DF912" s="74"/>
      <c r="DG912" s="74"/>
      <c r="DH912" s="74"/>
      <c r="DI912" s="74"/>
      <c r="DJ912" s="74"/>
      <c r="DK912" s="74"/>
      <c r="DL912" s="74"/>
      <c r="DM912" s="74"/>
      <c r="DN912" s="74"/>
      <c r="DO912" s="74"/>
      <c r="DP912" s="74"/>
      <c r="DQ912" s="74"/>
      <c r="DR912" s="74"/>
      <c r="DS912" s="74"/>
      <c r="DT912" s="74"/>
      <c r="DU912" s="74"/>
      <c r="DV912" s="74"/>
      <c r="DW912" s="74"/>
    </row>
    <row r="913">
      <c r="A913" s="40" t="s">
        <v>55</v>
      </c>
      <c r="B913" s="41" t="s">
        <v>56</v>
      </c>
      <c r="C913" s="31" t="s">
        <v>2220</v>
      </c>
      <c r="D913" s="25" t="str">
        <f>IFERROR(__xludf.DUMMYFUNCTION("SPLIT(C913,"" "")"),"Thomas,")</f>
        <v>Thomas,</v>
      </c>
      <c r="E913" s="40" t="str">
        <f>IFERROR(__xludf.DUMMYFUNCTION("""COMPUTED_VALUE"""),"Bart
608")</f>
        <v>Bart
608</v>
      </c>
      <c r="F913" s="40" t="str">
        <f>IFERROR(__xludf.DUMMYFUNCTION("""COMPUTED_VALUE"""),"Belhaven
Allen,")</f>
        <v>Belhaven
Allen,</v>
      </c>
      <c r="G913" s="40" t="str">
        <f>IFERROR(__xludf.DUMMYFUNCTION("""COMPUTED_VALUE"""),"TX")</f>
        <v>TX</v>
      </c>
      <c r="H913" s="40">
        <f>IFERROR(__xludf.DUMMYFUNCTION("""COMPUTED_VALUE"""),75013.0)</f>
        <v>75013</v>
      </c>
      <c r="I913" s="40"/>
      <c r="J913" s="40"/>
      <c r="K913" s="40"/>
      <c r="L913" s="40"/>
      <c r="M913" s="40"/>
      <c r="N913" s="40"/>
      <c r="O913" s="40"/>
      <c r="P913" s="40"/>
      <c r="Q913" s="40"/>
      <c r="R913" s="40"/>
      <c r="S913" s="40"/>
      <c r="T913" s="40"/>
      <c r="U913" s="24" t="str">
        <f>IFERROR(__xludf.DUMMYFUNCTION("SPLIT(E913,""01234567890"")"),"Bart
")</f>
        <v>Bart
</v>
      </c>
      <c r="V913" s="24" t="str">
        <f>IFERROR(__xludf.DUMMYFUNCTION("SPLIT(D913,"","")"),"Thomas")</f>
        <v>Thomas</v>
      </c>
      <c r="W913" s="25" t="str">
        <f t="shared" si="1"/>
        <v>BART
 THOMAS</v>
      </c>
      <c r="X913" s="40"/>
      <c r="Y913" s="40"/>
      <c r="Z913" s="25" t="str">
        <f>IFERROR(__xludf.DUMMYFUNCTION("SPLIT(C913,""
"")"),"Thomas, Bart")</f>
        <v>Thomas, Bart</v>
      </c>
      <c r="AA913" s="40" t="str">
        <f>IFERROR(__xludf.DUMMYFUNCTION("""COMPUTED_VALUE"""),"608 Belhaven")</f>
        <v>608 Belhaven</v>
      </c>
      <c r="AB913" s="40" t="str">
        <f>IFERROR(__xludf.DUMMYFUNCTION("""COMPUTED_VALUE"""),"Allen, TX 75013")</f>
        <v>Allen, TX 75013</v>
      </c>
      <c r="AC913" s="31" t="s">
        <v>2221</v>
      </c>
      <c r="AD913" s="40"/>
      <c r="AE913" s="40"/>
      <c r="AF913" s="40"/>
      <c r="AG913" s="40" t="s">
        <v>60</v>
      </c>
      <c r="AH913" s="42">
        <v>2481.0</v>
      </c>
      <c r="AI913" s="40" t="s">
        <v>68</v>
      </c>
      <c r="AJ913" s="27">
        <v>2500.0</v>
      </c>
      <c r="AK913" s="31" t="s">
        <v>25</v>
      </c>
      <c r="AL913" s="43">
        <v>44834.0</v>
      </c>
      <c r="AM913" s="44">
        <v>44937.81995370371</v>
      </c>
      <c r="AN913" s="30">
        <v>2.0</v>
      </c>
      <c r="AO913" s="40"/>
      <c r="AP913" s="40"/>
      <c r="AQ913" s="40"/>
      <c r="AR913" s="40"/>
      <c r="AS913" s="40"/>
      <c r="AT913" s="47"/>
      <c r="AU913" s="40"/>
      <c r="AV913" s="46" t="str">
        <f>IFERROR(__xludf.DUMMYFUNCTION("""COMPUTED_VALUE"""),"Coffee")</f>
        <v>Coffee</v>
      </c>
      <c r="AW913" s="46">
        <f t="shared" si="7"/>
        <v>25</v>
      </c>
      <c r="AX913" s="47">
        <f t="shared" ref="AX913:BQ913" si="2850">SUMIFS($AJ:$AJ,$V:$V,$AV913,$AK:$AK,AX$2)</f>
        <v>25</v>
      </c>
      <c r="AY913" s="48">
        <f t="shared" si="2850"/>
        <v>0</v>
      </c>
      <c r="AZ913" s="48">
        <f t="shared" si="2850"/>
        <v>0</v>
      </c>
      <c r="BA913" s="48">
        <f t="shared" si="2850"/>
        <v>0</v>
      </c>
      <c r="BB913" s="48">
        <f t="shared" si="2850"/>
        <v>0</v>
      </c>
      <c r="BC913" s="48">
        <f t="shared" si="2850"/>
        <v>0</v>
      </c>
      <c r="BD913" s="48">
        <f t="shared" si="2850"/>
        <v>0</v>
      </c>
      <c r="BE913" s="48">
        <f t="shared" si="2850"/>
        <v>0</v>
      </c>
      <c r="BF913" s="48">
        <f t="shared" si="2850"/>
        <v>0</v>
      </c>
      <c r="BG913" s="48">
        <f t="shared" si="2850"/>
        <v>0</v>
      </c>
      <c r="BH913" s="48">
        <f t="shared" si="2850"/>
        <v>0</v>
      </c>
      <c r="BI913" s="48">
        <f t="shared" si="2850"/>
        <v>0</v>
      </c>
      <c r="BJ913" s="48">
        <f t="shared" si="2850"/>
        <v>0</v>
      </c>
      <c r="BK913" s="48">
        <f t="shared" si="2850"/>
        <v>0</v>
      </c>
      <c r="BL913" s="48">
        <f t="shared" si="2850"/>
        <v>0</v>
      </c>
      <c r="BM913" s="48">
        <f t="shared" si="2850"/>
        <v>0</v>
      </c>
      <c r="BN913" s="48">
        <f t="shared" si="2850"/>
        <v>0</v>
      </c>
      <c r="BO913" s="48">
        <f t="shared" si="2850"/>
        <v>0</v>
      </c>
      <c r="BP913" s="48">
        <f t="shared" si="2850"/>
        <v>0</v>
      </c>
      <c r="BQ913" s="48">
        <f t="shared" si="2850"/>
        <v>0</v>
      </c>
      <c r="BR913" s="36">
        <f t="shared" si="9"/>
        <v>0</v>
      </c>
      <c r="BS913" s="38">
        <f t="shared" si="10"/>
        <v>1</v>
      </c>
      <c r="BT913" s="49">
        <f t="shared" si="11"/>
        <v>0</v>
      </c>
      <c r="BU913" s="38">
        <f t="shared" si="12"/>
        <v>1000</v>
      </c>
      <c r="BV913" s="46" t="str">
        <f>IFERROR(__xludf.DUMMYFUNCTION("""COMPUTED_VALUE"""),"Coffee")</f>
        <v>Coffee</v>
      </c>
      <c r="BW913" s="46">
        <f t="shared" si="13"/>
        <v>25</v>
      </c>
      <c r="BX913" s="47">
        <f t="shared" ref="BX913:CA913" si="2851">AX913-$BU913</f>
        <v>-975</v>
      </c>
      <c r="BY913" s="47">
        <f t="shared" si="2851"/>
        <v>-1000</v>
      </c>
      <c r="BZ913" s="47">
        <f t="shared" si="2851"/>
        <v>-1000</v>
      </c>
      <c r="CA913" s="47">
        <f t="shared" si="2851"/>
        <v>-1000</v>
      </c>
      <c r="CB913" s="47">
        <f t="shared" si="15"/>
        <v>-10000</v>
      </c>
      <c r="CC913" s="47">
        <f t="shared" ref="CC913:CQ913" si="2852">BC913-$BU913</f>
        <v>-1000</v>
      </c>
      <c r="CD913" s="47">
        <f t="shared" si="2852"/>
        <v>-1000</v>
      </c>
      <c r="CE913" s="47">
        <f t="shared" si="2852"/>
        <v>-1000</v>
      </c>
      <c r="CF913" s="47">
        <f t="shared" si="2852"/>
        <v>-1000</v>
      </c>
      <c r="CG913" s="47">
        <f t="shared" si="2852"/>
        <v>-1000</v>
      </c>
      <c r="CH913" s="47">
        <f t="shared" si="2852"/>
        <v>-1000</v>
      </c>
      <c r="CI913" s="47">
        <f t="shared" si="2852"/>
        <v>-1000</v>
      </c>
      <c r="CJ913" s="47">
        <f t="shared" si="2852"/>
        <v>-1000</v>
      </c>
      <c r="CK913" s="47">
        <f t="shared" si="2852"/>
        <v>-1000</v>
      </c>
      <c r="CL913" s="47">
        <f t="shared" si="2852"/>
        <v>-1000</v>
      </c>
      <c r="CM913" s="47">
        <f t="shared" si="2852"/>
        <v>-1000</v>
      </c>
      <c r="CN913" s="47">
        <f t="shared" si="2852"/>
        <v>-1000</v>
      </c>
      <c r="CO913" s="47">
        <f t="shared" si="2852"/>
        <v>-1000</v>
      </c>
      <c r="CP913" s="47">
        <f t="shared" si="2852"/>
        <v>-1000</v>
      </c>
      <c r="CQ913" s="47">
        <f t="shared" si="2852"/>
        <v>-1000</v>
      </c>
      <c r="CR913" s="47"/>
      <c r="CS913" s="47"/>
      <c r="CT913" s="47"/>
      <c r="CU913" s="74"/>
      <c r="CV913" s="74"/>
      <c r="CW913" s="74" t="str">
        <f>IFERROR(__xludf.DUMMYFUNCTION("IF(REGEXMATCH(UPPER(CU913), ""DALLAS""),,CU913)"),"")</f>
        <v/>
      </c>
      <c r="CX913" s="74"/>
      <c r="CY913" s="74"/>
      <c r="CZ913" s="74"/>
      <c r="DA913" s="75"/>
      <c r="DB913" s="74"/>
      <c r="DC913" s="74"/>
      <c r="DD913" s="74"/>
      <c r="DE913" s="74"/>
      <c r="DF913" s="74"/>
      <c r="DG913" s="74"/>
      <c r="DH913" s="74"/>
      <c r="DI913" s="74"/>
      <c r="DJ913" s="74"/>
      <c r="DK913" s="74"/>
      <c r="DL913" s="74"/>
      <c r="DM913" s="74"/>
      <c r="DN913" s="74"/>
      <c r="DO913" s="74"/>
      <c r="DP913" s="74"/>
      <c r="DQ913" s="74"/>
      <c r="DR913" s="74"/>
      <c r="DS913" s="74"/>
      <c r="DT913" s="74"/>
      <c r="DU913" s="74"/>
      <c r="DV913" s="74"/>
      <c r="DW913" s="74"/>
    </row>
    <row r="914">
      <c r="A914" s="22" t="s">
        <v>55</v>
      </c>
      <c r="B914" s="23" t="s">
        <v>56</v>
      </c>
      <c r="C914" s="31" t="s">
        <v>2222</v>
      </c>
      <c r="D914" s="25" t="str">
        <f>IFERROR(__xludf.DUMMYFUNCTION("SPLIT(C914,"" "")"),"Brown,")</f>
        <v>Brown,</v>
      </c>
      <c r="E914" s="22" t="str">
        <f>IFERROR(__xludf.DUMMYFUNCTION("""COMPUTED_VALUE"""),"James
16805")</f>
        <v>James
16805</v>
      </c>
      <c r="F914" s="22" t="str">
        <f>IFERROR(__xludf.DUMMYFUNCTION("""COMPUTED_VALUE"""),"Deer")</f>
        <v>Deer</v>
      </c>
      <c r="G914" s="22" t="str">
        <f>IFERROR(__xludf.DUMMYFUNCTION("""COMPUTED_VALUE"""),"Park")</f>
        <v>Park</v>
      </c>
      <c r="H914" s="22" t="str">
        <f>IFERROR(__xludf.DUMMYFUNCTION("""COMPUTED_VALUE"""),"Dr
Dallas,")</f>
        <v>Dr
Dallas,</v>
      </c>
      <c r="I914" s="22" t="str">
        <f>IFERROR(__xludf.DUMMYFUNCTION("""COMPUTED_VALUE"""),"TX")</f>
        <v>TX</v>
      </c>
      <c r="J914" s="22">
        <f>IFERROR(__xludf.DUMMYFUNCTION("""COMPUTED_VALUE"""),75248.0)</f>
        <v>75248</v>
      </c>
      <c r="K914" s="22"/>
      <c r="L914" s="22"/>
      <c r="M914" s="22"/>
      <c r="N914" s="22"/>
      <c r="O914" s="22"/>
      <c r="P914" s="22"/>
      <c r="Q914" s="22"/>
      <c r="R914" s="22"/>
      <c r="S914" s="22"/>
      <c r="T914" s="22"/>
      <c r="U914" s="24" t="str">
        <f>IFERROR(__xludf.DUMMYFUNCTION("SPLIT(E914,""01234567890"")"),"James
")</f>
        <v>James
</v>
      </c>
      <c r="V914" s="24" t="str">
        <f>IFERROR(__xludf.DUMMYFUNCTION("SPLIT(D914,"","")"),"Brown")</f>
        <v>Brown</v>
      </c>
      <c r="W914" s="25" t="str">
        <f t="shared" si="1"/>
        <v>JAMES
 BROWN</v>
      </c>
      <c r="X914" s="22"/>
      <c r="Y914" s="22"/>
      <c r="Z914" s="25" t="str">
        <f>IFERROR(__xludf.DUMMYFUNCTION("SPLIT(C914,""
"")"),"Brown, James")</f>
        <v>Brown, James</v>
      </c>
      <c r="AA914" s="22" t="str">
        <f>IFERROR(__xludf.DUMMYFUNCTION("""COMPUTED_VALUE"""),"16805 Deer Park Dr")</f>
        <v>16805 Deer Park Dr</v>
      </c>
      <c r="AB914" s="22" t="str">
        <f>IFERROR(__xludf.DUMMYFUNCTION("""COMPUTED_VALUE"""),"Dallas, TX 75248")</f>
        <v>Dallas, TX 75248</v>
      </c>
      <c r="AC914" s="31" t="s">
        <v>2223</v>
      </c>
      <c r="AD914" s="22"/>
      <c r="AE914" s="22"/>
      <c r="AF914" s="22"/>
      <c r="AG914" s="22" t="s">
        <v>60</v>
      </c>
      <c r="AH914" s="54">
        <v>2481.0</v>
      </c>
      <c r="AI914" s="22" t="s">
        <v>68</v>
      </c>
      <c r="AJ914" s="27">
        <v>50.0</v>
      </c>
      <c r="AK914" s="31" t="s">
        <v>25</v>
      </c>
      <c r="AL914" s="28">
        <v>44834.0</v>
      </c>
      <c r="AM914" s="29">
        <v>44937.81995370371</v>
      </c>
      <c r="AN914" s="30">
        <v>2.0</v>
      </c>
      <c r="AO914" s="22"/>
      <c r="AP914" s="22"/>
      <c r="AQ914" s="22"/>
      <c r="AR914" s="22"/>
      <c r="AS914" s="22"/>
      <c r="AT914" s="70"/>
      <c r="AU914" s="22"/>
      <c r="AV914" s="57" t="str">
        <f>IFERROR(__xludf.DUMMYFUNCTION("""COMPUTED_VALUE"""),"Lamb")</f>
        <v>Lamb</v>
      </c>
      <c r="AW914" s="46">
        <f t="shared" si="7"/>
        <v>250</v>
      </c>
      <c r="AX914" s="47">
        <f t="shared" ref="AX914:BQ914" si="2853">SUMIFS($AJ:$AJ,$V:$V,$AV914,$AK:$AK,AX$2)</f>
        <v>250</v>
      </c>
      <c r="AY914" s="48">
        <f t="shared" si="2853"/>
        <v>0</v>
      </c>
      <c r="AZ914" s="48">
        <f t="shared" si="2853"/>
        <v>0</v>
      </c>
      <c r="BA914" s="48">
        <f t="shared" si="2853"/>
        <v>0</v>
      </c>
      <c r="BB914" s="48">
        <f t="shared" si="2853"/>
        <v>0</v>
      </c>
      <c r="BC914" s="48">
        <f t="shared" si="2853"/>
        <v>0</v>
      </c>
      <c r="BD914" s="48">
        <f t="shared" si="2853"/>
        <v>0</v>
      </c>
      <c r="BE914" s="48">
        <f t="shared" si="2853"/>
        <v>0</v>
      </c>
      <c r="BF914" s="48">
        <f t="shared" si="2853"/>
        <v>0</v>
      </c>
      <c r="BG914" s="48">
        <f t="shared" si="2853"/>
        <v>0</v>
      </c>
      <c r="BH914" s="48">
        <f t="shared" si="2853"/>
        <v>0</v>
      </c>
      <c r="BI914" s="48">
        <f t="shared" si="2853"/>
        <v>0</v>
      </c>
      <c r="BJ914" s="48">
        <f t="shared" si="2853"/>
        <v>0</v>
      </c>
      <c r="BK914" s="48">
        <f t="shared" si="2853"/>
        <v>0</v>
      </c>
      <c r="BL914" s="48">
        <f t="shared" si="2853"/>
        <v>0</v>
      </c>
      <c r="BM914" s="48">
        <f t="shared" si="2853"/>
        <v>0</v>
      </c>
      <c r="BN914" s="48">
        <f t="shared" si="2853"/>
        <v>0</v>
      </c>
      <c r="BO914" s="48">
        <f t="shared" si="2853"/>
        <v>0</v>
      </c>
      <c r="BP914" s="48">
        <f t="shared" si="2853"/>
        <v>0</v>
      </c>
      <c r="BQ914" s="48">
        <f t="shared" si="2853"/>
        <v>0</v>
      </c>
      <c r="BR914" s="36">
        <f t="shared" si="9"/>
        <v>0</v>
      </c>
      <c r="BS914" s="38">
        <f t="shared" si="10"/>
        <v>1</v>
      </c>
      <c r="BT914" s="49">
        <f t="shared" si="11"/>
        <v>0</v>
      </c>
      <c r="BU914" s="38">
        <f t="shared" si="12"/>
        <v>1000</v>
      </c>
      <c r="BV914" s="57" t="str">
        <f>IFERROR(__xludf.DUMMYFUNCTION("""COMPUTED_VALUE"""),"Lamb")</f>
        <v>Lamb</v>
      </c>
      <c r="BW914" s="46">
        <f t="shared" si="13"/>
        <v>250</v>
      </c>
      <c r="BX914" s="47">
        <f t="shared" ref="BX914:CA914" si="2854">AX914-$BU914</f>
        <v>-750</v>
      </c>
      <c r="BY914" s="47">
        <f t="shared" si="2854"/>
        <v>-1000</v>
      </c>
      <c r="BZ914" s="47">
        <f t="shared" si="2854"/>
        <v>-1000</v>
      </c>
      <c r="CA914" s="47">
        <f t="shared" si="2854"/>
        <v>-1000</v>
      </c>
      <c r="CB914" s="47">
        <f t="shared" si="15"/>
        <v>-10000</v>
      </c>
      <c r="CC914" s="47">
        <f t="shared" ref="CC914:CQ914" si="2855">BC914-$BU914</f>
        <v>-1000</v>
      </c>
      <c r="CD914" s="47">
        <f t="shared" si="2855"/>
        <v>-1000</v>
      </c>
      <c r="CE914" s="47">
        <f t="shared" si="2855"/>
        <v>-1000</v>
      </c>
      <c r="CF914" s="47">
        <f t="shared" si="2855"/>
        <v>-1000</v>
      </c>
      <c r="CG914" s="47">
        <f t="shared" si="2855"/>
        <v>-1000</v>
      </c>
      <c r="CH914" s="47">
        <f t="shared" si="2855"/>
        <v>-1000</v>
      </c>
      <c r="CI914" s="47">
        <f t="shared" si="2855"/>
        <v>-1000</v>
      </c>
      <c r="CJ914" s="47">
        <f t="shared" si="2855"/>
        <v>-1000</v>
      </c>
      <c r="CK914" s="47">
        <f t="shared" si="2855"/>
        <v>-1000</v>
      </c>
      <c r="CL914" s="47">
        <f t="shared" si="2855"/>
        <v>-1000</v>
      </c>
      <c r="CM914" s="47">
        <f t="shared" si="2855"/>
        <v>-1000</v>
      </c>
      <c r="CN914" s="47">
        <f t="shared" si="2855"/>
        <v>-1000</v>
      </c>
      <c r="CO914" s="47">
        <f t="shared" si="2855"/>
        <v>-1000</v>
      </c>
      <c r="CP914" s="47">
        <f t="shared" si="2855"/>
        <v>-1000</v>
      </c>
      <c r="CQ914" s="47">
        <f t="shared" si="2855"/>
        <v>-1000</v>
      </c>
      <c r="CR914" s="47"/>
      <c r="CS914" s="47"/>
      <c r="CT914" s="47"/>
      <c r="CU914" s="74"/>
      <c r="CV914" s="74"/>
      <c r="CW914" s="74" t="str">
        <f>IFERROR(__xludf.DUMMYFUNCTION("IF(REGEXMATCH(UPPER(CU914), ""DALLAS""),,CU914)"),"")</f>
        <v/>
      </c>
      <c r="CX914" s="74"/>
      <c r="CY914" s="74"/>
      <c r="CZ914" s="74"/>
      <c r="DA914" s="75"/>
      <c r="DB914" s="74"/>
      <c r="DC914" s="74"/>
      <c r="DD914" s="74"/>
      <c r="DE914" s="74"/>
      <c r="DF914" s="74"/>
      <c r="DG914" s="74"/>
      <c r="DH914" s="74"/>
      <c r="DI914" s="74"/>
      <c r="DJ914" s="74"/>
      <c r="DK914" s="74"/>
      <c r="DL914" s="74"/>
      <c r="DM914" s="74"/>
      <c r="DN914" s="74"/>
      <c r="DO914" s="74"/>
      <c r="DP914" s="74"/>
      <c r="DQ914" s="74"/>
      <c r="DR914" s="74"/>
      <c r="DS914" s="74"/>
      <c r="DT914" s="74"/>
      <c r="DU914" s="74"/>
      <c r="DV914" s="74"/>
      <c r="DW914" s="74"/>
    </row>
    <row r="915">
      <c r="A915" s="40" t="s">
        <v>55</v>
      </c>
      <c r="B915" s="41" t="s">
        <v>56</v>
      </c>
      <c r="C915" s="31" t="s">
        <v>970</v>
      </c>
      <c r="D915" s="25" t="str">
        <f>IFERROR(__xludf.DUMMYFUNCTION("SPLIT(C915,"" "")"),"Katz,")</f>
        <v>Katz,</v>
      </c>
      <c r="E915" s="40" t="str">
        <f>IFERROR(__xludf.DUMMYFUNCTION("""COMPUTED_VALUE"""),"Marc
10244")</f>
        <v>Marc
10244</v>
      </c>
      <c r="F915" s="40" t="str">
        <f>IFERROR(__xludf.DUMMYFUNCTION("""COMPUTED_VALUE"""),"Epping")</f>
        <v>Epping</v>
      </c>
      <c r="G915" s="40" t="str">
        <f>IFERROR(__xludf.DUMMYFUNCTION("""COMPUTED_VALUE"""),"Ln
Dallas,")</f>
        <v>Ln
Dallas,</v>
      </c>
      <c r="H915" s="40" t="str">
        <f>IFERROR(__xludf.DUMMYFUNCTION("""COMPUTED_VALUE"""),"TX")</f>
        <v>TX</v>
      </c>
      <c r="I915" s="40">
        <f>IFERROR(__xludf.DUMMYFUNCTION("""COMPUTED_VALUE"""),75229.0)</f>
        <v>75229</v>
      </c>
      <c r="J915" s="40"/>
      <c r="K915" s="40"/>
      <c r="L915" s="40"/>
      <c r="M915" s="40"/>
      <c r="N915" s="40"/>
      <c r="O915" s="40"/>
      <c r="P915" s="40"/>
      <c r="Q915" s="40"/>
      <c r="R915" s="40"/>
      <c r="S915" s="40"/>
      <c r="T915" s="40"/>
      <c r="U915" s="24" t="str">
        <f>IFERROR(__xludf.DUMMYFUNCTION("SPLIT(E915,""01234567890"")"),"Marc
")</f>
        <v>Marc
</v>
      </c>
      <c r="V915" s="24" t="str">
        <f>IFERROR(__xludf.DUMMYFUNCTION("SPLIT(D915,"","")"),"Katz")</f>
        <v>Katz</v>
      </c>
      <c r="W915" s="25" t="str">
        <f t="shared" si="1"/>
        <v>MARC
 KATZ</v>
      </c>
      <c r="X915" s="40"/>
      <c r="Y915" s="40"/>
      <c r="Z915" s="25" t="str">
        <f>IFERROR(__xludf.DUMMYFUNCTION("SPLIT(C915,""
"")"),"Katz, Marc")</f>
        <v>Katz, Marc</v>
      </c>
      <c r="AA915" s="40" t="str">
        <f>IFERROR(__xludf.DUMMYFUNCTION("""COMPUTED_VALUE"""),"10244 Epping Ln")</f>
        <v>10244 Epping Ln</v>
      </c>
      <c r="AB915" s="40" t="str">
        <f>IFERROR(__xludf.DUMMYFUNCTION("""COMPUTED_VALUE"""),"Dallas, TX 75229")</f>
        <v>Dallas, TX 75229</v>
      </c>
      <c r="AC915" s="31" t="s">
        <v>972</v>
      </c>
      <c r="AD915" s="40"/>
      <c r="AE915" s="40"/>
      <c r="AF915" s="40"/>
      <c r="AG915" s="40" t="s">
        <v>60</v>
      </c>
      <c r="AH915" s="42">
        <v>2481.0</v>
      </c>
      <c r="AI915" s="40" t="s">
        <v>68</v>
      </c>
      <c r="AJ915" s="27">
        <v>1000.0</v>
      </c>
      <c r="AK915" s="31" t="s">
        <v>25</v>
      </c>
      <c r="AL915" s="43">
        <v>44834.0</v>
      </c>
      <c r="AM915" s="44">
        <v>44937.81995370371</v>
      </c>
      <c r="AN915" s="30">
        <v>2.0</v>
      </c>
      <c r="AO915" s="40"/>
      <c r="AP915" s="40"/>
      <c r="AQ915" s="40"/>
      <c r="AR915" s="40"/>
      <c r="AS915" s="40"/>
      <c r="AT915" s="47"/>
      <c r="AU915" s="40"/>
      <c r="AV915" s="46" t="str">
        <f>IFERROR(__xludf.DUMMYFUNCTION("""COMPUTED_VALUE"""),"Perez")</f>
        <v>Perez</v>
      </c>
      <c r="AW915" s="46">
        <f t="shared" si="7"/>
        <v>50</v>
      </c>
      <c r="AX915" s="47">
        <f t="shared" ref="AX915:BQ915" si="2856">SUMIFS($AJ:$AJ,$V:$V,$AV915,$AK:$AK,AX$2)</f>
        <v>50</v>
      </c>
      <c r="AY915" s="48">
        <f t="shared" si="2856"/>
        <v>0</v>
      </c>
      <c r="AZ915" s="48">
        <f t="shared" si="2856"/>
        <v>0</v>
      </c>
      <c r="BA915" s="48">
        <f t="shared" si="2856"/>
        <v>0</v>
      </c>
      <c r="BB915" s="48">
        <f t="shared" si="2856"/>
        <v>0</v>
      </c>
      <c r="BC915" s="48">
        <f t="shared" si="2856"/>
        <v>0</v>
      </c>
      <c r="BD915" s="48">
        <f t="shared" si="2856"/>
        <v>0</v>
      </c>
      <c r="BE915" s="48">
        <f t="shared" si="2856"/>
        <v>0</v>
      </c>
      <c r="BF915" s="48">
        <f t="shared" si="2856"/>
        <v>0</v>
      </c>
      <c r="BG915" s="48">
        <f t="shared" si="2856"/>
        <v>0</v>
      </c>
      <c r="BH915" s="48">
        <f t="shared" si="2856"/>
        <v>0</v>
      </c>
      <c r="BI915" s="48">
        <f t="shared" si="2856"/>
        <v>0</v>
      </c>
      <c r="BJ915" s="48">
        <f t="shared" si="2856"/>
        <v>0</v>
      </c>
      <c r="BK915" s="48">
        <f t="shared" si="2856"/>
        <v>0</v>
      </c>
      <c r="BL915" s="48">
        <f t="shared" si="2856"/>
        <v>0</v>
      </c>
      <c r="BM915" s="48">
        <f t="shared" si="2856"/>
        <v>0</v>
      </c>
      <c r="BN915" s="48">
        <f t="shared" si="2856"/>
        <v>0</v>
      </c>
      <c r="BO915" s="48">
        <f t="shared" si="2856"/>
        <v>0</v>
      </c>
      <c r="BP915" s="48">
        <f t="shared" si="2856"/>
        <v>0</v>
      </c>
      <c r="BQ915" s="48">
        <f t="shared" si="2856"/>
        <v>0</v>
      </c>
      <c r="BR915" s="36">
        <f t="shared" si="9"/>
        <v>0</v>
      </c>
      <c r="BS915" s="38">
        <f t="shared" si="10"/>
        <v>1</v>
      </c>
      <c r="BT915" s="49">
        <f t="shared" si="11"/>
        <v>0</v>
      </c>
      <c r="BU915" s="38">
        <f t="shared" si="12"/>
        <v>1000</v>
      </c>
      <c r="BV915" s="46" t="str">
        <f>IFERROR(__xludf.DUMMYFUNCTION("""COMPUTED_VALUE"""),"Perez")</f>
        <v>Perez</v>
      </c>
      <c r="BW915" s="46">
        <f t="shared" si="13"/>
        <v>50</v>
      </c>
      <c r="BX915" s="47">
        <f t="shared" ref="BX915:CA915" si="2857">AX915-$BU915</f>
        <v>-950</v>
      </c>
      <c r="BY915" s="47">
        <f t="shared" si="2857"/>
        <v>-1000</v>
      </c>
      <c r="BZ915" s="47">
        <f t="shared" si="2857"/>
        <v>-1000</v>
      </c>
      <c r="CA915" s="47">
        <f t="shared" si="2857"/>
        <v>-1000</v>
      </c>
      <c r="CB915" s="47">
        <f t="shared" si="15"/>
        <v>-10000</v>
      </c>
      <c r="CC915" s="47">
        <f t="shared" ref="CC915:CQ915" si="2858">BC915-$BU915</f>
        <v>-1000</v>
      </c>
      <c r="CD915" s="47">
        <f t="shared" si="2858"/>
        <v>-1000</v>
      </c>
      <c r="CE915" s="47">
        <f t="shared" si="2858"/>
        <v>-1000</v>
      </c>
      <c r="CF915" s="47">
        <f t="shared" si="2858"/>
        <v>-1000</v>
      </c>
      <c r="CG915" s="47">
        <f t="shared" si="2858"/>
        <v>-1000</v>
      </c>
      <c r="CH915" s="47">
        <f t="shared" si="2858"/>
        <v>-1000</v>
      </c>
      <c r="CI915" s="47">
        <f t="shared" si="2858"/>
        <v>-1000</v>
      </c>
      <c r="CJ915" s="47">
        <f t="shared" si="2858"/>
        <v>-1000</v>
      </c>
      <c r="CK915" s="47">
        <f t="shared" si="2858"/>
        <v>-1000</v>
      </c>
      <c r="CL915" s="47">
        <f t="shared" si="2858"/>
        <v>-1000</v>
      </c>
      <c r="CM915" s="47">
        <f t="shared" si="2858"/>
        <v>-1000</v>
      </c>
      <c r="CN915" s="47">
        <f t="shared" si="2858"/>
        <v>-1000</v>
      </c>
      <c r="CO915" s="47">
        <f t="shared" si="2858"/>
        <v>-1000</v>
      </c>
      <c r="CP915" s="47">
        <f t="shared" si="2858"/>
        <v>-1000</v>
      </c>
      <c r="CQ915" s="47">
        <f t="shared" si="2858"/>
        <v>-1000</v>
      </c>
      <c r="CR915" s="47"/>
      <c r="CS915" s="47"/>
      <c r="CT915" s="47"/>
      <c r="CU915" s="74"/>
      <c r="CV915" s="74"/>
      <c r="CW915" s="74" t="str">
        <f>IFERROR(__xludf.DUMMYFUNCTION("IF(REGEXMATCH(UPPER(CU915), ""DALLAS""),,CU915)"),"")</f>
        <v/>
      </c>
      <c r="CX915" s="74"/>
      <c r="CY915" s="74"/>
      <c r="CZ915" s="74"/>
      <c r="DA915" s="75"/>
      <c r="DB915" s="74"/>
      <c r="DC915" s="74"/>
      <c r="DD915" s="74"/>
      <c r="DE915" s="74"/>
      <c r="DF915" s="74"/>
      <c r="DG915" s="74"/>
      <c r="DH915" s="74"/>
      <c r="DI915" s="74"/>
      <c r="DJ915" s="74"/>
      <c r="DK915" s="74"/>
      <c r="DL915" s="74"/>
      <c r="DM915" s="74"/>
      <c r="DN915" s="74"/>
      <c r="DO915" s="74"/>
      <c r="DP915" s="74"/>
      <c r="DQ915" s="74"/>
      <c r="DR915" s="74"/>
      <c r="DS915" s="74"/>
      <c r="DT915" s="74"/>
      <c r="DU915" s="74"/>
      <c r="DV915" s="74"/>
      <c r="DW915" s="74"/>
    </row>
    <row r="916">
      <c r="A916" s="22" t="s">
        <v>55</v>
      </c>
      <c r="B916" s="23" t="s">
        <v>56</v>
      </c>
      <c r="C916" s="31" t="s">
        <v>2224</v>
      </c>
      <c r="D916" s="25" t="str">
        <f>IFERROR(__xludf.DUMMYFUNCTION("SPLIT(C916,"" "")"),"McCullough,")</f>
        <v>McCullough,</v>
      </c>
      <c r="E916" s="22" t="str">
        <f>IFERROR(__xludf.DUMMYFUNCTION("""COMPUTED_VALUE"""),"JoAnne
7239")</f>
        <v>JoAnne
7239</v>
      </c>
      <c r="F916" s="22" t="str">
        <f>IFERROR(__xludf.DUMMYFUNCTION("""COMPUTED_VALUE"""),"Lane")</f>
        <v>Lane</v>
      </c>
      <c r="G916" s="22" t="str">
        <f>IFERROR(__xludf.DUMMYFUNCTION("""COMPUTED_VALUE"""),"Park")</f>
        <v>Park</v>
      </c>
      <c r="H916" s="22" t="str">
        <f>IFERROR(__xludf.DUMMYFUNCTION("""COMPUTED_VALUE"""),"Dr
Dallas,")</f>
        <v>Dr
Dallas,</v>
      </c>
      <c r="I916" s="22" t="str">
        <f>IFERROR(__xludf.DUMMYFUNCTION("""COMPUTED_VALUE"""),"TX")</f>
        <v>TX</v>
      </c>
      <c r="J916" s="22">
        <f>IFERROR(__xludf.DUMMYFUNCTION("""COMPUTED_VALUE"""),75225.0)</f>
        <v>75225</v>
      </c>
      <c r="K916" s="22"/>
      <c r="L916" s="22"/>
      <c r="M916" s="22"/>
      <c r="N916" s="22"/>
      <c r="O916" s="22"/>
      <c r="P916" s="22"/>
      <c r="Q916" s="22"/>
      <c r="R916" s="22"/>
      <c r="S916" s="22"/>
      <c r="T916" s="22"/>
      <c r="U916" s="24" t="str">
        <f>IFERROR(__xludf.DUMMYFUNCTION("SPLIT(E916,""01234567890"")"),"JoAnne
")</f>
        <v>JoAnne
</v>
      </c>
      <c r="V916" s="24" t="str">
        <f>IFERROR(__xludf.DUMMYFUNCTION("SPLIT(D916,"","")"),"McCullough")</f>
        <v>McCullough</v>
      </c>
      <c r="W916" s="25" t="str">
        <f t="shared" si="1"/>
        <v>JOANNE
 MCCULLOUGH</v>
      </c>
      <c r="X916" s="22"/>
      <c r="Y916" s="22"/>
      <c r="Z916" s="25" t="str">
        <f>IFERROR(__xludf.DUMMYFUNCTION("SPLIT(C916,""
"")"),"McCullough, JoAnne")</f>
        <v>McCullough, JoAnne</v>
      </c>
      <c r="AA916" s="22" t="str">
        <f>IFERROR(__xludf.DUMMYFUNCTION("""COMPUTED_VALUE"""),"7239 Lane Park Dr")</f>
        <v>7239 Lane Park Dr</v>
      </c>
      <c r="AB916" s="22" t="str">
        <f>IFERROR(__xludf.DUMMYFUNCTION("""COMPUTED_VALUE"""),"Dallas, TX 75225")</f>
        <v>Dallas, TX 75225</v>
      </c>
      <c r="AC916" s="31" t="s">
        <v>2225</v>
      </c>
      <c r="AD916" s="22"/>
      <c r="AE916" s="22"/>
      <c r="AF916" s="22"/>
      <c r="AG916" s="22" t="s">
        <v>60</v>
      </c>
      <c r="AH916" s="54">
        <v>2481.0</v>
      </c>
      <c r="AI916" s="22" t="s">
        <v>68</v>
      </c>
      <c r="AJ916" s="27">
        <v>25.0</v>
      </c>
      <c r="AK916" s="31" t="s">
        <v>25</v>
      </c>
      <c r="AL916" s="28">
        <v>44834.0</v>
      </c>
      <c r="AM916" s="29">
        <v>44937.81995370371</v>
      </c>
      <c r="AN916" s="30">
        <v>2.0</v>
      </c>
      <c r="AO916" s="22"/>
      <c r="AP916" s="22"/>
      <c r="AQ916" s="22"/>
      <c r="AR916" s="22"/>
      <c r="AS916" s="22"/>
      <c r="AT916" s="70"/>
      <c r="AU916" s="22"/>
      <c r="AV916" s="57" t="str">
        <f>IFERROR(__xludf.DUMMYFUNCTION("""COMPUTED_VALUE"""),"Hewitt")</f>
        <v>Hewitt</v>
      </c>
      <c r="AW916" s="46">
        <f t="shared" si="7"/>
        <v>474.7</v>
      </c>
      <c r="AX916" s="47">
        <f t="shared" ref="AX916:BQ916" si="2859">SUMIFS($AJ:$AJ,$V:$V,$AV916,$AK:$AK,AX$2)</f>
        <v>474.7</v>
      </c>
      <c r="AY916" s="48">
        <f t="shared" si="2859"/>
        <v>0</v>
      </c>
      <c r="AZ916" s="48">
        <f t="shared" si="2859"/>
        <v>0</v>
      </c>
      <c r="BA916" s="48">
        <f t="shared" si="2859"/>
        <v>0</v>
      </c>
      <c r="BB916" s="48">
        <f t="shared" si="2859"/>
        <v>0</v>
      </c>
      <c r="BC916" s="48">
        <f t="shared" si="2859"/>
        <v>0</v>
      </c>
      <c r="BD916" s="48">
        <f t="shared" si="2859"/>
        <v>0</v>
      </c>
      <c r="BE916" s="48">
        <f t="shared" si="2859"/>
        <v>0</v>
      </c>
      <c r="BF916" s="48">
        <f t="shared" si="2859"/>
        <v>0</v>
      </c>
      <c r="BG916" s="48">
        <f t="shared" si="2859"/>
        <v>0</v>
      </c>
      <c r="BH916" s="48">
        <f t="shared" si="2859"/>
        <v>0</v>
      </c>
      <c r="BI916" s="48">
        <f t="shared" si="2859"/>
        <v>0</v>
      </c>
      <c r="BJ916" s="48">
        <f t="shared" si="2859"/>
        <v>0</v>
      </c>
      <c r="BK916" s="48">
        <f t="shared" si="2859"/>
        <v>0</v>
      </c>
      <c r="BL916" s="48">
        <f t="shared" si="2859"/>
        <v>0</v>
      </c>
      <c r="BM916" s="48">
        <f t="shared" si="2859"/>
        <v>0</v>
      </c>
      <c r="BN916" s="48">
        <f t="shared" si="2859"/>
        <v>0</v>
      </c>
      <c r="BO916" s="48">
        <f t="shared" si="2859"/>
        <v>0</v>
      </c>
      <c r="BP916" s="48">
        <f t="shared" si="2859"/>
        <v>0</v>
      </c>
      <c r="BQ916" s="48">
        <f t="shared" si="2859"/>
        <v>0</v>
      </c>
      <c r="BR916" s="36">
        <f t="shared" si="9"/>
        <v>0</v>
      </c>
      <c r="BS916" s="38">
        <f t="shared" si="10"/>
        <v>1</v>
      </c>
      <c r="BT916" s="49">
        <f t="shared" si="11"/>
        <v>0</v>
      </c>
      <c r="BU916" s="38">
        <f t="shared" si="12"/>
        <v>1000</v>
      </c>
      <c r="BV916" s="57" t="str">
        <f>IFERROR(__xludf.DUMMYFUNCTION("""COMPUTED_VALUE"""),"Hewitt")</f>
        <v>Hewitt</v>
      </c>
      <c r="BW916" s="46">
        <f t="shared" si="13"/>
        <v>474.7</v>
      </c>
      <c r="BX916" s="47">
        <f t="shared" ref="BX916:CA916" si="2860">AX916-$BU916</f>
        <v>-525.3</v>
      </c>
      <c r="BY916" s="47">
        <f t="shared" si="2860"/>
        <v>-1000</v>
      </c>
      <c r="BZ916" s="47">
        <f t="shared" si="2860"/>
        <v>-1000</v>
      </c>
      <c r="CA916" s="47">
        <f t="shared" si="2860"/>
        <v>-1000</v>
      </c>
      <c r="CB916" s="47">
        <f t="shared" si="15"/>
        <v>-10000</v>
      </c>
      <c r="CC916" s="47">
        <f t="shared" ref="CC916:CQ916" si="2861">BC916-$BU916</f>
        <v>-1000</v>
      </c>
      <c r="CD916" s="47">
        <f t="shared" si="2861"/>
        <v>-1000</v>
      </c>
      <c r="CE916" s="47">
        <f t="shared" si="2861"/>
        <v>-1000</v>
      </c>
      <c r="CF916" s="47">
        <f t="shared" si="2861"/>
        <v>-1000</v>
      </c>
      <c r="CG916" s="47">
        <f t="shared" si="2861"/>
        <v>-1000</v>
      </c>
      <c r="CH916" s="47">
        <f t="shared" si="2861"/>
        <v>-1000</v>
      </c>
      <c r="CI916" s="47">
        <f t="shared" si="2861"/>
        <v>-1000</v>
      </c>
      <c r="CJ916" s="47">
        <f t="shared" si="2861"/>
        <v>-1000</v>
      </c>
      <c r="CK916" s="47">
        <f t="shared" si="2861"/>
        <v>-1000</v>
      </c>
      <c r="CL916" s="47">
        <f t="shared" si="2861"/>
        <v>-1000</v>
      </c>
      <c r="CM916" s="47">
        <f t="shared" si="2861"/>
        <v>-1000</v>
      </c>
      <c r="CN916" s="47">
        <f t="shared" si="2861"/>
        <v>-1000</v>
      </c>
      <c r="CO916" s="47">
        <f t="shared" si="2861"/>
        <v>-1000</v>
      </c>
      <c r="CP916" s="47">
        <f t="shared" si="2861"/>
        <v>-1000</v>
      </c>
      <c r="CQ916" s="47">
        <f t="shared" si="2861"/>
        <v>-1000</v>
      </c>
      <c r="CR916" s="47"/>
      <c r="CS916" s="47"/>
      <c r="CT916" s="47"/>
      <c r="CU916" s="74"/>
      <c r="CV916" s="74"/>
      <c r="CW916" s="74" t="str">
        <f>IFERROR(__xludf.DUMMYFUNCTION("IF(REGEXMATCH(UPPER(CU916), ""DALLAS""),,CU916)"),"")</f>
        <v/>
      </c>
      <c r="CX916" s="74"/>
      <c r="CY916" s="74"/>
      <c r="CZ916" s="74"/>
      <c r="DA916" s="75"/>
      <c r="DB916" s="74"/>
      <c r="DC916" s="74"/>
      <c r="DD916" s="74"/>
      <c r="DE916" s="74"/>
      <c r="DF916" s="74"/>
      <c r="DG916" s="74"/>
      <c r="DH916" s="74"/>
      <c r="DI916" s="74"/>
      <c r="DJ916" s="74"/>
      <c r="DK916" s="74"/>
      <c r="DL916" s="74"/>
      <c r="DM916" s="74"/>
      <c r="DN916" s="74"/>
      <c r="DO916" s="74"/>
      <c r="DP916" s="74"/>
      <c r="DQ916" s="74"/>
      <c r="DR916" s="74"/>
      <c r="DS916" s="74"/>
      <c r="DT916" s="74"/>
      <c r="DU916" s="74"/>
      <c r="DV916" s="74"/>
      <c r="DW916" s="74"/>
    </row>
    <row r="917">
      <c r="A917" s="40" t="s">
        <v>55</v>
      </c>
      <c r="B917" s="41" t="s">
        <v>56</v>
      </c>
      <c r="C917" s="31" t="s">
        <v>2226</v>
      </c>
      <c r="D917" s="25" t="str">
        <f>IFERROR(__xludf.DUMMYFUNCTION("SPLIT(C917,"" "")"),"Woodlief,")</f>
        <v>Woodlief,</v>
      </c>
      <c r="E917" s="40" t="str">
        <f>IFERROR(__xludf.DUMMYFUNCTION("""COMPUTED_VALUE"""),"Mari
3864")</f>
        <v>Mari
3864</v>
      </c>
      <c r="F917" s="40" t="str">
        <f>IFERROR(__xludf.DUMMYFUNCTION("""COMPUTED_VALUE"""),"West")</f>
        <v>West</v>
      </c>
      <c r="G917" s="40" t="str">
        <f>IFERROR(__xludf.DUMMYFUNCTION("""COMPUTED_VALUE"""),"Beverly
Dallas,")</f>
        <v>Beverly
Dallas,</v>
      </c>
      <c r="H917" s="40" t="str">
        <f>IFERROR(__xludf.DUMMYFUNCTION("""COMPUTED_VALUE"""),"TX")</f>
        <v>TX</v>
      </c>
      <c r="I917" s="40">
        <f>IFERROR(__xludf.DUMMYFUNCTION("""COMPUTED_VALUE"""),75209.0)</f>
        <v>75209</v>
      </c>
      <c r="J917" s="40"/>
      <c r="K917" s="40"/>
      <c r="L917" s="40"/>
      <c r="M917" s="40"/>
      <c r="N917" s="40"/>
      <c r="O917" s="40"/>
      <c r="P917" s="40"/>
      <c r="Q917" s="40"/>
      <c r="R917" s="40"/>
      <c r="S917" s="40"/>
      <c r="T917" s="40"/>
      <c r="U917" s="24" t="str">
        <f>IFERROR(__xludf.DUMMYFUNCTION("SPLIT(E917,""01234567890"")"),"Mari
")</f>
        <v>Mari
</v>
      </c>
      <c r="V917" s="24" t="str">
        <f>IFERROR(__xludf.DUMMYFUNCTION("SPLIT(D917,"","")"),"Woodlief")</f>
        <v>Woodlief</v>
      </c>
      <c r="W917" s="25" t="str">
        <f t="shared" si="1"/>
        <v>MARI
 WOODLIEF</v>
      </c>
      <c r="X917" s="40"/>
      <c r="Y917" s="40"/>
      <c r="Z917" s="25" t="str">
        <f>IFERROR(__xludf.DUMMYFUNCTION("SPLIT(C917,""
"")"),"Woodlief, Mari")</f>
        <v>Woodlief, Mari</v>
      </c>
      <c r="AA917" s="40" t="str">
        <f>IFERROR(__xludf.DUMMYFUNCTION("""COMPUTED_VALUE"""),"3864 West Beverly")</f>
        <v>3864 West Beverly</v>
      </c>
      <c r="AB917" s="40" t="str">
        <f>IFERROR(__xludf.DUMMYFUNCTION("""COMPUTED_VALUE"""),"Dallas, TX 75209")</f>
        <v>Dallas, TX 75209</v>
      </c>
      <c r="AC917" s="31" t="s">
        <v>900</v>
      </c>
      <c r="AD917" s="40"/>
      <c r="AE917" s="40"/>
      <c r="AF917" s="40"/>
      <c r="AG917" s="40" t="s">
        <v>60</v>
      </c>
      <c r="AH917" s="42">
        <v>2481.0</v>
      </c>
      <c r="AI917" s="40" t="s">
        <v>68</v>
      </c>
      <c r="AJ917" s="27">
        <v>500.0</v>
      </c>
      <c r="AK917" s="31" t="s">
        <v>25</v>
      </c>
      <c r="AL917" s="43">
        <v>44835.0</v>
      </c>
      <c r="AM917" s="44">
        <v>44937.81995370371</v>
      </c>
      <c r="AN917" s="30">
        <v>2.0</v>
      </c>
      <c r="AO917" s="40"/>
      <c r="AP917" s="40"/>
      <c r="AQ917" s="40"/>
      <c r="AR917" s="40"/>
      <c r="AS917" s="40"/>
      <c r="AT917" s="47"/>
      <c r="AU917" s="40"/>
      <c r="AV917" s="46" t="str">
        <f>IFERROR(__xludf.DUMMYFUNCTION("""COMPUTED_VALUE"""),"Weempe")</f>
        <v>Weempe</v>
      </c>
      <c r="AW917" s="46">
        <f t="shared" si="7"/>
        <v>1000</v>
      </c>
      <c r="AX917" s="47">
        <f t="shared" ref="AX917:BQ917" si="2862">SUMIFS($AJ:$AJ,$V:$V,$AV917,$AK:$AK,AX$2)</f>
        <v>1000</v>
      </c>
      <c r="AY917" s="48">
        <f t="shared" si="2862"/>
        <v>0</v>
      </c>
      <c r="AZ917" s="48">
        <f t="shared" si="2862"/>
        <v>0</v>
      </c>
      <c r="BA917" s="48">
        <f t="shared" si="2862"/>
        <v>0</v>
      </c>
      <c r="BB917" s="48">
        <f t="shared" si="2862"/>
        <v>0</v>
      </c>
      <c r="BC917" s="48">
        <f t="shared" si="2862"/>
        <v>0</v>
      </c>
      <c r="BD917" s="48">
        <f t="shared" si="2862"/>
        <v>0</v>
      </c>
      <c r="BE917" s="48">
        <f t="shared" si="2862"/>
        <v>0</v>
      </c>
      <c r="BF917" s="48">
        <f t="shared" si="2862"/>
        <v>0</v>
      </c>
      <c r="BG917" s="48">
        <f t="shared" si="2862"/>
        <v>0</v>
      </c>
      <c r="BH917" s="48">
        <f t="shared" si="2862"/>
        <v>0</v>
      </c>
      <c r="BI917" s="48">
        <f t="shared" si="2862"/>
        <v>0</v>
      </c>
      <c r="BJ917" s="48">
        <f t="shared" si="2862"/>
        <v>0</v>
      </c>
      <c r="BK917" s="48">
        <f t="shared" si="2862"/>
        <v>0</v>
      </c>
      <c r="BL917" s="48">
        <f t="shared" si="2862"/>
        <v>0</v>
      </c>
      <c r="BM917" s="48">
        <f t="shared" si="2862"/>
        <v>0</v>
      </c>
      <c r="BN917" s="48">
        <f t="shared" si="2862"/>
        <v>0</v>
      </c>
      <c r="BO917" s="48">
        <f t="shared" si="2862"/>
        <v>0</v>
      </c>
      <c r="BP917" s="48">
        <f t="shared" si="2862"/>
        <v>0</v>
      </c>
      <c r="BQ917" s="48">
        <f t="shared" si="2862"/>
        <v>0</v>
      </c>
      <c r="BR917" s="36">
        <f t="shared" si="9"/>
        <v>0</v>
      </c>
      <c r="BS917" s="38">
        <f t="shared" si="10"/>
        <v>1</v>
      </c>
      <c r="BT917" s="49">
        <f t="shared" si="11"/>
        <v>0</v>
      </c>
      <c r="BU917" s="38">
        <f t="shared" si="12"/>
        <v>1000</v>
      </c>
      <c r="BV917" s="46" t="str">
        <f>IFERROR(__xludf.DUMMYFUNCTION("""COMPUTED_VALUE"""),"Weempe")</f>
        <v>Weempe</v>
      </c>
      <c r="BW917" s="46">
        <f t="shared" si="13"/>
        <v>1000</v>
      </c>
      <c r="BX917" s="47">
        <f t="shared" ref="BX917:CA917" si="2863">AX917-$BU917</f>
        <v>0</v>
      </c>
      <c r="BY917" s="47">
        <f t="shared" si="2863"/>
        <v>-1000</v>
      </c>
      <c r="BZ917" s="47">
        <f t="shared" si="2863"/>
        <v>-1000</v>
      </c>
      <c r="CA917" s="47">
        <f t="shared" si="2863"/>
        <v>-1000</v>
      </c>
      <c r="CB917" s="47">
        <f t="shared" si="15"/>
        <v>-10000</v>
      </c>
      <c r="CC917" s="47">
        <f t="shared" ref="CC917:CQ917" si="2864">BC917-$BU917</f>
        <v>-1000</v>
      </c>
      <c r="CD917" s="47">
        <f t="shared" si="2864"/>
        <v>-1000</v>
      </c>
      <c r="CE917" s="47">
        <f t="shared" si="2864"/>
        <v>-1000</v>
      </c>
      <c r="CF917" s="47">
        <f t="shared" si="2864"/>
        <v>-1000</v>
      </c>
      <c r="CG917" s="47">
        <f t="shared" si="2864"/>
        <v>-1000</v>
      </c>
      <c r="CH917" s="47">
        <f t="shared" si="2864"/>
        <v>-1000</v>
      </c>
      <c r="CI917" s="47">
        <f t="shared" si="2864"/>
        <v>-1000</v>
      </c>
      <c r="CJ917" s="47">
        <f t="shared" si="2864"/>
        <v>-1000</v>
      </c>
      <c r="CK917" s="47">
        <f t="shared" si="2864"/>
        <v>-1000</v>
      </c>
      <c r="CL917" s="47">
        <f t="shared" si="2864"/>
        <v>-1000</v>
      </c>
      <c r="CM917" s="47">
        <f t="shared" si="2864"/>
        <v>-1000</v>
      </c>
      <c r="CN917" s="47">
        <f t="shared" si="2864"/>
        <v>-1000</v>
      </c>
      <c r="CO917" s="47">
        <f t="shared" si="2864"/>
        <v>-1000</v>
      </c>
      <c r="CP917" s="47">
        <f t="shared" si="2864"/>
        <v>-1000</v>
      </c>
      <c r="CQ917" s="47">
        <f t="shared" si="2864"/>
        <v>-1000</v>
      </c>
      <c r="CR917" s="47"/>
      <c r="CS917" s="47"/>
      <c r="CT917" s="47"/>
      <c r="CU917" s="74"/>
      <c r="CV917" s="74"/>
      <c r="CW917" s="74" t="str">
        <f>IFERROR(__xludf.DUMMYFUNCTION("IF(REGEXMATCH(UPPER(CU917), ""DALLAS""),,CU917)"),"")</f>
        <v/>
      </c>
      <c r="CX917" s="74"/>
      <c r="CY917" s="74"/>
      <c r="CZ917" s="74"/>
      <c r="DA917" s="75"/>
      <c r="DB917" s="74"/>
      <c r="DC917" s="74"/>
      <c r="DD917" s="74"/>
      <c r="DE917" s="74"/>
      <c r="DF917" s="74"/>
      <c r="DG917" s="74"/>
      <c r="DH917" s="74"/>
      <c r="DI917" s="74"/>
      <c r="DJ917" s="74"/>
      <c r="DK917" s="74"/>
      <c r="DL917" s="74"/>
      <c r="DM917" s="74"/>
      <c r="DN917" s="74"/>
      <c r="DO917" s="74"/>
      <c r="DP917" s="74"/>
      <c r="DQ917" s="74"/>
      <c r="DR917" s="74"/>
      <c r="DS917" s="74"/>
      <c r="DT917" s="74"/>
      <c r="DU917" s="74"/>
      <c r="DV917" s="74"/>
      <c r="DW917" s="74"/>
    </row>
    <row r="918">
      <c r="A918" s="22" t="s">
        <v>55</v>
      </c>
      <c r="B918" s="23" t="s">
        <v>56</v>
      </c>
      <c r="C918" s="31" t="s">
        <v>2227</v>
      </c>
      <c r="D918" s="25" t="str">
        <f>IFERROR(__xludf.DUMMYFUNCTION("SPLIT(C918,"" "")"),"Kazee,")</f>
        <v>Kazee,</v>
      </c>
      <c r="E918" s="22" t="str">
        <f>IFERROR(__xludf.DUMMYFUNCTION("""COMPUTED_VALUE"""),"Eric
517")</f>
        <v>Eric
517</v>
      </c>
      <c r="F918" s="22" t="str">
        <f>IFERROR(__xludf.DUMMYFUNCTION("""COMPUTED_VALUE"""),"Cedarwood")</f>
        <v>Cedarwood</v>
      </c>
      <c r="G918" s="22" t="str">
        <f>IFERROR(__xludf.DUMMYFUNCTION("""COMPUTED_VALUE"""),"St
Aubrey,")</f>
        <v>St
Aubrey,</v>
      </c>
      <c r="H918" s="22" t="str">
        <f>IFERROR(__xludf.DUMMYFUNCTION("""COMPUTED_VALUE"""),"TX")</f>
        <v>TX</v>
      </c>
      <c r="I918" s="22">
        <f>IFERROR(__xludf.DUMMYFUNCTION("""COMPUTED_VALUE"""),76227.0)</f>
        <v>76227</v>
      </c>
      <c r="J918" s="22"/>
      <c r="K918" s="22"/>
      <c r="L918" s="22"/>
      <c r="M918" s="22"/>
      <c r="N918" s="22"/>
      <c r="O918" s="22"/>
      <c r="P918" s="22"/>
      <c r="Q918" s="22"/>
      <c r="R918" s="22"/>
      <c r="S918" s="22"/>
      <c r="T918" s="22"/>
      <c r="U918" s="24" t="str">
        <f>IFERROR(__xludf.DUMMYFUNCTION("SPLIT(E918,""01234567890"")"),"Eric
")</f>
        <v>Eric
</v>
      </c>
      <c r="V918" s="24" t="str">
        <f>IFERROR(__xludf.DUMMYFUNCTION("SPLIT(D918,"","")"),"Kazee")</f>
        <v>Kazee</v>
      </c>
      <c r="W918" s="25" t="str">
        <f t="shared" si="1"/>
        <v>ERIC
 KAZEE</v>
      </c>
      <c r="X918" s="22"/>
      <c r="Y918" s="22"/>
      <c r="Z918" s="25" t="str">
        <f>IFERROR(__xludf.DUMMYFUNCTION("SPLIT(C918,""
"")"),"Kazee, Eric")</f>
        <v>Kazee, Eric</v>
      </c>
      <c r="AA918" s="22" t="str">
        <f>IFERROR(__xludf.DUMMYFUNCTION("""COMPUTED_VALUE"""),"517 Cedarwood St")</f>
        <v>517 Cedarwood St</v>
      </c>
      <c r="AB918" s="22" t="str">
        <f>IFERROR(__xludf.DUMMYFUNCTION("""COMPUTED_VALUE"""),"Aubrey, TX 76227")</f>
        <v>Aubrey, TX 76227</v>
      </c>
      <c r="AC918" s="31" t="s">
        <v>2228</v>
      </c>
      <c r="AD918" s="22"/>
      <c r="AE918" s="22"/>
      <c r="AF918" s="22"/>
      <c r="AG918" s="22" t="s">
        <v>60</v>
      </c>
      <c r="AH918" s="54">
        <v>2481.0</v>
      </c>
      <c r="AI918" s="22" t="s">
        <v>68</v>
      </c>
      <c r="AJ918" s="27">
        <v>500.0</v>
      </c>
      <c r="AK918" s="31" t="s">
        <v>25</v>
      </c>
      <c r="AL918" s="28">
        <v>44835.0</v>
      </c>
      <c r="AM918" s="29">
        <v>44937.81995370371</v>
      </c>
      <c r="AN918" s="30">
        <v>2.0</v>
      </c>
      <c r="AO918" s="22"/>
      <c r="AP918" s="22"/>
      <c r="AQ918" s="22"/>
      <c r="AR918" s="22"/>
      <c r="AS918" s="22"/>
      <c r="AT918" s="70"/>
      <c r="AU918" s="22"/>
      <c r="AV918" s="57" t="str">
        <f>IFERROR(__xludf.DUMMYFUNCTION("""COMPUTED_VALUE"""),"Lindegaard")</f>
        <v>Lindegaard</v>
      </c>
      <c r="AW918" s="46">
        <f t="shared" si="7"/>
        <v>5000</v>
      </c>
      <c r="AX918" s="47">
        <f t="shared" ref="AX918:BQ918" si="2865">SUMIFS($AJ:$AJ,$V:$V,$AV918,$AK:$AK,AX$2)</f>
        <v>5000</v>
      </c>
      <c r="AY918" s="48">
        <f t="shared" si="2865"/>
        <v>0</v>
      </c>
      <c r="AZ918" s="48">
        <f t="shared" si="2865"/>
        <v>0</v>
      </c>
      <c r="BA918" s="48">
        <f t="shared" si="2865"/>
        <v>0</v>
      </c>
      <c r="BB918" s="48">
        <f t="shared" si="2865"/>
        <v>0</v>
      </c>
      <c r="BC918" s="48">
        <f t="shared" si="2865"/>
        <v>0</v>
      </c>
      <c r="BD918" s="48">
        <f t="shared" si="2865"/>
        <v>0</v>
      </c>
      <c r="BE918" s="48">
        <f t="shared" si="2865"/>
        <v>0</v>
      </c>
      <c r="BF918" s="48">
        <f t="shared" si="2865"/>
        <v>0</v>
      </c>
      <c r="BG918" s="48">
        <f t="shared" si="2865"/>
        <v>0</v>
      </c>
      <c r="BH918" s="48">
        <f t="shared" si="2865"/>
        <v>0</v>
      </c>
      <c r="BI918" s="48">
        <f t="shared" si="2865"/>
        <v>0</v>
      </c>
      <c r="BJ918" s="48">
        <f t="shared" si="2865"/>
        <v>0</v>
      </c>
      <c r="BK918" s="48">
        <f t="shared" si="2865"/>
        <v>0</v>
      </c>
      <c r="BL918" s="48">
        <f t="shared" si="2865"/>
        <v>0</v>
      </c>
      <c r="BM918" s="48">
        <f t="shared" si="2865"/>
        <v>0</v>
      </c>
      <c r="BN918" s="48">
        <f t="shared" si="2865"/>
        <v>0</v>
      </c>
      <c r="BO918" s="48">
        <f t="shared" si="2865"/>
        <v>0</v>
      </c>
      <c r="BP918" s="48">
        <f t="shared" si="2865"/>
        <v>0</v>
      </c>
      <c r="BQ918" s="48">
        <f t="shared" si="2865"/>
        <v>0</v>
      </c>
      <c r="BR918" s="36">
        <f t="shared" si="9"/>
        <v>0</v>
      </c>
      <c r="BS918" s="38">
        <f t="shared" si="10"/>
        <v>1</v>
      </c>
      <c r="BT918" s="49">
        <f t="shared" si="11"/>
        <v>0</v>
      </c>
      <c r="BU918" s="38">
        <f t="shared" si="12"/>
        <v>1000</v>
      </c>
      <c r="BV918" s="57" t="str">
        <f>IFERROR(__xludf.DUMMYFUNCTION("""COMPUTED_VALUE"""),"Lindegaard")</f>
        <v>Lindegaard</v>
      </c>
      <c r="BW918" s="46">
        <f t="shared" si="13"/>
        <v>5000</v>
      </c>
      <c r="BX918" s="47">
        <f t="shared" ref="BX918:CA918" si="2866">AX918-$BU918</f>
        <v>4000</v>
      </c>
      <c r="BY918" s="47">
        <f t="shared" si="2866"/>
        <v>-1000</v>
      </c>
      <c r="BZ918" s="47">
        <f t="shared" si="2866"/>
        <v>-1000</v>
      </c>
      <c r="CA918" s="47">
        <f t="shared" si="2866"/>
        <v>-1000</v>
      </c>
      <c r="CB918" s="47">
        <f t="shared" si="15"/>
        <v>-10000</v>
      </c>
      <c r="CC918" s="47">
        <f t="shared" ref="CC918:CQ918" si="2867">BC918-$BU918</f>
        <v>-1000</v>
      </c>
      <c r="CD918" s="47">
        <f t="shared" si="2867"/>
        <v>-1000</v>
      </c>
      <c r="CE918" s="47">
        <f t="shared" si="2867"/>
        <v>-1000</v>
      </c>
      <c r="CF918" s="47">
        <f t="shared" si="2867"/>
        <v>-1000</v>
      </c>
      <c r="CG918" s="47">
        <f t="shared" si="2867"/>
        <v>-1000</v>
      </c>
      <c r="CH918" s="47">
        <f t="shared" si="2867"/>
        <v>-1000</v>
      </c>
      <c r="CI918" s="47">
        <f t="shared" si="2867"/>
        <v>-1000</v>
      </c>
      <c r="CJ918" s="47">
        <f t="shared" si="2867"/>
        <v>-1000</v>
      </c>
      <c r="CK918" s="47">
        <f t="shared" si="2867"/>
        <v>-1000</v>
      </c>
      <c r="CL918" s="47">
        <f t="shared" si="2867"/>
        <v>-1000</v>
      </c>
      <c r="CM918" s="47">
        <f t="shared" si="2867"/>
        <v>-1000</v>
      </c>
      <c r="CN918" s="47">
        <f t="shared" si="2867"/>
        <v>-1000</v>
      </c>
      <c r="CO918" s="47">
        <f t="shared" si="2867"/>
        <v>-1000</v>
      </c>
      <c r="CP918" s="47">
        <f t="shared" si="2867"/>
        <v>-1000</v>
      </c>
      <c r="CQ918" s="47">
        <f t="shared" si="2867"/>
        <v>-1000</v>
      </c>
      <c r="CR918" s="47"/>
      <c r="CS918" s="47"/>
      <c r="CT918" s="47"/>
      <c r="CU918" s="74"/>
      <c r="CV918" s="74"/>
      <c r="CW918" s="74" t="str">
        <f>IFERROR(__xludf.DUMMYFUNCTION("IF(REGEXMATCH(UPPER(CU918), ""DALLAS""),,CU918)"),"")</f>
        <v/>
      </c>
      <c r="CX918" s="74"/>
      <c r="CY918" s="74"/>
      <c r="CZ918" s="74"/>
      <c r="DA918" s="75"/>
      <c r="DB918" s="74"/>
      <c r="DC918" s="74"/>
      <c r="DD918" s="74"/>
      <c r="DE918" s="74"/>
      <c r="DF918" s="74"/>
      <c r="DG918" s="74"/>
      <c r="DH918" s="74"/>
      <c r="DI918" s="74"/>
      <c r="DJ918" s="74"/>
      <c r="DK918" s="74"/>
      <c r="DL918" s="74"/>
      <c r="DM918" s="74"/>
      <c r="DN918" s="74"/>
      <c r="DO918" s="74"/>
      <c r="DP918" s="74"/>
      <c r="DQ918" s="74"/>
      <c r="DR918" s="74"/>
      <c r="DS918" s="74"/>
      <c r="DT918" s="74"/>
      <c r="DU918" s="74"/>
      <c r="DV918" s="74"/>
      <c r="DW918" s="74"/>
    </row>
    <row r="919">
      <c r="A919" s="40" t="s">
        <v>55</v>
      </c>
      <c r="B919" s="41" t="s">
        <v>56</v>
      </c>
      <c r="C919" s="31" t="s">
        <v>2229</v>
      </c>
      <c r="D919" s="25" t="str">
        <f>IFERROR(__xludf.DUMMYFUNCTION("SPLIT(C919,"" "")"),"Champion,")</f>
        <v>Champion,</v>
      </c>
      <c r="E919" s="40" t="str">
        <f>IFERROR(__xludf.DUMMYFUNCTION("""COMPUTED_VALUE"""),"Ocie
3629")</f>
        <v>Ocie
3629</v>
      </c>
      <c r="F919" s="40" t="str">
        <f>IFERROR(__xludf.DUMMYFUNCTION("""COMPUTED_VALUE"""),"Vilbig")</f>
        <v>Vilbig</v>
      </c>
      <c r="G919" s="40" t="str">
        <f>IFERROR(__xludf.DUMMYFUNCTION("""COMPUTED_VALUE"""),"Road
Dallas,")</f>
        <v>Road
Dallas,</v>
      </c>
      <c r="H919" s="40" t="str">
        <f>IFERROR(__xludf.DUMMYFUNCTION("""COMPUTED_VALUE"""),"TX")</f>
        <v>TX</v>
      </c>
      <c r="I919" s="40">
        <f>IFERROR(__xludf.DUMMYFUNCTION("""COMPUTED_VALUE"""),75212.0)</f>
        <v>75212</v>
      </c>
      <c r="J919" s="40"/>
      <c r="K919" s="40"/>
      <c r="L919" s="40"/>
      <c r="M919" s="40"/>
      <c r="N919" s="40"/>
      <c r="O919" s="40"/>
      <c r="P919" s="40"/>
      <c r="Q919" s="40"/>
      <c r="R919" s="40"/>
      <c r="S919" s="40"/>
      <c r="T919" s="40"/>
      <c r="U919" s="24" t="str">
        <f>IFERROR(__xludf.DUMMYFUNCTION("SPLIT(E919,""01234567890"")"),"Ocie
")</f>
        <v>Ocie
</v>
      </c>
      <c r="V919" s="24" t="str">
        <f>IFERROR(__xludf.DUMMYFUNCTION("SPLIT(D919,"","")"),"Champion")</f>
        <v>Champion</v>
      </c>
      <c r="W919" s="25" t="str">
        <f t="shared" si="1"/>
        <v>OCIE
 CHAMPION</v>
      </c>
      <c r="X919" s="40"/>
      <c r="Y919" s="40"/>
      <c r="Z919" s="25" t="str">
        <f>IFERROR(__xludf.DUMMYFUNCTION("SPLIT(C919,""
"")"),"Champion, Ocie")</f>
        <v>Champion, Ocie</v>
      </c>
      <c r="AA919" s="40" t="str">
        <f>IFERROR(__xludf.DUMMYFUNCTION("""COMPUTED_VALUE"""),"3629 Vilbig Road")</f>
        <v>3629 Vilbig Road</v>
      </c>
      <c r="AB919" s="40" t="str">
        <f>IFERROR(__xludf.DUMMYFUNCTION("""COMPUTED_VALUE"""),"Dallas, TX 75212")</f>
        <v>Dallas, TX 75212</v>
      </c>
      <c r="AC919" s="31" t="s">
        <v>2230</v>
      </c>
      <c r="AD919" s="40"/>
      <c r="AE919" s="40"/>
      <c r="AF919" s="40"/>
      <c r="AG919" s="40" t="s">
        <v>60</v>
      </c>
      <c r="AH919" s="42">
        <v>2481.0</v>
      </c>
      <c r="AI919" s="40" t="s">
        <v>68</v>
      </c>
      <c r="AJ919" s="27">
        <v>50.0</v>
      </c>
      <c r="AK919" s="31" t="s">
        <v>25</v>
      </c>
      <c r="AL919" s="43">
        <v>44835.0</v>
      </c>
      <c r="AM919" s="44">
        <v>44937.81995370371</v>
      </c>
      <c r="AN919" s="30">
        <v>2.0</v>
      </c>
      <c r="AO919" s="40"/>
      <c r="AP919" s="40"/>
      <c r="AQ919" s="40"/>
      <c r="AR919" s="40"/>
      <c r="AS919" s="40"/>
      <c r="AT919" s="47"/>
      <c r="AU919" s="40"/>
      <c r="AV919" s="46" t="str">
        <f>IFERROR(__xludf.DUMMYFUNCTION("""COMPUTED_VALUE"""),"SWA")</f>
        <v>SWA</v>
      </c>
      <c r="AW919" s="46">
        <f t="shared" si="7"/>
        <v>1500</v>
      </c>
      <c r="AX919" s="47">
        <f t="shared" ref="AX919:BQ919" si="2868">SUMIFS($AJ:$AJ,$V:$V,$AV919,$AK:$AK,AX$2)</f>
        <v>1500</v>
      </c>
      <c r="AY919" s="48">
        <f t="shared" si="2868"/>
        <v>0</v>
      </c>
      <c r="AZ919" s="48">
        <f t="shared" si="2868"/>
        <v>0</v>
      </c>
      <c r="BA919" s="48">
        <f t="shared" si="2868"/>
        <v>0</v>
      </c>
      <c r="BB919" s="48">
        <f t="shared" si="2868"/>
        <v>0</v>
      </c>
      <c r="BC919" s="48">
        <f t="shared" si="2868"/>
        <v>0</v>
      </c>
      <c r="BD919" s="48">
        <f t="shared" si="2868"/>
        <v>0</v>
      </c>
      <c r="BE919" s="48">
        <f t="shared" si="2868"/>
        <v>0</v>
      </c>
      <c r="BF919" s="48">
        <f t="shared" si="2868"/>
        <v>0</v>
      </c>
      <c r="BG919" s="48">
        <f t="shared" si="2868"/>
        <v>0</v>
      </c>
      <c r="BH919" s="48">
        <f t="shared" si="2868"/>
        <v>0</v>
      </c>
      <c r="BI919" s="48">
        <f t="shared" si="2868"/>
        <v>0</v>
      </c>
      <c r="BJ919" s="48">
        <f t="shared" si="2868"/>
        <v>0</v>
      </c>
      <c r="BK919" s="48">
        <f t="shared" si="2868"/>
        <v>0</v>
      </c>
      <c r="BL919" s="48">
        <f t="shared" si="2868"/>
        <v>0</v>
      </c>
      <c r="BM919" s="48">
        <f t="shared" si="2868"/>
        <v>0</v>
      </c>
      <c r="BN919" s="48">
        <f t="shared" si="2868"/>
        <v>0</v>
      </c>
      <c r="BO919" s="48">
        <f t="shared" si="2868"/>
        <v>0</v>
      </c>
      <c r="BP919" s="48">
        <f t="shared" si="2868"/>
        <v>0</v>
      </c>
      <c r="BQ919" s="48">
        <f t="shared" si="2868"/>
        <v>0</v>
      </c>
      <c r="BR919" s="36">
        <f t="shared" si="9"/>
        <v>0</v>
      </c>
      <c r="BS919" s="38">
        <f t="shared" si="10"/>
        <v>1</v>
      </c>
      <c r="BT919" s="49">
        <f t="shared" si="11"/>
        <v>0</v>
      </c>
      <c r="BU919" s="38">
        <f t="shared" si="12"/>
        <v>1000</v>
      </c>
      <c r="BV919" s="46" t="str">
        <f>IFERROR(__xludf.DUMMYFUNCTION("""COMPUTED_VALUE"""),"SWA")</f>
        <v>SWA</v>
      </c>
      <c r="BW919" s="46">
        <f t="shared" si="13"/>
        <v>1500</v>
      </c>
      <c r="BX919" s="47">
        <f t="shared" ref="BX919:CA919" si="2869">AX919-$BU919</f>
        <v>500</v>
      </c>
      <c r="BY919" s="47">
        <f t="shared" si="2869"/>
        <v>-1000</v>
      </c>
      <c r="BZ919" s="47">
        <f t="shared" si="2869"/>
        <v>-1000</v>
      </c>
      <c r="CA919" s="47">
        <f t="shared" si="2869"/>
        <v>-1000</v>
      </c>
      <c r="CB919" s="47">
        <f t="shared" si="15"/>
        <v>-10000</v>
      </c>
      <c r="CC919" s="47">
        <f t="shared" ref="CC919:CQ919" si="2870">BC919-$BU919</f>
        <v>-1000</v>
      </c>
      <c r="CD919" s="47">
        <f t="shared" si="2870"/>
        <v>-1000</v>
      </c>
      <c r="CE919" s="47">
        <f t="shared" si="2870"/>
        <v>-1000</v>
      </c>
      <c r="CF919" s="47">
        <f t="shared" si="2870"/>
        <v>-1000</v>
      </c>
      <c r="CG919" s="47">
        <f t="shared" si="2870"/>
        <v>-1000</v>
      </c>
      <c r="CH919" s="47">
        <f t="shared" si="2870"/>
        <v>-1000</v>
      </c>
      <c r="CI919" s="47">
        <f t="shared" si="2870"/>
        <v>-1000</v>
      </c>
      <c r="CJ919" s="47">
        <f t="shared" si="2870"/>
        <v>-1000</v>
      </c>
      <c r="CK919" s="47">
        <f t="shared" si="2870"/>
        <v>-1000</v>
      </c>
      <c r="CL919" s="47">
        <f t="shared" si="2870"/>
        <v>-1000</v>
      </c>
      <c r="CM919" s="47">
        <f t="shared" si="2870"/>
        <v>-1000</v>
      </c>
      <c r="CN919" s="47">
        <f t="shared" si="2870"/>
        <v>-1000</v>
      </c>
      <c r="CO919" s="47">
        <f t="shared" si="2870"/>
        <v>-1000</v>
      </c>
      <c r="CP919" s="47">
        <f t="shared" si="2870"/>
        <v>-1000</v>
      </c>
      <c r="CQ919" s="47">
        <f t="shared" si="2870"/>
        <v>-1000</v>
      </c>
      <c r="CR919" s="47"/>
      <c r="CS919" s="47"/>
      <c r="CT919" s="47"/>
      <c r="CU919" s="74"/>
      <c r="CV919" s="74"/>
      <c r="CW919" s="74" t="str">
        <f>IFERROR(__xludf.DUMMYFUNCTION("IF(REGEXMATCH(UPPER(CU919), ""DALLAS""),,CU919)"),"")</f>
        <v/>
      </c>
      <c r="CX919" s="74"/>
      <c r="CY919" s="74"/>
      <c r="CZ919" s="74"/>
      <c r="DA919" s="75"/>
      <c r="DB919" s="74"/>
      <c r="DC919" s="74"/>
      <c r="DD919" s="74"/>
      <c r="DE919" s="74"/>
      <c r="DF919" s="74"/>
      <c r="DG919" s="74"/>
      <c r="DH919" s="74"/>
      <c r="DI919" s="74"/>
      <c r="DJ919" s="74"/>
      <c r="DK919" s="74"/>
      <c r="DL919" s="74"/>
      <c r="DM919" s="74"/>
      <c r="DN919" s="74"/>
      <c r="DO919" s="74"/>
      <c r="DP919" s="74"/>
      <c r="DQ919" s="74"/>
      <c r="DR919" s="74"/>
      <c r="DS919" s="74"/>
      <c r="DT919" s="74"/>
      <c r="DU919" s="74"/>
      <c r="DV919" s="74"/>
      <c r="DW919" s="74"/>
    </row>
    <row r="920">
      <c r="A920" s="22" t="s">
        <v>55</v>
      </c>
      <c r="B920" s="23" t="s">
        <v>56</v>
      </c>
      <c r="C920" s="31" t="s">
        <v>2231</v>
      </c>
      <c r="D920" s="25" t="str">
        <f>IFERROR(__xludf.DUMMYFUNCTION("SPLIT(C920,"" "")"),"Burrell,")</f>
        <v>Burrell,</v>
      </c>
      <c r="E920" s="22" t="str">
        <f>IFERROR(__xludf.DUMMYFUNCTION("""COMPUTED_VALUE"""),"Monica
PO")</f>
        <v>Monica
PO</v>
      </c>
      <c r="F920" s="22" t="str">
        <f>IFERROR(__xludf.DUMMYFUNCTION("""COMPUTED_VALUE"""),"Box")</f>
        <v>Box</v>
      </c>
      <c r="G920" s="22" t="str">
        <f>IFERROR(__xludf.DUMMYFUNCTION("""COMPUTED_VALUE"""),"851991
Mesquite,")</f>
        <v>851991
Mesquite,</v>
      </c>
      <c r="H920" s="22" t="str">
        <f>IFERROR(__xludf.DUMMYFUNCTION("""COMPUTED_VALUE"""),"TX")</f>
        <v>TX</v>
      </c>
      <c r="I920" s="22">
        <f>IFERROR(__xludf.DUMMYFUNCTION("""COMPUTED_VALUE"""),75185.0)</f>
        <v>75185</v>
      </c>
      <c r="J920" s="22"/>
      <c r="K920" s="22"/>
      <c r="L920" s="22"/>
      <c r="M920" s="22"/>
      <c r="N920" s="22"/>
      <c r="O920" s="22"/>
      <c r="P920" s="22"/>
      <c r="Q920" s="22"/>
      <c r="R920" s="22"/>
      <c r="S920" s="22"/>
      <c r="T920" s="22"/>
      <c r="U920" s="24" t="str">
        <f>IFERROR(__xludf.DUMMYFUNCTION("SPLIT(E920,""01234567890"")"),"Monica
PO")</f>
        <v>Monica
PO</v>
      </c>
      <c r="V920" s="24" t="str">
        <f>IFERROR(__xludf.DUMMYFUNCTION("SPLIT(D920,"","")"),"Burrell")</f>
        <v>Burrell</v>
      </c>
      <c r="W920" s="25" t="str">
        <f t="shared" si="1"/>
        <v>MONICA
PO BURRELL</v>
      </c>
      <c r="X920" s="22"/>
      <c r="Y920" s="22"/>
      <c r="Z920" s="25" t="str">
        <f>IFERROR(__xludf.DUMMYFUNCTION("SPLIT(C920,""
"")"),"Burrell, Monica")</f>
        <v>Burrell, Monica</v>
      </c>
      <c r="AA920" s="22" t="str">
        <f>IFERROR(__xludf.DUMMYFUNCTION("""COMPUTED_VALUE"""),"PO Box 851991")</f>
        <v>PO Box 851991</v>
      </c>
      <c r="AB920" s="22" t="str">
        <f>IFERROR(__xludf.DUMMYFUNCTION("""COMPUTED_VALUE"""),"Mesquite, TX 75185")</f>
        <v>Mesquite, TX 75185</v>
      </c>
      <c r="AC920" s="31" t="s">
        <v>2232</v>
      </c>
      <c r="AD920" s="22"/>
      <c r="AE920" s="22"/>
      <c r="AF920" s="22"/>
      <c r="AG920" s="22" t="s">
        <v>60</v>
      </c>
      <c r="AH920" s="54">
        <v>2481.0</v>
      </c>
      <c r="AI920" s="22" t="s">
        <v>68</v>
      </c>
      <c r="AJ920" s="27">
        <v>50.0</v>
      </c>
      <c r="AK920" s="31" t="s">
        <v>25</v>
      </c>
      <c r="AL920" s="28">
        <v>44835.0</v>
      </c>
      <c r="AM920" s="29">
        <v>44937.81995370371</v>
      </c>
      <c r="AN920" s="30">
        <v>2.0</v>
      </c>
      <c r="AO920" s="22"/>
      <c r="AP920" s="22"/>
      <c r="AQ920" s="22"/>
      <c r="AR920" s="22"/>
      <c r="AS920" s="22"/>
      <c r="AT920" s="70"/>
      <c r="AU920" s="22"/>
      <c r="AV920" s="57" t="str">
        <f>IFERROR(__xludf.DUMMYFUNCTION("""COMPUTED_VALUE"""),"Bufford")</f>
        <v>Bufford</v>
      </c>
      <c r="AW920" s="46">
        <f t="shared" si="7"/>
        <v>100</v>
      </c>
      <c r="AX920" s="47">
        <f t="shared" ref="AX920:BQ920" si="2871">SUMIFS($AJ:$AJ,$V:$V,$AV920,$AK:$AK,AX$2)</f>
        <v>0</v>
      </c>
      <c r="AY920" s="48">
        <f t="shared" si="2871"/>
        <v>0</v>
      </c>
      <c r="AZ920" s="48">
        <f t="shared" si="2871"/>
        <v>0</v>
      </c>
      <c r="BA920" s="48">
        <f t="shared" si="2871"/>
        <v>0</v>
      </c>
      <c r="BB920" s="48">
        <f t="shared" si="2871"/>
        <v>0</v>
      </c>
      <c r="BC920" s="48">
        <f t="shared" si="2871"/>
        <v>0</v>
      </c>
      <c r="BD920" s="48">
        <f t="shared" si="2871"/>
        <v>100</v>
      </c>
      <c r="BE920" s="48">
        <f t="shared" si="2871"/>
        <v>0</v>
      </c>
      <c r="BF920" s="48">
        <f t="shared" si="2871"/>
        <v>0</v>
      </c>
      <c r="BG920" s="48">
        <f t="shared" si="2871"/>
        <v>0</v>
      </c>
      <c r="BH920" s="48">
        <f t="shared" si="2871"/>
        <v>0</v>
      </c>
      <c r="BI920" s="48">
        <f t="shared" si="2871"/>
        <v>0</v>
      </c>
      <c r="BJ920" s="48">
        <f t="shared" si="2871"/>
        <v>0</v>
      </c>
      <c r="BK920" s="48">
        <f t="shared" si="2871"/>
        <v>0</v>
      </c>
      <c r="BL920" s="48">
        <f t="shared" si="2871"/>
        <v>0</v>
      </c>
      <c r="BM920" s="48">
        <f t="shared" si="2871"/>
        <v>0</v>
      </c>
      <c r="BN920" s="48">
        <f t="shared" si="2871"/>
        <v>0</v>
      </c>
      <c r="BO920" s="48">
        <f t="shared" si="2871"/>
        <v>0</v>
      </c>
      <c r="BP920" s="48">
        <f t="shared" si="2871"/>
        <v>0</v>
      </c>
      <c r="BQ920" s="48">
        <f t="shared" si="2871"/>
        <v>0</v>
      </c>
      <c r="BR920" s="36">
        <f t="shared" si="9"/>
        <v>0</v>
      </c>
      <c r="BS920" s="38">
        <f t="shared" si="10"/>
        <v>1</v>
      </c>
      <c r="BT920" s="49">
        <f t="shared" si="11"/>
        <v>0</v>
      </c>
      <c r="BU920" s="38">
        <f t="shared" si="12"/>
        <v>1000</v>
      </c>
      <c r="BV920" s="57" t="str">
        <f>IFERROR(__xludf.DUMMYFUNCTION("""COMPUTED_VALUE"""),"Bufford")</f>
        <v>Bufford</v>
      </c>
      <c r="BW920" s="46">
        <f t="shared" si="13"/>
        <v>100</v>
      </c>
      <c r="BX920" s="47">
        <f t="shared" ref="BX920:CA920" si="2872">AX920-$BU920</f>
        <v>-1000</v>
      </c>
      <c r="BY920" s="47">
        <f t="shared" si="2872"/>
        <v>-1000</v>
      </c>
      <c r="BZ920" s="47">
        <f t="shared" si="2872"/>
        <v>-1000</v>
      </c>
      <c r="CA920" s="47">
        <f t="shared" si="2872"/>
        <v>-1000</v>
      </c>
      <c r="CB920" s="47">
        <f t="shared" si="15"/>
        <v>-10000</v>
      </c>
      <c r="CC920" s="47">
        <f t="shared" ref="CC920:CQ920" si="2873">BC920-$BU920</f>
        <v>-1000</v>
      </c>
      <c r="CD920" s="47">
        <f t="shared" si="2873"/>
        <v>-900</v>
      </c>
      <c r="CE920" s="47">
        <f t="shared" si="2873"/>
        <v>-1000</v>
      </c>
      <c r="CF920" s="47">
        <f t="shared" si="2873"/>
        <v>-1000</v>
      </c>
      <c r="CG920" s="47">
        <f t="shared" si="2873"/>
        <v>-1000</v>
      </c>
      <c r="CH920" s="47">
        <f t="shared" si="2873"/>
        <v>-1000</v>
      </c>
      <c r="CI920" s="47">
        <f t="shared" si="2873"/>
        <v>-1000</v>
      </c>
      <c r="CJ920" s="47">
        <f t="shared" si="2873"/>
        <v>-1000</v>
      </c>
      <c r="CK920" s="47">
        <f t="shared" si="2873"/>
        <v>-1000</v>
      </c>
      <c r="CL920" s="47">
        <f t="shared" si="2873"/>
        <v>-1000</v>
      </c>
      <c r="CM920" s="47">
        <f t="shared" si="2873"/>
        <v>-1000</v>
      </c>
      <c r="CN920" s="47">
        <f t="shared" si="2873"/>
        <v>-1000</v>
      </c>
      <c r="CO920" s="47">
        <f t="shared" si="2873"/>
        <v>-1000</v>
      </c>
      <c r="CP920" s="47">
        <f t="shared" si="2873"/>
        <v>-1000</v>
      </c>
      <c r="CQ920" s="47">
        <f t="shared" si="2873"/>
        <v>-1000</v>
      </c>
      <c r="CR920" s="47"/>
      <c r="CS920" s="47"/>
      <c r="CT920" s="47"/>
      <c r="CU920" s="74"/>
      <c r="CV920" s="74"/>
      <c r="CW920" s="74" t="str">
        <f>IFERROR(__xludf.DUMMYFUNCTION("IF(REGEXMATCH(UPPER(CU920), ""DALLAS""),,CU920)"),"")</f>
        <v/>
      </c>
      <c r="CX920" s="74"/>
      <c r="CY920" s="74"/>
      <c r="CZ920" s="74"/>
      <c r="DA920" s="75"/>
      <c r="DB920" s="74"/>
      <c r="DC920" s="74"/>
      <c r="DD920" s="74"/>
      <c r="DE920" s="74"/>
      <c r="DF920" s="74"/>
      <c r="DG920" s="74"/>
      <c r="DH920" s="74"/>
      <c r="DI920" s="74"/>
      <c r="DJ920" s="74"/>
      <c r="DK920" s="74"/>
      <c r="DL920" s="74"/>
      <c r="DM920" s="74"/>
      <c r="DN920" s="74"/>
      <c r="DO920" s="74"/>
      <c r="DP920" s="74"/>
      <c r="DQ920" s="74"/>
      <c r="DR920" s="74"/>
      <c r="DS920" s="74"/>
      <c r="DT920" s="74"/>
      <c r="DU920" s="74"/>
      <c r="DV920" s="74"/>
      <c r="DW920" s="74"/>
    </row>
    <row r="921">
      <c r="A921" s="40" t="s">
        <v>55</v>
      </c>
      <c r="B921" s="41" t="s">
        <v>56</v>
      </c>
      <c r="C921" s="31" t="s">
        <v>1122</v>
      </c>
      <c r="D921" s="25" t="str">
        <f>IFERROR(__xludf.DUMMYFUNCTION("SPLIT(C921,"" "")"),"Magnis,")</f>
        <v>Magnis,</v>
      </c>
      <c r="E921" s="40" t="str">
        <f>IFERROR(__xludf.DUMMYFUNCTION("""COMPUTED_VALUE"""),"Ellen
5511")</f>
        <v>Ellen
5511</v>
      </c>
      <c r="F921" s="40" t="str">
        <f>IFERROR(__xludf.DUMMYFUNCTION("""COMPUTED_VALUE"""),"Preston")</f>
        <v>Preston</v>
      </c>
      <c r="G921" s="40" t="str">
        <f>IFERROR(__xludf.DUMMYFUNCTION("""COMPUTED_VALUE"""),"Fairways")</f>
        <v>Fairways</v>
      </c>
      <c r="H921" s="40" t="str">
        <f>IFERROR(__xludf.DUMMYFUNCTION("""COMPUTED_VALUE"""),"Dr
Dallas,")</f>
        <v>Dr
Dallas,</v>
      </c>
      <c r="I921" s="40" t="str">
        <f>IFERROR(__xludf.DUMMYFUNCTION("""COMPUTED_VALUE"""),"TX")</f>
        <v>TX</v>
      </c>
      <c r="J921" s="40">
        <f>IFERROR(__xludf.DUMMYFUNCTION("""COMPUTED_VALUE"""),75252.0)</f>
        <v>75252</v>
      </c>
      <c r="K921" s="40"/>
      <c r="L921" s="40"/>
      <c r="M921" s="40"/>
      <c r="N921" s="40"/>
      <c r="O921" s="40"/>
      <c r="P921" s="40"/>
      <c r="Q921" s="40"/>
      <c r="R921" s="40"/>
      <c r="S921" s="40"/>
      <c r="T921" s="40"/>
      <c r="U921" s="24" t="str">
        <f>IFERROR(__xludf.DUMMYFUNCTION("SPLIT(E921,""01234567890"")"),"Ellen
")</f>
        <v>Ellen
</v>
      </c>
      <c r="V921" s="24" t="str">
        <f>IFERROR(__xludf.DUMMYFUNCTION("SPLIT(D921,"","")"),"Magnis")</f>
        <v>Magnis</v>
      </c>
      <c r="W921" s="25" t="str">
        <f t="shared" si="1"/>
        <v>ELLEN
 MAGNIS</v>
      </c>
      <c r="X921" s="40"/>
      <c r="Y921" s="40"/>
      <c r="Z921" s="25" t="str">
        <f>IFERROR(__xludf.DUMMYFUNCTION("SPLIT(C921,""
"")"),"Magnis, Ellen")</f>
        <v>Magnis, Ellen</v>
      </c>
      <c r="AA921" s="40" t="str">
        <f>IFERROR(__xludf.DUMMYFUNCTION("""COMPUTED_VALUE"""),"5511 Preston Fairways Dr")</f>
        <v>5511 Preston Fairways Dr</v>
      </c>
      <c r="AB921" s="40" t="str">
        <f>IFERROR(__xludf.DUMMYFUNCTION("""COMPUTED_VALUE"""),"Dallas, TX 75252")</f>
        <v>Dallas, TX 75252</v>
      </c>
      <c r="AC921" s="31" t="s">
        <v>1124</v>
      </c>
      <c r="AD921" s="40"/>
      <c r="AE921" s="40"/>
      <c r="AF921" s="40"/>
      <c r="AG921" s="40" t="s">
        <v>60</v>
      </c>
      <c r="AH921" s="42">
        <v>2481.0</v>
      </c>
      <c r="AI921" s="40" t="s">
        <v>68</v>
      </c>
      <c r="AJ921" s="27">
        <v>500.0</v>
      </c>
      <c r="AK921" s="31" t="s">
        <v>25</v>
      </c>
      <c r="AL921" s="43">
        <v>44835.0</v>
      </c>
      <c r="AM921" s="44">
        <v>44937.81995370371</v>
      </c>
      <c r="AN921" s="30">
        <v>2.0</v>
      </c>
      <c r="AO921" s="40"/>
      <c r="AP921" s="40"/>
      <c r="AQ921" s="40"/>
      <c r="AR921" s="40"/>
      <c r="AS921" s="40"/>
      <c r="AT921" s="47"/>
      <c r="AU921" s="40"/>
      <c r="AV921" s="46" t="str">
        <f>IFERROR(__xludf.DUMMYFUNCTION("""COMPUTED_VALUE"""),"Lill")</f>
        <v>Lill</v>
      </c>
      <c r="AW921" s="46">
        <f t="shared" si="7"/>
        <v>200</v>
      </c>
      <c r="AX921" s="47">
        <f t="shared" ref="AX921:BQ921" si="2874">SUMIFS($AJ:$AJ,$V:$V,$AV921,$AK:$AK,AX$2)</f>
        <v>0</v>
      </c>
      <c r="AY921" s="48">
        <f t="shared" si="2874"/>
        <v>0</v>
      </c>
      <c r="AZ921" s="48">
        <f t="shared" si="2874"/>
        <v>0</v>
      </c>
      <c r="BA921" s="48">
        <f t="shared" si="2874"/>
        <v>0</v>
      </c>
      <c r="BB921" s="48">
        <f t="shared" si="2874"/>
        <v>0</v>
      </c>
      <c r="BC921" s="48">
        <f t="shared" si="2874"/>
        <v>0</v>
      </c>
      <c r="BD921" s="48">
        <f t="shared" si="2874"/>
        <v>200</v>
      </c>
      <c r="BE921" s="48">
        <f t="shared" si="2874"/>
        <v>0</v>
      </c>
      <c r="BF921" s="48">
        <f t="shared" si="2874"/>
        <v>0</v>
      </c>
      <c r="BG921" s="48">
        <f t="shared" si="2874"/>
        <v>0</v>
      </c>
      <c r="BH921" s="48">
        <f t="shared" si="2874"/>
        <v>0</v>
      </c>
      <c r="BI921" s="48">
        <f t="shared" si="2874"/>
        <v>0</v>
      </c>
      <c r="BJ921" s="48">
        <f t="shared" si="2874"/>
        <v>0</v>
      </c>
      <c r="BK921" s="48">
        <f t="shared" si="2874"/>
        <v>0</v>
      </c>
      <c r="BL921" s="48">
        <f t="shared" si="2874"/>
        <v>0</v>
      </c>
      <c r="BM921" s="48">
        <f t="shared" si="2874"/>
        <v>0</v>
      </c>
      <c r="BN921" s="48">
        <f t="shared" si="2874"/>
        <v>0</v>
      </c>
      <c r="BO921" s="48">
        <f t="shared" si="2874"/>
        <v>0</v>
      </c>
      <c r="BP921" s="48">
        <f t="shared" si="2874"/>
        <v>0</v>
      </c>
      <c r="BQ921" s="48">
        <f t="shared" si="2874"/>
        <v>0</v>
      </c>
      <c r="BR921" s="36">
        <f t="shared" si="9"/>
        <v>0</v>
      </c>
      <c r="BS921" s="38">
        <f t="shared" si="10"/>
        <v>1</v>
      </c>
      <c r="BT921" s="49">
        <f t="shared" si="11"/>
        <v>0</v>
      </c>
      <c r="BU921" s="38">
        <f t="shared" si="12"/>
        <v>1000</v>
      </c>
      <c r="BV921" s="46" t="str">
        <f>IFERROR(__xludf.DUMMYFUNCTION("""COMPUTED_VALUE"""),"Lill")</f>
        <v>Lill</v>
      </c>
      <c r="BW921" s="46">
        <f t="shared" si="13"/>
        <v>200</v>
      </c>
      <c r="BX921" s="47">
        <f t="shared" ref="BX921:CA921" si="2875">AX921-$BU921</f>
        <v>-1000</v>
      </c>
      <c r="BY921" s="47">
        <f t="shared" si="2875"/>
        <v>-1000</v>
      </c>
      <c r="BZ921" s="47">
        <f t="shared" si="2875"/>
        <v>-1000</v>
      </c>
      <c r="CA921" s="47">
        <f t="shared" si="2875"/>
        <v>-1000</v>
      </c>
      <c r="CB921" s="47">
        <f t="shared" si="15"/>
        <v>-10000</v>
      </c>
      <c r="CC921" s="47">
        <f t="shared" ref="CC921:CQ921" si="2876">BC921-$BU921</f>
        <v>-1000</v>
      </c>
      <c r="CD921" s="47">
        <f t="shared" si="2876"/>
        <v>-800</v>
      </c>
      <c r="CE921" s="47">
        <f t="shared" si="2876"/>
        <v>-1000</v>
      </c>
      <c r="CF921" s="47">
        <f t="shared" si="2876"/>
        <v>-1000</v>
      </c>
      <c r="CG921" s="47">
        <f t="shared" si="2876"/>
        <v>-1000</v>
      </c>
      <c r="CH921" s="47">
        <f t="shared" si="2876"/>
        <v>-1000</v>
      </c>
      <c r="CI921" s="47">
        <f t="shared" si="2876"/>
        <v>-1000</v>
      </c>
      <c r="CJ921" s="47">
        <f t="shared" si="2876"/>
        <v>-1000</v>
      </c>
      <c r="CK921" s="47">
        <f t="shared" si="2876"/>
        <v>-1000</v>
      </c>
      <c r="CL921" s="47">
        <f t="shared" si="2876"/>
        <v>-1000</v>
      </c>
      <c r="CM921" s="47">
        <f t="shared" si="2876"/>
        <v>-1000</v>
      </c>
      <c r="CN921" s="47">
        <f t="shared" si="2876"/>
        <v>-1000</v>
      </c>
      <c r="CO921" s="47">
        <f t="shared" si="2876"/>
        <v>-1000</v>
      </c>
      <c r="CP921" s="47">
        <f t="shared" si="2876"/>
        <v>-1000</v>
      </c>
      <c r="CQ921" s="47">
        <f t="shared" si="2876"/>
        <v>-1000</v>
      </c>
      <c r="CR921" s="47"/>
      <c r="CS921" s="47"/>
      <c r="CT921" s="47"/>
      <c r="CU921" s="74"/>
      <c r="CV921" s="74"/>
      <c r="CW921" s="74" t="str">
        <f>IFERROR(__xludf.DUMMYFUNCTION("IF(REGEXMATCH(UPPER(CU921), ""DALLAS""),,CU921)"),"")</f>
        <v/>
      </c>
      <c r="CX921" s="74"/>
      <c r="CY921" s="74"/>
      <c r="CZ921" s="74"/>
      <c r="DA921" s="75"/>
      <c r="DB921" s="74"/>
      <c r="DC921" s="74"/>
      <c r="DD921" s="74"/>
      <c r="DE921" s="74"/>
      <c r="DF921" s="74"/>
      <c r="DG921" s="74"/>
      <c r="DH921" s="74"/>
      <c r="DI921" s="74"/>
      <c r="DJ921" s="74"/>
      <c r="DK921" s="74"/>
      <c r="DL921" s="74"/>
      <c r="DM921" s="74"/>
      <c r="DN921" s="74"/>
      <c r="DO921" s="74"/>
      <c r="DP921" s="74"/>
      <c r="DQ921" s="74"/>
      <c r="DR921" s="74"/>
      <c r="DS921" s="74"/>
      <c r="DT921" s="74"/>
      <c r="DU921" s="74"/>
      <c r="DV921" s="74"/>
      <c r="DW921" s="74"/>
    </row>
    <row r="922">
      <c r="A922" s="22" t="s">
        <v>55</v>
      </c>
      <c r="B922" s="23" t="s">
        <v>56</v>
      </c>
      <c r="C922" s="31" t="s">
        <v>2233</v>
      </c>
      <c r="D922" s="25" t="str">
        <f>IFERROR(__xludf.DUMMYFUNCTION("SPLIT(C922,"" "")"),"Lester,")</f>
        <v>Lester,</v>
      </c>
      <c r="E922" s="22" t="str">
        <f>IFERROR(__xludf.DUMMYFUNCTION("""COMPUTED_VALUE"""),"James
6363")</f>
        <v>James
6363</v>
      </c>
      <c r="F922" s="22" t="str">
        <f>IFERROR(__xludf.DUMMYFUNCTION("""COMPUTED_VALUE"""),"W")</f>
        <v>W</v>
      </c>
      <c r="G922" s="22" t="str">
        <f>IFERROR(__xludf.DUMMYFUNCTION("""COMPUTED_VALUE"""),"Camp")</f>
        <v>Camp</v>
      </c>
      <c r="H922" s="22" t="str">
        <f>IFERROR(__xludf.DUMMYFUNCTION("""COMPUTED_VALUE"""),"Wisdom
Dallas,")</f>
        <v>Wisdom
Dallas,</v>
      </c>
      <c r="I922" s="22" t="str">
        <f>IFERROR(__xludf.DUMMYFUNCTION("""COMPUTED_VALUE"""),"TX")</f>
        <v>TX</v>
      </c>
      <c r="J922" s="22">
        <f>IFERROR(__xludf.DUMMYFUNCTION("""COMPUTED_VALUE"""),75236.0)</f>
        <v>75236</v>
      </c>
      <c r="K922" s="22"/>
      <c r="L922" s="22"/>
      <c r="M922" s="22"/>
      <c r="N922" s="22"/>
      <c r="O922" s="22"/>
      <c r="P922" s="22"/>
      <c r="Q922" s="22"/>
      <c r="R922" s="22"/>
      <c r="S922" s="22"/>
      <c r="T922" s="22"/>
      <c r="U922" s="24" t="str">
        <f>IFERROR(__xludf.DUMMYFUNCTION("SPLIT(E922,""01234567890"")"),"James
")</f>
        <v>James
</v>
      </c>
      <c r="V922" s="24" t="str">
        <f>IFERROR(__xludf.DUMMYFUNCTION("SPLIT(D922,"","")"),"Lester")</f>
        <v>Lester</v>
      </c>
      <c r="W922" s="25" t="str">
        <f t="shared" si="1"/>
        <v>JAMES
 LESTER</v>
      </c>
      <c r="X922" s="22"/>
      <c r="Y922" s="22"/>
      <c r="Z922" s="25" t="str">
        <f>IFERROR(__xludf.DUMMYFUNCTION("SPLIT(C922,""
"")"),"Lester, James")</f>
        <v>Lester, James</v>
      </c>
      <c r="AA922" s="22" t="str">
        <f>IFERROR(__xludf.DUMMYFUNCTION("""COMPUTED_VALUE"""),"6363 W Camp Wisdom")</f>
        <v>6363 W Camp Wisdom</v>
      </c>
      <c r="AB922" s="22" t="str">
        <f>IFERROR(__xludf.DUMMYFUNCTION("""COMPUTED_VALUE"""),"Dallas, TX 75236")</f>
        <v>Dallas, TX 75236</v>
      </c>
      <c r="AC922" s="31" t="s">
        <v>2234</v>
      </c>
      <c r="AD922" s="22"/>
      <c r="AE922" s="22"/>
      <c r="AF922" s="22"/>
      <c r="AG922" s="22" t="s">
        <v>60</v>
      </c>
      <c r="AH922" s="54">
        <v>2481.0</v>
      </c>
      <c r="AI922" s="22" t="s">
        <v>68</v>
      </c>
      <c r="AJ922" s="27">
        <v>100.0</v>
      </c>
      <c r="AK922" s="31" t="s">
        <v>25</v>
      </c>
      <c r="AL922" s="28">
        <v>44835.0</v>
      </c>
      <c r="AM922" s="29">
        <v>44937.81995370371</v>
      </c>
      <c r="AN922" s="30">
        <v>2.0</v>
      </c>
      <c r="AO922" s="22"/>
      <c r="AP922" s="22"/>
      <c r="AQ922" s="22"/>
      <c r="AR922" s="22"/>
      <c r="AS922" s="22"/>
      <c r="AT922" s="70"/>
      <c r="AU922" s="22"/>
      <c r="AV922" s="57" t="str">
        <f>IFERROR(__xludf.DUMMYFUNCTION("""COMPUTED_VALUE"""),"Reichert")</f>
        <v>Reichert</v>
      </c>
      <c r="AW922" s="46">
        <f t="shared" si="7"/>
        <v>100</v>
      </c>
      <c r="AX922" s="47">
        <f t="shared" ref="AX922:BQ922" si="2877">SUMIFS($AJ:$AJ,$V:$V,$AV922,$AK:$AK,AX$2)</f>
        <v>0</v>
      </c>
      <c r="AY922" s="48">
        <f t="shared" si="2877"/>
        <v>0</v>
      </c>
      <c r="AZ922" s="48">
        <f t="shared" si="2877"/>
        <v>0</v>
      </c>
      <c r="BA922" s="48">
        <f t="shared" si="2877"/>
        <v>0</v>
      </c>
      <c r="BB922" s="48">
        <f t="shared" si="2877"/>
        <v>0</v>
      </c>
      <c r="BC922" s="48">
        <f t="shared" si="2877"/>
        <v>0</v>
      </c>
      <c r="BD922" s="48">
        <f t="shared" si="2877"/>
        <v>100</v>
      </c>
      <c r="BE922" s="48">
        <f t="shared" si="2877"/>
        <v>0</v>
      </c>
      <c r="BF922" s="48">
        <f t="shared" si="2877"/>
        <v>0</v>
      </c>
      <c r="BG922" s="48">
        <f t="shared" si="2877"/>
        <v>0</v>
      </c>
      <c r="BH922" s="48">
        <f t="shared" si="2877"/>
        <v>0</v>
      </c>
      <c r="BI922" s="48">
        <f t="shared" si="2877"/>
        <v>0</v>
      </c>
      <c r="BJ922" s="48">
        <f t="shared" si="2877"/>
        <v>0</v>
      </c>
      <c r="BK922" s="48">
        <f t="shared" si="2877"/>
        <v>0</v>
      </c>
      <c r="BL922" s="48">
        <f t="shared" si="2877"/>
        <v>0</v>
      </c>
      <c r="BM922" s="48">
        <f t="shared" si="2877"/>
        <v>0</v>
      </c>
      <c r="BN922" s="48">
        <f t="shared" si="2877"/>
        <v>0</v>
      </c>
      <c r="BO922" s="48">
        <f t="shared" si="2877"/>
        <v>0</v>
      </c>
      <c r="BP922" s="48">
        <f t="shared" si="2877"/>
        <v>0</v>
      </c>
      <c r="BQ922" s="48">
        <f t="shared" si="2877"/>
        <v>0</v>
      </c>
      <c r="BR922" s="36">
        <f t="shared" si="9"/>
        <v>0</v>
      </c>
      <c r="BS922" s="38">
        <f t="shared" si="10"/>
        <v>1</v>
      </c>
      <c r="BT922" s="49">
        <f t="shared" si="11"/>
        <v>0</v>
      </c>
      <c r="BU922" s="38">
        <f t="shared" si="12"/>
        <v>1000</v>
      </c>
      <c r="BV922" s="57" t="str">
        <f>IFERROR(__xludf.DUMMYFUNCTION("""COMPUTED_VALUE"""),"Reichert")</f>
        <v>Reichert</v>
      </c>
      <c r="BW922" s="46">
        <f t="shared" si="13"/>
        <v>100</v>
      </c>
      <c r="BX922" s="47">
        <f t="shared" ref="BX922:CA922" si="2878">AX922-$BU922</f>
        <v>-1000</v>
      </c>
      <c r="BY922" s="47">
        <f t="shared" si="2878"/>
        <v>-1000</v>
      </c>
      <c r="BZ922" s="47">
        <f t="shared" si="2878"/>
        <v>-1000</v>
      </c>
      <c r="CA922" s="47">
        <f t="shared" si="2878"/>
        <v>-1000</v>
      </c>
      <c r="CB922" s="47">
        <f t="shared" si="15"/>
        <v>-10000</v>
      </c>
      <c r="CC922" s="47">
        <f t="shared" ref="CC922:CQ922" si="2879">BC922-$BU922</f>
        <v>-1000</v>
      </c>
      <c r="CD922" s="47">
        <f t="shared" si="2879"/>
        <v>-900</v>
      </c>
      <c r="CE922" s="47">
        <f t="shared" si="2879"/>
        <v>-1000</v>
      </c>
      <c r="CF922" s="47">
        <f t="shared" si="2879"/>
        <v>-1000</v>
      </c>
      <c r="CG922" s="47">
        <f t="shared" si="2879"/>
        <v>-1000</v>
      </c>
      <c r="CH922" s="47">
        <f t="shared" si="2879"/>
        <v>-1000</v>
      </c>
      <c r="CI922" s="47">
        <f t="shared" si="2879"/>
        <v>-1000</v>
      </c>
      <c r="CJ922" s="47">
        <f t="shared" si="2879"/>
        <v>-1000</v>
      </c>
      <c r="CK922" s="47">
        <f t="shared" si="2879"/>
        <v>-1000</v>
      </c>
      <c r="CL922" s="47">
        <f t="shared" si="2879"/>
        <v>-1000</v>
      </c>
      <c r="CM922" s="47">
        <f t="shared" si="2879"/>
        <v>-1000</v>
      </c>
      <c r="CN922" s="47">
        <f t="shared" si="2879"/>
        <v>-1000</v>
      </c>
      <c r="CO922" s="47">
        <f t="shared" si="2879"/>
        <v>-1000</v>
      </c>
      <c r="CP922" s="47">
        <f t="shared" si="2879"/>
        <v>-1000</v>
      </c>
      <c r="CQ922" s="47">
        <f t="shared" si="2879"/>
        <v>-1000</v>
      </c>
      <c r="CR922" s="47"/>
      <c r="CS922" s="47"/>
      <c r="CT922" s="47"/>
      <c r="CU922" s="74"/>
      <c r="CV922" s="74"/>
      <c r="CW922" s="74" t="str">
        <f>IFERROR(__xludf.DUMMYFUNCTION("IF(REGEXMATCH(UPPER(CU922), ""DALLAS""),,CU922)"),"")</f>
        <v/>
      </c>
      <c r="CX922" s="74"/>
      <c r="CY922" s="74"/>
      <c r="CZ922" s="74"/>
      <c r="DA922" s="75"/>
      <c r="DB922" s="74"/>
      <c r="DC922" s="74"/>
      <c r="DD922" s="74"/>
      <c r="DE922" s="74"/>
      <c r="DF922" s="74"/>
      <c r="DG922" s="74"/>
      <c r="DH922" s="74"/>
      <c r="DI922" s="74"/>
      <c r="DJ922" s="74"/>
      <c r="DK922" s="74"/>
      <c r="DL922" s="74"/>
      <c r="DM922" s="74"/>
      <c r="DN922" s="74"/>
      <c r="DO922" s="74"/>
      <c r="DP922" s="74"/>
      <c r="DQ922" s="74"/>
      <c r="DR922" s="74"/>
      <c r="DS922" s="74"/>
      <c r="DT922" s="74"/>
      <c r="DU922" s="74"/>
      <c r="DV922" s="74"/>
      <c r="DW922" s="74"/>
    </row>
    <row r="923">
      <c r="A923" s="40" t="s">
        <v>55</v>
      </c>
      <c r="B923" s="41" t="s">
        <v>56</v>
      </c>
      <c r="C923" s="31" t="s">
        <v>2235</v>
      </c>
      <c r="D923" s="25" t="str">
        <f>IFERROR(__xludf.DUMMYFUNCTION("SPLIT(C923,"" "")"),"Tran,")</f>
        <v>Tran,</v>
      </c>
      <c r="E923" s="40" t="str">
        <f>IFERROR(__xludf.DUMMYFUNCTION("""COMPUTED_VALUE"""),"Jimmy
5024")</f>
        <v>Jimmy
5024</v>
      </c>
      <c r="F923" s="40" t="str">
        <f>IFERROR(__xludf.DUMMYFUNCTION("""COMPUTED_VALUE"""),"Denton")</f>
        <v>Denton</v>
      </c>
      <c r="G923" s="40" t="str">
        <f>IFERROR(__xludf.DUMMYFUNCTION("""COMPUTED_VALUE"""),"Dr
Dallas,")</f>
        <v>Dr
Dallas,</v>
      </c>
      <c r="H923" s="40" t="str">
        <f>IFERROR(__xludf.DUMMYFUNCTION("""COMPUTED_VALUE"""),"TX")</f>
        <v>TX</v>
      </c>
      <c r="I923" s="40">
        <f>IFERROR(__xludf.DUMMYFUNCTION("""COMPUTED_VALUE"""),75235.0)</f>
        <v>75235</v>
      </c>
      <c r="J923" s="40"/>
      <c r="K923" s="40"/>
      <c r="L923" s="40"/>
      <c r="M923" s="40"/>
      <c r="N923" s="40"/>
      <c r="O923" s="40"/>
      <c r="P923" s="40"/>
      <c r="Q923" s="40"/>
      <c r="R923" s="40"/>
      <c r="S923" s="40"/>
      <c r="T923" s="40"/>
      <c r="U923" s="24" t="str">
        <f>IFERROR(__xludf.DUMMYFUNCTION("SPLIT(E923,""01234567890"")"),"Jimmy
")</f>
        <v>Jimmy
</v>
      </c>
      <c r="V923" s="24" t="str">
        <f>IFERROR(__xludf.DUMMYFUNCTION("SPLIT(D923,"","")"),"Tran")</f>
        <v>Tran</v>
      </c>
      <c r="W923" s="25" t="str">
        <f t="shared" si="1"/>
        <v>JIMMY
 TRAN</v>
      </c>
      <c r="X923" s="40"/>
      <c r="Y923" s="40"/>
      <c r="Z923" s="25" t="str">
        <f>IFERROR(__xludf.DUMMYFUNCTION("SPLIT(C923,""
"")"),"Tran, Jimmy")</f>
        <v>Tran, Jimmy</v>
      </c>
      <c r="AA923" s="40" t="str">
        <f>IFERROR(__xludf.DUMMYFUNCTION("""COMPUTED_VALUE"""),"5024 Denton Dr")</f>
        <v>5024 Denton Dr</v>
      </c>
      <c r="AB923" s="40" t="str">
        <f>IFERROR(__xludf.DUMMYFUNCTION("""COMPUTED_VALUE"""),"Dallas, TX 75235")</f>
        <v>Dallas, TX 75235</v>
      </c>
      <c r="AC923" s="31" t="s">
        <v>2236</v>
      </c>
      <c r="AD923" s="40"/>
      <c r="AE923" s="40"/>
      <c r="AF923" s="40"/>
      <c r="AG923" s="40" t="s">
        <v>60</v>
      </c>
      <c r="AH923" s="42">
        <v>2481.0</v>
      </c>
      <c r="AI923" s="40" t="s">
        <v>68</v>
      </c>
      <c r="AJ923" s="27">
        <v>50.0</v>
      </c>
      <c r="AK923" s="31" t="s">
        <v>25</v>
      </c>
      <c r="AL923" s="43">
        <v>44836.0</v>
      </c>
      <c r="AM923" s="44">
        <v>44937.81995370371</v>
      </c>
      <c r="AN923" s="30">
        <v>2.0</v>
      </c>
      <c r="AO923" s="40"/>
      <c r="AP923" s="40"/>
      <c r="AQ923" s="40"/>
      <c r="AR923" s="40"/>
      <c r="AS923" s="40"/>
      <c r="AT923" s="47"/>
      <c r="AU923" s="40"/>
      <c r="AV923" s="46" t="str">
        <f>IFERROR(__xludf.DUMMYFUNCTION("""COMPUTED_VALUE"""),"Carnahan")</f>
        <v>Carnahan</v>
      </c>
      <c r="AW923" s="46">
        <f t="shared" si="7"/>
        <v>1000</v>
      </c>
      <c r="AX923" s="47">
        <f t="shared" ref="AX923:BQ923" si="2880">SUMIFS($AJ:$AJ,$V:$V,$AV923,$AK:$AK,AX$2)</f>
        <v>0</v>
      </c>
      <c r="AY923" s="48">
        <f t="shared" si="2880"/>
        <v>0</v>
      </c>
      <c r="AZ923" s="48">
        <f t="shared" si="2880"/>
        <v>0</v>
      </c>
      <c r="BA923" s="48">
        <f t="shared" si="2880"/>
        <v>0</v>
      </c>
      <c r="BB923" s="48">
        <f t="shared" si="2880"/>
        <v>0</v>
      </c>
      <c r="BC923" s="48">
        <f t="shared" si="2880"/>
        <v>0</v>
      </c>
      <c r="BD923" s="48">
        <f t="shared" si="2880"/>
        <v>1000</v>
      </c>
      <c r="BE923" s="48">
        <f t="shared" si="2880"/>
        <v>0</v>
      </c>
      <c r="BF923" s="48">
        <f t="shared" si="2880"/>
        <v>0</v>
      </c>
      <c r="BG923" s="48">
        <f t="shared" si="2880"/>
        <v>0</v>
      </c>
      <c r="BH923" s="48">
        <f t="shared" si="2880"/>
        <v>0</v>
      </c>
      <c r="BI923" s="48">
        <f t="shared" si="2880"/>
        <v>0</v>
      </c>
      <c r="BJ923" s="48">
        <f t="shared" si="2880"/>
        <v>0</v>
      </c>
      <c r="BK923" s="48">
        <f t="shared" si="2880"/>
        <v>0</v>
      </c>
      <c r="BL923" s="48">
        <f t="shared" si="2880"/>
        <v>0</v>
      </c>
      <c r="BM923" s="48">
        <f t="shared" si="2880"/>
        <v>0</v>
      </c>
      <c r="BN923" s="48">
        <f t="shared" si="2880"/>
        <v>0</v>
      </c>
      <c r="BO923" s="48">
        <f t="shared" si="2880"/>
        <v>0</v>
      </c>
      <c r="BP923" s="48">
        <f t="shared" si="2880"/>
        <v>0</v>
      </c>
      <c r="BQ923" s="48">
        <f t="shared" si="2880"/>
        <v>0</v>
      </c>
      <c r="BR923" s="36">
        <f t="shared" si="9"/>
        <v>0</v>
      </c>
      <c r="BS923" s="38">
        <f t="shared" si="10"/>
        <v>1</v>
      </c>
      <c r="BT923" s="49">
        <f t="shared" si="11"/>
        <v>0</v>
      </c>
      <c r="BU923" s="38">
        <f t="shared" si="12"/>
        <v>1000</v>
      </c>
      <c r="BV923" s="46" t="str">
        <f>IFERROR(__xludf.DUMMYFUNCTION("""COMPUTED_VALUE"""),"Carnahan")</f>
        <v>Carnahan</v>
      </c>
      <c r="BW923" s="46">
        <f t="shared" si="13"/>
        <v>1000</v>
      </c>
      <c r="BX923" s="47">
        <f t="shared" ref="BX923:CA923" si="2881">AX923-$BU923</f>
        <v>-1000</v>
      </c>
      <c r="BY923" s="47">
        <f t="shared" si="2881"/>
        <v>-1000</v>
      </c>
      <c r="BZ923" s="47">
        <f t="shared" si="2881"/>
        <v>-1000</v>
      </c>
      <c r="CA923" s="47">
        <f t="shared" si="2881"/>
        <v>-1000</v>
      </c>
      <c r="CB923" s="47">
        <f t="shared" si="15"/>
        <v>-10000</v>
      </c>
      <c r="CC923" s="47">
        <f t="shared" ref="CC923:CQ923" si="2882">BC923-$BU923</f>
        <v>-1000</v>
      </c>
      <c r="CD923" s="47">
        <f t="shared" si="2882"/>
        <v>0</v>
      </c>
      <c r="CE923" s="47">
        <f t="shared" si="2882"/>
        <v>-1000</v>
      </c>
      <c r="CF923" s="47">
        <f t="shared" si="2882"/>
        <v>-1000</v>
      </c>
      <c r="CG923" s="47">
        <f t="shared" si="2882"/>
        <v>-1000</v>
      </c>
      <c r="CH923" s="47">
        <f t="shared" si="2882"/>
        <v>-1000</v>
      </c>
      <c r="CI923" s="47">
        <f t="shared" si="2882"/>
        <v>-1000</v>
      </c>
      <c r="CJ923" s="47">
        <f t="shared" si="2882"/>
        <v>-1000</v>
      </c>
      <c r="CK923" s="47">
        <f t="shared" si="2882"/>
        <v>-1000</v>
      </c>
      <c r="CL923" s="47">
        <f t="shared" si="2882"/>
        <v>-1000</v>
      </c>
      <c r="CM923" s="47">
        <f t="shared" si="2882"/>
        <v>-1000</v>
      </c>
      <c r="CN923" s="47">
        <f t="shared" si="2882"/>
        <v>-1000</v>
      </c>
      <c r="CO923" s="47">
        <f t="shared" si="2882"/>
        <v>-1000</v>
      </c>
      <c r="CP923" s="47">
        <f t="shared" si="2882"/>
        <v>-1000</v>
      </c>
      <c r="CQ923" s="47">
        <f t="shared" si="2882"/>
        <v>-1000</v>
      </c>
      <c r="CR923" s="47"/>
      <c r="CS923" s="47"/>
      <c r="CT923" s="47"/>
      <c r="CU923" s="74"/>
      <c r="CV923" s="74"/>
      <c r="CW923" s="74" t="str">
        <f>IFERROR(__xludf.DUMMYFUNCTION("IF(REGEXMATCH(UPPER(CU923), ""DALLAS""),,CU923)"),"")</f>
        <v/>
      </c>
      <c r="CX923" s="74"/>
      <c r="CY923" s="74"/>
      <c r="CZ923" s="74"/>
      <c r="DA923" s="75"/>
      <c r="DB923" s="74"/>
      <c r="DC923" s="74"/>
      <c r="DD923" s="74"/>
      <c r="DE923" s="74"/>
      <c r="DF923" s="74"/>
      <c r="DG923" s="74"/>
      <c r="DH923" s="74"/>
      <c r="DI923" s="74"/>
      <c r="DJ923" s="74"/>
      <c r="DK923" s="74"/>
      <c r="DL923" s="74"/>
      <c r="DM923" s="74"/>
      <c r="DN923" s="74"/>
      <c r="DO923" s="74"/>
      <c r="DP923" s="74"/>
      <c r="DQ923" s="74"/>
      <c r="DR923" s="74"/>
      <c r="DS923" s="74"/>
      <c r="DT923" s="74"/>
      <c r="DU923" s="74"/>
      <c r="DV923" s="74"/>
      <c r="DW923" s="74"/>
    </row>
    <row r="924">
      <c r="A924" s="22" t="s">
        <v>55</v>
      </c>
      <c r="B924" s="23" t="s">
        <v>56</v>
      </c>
      <c r="C924" s="31" t="s">
        <v>2237</v>
      </c>
      <c r="D924" s="25" t="str">
        <f>IFERROR(__xludf.DUMMYFUNCTION("SPLIT(C924,"" "")"),"Roberts,")</f>
        <v>Roberts,</v>
      </c>
      <c r="E924" s="22" t="str">
        <f>IFERROR(__xludf.DUMMYFUNCTION("""COMPUTED_VALUE"""),"Whit
3600")</f>
        <v>Whit
3600</v>
      </c>
      <c r="F924" s="22" t="str">
        <f>IFERROR(__xludf.DUMMYFUNCTION("""COMPUTED_VALUE"""),"Rosedale
Dallas,")</f>
        <v>Rosedale
Dallas,</v>
      </c>
      <c r="G924" s="22" t="str">
        <f>IFERROR(__xludf.DUMMYFUNCTION("""COMPUTED_VALUE"""),"TX")</f>
        <v>TX</v>
      </c>
      <c r="H924" s="22">
        <f>IFERROR(__xludf.DUMMYFUNCTION("""COMPUTED_VALUE"""),75205.0)</f>
        <v>75205</v>
      </c>
      <c r="I924" s="22"/>
      <c r="J924" s="22"/>
      <c r="K924" s="22"/>
      <c r="L924" s="22"/>
      <c r="M924" s="22"/>
      <c r="N924" s="22"/>
      <c r="O924" s="22"/>
      <c r="P924" s="22"/>
      <c r="Q924" s="22"/>
      <c r="R924" s="22"/>
      <c r="S924" s="22"/>
      <c r="T924" s="22"/>
      <c r="U924" s="24" t="str">
        <f>IFERROR(__xludf.DUMMYFUNCTION("SPLIT(E924,""01234567890"")"),"Whit
")</f>
        <v>Whit
</v>
      </c>
      <c r="V924" s="24" t="str">
        <f>IFERROR(__xludf.DUMMYFUNCTION("SPLIT(D924,"","")"),"Roberts")</f>
        <v>Roberts</v>
      </c>
      <c r="W924" s="25" t="str">
        <f t="shared" si="1"/>
        <v>WHIT
 ROBERTS</v>
      </c>
      <c r="X924" s="22"/>
      <c r="Y924" s="22"/>
      <c r="Z924" s="25" t="str">
        <f>IFERROR(__xludf.DUMMYFUNCTION("SPLIT(C924,""
"")"),"Roberts, Whit")</f>
        <v>Roberts, Whit</v>
      </c>
      <c r="AA924" s="22" t="str">
        <f>IFERROR(__xludf.DUMMYFUNCTION("""COMPUTED_VALUE"""),"3600 Rosedale")</f>
        <v>3600 Rosedale</v>
      </c>
      <c r="AB924" s="22" t="str">
        <f>IFERROR(__xludf.DUMMYFUNCTION("""COMPUTED_VALUE"""),"Dallas, TX 75205")</f>
        <v>Dallas, TX 75205</v>
      </c>
      <c r="AC924" s="31" t="s">
        <v>2238</v>
      </c>
      <c r="AD924" s="22"/>
      <c r="AE924" s="22"/>
      <c r="AF924" s="22"/>
      <c r="AG924" s="22" t="s">
        <v>60</v>
      </c>
      <c r="AH924" s="54">
        <v>2481.0</v>
      </c>
      <c r="AI924" s="22" t="s">
        <v>68</v>
      </c>
      <c r="AJ924" s="27">
        <v>1000.0</v>
      </c>
      <c r="AK924" s="31" t="s">
        <v>25</v>
      </c>
      <c r="AL924" s="28">
        <v>44836.0</v>
      </c>
      <c r="AM924" s="29">
        <v>44937.81995370371</v>
      </c>
      <c r="AN924" s="30">
        <v>2.0</v>
      </c>
      <c r="AO924" s="22"/>
      <c r="AP924" s="22"/>
      <c r="AQ924" s="22"/>
      <c r="AR924" s="22"/>
      <c r="AS924" s="22"/>
      <c r="AT924" s="70"/>
      <c r="AU924" s="22"/>
      <c r="AV924" s="57" t="str">
        <f>IFERROR(__xludf.DUMMYFUNCTION("""COMPUTED_VALUE"""),"Mortimer")</f>
        <v>Mortimer</v>
      </c>
      <c r="AW924" s="46">
        <f t="shared" si="7"/>
        <v>100</v>
      </c>
      <c r="AX924" s="47">
        <f t="shared" ref="AX924:BQ924" si="2883">SUMIFS($AJ:$AJ,$V:$V,$AV924,$AK:$AK,AX$2)</f>
        <v>0</v>
      </c>
      <c r="AY924" s="48">
        <f t="shared" si="2883"/>
        <v>0</v>
      </c>
      <c r="AZ924" s="48">
        <f t="shared" si="2883"/>
        <v>0</v>
      </c>
      <c r="BA924" s="48">
        <f t="shared" si="2883"/>
        <v>0</v>
      </c>
      <c r="BB924" s="48">
        <f t="shared" si="2883"/>
        <v>0</v>
      </c>
      <c r="BC924" s="48">
        <f t="shared" si="2883"/>
        <v>0</v>
      </c>
      <c r="BD924" s="48">
        <f t="shared" si="2883"/>
        <v>100</v>
      </c>
      <c r="BE924" s="48">
        <f t="shared" si="2883"/>
        <v>0</v>
      </c>
      <c r="BF924" s="48">
        <f t="shared" si="2883"/>
        <v>0</v>
      </c>
      <c r="BG924" s="48">
        <f t="shared" si="2883"/>
        <v>0</v>
      </c>
      <c r="BH924" s="48">
        <f t="shared" si="2883"/>
        <v>0</v>
      </c>
      <c r="BI924" s="48">
        <f t="shared" si="2883"/>
        <v>0</v>
      </c>
      <c r="BJ924" s="48">
        <f t="shared" si="2883"/>
        <v>0</v>
      </c>
      <c r="BK924" s="48">
        <f t="shared" si="2883"/>
        <v>0</v>
      </c>
      <c r="BL924" s="48">
        <f t="shared" si="2883"/>
        <v>0</v>
      </c>
      <c r="BM924" s="48">
        <f t="shared" si="2883"/>
        <v>0</v>
      </c>
      <c r="BN924" s="48">
        <f t="shared" si="2883"/>
        <v>0</v>
      </c>
      <c r="BO924" s="48">
        <f t="shared" si="2883"/>
        <v>0</v>
      </c>
      <c r="BP924" s="48">
        <f t="shared" si="2883"/>
        <v>0</v>
      </c>
      <c r="BQ924" s="48">
        <f t="shared" si="2883"/>
        <v>0</v>
      </c>
      <c r="BR924" s="36">
        <f t="shared" si="9"/>
        <v>0</v>
      </c>
      <c r="BS924" s="38">
        <f t="shared" si="10"/>
        <v>1</v>
      </c>
      <c r="BT924" s="49">
        <f t="shared" si="11"/>
        <v>0</v>
      </c>
      <c r="BU924" s="38">
        <f t="shared" si="12"/>
        <v>1000</v>
      </c>
      <c r="BV924" s="57" t="str">
        <f>IFERROR(__xludf.DUMMYFUNCTION("""COMPUTED_VALUE"""),"Mortimer")</f>
        <v>Mortimer</v>
      </c>
      <c r="BW924" s="46">
        <f t="shared" si="13"/>
        <v>100</v>
      </c>
      <c r="BX924" s="47">
        <f t="shared" ref="BX924:CA924" si="2884">AX924-$BU924</f>
        <v>-1000</v>
      </c>
      <c r="BY924" s="47">
        <f t="shared" si="2884"/>
        <v>-1000</v>
      </c>
      <c r="BZ924" s="47">
        <f t="shared" si="2884"/>
        <v>-1000</v>
      </c>
      <c r="CA924" s="47">
        <f t="shared" si="2884"/>
        <v>-1000</v>
      </c>
      <c r="CB924" s="47">
        <f t="shared" si="15"/>
        <v>-10000</v>
      </c>
      <c r="CC924" s="47">
        <f t="shared" ref="CC924:CQ924" si="2885">BC924-$BU924</f>
        <v>-1000</v>
      </c>
      <c r="CD924" s="47">
        <f t="shared" si="2885"/>
        <v>-900</v>
      </c>
      <c r="CE924" s="47">
        <f t="shared" si="2885"/>
        <v>-1000</v>
      </c>
      <c r="CF924" s="47">
        <f t="shared" si="2885"/>
        <v>-1000</v>
      </c>
      <c r="CG924" s="47">
        <f t="shared" si="2885"/>
        <v>-1000</v>
      </c>
      <c r="CH924" s="47">
        <f t="shared" si="2885"/>
        <v>-1000</v>
      </c>
      <c r="CI924" s="47">
        <f t="shared" si="2885"/>
        <v>-1000</v>
      </c>
      <c r="CJ924" s="47">
        <f t="shared" si="2885"/>
        <v>-1000</v>
      </c>
      <c r="CK924" s="47">
        <f t="shared" si="2885"/>
        <v>-1000</v>
      </c>
      <c r="CL924" s="47">
        <f t="shared" si="2885"/>
        <v>-1000</v>
      </c>
      <c r="CM924" s="47">
        <f t="shared" si="2885"/>
        <v>-1000</v>
      </c>
      <c r="CN924" s="47">
        <f t="shared" si="2885"/>
        <v>-1000</v>
      </c>
      <c r="CO924" s="47">
        <f t="shared" si="2885"/>
        <v>-1000</v>
      </c>
      <c r="CP924" s="47">
        <f t="shared" si="2885"/>
        <v>-1000</v>
      </c>
      <c r="CQ924" s="47">
        <f t="shared" si="2885"/>
        <v>-1000</v>
      </c>
      <c r="CR924" s="47"/>
      <c r="CS924" s="47"/>
      <c r="CT924" s="47"/>
      <c r="CU924" s="74"/>
      <c r="CV924" s="74"/>
      <c r="CW924" s="74" t="str">
        <f>IFERROR(__xludf.DUMMYFUNCTION("IF(REGEXMATCH(UPPER(CU924), ""DALLAS""),,CU924)"),"")</f>
        <v/>
      </c>
      <c r="CX924" s="74"/>
      <c r="CY924" s="74"/>
      <c r="CZ924" s="74"/>
      <c r="DA924" s="75"/>
      <c r="DB924" s="74"/>
      <c r="DC924" s="74"/>
      <c r="DD924" s="74"/>
      <c r="DE924" s="74"/>
      <c r="DF924" s="74"/>
      <c r="DG924" s="74"/>
      <c r="DH924" s="74"/>
      <c r="DI924" s="74"/>
      <c r="DJ924" s="74"/>
      <c r="DK924" s="74"/>
      <c r="DL924" s="74"/>
      <c r="DM924" s="74"/>
      <c r="DN924" s="74"/>
      <c r="DO924" s="74"/>
      <c r="DP924" s="74"/>
      <c r="DQ924" s="74"/>
      <c r="DR924" s="74"/>
      <c r="DS924" s="74"/>
      <c r="DT924" s="74"/>
      <c r="DU924" s="74"/>
      <c r="DV924" s="74"/>
      <c r="DW924" s="74"/>
    </row>
    <row r="925">
      <c r="A925" s="40" t="s">
        <v>55</v>
      </c>
      <c r="B925" s="41" t="s">
        <v>56</v>
      </c>
      <c r="C925" s="31" t="s">
        <v>2239</v>
      </c>
      <c r="D925" s="25" t="str">
        <f>IFERROR(__xludf.DUMMYFUNCTION("SPLIT(C925,"" "")"),"Williams,")</f>
        <v>Williams,</v>
      </c>
      <c r="E925" s="40" t="str">
        <f>IFERROR(__xludf.DUMMYFUNCTION("""COMPUTED_VALUE"""),"Yolanda
1012")</f>
        <v>Yolanda
1012</v>
      </c>
      <c r="F925" s="40" t="str">
        <f>IFERROR(__xludf.DUMMYFUNCTION("""COMPUTED_VALUE"""),"Pindar")</f>
        <v>Pindar</v>
      </c>
      <c r="G925" s="40" t="str">
        <f>IFERROR(__xludf.DUMMYFUNCTION("""COMPUTED_VALUE"""),"Ave
Dallas,")</f>
        <v>Ave
Dallas,</v>
      </c>
      <c r="H925" s="40" t="str">
        <f>IFERROR(__xludf.DUMMYFUNCTION("""COMPUTED_VALUE"""),"TX")</f>
        <v>TX</v>
      </c>
      <c r="I925" s="40">
        <f>IFERROR(__xludf.DUMMYFUNCTION("""COMPUTED_VALUE"""),75217.0)</f>
        <v>75217</v>
      </c>
      <c r="J925" s="40"/>
      <c r="K925" s="40"/>
      <c r="L925" s="40"/>
      <c r="M925" s="40"/>
      <c r="N925" s="40"/>
      <c r="O925" s="40"/>
      <c r="P925" s="40"/>
      <c r="Q925" s="40"/>
      <c r="R925" s="40"/>
      <c r="S925" s="40"/>
      <c r="T925" s="40"/>
      <c r="U925" s="24" t="str">
        <f>IFERROR(__xludf.DUMMYFUNCTION("SPLIT(E925,""01234567890"")"),"Yolanda
")</f>
        <v>Yolanda
</v>
      </c>
      <c r="V925" s="24" t="str">
        <f>IFERROR(__xludf.DUMMYFUNCTION("SPLIT(D925,"","")"),"Williams")</f>
        <v>Williams</v>
      </c>
      <c r="W925" s="25" t="str">
        <f t="shared" si="1"/>
        <v>YOLANDA
 WILLIAMS</v>
      </c>
      <c r="X925" s="40"/>
      <c r="Y925" s="40"/>
      <c r="Z925" s="25" t="str">
        <f>IFERROR(__xludf.DUMMYFUNCTION("SPLIT(C925,""
"")"),"Williams, Yolanda")</f>
        <v>Williams, Yolanda</v>
      </c>
      <c r="AA925" s="40" t="str">
        <f>IFERROR(__xludf.DUMMYFUNCTION("""COMPUTED_VALUE"""),"1012 Pindar Ave")</f>
        <v>1012 Pindar Ave</v>
      </c>
      <c r="AB925" s="40" t="str">
        <f>IFERROR(__xludf.DUMMYFUNCTION("""COMPUTED_VALUE"""),"Dallas, TX 75217")</f>
        <v>Dallas, TX 75217</v>
      </c>
      <c r="AC925" s="31" t="s">
        <v>2240</v>
      </c>
      <c r="AD925" s="40"/>
      <c r="AE925" s="40"/>
      <c r="AF925" s="40"/>
      <c r="AG925" s="40" t="s">
        <v>60</v>
      </c>
      <c r="AH925" s="42">
        <v>2481.0</v>
      </c>
      <c r="AI925" s="40" t="s">
        <v>68</v>
      </c>
      <c r="AJ925" s="27">
        <v>50.0</v>
      </c>
      <c r="AK925" s="31" t="s">
        <v>25</v>
      </c>
      <c r="AL925" s="43">
        <v>44837.0</v>
      </c>
      <c r="AM925" s="44">
        <v>44937.81995370371</v>
      </c>
      <c r="AN925" s="30">
        <v>2.0</v>
      </c>
      <c r="AO925" s="40"/>
      <c r="AP925" s="40"/>
      <c r="AQ925" s="40"/>
      <c r="AR925" s="40"/>
      <c r="AS925" s="40"/>
      <c r="AT925" s="47"/>
      <c r="AU925" s="40"/>
      <c r="AV925" s="46" t="str">
        <f>IFERROR(__xludf.DUMMYFUNCTION("""COMPUTED_VALUE"""),"Havlick")</f>
        <v>Havlick</v>
      </c>
      <c r="AW925" s="46">
        <f t="shared" si="7"/>
        <v>100</v>
      </c>
      <c r="AX925" s="47">
        <f t="shared" ref="AX925:BQ925" si="2886">SUMIFS($AJ:$AJ,$V:$V,$AV925,$AK:$AK,AX$2)</f>
        <v>0</v>
      </c>
      <c r="AY925" s="48">
        <f t="shared" si="2886"/>
        <v>0</v>
      </c>
      <c r="AZ925" s="48">
        <f t="shared" si="2886"/>
        <v>0</v>
      </c>
      <c r="BA925" s="48">
        <f t="shared" si="2886"/>
        <v>0</v>
      </c>
      <c r="BB925" s="48">
        <f t="shared" si="2886"/>
        <v>0</v>
      </c>
      <c r="BC925" s="48">
        <f t="shared" si="2886"/>
        <v>0</v>
      </c>
      <c r="BD925" s="48">
        <f t="shared" si="2886"/>
        <v>100</v>
      </c>
      <c r="BE925" s="48">
        <f t="shared" si="2886"/>
        <v>0</v>
      </c>
      <c r="BF925" s="48">
        <f t="shared" si="2886"/>
        <v>0</v>
      </c>
      <c r="BG925" s="48">
        <f t="shared" si="2886"/>
        <v>0</v>
      </c>
      <c r="BH925" s="48">
        <f t="shared" si="2886"/>
        <v>0</v>
      </c>
      <c r="BI925" s="48">
        <f t="shared" si="2886"/>
        <v>0</v>
      </c>
      <c r="BJ925" s="48">
        <f t="shared" si="2886"/>
        <v>0</v>
      </c>
      <c r="BK925" s="48">
        <f t="shared" si="2886"/>
        <v>0</v>
      </c>
      <c r="BL925" s="48">
        <f t="shared" si="2886"/>
        <v>0</v>
      </c>
      <c r="BM925" s="48">
        <f t="shared" si="2886"/>
        <v>0</v>
      </c>
      <c r="BN925" s="48">
        <f t="shared" si="2886"/>
        <v>0</v>
      </c>
      <c r="BO925" s="48">
        <f t="shared" si="2886"/>
        <v>0</v>
      </c>
      <c r="BP925" s="48">
        <f t="shared" si="2886"/>
        <v>0</v>
      </c>
      <c r="BQ925" s="48">
        <f t="shared" si="2886"/>
        <v>0</v>
      </c>
      <c r="BR925" s="36">
        <f t="shared" si="9"/>
        <v>0</v>
      </c>
      <c r="BS925" s="38">
        <f t="shared" si="10"/>
        <v>1</v>
      </c>
      <c r="BT925" s="49">
        <f t="shared" si="11"/>
        <v>0</v>
      </c>
      <c r="BU925" s="38">
        <f t="shared" si="12"/>
        <v>1000</v>
      </c>
      <c r="BV925" s="46" t="str">
        <f>IFERROR(__xludf.DUMMYFUNCTION("""COMPUTED_VALUE"""),"Havlick")</f>
        <v>Havlick</v>
      </c>
      <c r="BW925" s="46">
        <f t="shared" si="13"/>
        <v>100</v>
      </c>
      <c r="BX925" s="47">
        <f t="shared" ref="BX925:CA925" si="2887">AX925-$BU925</f>
        <v>-1000</v>
      </c>
      <c r="BY925" s="47">
        <f t="shared" si="2887"/>
        <v>-1000</v>
      </c>
      <c r="BZ925" s="47">
        <f t="shared" si="2887"/>
        <v>-1000</v>
      </c>
      <c r="CA925" s="47">
        <f t="shared" si="2887"/>
        <v>-1000</v>
      </c>
      <c r="CB925" s="47">
        <f t="shared" si="15"/>
        <v>-10000</v>
      </c>
      <c r="CC925" s="47">
        <f t="shared" ref="CC925:CQ925" si="2888">BC925-$BU925</f>
        <v>-1000</v>
      </c>
      <c r="CD925" s="47">
        <f t="shared" si="2888"/>
        <v>-900</v>
      </c>
      <c r="CE925" s="47">
        <f t="shared" si="2888"/>
        <v>-1000</v>
      </c>
      <c r="CF925" s="47">
        <f t="shared" si="2888"/>
        <v>-1000</v>
      </c>
      <c r="CG925" s="47">
        <f t="shared" si="2888"/>
        <v>-1000</v>
      </c>
      <c r="CH925" s="47">
        <f t="shared" si="2888"/>
        <v>-1000</v>
      </c>
      <c r="CI925" s="47">
        <f t="shared" si="2888"/>
        <v>-1000</v>
      </c>
      <c r="CJ925" s="47">
        <f t="shared" si="2888"/>
        <v>-1000</v>
      </c>
      <c r="CK925" s="47">
        <f t="shared" si="2888"/>
        <v>-1000</v>
      </c>
      <c r="CL925" s="47">
        <f t="shared" si="2888"/>
        <v>-1000</v>
      </c>
      <c r="CM925" s="47">
        <f t="shared" si="2888"/>
        <v>-1000</v>
      </c>
      <c r="CN925" s="47">
        <f t="shared" si="2888"/>
        <v>-1000</v>
      </c>
      <c r="CO925" s="47">
        <f t="shared" si="2888"/>
        <v>-1000</v>
      </c>
      <c r="CP925" s="47">
        <f t="shared" si="2888"/>
        <v>-1000</v>
      </c>
      <c r="CQ925" s="47">
        <f t="shared" si="2888"/>
        <v>-1000</v>
      </c>
      <c r="CR925" s="47"/>
      <c r="CS925" s="47"/>
      <c r="CT925" s="47"/>
      <c r="CU925" s="74"/>
      <c r="CV925" s="74"/>
      <c r="CW925" s="74" t="str">
        <f>IFERROR(__xludf.DUMMYFUNCTION("IF(REGEXMATCH(UPPER(CU925), ""DALLAS""),,CU925)"),"")</f>
        <v/>
      </c>
      <c r="CX925" s="74"/>
      <c r="CY925" s="74"/>
      <c r="CZ925" s="74"/>
      <c r="DA925" s="75"/>
      <c r="DB925" s="74"/>
      <c r="DC925" s="74"/>
      <c r="DD925" s="74"/>
      <c r="DE925" s="74"/>
      <c r="DF925" s="74"/>
      <c r="DG925" s="74"/>
      <c r="DH925" s="74"/>
      <c r="DI925" s="74"/>
      <c r="DJ925" s="74"/>
      <c r="DK925" s="74"/>
      <c r="DL925" s="74"/>
      <c r="DM925" s="74"/>
      <c r="DN925" s="74"/>
      <c r="DO925" s="74"/>
      <c r="DP925" s="74"/>
      <c r="DQ925" s="74"/>
      <c r="DR925" s="74"/>
      <c r="DS925" s="74"/>
      <c r="DT925" s="74"/>
      <c r="DU925" s="74"/>
      <c r="DV925" s="74"/>
      <c r="DW925" s="74"/>
    </row>
    <row r="926">
      <c r="A926" s="22" t="s">
        <v>55</v>
      </c>
      <c r="B926" s="23" t="s">
        <v>56</v>
      </c>
      <c r="C926" s="31" t="s">
        <v>1026</v>
      </c>
      <c r="D926" s="25" t="str">
        <f>IFERROR(__xludf.DUMMYFUNCTION("SPLIT(C926,"" "")"),"Fleiss,")</f>
        <v>Fleiss,</v>
      </c>
      <c r="E926" s="22" t="str">
        <f>IFERROR(__xludf.DUMMYFUNCTION("""COMPUTED_VALUE"""),"Eric
3808")</f>
        <v>Eric
3808</v>
      </c>
      <c r="F926" s="22" t="str">
        <f>IFERROR(__xludf.DUMMYFUNCTION("""COMPUTED_VALUE"""),"Miramar")</f>
        <v>Miramar</v>
      </c>
      <c r="G926" s="22" t="str">
        <f>IFERROR(__xludf.DUMMYFUNCTION("""COMPUTED_VALUE"""),"Ave
Dallas,")</f>
        <v>Ave
Dallas,</v>
      </c>
      <c r="H926" s="22" t="str">
        <f>IFERROR(__xludf.DUMMYFUNCTION("""COMPUTED_VALUE"""),"TX")</f>
        <v>TX</v>
      </c>
      <c r="I926" s="22">
        <f>IFERROR(__xludf.DUMMYFUNCTION("""COMPUTED_VALUE"""),75205.0)</f>
        <v>75205</v>
      </c>
      <c r="J926" s="22"/>
      <c r="K926" s="22"/>
      <c r="L926" s="22"/>
      <c r="M926" s="22"/>
      <c r="N926" s="22"/>
      <c r="O926" s="22"/>
      <c r="P926" s="22"/>
      <c r="Q926" s="22"/>
      <c r="R926" s="22"/>
      <c r="S926" s="22"/>
      <c r="T926" s="22"/>
      <c r="U926" s="24" t="str">
        <f>IFERROR(__xludf.DUMMYFUNCTION("SPLIT(E926,""01234567890"")"),"Eric
")</f>
        <v>Eric
</v>
      </c>
      <c r="V926" s="24" t="str">
        <f>IFERROR(__xludf.DUMMYFUNCTION("SPLIT(D926,"","")"),"Fleiss")</f>
        <v>Fleiss</v>
      </c>
      <c r="W926" s="25" t="str">
        <f t="shared" si="1"/>
        <v>ERIC
 FLEISS</v>
      </c>
      <c r="X926" s="22"/>
      <c r="Y926" s="22"/>
      <c r="Z926" s="25" t="str">
        <f>IFERROR(__xludf.DUMMYFUNCTION("SPLIT(C926,""
"")"),"Fleiss, Eric")</f>
        <v>Fleiss, Eric</v>
      </c>
      <c r="AA926" s="22" t="str">
        <f>IFERROR(__xludf.DUMMYFUNCTION("""COMPUTED_VALUE"""),"3808 Miramar Ave")</f>
        <v>3808 Miramar Ave</v>
      </c>
      <c r="AB926" s="22" t="str">
        <f>IFERROR(__xludf.DUMMYFUNCTION("""COMPUTED_VALUE"""),"Dallas, TX 75205")</f>
        <v>Dallas, TX 75205</v>
      </c>
      <c r="AC926" s="31" t="s">
        <v>1028</v>
      </c>
      <c r="AD926" s="22"/>
      <c r="AE926" s="22"/>
      <c r="AF926" s="22"/>
      <c r="AG926" s="22" t="s">
        <v>60</v>
      </c>
      <c r="AH926" s="54">
        <v>2481.0</v>
      </c>
      <c r="AI926" s="22" t="s">
        <v>68</v>
      </c>
      <c r="AJ926" s="27">
        <v>100.0</v>
      </c>
      <c r="AK926" s="31" t="s">
        <v>25</v>
      </c>
      <c r="AL926" s="28">
        <v>44837.0</v>
      </c>
      <c r="AM926" s="29">
        <v>44937.81995370371</v>
      </c>
      <c r="AN926" s="30">
        <v>2.0</v>
      </c>
      <c r="AO926" s="22"/>
      <c r="AP926" s="22"/>
      <c r="AQ926" s="22"/>
      <c r="AR926" s="22"/>
      <c r="AS926" s="22"/>
      <c r="AT926" s="70"/>
      <c r="AU926" s="22"/>
      <c r="AV926" s="57" t="str">
        <f>IFERROR(__xludf.DUMMYFUNCTION("""COMPUTED_VALUE"""),"John")</f>
        <v>John</v>
      </c>
      <c r="AW926" s="46">
        <f t="shared" si="7"/>
        <v>500</v>
      </c>
      <c r="AX926" s="47">
        <f t="shared" ref="AX926:BQ926" si="2889">SUMIFS($AJ:$AJ,$V:$V,$AV926,$AK:$AK,AX$2)</f>
        <v>0</v>
      </c>
      <c r="AY926" s="48">
        <f t="shared" si="2889"/>
        <v>0</v>
      </c>
      <c r="AZ926" s="48">
        <f t="shared" si="2889"/>
        <v>0</v>
      </c>
      <c r="BA926" s="48">
        <f t="shared" si="2889"/>
        <v>0</v>
      </c>
      <c r="BB926" s="48">
        <f t="shared" si="2889"/>
        <v>0</v>
      </c>
      <c r="BC926" s="48">
        <f t="shared" si="2889"/>
        <v>0</v>
      </c>
      <c r="BD926" s="48">
        <f t="shared" si="2889"/>
        <v>500</v>
      </c>
      <c r="BE926" s="48">
        <f t="shared" si="2889"/>
        <v>0</v>
      </c>
      <c r="BF926" s="48">
        <f t="shared" si="2889"/>
        <v>0</v>
      </c>
      <c r="BG926" s="48">
        <f t="shared" si="2889"/>
        <v>0</v>
      </c>
      <c r="BH926" s="48">
        <f t="shared" si="2889"/>
        <v>0</v>
      </c>
      <c r="BI926" s="48">
        <f t="shared" si="2889"/>
        <v>0</v>
      </c>
      <c r="BJ926" s="48">
        <f t="shared" si="2889"/>
        <v>0</v>
      </c>
      <c r="BK926" s="48">
        <f t="shared" si="2889"/>
        <v>0</v>
      </c>
      <c r="BL926" s="48">
        <f t="shared" si="2889"/>
        <v>0</v>
      </c>
      <c r="BM926" s="48">
        <f t="shared" si="2889"/>
        <v>0</v>
      </c>
      <c r="BN926" s="48">
        <f t="shared" si="2889"/>
        <v>0</v>
      </c>
      <c r="BO926" s="48">
        <f t="shared" si="2889"/>
        <v>0</v>
      </c>
      <c r="BP926" s="48">
        <f t="shared" si="2889"/>
        <v>0</v>
      </c>
      <c r="BQ926" s="48">
        <f t="shared" si="2889"/>
        <v>0</v>
      </c>
      <c r="BR926" s="36">
        <f t="shared" si="9"/>
        <v>0</v>
      </c>
      <c r="BS926" s="38">
        <f t="shared" si="10"/>
        <v>1</v>
      </c>
      <c r="BT926" s="49">
        <f t="shared" si="11"/>
        <v>0</v>
      </c>
      <c r="BU926" s="38">
        <f t="shared" si="12"/>
        <v>1000</v>
      </c>
      <c r="BV926" s="57" t="str">
        <f>IFERROR(__xludf.DUMMYFUNCTION("""COMPUTED_VALUE"""),"John")</f>
        <v>John</v>
      </c>
      <c r="BW926" s="46">
        <f t="shared" si="13"/>
        <v>500</v>
      </c>
      <c r="BX926" s="47">
        <f t="shared" ref="BX926:CA926" si="2890">AX926-$BU926</f>
        <v>-1000</v>
      </c>
      <c r="BY926" s="47">
        <f t="shared" si="2890"/>
        <v>-1000</v>
      </c>
      <c r="BZ926" s="47">
        <f t="shared" si="2890"/>
        <v>-1000</v>
      </c>
      <c r="CA926" s="47">
        <f t="shared" si="2890"/>
        <v>-1000</v>
      </c>
      <c r="CB926" s="47">
        <f t="shared" si="15"/>
        <v>-10000</v>
      </c>
      <c r="CC926" s="47">
        <f t="shared" ref="CC926:CQ926" si="2891">BC926-$BU926</f>
        <v>-1000</v>
      </c>
      <c r="CD926" s="47">
        <f t="shared" si="2891"/>
        <v>-500</v>
      </c>
      <c r="CE926" s="47">
        <f t="shared" si="2891"/>
        <v>-1000</v>
      </c>
      <c r="CF926" s="47">
        <f t="shared" si="2891"/>
        <v>-1000</v>
      </c>
      <c r="CG926" s="47">
        <f t="shared" si="2891"/>
        <v>-1000</v>
      </c>
      <c r="CH926" s="47">
        <f t="shared" si="2891"/>
        <v>-1000</v>
      </c>
      <c r="CI926" s="47">
        <f t="shared" si="2891"/>
        <v>-1000</v>
      </c>
      <c r="CJ926" s="47">
        <f t="shared" si="2891"/>
        <v>-1000</v>
      </c>
      <c r="CK926" s="47">
        <f t="shared" si="2891"/>
        <v>-1000</v>
      </c>
      <c r="CL926" s="47">
        <f t="shared" si="2891"/>
        <v>-1000</v>
      </c>
      <c r="CM926" s="47">
        <f t="shared" si="2891"/>
        <v>-1000</v>
      </c>
      <c r="CN926" s="47">
        <f t="shared" si="2891"/>
        <v>-1000</v>
      </c>
      <c r="CO926" s="47">
        <f t="shared" si="2891"/>
        <v>-1000</v>
      </c>
      <c r="CP926" s="47">
        <f t="shared" si="2891"/>
        <v>-1000</v>
      </c>
      <c r="CQ926" s="47">
        <f t="shared" si="2891"/>
        <v>-1000</v>
      </c>
      <c r="CR926" s="47"/>
      <c r="CS926" s="47"/>
      <c r="CT926" s="47"/>
      <c r="CU926" s="74"/>
      <c r="CV926" s="74"/>
      <c r="CW926" s="74" t="str">
        <f>IFERROR(__xludf.DUMMYFUNCTION("IF(REGEXMATCH(UPPER(CU926), ""DALLAS""),,CU926)"),"")</f>
        <v/>
      </c>
      <c r="CX926" s="74"/>
      <c r="CY926" s="74"/>
      <c r="CZ926" s="74"/>
      <c r="DA926" s="75"/>
      <c r="DB926" s="74"/>
      <c r="DC926" s="74"/>
      <c r="DD926" s="74"/>
      <c r="DE926" s="74"/>
      <c r="DF926" s="74"/>
      <c r="DG926" s="74"/>
      <c r="DH926" s="74"/>
      <c r="DI926" s="74"/>
      <c r="DJ926" s="74"/>
      <c r="DK926" s="74"/>
      <c r="DL926" s="74"/>
      <c r="DM926" s="74"/>
      <c r="DN926" s="74"/>
      <c r="DO926" s="74"/>
      <c r="DP926" s="74"/>
      <c r="DQ926" s="74"/>
      <c r="DR926" s="74"/>
      <c r="DS926" s="74"/>
      <c r="DT926" s="74"/>
      <c r="DU926" s="74"/>
      <c r="DV926" s="74"/>
      <c r="DW926" s="74"/>
    </row>
    <row r="927">
      <c r="A927" s="40" t="s">
        <v>55</v>
      </c>
      <c r="B927" s="41" t="s">
        <v>56</v>
      </c>
      <c r="C927" s="31" t="s">
        <v>2241</v>
      </c>
      <c r="D927" s="25" t="str">
        <f>IFERROR(__xludf.DUMMYFUNCTION("SPLIT(C927,"" "")"),"Jones,")</f>
        <v>Jones,</v>
      </c>
      <c r="E927" s="40" t="str">
        <f>IFERROR(__xludf.DUMMYFUNCTION("""COMPUTED_VALUE"""),"Kelly
1731")</f>
        <v>Kelly
1731</v>
      </c>
      <c r="F927" s="40" t="str">
        <f>IFERROR(__xludf.DUMMYFUNCTION("""COMPUTED_VALUE"""),"Eagle")</f>
        <v>Eagle</v>
      </c>
      <c r="G927" s="40" t="str">
        <f>IFERROR(__xludf.DUMMYFUNCTION("""COMPUTED_VALUE"""),"River")</f>
        <v>River</v>
      </c>
      <c r="H927" s="40" t="str">
        <f>IFERROR(__xludf.DUMMYFUNCTION("""COMPUTED_VALUE"""),"Trail
Lancaster,")</f>
        <v>Trail
Lancaster,</v>
      </c>
      <c r="I927" s="40" t="str">
        <f>IFERROR(__xludf.DUMMYFUNCTION("""COMPUTED_VALUE"""),"TX")</f>
        <v>TX</v>
      </c>
      <c r="J927" s="40">
        <f>IFERROR(__xludf.DUMMYFUNCTION("""COMPUTED_VALUE"""),75146.0)</f>
        <v>75146</v>
      </c>
      <c r="K927" s="40"/>
      <c r="L927" s="40"/>
      <c r="M927" s="40"/>
      <c r="N927" s="40"/>
      <c r="O927" s="40"/>
      <c r="P927" s="40"/>
      <c r="Q927" s="40"/>
      <c r="R927" s="40"/>
      <c r="S927" s="40"/>
      <c r="T927" s="40"/>
      <c r="U927" s="24" t="str">
        <f>IFERROR(__xludf.DUMMYFUNCTION("SPLIT(E927,""01234567890"")"),"Kelly
")</f>
        <v>Kelly
</v>
      </c>
      <c r="V927" s="24" t="str">
        <f>IFERROR(__xludf.DUMMYFUNCTION("SPLIT(D927,"","")"),"Jones")</f>
        <v>Jones</v>
      </c>
      <c r="W927" s="25" t="str">
        <f t="shared" si="1"/>
        <v>KELLY
 JONES</v>
      </c>
      <c r="X927" s="40"/>
      <c r="Y927" s="40"/>
      <c r="Z927" s="25" t="str">
        <f>IFERROR(__xludf.DUMMYFUNCTION("SPLIT(C927,""
"")"),"Jones, Kelly")</f>
        <v>Jones, Kelly</v>
      </c>
      <c r="AA927" s="40" t="str">
        <f>IFERROR(__xludf.DUMMYFUNCTION("""COMPUTED_VALUE"""),"1731 Eagle River Trail")</f>
        <v>1731 Eagle River Trail</v>
      </c>
      <c r="AB927" s="40" t="str">
        <f>IFERROR(__xludf.DUMMYFUNCTION("""COMPUTED_VALUE"""),"Lancaster, TX 75146")</f>
        <v>Lancaster, TX 75146</v>
      </c>
      <c r="AC927" s="31" t="s">
        <v>2242</v>
      </c>
      <c r="AD927" s="40"/>
      <c r="AE927" s="40"/>
      <c r="AF927" s="40"/>
      <c r="AG927" s="40" t="s">
        <v>60</v>
      </c>
      <c r="AH927" s="42">
        <v>2481.0</v>
      </c>
      <c r="AI927" s="40" t="s">
        <v>68</v>
      </c>
      <c r="AJ927" s="27">
        <v>200.0</v>
      </c>
      <c r="AK927" s="31" t="s">
        <v>25</v>
      </c>
      <c r="AL927" s="43">
        <v>44838.0</v>
      </c>
      <c r="AM927" s="44">
        <v>44937.81995370371</v>
      </c>
      <c r="AN927" s="30">
        <v>2.0</v>
      </c>
      <c r="AO927" s="40"/>
      <c r="AP927" s="40"/>
      <c r="AQ927" s="40"/>
      <c r="AR927" s="40"/>
      <c r="AS927" s="40"/>
      <c r="AT927" s="47"/>
      <c r="AU927" s="40"/>
      <c r="AV927" s="46" t="str">
        <f>IFERROR(__xludf.DUMMYFUNCTION("""COMPUTED_VALUE"""),"Linville")</f>
        <v>Linville</v>
      </c>
      <c r="AW927" s="46">
        <f t="shared" si="7"/>
        <v>150</v>
      </c>
      <c r="AX927" s="47">
        <f t="shared" ref="AX927:BQ927" si="2892">SUMIFS($AJ:$AJ,$V:$V,$AV927,$AK:$AK,AX$2)</f>
        <v>0</v>
      </c>
      <c r="AY927" s="48">
        <f t="shared" si="2892"/>
        <v>0</v>
      </c>
      <c r="AZ927" s="48">
        <f t="shared" si="2892"/>
        <v>0</v>
      </c>
      <c r="BA927" s="48">
        <f t="shared" si="2892"/>
        <v>0</v>
      </c>
      <c r="BB927" s="48">
        <f t="shared" si="2892"/>
        <v>0</v>
      </c>
      <c r="BC927" s="48">
        <f t="shared" si="2892"/>
        <v>0</v>
      </c>
      <c r="BD927" s="48">
        <f t="shared" si="2892"/>
        <v>150</v>
      </c>
      <c r="BE927" s="48">
        <f t="shared" si="2892"/>
        <v>0</v>
      </c>
      <c r="BF927" s="48">
        <f t="shared" si="2892"/>
        <v>0</v>
      </c>
      <c r="BG927" s="48">
        <f t="shared" si="2892"/>
        <v>0</v>
      </c>
      <c r="BH927" s="48">
        <f t="shared" si="2892"/>
        <v>0</v>
      </c>
      <c r="BI927" s="48">
        <f t="shared" si="2892"/>
        <v>0</v>
      </c>
      <c r="BJ927" s="48">
        <f t="shared" si="2892"/>
        <v>0</v>
      </c>
      <c r="BK927" s="48">
        <f t="shared" si="2892"/>
        <v>0</v>
      </c>
      <c r="BL927" s="48">
        <f t="shared" si="2892"/>
        <v>0</v>
      </c>
      <c r="BM927" s="48">
        <f t="shared" si="2892"/>
        <v>0</v>
      </c>
      <c r="BN927" s="48">
        <f t="shared" si="2892"/>
        <v>0</v>
      </c>
      <c r="BO927" s="48">
        <f t="shared" si="2892"/>
        <v>0</v>
      </c>
      <c r="BP927" s="48">
        <f t="shared" si="2892"/>
        <v>0</v>
      </c>
      <c r="BQ927" s="48">
        <f t="shared" si="2892"/>
        <v>0</v>
      </c>
      <c r="BR927" s="36">
        <f t="shared" si="9"/>
        <v>0</v>
      </c>
      <c r="BS927" s="38">
        <f t="shared" si="10"/>
        <v>1</v>
      </c>
      <c r="BT927" s="49">
        <f t="shared" si="11"/>
        <v>0</v>
      </c>
      <c r="BU927" s="38">
        <f t="shared" si="12"/>
        <v>1000</v>
      </c>
      <c r="BV927" s="46" t="str">
        <f>IFERROR(__xludf.DUMMYFUNCTION("""COMPUTED_VALUE"""),"Linville")</f>
        <v>Linville</v>
      </c>
      <c r="BW927" s="46">
        <f t="shared" si="13"/>
        <v>150</v>
      </c>
      <c r="BX927" s="47">
        <f t="shared" ref="BX927:CA927" si="2893">AX927-$BU927</f>
        <v>-1000</v>
      </c>
      <c r="BY927" s="47">
        <f t="shared" si="2893"/>
        <v>-1000</v>
      </c>
      <c r="BZ927" s="47">
        <f t="shared" si="2893"/>
        <v>-1000</v>
      </c>
      <c r="CA927" s="47">
        <f t="shared" si="2893"/>
        <v>-1000</v>
      </c>
      <c r="CB927" s="47">
        <f t="shared" si="15"/>
        <v>-10000</v>
      </c>
      <c r="CC927" s="47">
        <f t="shared" ref="CC927:CQ927" si="2894">BC927-$BU927</f>
        <v>-1000</v>
      </c>
      <c r="CD927" s="47">
        <f t="shared" si="2894"/>
        <v>-850</v>
      </c>
      <c r="CE927" s="47">
        <f t="shared" si="2894"/>
        <v>-1000</v>
      </c>
      <c r="CF927" s="47">
        <f t="shared" si="2894"/>
        <v>-1000</v>
      </c>
      <c r="CG927" s="47">
        <f t="shared" si="2894"/>
        <v>-1000</v>
      </c>
      <c r="CH927" s="47">
        <f t="shared" si="2894"/>
        <v>-1000</v>
      </c>
      <c r="CI927" s="47">
        <f t="shared" si="2894"/>
        <v>-1000</v>
      </c>
      <c r="CJ927" s="47">
        <f t="shared" si="2894"/>
        <v>-1000</v>
      </c>
      <c r="CK927" s="47">
        <f t="shared" si="2894"/>
        <v>-1000</v>
      </c>
      <c r="CL927" s="47">
        <f t="shared" si="2894"/>
        <v>-1000</v>
      </c>
      <c r="CM927" s="47">
        <f t="shared" si="2894"/>
        <v>-1000</v>
      </c>
      <c r="CN927" s="47">
        <f t="shared" si="2894"/>
        <v>-1000</v>
      </c>
      <c r="CO927" s="47">
        <f t="shared" si="2894"/>
        <v>-1000</v>
      </c>
      <c r="CP927" s="47">
        <f t="shared" si="2894"/>
        <v>-1000</v>
      </c>
      <c r="CQ927" s="47">
        <f t="shared" si="2894"/>
        <v>-1000</v>
      </c>
      <c r="CR927" s="47"/>
      <c r="CS927" s="47"/>
      <c r="CT927" s="47"/>
      <c r="CU927" s="74"/>
      <c r="CV927" s="74"/>
      <c r="CW927" s="74" t="str">
        <f>IFERROR(__xludf.DUMMYFUNCTION("IF(REGEXMATCH(UPPER(CU927), ""DALLAS""),,CU927)"),"")</f>
        <v/>
      </c>
      <c r="CX927" s="74"/>
      <c r="CY927" s="74"/>
      <c r="CZ927" s="74"/>
      <c r="DA927" s="75"/>
      <c r="DB927" s="74"/>
      <c r="DC927" s="74"/>
      <c r="DD927" s="74"/>
      <c r="DE927" s="74"/>
      <c r="DF927" s="74"/>
      <c r="DG927" s="74"/>
      <c r="DH927" s="74"/>
      <c r="DI927" s="74"/>
      <c r="DJ927" s="74"/>
      <c r="DK927" s="74"/>
      <c r="DL927" s="74"/>
      <c r="DM927" s="74"/>
      <c r="DN927" s="74"/>
      <c r="DO927" s="74"/>
      <c r="DP927" s="74"/>
      <c r="DQ927" s="74"/>
      <c r="DR927" s="74"/>
      <c r="DS927" s="74"/>
      <c r="DT927" s="74"/>
      <c r="DU927" s="74"/>
      <c r="DV927" s="74"/>
      <c r="DW927" s="74"/>
    </row>
    <row r="928">
      <c r="A928" s="22" t="s">
        <v>55</v>
      </c>
      <c r="B928" s="23" t="s">
        <v>56</v>
      </c>
      <c r="C928" s="31" t="s">
        <v>420</v>
      </c>
      <c r="D928" s="25" t="str">
        <f>IFERROR(__xludf.DUMMYFUNCTION("SPLIT(C928,"" "")"),"Billingsley,")</f>
        <v>Billingsley,</v>
      </c>
      <c r="E928" s="22" t="str">
        <f>IFERROR(__xludf.DUMMYFUNCTION("""COMPUTED_VALUE"""),"Lindsay
5369")</f>
        <v>Lindsay
5369</v>
      </c>
      <c r="F928" s="22" t="str">
        <f>IFERROR(__xludf.DUMMYFUNCTION("""COMPUTED_VALUE"""),"Nakoma")</f>
        <v>Nakoma</v>
      </c>
      <c r="G928" s="22" t="str">
        <f>IFERROR(__xludf.DUMMYFUNCTION("""COMPUTED_VALUE"""),"Dr
Dallas,")</f>
        <v>Dr
Dallas,</v>
      </c>
      <c r="H928" s="22" t="str">
        <f>IFERROR(__xludf.DUMMYFUNCTION("""COMPUTED_VALUE"""),"TX")</f>
        <v>TX</v>
      </c>
      <c r="I928" s="22">
        <f>IFERROR(__xludf.DUMMYFUNCTION("""COMPUTED_VALUE"""),75209.0)</f>
        <v>75209</v>
      </c>
      <c r="J928" s="22"/>
      <c r="K928" s="22"/>
      <c r="L928" s="22"/>
      <c r="M928" s="22"/>
      <c r="N928" s="22"/>
      <c r="O928" s="22"/>
      <c r="P928" s="22"/>
      <c r="Q928" s="22"/>
      <c r="R928" s="22"/>
      <c r="S928" s="22"/>
      <c r="T928" s="22"/>
      <c r="U928" s="24" t="str">
        <f>IFERROR(__xludf.DUMMYFUNCTION("SPLIT(E928,""01234567890"")"),"Lindsay
")</f>
        <v>Lindsay
</v>
      </c>
      <c r="V928" s="24" t="str">
        <f>IFERROR(__xludf.DUMMYFUNCTION("SPLIT(D928,"","")"),"Billingsley")</f>
        <v>Billingsley</v>
      </c>
      <c r="W928" s="25" t="str">
        <f t="shared" si="1"/>
        <v>LINDSAY
 BILLINGSLEY</v>
      </c>
      <c r="X928" s="22"/>
      <c r="Y928" s="22"/>
      <c r="Z928" s="25" t="str">
        <f>IFERROR(__xludf.DUMMYFUNCTION("SPLIT(C928,""
"")"),"Billingsley, Lindsay")</f>
        <v>Billingsley, Lindsay</v>
      </c>
      <c r="AA928" s="22" t="str">
        <f>IFERROR(__xludf.DUMMYFUNCTION("""COMPUTED_VALUE"""),"5369 Nakoma Dr")</f>
        <v>5369 Nakoma Dr</v>
      </c>
      <c r="AB928" s="22" t="str">
        <f>IFERROR(__xludf.DUMMYFUNCTION("""COMPUTED_VALUE"""),"Dallas, TX 75209")</f>
        <v>Dallas, TX 75209</v>
      </c>
      <c r="AC928" s="31" t="s">
        <v>422</v>
      </c>
      <c r="AD928" s="22"/>
      <c r="AE928" s="22"/>
      <c r="AF928" s="22"/>
      <c r="AG928" s="22" t="s">
        <v>60</v>
      </c>
      <c r="AH928" s="54">
        <v>2481.0</v>
      </c>
      <c r="AI928" s="22" t="s">
        <v>68</v>
      </c>
      <c r="AJ928" s="27">
        <v>2500.0</v>
      </c>
      <c r="AK928" s="31" t="s">
        <v>25</v>
      </c>
      <c r="AL928" s="28">
        <v>44838.0</v>
      </c>
      <c r="AM928" s="29">
        <v>44937.81995370371</v>
      </c>
      <c r="AN928" s="30">
        <v>2.0</v>
      </c>
      <c r="AO928" s="22"/>
      <c r="AP928" s="22"/>
      <c r="AQ928" s="22"/>
      <c r="AR928" s="22"/>
      <c r="AS928" s="22"/>
      <c r="AT928" s="70"/>
      <c r="AU928" s="22"/>
      <c r="AV928" s="57" t="str">
        <f>IFERROR(__xludf.DUMMYFUNCTION("""COMPUTED_VALUE"""),"Nedler")</f>
        <v>Nedler</v>
      </c>
      <c r="AW928" s="46">
        <f t="shared" si="7"/>
        <v>500</v>
      </c>
      <c r="AX928" s="47">
        <f t="shared" ref="AX928:BQ928" si="2895">SUMIFS($AJ:$AJ,$V:$V,$AV928,$AK:$AK,AX$2)</f>
        <v>0</v>
      </c>
      <c r="AY928" s="48">
        <f t="shared" si="2895"/>
        <v>0</v>
      </c>
      <c r="AZ928" s="48">
        <f t="shared" si="2895"/>
        <v>0</v>
      </c>
      <c r="BA928" s="48">
        <f t="shared" si="2895"/>
        <v>0</v>
      </c>
      <c r="BB928" s="48">
        <f t="shared" si="2895"/>
        <v>0</v>
      </c>
      <c r="BC928" s="48">
        <f t="shared" si="2895"/>
        <v>0</v>
      </c>
      <c r="BD928" s="48">
        <f t="shared" si="2895"/>
        <v>500</v>
      </c>
      <c r="BE928" s="48">
        <f t="shared" si="2895"/>
        <v>0</v>
      </c>
      <c r="BF928" s="48">
        <f t="shared" si="2895"/>
        <v>0</v>
      </c>
      <c r="BG928" s="48">
        <f t="shared" si="2895"/>
        <v>0</v>
      </c>
      <c r="BH928" s="48">
        <f t="shared" si="2895"/>
        <v>0</v>
      </c>
      <c r="BI928" s="48">
        <f t="shared" si="2895"/>
        <v>0</v>
      </c>
      <c r="BJ928" s="48">
        <f t="shared" si="2895"/>
        <v>0</v>
      </c>
      <c r="BK928" s="48">
        <f t="shared" si="2895"/>
        <v>0</v>
      </c>
      <c r="BL928" s="48">
        <f t="shared" si="2895"/>
        <v>0</v>
      </c>
      <c r="BM928" s="48">
        <f t="shared" si="2895"/>
        <v>0</v>
      </c>
      <c r="BN928" s="48">
        <f t="shared" si="2895"/>
        <v>0</v>
      </c>
      <c r="BO928" s="48">
        <f t="shared" si="2895"/>
        <v>0</v>
      </c>
      <c r="BP928" s="48">
        <f t="shared" si="2895"/>
        <v>0</v>
      </c>
      <c r="BQ928" s="48">
        <f t="shared" si="2895"/>
        <v>0</v>
      </c>
      <c r="BR928" s="36">
        <f t="shared" si="9"/>
        <v>0</v>
      </c>
      <c r="BS928" s="38">
        <f t="shared" si="10"/>
        <v>1</v>
      </c>
      <c r="BT928" s="49">
        <f t="shared" si="11"/>
        <v>0</v>
      </c>
      <c r="BU928" s="38">
        <f t="shared" si="12"/>
        <v>1000</v>
      </c>
      <c r="BV928" s="57" t="str">
        <f>IFERROR(__xludf.DUMMYFUNCTION("""COMPUTED_VALUE"""),"Nedler")</f>
        <v>Nedler</v>
      </c>
      <c r="BW928" s="46">
        <f t="shared" si="13"/>
        <v>500</v>
      </c>
      <c r="BX928" s="47">
        <f t="shared" ref="BX928:CA928" si="2896">AX928-$BU928</f>
        <v>-1000</v>
      </c>
      <c r="BY928" s="47">
        <f t="shared" si="2896"/>
        <v>-1000</v>
      </c>
      <c r="BZ928" s="47">
        <f t="shared" si="2896"/>
        <v>-1000</v>
      </c>
      <c r="CA928" s="47">
        <f t="shared" si="2896"/>
        <v>-1000</v>
      </c>
      <c r="CB928" s="47">
        <f t="shared" si="15"/>
        <v>-10000</v>
      </c>
      <c r="CC928" s="47">
        <f t="shared" ref="CC928:CQ928" si="2897">BC928-$BU928</f>
        <v>-1000</v>
      </c>
      <c r="CD928" s="47">
        <f t="shared" si="2897"/>
        <v>-500</v>
      </c>
      <c r="CE928" s="47">
        <f t="shared" si="2897"/>
        <v>-1000</v>
      </c>
      <c r="CF928" s="47">
        <f t="shared" si="2897"/>
        <v>-1000</v>
      </c>
      <c r="CG928" s="47">
        <f t="shared" si="2897"/>
        <v>-1000</v>
      </c>
      <c r="CH928" s="47">
        <f t="shared" si="2897"/>
        <v>-1000</v>
      </c>
      <c r="CI928" s="47">
        <f t="shared" si="2897"/>
        <v>-1000</v>
      </c>
      <c r="CJ928" s="47">
        <f t="shared" si="2897"/>
        <v>-1000</v>
      </c>
      <c r="CK928" s="47">
        <f t="shared" si="2897"/>
        <v>-1000</v>
      </c>
      <c r="CL928" s="47">
        <f t="shared" si="2897"/>
        <v>-1000</v>
      </c>
      <c r="CM928" s="47">
        <f t="shared" si="2897"/>
        <v>-1000</v>
      </c>
      <c r="CN928" s="47">
        <f t="shared" si="2897"/>
        <v>-1000</v>
      </c>
      <c r="CO928" s="47">
        <f t="shared" si="2897"/>
        <v>-1000</v>
      </c>
      <c r="CP928" s="47">
        <f t="shared" si="2897"/>
        <v>-1000</v>
      </c>
      <c r="CQ928" s="47">
        <f t="shared" si="2897"/>
        <v>-1000</v>
      </c>
      <c r="CR928" s="47"/>
      <c r="CS928" s="47"/>
      <c r="CT928" s="47"/>
      <c r="CU928" s="74"/>
      <c r="CV928" s="74"/>
      <c r="CW928" s="74" t="str">
        <f>IFERROR(__xludf.DUMMYFUNCTION("IF(REGEXMATCH(UPPER(CU928), ""DALLAS""),,CU928)"),"")</f>
        <v/>
      </c>
      <c r="CX928" s="74"/>
      <c r="CY928" s="74"/>
      <c r="CZ928" s="74"/>
      <c r="DA928" s="75"/>
      <c r="DB928" s="74"/>
      <c r="DC928" s="74"/>
      <c r="DD928" s="74"/>
      <c r="DE928" s="74"/>
      <c r="DF928" s="74"/>
      <c r="DG928" s="74"/>
      <c r="DH928" s="74"/>
      <c r="DI928" s="74"/>
      <c r="DJ928" s="74"/>
      <c r="DK928" s="74"/>
      <c r="DL928" s="74"/>
      <c r="DM928" s="74"/>
      <c r="DN928" s="74"/>
      <c r="DO928" s="74"/>
      <c r="DP928" s="74"/>
      <c r="DQ928" s="74"/>
      <c r="DR928" s="74"/>
      <c r="DS928" s="74"/>
      <c r="DT928" s="74"/>
      <c r="DU928" s="74"/>
      <c r="DV928" s="74"/>
      <c r="DW928" s="74"/>
    </row>
    <row r="929">
      <c r="A929" s="40" t="s">
        <v>55</v>
      </c>
      <c r="B929" s="41" t="s">
        <v>56</v>
      </c>
      <c r="C929" s="31" t="s">
        <v>2243</v>
      </c>
      <c r="D929" s="25" t="str">
        <f>IFERROR(__xludf.DUMMYFUNCTION("SPLIT(C929,"" "")"),"Taylor,")</f>
        <v>Taylor,</v>
      </c>
      <c r="E929" s="40" t="str">
        <f>IFERROR(__xludf.DUMMYFUNCTION("""COMPUTED_VALUE"""),"Sharain
2105")</f>
        <v>Sharain
2105</v>
      </c>
      <c r="F929" s="40" t="str">
        <f>IFERROR(__xludf.DUMMYFUNCTION("""COMPUTED_VALUE"""),"Kessler")</f>
        <v>Kessler</v>
      </c>
      <c r="G929" s="40" t="str">
        <f>IFERROR(__xludf.DUMMYFUNCTION("""COMPUTED_VALUE"""),"Court
Dallas,")</f>
        <v>Court
Dallas,</v>
      </c>
      <c r="H929" s="40" t="str">
        <f>IFERROR(__xludf.DUMMYFUNCTION("""COMPUTED_VALUE"""),"TX")</f>
        <v>TX</v>
      </c>
      <c r="I929" s="40">
        <f>IFERROR(__xludf.DUMMYFUNCTION("""COMPUTED_VALUE"""),75208.0)</f>
        <v>75208</v>
      </c>
      <c r="J929" s="40"/>
      <c r="K929" s="40"/>
      <c r="L929" s="40"/>
      <c r="M929" s="40"/>
      <c r="N929" s="40"/>
      <c r="O929" s="40"/>
      <c r="P929" s="40"/>
      <c r="Q929" s="40"/>
      <c r="R929" s="40"/>
      <c r="S929" s="40"/>
      <c r="T929" s="40"/>
      <c r="U929" s="24" t="str">
        <f>IFERROR(__xludf.DUMMYFUNCTION("SPLIT(E929,""01234567890"")"),"Sharain
")</f>
        <v>Sharain
</v>
      </c>
      <c r="V929" s="24" t="str">
        <f>IFERROR(__xludf.DUMMYFUNCTION("SPLIT(D929,"","")"),"Taylor")</f>
        <v>Taylor</v>
      </c>
      <c r="W929" s="25" t="str">
        <f t="shared" si="1"/>
        <v>SHARAIN
 TAYLOR</v>
      </c>
      <c r="X929" s="40"/>
      <c r="Y929" s="40"/>
      <c r="Z929" s="25" t="str">
        <f>IFERROR(__xludf.DUMMYFUNCTION("SPLIT(C929,""
"")"),"Taylor, Sharain")</f>
        <v>Taylor, Sharain</v>
      </c>
      <c r="AA929" s="40" t="str">
        <f>IFERROR(__xludf.DUMMYFUNCTION("""COMPUTED_VALUE"""),"2105 Kessler Court")</f>
        <v>2105 Kessler Court</v>
      </c>
      <c r="AB929" s="40" t="str">
        <f>IFERROR(__xludf.DUMMYFUNCTION("""COMPUTED_VALUE"""),"Dallas, TX 75208")</f>
        <v>Dallas, TX 75208</v>
      </c>
      <c r="AC929" s="31" t="s">
        <v>2244</v>
      </c>
      <c r="AD929" s="40"/>
      <c r="AE929" s="40"/>
      <c r="AF929" s="40"/>
      <c r="AG929" s="40" t="s">
        <v>60</v>
      </c>
      <c r="AH929" s="42">
        <v>2481.0</v>
      </c>
      <c r="AI929" s="40" t="s">
        <v>68</v>
      </c>
      <c r="AJ929" s="27">
        <v>50.0</v>
      </c>
      <c r="AK929" s="31" t="s">
        <v>25</v>
      </c>
      <c r="AL929" s="43">
        <v>44838.0</v>
      </c>
      <c r="AM929" s="44">
        <v>44937.81995370371</v>
      </c>
      <c r="AN929" s="30">
        <v>2.0</v>
      </c>
      <c r="AO929" s="40"/>
      <c r="AP929" s="40"/>
      <c r="AQ929" s="40"/>
      <c r="AR929" s="40"/>
      <c r="AS929" s="40"/>
      <c r="AT929" s="47"/>
      <c r="AU929" s="40"/>
      <c r="AV929" s="46" t="str">
        <f>IFERROR(__xludf.DUMMYFUNCTION("""COMPUTED_VALUE"""),"Medrano")</f>
        <v>Medrano</v>
      </c>
      <c r="AW929" s="46">
        <f t="shared" si="7"/>
        <v>500</v>
      </c>
      <c r="AX929" s="47">
        <f t="shared" ref="AX929:BQ929" si="2898">SUMIFS($AJ:$AJ,$V:$V,$AV929,$AK:$AK,AX$2)</f>
        <v>0</v>
      </c>
      <c r="AY929" s="48">
        <f t="shared" si="2898"/>
        <v>0</v>
      </c>
      <c r="AZ929" s="48">
        <f t="shared" si="2898"/>
        <v>0</v>
      </c>
      <c r="BA929" s="48">
        <f t="shared" si="2898"/>
        <v>0</v>
      </c>
      <c r="BB929" s="48">
        <f t="shared" si="2898"/>
        <v>0</v>
      </c>
      <c r="BC929" s="48">
        <f t="shared" si="2898"/>
        <v>0</v>
      </c>
      <c r="BD929" s="48">
        <f t="shared" si="2898"/>
        <v>500</v>
      </c>
      <c r="BE929" s="48">
        <f t="shared" si="2898"/>
        <v>0</v>
      </c>
      <c r="BF929" s="48">
        <f t="shared" si="2898"/>
        <v>0</v>
      </c>
      <c r="BG929" s="48">
        <f t="shared" si="2898"/>
        <v>0</v>
      </c>
      <c r="BH929" s="48">
        <f t="shared" si="2898"/>
        <v>0</v>
      </c>
      <c r="BI929" s="48">
        <f t="shared" si="2898"/>
        <v>0</v>
      </c>
      <c r="BJ929" s="48">
        <f t="shared" si="2898"/>
        <v>0</v>
      </c>
      <c r="BK929" s="48">
        <f t="shared" si="2898"/>
        <v>0</v>
      </c>
      <c r="BL929" s="48">
        <f t="shared" si="2898"/>
        <v>0</v>
      </c>
      <c r="BM929" s="48">
        <f t="shared" si="2898"/>
        <v>0</v>
      </c>
      <c r="BN929" s="48">
        <f t="shared" si="2898"/>
        <v>0</v>
      </c>
      <c r="BO929" s="48">
        <f t="shared" si="2898"/>
        <v>0</v>
      </c>
      <c r="BP929" s="48">
        <f t="shared" si="2898"/>
        <v>0</v>
      </c>
      <c r="BQ929" s="48">
        <f t="shared" si="2898"/>
        <v>0</v>
      </c>
      <c r="BR929" s="36">
        <f t="shared" si="9"/>
        <v>0</v>
      </c>
      <c r="BS929" s="38">
        <f t="shared" si="10"/>
        <v>1</v>
      </c>
      <c r="BT929" s="49">
        <f t="shared" si="11"/>
        <v>0</v>
      </c>
      <c r="BU929" s="38">
        <f t="shared" si="12"/>
        <v>1000</v>
      </c>
      <c r="BV929" s="46" t="str">
        <f>IFERROR(__xludf.DUMMYFUNCTION("""COMPUTED_VALUE"""),"Medrano")</f>
        <v>Medrano</v>
      </c>
      <c r="BW929" s="46">
        <f t="shared" si="13"/>
        <v>500</v>
      </c>
      <c r="BX929" s="47">
        <f t="shared" ref="BX929:CA929" si="2899">AX929-$BU929</f>
        <v>-1000</v>
      </c>
      <c r="BY929" s="47">
        <f t="shared" si="2899"/>
        <v>-1000</v>
      </c>
      <c r="BZ929" s="47">
        <f t="shared" si="2899"/>
        <v>-1000</v>
      </c>
      <c r="CA929" s="47">
        <f t="shared" si="2899"/>
        <v>-1000</v>
      </c>
      <c r="CB929" s="47">
        <f t="shared" si="15"/>
        <v>-10000</v>
      </c>
      <c r="CC929" s="47">
        <f t="shared" ref="CC929:CQ929" si="2900">BC929-$BU929</f>
        <v>-1000</v>
      </c>
      <c r="CD929" s="47">
        <f t="shared" si="2900"/>
        <v>-500</v>
      </c>
      <c r="CE929" s="47">
        <f t="shared" si="2900"/>
        <v>-1000</v>
      </c>
      <c r="CF929" s="47">
        <f t="shared" si="2900"/>
        <v>-1000</v>
      </c>
      <c r="CG929" s="47">
        <f t="shared" si="2900"/>
        <v>-1000</v>
      </c>
      <c r="CH929" s="47">
        <f t="shared" si="2900"/>
        <v>-1000</v>
      </c>
      <c r="CI929" s="47">
        <f t="shared" si="2900"/>
        <v>-1000</v>
      </c>
      <c r="CJ929" s="47">
        <f t="shared" si="2900"/>
        <v>-1000</v>
      </c>
      <c r="CK929" s="47">
        <f t="shared" si="2900"/>
        <v>-1000</v>
      </c>
      <c r="CL929" s="47">
        <f t="shared" si="2900"/>
        <v>-1000</v>
      </c>
      <c r="CM929" s="47">
        <f t="shared" si="2900"/>
        <v>-1000</v>
      </c>
      <c r="CN929" s="47">
        <f t="shared" si="2900"/>
        <v>-1000</v>
      </c>
      <c r="CO929" s="47">
        <f t="shared" si="2900"/>
        <v>-1000</v>
      </c>
      <c r="CP929" s="47">
        <f t="shared" si="2900"/>
        <v>-1000</v>
      </c>
      <c r="CQ929" s="47">
        <f t="shared" si="2900"/>
        <v>-1000</v>
      </c>
      <c r="CR929" s="47"/>
      <c r="CS929" s="47"/>
      <c r="CT929" s="47"/>
      <c r="CU929" s="74"/>
      <c r="CV929" s="74"/>
      <c r="CW929" s="74" t="str">
        <f>IFERROR(__xludf.DUMMYFUNCTION("IF(REGEXMATCH(UPPER(CU929), ""DALLAS""),,CU929)"),"")</f>
        <v/>
      </c>
      <c r="CX929" s="74"/>
      <c r="CY929" s="74"/>
      <c r="CZ929" s="74"/>
      <c r="DA929" s="75"/>
      <c r="DB929" s="74"/>
      <c r="DC929" s="74"/>
      <c r="DD929" s="74"/>
      <c r="DE929" s="74"/>
      <c r="DF929" s="74"/>
      <c r="DG929" s="74"/>
      <c r="DH929" s="74"/>
      <c r="DI929" s="74"/>
      <c r="DJ929" s="74"/>
      <c r="DK929" s="74"/>
      <c r="DL929" s="74"/>
      <c r="DM929" s="74"/>
      <c r="DN929" s="74"/>
      <c r="DO929" s="74"/>
      <c r="DP929" s="74"/>
      <c r="DQ929" s="74"/>
      <c r="DR929" s="74"/>
      <c r="DS929" s="74"/>
      <c r="DT929" s="74"/>
      <c r="DU929" s="74"/>
      <c r="DV929" s="74"/>
      <c r="DW929" s="74"/>
    </row>
    <row r="930">
      <c r="A930" s="22" t="s">
        <v>55</v>
      </c>
      <c r="B930" s="23" t="s">
        <v>56</v>
      </c>
      <c r="C930" s="31" t="s">
        <v>2245</v>
      </c>
      <c r="D930" s="25" t="str">
        <f>IFERROR(__xludf.DUMMYFUNCTION("SPLIT(C930,"" "")"),"Egan,")</f>
        <v>Egan,</v>
      </c>
      <c r="E930" s="22" t="str">
        <f>IFERROR(__xludf.DUMMYFUNCTION("""COMPUTED_VALUE"""),"Danielle
4512")</f>
        <v>Danielle
4512</v>
      </c>
      <c r="F930" s="22" t="str">
        <f>IFERROR(__xludf.DUMMYFUNCTION("""COMPUTED_VALUE"""),"Belclaire")</f>
        <v>Belclaire</v>
      </c>
      <c r="G930" s="22" t="str">
        <f>IFERROR(__xludf.DUMMYFUNCTION("""COMPUTED_VALUE"""),"Ave
Dallas,")</f>
        <v>Ave
Dallas,</v>
      </c>
      <c r="H930" s="22" t="str">
        <f>IFERROR(__xludf.DUMMYFUNCTION("""COMPUTED_VALUE"""),"TX")</f>
        <v>TX</v>
      </c>
      <c r="I930" s="22">
        <f>IFERROR(__xludf.DUMMYFUNCTION("""COMPUTED_VALUE"""),75205.0)</f>
        <v>75205</v>
      </c>
      <c r="J930" s="22"/>
      <c r="K930" s="22"/>
      <c r="L930" s="22"/>
      <c r="M930" s="22"/>
      <c r="N930" s="22"/>
      <c r="O930" s="22"/>
      <c r="P930" s="22"/>
      <c r="Q930" s="22"/>
      <c r="R930" s="22"/>
      <c r="S930" s="22"/>
      <c r="T930" s="22"/>
      <c r="U930" s="24" t="str">
        <f>IFERROR(__xludf.DUMMYFUNCTION("SPLIT(E930,""01234567890"")"),"Danielle
")</f>
        <v>Danielle
</v>
      </c>
      <c r="V930" s="24" t="str">
        <f>IFERROR(__xludf.DUMMYFUNCTION("SPLIT(D930,"","")"),"Egan")</f>
        <v>Egan</v>
      </c>
      <c r="W930" s="25" t="str">
        <f t="shared" si="1"/>
        <v>DANIELLE
 EGAN</v>
      </c>
      <c r="X930" s="22"/>
      <c r="Y930" s="22"/>
      <c r="Z930" s="25" t="str">
        <f>IFERROR(__xludf.DUMMYFUNCTION("SPLIT(C930,""
"")"),"Egan, Danielle")</f>
        <v>Egan, Danielle</v>
      </c>
      <c r="AA930" s="22" t="str">
        <f>IFERROR(__xludf.DUMMYFUNCTION("""COMPUTED_VALUE"""),"4512 Belclaire Ave")</f>
        <v>4512 Belclaire Ave</v>
      </c>
      <c r="AB930" s="22" t="str">
        <f>IFERROR(__xludf.DUMMYFUNCTION("""COMPUTED_VALUE"""),"Dallas, TX 75205")</f>
        <v>Dallas, TX 75205</v>
      </c>
      <c r="AC930" s="31" t="s">
        <v>2246</v>
      </c>
      <c r="AD930" s="22"/>
      <c r="AE930" s="22"/>
      <c r="AF930" s="22"/>
      <c r="AG930" s="22" t="s">
        <v>60</v>
      </c>
      <c r="AH930" s="54">
        <v>2481.0</v>
      </c>
      <c r="AI930" s="22" t="s">
        <v>68</v>
      </c>
      <c r="AJ930" s="27">
        <v>200.0</v>
      </c>
      <c r="AK930" s="31" t="s">
        <v>25</v>
      </c>
      <c r="AL930" s="28">
        <v>44838.0</v>
      </c>
      <c r="AM930" s="29">
        <v>44937.81995370371</v>
      </c>
      <c r="AN930" s="30">
        <v>2.0</v>
      </c>
      <c r="AO930" s="22"/>
      <c r="AP930" s="22"/>
      <c r="AQ930" s="22"/>
      <c r="AR930" s="22"/>
      <c r="AS930" s="22"/>
      <c r="AT930" s="70"/>
      <c r="AU930" s="22"/>
      <c r="AV930" s="57" t="str">
        <f>IFERROR(__xludf.DUMMYFUNCTION("""COMPUTED_VALUE"""),"Eharhardt")</f>
        <v>Eharhardt</v>
      </c>
      <c r="AW930" s="46">
        <f t="shared" si="7"/>
        <v>25</v>
      </c>
      <c r="AX930" s="47">
        <f t="shared" ref="AX930:BQ930" si="2901">SUMIFS($AJ:$AJ,$V:$V,$AV930,$AK:$AK,AX$2)</f>
        <v>0</v>
      </c>
      <c r="AY930" s="48">
        <f t="shared" si="2901"/>
        <v>0</v>
      </c>
      <c r="AZ930" s="48">
        <f t="shared" si="2901"/>
        <v>0</v>
      </c>
      <c r="BA930" s="48">
        <f t="shared" si="2901"/>
        <v>0</v>
      </c>
      <c r="BB930" s="48">
        <f t="shared" si="2901"/>
        <v>0</v>
      </c>
      <c r="BC930" s="48">
        <f t="shared" si="2901"/>
        <v>0</v>
      </c>
      <c r="BD930" s="48">
        <f t="shared" si="2901"/>
        <v>25</v>
      </c>
      <c r="BE930" s="48">
        <f t="shared" si="2901"/>
        <v>0</v>
      </c>
      <c r="BF930" s="48">
        <f t="shared" si="2901"/>
        <v>0</v>
      </c>
      <c r="BG930" s="48">
        <f t="shared" si="2901"/>
        <v>0</v>
      </c>
      <c r="BH930" s="48">
        <f t="shared" si="2901"/>
        <v>0</v>
      </c>
      <c r="BI930" s="48">
        <f t="shared" si="2901"/>
        <v>0</v>
      </c>
      <c r="BJ930" s="48">
        <f t="shared" si="2901"/>
        <v>0</v>
      </c>
      <c r="BK930" s="48">
        <f t="shared" si="2901"/>
        <v>0</v>
      </c>
      <c r="BL930" s="48">
        <f t="shared" si="2901"/>
        <v>0</v>
      </c>
      <c r="BM930" s="48">
        <f t="shared" si="2901"/>
        <v>0</v>
      </c>
      <c r="BN930" s="48">
        <f t="shared" si="2901"/>
        <v>0</v>
      </c>
      <c r="BO930" s="48">
        <f t="shared" si="2901"/>
        <v>0</v>
      </c>
      <c r="BP930" s="48">
        <f t="shared" si="2901"/>
        <v>0</v>
      </c>
      <c r="BQ930" s="48">
        <f t="shared" si="2901"/>
        <v>0</v>
      </c>
      <c r="BR930" s="36">
        <f t="shared" si="9"/>
        <v>0</v>
      </c>
      <c r="BS930" s="38">
        <f t="shared" si="10"/>
        <v>1</v>
      </c>
      <c r="BT930" s="49">
        <f t="shared" si="11"/>
        <v>0</v>
      </c>
      <c r="BU930" s="38">
        <f t="shared" si="12"/>
        <v>1000</v>
      </c>
      <c r="BV930" s="57" t="str">
        <f>IFERROR(__xludf.DUMMYFUNCTION("""COMPUTED_VALUE"""),"Eharhardt")</f>
        <v>Eharhardt</v>
      </c>
      <c r="BW930" s="46">
        <f t="shared" si="13"/>
        <v>25</v>
      </c>
      <c r="BX930" s="47">
        <f t="shared" ref="BX930:CA930" si="2902">AX930-$BU930</f>
        <v>-1000</v>
      </c>
      <c r="BY930" s="47">
        <f t="shared" si="2902"/>
        <v>-1000</v>
      </c>
      <c r="BZ930" s="47">
        <f t="shared" si="2902"/>
        <v>-1000</v>
      </c>
      <c r="CA930" s="47">
        <f t="shared" si="2902"/>
        <v>-1000</v>
      </c>
      <c r="CB930" s="47">
        <f t="shared" si="15"/>
        <v>-10000</v>
      </c>
      <c r="CC930" s="47">
        <f t="shared" ref="CC930:CQ930" si="2903">BC930-$BU930</f>
        <v>-1000</v>
      </c>
      <c r="CD930" s="47">
        <f t="shared" si="2903"/>
        <v>-975</v>
      </c>
      <c r="CE930" s="47">
        <f t="shared" si="2903"/>
        <v>-1000</v>
      </c>
      <c r="CF930" s="47">
        <f t="shared" si="2903"/>
        <v>-1000</v>
      </c>
      <c r="CG930" s="47">
        <f t="shared" si="2903"/>
        <v>-1000</v>
      </c>
      <c r="CH930" s="47">
        <f t="shared" si="2903"/>
        <v>-1000</v>
      </c>
      <c r="CI930" s="47">
        <f t="shared" si="2903"/>
        <v>-1000</v>
      </c>
      <c r="CJ930" s="47">
        <f t="shared" si="2903"/>
        <v>-1000</v>
      </c>
      <c r="CK930" s="47">
        <f t="shared" si="2903"/>
        <v>-1000</v>
      </c>
      <c r="CL930" s="47">
        <f t="shared" si="2903"/>
        <v>-1000</v>
      </c>
      <c r="CM930" s="47">
        <f t="shared" si="2903"/>
        <v>-1000</v>
      </c>
      <c r="CN930" s="47">
        <f t="shared" si="2903"/>
        <v>-1000</v>
      </c>
      <c r="CO930" s="47">
        <f t="shared" si="2903"/>
        <v>-1000</v>
      </c>
      <c r="CP930" s="47">
        <f t="shared" si="2903"/>
        <v>-1000</v>
      </c>
      <c r="CQ930" s="47">
        <f t="shared" si="2903"/>
        <v>-1000</v>
      </c>
      <c r="CR930" s="47"/>
      <c r="CS930" s="47"/>
      <c r="CT930" s="47"/>
      <c r="CU930" s="74"/>
      <c r="CV930" s="74"/>
      <c r="CW930" s="74" t="str">
        <f>IFERROR(__xludf.DUMMYFUNCTION("IF(REGEXMATCH(UPPER(CU930), ""DALLAS""),,CU930)"),"")</f>
        <v/>
      </c>
      <c r="CX930" s="74"/>
      <c r="CY930" s="74"/>
      <c r="CZ930" s="74"/>
      <c r="DA930" s="75"/>
      <c r="DB930" s="74"/>
      <c r="DC930" s="74"/>
      <c r="DD930" s="74"/>
      <c r="DE930" s="74"/>
      <c r="DF930" s="74"/>
      <c r="DG930" s="74"/>
      <c r="DH930" s="74"/>
      <c r="DI930" s="74"/>
      <c r="DJ930" s="74"/>
      <c r="DK930" s="74"/>
      <c r="DL930" s="74"/>
      <c r="DM930" s="74"/>
      <c r="DN930" s="74"/>
      <c r="DO930" s="74"/>
      <c r="DP930" s="74"/>
      <c r="DQ930" s="74"/>
      <c r="DR930" s="74"/>
      <c r="DS930" s="74"/>
      <c r="DT930" s="74"/>
      <c r="DU930" s="74"/>
      <c r="DV930" s="74"/>
      <c r="DW930" s="74"/>
    </row>
    <row r="931">
      <c r="A931" s="40" t="s">
        <v>55</v>
      </c>
      <c r="B931" s="41" t="s">
        <v>56</v>
      </c>
      <c r="C931" s="31" t="s">
        <v>1017</v>
      </c>
      <c r="D931" s="25" t="str">
        <f>IFERROR(__xludf.DUMMYFUNCTION("SPLIT(C931,"" "")"),"English,")</f>
        <v>English,</v>
      </c>
      <c r="E931" s="40" t="str">
        <f>IFERROR(__xludf.DUMMYFUNCTION("""COMPUTED_VALUE"""),"Charles
PO")</f>
        <v>Charles
PO</v>
      </c>
      <c r="F931" s="40" t="str">
        <f>IFERROR(__xludf.DUMMYFUNCTION("""COMPUTED_VALUE"""),"Box")</f>
        <v>Box</v>
      </c>
      <c r="G931" s="40" t="str">
        <f>IFERROR(__xludf.DUMMYFUNCTION("""COMPUTED_VALUE"""),"140189
Dallas,")</f>
        <v>140189
Dallas,</v>
      </c>
      <c r="H931" s="40" t="str">
        <f>IFERROR(__xludf.DUMMYFUNCTION("""COMPUTED_VALUE"""),"TX")</f>
        <v>TX</v>
      </c>
      <c r="I931" s="40">
        <f>IFERROR(__xludf.DUMMYFUNCTION("""COMPUTED_VALUE"""),75214.0)</f>
        <v>75214</v>
      </c>
      <c r="J931" s="40"/>
      <c r="K931" s="40"/>
      <c r="L931" s="40"/>
      <c r="M931" s="40"/>
      <c r="N931" s="40"/>
      <c r="O931" s="40"/>
      <c r="P931" s="40"/>
      <c r="Q931" s="40"/>
      <c r="R931" s="40"/>
      <c r="S931" s="40"/>
      <c r="T931" s="40"/>
      <c r="U931" s="24" t="str">
        <f>IFERROR(__xludf.DUMMYFUNCTION("SPLIT(E931,""01234567890"")"),"Charles
PO")</f>
        <v>Charles
PO</v>
      </c>
      <c r="V931" s="24" t="str">
        <f>IFERROR(__xludf.DUMMYFUNCTION("SPLIT(D931,"","")"),"English")</f>
        <v>English</v>
      </c>
      <c r="W931" s="25" t="str">
        <f t="shared" si="1"/>
        <v>CHARLES
PO ENGLISH</v>
      </c>
      <c r="X931" s="40"/>
      <c r="Y931" s="40"/>
      <c r="Z931" s="25" t="str">
        <f>IFERROR(__xludf.DUMMYFUNCTION("SPLIT(C931,""
"")"),"English, Charles")</f>
        <v>English, Charles</v>
      </c>
      <c r="AA931" s="40" t="str">
        <f>IFERROR(__xludf.DUMMYFUNCTION("""COMPUTED_VALUE"""),"PO Box 140189")</f>
        <v>PO Box 140189</v>
      </c>
      <c r="AB931" s="40" t="str">
        <f>IFERROR(__xludf.DUMMYFUNCTION("""COMPUTED_VALUE"""),"Dallas, TX 75214")</f>
        <v>Dallas, TX 75214</v>
      </c>
      <c r="AC931" s="31" t="s">
        <v>1019</v>
      </c>
      <c r="AD931" s="40"/>
      <c r="AE931" s="40"/>
      <c r="AF931" s="40"/>
      <c r="AG931" s="40" t="s">
        <v>60</v>
      </c>
      <c r="AH931" s="42">
        <v>2481.0</v>
      </c>
      <c r="AI931" s="40" t="s">
        <v>68</v>
      </c>
      <c r="AJ931" s="27">
        <v>100.0</v>
      </c>
      <c r="AK931" s="31" t="s">
        <v>25</v>
      </c>
      <c r="AL931" s="43">
        <v>44838.0</v>
      </c>
      <c r="AM931" s="44">
        <v>44937.81995370371</v>
      </c>
      <c r="AN931" s="30">
        <v>2.0</v>
      </c>
      <c r="AO931" s="40"/>
      <c r="AP931" s="40"/>
      <c r="AQ931" s="40"/>
      <c r="AR931" s="40"/>
      <c r="AS931" s="40"/>
      <c r="AT931" s="47"/>
      <c r="AU931" s="40"/>
      <c r="AV931" s="46" t="str">
        <f>IFERROR(__xludf.DUMMYFUNCTION("""COMPUTED_VALUE"""),"Morales")</f>
        <v>Morales</v>
      </c>
      <c r="AW931" s="46">
        <f t="shared" si="7"/>
        <v>1000</v>
      </c>
      <c r="AX931" s="47">
        <f t="shared" ref="AX931:BQ931" si="2904">SUMIFS($AJ:$AJ,$V:$V,$AV931,$AK:$AK,AX$2)</f>
        <v>0</v>
      </c>
      <c r="AY931" s="48">
        <f t="shared" si="2904"/>
        <v>0</v>
      </c>
      <c r="AZ931" s="48">
        <f t="shared" si="2904"/>
        <v>0</v>
      </c>
      <c r="BA931" s="48">
        <f t="shared" si="2904"/>
        <v>0</v>
      </c>
      <c r="BB931" s="48">
        <f t="shared" si="2904"/>
        <v>0</v>
      </c>
      <c r="BC931" s="48">
        <f t="shared" si="2904"/>
        <v>0</v>
      </c>
      <c r="BD931" s="48">
        <f t="shared" si="2904"/>
        <v>0</v>
      </c>
      <c r="BE931" s="48">
        <f t="shared" si="2904"/>
        <v>0</v>
      </c>
      <c r="BF931" s="48">
        <f t="shared" si="2904"/>
        <v>0</v>
      </c>
      <c r="BG931" s="48">
        <f t="shared" si="2904"/>
        <v>0</v>
      </c>
      <c r="BH931" s="48">
        <f t="shared" si="2904"/>
        <v>0</v>
      </c>
      <c r="BI931" s="48">
        <f t="shared" si="2904"/>
        <v>0</v>
      </c>
      <c r="BJ931" s="48">
        <f t="shared" si="2904"/>
        <v>0</v>
      </c>
      <c r="BK931" s="48">
        <f t="shared" si="2904"/>
        <v>0</v>
      </c>
      <c r="BL931" s="48">
        <f t="shared" si="2904"/>
        <v>0</v>
      </c>
      <c r="BM931" s="48">
        <f t="shared" si="2904"/>
        <v>0</v>
      </c>
      <c r="BN931" s="48">
        <f t="shared" si="2904"/>
        <v>1000</v>
      </c>
      <c r="BO931" s="48">
        <f t="shared" si="2904"/>
        <v>0</v>
      </c>
      <c r="BP931" s="48">
        <f t="shared" si="2904"/>
        <v>0</v>
      </c>
      <c r="BQ931" s="48">
        <f t="shared" si="2904"/>
        <v>0</v>
      </c>
      <c r="BR931" s="36">
        <f t="shared" si="9"/>
        <v>0</v>
      </c>
      <c r="BS931" s="38">
        <f t="shared" si="10"/>
        <v>1</v>
      </c>
      <c r="BT931" s="49">
        <f t="shared" si="11"/>
        <v>0</v>
      </c>
      <c r="BU931" s="38">
        <f t="shared" si="12"/>
        <v>1000</v>
      </c>
      <c r="BV931" s="46" t="str">
        <f>IFERROR(__xludf.DUMMYFUNCTION("""COMPUTED_VALUE"""),"Morales")</f>
        <v>Morales</v>
      </c>
      <c r="BW931" s="46">
        <f t="shared" si="13"/>
        <v>1000</v>
      </c>
      <c r="BX931" s="47">
        <f t="shared" ref="BX931:CA931" si="2905">AX931-$BU931</f>
        <v>-1000</v>
      </c>
      <c r="BY931" s="47">
        <f t="shared" si="2905"/>
        <v>-1000</v>
      </c>
      <c r="BZ931" s="47">
        <f t="shared" si="2905"/>
        <v>-1000</v>
      </c>
      <c r="CA931" s="47">
        <f t="shared" si="2905"/>
        <v>-1000</v>
      </c>
      <c r="CB931" s="47">
        <f t="shared" si="15"/>
        <v>-10000</v>
      </c>
      <c r="CC931" s="47">
        <f t="shared" ref="CC931:CQ931" si="2906">BC931-$BU931</f>
        <v>-1000</v>
      </c>
      <c r="CD931" s="47">
        <f t="shared" si="2906"/>
        <v>-1000</v>
      </c>
      <c r="CE931" s="47">
        <f t="shared" si="2906"/>
        <v>-1000</v>
      </c>
      <c r="CF931" s="47">
        <f t="shared" si="2906"/>
        <v>-1000</v>
      </c>
      <c r="CG931" s="47">
        <f t="shared" si="2906"/>
        <v>-1000</v>
      </c>
      <c r="CH931" s="47">
        <f t="shared" si="2906"/>
        <v>-1000</v>
      </c>
      <c r="CI931" s="47">
        <f t="shared" si="2906"/>
        <v>-1000</v>
      </c>
      <c r="CJ931" s="47">
        <f t="shared" si="2906"/>
        <v>-1000</v>
      </c>
      <c r="CK931" s="47">
        <f t="shared" si="2906"/>
        <v>-1000</v>
      </c>
      <c r="CL931" s="47">
        <f t="shared" si="2906"/>
        <v>-1000</v>
      </c>
      <c r="CM931" s="47">
        <f t="shared" si="2906"/>
        <v>-1000</v>
      </c>
      <c r="CN931" s="47">
        <f t="shared" si="2906"/>
        <v>0</v>
      </c>
      <c r="CO931" s="47">
        <f t="shared" si="2906"/>
        <v>-1000</v>
      </c>
      <c r="CP931" s="47">
        <f t="shared" si="2906"/>
        <v>-1000</v>
      </c>
      <c r="CQ931" s="47">
        <f t="shared" si="2906"/>
        <v>-1000</v>
      </c>
      <c r="CR931" s="47"/>
      <c r="CS931" s="47"/>
      <c r="CT931" s="47"/>
      <c r="CU931" s="74"/>
      <c r="CV931" s="74"/>
      <c r="CW931" s="74" t="str">
        <f>IFERROR(__xludf.DUMMYFUNCTION("IF(REGEXMATCH(UPPER(CU931), ""DALLAS""),,CU931)"),"")</f>
        <v/>
      </c>
      <c r="CX931" s="74"/>
      <c r="CY931" s="74"/>
      <c r="CZ931" s="74"/>
      <c r="DA931" s="75"/>
      <c r="DB931" s="74"/>
      <c r="DC931" s="74"/>
      <c r="DD931" s="74"/>
      <c r="DE931" s="74"/>
      <c r="DF931" s="74"/>
      <c r="DG931" s="74"/>
      <c r="DH931" s="74"/>
      <c r="DI931" s="74"/>
      <c r="DJ931" s="74"/>
      <c r="DK931" s="74"/>
      <c r="DL931" s="74"/>
      <c r="DM931" s="74"/>
      <c r="DN931" s="74"/>
      <c r="DO931" s="74"/>
      <c r="DP931" s="74"/>
      <c r="DQ931" s="74"/>
      <c r="DR931" s="74"/>
      <c r="DS931" s="74"/>
      <c r="DT931" s="74"/>
      <c r="DU931" s="74"/>
      <c r="DV931" s="74"/>
      <c r="DW931" s="74"/>
    </row>
    <row r="932">
      <c r="A932" s="22" t="s">
        <v>55</v>
      </c>
      <c r="B932" s="23" t="s">
        <v>56</v>
      </c>
      <c r="C932" s="31" t="s">
        <v>2247</v>
      </c>
      <c r="D932" s="25" t="str">
        <f>IFERROR(__xludf.DUMMYFUNCTION("SPLIT(C932,"" "")"),"Stewart,")</f>
        <v>Stewart,</v>
      </c>
      <c r="E932" s="22" t="str">
        <f>IFERROR(__xludf.DUMMYFUNCTION("""COMPUTED_VALUE"""),"Alecia
10616")</f>
        <v>Alecia
10616</v>
      </c>
      <c r="F932" s="22" t="str">
        <f>IFERROR(__xludf.DUMMYFUNCTION("""COMPUTED_VALUE"""),"Big")</f>
        <v>Big</v>
      </c>
      <c r="G932" s="22" t="str">
        <f>IFERROR(__xludf.DUMMYFUNCTION("""COMPUTED_VALUE"""),"Thicket")</f>
        <v>Thicket</v>
      </c>
      <c r="H932" s="22" t="str">
        <f>IFERROR(__xludf.DUMMYFUNCTION("""COMPUTED_VALUE"""),"Dr
Dallas,")</f>
        <v>Dr
Dallas,</v>
      </c>
      <c r="I932" s="22" t="str">
        <f>IFERROR(__xludf.DUMMYFUNCTION("""COMPUTED_VALUE"""),"TX")</f>
        <v>TX</v>
      </c>
      <c r="J932" s="22">
        <f>IFERROR(__xludf.DUMMYFUNCTION("""COMPUTED_VALUE"""),75217.0)</f>
        <v>75217</v>
      </c>
      <c r="K932" s="22"/>
      <c r="L932" s="22"/>
      <c r="M932" s="22"/>
      <c r="N932" s="22"/>
      <c r="O932" s="22"/>
      <c r="P932" s="22"/>
      <c r="Q932" s="22"/>
      <c r="R932" s="22"/>
      <c r="S932" s="22"/>
      <c r="T932" s="22"/>
      <c r="U932" s="24" t="str">
        <f>IFERROR(__xludf.DUMMYFUNCTION("SPLIT(E932,""01234567890"")"),"Alecia
")</f>
        <v>Alecia
</v>
      </c>
      <c r="V932" s="24" t="str">
        <f>IFERROR(__xludf.DUMMYFUNCTION("SPLIT(D932,"","")"),"Stewart")</f>
        <v>Stewart</v>
      </c>
      <c r="W932" s="25" t="str">
        <f t="shared" si="1"/>
        <v>ALECIA
 STEWART</v>
      </c>
      <c r="X932" s="22"/>
      <c r="Y932" s="22"/>
      <c r="Z932" s="25" t="str">
        <f>IFERROR(__xludf.DUMMYFUNCTION("SPLIT(C932,""
"")"),"Stewart, Alecia")</f>
        <v>Stewart, Alecia</v>
      </c>
      <c r="AA932" s="22" t="str">
        <f>IFERROR(__xludf.DUMMYFUNCTION("""COMPUTED_VALUE"""),"10616 Big Thicket Dr")</f>
        <v>10616 Big Thicket Dr</v>
      </c>
      <c r="AB932" s="22" t="str">
        <f>IFERROR(__xludf.DUMMYFUNCTION("""COMPUTED_VALUE"""),"Dallas, TX 75217")</f>
        <v>Dallas, TX 75217</v>
      </c>
      <c r="AC932" s="31" t="s">
        <v>2248</v>
      </c>
      <c r="AD932" s="22"/>
      <c r="AE932" s="22"/>
      <c r="AF932" s="22"/>
      <c r="AG932" s="22" t="s">
        <v>60</v>
      </c>
      <c r="AH932" s="54">
        <v>2481.0</v>
      </c>
      <c r="AI932" s="22" t="s">
        <v>68</v>
      </c>
      <c r="AJ932" s="27">
        <v>100.0</v>
      </c>
      <c r="AK932" s="31" t="s">
        <v>25</v>
      </c>
      <c r="AL932" s="28">
        <v>44838.0</v>
      </c>
      <c r="AM932" s="29">
        <v>44937.81995370371</v>
      </c>
      <c r="AN932" s="30">
        <v>2.0</v>
      </c>
      <c r="AO932" s="22"/>
      <c r="AP932" s="22"/>
      <c r="AQ932" s="22"/>
      <c r="AR932" s="22"/>
      <c r="AS932" s="22"/>
      <c r="AT932" s="70"/>
      <c r="AU932" s="22"/>
      <c r="AV932" s="57" t="str">
        <f>IFERROR(__xludf.DUMMYFUNCTION("""COMPUTED_VALUE"""),"Zavala")</f>
        <v>Zavala</v>
      </c>
      <c r="AW932" s="46">
        <f t="shared" si="7"/>
        <v>2000</v>
      </c>
      <c r="AX932" s="47">
        <f t="shared" ref="AX932:BQ932" si="2907">SUMIFS($AJ:$AJ,$V:$V,$AV932,$AK:$AK,AX$2)</f>
        <v>0</v>
      </c>
      <c r="AY932" s="48">
        <f t="shared" si="2907"/>
        <v>0</v>
      </c>
      <c r="AZ932" s="48">
        <f t="shared" si="2907"/>
        <v>0</v>
      </c>
      <c r="BA932" s="48">
        <f t="shared" si="2907"/>
        <v>0</v>
      </c>
      <c r="BB932" s="48">
        <f t="shared" si="2907"/>
        <v>0</v>
      </c>
      <c r="BC932" s="48">
        <f t="shared" si="2907"/>
        <v>0</v>
      </c>
      <c r="BD932" s="48">
        <f t="shared" si="2907"/>
        <v>0</v>
      </c>
      <c r="BE932" s="48">
        <f t="shared" si="2907"/>
        <v>0</v>
      </c>
      <c r="BF932" s="48">
        <f t="shared" si="2907"/>
        <v>0</v>
      </c>
      <c r="BG932" s="48">
        <f t="shared" si="2907"/>
        <v>0</v>
      </c>
      <c r="BH932" s="48">
        <f t="shared" si="2907"/>
        <v>0</v>
      </c>
      <c r="BI932" s="48">
        <f t="shared" si="2907"/>
        <v>0</v>
      </c>
      <c r="BJ932" s="48">
        <f t="shared" si="2907"/>
        <v>0</v>
      </c>
      <c r="BK932" s="48">
        <f t="shared" si="2907"/>
        <v>0</v>
      </c>
      <c r="BL932" s="48">
        <f t="shared" si="2907"/>
        <v>0</v>
      </c>
      <c r="BM932" s="48">
        <f t="shared" si="2907"/>
        <v>0</v>
      </c>
      <c r="BN932" s="48">
        <f t="shared" si="2907"/>
        <v>2000</v>
      </c>
      <c r="BO932" s="48">
        <f t="shared" si="2907"/>
        <v>0</v>
      </c>
      <c r="BP932" s="48">
        <f t="shared" si="2907"/>
        <v>0</v>
      </c>
      <c r="BQ932" s="48">
        <f t="shared" si="2907"/>
        <v>0</v>
      </c>
      <c r="BR932" s="36">
        <f t="shared" si="9"/>
        <v>0</v>
      </c>
      <c r="BS932" s="38">
        <f t="shared" si="10"/>
        <v>1</v>
      </c>
      <c r="BT932" s="49">
        <f t="shared" si="11"/>
        <v>0</v>
      </c>
      <c r="BU932" s="38">
        <f t="shared" si="12"/>
        <v>1000</v>
      </c>
      <c r="BV932" s="57" t="str">
        <f>IFERROR(__xludf.DUMMYFUNCTION("""COMPUTED_VALUE"""),"Zavala")</f>
        <v>Zavala</v>
      </c>
      <c r="BW932" s="46">
        <f t="shared" si="13"/>
        <v>2000</v>
      </c>
      <c r="BX932" s="47">
        <f t="shared" ref="BX932:CA932" si="2908">AX932-$BU932</f>
        <v>-1000</v>
      </c>
      <c r="BY932" s="47">
        <f t="shared" si="2908"/>
        <v>-1000</v>
      </c>
      <c r="BZ932" s="47">
        <f t="shared" si="2908"/>
        <v>-1000</v>
      </c>
      <c r="CA932" s="47">
        <f t="shared" si="2908"/>
        <v>-1000</v>
      </c>
      <c r="CB932" s="47">
        <f t="shared" si="15"/>
        <v>-10000</v>
      </c>
      <c r="CC932" s="47">
        <f t="shared" ref="CC932:CQ932" si="2909">BC932-$BU932</f>
        <v>-1000</v>
      </c>
      <c r="CD932" s="47">
        <f t="shared" si="2909"/>
        <v>-1000</v>
      </c>
      <c r="CE932" s="47">
        <f t="shared" si="2909"/>
        <v>-1000</v>
      </c>
      <c r="CF932" s="47">
        <f t="shared" si="2909"/>
        <v>-1000</v>
      </c>
      <c r="CG932" s="47">
        <f t="shared" si="2909"/>
        <v>-1000</v>
      </c>
      <c r="CH932" s="47">
        <f t="shared" si="2909"/>
        <v>-1000</v>
      </c>
      <c r="CI932" s="47">
        <f t="shared" si="2909"/>
        <v>-1000</v>
      </c>
      <c r="CJ932" s="47">
        <f t="shared" si="2909"/>
        <v>-1000</v>
      </c>
      <c r="CK932" s="47">
        <f t="shared" si="2909"/>
        <v>-1000</v>
      </c>
      <c r="CL932" s="47">
        <f t="shared" si="2909"/>
        <v>-1000</v>
      </c>
      <c r="CM932" s="47">
        <f t="shared" si="2909"/>
        <v>-1000</v>
      </c>
      <c r="CN932" s="47">
        <f t="shared" si="2909"/>
        <v>1000</v>
      </c>
      <c r="CO932" s="47">
        <f t="shared" si="2909"/>
        <v>-1000</v>
      </c>
      <c r="CP932" s="47">
        <f t="shared" si="2909"/>
        <v>-1000</v>
      </c>
      <c r="CQ932" s="47">
        <f t="shared" si="2909"/>
        <v>-1000</v>
      </c>
      <c r="CR932" s="47"/>
      <c r="CS932" s="47"/>
      <c r="CT932" s="47"/>
      <c r="CU932" s="74"/>
      <c r="CV932" s="74"/>
      <c r="CW932" s="74" t="str">
        <f>IFERROR(__xludf.DUMMYFUNCTION("IF(REGEXMATCH(UPPER(CU932), ""DALLAS""),,CU932)"),"")</f>
        <v/>
      </c>
      <c r="CX932" s="74"/>
      <c r="CY932" s="74"/>
      <c r="CZ932" s="74"/>
      <c r="DA932" s="75"/>
      <c r="DB932" s="74"/>
      <c r="DC932" s="74"/>
      <c r="DD932" s="74"/>
      <c r="DE932" s="74"/>
      <c r="DF932" s="74"/>
      <c r="DG932" s="74"/>
      <c r="DH932" s="74"/>
      <c r="DI932" s="74"/>
      <c r="DJ932" s="74"/>
      <c r="DK932" s="74"/>
      <c r="DL932" s="74"/>
      <c r="DM932" s="74"/>
      <c r="DN932" s="74"/>
      <c r="DO932" s="74"/>
      <c r="DP932" s="74"/>
      <c r="DQ932" s="74"/>
      <c r="DR932" s="74"/>
      <c r="DS932" s="74"/>
      <c r="DT932" s="74"/>
      <c r="DU932" s="74"/>
      <c r="DV932" s="74"/>
      <c r="DW932" s="74"/>
    </row>
    <row r="933">
      <c r="A933" s="40" t="s">
        <v>55</v>
      </c>
      <c r="B933" s="41" t="s">
        <v>56</v>
      </c>
      <c r="C933" s="31" t="s">
        <v>2249</v>
      </c>
      <c r="D933" s="25" t="str">
        <f>IFERROR(__xludf.DUMMYFUNCTION("SPLIT(C933,"" "")"),"Borick,")</f>
        <v>Borick,</v>
      </c>
      <c r="E933" s="40" t="str">
        <f>IFERROR(__xludf.DUMMYFUNCTION("""COMPUTED_VALUE"""),"Steven
2707")</f>
        <v>Steven
2707</v>
      </c>
      <c r="F933" s="40" t="str">
        <f>IFERROR(__xludf.DUMMYFUNCTION("""COMPUTED_VALUE"""),"Kipling")</f>
        <v>Kipling</v>
      </c>
      <c r="G933" s="40" t="str">
        <f>IFERROR(__xludf.DUMMYFUNCTION("""COMPUTED_VALUE"""),"St
Houston,")</f>
        <v>St
Houston,</v>
      </c>
      <c r="H933" s="40" t="str">
        <f>IFERROR(__xludf.DUMMYFUNCTION("""COMPUTED_VALUE"""),"TX")</f>
        <v>TX</v>
      </c>
      <c r="I933" s="40">
        <f>IFERROR(__xludf.DUMMYFUNCTION("""COMPUTED_VALUE"""),77098.0)</f>
        <v>77098</v>
      </c>
      <c r="J933" s="40"/>
      <c r="K933" s="40"/>
      <c r="L933" s="40"/>
      <c r="M933" s="40"/>
      <c r="N933" s="40"/>
      <c r="O933" s="40"/>
      <c r="P933" s="40"/>
      <c r="Q933" s="40"/>
      <c r="R933" s="40"/>
      <c r="S933" s="40"/>
      <c r="T933" s="40"/>
      <c r="U933" s="24" t="str">
        <f>IFERROR(__xludf.DUMMYFUNCTION("SPLIT(E933,""01234567890"")"),"Steven
")</f>
        <v>Steven
</v>
      </c>
      <c r="V933" s="24" t="str">
        <f>IFERROR(__xludf.DUMMYFUNCTION("SPLIT(D933,"","")"),"Borick")</f>
        <v>Borick</v>
      </c>
      <c r="W933" s="25" t="str">
        <f t="shared" si="1"/>
        <v>STEVEN
 BORICK</v>
      </c>
      <c r="X933" s="40"/>
      <c r="Y933" s="40"/>
      <c r="Z933" s="25" t="str">
        <f>IFERROR(__xludf.DUMMYFUNCTION("SPLIT(C933,""
"")"),"Borick, Steven")</f>
        <v>Borick, Steven</v>
      </c>
      <c r="AA933" s="40" t="str">
        <f>IFERROR(__xludf.DUMMYFUNCTION("""COMPUTED_VALUE"""),"2707 Kipling St")</f>
        <v>2707 Kipling St</v>
      </c>
      <c r="AB933" s="40" t="str">
        <f>IFERROR(__xludf.DUMMYFUNCTION("""COMPUTED_VALUE"""),"Houston, TX 77098")</f>
        <v>Houston, TX 77098</v>
      </c>
      <c r="AC933" s="31" t="s">
        <v>2250</v>
      </c>
      <c r="AD933" s="40"/>
      <c r="AE933" s="40"/>
      <c r="AF933" s="40"/>
      <c r="AG933" s="40" t="s">
        <v>60</v>
      </c>
      <c r="AH933" s="42">
        <v>2481.0</v>
      </c>
      <c r="AI933" s="40" t="s">
        <v>68</v>
      </c>
      <c r="AJ933" s="27">
        <v>2500.0</v>
      </c>
      <c r="AK933" s="31" t="s">
        <v>25</v>
      </c>
      <c r="AL933" s="43">
        <v>44838.0</v>
      </c>
      <c r="AM933" s="44">
        <v>44937.81995370371</v>
      </c>
      <c r="AN933" s="30">
        <v>2.0</v>
      </c>
      <c r="AO933" s="40"/>
      <c r="AP933" s="40"/>
      <c r="AQ933" s="40"/>
      <c r="AR933" s="40"/>
      <c r="AS933" s="40"/>
      <c r="AT933" s="47"/>
      <c r="AU933" s="40"/>
      <c r="AV933" s="46" t="str">
        <f>IFERROR(__xludf.DUMMYFUNCTION("""COMPUTED_VALUE"""),"Flanagan")</f>
        <v>Flanagan</v>
      </c>
      <c r="AW933" s="46">
        <f t="shared" si="7"/>
        <v>2000</v>
      </c>
      <c r="AX933" s="47">
        <f t="shared" ref="AX933:BQ933" si="2910">SUMIFS($AJ:$AJ,$V:$V,$AV933,$AK:$AK,AX$2)</f>
        <v>0</v>
      </c>
      <c r="AY933" s="48">
        <f t="shared" si="2910"/>
        <v>0</v>
      </c>
      <c r="AZ933" s="48">
        <f t="shared" si="2910"/>
        <v>0</v>
      </c>
      <c r="BA933" s="48">
        <f t="shared" si="2910"/>
        <v>0</v>
      </c>
      <c r="BB933" s="48">
        <f t="shared" si="2910"/>
        <v>0</v>
      </c>
      <c r="BC933" s="48">
        <f t="shared" si="2910"/>
        <v>0</v>
      </c>
      <c r="BD933" s="48">
        <f t="shared" si="2910"/>
        <v>0</v>
      </c>
      <c r="BE933" s="48">
        <f t="shared" si="2910"/>
        <v>0</v>
      </c>
      <c r="BF933" s="48">
        <f t="shared" si="2910"/>
        <v>0</v>
      </c>
      <c r="BG933" s="48">
        <f t="shared" si="2910"/>
        <v>0</v>
      </c>
      <c r="BH933" s="48">
        <f t="shared" si="2910"/>
        <v>0</v>
      </c>
      <c r="BI933" s="48">
        <f t="shared" si="2910"/>
        <v>0</v>
      </c>
      <c r="BJ933" s="48">
        <f t="shared" si="2910"/>
        <v>0</v>
      </c>
      <c r="BK933" s="48">
        <f t="shared" si="2910"/>
        <v>0</v>
      </c>
      <c r="BL933" s="48">
        <f t="shared" si="2910"/>
        <v>0</v>
      </c>
      <c r="BM933" s="48">
        <f t="shared" si="2910"/>
        <v>2000</v>
      </c>
      <c r="BN933" s="48">
        <f t="shared" si="2910"/>
        <v>0</v>
      </c>
      <c r="BO933" s="48">
        <f t="shared" si="2910"/>
        <v>0</v>
      </c>
      <c r="BP933" s="48">
        <f t="shared" si="2910"/>
        <v>0</v>
      </c>
      <c r="BQ933" s="48">
        <f t="shared" si="2910"/>
        <v>0</v>
      </c>
      <c r="BR933" s="36">
        <f t="shared" si="9"/>
        <v>0</v>
      </c>
      <c r="BS933" s="38">
        <f t="shared" si="10"/>
        <v>1</v>
      </c>
      <c r="BT933" s="49">
        <f t="shared" si="11"/>
        <v>0</v>
      </c>
      <c r="BU933" s="38">
        <f t="shared" si="12"/>
        <v>1000</v>
      </c>
      <c r="BV933" s="46" t="str">
        <f>IFERROR(__xludf.DUMMYFUNCTION("""COMPUTED_VALUE"""),"Flanagan")</f>
        <v>Flanagan</v>
      </c>
      <c r="BW933" s="46">
        <f t="shared" si="13"/>
        <v>2000</v>
      </c>
      <c r="BX933" s="47">
        <f t="shared" ref="BX933:CA933" si="2911">AX933-$BU933</f>
        <v>-1000</v>
      </c>
      <c r="BY933" s="47">
        <f t="shared" si="2911"/>
        <v>-1000</v>
      </c>
      <c r="BZ933" s="47">
        <f t="shared" si="2911"/>
        <v>-1000</v>
      </c>
      <c r="CA933" s="47">
        <f t="shared" si="2911"/>
        <v>-1000</v>
      </c>
      <c r="CB933" s="47">
        <f t="shared" si="15"/>
        <v>-10000</v>
      </c>
      <c r="CC933" s="47">
        <f t="shared" ref="CC933:CQ933" si="2912">BC933-$BU933</f>
        <v>-1000</v>
      </c>
      <c r="CD933" s="47">
        <f t="shared" si="2912"/>
        <v>-1000</v>
      </c>
      <c r="CE933" s="47">
        <f t="shared" si="2912"/>
        <v>-1000</v>
      </c>
      <c r="CF933" s="47">
        <f t="shared" si="2912"/>
        <v>-1000</v>
      </c>
      <c r="CG933" s="47">
        <f t="shared" si="2912"/>
        <v>-1000</v>
      </c>
      <c r="CH933" s="47">
        <f t="shared" si="2912"/>
        <v>-1000</v>
      </c>
      <c r="CI933" s="47">
        <f t="shared" si="2912"/>
        <v>-1000</v>
      </c>
      <c r="CJ933" s="47">
        <f t="shared" si="2912"/>
        <v>-1000</v>
      </c>
      <c r="CK933" s="47">
        <f t="shared" si="2912"/>
        <v>-1000</v>
      </c>
      <c r="CL933" s="47">
        <f t="shared" si="2912"/>
        <v>-1000</v>
      </c>
      <c r="CM933" s="47">
        <f t="shared" si="2912"/>
        <v>1000</v>
      </c>
      <c r="CN933" s="47">
        <f t="shared" si="2912"/>
        <v>-1000</v>
      </c>
      <c r="CO933" s="47">
        <f t="shared" si="2912"/>
        <v>-1000</v>
      </c>
      <c r="CP933" s="47">
        <f t="shared" si="2912"/>
        <v>-1000</v>
      </c>
      <c r="CQ933" s="47">
        <f t="shared" si="2912"/>
        <v>-1000</v>
      </c>
      <c r="CR933" s="47"/>
      <c r="CS933" s="47"/>
      <c r="CT933" s="47"/>
      <c r="CU933" s="74"/>
      <c r="CV933" s="74"/>
      <c r="CW933" s="74" t="str">
        <f>IFERROR(__xludf.DUMMYFUNCTION("IF(REGEXMATCH(UPPER(CU933), ""DALLAS""),,CU933)"),"")</f>
        <v/>
      </c>
      <c r="CX933" s="74"/>
      <c r="CY933" s="74"/>
      <c r="CZ933" s="74"/>
      <c r="DA933" s="75"/>
      <c r="DB933" s="74"/>
      <c r="DC933" s="74"/>
      <c r="DD933" s="74"/>
      <c r="DE933" s="74"/>
      <c r="DF933" s="74"/>
      <c r="DG933" s="74"/>
      <c r="DH933" s="74"/>
      <c r="DI933" s="74"/>
      <c r="DJ933" s="74"/>
      <c r="DK933" s="74"/>
      <c r="DL933" s="74"/>
      <c r="DM933" s="74"/>
      <c r="DN933" s="74"/>
      <c r="DO933" s="74"/>
      <c r="DP933" s="74"/>
      <c r="DQ933" s="74"/>
      <c r="DR933" s="74"/>
      <c r="DS933" s="74"/>
      <c r="DT933" s="74"/>
      <c r="DU933" s="74"/>
      <c r="DV933" s="74"/>
      <c r="DW933" s="74"/>
    </row>
    <row r="934">
      <c r="A934" s="22" t="s">
        <v>55</v>
      </c>
      <c r="B934" s="23" t="s">
        <v>56</v>
      </c>
      <c r="C934" s="31" t="s">
        <v>442</v>
      </c>
      <c r="D934" s="25" t="str">
        <f>IFERROR(__xludf.DUMMYFUNCTION("SPLIT(C934,"" "")"),"Bishop")</f>
        <v>Bishop</v>
      </c>
      <c r="E934" s="22" t="str">
        <f>IFERROR(__xludf.DUMMYFUNCTION("""COMPUTED_VALUE"""),"LeMelle,")</f>
        <v>LeMelle,</v>
      </c>
      <c r="F934" s="22" t="str">
        <f>IFERROR(__xludf.DUMMYFUNCTION("""COMPUTED_VALUE"""),"Janice
813")</f>
        <v>Janice
813</v>
      </c>
      <c r="G934" s="22" t="str">
        <f>IFERROR(__xludf.DUMMYFUNCTION("""COMPUTED_VALUE"""),"Rainbow")</f>
        <v>Rainbow</v>
      </c>
      <c r="H934" s="22" t="str">
        <f>IFERROR(__xludf.DUMMYFUNCTION("""COMPUTED_VALUE"""),"Ln
Cedar")</f>
        <v>Ln
Cedar</v>
      </c>
      <c r="I934" s="22" t="str">
        <f>IFERROR(__xludf.DUMMYFUNCTION("""COMPUTED_VALUE"""),"Hill,")</f>
        <v>Hill,</v>
      </c>
      <c r="J934" s="22" t="str">
        <f>IFERROR(__xludf.DUMMYFUNCTION("""COMPUTED_VALUE"""),"TX")</f>
        <v>TX</v>
      </c>
      <c r="K934" s="22">
        <f>IFERROR(__xludf.DUMMYFUNCTION("""COMPUTED_VALUE"""),75104.0)</f>
        <v>75104</v>
      </c>
      <c r="L934" s="22"/>
      <c r="M934" s="22"/>
      <c r="N934" s="22"/>
      <c r="O934" s="22"/>
      <c r="P934" s="22"/>
      <c r="Q934" s="22"/>
      <c r="R934" s="22"/>
      <c r="S934" s="22"/>
      <c r="T934" s="22"/>
      <c r="U934" s="24" t="str">
        <f>IFERROR(__xludf.DUMMYFUNCTION("SPLIT(E934,""01234567890"")"),"LeMelle,")</f>
        <v>LeMelle,</v>
      </c>
      <c r="V934" s="24" t="str">
        <f>IFERROR(__xludf.DUMMYFUNCTION("SPLIT(D934,"","")"),"Bishop")</f>
        <v>Bishop</v>
      </c>
      <c r="W934" s="25" t="str">
        <f t="shared" si="1"/>
        <v>LEMELLE, BISHOP</v>
      </c>
      <c r="X934" s="22"/>
      <c r="Y934" s="22"/>
      <c r="Z934" s="25" t="str">
        <f>IFERROR(__xludf.DUMMYFUNCTION("SPLIT(C934,""
"")"),"Bishop LeMelle, Janice")</f>
        <v>Bishop LeMelle, Janice</v>
      </c>
      <c r="AA934" s="22" t="str">
        <f>IFERROR(__xludf.DUMMYFUNCTION("""COMPUTED_VALUE"""),"813 Rainbow Ln")</f>
        <v>813 Rainbow Ln</v>
      </c>
      <c r="AB934" s="22" t="str">
        <f>IFERROR(__xludf.DUMMYFUNCTION("""COMPUTED_VALUE"""),"Cedar Hill, TX 75104")</f>
        <v>Cedar Hill, TX 75104</v>
      </c>
      <c r="AC934" s="31" t="s">
        <v>444</v>
      </c>
      <c r="AD934" s="22"/>
      <c r="AE934" s="22"/>
      <c r="AF934" s="22"/>
      <c r="AG934" s="22" t="s">
        <v>60</v>
      </c>
      <c r="AH934" s="54">
        <v>2481.0</v>
      </c>
      <c r="AI934" s="22" t="s">
        <v>68</v>
      </c>
      <c r="AJ934" s="27">
        <v>50.0</v>
      </c>
      <c r="AK934" s="31" t="s">
        <v>25</v>
      </c>
      <c r="AL934" s="28">
        <v>44838.0</v>
      </c>
      <c r="AM934" s="29">
        <v>44937.81995370371</v>
      </c>
      <c r="AN934" s="30">
        <v>2.0</v>
      </c>
      <c r="AO934" s="22"/>
      <c r="AP934" s="22"/>
      <c r="AQ934" s="22"/>
      <c r="AR934" s="22"/>
      <c r="AS934" s="22"/>
      <c r="AT934" s="70"/>
      <c r="AU934" s="22"/>
      <c r="AV934" s="57" t="str">
        <f>IFERROR(__xludf.DUMMYFUNCTION("""COMPUTED_VALUE"""),"COX")</f>
        <v>COX</v>
      </c>
      <c r="AW934" s="46">
        <f t="shared" si="7"/>
        <v>3500</v>
      </c>
      <c r="AX934" s="47">
        <f t="shared" ref="AX934:BQ934" si="2913">SUMIFS($AJ:$AJ,$V:$V,$AV934,$AK:$AK,AX$2)</f>
        <v>0</v>
      </c>
      <c r="AY934" s="48">
        <f t="shared" si="2913"/>
        <v>0</v>
      </c>
      <c r="AZ934" s="48">
        <f t="shared" si="2913"/>
        <v>0</v>
      </c>
      <c r="BA934" s="48">
        <f t="shared" si="2913"/>
        <v>0</v>
      </c>
      <c r="BB934" s="48">
        <f t="shared" si="2913"/>
        <v>1000</v>
      </c>
      <c r="BC934" s="48">
        <f t="shared" si="2913"/>
        <v>1000</v>
      </c>
      <c r="BD934" s="48">
        <f t="shared" si="2913"/>
        <v>0</v>
      </c>
      <c r="BE934" s="48">
        <f t="shared" si="2913"/>
        <v>0</v>
      </c>
      <c r="BF934" s="48">
        <f t="shared" si="2913"/>
        <v>0</v>
      </c>
      <c r="BG934" s="48">
        <f t="shared" si="2913"/>
        <v>0</v>
      </c>
      <c r="BH934" s="48">
        <f t="shared" si="2913"/>
        <v>0</v>
      </c>
      <c r="BI934" s="48">
        <f t="shared" si="2913"/>
        <v>0</v>
      </c>
      <c r="BJ934" s="48">
        <f t="shared" si="2913"/>
        <v>0</v>
      </c>
      <c r="BK934" s="48">
        <f t="shared" si="2913"/>
        <v>0</v>
      </c>
      <c r="BL934" s="48">
        <f t="shared" si="2913"/>
        <v>0</v>
      </c>
      <c r="BM934" s="48">
        <f t="shared" si="2913"/>
        <v>0</v>
      </c>
      <c r="BN934" s="48">
        <f t="shared" si="2913"/>
        <v>0</v>
      </c>
      <c r="BO934" s="48">
        <f t="shared" si="2913"/>
        <v>0</v>
      </c>
      <c r="BP934" s="48">
        <f t="shared" si="2913"/>
        <v>0</v>
      </c>
      <c r="BQ934" s="48">
        <f t="shared" si="2913"/>
        <v>1500</v>
      </c>
      <c r="BR934" s="36">
        <f t="shared" si="9"/>
        <v>1</v>
      </c>
      <c r="BS934" s="38">
        <f t="shared" si="10"/>
        <v>3</v>
      </c>
      <c r="BT934" s="49">
        <f t="shared" si="11"/>
        <v>0</v>
      </c>
      <c r="BU934" s="38">
        <f t="shared" si="12"/>
        <v>3000</v>
      </c>
      <c r="BV934" s="57" t="str">
        <f>IFERROR(__xludf.DUMMYFUNCTION("""COMPUTED_VALUE"""),"COX")</f>
        <v>COX</v>
      </c>
      <c r="BW934" s="46">
        <f t="shared" si="13"/>
        <v>3500</v>
      </c>
      <c r="BX934" s="47">
        <f t="shared" ref="BX934:CA934" si="2914">AX934-$BU934</f>
        <v>-3000</v>
      </c>
      <c r="BY934" s="47">
        <f t="shared" si="2914"/>
        <v>-3000</v>
      </c>
      <c r="BZ934" s="47">
        <f t="shared" si="2914"/>
        <v>-3000</v>
      </c>
      <c r="CA934" s="47">
        <f t="shared" si="2914"/>
        <v>-3000</v>
      </c>
      <c r="CB934" s="47">
        <f t="shared" si="15"/>
        <v>-29000</v>
      </c>
      <c r="CC934" s="47">
        <f t="shared" ref="CC934:CQ934" si="2915">BC934-$BU934</f>
        <v>-2000</v>
      </c>
      <c r="CD934" s="47">
        <f t="shared" si="2915"/>
        <v>-3000</v>
      </c>
      <c r="CE934" s="47">
        <f t="shared" si="2915"/>
        <v>-3000</v>
      </c>
      <c r="CF934" s="47">
        <f t="shared" si="2915"/>
        <v>-3000</v>
      </c>
      <c r="CG934" s="47">
        <f t="shared" si="2915"/>
        <v>-3000</v>
      </c>
      <c r="CH934" s="47">
        <f t="shared" si="2915"/>
        <v>-3000</v>
      </c>
      <c r="CI934" s="47">
        <f t="shared" si="2915"/>
        <v>-3000</v>
      </c>
      <c r="CJ934" s="47">
        <f t="shared" si="2915"/>
        <v>-3000</v>
      </c>
      <c r="CK934" s="47">
        <f t="shared" si="2915"/>
        <v>-3000</v>
      </c>
      <c r="CL934" s="47">
        <f t="shared" si="2915"/>
        <v>-3000</v>
      </c>
      <c r="CM934" s="47">
        <f t="shared" si="2915"/>
        <v>-3000</v>
      </c>
      <c r="CN934" s="47">
        <f t="shared" si="2915"/>
        <v>-3000</v>
      </c>
      <c r="CO934" s="47">
        <f t="shared" si="2915"/>
        <v>-3000</v>
      </c>
      <c r="CP934" s="47">
        <f t="shared" si="2915"/>
        <v>-3000</v>
      </c>
      <c r="CQ934" s="47">
        <f t="shared" si="2915"/>
        <v>-1500</v>
      </c>
      <c r="CR934" s="47"/>
      <c r="CS934" s="47"/>
      <c r="CT934" s="47"/>
      <c r="CU934" s="74"/>
      <c r="CV934" s="74"/>
      <c r="CW934" s="74" t="str">
        <f>IFERROR(__xludf.DUMMYFUNCTION("IF(REGEXMATCH(UPPER(CU934), ""DALLAS""),,CU934)"),"")</f>
        <v/>
      </c>
      <c r="CX934" s="74"/>
      <c r="CY934" s="74"/>
      <c r="CZ934" s="74"/>
      <c r="DA934" s="75"/>
      <c r="DB934" s="74"/>
      <c r="DC934" s="74"/>
      <c r="DD934" s="74"/>
      <c r="DE934" s="74"/>
      <c r="DF934" s="74"/>
      <c r="DG934" s="74"/>
      <c r="DH934" s="74"/>
      <c r="DI934" s="74"/>
      <c r="DJ934" s="74"/>
      <c r="DK934" s="74"/>
      <c r="DL934" s="74"/>
      <c r="DM934" s="74"/>
      <c r="DN934" s="74"/>
      <c r="DO934" s="74"/>
      <c r="DP934" s="74"/>
      <c r="DQ934" s="74"/>
      <c r="DR934" s="74"/>
      <c r="DS934" s="74"/>
      <c r="DT934" s="74"/>
      <c r="DU934" s="74"/>
      <c r="DV934" s="74"/>
      <c r="DW934" s="74"/>
    </row>
    <row r="935">
      <c r="A935" s="40" t="s">
        <v>55</v>
      </c>
      <c r="B935" s="41" t="s">
        <v>56</v>
      </c>
      <c r="C935" s="31" t="s">
        <v>2251</v>
      </c>
      <c r="D935" s="25" t="str">
        <f>IFERROR(__xludf.DUMMYFUNCTION("SPLIT(C935,"" "")"),"Kelly,")</f>
        <v>Kelly,</v>
      </c>
      <c r="E935" s="40" t="str">
        <f>IFERROR(__xludf.DUMMYFUNCTION("""COMPUTED_VALUE"""),"Gary
2702")</f>
        <v>Gary
2702</v>
      </c>
      <c r="F935" s="40" t="str">
        <f>IFERROR(__xludf.DUMMYFUNCTION("""COMPUTED_VALUE"""),"Love")</f>
        <v>Love</v>
      </c>
      <c r="G935" s="40" t="str">
        <f>IFERROR(__xludf.DUMMYFUNCTION("""COMPUTED_VALUE"""),"Field")</f>
        <v>Field</v>
      </c>
      <c r="H935" s="40" t="str">
        <f>IFERROR(__xludf.DUMMYFUNCTION("""COMPUTED_VALUE"""),"Dr
Dallas,")</f>
        <v>Dr
Dallas,</v>
      </c>
      <c r="I935" s="40" t="str">
        <f>IFERROR(__xludf.DUMMYFUNCTION("""COMPUTED_VALUE"""),"TX")</f>
        <v>TX</v>
      </c>
      <c r="J935" s="40">
        <f>IFERROR(__xludf.DUMMYFUNCTION("""COMPUTED_VALUE"""),75235.0)</f>
        <v>75235</v>
      </c>
      <c r="K935" s="40"/>
      <c r="L935" s="40"/>
      <c r="M935" s="40"/>
      <c r="N935" s="40"/>
      <c r="O935" s="40"/>
      <c r="P935" s="40"/>
      <c r="Q935" s="40"/>
      <c r="R935" s="40"/>
      <c r="S935" s="40"/>
      <c r="T935" s="40"/>
      <c r="U935" s="24" t="str">
        <f>IFERROR(__xludf.DUMMYFUNCTION("SPLIT(E935,""01234567890"")"),"Gary
")</f>
        <v>Gary
</v>
      </c>
      <c r="V935" s="24" t="str">
        <f>IFERROR(__xludf.DUMMYFUNCTION("SPLIT(D935,"","")"),"Kelly")</f>
        <v>Kelly</v>
      </c>
      <c r="W935" s="25" t="str">
        <f t="shared" si="1"/>
        <v>GARY
 KELLY</v>
      </c>
      <c r="X935" s="40"/>
      <c r="Y935" s="40"/>
      <c r="Z935" s="25" t="str">
        <f>IFERROR(__xludf.DUMMYFUNCTION("SPLIT(C935,""
"")"),"Kelly, Gary")</f>
        <v>Kelly, Gary</v>
      </c>
      <c r="AA935" s="40" t="str">
        <f>IFERROR(__xludf.DUMMYFUNCTION("""COMPUTED_VALUE"""),"2702 Love Field Dr")</f>
        <v>2702 Love Field Dr</v>
      </c>
      <c r="AB935" s="40" t="str">
        <f>IFERROR(__xludf.DUMMYFUNCTION("""COMPUTED_VALUE"""),"Dallas, TX 75235")</f>
        <v>Dallas, TX 75235</v>
      </c>
      <c r="AC935" s="31" t="s">
        <v>2252</v>
      </c>
      <c r="AD935" s="40"/>
      <c r="AE935" s="40"/>
      <c r="AF935" s="40"/>
      <c r="AG935" s="40" t="s">
        <v>60</v>
      </c>
      <c r="AH935" s="42">
        <v>2481.0</v>
      </c>
      <c r="AI935" s="40" t="s">
        <v>68</v>
      </c>
      <c r="AJ935" s="27">
        <v>1000.0</v>
      </c>
      <c r="AK935" s="31" t="s">
        <v>25</v>
      </c>
      <c r="AL935" s="43">
        <v>44838.0</v>
      </c>
      <c r="AM935" s="44">
        <v>44937.81995370371</v>
      </c>
      <c r="AN935" s="30">
        <v>2.0</v>
      </c>
      <c r="AO935" s="40"/>
      <c r="AP935" s="40"/>
      <c r="AQ935" s="40"/>
      <c r="AR935" s="40"/>
      <c r="AS935" s="40"/>
      <c r="AT935" s="47"/>
      <c r="AU935" s="40"/>
      <c r="AV935" s="46" t="str">
        <f>IFERROR(__xludf.DUMMYFUNCTION("""COMPUTED_VALUE"""),"ROGERS")</f>
        <v>ROGERS</v>
      </c>
      <c r="AW935" s="46">
        <f t="shared" si="7"/>
        <v>412.45</v>
      </c>
      <c r="AX935" s="47">
        <f t="shared" ref="AX935:BQ935" si="2916">SUMIFS($AJ:$AJ,$V:$V,$AV935,$AK:$AK,AX$2)</f>
        <v>0</v>
      </c>
      <c r="AY935" s="48">
        <f t="shared" si="2916"/>
        <v>0</v>
      </c>
      <c r="AZ935" s="48">
        <f t="shared" si="2916"/>
        <v>100</v>
      </c>
      <c r="BA935" s="48">
        <f t="shared" si="2916"/>
        <v>0</v>
      </c>
      <c r="BB935" s="48">
        <f t="shared" si="2916"/>
        <v>0</v>
      </c>
      <c r="BC935" s="48">
        <f t="shared" si="2916"/>
        <v>0</v>
      </c>
      <c r="BD935" s="48">
        <f t="shared" si="2916"/>
        <v>0</v>
      </c>
      <c r="BE935" s="48">
        <f t="shared" si="2916"/>
        <v>0</v>
      </c>
      <c r="BF935" s="48">
        <f t="shared" si="2916"/>
        <v>0</v>
      </c>
      <c r="BG935" s="48">
        <f t="shared" si="2916"/>
        <v>0</v>
      </c>
      <c r="BH935" s="48">
        <f t="shared" si="2916"/>
        <v>0</v>
      </c>
      <c r="BI935" s="48">
        <f t="shared" si="2916"/>
        <v>0</v>
      </c>
      <c r="BJ935" s="48">
        <f t="shared" si="2916"/>
        <v>0</v>
      </c>
      <c r="BK935" s="48">
        <f t="shared" si="2916"/>
        <v>0</v>
      </c>
      <c r="BL935" s="48">
        <f t="shared" si="2916"/>
        <v>0</v>
      </c>
      <c r="BM935" s="48">
        <f t="shared" si="2916"/>
        <v>0</v>
      </c>
      <c r="BN935" s="48">
        <f t="shared" si="2916"/>
        <v>0</v>
      </c>
      <c r="BO935" s="48">
        <f t="shared" si="2916"/>
        <v>0</v>
      </c>
      <c r="BP935" s="48">
        <f t="shared" si="2916"/>
        <v>0</v>
      </c>
      <c r="BQ935" s="48">
        <f t="shared" si="2916"/>
        <v>312.45</v>
      </c>
      <c r="BR935" s="36">
        <f t="shared" si="9"/>
        <v>1</v>
      </c>
      <c r="BS935" s="38">
        <f t="shared" si="10"/>
        <v>2</v>
      </c>
      <c r="BT935" s="49">
        <f t="shared" si="11"/>
        <v>0</v>
      </c>
      <c r="BU935" s="38">
        <f t="shared" si="12"/>
        <v>2000</v>
      </c>
      <c r="BV935" s="46" t="str">
        <f>IFERROR(__xludf.DUMMYFUNCTION("""COMPUTED_VALUE"""),"ROGERS")</f>
        <v>ROGERS</v>
      </c>
      <c r="BW935" s="46">
        <f t="shared" si="13"/>
        <v>412.45</v>
      </c>
      <c r="BX935" s="47">
        <f t="shared" ref="BX935:CA935" si="2917">AX935-$BU935</f>
        <v>-2000</v>
      </c>
      <c r="BY935" s="47">
        <f t="shared" si="2917"/>
        <v>-2000</v>
      </c>
      <c r="BZ935" s="47">
        <f t="shared" si="2917"/>
        <v>-1900</v>
      </c>
      <c r="CA935" s="47">
        <f t="shared" si="2917"/>
        <v>-2000</v>
      </c>
      <c r="CB935" s="47">
        <f t="shared" si="15"/>
        <v>-20000</v>
      </c>
      <c r="CC935" s="47">
        <f t="shared" ref="CC935:CQ935" si="2918">BC935-$BU935</f>
        <v>-2000</v>
      </c>
      <c r="CD935" s="47">
        <f t="shared" si="2918"/>
        <v>-2000</v>
      </c>
      <c r="CE935" s="47">
        <f t="shared" si="2918"/>
        <v>-2000</v>
      </c>
      <c r="CF935" s="47">
        <f t="shared" si="2918"/>
        <v>-2000</v>
      </c>
      <c r="CG935" s="47">
        <f t="shared" si="2918"/>
        <v>-2000</v>
      </c>
      <c r="CH935" s="47">
        <f t="shared" si="2918"/>
        <v>-2000</v>
      </c>
      <c r="CI935" s="47">
        <f t="shared" si="2918"/>
        <v>-2000</v>
      </c>
      <c r="CJ935" s="47">
        <f t="shared" si="2918"/>
        <v>-2000</v>
      </c>
      <c r="CK935" s="47">
        <f t="shared" si="2918"/>
        <v>-2000</v>
      </c>
      <c r="CL935" s="47">
        <f t="shared" si="2918"/>
        <v>-2000</v>
      </c>
      <c r="CM935" s="47">
        <f t="shared" si="2918"/>
        <v>-2000</v>
      </c>
      <c r="CN935" s="47">
        <f t="shared" si="2918"/>
        <v>-2000</v>
      </c>
      <c r="CO935" s="47">
        <f t="shared" si="2918"/>
        <v>-2000</v>
      </c>
      <c r="CP935" s="47">
        <f t="shared" si="2918"/>
        <v>-2000</v>
      </c>
      <c r="CQ935" s="47">
        <f t="shared" si="2918"/>
        <v>-1687.55</v>
      </c>
      <c r="CR935" s="47"/>
      <c r="CS935" s="47"/>
      <c r="CT935" s="47"/>
      <c r="CU935" s="74"/>
      <c r="CV935" s="74"/>
      <c r="CW935" s="74" t="str">
        <f>IFERROR(__xludf.DUMMYFUNCTION("IF(REGEXMATCH(UPPER(CU935), ""DALLAS""),,CU935)"),"")</f>
        <v/>
      </c>
      <c r="CX935" s="74"/>
      <c r="CY935" s="74"/>
      <c r="CZ935" s="74"/>
      <c r="DA935" s="75"/>
      <c r="DB935" s="74"/>
      <c r="DC935" s="74"/>
      <c r="DD935" s="74"/>
      <c r="DE935" s="74"/>
      <c r="DF935" s="74"/>
      <c r="DG935" s="74"/>
      <c r="DH935" s="74"/>
      <c r="DI935" s="74"/>
      <c r="DJ935" s="74"/>
      <c r="DK935" s="74"/>
      <c r="DL935" s="74"/>
      <c r="DM935" s="74"/>
      <c r="DN935" s="74"/>
      <c r="DO935" s="74"/>
      <c r="DP935" s="74"/>
      <c r="DQ935" s="74"/>
      <c r="DR935" s="74"/>
      <c r="DS935" s="74"/>
      <c r="DT935" s="74"/>
      <c r="DU935" s="74"/>
      <c r="DV935" s="74"/>
      <c r="DW935" s="74"/>
    </row>
    <row r="936">
      <c r="A936" s="22" t="s">
        <v>55</v>
      </c>
      <c r="B936" s="23" t="s">
        <v>56</v>
      </c>
      <c r="C936" s="31" t="s">
        <v>2253</v>
      </c>
      <c r="D936" s="25" t="str">
        <f>IFERROR(__xludf.DUMMYFUNCTION("SPLIT(C936,"" "")"),"Johnson,")</f>
        <v>Johnson,</v>
      </c>
      <c r="E936" s="22" t="str">
        <f>IFERROR(__xludf.DUMMYFUNCTION("""COMPUTED_VALUE"""),"Leander
3111")</f>
        <v>Leander
3111</v>
      </c>
      <c r="F936" s="22" t="str">
        <f>IFERROR(__xludf.DUMMYFUNCTION("""COMPUTED_VALUE"""),"N")</f>
        <v>N</v>
      </c>
      <c r="G936" s="22" t="str">
        <f>IFERROR(__xludf.DUMMYFUNCTION("""COMPUTED_VALUE"""),"Houston")</f>
        <v>Houston</v>
      </c>
      <c r="H936" s="22" t="str">
        <f>IFERROR(__xludf.DUMMYFUNCTION("""COMPUTED_VALUE"""),"St
Dallas,")</f>
        <v>St
Dallas,</v>
      </c>
      <c r="I936" s="22" t="str">
        <f>IFERROR(__xludf.DUMMYFUNCTION("""COMPUTED_VALUE"""),"TX")</f>
        <v>TX</v>
      </c>
      <c r="J936" s="22">
        <f>IFERROR(__xludf.DUMMYFUNCTION("""COMPUTED_VALUE"""),75219.0)</f>
        <v>75219</v>
      </c>
      <c r="K936" s="22"/>
      <c r="L936" s="22"/>
      <c r="M936" s="22"/>
      <c r="N936" s="22"/>
      <c r="O936" s="22"/>
      <c r="P936" s="22"/>
      <c r="Q936" s="22"/>
      <c r="R936" s="22"/>
      <c r="S936" s="22"/>
      <c r="T936" s="22"/>
      <c r="U936" s="24" t="str">
        <f>IFERROR(__xludf.DUMMYFUNCTION("SPLIT(E936,""01234567890"")"),"Leander
")</f>
        <v>Leander
</v>
      </c>
      <c r="V936" s="24" t="str">
        <f>IFERROR(__xludf.DUMMYFUNCTION("SPLIT(D936,"","")"),"Johnson")</f>
        <v>Johnson</v>
      </c>
      <c r="W936" s="25" t="str">
        <f t="shared" si="1"/>
        <v>LEANDER
 JOHNSON</v>
      </c>
      <c r="X936" s="22"/>
      <c r="Y936" s="22"/>
      <c r="Z936" s="25" t="str">
        <f>IFERROR(__xludf.DUMMYFUNCTION("SPLIT(C936,""
"")"),"Johnson, Leander")</f>
        <v>Johnson, Leander</v>
      </c>
      <c r="AA936" s="22" t="str">
        <f>IFERROR(__xludf.DUMMYFUNCTION("""COMPUTED_VALUE"""),"3111 N Houston St")</f>
        <v>3111 N Houston St</v>
      </c>
      <c r="AB936" s="22" t="str">
        <f>IFERROR(__xludf.DUMMYFUNCTION("""COMPUTED_VALUE"""),"Dallas, TX 75219")</f>
        <v>Dallas, TX 75219</v>
      </c>
      <c r="AC936" s="31" t="s">
        <v>2254</v>
      </c>
      <c r="AD936" s="22"/>
      <c r="AE936" s="22"/>
      <c r="AF936" s="22"/>
      <c r="AG936" s="22" t="s">
        <v>60</v>
      </c>
      <c r="AH936" s="54">
        <v>2481.0</v>
      </c>
      <c r="AI936" s="22" t="s">
        <v>68</v>
      </c>
      <c r="AJ936" s="27">
        <v>100.0</v>
      </c>
      <c r="AK936" s="31" t="s">
        <v>25</v>
      </c>
      <c r="AL936" s="28">
        <v>44838.0</v>
      </c>
      <c r="AM936" s="29">
        <v>44937.81995370371</v>
      </c>
      <c r="AN936" s="30">
        <v>2.0</v>
      </c>
      <c r="AO936" s="22"/>
      <c r="AP936" s="22"/>
      <c r="AQ936" s="22"/>
      <c r="AR936" s="22"/>
      <c r="AS936" s="22"/>
      <c r="AT936" s="70"/>
      <c r="AU936" s="22"/>
      <c r="AV936" s="57"/>
      <c r="AW936" s="57"/>
      <c r="BS936" s="81"/>
      <c r="BV936" s="57"/>
      <c r="BW936" s="57"/>
      <c r="CU936" s="55"/>
      <c r="CV936" s="55"/>
      <c r="CW936" s="55"/>
      <c r="CX936" s="55"/>
      <c r="CY936" s="55"/>
      <c r="CZ936" s="55"/>
      <c r="DA936" s="82"/>
      <c r="DB936" s="55"/>
      <c r="DC936" s="55"/>
      <c r="DD936" s="55"/>
      <c r="DE936" s="55"/>
      <c r="DF936" s="55"/>
      <c r="DG936" s="55"/>
      <c r="DH936" s="55"/>
      <c r="DI936" s="55"/>
      <c r="DJ936" s="55"/>
      <c r="DK936" s="55"/>
      <c r="DL936" s="55"/>
      <c r="DM936" s="55"/>
      <c r="DN936" s="55"/>
      <c r="DO936" s="55"/>
      <c r="DP936" s="55"/>
      <c r="DQ936" s="55"/>
      <c r="DR936" s="55"/>
      <c r="DS936" s="55"/>
      <c r="DT936" s="55"/>
      <c r="DU936" s="55"/>
      <c r="DV936" s="55"/>
      <c r="DW936" s="55"/>
    </row>
    <row r="937">
      <c r="A937" s="40" t="s">
        <v>55</v>
      </c>
      <c r="B937" s="41" t="s">
        <v>56</v>
      </c>
      <c r="C937" s="31" t="s">
        <v>2255</v>
      </c>
      <c r="D937" s="25" t="str">
        <f>IFERROR(__xludf.DUMMYFUNCTION("SPLIT(C937,"" "")"),"Brown,")</f>
        <v>Brown,</v>
      </c>
      <c r="E937" s="40" t="str">
        <f>IFERROR(__xludf.DUMMYFUNCTION("""COMPUTED_VALUE"""),"Clara
4541")</f>
        <v>Clara
4541</v>
      </c>
      <c r="F937" s="40" t="str">
        <f>IFERROR(__xludf.DUMMYFUNCTION("""COMPUTED_VALUE"""),"Crown")</f>
        <v>Crown</v>
      </c>
      <c r="G937" s="40" t="str">
        <f>IFERROR(__xludf.DUMMYFUNCTION("""COMPUTED_VALUE"""),"Knoll")</f>
        <v>Knoll</v>
      </c>
      <c r="H937" s="40" t="str">
        <f>IFERROR(__xludf.DUMMYFUNCTION("""COMPUTED_VALUE"""),"Cir
Dallas,")</f>
        <v>Cir
Dallas,</v>
      </c>
      <c r="I937" s="40" t="str">
        <f>IFERROR(__xludf.DUMMYFUNCTION("""COMPUTED_VALUE"""),"TX")</f>
        <v>TX</v>
      </c>
      <c r="J937" s="40">
        <f>IFERROR(__xludf.DUMMYFUNCTION("""COMPUTED_VALUE"""),75232.0)</f>
        <v>75232</v>
      </c>
      <c r="K937" s="40"/>
      <c r="L937" s="40"/>
      <c r="M937" s="40"/>
      <c r="N937" s="40"/>
      <c r="O937" s="40"/>
      <c r="P937" s="40"/>
      <c r="Q937" s="40"/>
      <c r="R937" s="40"/>
      <c r="S937" s="40"/>
      <c r="T937" s="40"/>
      <c r="U937" s="24" t="str">
        <f>IFERROR(__xludf.DUMMYFUNCTION("SPLIT(E937,""01234567890"")"),"Clara
")</f>
        <v>Clara
</v>
      </c>
      <c r="V937" s="24" t="str">
        <f>IFERROR(__xludf.DUMMYFUNCTION("SPLIT(D937,"","")"),"Brown")</f>
        <v>Brown</v>
      </c>
      <c r="W937" s="25" t="str">
        <f t="shared" si="1"/>
        <v>CLARA
 BROWN</v>
      </c>
      <c r="X937" s="40"/>
      <c r="Y937" s="40"/>
      <c r="Z937" s="25" t="str">
        <f>IFERROR(__xludf.DUMMYFUNCTION("SPLIT(C937,""
"")"),"Brown, Clara")</f>
        <v>Brown, Clara</v>
      </c>
      <c r="AA937" s="40" t="str">
        <f>IFERROR(__xludf.DUMMYFUNCTION("""COMPUTED_VALUE"""),"4541 Crown Knoll Cir")</f>
        <v>4541 Crown Knoll Cir</v>
      </c>
      <c r="AB937" s="40" t="str">
        <f>IFERROR(__xludf.DUMMYFUNCTION("""COMPUTED_VALUE"""),"Dallas, TX 75232")</f>
        <v>Dallas, TX 75232</v>
      </c>
      <c r="AC937" s="31" t="s">
        <v>2256</v>
      </c>
      <c r="AD937" s="40"/>
      <c r="AE937" s="40"/>
      <c r="AF937" s="40"/>
      <c r="AG937" s="40" t="s">
        <v>60</v>
      </c>
      <c r="AH937" s="42">
        <v>2481.0</v>
      </c>
      <c r="AI937" s="40" t="s">
        <v>68</v>
      </c>
      <c r="AJ937" s="27">
        <v>50.0</v>
      </c>
      <c r="AK937" s="31" t="s">
        <v>25</v>
      </c>
      <c r="AL937" s="43">
        <v>44839.0</v>
      </c>
      <c r="AM937" s="44">
        <v>44937.81995370371</v>
      </c>
      <c r="AN937" s="30">
        <v>2.0</v>
      </c>
      <c r="AO937" s="40"/>
      <c r="AP937" s="40"/>
      <c r="AQ937" s="40"/>
      <c r="AR937" s="40"/>
      <c r="AS937" s="40"/>
      <c r="AT937" s="47"/>
      <c r="AU937" s="40"/>
      <c r="AV937" s="46"/>
      <c r="AW937" s="46"/>
      <c r="BV937" s="46"/>
      <c r="BW937" s="46"/>
      <c r="CU937" s="55"/>
      <c r="CV937" s="55"/>
      <c r="CW937" s="55"/>
      <c r="CX937" s="55"/>
      <c r="CY937" s="55"/>
      <c r="CZ937" s="55"/>
      <c r="DA937" s="82"/>
      <c r="DB937" s="55"/>
      <c r="DC937" s="55"/>
      <c r="DD937" s="55"/>
      <c r="DE937" s="55"/>
      <c r="DF937" s="55"/>
      <c r="DG937" s="55"/>
      <c r="DH937" s="55"/>
      <c r="DI937" s="55"/>
      <c r="DJ937" s="55"/>
      <c r="DK937" s="55"/>
      <c r="DL937" s="55"/>
      <c r="DM937" s="55"/>
      <c r="DN937" s="55"/>
      <c r="DO937" s="55"/>
      <c r="DP937" s="55"/>
      <c r="DQ937" s="55"/>
      <c r="DR937" s="55"/>
      <c r="DS937" s="55"/>
      <c r="DT937" s="55"/>
      <c r="DU937" s="55"/>
      <c r="DV937" s="55"/>
      <c r="DW937" s="55"/>
    </row>
    <row r="938">
      <c r="A938" s="22" t="s">
        <v>55</v>
      </c>
      <c r="B938" s="23" t="s">
        <v>56</v>
      </c>
      <c r="C938" s="31" t="s">
        <v>2257</v>
      </c>
      <c r="D938" s="25" t="str">
        <f>IFERROR(__xludf.DUMMYFUNCTION("SPLIT(C938,"" "")"),"Frazier,")</f>
        <v>Frazier,</v>
      </c>
      <c r="E938" s="22" t="str">
        <f>IFERROR(__xludf.DUMMYFUNCTION("""COMPUTED_VALUE"""),"Karen
2829")</f>
        <v>Karen
2829</v>
      </c>
      <c r="F938" s="22" t="str">
        <f>IFERROR(__xludf.DUMMYFUNCTION("""COMPUTED_VALUE"""),"Trailhouse")</f>
        <v>Trailhouse</v>
      </c>
      <c r="G938" s="22" t="str">
        <f>IFERROR(__xludf.DUMMYFUNCTION("""COMPUTED_VALUE"""),"Dr
Dallas,")</f>
        <v>Dr
Dallas,</v>
      </c>
      <c r="H938" s="22" t="str">
        <f>IFERROR(__xludf.DUMMYFUNCTION("""COMPUTED_VALUE"""),"TX")</f>
        <v>TX</v>
      </c>
      <c r="I938" s="22">
        <f>IFERROR(__xludf.DUMMYFUNCTION("""COMPUTED_VALUE"""),75237.0)</f>
        <v>75237</v>
      </c>
      <c r="J938" s="22"/>
      <c r="K938" s="22"/>
      <c r="L938" s="22"/>
      <c r="M938" s="22"/>
      <c r="N938" s="22"/>
      <c r="O938" s="22"/>
      <c r="P938" s="22"/>
      <c r="Q938" s="22"/>
      <c r="R938" s="22"/>
      <c r="S938" s="22"/>
      <c r="T938" s="22"/>
      <c r="U938" s="24" t="str">
        <f>IFERROR(__xludf.DUMMYFUNCTION("SPLIT(E938,""01234567890"")"),"Karen
")</f>
        <v>Karen
</v>
      </c>
      <c r="V938" s="24" t="str">
        <f>IFERROR(__xludf.DUMMYFUNCTION("SPLIT(D938,"","")"),"Frazier")</f>
        <v>Frazier</v>
      </c>
      <c r="W938" s="25" t="str">
        <f t="shared" si="1"/>
        <v>KAREN
 FRAZIER</v>
      </c>
      <c r="X938" s="22"/>
      <c r="Y938" s="22"/>
      <c r="Z938" s="25" t="str">
        <f>IFERROR(__xludf.DUMMYFUNCTION("SPLIT(C938,""
"")"),"Frazier, Karen")</f>
        <v>Frazier, Karen</v>
      </c>
      <c r="AA938" s="22" t="str">
        <f>IFERROR(__xludf.DUMMYFUNCTION("""COMPUTED_VALUE"""),"2829 Trailhouse Dr")</f>
        <v>2829 Trailhouse Dr</v>
      </c>
      <c r="AB938" s="22" t="str">
        <f>IFERROR(__xludf.DUMMYFUNCTION("""COMPUTED_VALUE"""),"Dallas, TX 75237")</f>
        <v>Dallas, TX 75237</v>
      </c>
      <c r="AC938" s="31" t="s">
        <v>2258</v>
      </c>
      <c r="AD938" s="22"/>
      <c r="AE938" s="22"/>
      <c r="AF938" s="22"/>
      <c r="AG938" s="22" t="s">
        <v>60</v>
      </c>
      <c r="AH938" s="54">
        <v>2481.0</v>
      </c>
      <c r="AI938" s="22" t="s">
        <v>68</v>
      </c>
      <c r="AJ938" s="27">
        <v>50.0</v>
      </c>
      <c r="AK938" s="31" t="s">
        <v>25</v>
      </c>
      <c r="AL938" s="28">
        <v>44839.0</v>
      </c>
      <c r="AM938" s="29">
        <v>44937.81995370371</v>
      </c>
      <c r="AN938" s="30">
        <v>2.0</v>
      </c>
      <c r="AO938" s="22"/>
      <c r="AP938" s="22"/>
      <c r="AQ938" s="22"/>
      <c r="AR938" s="22"/>
      <c r="AS938" s="22"/>
      <c r="AT938" s="70"/>
      <c r="AU938" s="22"/>
      <c r="AV938" s="57"/>
      <c r="AW938" s="83" t="s">
        <v>2259</v>
      </c>
      <c r="AX938" s="68"/>
      <c r="AY938" s="69"/>
      <c r="BS938" s="84" t="s">
        <v>2260</v>
      </c>
      <c r="BT938" s="69"/>
      <c r="BU938" s="85" t="s">
        <v>2261</v>
      </c>
      <c r="BW938" s="86" t="s">
        <v>2262</v>
      </c>
      <c r="BX938" s="68"/>
      <c r="BY938" s="68"/>
      <c r="BZ938" s="68"/>
      <c r="CA938" s="69"/>
      <c r="CU938" s="55"/>
      <c r="CV938" s="55"/>
      <c r="CW938" s="55"/>
      <c r="CX938" s="55"/>
      <c r="CY938" s="55"/>
      <c r="CZ938" s="55"/>
      <c r="DA938" s="82"/>
      <c r="DB938" s="55"/>
      <c r="DC938" s="55"/>
      <c r="DD938" s="55"/>
      <c r="DE938" s="55"/>
      <c r="DF938" s="55"/>
      <c r="DG938" s="55"/>
      <c r="DH938" s="55"/>
      <c r="DI938" s="55"/>
      <c r="DJ938" s="55"/>
      <c r="DK938" s="55"/>
      <c r="DL938" s="55"/>
      <c r="DM938" s="55"/>
      <c r="DN938" s="55"/>
      <c r="DO938" s="55"/>
      <c r="DP938" s="55"/>
      <c r="DQ938" s="55"/>
      <c r="DR938" s="55"/>
      <c r="DS938" s="55"/>
      <c r="DT938" s="55"/>
      <c r="DU938" s="55"/>
      <c r="DV938" s="55"/>
      <c r="DW938" s="55"/>
    </row>
    <row r="939">
      <c r="A939" s="40" t="s">
        <v>55</v>
      </c>
      <c r="B939" s="41" t="s">
        <v>56</v>
      </c>
      <c r="C939" s="31" t="s">
        <v>2263</v>
      </c>
      <c r="D939" s="25" t="str">
        <f>IFERROR(__xludf.DUMMYFUNCTION("SPLIT(C939,"" "")"),"Setnick,")</f>
        <v>Setnick,</v>
      </c>
      <c r="E939" s="40" t="str">
        <f>IFERROR(__xludf.DUMMYFUNCTION("""COMPUTED_VALUE"""),"Benjamin
222")</f>
        <v>Benjamin
222</v>
      </c>
      <c r="F939" s="40" t="str">
        <f>IFERROR(__xludf.DUMMYFUNCTION("""COMPUTED_VALUE"""),"Lakeridge")</f>
        <v>Lakeridge</v>
      </c>
      <c r="G939" s="40" t="str">
        <f>IFERROR(__xludf.DUMMYFUNCTION("""COMPUTED_VALUE"""),"Dr
Dallas,")</f>
        <v>Dr
Dallas,</v>
      </c>
      <c r="H939" s="40" t="str">
        <f>IFERROR(__xludf.DUMMYFUNCTION("""COMPUTED_VALUE"""),"TX")</f>
        <v>TX</v>
      </c>
      <c r="I939" s="40">
        <f>IFERROR(__xludf.DUMMYFUNCTION("""COMPUTED_VALUE"""),75218.0)</f>
        <v>75218</v>
      </c>
      <c r="J939" s="40"/>
      <c r="K939" s="40"/>
      <c r="L939" s="40"/>
      <c r="M939" s="40"/>
      <c r="N939" s="40"/>
      <c r="O939" s="40"/>
      <c r="P939" s="40"/>
      <c r="Q939" s="40"/>
      <c r="R939" s="40"/>
      <c r="S939" s="40"/>
      <c r="T939" s="40"/>
      <c r="U939" s="24" t="str">
        <f>IFERROR(__xludf.DUMMYFUNCTION("SPLIT(E939,""01234567890"")"),"Benjamin
")</f>
        <v>Benjamin
</v>
      </c>
      <c r="V939" s="24" t="str">
        <f>IFERROR(__xludf.DUMMYFUNCTION("SPLIT(D939,"","")"),"Setnick")</f>
        <v>Setnick</v>
      </c>
      <c r="W939" s="25" t="str">
        <f t="shared" si="1"/>
        <v>BENJAMIN
 SETNICK</v>
      </c>
      <c r="X939" s="40"/>
      <c r="Y939" s="40"/>
      <c r="Z939" s="25" t="str">
        <f>IFERROR(__xludf.DUMMYFUNCTION("SPLIT(C939,""
"")"),"Setnick, Benjamin")</f>
        <v>Setnick, Benjamin</v>
      </c>
      <c r="AA939" s="40" t="str">
        <f>IFERROR(__xludf.DUMMYFUNCTION("""COMPUTED_VALUE"""),"222 Lakeridge Dr")</f>
        <v>222 Lakeridge Dr</v>
      </c>
      <c r="AB939" s="40" t="str">
        <f>IFERROR(__xludf.DUMMYFUNCTION("""COMPUTED_VALUE"""),"Dallas, TX 75218")</f>
        <v>Dallas, TX 75218</v>
      </c>
      <c r="AC939" s="31" t="s">
        <v>2264</v>
      </c>
      <c r="AD939" s="40"/>
      <c r="AE939" s="40"/>
      <c r="AF939" s="40"/>
      <c r="AG939" s="40" t="s">
        <v>60</v>
      </c>
      <c r="AH939" s="42">
        <v>2481.0</v>
      </c>
      <c r="AI939" s="40" t="s">
        <v>68</v>
      </c>
      <c r="AJ939" s="27">
        <v>500.0</v>
      </c>
      <c r="AK939" s="31" t="s">
        <v>25</v>
      </c>
      <c r="AL939" s="43">
        <v>44839.0</v>
      </c>
      <c r="AM939" s="44">
        <v>44937.81995370371</v>
      </c>
      <c r="AN939" s="30">
        <v>2.0</v>
      </c>
      <c r="AO939" s="40"/>
      <c r="AP939" s="40"/>
      <c r="AQ939" s="40"/>
      <c r="AR939" s="40"/>
      <c r="AS939" s="40"/>
      <c r="AT939" s="47"/>
      <c r="AU939" s="40"/>
      <c r="AV939" s="46"/>
      <c r="AW939" s="56"/>
      <c r="BS939" s="81"/>
      <c r="CR939" s="87" t="s">
        <v>1720</v>
      </c>
      <c r="CS939" s="88"/>
      <c r="CT939" s="88"/>
      <c r="CU939" s="89"/>
      <c r="CV939" s="89"/>
      <c r="CW939" s="89"/>
      <c r="CX939" s="89"/>
      <c r="CY939" s="89"/>
      <c r="CZ939" s="89"/>
      <c r="DA939" s="90"/>
      <c r="DB939" s="89"/>
      <c r="DC939" s="89"/>
      <c r="DD939" s="89"/>
      <c r="DE939" s="89"/>
      <c r="DF939" s="89"/>
      <c r="DG939" s="89"/>
      <c r="DH939" s="89"/>
      <c r="DI939" s="89"/>
      <c r="DJ939" s="89"/>
      <c r="DK939" s="89"/>
      <c r="DL939" s="89"/>
      <c r="DM939" s="89"/>
      <c r="DN939" s="89"/>
      <c r="DO939" s="89"/>
      <c r="DP939" s="89"/>
      <c r="DQ939" s="89"/>
      <c r="DR939" s="89"/>
      <c r="DS939" s="89"/>
      <c r="DT939" s="89"/>
      <c r="DU939" s="89"/>
      <c r="DV939" s="89"/>
      <c r="DW939" s="89"/>
    </row>
    <row r="940">
      <c r="A940" s="22" t="s">
        <v>55</v>
      </c>
      <c r="B940" s="23" t="s">
        <v>56</v>
      </c>
      <c r="C940" s="31" t="s">
        <v>456</v>
      </c>
      <c r="D940" s="25" t="str">
        <f>IFERROR(__xludf.DUMMYFUNCTION("SPLIT(C940,"" "")"),"Black,")</f>
        <v>Black,</v>
      </c>
      <c r="E940" s="22" t="str">
        <f>IFERROR(__xludf.DUMMYFUNCTION("""COMPUTED_VALUE"""),"Tre
751")</f>
        <v>Tre
751</v>
      </c>
      <c r="F940" s="22" t="str">
        <f>IFERROR(__xludf.DUMMYFUNCTION("""COMPUTED_VALUE"""),"Kessler")</f>
        <v>Kessler</v>
      </c>
      <c r="G940" s="22" t="str">
        <f>IFERROR(__xludf.DUMMYFUNCTION("""COMPUTED_VALUE"""),"Lake")</f>
        <v>Lake</v>
      </c>
      <c r="H940" s="22" t="str">
        <f>IFERROR(__xludf.DUMMYFUNCTION("""COMPUTED_VALUE"""),"Dr
Dallas,")</f>
        <v>Dr
Dallas,</v>
      </c>
      <c r="I940" s="22" t="str">
        <f>IFERROR(__xludf.DUMMYFUNCTION("""COMPUTED_VALUE"""),"TX")</f>
        <v>TX</v>
      </c>
      <c r="J940" s="22">
        <f>IFERROR(__xludf.DUMMYFUNCTION("""COMPUTED_VALUE"""),75208.0)</f>
        <v>75208</v>
      </c>
      <c r="K940" s="22"/>
      <c r="L940" s="22"/>
      <c r="M940" s="22"/>
      <c r="N940" s="22"/>
      <c r="O940" s="22"/>
      <c r="P940" s="22"/>
      <c r="Q940" s="22"/>
      <c r="R940" s="22"/>
      <c r="S940" s="22"/>
      <c r="T940" s="22"/>
      <c r="U940" s="24" t="str">
        <f>IFERROR(__xludf.DUMMYFUNCTION("SPLIT(E940,""01234567890"")"),"Tre
")</f>
        <v>Tre
</v>
      </c>
      <c r="V940" s="24" t="str">
        <f>IFERROR(__xludf.DUMMYFUNCTION("SPLIT(D940,"","")"),"Black")</f>
        <v>Black</v>
      </c>
      <c r="W940" s="25" t="str">
        <f t="shared" si="1"/>
        <v>TRE
 BLACK</v>
      </c>
      <c r="X940" s="22"/>
      <c r="Y940" s="22"/>
      <c r="Z940" s="25" t="str">
        <f>IFERROR(__xludf.DUMMYFUNCTION("SPLIT(C940,""
"")"),"Black, Tre")</f>
        <v>Black, Tre</v>
      </c>
      <c r="AA940" s="22" t="str">
        <f>IFERROR(__xludf.DUMMYFUNCTION("""COMPUTED_VALUE"""),"751 Kessler Lake Dr")</f>
        <v>751 Kessler Lake Dr</v>
      </c>
      <c r="AB940" s="22" t="str">
        <f>IFERROR(__xludf.DUMMYFUNCTION("""COMPUTED_VALUE"""),"Dallas, TX 75208")</f>
        <v>Dallas, TX 75208</v>
      </c>
      <c r="AC940" s="31" t="s">
        <v>453</v>
      </c>
      <c r="AD940" s="22"/>
      <c r="AE940" s="22"/>
      <c r="AF940" s="22"/>
      <c r="AG940" s="22" t="s">
        <v>60</v>
      </c>
      <c r="AH940" s="54">
        <v>2481.0</v>
      </c>
      <c r="AI940" s="22" t="s">
        <v>68</v>
      </c>
      <c r="AJ940" s="27">
        <v>1000.0</v>
      </c>
      <c r="AK940" s="31" t="s">
        <v>25</v>
      </c>
      <c r="AL940" s="28">
        <v>44839.0</v>
      </c>
      <c r="AM940" s="29">
        <v>44937.81995370371</v>
      </c>
      <c r="AN940" s="30">
        <v>2.0</v>
      </c>
      <c r="AO940" s="22"/>
      <c r="AP940" s="22"/>
      <c r="AQ940" s="22"/>
      <c r="AR940" s="22"/>
      <c r="AS940" s="22"/>
      <c r="AT940" s="70"/>
      <c r="AU940" s="22"/>
      <c r="AV940" s="57"/>
      <c r="AW940" s="91" t="s">
        <v>2265</v>
      </c>
      <c r="AX940" s="92">
        <f t="shared" ref="AX940:BA940" si="2919">COUNTIF(AX1:AX935,"&gt;1000")</f>
        <v>23</v>
      </c>
      <c r="AY940" s="92">
        <f t="shared" si="2919"/>
        <v>3</v>
      </c>
      <c r="AZ940" s="92">
        <f t="shared" si="2919"/>
        <v>6</v>
      </c>
      <c r="BA940" s="92">
        <f t="shared" si="2919"/>
        <v>24</v>
      </c>
      <c r="BB940" s="92">
        <f>COUNTIF(BB1:BB935,"&gt;10000")</f>
        <v>13</v>
      </c>
      <c r="BC940" s="92">
        <f t="shared" ref="BC940:BQ940" si="2920">COUNTIF(BC1:BC935,"&gt;1000")</f>
        <v>7</v>
      </c>
      <c r="BD940" s="92">
        <f t="shared" si="2920"/>
        <v>3</v>
      </c>
      <c r="BE940" s="92">
        <f t="shared" si="2920"/>
        <v>8</v>
      </c>
      <c r="BF940" s="92">
        <f t="shared" si="2920"/>
        <v>6</v>
      </c>
      <c r="BG940" s="92">
        <f t="shared" si="2920"/>
        <v>6</v>
      </c>
      <c r="BH940" s="92">
        <f t="shared" si="2920"/>
        <v>3</v>
      </c>
      <c r="BI940" s="92">
        <f t="shared" si="2920"/>
        <v>0</v>
      </c>
      <c r="BJ940" s="92">
        <f t="shared" si="2920"/>
        <v>1</v>
      </c>
      <c r="BK940" s="92">
        <f t="shared" si="2920"/>
        <v>2</v>
      </c>
      <c r="BL940" s="92">
        <f t="shared" si="2920"/>
        <v>2</v>
      </c>
      <c r="BM940" s="92">
        <f t="shared" si="2920"/>
        <v>2</v>
      </c>
      <c r="BN940" s="92">
        <f t="shared" si="2920"/>
        <v>3</v>
      </c>
      <c r="BO940" s="92">
        <f t="shared" si="2920"/>
        <v>0</v>
      </c>
      <c r="BP940" s="92">
        <f t="shared" si="2920"/>
        <v>0</v>
      </c>
      <c r="BQ940" s="93">
        <f t="shared" si="2920"/>
        <v>2</v>
      </c>
      <c r="BS940" s="81"/>
      <c r="BW940" s="94" t="s">
        <v>2266</v>
      </c>
      <c r="BX940" s="95">
        <f t="shared" ref="BX940:CQ940" si="2921">SUMIF(BX3:BX935,"&gt;0")</f>
        <v>23866</v>
      </c>
      <c r="BY940" s="95">
        <f t="shared" si="2921"/>
        <v>1000</v>
      </c>
      <c r="BZ940" s="95">
        <f t="shared" si="2921"/>
        <v>2000</v>
      </c>
      <c r="CA940" s="95">
        <f t="shared" si="2921"/>
        <v>19850</v>
      </c>
      <c r="CB940" s="95">
        <f t="shared" si="2921"/>
        <v>30000</v>
      </c>
      <c r="CC940" s="95">
        <f t="shared" si="2921"/>
        <v>4000</v>
      </c>
      <c r="CD940" s="95">
        <f t="shared" si="2921"/>
        <v>0</v>
      </c>
      <c r="CE940" s="95">
        <f t="shared" si="2921"/>
        <v>16000</v>
      </c>
      <c r="CF940" s="95">
        <f t="shared" si="2921"/>
        <v>0</v>
      </c>
      <c r="CG940" s="95">
        <f t="shared" si="2921"/>
        <v>850</v>
      </c>
      <c r="CH940" s="95">
        <f t="shared" si="2921"/>
        <v>0</v>
      </c>
      <c r="CI940" s="95">
        <f t="shared" si="2921"/>
        <v>0</v>
      </c>
      <c r="CJ940" s="95">
        <f t="shared" si="2921"/>
        <v>0</v>
      </c>
      <c r="CK940" s="95">
        <f t="shared" si="2921"/>
        <v>1000</v>
      </c>
      <c r="CL940" s="95">
        <f t="shared" si="2921"/>
        <v>0</v>
      </c>
      <c r="CM940" s="95">
        <f t="shared" si="2921"/>
        <v>6000</v>
      </c>
      <c r="CN940" s="95">
        <f t="shared" si="2921"/>
        <v>3000</v>
      </c>
      <c r="CO940" s="95">
        <f t="shared" si="2921"/>
        <v>0</v>
      </c>
      <c r="CP940" s="95">
        <f t="shared" si="2921"/>
        <v>0</v>
      </c>
      <c r="CQ940" s="95">
        <f t="shared" si="2921"/>
        <v>0</v>
      </c>
      <c r="CR940" s="96">
        <f>SUM(BX940:CQ940)</f>
        <v>107566</v>
      </c>
      <c r="CS940" s="97"/>
      <c r="CT940" s="97"/>
      <c r="CU940" s="98"/>
      <c r="CV940" s="98"/>
      <c r="CW940" s="98"/>
      <c r="CX940" s="98"/>
      <c r="CY940" s="98"/>
      <c r="CZ940" s="98"/>
      <c r="DA940" s="99"/>
      <c r="DB940" s="98"/>
      <c r="DC940" s="98"/>
      <c r="DD940" s="98"/>
      <c r="DE940" s="98"/>
      <c r="DF940" s="98"/>
      <c r="DG940" s="98"/>
      <c r="DH940" s="98"/>
      <c r="DI940" s="98"/>
      <c r="DJ940" s="98"/>
      <c r="DK940" s="98"/>
      <c r="DL940" s="98"/>
      <c r="DM940" s="98"/>
      <c r="DN940" s="98"/>
      <c r="DO940" s="98"/>
      <c r="DP940" s="98"/>
      <c r="DQ940" s="98"/>
      <c r="DR940" s="98"/>
      <c r="DS940" s="98"/>
      <c r="DT940" s="98"/>
      <c r="DU940" s="98"/>
      <c r="DV940" s="98"/>
      <c r="DW940" s="98"/>
    </row>
    <row r="941">
      <c r="A941" s="40" t="s">
        <v>55</v>
      </c>
      <c r="B941" s="41" t="s">
        <v>56</v>
      </c>
      <c r="C941" s="31" t="s">
        <v>1440</v>
      </c>
      <c r="D941" s="25" t="str">
        <f>IFERROR(__xludf.DUMMYFUNCTION("SPLIT(C941,"" "")"),"Gates,")</f>
        <v>Gates,</v>
      </c>
      <c r="E941" s="40" t="str">
        <f>IFERROR(__xludf.DUMMYFUNCTION("""COMPUTED_VALUE"""),"Jennifer
4914")</f>
        <v>Jennifer
4914</v>
      </c>
      <c r="F941" s="40" t="str">
        <f>IFERROR(__xludf.DUMMYFUNCTION("""COMPUTED_VALUE"""),"Keyhole")</f>
        <v>Keyhole</v>
      </c>
      <c r="G941" s="40" t="str">
        <f>IFERROR(__xludf.DUMMYFUNCTION("""COMPUTED_VALUE"""),"Lane
Dallas,")</f>
        <v>Lane
Dallas,</v>
      </c>
      <c r="H941" s="40" t="str">
        <f>IFERROR(__xludf.DUMMYFUNCTION("""COMPUTED_VALUE"""),"TX")</f>
        <v>TX</v>
      </c>
      <c r="I941" s="40">
        <f>IFERROR(__xludf.DUMMYFUNCTION("""COMPUTED_VALUE"""),75229.0)</f>
        <v>75229</v>
      </c>
      <c r="J941" s="40"/>
      <c r="K941" s="40"/>
      <c r="L941" s="40"/>
      <c r="M941" s="40"/>
      <c r="N941" s="40"/>
      <c r="O941" s="40"/>
      <c r="P941" s="40"/>
      <c r="Q941" s="40"/>
      <c r="R941" s="40"/>
      <c r="S941" s="40"/>
      <c r="T941" s="40"/>
      <c r="U941" s="24" t="str">
        <f>IFERROR(__xludf.DUMMYFUNCTION("SPLIT(E941,""01234567890"")"),"Jennifer
")</f>
        <v>Jennifer
</v>
      </c>
      <c r="V941" s="24" t="str">
        <f>IFERROR(__xludf.DUMMYFUNCTION("SPLIT(D941,"","")"),"Gates")</f>
        <v>Gates</v>
      </c>
      <c r="W941" s="25" t="str">
        <f t="shared" si="1"/>
        <v>JENNIFER
 GATES</v>
      </c>
      <c r="X941" s="40"/>
      <c r="Y941" s="40"/>
      <c r="Z941" s="25" t="str">
        <f>IFERROR(__xludf.DUMMYFUNCTION("SPLIT(C941,""
"")"),"Gates, Jennifer")</f>
        <v>Gates, Jennifer</v>
      </c>
      <c r="AA941" s="40" t="str">
        <f>IFERROR(__xludf.DUMMYFUNCTION("""COMPUTED_VALUE"""),"4914 Keyhole Lane")</f>
        <v>4914 Keyhole Lane</v>
      </c>
      <c r="AB941" s="40" t="str">
        <f>IFERROR(__xludf.DUMMYFUNCTION("""COMPUTED_VALUE"""),"Dallas, TX 75229")</f>
        <v>Dallas, TX 75229</v>
      </c>
      <c r="AC941" s="31" t="s">
        <v>679</v>
      </c>
      <c r="AD941" s="40"/>
      <c r="AE941" s="40"/>
      <c r="AF941" s="40"/>
      <c r="AG941" s="40" t="s">
        <v>60</v>
      </c>
      <c r="AH941" s="42">
        <v>2481.0</v>
      </c>
      <c r="AI941" s="40" t="s">
        <v>68</v>
      </c>
      <c r="AJ941" s="27">
        <v>1000.0</v>
      </c>
      <c r="AK941" s="31" t="s">
        <v>25</v>
      </c>
      <c r="AL941" s="43">
        <v>44839.0</v>
      </c>
      <c r="AM941" s="44">
        <v>44937.81995370371</v>
      </c>
      <c r="AN941" s="30">
        <v>2.0</v>
      </c>
      <c r="AO941" s="40"/>
      <c r="AP941" s="40"/>
      <c r="AQ941" s="40"/>
      <c r="AR941" s="40"/>
      <c r="AS941" s="40"/>
      <c r="AT941" s="47"/>
      <c r="AU941" s="40"/>
      <c r="AV941" s="46"/>
      <c r="AW941" s="100" t="s">
        <v>2267</v>
      </c>
      <c r="AX941" s="101">
        <f t="shared" ref="AX941:BA941" si="2922">SUMIF(AX2:AX935,"&gt;1000") - 1000*AX940</f>
        <v>37816</v>
      </c>
      <c r="AY941" s="101">
        <f t="shared" si="2922"/>
        <v>4000</v>
      </c>
      <c r="AZ941" s="101">
        <f t="shared" si="2922"/>
        <v>7000</v>
      </c>
      <c r="BA941" s="101">
        <f t="shared" si="2922"/>
        <v>29850</v>
      </c>
      <c r="BB941" s="101">
        <f>SUMIF(BB2:BB935,"&gt;10000") - 10000*BB940</f>
        <v>131500</v>
      </c>
      <c r="BC941" s="101">
        <f t="shared" ref="BC941:BQ941" si="2923">SUMIF(BC2:BC935,"&gt;1000") - 1000*BC940</f>
        <v>10200</v>
      </c>
      <c r="BD941" s="101">
        <f t="shared" si="2923"/>
        <v>5500</v>
      </c>
      <c r="BE941" s="101">
        <f t="shared" si="2923"/>
        <v>21000</v>
      </c>
      <c r="BF941" s="101">
        <f t="shared" si="2923"/>
        <v>7000</v>
      </c>
      <c r="BG941" s="101">
        <f t="shared" si="2923"/>
        <v>6000</v>
      </c>
      <c r="BH941" s="101">
        <f t="shared" si="2923"/>
        <v>2680</v>
      </c>
      <c r="BI941" s="101">
        <f t="shared" si="2923"/>
        <v>0</v>
      </c>
      <c r="BJ941" s="101">
        <f t="shared" si="2923"/>
        <v>3000</v>
      </c>
      <c r="BK941" s="101">
        <f t="shared" si="2923"/>
        <v>5300</v>
      </c>
      <c r="BL941" s="101">
        <f t="shared" si="2923"/>
        <v>2000</v>
      </c>
      <c r="BM941" s="101">
        <f t="shared" si="2923"/>
        <v>6000</v>
      </c>
      <c r="BN941" s="101">
        <f t="shared" si="2923"/>
        <v>3000</v>
      </c>
      <c r="BO941" s="101">
        <f t="shared" si="2923"/>
        <v>0</v>
      </c>
      <c r="BP941" s="101">
        <f t="shared" si="2923"/>
        <v>0</v>
      </c>
      <c r="BQ941" s="102">
        <f t="shared" si="2923"/>
        <v>1000</v>
      </c>
      <c r="BR941" s="103"/>
      <c r="BS941" s="81"/>
      <c r="BW941" s="104" t="s">
        <v>2268</v>
      </c>
      <c r="BX941" s="105">
        <f t="shared" ref="BX941:CQ941" si="2924">BX940/AX942</f>
        <v>0.1827767422</v>
      </c>
      <c r="BY941" s="105">
        <f t="shared" si="2924"/>
        <v>0.05333333333</v>
      </c>
      <c r="BZ941" s="105">
        <f t="shared" si="2924"/>
        <v>0.06006006006</v>
      </c>
      <c r="CA941" s="105">
        <f t="shared" si="2924"/>
        <v>0.1625317285</v>
      </c>
      <c r="CB941" s="105">
        <f t="shared" si="2924"/>
        <v>0.03839631395</v>
      </c>
      <c r="CC941" s="105">
        <f t="shared" si="2924"/>
        <v>0.1115760112</v>
      </c>
      <c r="CD941" s="105">
        <f t="shared" si="2924"/>
        <v>0</v>
      </c>
      <c r="CE941" s="105">
        <f t="shared" si="2924"/>
        <v>0.5333333333</v>
      </c>
      <c r="CF941" s="105">
        <f t="shared" si="2924"/>
        <v>0</v>
      </c>
      <c r="CG941" s="105">
        <f t="shared" si="2924"/>
        <v>0.02281879195</v>
      </c>
      <c r="CH941" s="105">
        <f t="shared" si="2924"/>
        <v>0</v>
      </c>
      <c r="CI941" s="105">
        <f t="shared" si="2924"/>
        <v>0</v>
      </c>
      <c r="CJ941" s="105">
        <f t="shared" si="2924"/>
        <v>0</v>
      </c>
      <c r="CK941" s="105">
        <f t="shared" si="2924"/>
        <v>0.04715101764</v>
      </c>
      <c r="CL941" s="105">
        <f t="shared" si="2924"/>
        <v>0</v>
      </c>
      <c r="CM941" s="105">
        <f t="shared" si="2924"/>
        <v>0.75</v>
      </c>
      <c r="CN941" s="105">
        <f t="shared" si="2924"/>
        <v>0.3</v>
      </c>
      <c r="CO941" s="105">
        <f t="shared" si="2924"/>
        <v>0</v>
      </c>
      <c r="CP941" s="105">
        <f t="shared" si="2924"/>
        <v>0</v>
      </c>
      <c r="CQ941" s="105">
        <f t="shared" si="2924"/>
        <v>0</v>
      </c>
      <c r="CR941" s="106">
        <f>AVERAGE(BX941:CQ941)</f>
        <v>0.1130988666</v>
      </c>
      <c r="CS941" s="107"/>
      <c r="CT941" s="107"/>
      <c r="CU941" s="108"/>
      <c r="CV941" s="108"/>
      <c r="CW941" s="108"/>
      <c r="CX941" s="108"/>
      <c r="CY941" s="108"/>
      <c r="CZ941" s="108"/>
      <c r="DA941" s="109"/>
      <c r="DB941" s="108"/>
      <c r="DC941" s="108"/>
      <c r="DD941" s="108"/>
      <c r="DE941" s="108"/>
      <c r="DF941" s="108"/>
      <c r="DG941" s="108"/>
      <c r="DH941" s="108"/>
      <c r="DI941" s="108"/>
      <c r="DJ941" s="108"/>
      <c r="DK941" s="108"/>
      <c r="DL941" s="108"/>
      <c r="DM941" s="108"/>
      <c r="DN941" s="108"/>
      <c r="DO941" s="108"/>
      <c r="DP941" s="108"/>
      <c r="DQ941" s="108"/>
      <c r="DR941" s="108"/>
      <c r="DS941" s="108"/>
      <c r="DT941" s="108"/>
      <c r="DU941" s="108"/>
      <c r="DV941" s="108"/>
      <c r="DW941" s="108"/>
    </row>
    <row r="942">
      <c r="A942" s="22" t="s">
        <v>55</v>
      </c>
      <c r="B942" s="23" t="s">
        <v>56</v>
      </c>
      <c r="C942" s="31" t="s">
        <v>2269</v>
      </c>
      <c r="D942" s="25" t="str">
        <f>IFERROR(__xludf.DUMMYFUNCTION("SPLIT(C942,"" "")"),"Murchison,")</f>
        <v>Murchison,</v>
      </c>
      <c r="E942" s="22" t="str">
        <f>IFERROR(__xludf.DUMMYFUNCTION("""COMPUTED_VALUE"""),"Maggie
10131")</f>
        <v>Maggie
10131</v>
      </c>
      <c r="F942" s="22" t="str">
        <f>IFERROR(__xludf.DUMMYFUNCTION("""COMPUTED_VALUE"""),"Gaywood")</f>
        <v>Gaywood</v>
      </c>
      <c r="G942" s="22" t="str">
        <f>IFERROR(__xludf.DUMMYFUNCTION("""COMPUTED_VALUE"""),"Rd
Dallas,")</f>
        <v>Rd
Dallas,</v>
      </c>
      <c r="H942" s="22" t="str">
        <f>IFERROR(__xludf.DUMMYFUNCTION("""COMPUTED_VALUE"""),"TX")</f>
        <v>TX</v>
      </c>
      <c r="I942" s="22">
        <f>IFERROR(__xludf.DUMMYFUNCTION("""COMPUTED_VALUE"""),75229.0)</f>
        <v>75229</v>
      </c>
      <c r="J942" s="22"/>
      <c r="K942" s="22"/>
      <c r="L942" s="22"/>
      <c r="M942" s="22"/>
      <c r="N942" s="22"/>
      <c r="O942" s="22"/>
      <c r="P942" s="22"/>
      <c r="Q942" s="22"/>
      <c r="R942" s="22"/>
      <c r="S942" s="22"/>
      <c r="T942" s="22"/>
      <c r="U942" s="24" t="str">
        <f>IFERROR(__xludf.DUMMYFUNCTION("SPLIT(E942,""01234567890"")"),"Maggie
")</f>
        <v>Maggie
</v>
      </c>
      <c r="V942" s="24" t="str">
        <f>IFERROR(__xludf.DUMMYFUNCTION("SPLIT(D942,"","")"),"Murchison")</f>
        <v>Murchison</v>
      </c>
      <c r="W942" s="25" t="str">
        <f t="shared" si="1"/>
        <v>MAGGIE
 MURCHISON</v>
      </c>
      <c r="X942" s="22"/>
      <c r="Y942" s="22"/>
      <c r="Z942" s="25" t="str">
        <f>IFERROR(__xludf.DUMMYFUNCTION("SPLIT(C942,""
"")"),"Murchison, Maggie")</f>
        <v>Murchison, Maggie</v>
      </c>
      <c r="AA942" s="22" t="str">
        <f>IFERROR(__xludf.DUMMYFUNCTION("""COMPUTED_VALUE"""),"10131 Gaywood Rd")</f>
        <v>10131 Gaywood Rd</v>
      </c>
      <c r="AB942" s="22" t="str">
        <f>IFERROR(__xludf.DUMMYFUNCTION("""COMPUTED_VALUE"""),"Dallas, TX 75229")</f>
        <v>Dallas, TX 75229</v>
      </c>
      <c r="AC942" s="31" t="s">
        <v>1248</v>
      </c>
      <c r="AD942" s="22"/>
      <c r="AE942" s="22"/>
      <c r="AF942" s="22"/>
      <c r="AG942" s="22" t="s">
        <v>60</v>
      </c>
      <c r="AH942" s="54">
        <v>2481.0</v>
      </c>
      <c r="AI942" s="22" t="s">
        <v>68</v>
      </c>
      <c r="AJ942" s="27">
        <v>1000.0</v>
      </c>
      <c r="AK942" s="31" t="s">
        <v>25</v>
      </c>
      <c r="AL942" s="28">
        <v>44839.0</v>
      </c>
      <c r="AM942" s="29">
        <v>44937.81995370371</v>
      </c>
      <c r="AN942" s="30">
        <v>2.0</v>
      </c>
      <c r="AO942" s="22"/>
      <c r="AP942" s="22"/>
      <c r="AQ942" s="22"/>
      <c r="AR942" s="22"/>
      <c r="AS942" s="22"/>
      <c r="AT942" s="70"/>
      <c r="AU942" s="22"/>
      <c r="AV942" s="57"/>
      <c r="AW942" s="110" t="s">
        <v>45</v>
      </c>
      <c r="AX942" s="111">
        <f t="shared" ref="AX942:BQ942" si="2925">SUM(AX3:AX935)</f>
        <v>130574.6</v>
      </c>
      <c r="AY942" s="111">
        <f t="shared" si="2925"/>
        <v>18750</v>
      </c>
      <c r="AZ942" s="111">
        <f t="shared" si="2925"/>
        <v>33300</v>
      </c>
      <c r="BA942" s="111">
        <f t="shared" si="2925"/>
        <v>122130</v>
      </c>
      <c r="BB942" s="111">
        <f t="shared" si="2925"/>
        <v>781325</v>
      </c>
      <c r="BC942" s="111">
        <f t="shared" si="2925"/>
        <v>35850</v>
      </c>
      <c r="BD942" s="111">
        <f t="shared" si="2925"/>
        <v>26125</v>
      </c>
      <c r="BE942" s="111">
        <f t="shared" si="2925"/>
        <v>30000</v>
      </c>
      <c r="BF942" s="111">
        <f t="shared" si="2925"/>
        <v>28005</v>
      </c>
      <c r="BG942" s="111">
        <f t="shared" si="2925"/>
        <v>37250</v>
      </c>
      <c r="BH942" s="111">
        <f t="shared" si="2925"/>
        <v>43574</v>
      </c>
      <c r="BI942" s="111">
        <f t="shared" si="2925"/>
        <v>2668</v>
      </c>
      <c r="BJ942" s="111">
        <f t="shared" si="2925"/>
        <v>5400</v>
      </c>
      <c r="BK942" s="111">
        <f t="shared" si="2925"/>
        <v>21208.45</v>
      </c>
      <c r="BL942" s="111">
        <f t="shared" si="2925"/>
        <v>4100</v>
      </c>
      <c r="BM942" s="111">
        <f t="shared" si="2925"/>
        <v>8000</v>
      </c>
      <c r="BN942" s="111">
        <f t="shared" si="2925"/>
        <v>10000</v>
      </c>
      <c r="BO942" s="111">
        <f t="shared" si="2925"/>
        <v>1600</v>
      </c>
      <c r="BP942" s="111">
        <f t="shared" si="2925"/>
        <v>2000</v>
      </c>
      <c r="BQ942" s="112">
        <f t="shared" si="2925"/>
        <v>3624.9</v>
      </c>
      <c r="BS942" s="81"/>
      <c r="CU942" s="55"/>
      <c r="CV942" s="55"/>
      <c r="CW942" s="55"/>
      <c r="CX942" s="55"/>
      <c r="CY942" s="55"/>
      <c r="CZ942" s="55"/>
      <c r="DA942" s="82"/>
      <c r="DB942" s="55"/>
      <c r="DC942" s="55"/>
      <c r="DD942" s="55"/>
      <c r="DE942" s="55"/>
      <c r="DF942" s="55"/>
      <c r="DG942" s="55"/>
      <c r="DH942" s="55"/>
      <c r="DI942" s="55"/>
      <c r="DJ942" s="55"/>
      <c r="DK942" s="55"/>
      <c r="DL942" s="55"/>
      <c r="DM942" s="55"/>
      <c r="DN942" s="55"/>
      <c r="DO942" s="55"/>
      <c r="DP942" s="55"/>
      <c r="DQ942" s="55"/>
      <c r="DR942" s="55"/>
      <c r="DS942" s="55"/>
      <c r="DT942" s="55"/>
      <c r="DU942" s="55"/>
      <c r="DV942" s="55"/>
      <c r="DW942" s="55"/>
    </row>
    <row r="943">
      <c r="A943" s="40" t="s">
        <v>55</v>
      </c>
      <c r="B943" s="41" t="s">
        <v>56</v>
      </c>
      <c r="C943" s="31" t="s">
        <v>313</v>
      </c>
      <c r="D943" s="25" t="str">
        <f>IFERROR(__xludf.DUMMYFUNCTION("SPLIT(C943,"" "")"),"Barnes,")</f>
        <v>Barnes,</v>
      </c>
      <c r="E943" s="40" t="str">
        <f>IFERROR(__xludf.DUMMYFUNCTION("""COMPUTED_VALUE"""),"Madge
1100")</f>
        <v>Madge
1100</v>
      </c>
      <c r="F943" s="40" t="str">
        <f>IFERROR(__xludf.DUMMYFUNCTION("""COMPUTED_VALUE"""),"Lake")</f>
        <v>Lake</v>
      </c>
      <c r="G943" s="40" t="str">
        <f>IFERROR(__xludf.DUMMYFUNCTION("""COMPUTED_VALUE"""),"Carolyn")</f>
        <v>Carolyn</v>
      </c>
      <c r="H943" s="40" t="str">
        <f>IFERROR(__xludf.DUMMYFUNCTION("""COMPUTED_VALUE"""),"Pkwy
Irving,")</f>
        <v>Pkwy
Irving,</v>
      </c>
      <c r="I943" s="40" t="str">
        <f>IFERROR(__xludf.DUMMYFUNCTION("""COMPUTED_VALUE"""),"TX")</f>
        <v>TX</v>
      </c>
      <c r="J943" s="40">
        <f>IFERROR(__xludf.DUMMYFUNCTION("""COMPUTED_VALUE"""),75039.0)</f>
        <v>75039</v>
      </c>
      <c r="K943" s="40"/>
      <c r="L943" s="40"/>
      <c r="M943" s="40"/>
      <c r="N943" s="40"/>
      <c r="O943" s="40"/>
      <c r="P943" s="40"/>
      <c r="Q943" s="40"/>
      <c r="R943" s="40"/>
      <c r="S943" s="40"/>
      <c r="T943" s="40"/>
      <c r="U943" s="24" t="str">
        <f>IFERROR(__xludf.DUMMYFUNCTION("SPLIT(E943,""01234567890"")"),"Madge
")</f>
        <v>Madge
</v>
      </c>
      <c r="V943" s="24" t="str">
        <f>IFERROR(__xludf.DUMMYFUNCTION("SPLIT(D943,"","")"),"Barnes")</f>
        <v>Barnes</v>
      </c>
      <c r="W943" s="25" t="str">
        <f t="shared" si="1"/>
        <v>MADGE
 BARNES</v>
      </c>
      <c r="X943" s="40"/>
      <c r="Y943" s="40"/>
      <c r="Z943" s="25" t="str">
        <f>IFERROR(__xludf.DUMMYFUNCTION("SPLIT(C943,""
"")"),"Barnes, Madge")</f>
        <v>Barnes, Madge</v>
      </c>
      <c r="AA943" s="40" t="str">
        <f>IFERROR(__xludf.DUMMYFUNCTION("""COMPUTED_VALUE"""),"1100 Lake Carolyn Pkwy")</f>
        <v>1100 Lake Carolyn Pkwy</v>
      </c>
      <c r="AB943" s="40" t="str">
        <f>IFERROR(__xludf.DUMMYFUNCTION("""COMPUTED_VALUE"""),"Irving, TX 75039")</f>
        <v>Irving, TX 75039</v>
      </c>
      <c r="AC943" s="31" t="s">
        <v>315</v>
      </c>
      <c r="AD943" s="40"/>
      <c r="AE943" s="40"/>
      <c r="AF943" s="40"/>
      <c r="AG943" s="40" t="s">
        <v>60</v>
      </c>
      <c r="AH943" s="42">
        <v>2481.0</v>
      </c>
      <c r="AI943" s="40" t="s">
        <v>68</v>
      </c>
      <c r="AJ943" s="27">
        <v>100.0</v>
      </c>
      <c r="AK943" s="31" t="s">
        <v>25</v>
      </c>
      <c r="AL943" s="43">
        <v>44839.0</v>
      </c>
      <c r="AM943" s="44">
        <v>44937.81995370371</v>
      </c>
      <c r="AN943" s="30">
        <v>2.0</v>
      </c>
      <c r="AO943" s="40"/>
      <c r="AP943" s="40"/>
      <c r="AQ943" s="40"/>
      <c r="AR943" s="40"/>
      <c r="AS943" s="40"/>
      <c r="AT943" s="47"/>
      <c r="AU943" s="40"/>
      <c r="AV943" s="46"/>
      <c r="AW943" s="113" t="s">
        <v>2270</v>
      </c>
      <c r="AX943" s="114">
        <f t="shared" ref="AX943:BQ943" si="2926">AX941/AX942</f>
        <v>0.2896122217</v>
      </c>
      <c r="AY943" s="114">
        <f t="shared" si="2926"/>
        <v>0.2133333333</v>
      </c>
      <c r="AZ943" s="114">
        <f t="shared" si="2926"/>
        <v>0.2102102102</v>
      </c>
      <c r="BA943" s="114">
        <f t="shared" si="2926"/>
        <v>0.2444116925</v>
      </c>
      <c r="BB943" s="114">
        <f t="shared" si="2926"/>
        <v>0.1683038428</v>
      </c>
      <c r="BC943" s="114">
        <f t="shared" si="2926"/>
        <v>0.2845188285</v>
      </c>
      <c r="BD943" s="114">
        <f t="shared" si="2926"/>
        <v>0.2105263158</v>
      </c>
      <c r="BE943" s="114">
        <f t="shared" si="2926"/>
        <v>0.7</v>
      </c>
      <c r="BF943" s="114">
        <f t="shared" si="2926"/>
        <v>0.2499553651</v>
      </c>
      <c r="BG943" s="114">
        <f t="shared" si="2926"/>
        <v>0.1610738255</v>
      </c>
      <c r="BH943" s="114">
        <f t="shared" si="2926"/>
        <v>0.06150456694</v>
      </c>
      <c r="BI943" s="114">
        <f t="shared" si="2926"/>
        <v>0</v>
      </c>
      <c r="BJ943" s="114">
        <f t="shared" si="2926"/>
        <v>0.5555555556</v>
      </c>
      <c r="BK943" s="114">
        <f t="shared" si="2926"/>
        <v>0.2499003935</v>
      </c>
      <c r="BL943" s="114">
        <f t="shared" si="2926"/>
        <v>0.487804878</v>
      </c>
      <c r="BM943" s="114">
        <f t="shared" si="2926"/>
        <v>0.75</v>
      </c>
      <c r="BN943" s="114">
        <f t="shared" si="2926"/>
        <v>0.3</v>
      </c>
      <c r="BO943" s="114">
        <f t="shared" si="2926"/>
        <v>0</v>
      </c>
      <c r="BP943" s="114">
        <f t="shared" si="2926"/>
        <v>0</v>
      </c>
      <c r="BQ943" s="115">
        <f t="shared" si="2926"/>
        <v>0.2758696792</v>
      </c>
      <c r="BS943" s="81"/>
      <c r="CU943" s="55"/>
      <c r="CV943" s="55"/>
      <c r="CW943" s="55"/>
      <c r="CX943" s="55"/>
      <c r="CY943" s="55"/>
      <c r="CZ943" s="55"/>
      <c r="DA943" s="82"/>
      <c r="DB943" s="55"/>
      <c r="DC943" s="55"/>
      <c r="DD943" s="55"/>
      <c r="DE943" s="55"/>
      <c r="DF943" s="55"/>
      <c r="DG943" s="55"/>
      <c r="DH943" s="55"/>
      <c r="DI943" s="55"/>
      <c r="DJ943" s="55"/>
      <c r="DK943" s="55"/>
      <c r="DL943" s="55"/>
      <c r="DM943" s="55"/>
      <c r="DN943" s="55"/>
      <c r="DO943" s="55"/>
      <c r="DP943" s="55"/>
      <c r="DQ943" s="55"/>
      <c r="DR943" s="55"/>
      <c r="DS943" s="55"/>
      <c r="DT943" s="55"/>
      <c r="DU943" s="55"/>
      <c r="DV943" s="55"/>
      <c r="DW943" s="55"/>
    </row>
    <row r="944">
      <c r="A944" s="22" t="s">
        <v>55</v>
      </c>
      <c r="B944" s="23" t="s">
        <v>56</v>
      </c>
      <c r="C944" s="31" t="s">
        <v>2271</v>
      </c>
      <c r="D944" s="25" t="str">
        <f>IFERROR(__xludf.DUMMYFUNCTION("SPLIT(C944,"" "")"),"Jones,")</f>
        <v>Jones,</v>
      </c>
      <c r="E944" s="22" t="str">
        <f>IFERROR(__xludf.DUMMYFUNCTION("""COMPUTED_VALUE"""),"Dale
700")</f>
        <v>Dale
700</v>
      </c>
      <c r="F944" s="22" t="str">
        <f>IFERROR(__xludf.DUMMYFUNCTION("""COMPUTED_VALUE"""),"Park")</f>
        <v>Park</v>
      </c>
      <c r="G944" s="22" t="str">
        <f>IFERROR(__xludf.DUMMYFUNCTION("""COMPUTED_VALUE"""),"Regency")</f>
        <v>Regency</v>
      </c>
      <c r="H944" s="22" t="str">
        <f>IFERROR(__xludf.DUMMYFUNCTION("""COMPUTED_VALUE"""),"Place
Atlanta,")</f>
        <v>Place
Atlanta,</v>
      </c>
      <c r="I944" s="22" t="str">
        <f>IFERROR(__xludf.DUMMYFUNCTION("""COMPUTED_VALUE"""),"GA")</f>
        <v>GA</v>
      </c>
      <c r="J944" s="22">
        <f>IFERROR(__xludf.DUMMYFUNCTION("""COMPUTED_VALUE"""),30326.0)</f>
        <v>30326</v>
      </c>
      <c r="K944" s="22"/>
      <c r="L944" s="22"/>
      <c r="M944" s="22"/>
      <c r="N944" s="22"/>
      <c r="O944" s="22"/>
      <c r="P944" s="22"/>
      <c r="Q944" s="22"/>
      <c r="R944" s="22"/>
      <c r="S944" s="22"/>
      <c r="T944" s="22"/>
      <c r="U944" s="24" t="str">
        <f>IFERROR(__xludf.DUMMYFUNCTION("SPLIT(E944,""01234567890"")"),"Dale
")</f>
        <v>Dale
</v>
      </c>
      <c r="V944" s="24" t="str">
        <f>IFERROR(__xludf.DUMMYFUNCTION("SPLIT(D944,"","")"),"Jones")</f>
        <v>Jones</v>
      </c>
      <c r="W944" s="25" t="str">
        <f t="shared" si="1"/>
        <v>DALE
 JONES</v>
      </c>
      <c r="X944" s="22"/>
      <c r="Y944" s="22"/>
      <c r="Z944" s="25" t="str">
        <f>IFERROR(__xludf.DUMMYFUNCTION("SPLIT(C944,""
"")"),"Jones, Dale")</f>
        <v>Jones, Dale</v>
      </c>
      <c r="AA944" s="22" t="str">
        <f>IFERROR(__xludf.DUMMYFUNCTION("""COMPUTED_VALUE"""),"700 Park Regency Place")</f>
        <v>700 Park Regency Place</v>
      </c>
      <c r="AB944" s="22" t="str">
        <f>IFERROR(__xludf.DUMMYFUNCTION("""COMPUTED_VALUE"""),"Atlanta, GA 30326")</f>
        <v>Atlanta, GA 30326</v>
      </c>
      <c r="AC944" s="31" t="s">
        <v>2272</v>
      </c>
      <c r="AD944" s="22"/>
      <c r="AE944" s="22"/>
      <c r="AF944" s="22"/>
      <c r="AG944" s="22" t="s">
        <v>60</v>
      </c>
      <c r="AH944" s="54">
        <v>2481.0</v>
      </c>
      <c r="AI944" s="22" t="s">
        <v>68</v>
      </c>
      <c r="AJ944" s="27">
        <v>1000.0</v>
      </c>
      <c r="AK944" s="31" t="s">
        <v>25</v>
      </c>
      <c r="AL944" s="28">
        <v>44839.0</v>
      </c>
      <c r="AM944" s="29">
        <v>44937.81995370371</v>
      </c>
      <c r="AN944" s="30">
        <v>2.0</v>
      </c>
      <c r="AO944" s="22"/>
      <c r="AP944" s="22"/>
      <c r="AQ944" s="22"/>
      <c r="AR944" s="22"/>
      <c r="AS944" s="22"/>
      <c r="AT944" s="70"/>
      <c r="AU944" s="22"/>
      <c r="AV944" s="57"/>
      <c r="AW944" s="57"/>
      <c r="AX944" s="47"/>
      <c r="AY944" s="29"/>
      <c r="AZ944" s="30"/>
      <c r="BS944" s="81"/>
      <c r="CU944" s="55"/>
      <c r="CV944" s="55"/>
      <c r="CW944" s="55"/>
      <c r="CX944" s="55"/>
      <c r="CY944" s="55"/>
      <c r="CZ944" s="55"/>
      <c r="DA944" s="82"/>
      <c r="DB944" s="55"/>
      <c r="DC944" s="55"/>
      <c r="DD944" s="55"/>
      <c r="DE944" s="55"/>
      <c r="DF944" s="55"/>
      <c r="DG944" s="55"/>
      <c r="DH944" s="55"/>
      <c r="DI944" s="55"/>
      <c r="DJ944" s="55"/>
      <c r="DK944" s="55"/>
      <c r="DL944" s="55"/>
      <c r="DM944" s="55"/>
      <c r="DN944" s="55"/>
      <c r="DO944" s="55"/>
      <c r="DP944" s="55"/>
      <c r="DQ944" s="55"/>
      <c r="DR944" s="55"/>
      <c r="DS944" s="55"/>
      <c r="DT944" s="55"/>
      <c r="DU944" s="55"/>
      <c r="DV944" s="55"/>
      <c r="DW944" s="55"/>
    </row>
    <row r="945">
      <c r="A945" s="40" t="s">
        <v>55</v>
      </c>
      <c r="B945" s="41" t="s">
        <v>56</v>
      </c>
      <c r="C945" s="31" t="s">
        <v>2273</v>
      </c>
      <c r="D945" s="25" t="str">
        <f>IFERROR(__xludf.DUMMYFUNCTION("SPLIT(C945,"" "")"),"Townsend,")</f>
        <v>Townsend,</v>
      </c>
      <c r="E945" s="40" t="str">
        <f>IFERROR(__xludf.DUMMYFUNCTION("""COMPUTED_VALUE"""),"KB
PO")</f>
        <v>KB
PO</v>
      </c>
      <c r="F945" s="40" t="str">
        <f>IFERROR(__xludf.DUMMYFUNCTION("""COMPUTED_VALUE"""),"Box")</f>
        <v>Box</v>
      </c>
      <c r="G945" s="40" t="str">
        <f>IFERROR(__xludf.DUMMYFUNCTION("""COMPUTED_VALUE"""),"720231
Dallas,")</f>
        <v>720231
Dallas,</v>
      </c>
      <c r="H945" s="40" t="str">
        <f>IFERROR(__xludf.DUMMYFUNCTION("""COMPUTED_VALUE"""),"TX")</f>
        <v>TX</v>
      </c>
      <c r="I945" s="40">
        <f>IFERROR(__xludf.DUMMYFUNCTION("""COMPUTED_VALUE"""),75372.0)</f>
        <v>75372</v>
      </c>
      <c r="J945" s="40"/>
      <c r="K945" s="40"/>
      <c r="L945" s="40"/>
      <c r="M945" s="40"/>
      <c r="N945" s="40"/>
      <c r="O945" s="40"/>
      <c r="P945" s="40"/>
      <c r="Q945" s="40"/>
      <c r="R945" s="40"/>
      <c r="S945" s="40"/>
      <c r="T945" s="40"/>
      <c r="U945" s="24" t="str">
        <f>IFERROR(__xludf.DUMMYFUNCTION("SPLIT(E945,""01234567890"")"),"KB
PO")</f>
        <v>KB
PO</v>
      </c>
      <c r="V945" s="24" t="str">
        <f>IFERROR(__xludf.DUMMYFUNCTION("SPLIT(D945,"","")"),"Townsend")</f>
        <v>Townsend</v>
      </c>
      <c r="W945" s="25" t="str">
        <f t="shared" si="1"/>
        <v>KB
PO TOWNSEND</v>
      </c>
      <c r="X945" s="40"/>
      <c r="Y945" s="40"/>
      <c r="Z945" s="25" t="str">
        <f>IFERROR(__xludf.DUMMYFUNCTION("SPLIT(C945,""
"")"),"Townsend, KB")</f>
        <v>Townsend, KB</v>
      </c>
      <c r="AA945" s="40" t="str">
        <f>IFERROR(__xludf.DUMMYFUNCTION("""COMPUTED_VALUE"""),"PO Box 720231")</f>
        <v>PO Box 720231</v>
      </c>
      <c r="AB945" s="40" t="str">
        <f>IFERROR(__xludf.DUMMYFUNCTION("""COMPUTED_VALUE"""),"Dallas, TX 75372")</f>
        <v>Dallas, TX 75372</v>
      </c>
      <c r="AC945" s="31" t="s">
        <v>2274</v>
      </c>
      <c r="AD945" s="40"/>
      <c r="AE945" s="40"/>
      <c r="AF945" s="40"/>
      <c r="AG945" s="40" t="s">
        <v>60</v>
      </c>
      <c r="AH945" s="42">
        <v>2481.0</v>
      </c>
      <c r="AI945" s="40" t="s">
        <v>68</v>
      </c>
      <c r="AJ945" s="27">
        <v>150.0</v>
      </c>
      <c r="AK945" s="31" t="s">
        <v>25</v>
      </c>
      <c r="AL945" s="43">
        <v>44839.0</v>
      </c>
      <c r="AM945" s="44">
        <v>44937.81995370371</v>
      </c>
      <c r="AN945" s="30">
        <v>2.0</v>
      </c>
      <c r="AO945" s="40"/>
      <c r="AP945" s="40"/>
      <c r="AQ945" s="40"/>
      <c r="AR945" s="40"/>
      <c r="AS945" s="40"/>
      <c r="AT945" s="47"/>
      <c r="AU945" s="40"/>
      <c r="AV945" s="46"/>
      <c r="AW945" s="110" t="s">
        <v>2275</v>
      </c>
      <c r="AX945" s="116">
        <f>COUNTIF(BS1:BS935,"&gt;1")</f>
        <v>164</v>
      </c>
      <c r="AY945" s="44"/>
      <c r="AZ945" s="30"/>
      <c r="BS945" s="81"/>
      <c r="CU945" s="55"/>
      <c r="CV945" s="55"/>
      <c r="CW945" s="55"/>
      <c r="CX945" s="55"/>
      <c r="CY945" s="55"/>
      <c r="CZ945" s="55"/>
      <c r="DA945" s="82"/>
      <c r="DB945" s="55"/>
      <c r="DC945" s="55"/>
      <c r="DD945" s="55"/>
      <c r="DE945" s="55"/>
      <c r="DF945" s="55"/>
      <c r="DG945" s="55"/>
      <c r="DH945" s="55"/>
      <c r="DI945" s="55"/>
      <c r="DJ945" s="55"/>
      <c r="DK945" s="55"/>
      <c r="DL945" s="55"/>
      <c r="DM945" s="55"/>
      <c r="DN945" s="55"/>
      <c r="DO945" s="55"/>
      <c r="DP945" s="55"/>
      <c r="DQ945" s="55"/>
      <c r="DR945" s="55"/>
      <c r="DS945" s="55"/>
      <c r="DT945" s="55"/>
      <c r="DU945" s="55"/>
      <c r="DV945" s="55"/>
      <c r="DW945" s="55"/>
    </row>
    <row r="946">
      <c r="A946" s="22" t="s">
        <v>55</v>
      </c>
      <c r="B946" s="23" t="s">
        <v>56</v>
      </c>
      <c r="C946" s="31" t="s">
        <v>2276</v>
      </c>
      <c r="D946" s="25" t="str">
        <f>IFERROR(__xludf.DUMMYFUNCTION("SPLIT(C946,"" "")"),"Haggerty,")</f>
        <v>Haggerty,</v>
      </c>
      <c r="E946" s="22" t="str">
        <f>IFERROR(__xludf.DUMMYFUNCTION("""COMPUTED_VALUE"""),"Clint
1221")</f>
        <v>Clint
1221</v>
      </c>
      <c r="F946" s="22" t="str">
        <f>IFERROR(__xludf.DUMMYFUNCTION("""COMPUTED_VALUE"""),"Manufacturing")</f>
        <v>Manufacturing</v>
      </c>
      <c r="G946" s="22" t="str">
        <f>IFERROR(__xludf.DUMMYFUNCTION("""COMPUTED_VALUE"""),"St
Dallas,")</f>
        <v>St
Dallas,</v>
      </c>
      <c r="H946" s="22" t="str">
        <f>IFERROR(__xludf.DUMMYFUNCTION("""COMPUTED_VALUE"""),"TX")</f>
        <v>TX</v>
      </c>
      <c r="I946" s="22">
        <f>IFERROR(__xludf.DUMMYFUNCTION("""COMPUTED_VALUE"""),75207.0)</f>
        <v>75207</v>
      </c>
      <c r="J946" s="22"/>
      <c r="K946" s="22"/>
      <c r="L946" s="22"/>
      <c r="M946" s="22"/>
      <c r="N946" s="22"/>
      <c r="O946" s="22"/>
      <c r="P946" s="22"/>
      <c r="Q946" s="22"/>
      <c r="R946" s="22"/>
      <c r="S946" s="22"/>
      <c r="T946" s="22"/>
      <c r="U946" s="24" t="str">
        <f>IFERROR(__xludf.DUMMYFUNCTION("SPLIT(E946,""01234567890"")"),"Clint
")</f>
        <v>Clint
</v>
      </c>
      <c r="V946" s="24" t="str">
        <f>IFERROR(__xludf.DUMMYFUNCTION("SPLIT(D946,"","")"),"Haggerty")</f>
        <v>Haggerty</v>
      </c>
      <c r="W946" s="25" t="str">
        <f t="shared" si="1"/>
        <v>CLINT
 HAGGERTY</v>
      </c>
      <c r="X946" s="22"/>
      <c r="Y946" s="22"/>
      <c r="Z946" s="25" t="str">
        <f>IFERROR(__xludf.DUMMYFUNCTION("SPLIT(C946,""
"")"),"Haggerty, Clint")</f>
        <v>Haggerty, Clint</v>
      </c>
      <c r="AA946" s="22" t="str">
        <f>IFERROR(__xludf.DUMMYFUNCTION("""COMPUTED_VALUE"""),"1221 Manufacturing St")</f>
        <v>1221 Manufacturing St</v>
      </c>
      <c r="AB946" s="22" t="str">
        <f>IFERROR(__xludf.DUMMYFUNCTION("""COMPUTED_VALUE"""),"Dallas, TX 75207")</f>
        <v>Dallas, TX 75207</v>
      </c>
      <c r="AC946" s="31" t="s">
        <v>2277</v>
      </c>
      <c r="AD946" s="22"/>
      <c r="AE946" s="22"/>
      <c r="AF946" s="22"/>
      <c r="AG946" s="22" t="s">
        <v>60</v>
      </c>
      <c r="AH946" s="54">
        <v>2481.0</v>
      </c>
      <c r="AI946" s="22" t="s">
        <v>68</v>
      </c>
      <c r="AJ946" s="27">
        <v>100.0</v>
      </c>
      <c r="AK946" s="31" t="s">
        <v>25</v>
      </c>
      <c r="AL946" s="28">
        <v>44839.0</v>
      </c>
      <c r="AM946" s="29">
        <v>44937.81995370371</v>
      </c>
      <c r="AN946" s="30">
        <v>2.0</v>
      </c>
      <c r="AO946" s="22"/>
      <c r="AP946" s="22"/>
      <c r="AQ946" s="22"/>
      <c r="AR946" s="22"/>
      <c r="AS946" s="22"/>
      <c r="AT946" s="70"/>
      <c r="AU946" s="22"/>
      <c r="AV946" s="57"/>
      <c r="AW946" s="117" t="s">
        <v>2278</v>
      </c>
      <c r="AX946" s="118">
        <v>932.0</v>
      </c>
      <c r="AY946" s="29"/>
      <c r="AZ946" s="30"/>
      <c r="BS946" s="81"/>
      <c r="CU946" s="55"/>
      <c r="CV946" s="55"/>
      <c r="CW946" s="55"/>
      <c r="CX946" s="55"/>
      <c r="CY946" s="55"/>
      <c r="CZ946" s="55"/>
      <c r="DA946" s="82"/>
      <c r="DB946" s="55"/>
      <c r="DC946" s="55"/>
      <c r="DD946" s="55"/>
      <c r="DE946" s="55"/>
      <c r="DF946" s="55"/>
      <c r="DG946" s="55"/>
      <c r="DH946" s="55"/>
      <c r="DI946" s="55"/>
      <c r="DJ946" s="55"/>
      <c r="DK946" s="55"/>
      <c r="DL946" s="55"/>
      <c r="DM946" s="55"/>
      <c r="DN946" s="55"/>
      <c r="DO946" s="55"/>
      <c r="DP946" s="55"/>
      <c r="DQ946" s="55"/>
      <c r="DR946" s="55"/>
      <c r="DS946" s="55"/>
      <c r="DT946" s="55"/>
      <c r="DU946" s="55"/>
      <c r="DV946" s="55"/>
      <c r="DW946" s="55"/>
    </row>
    <row r="947">
      <c r="A947" s="40" t="s">
        <v>55</v>
      </c>
      <c r="B947" s="41" t="s">
        <v>56</v>
      </c>
      <c r="C947" s="31" t="s">
        <v>2279</v>
      </c>
      <c r="D947" s="25" t="str">
        <f>IFERROR(__xludf.DUMMYFUNCTION("SPLIT(C947,"" "")"),"Koop,")</f>
        <v>Koop,</v>
      </c>
      <c r="E947" s="40" t="str">
        <f>IFERROR(__xludf.DUMMYFUNCTION("""COMPUTED_VALUE"""),"Linda
15210")</f>
        <v>Linda
15210</v>
      </c>
      <c r="F947" s="40" t="str">
        <f>IFERROR(__xludf.DUMMYFUNCTION("""COMPUTED_VALUE"""),"Leafy")</f>
        <v>Leafy</v>
      </c>
      <c r="G947" s="40" t="str">
        <f>IFERROR(__xludf.DUMMYFUNCTION("""COMPUTED_VALUE"""),"Ln
Dallas,")</f>
        <v>Ln
Dallas,</v>
      </c>
      <c r="H947" s="40" t="str">
        <f>IFERROR(__xludf.DUMMYFUNCTION("""COMPUTED_VALUE"""),"TX")</f>
        <v>TX</v>
      </c>
      <c r="I947" s="40">
        <f>IFERROR(__xludf.DUMMYFUNCTION("""COMPUTED_VALUE"""),75248.0)</f>
        <v>75248</v>
      </c>
      <c r="J947" s="40"/>
      <c r="K947" s="40"/>
      <c r="L947" s="40"/>
      <c r="M947" s="40"/>
      <c r="N947" s="40"/>
      <c r="O947" s="40"/>
      <c r="P947" s="40"/>
      <c r="Q947" s="40"/>
      <c r="R947" s="40"/>
      <c r="S947" s="40"/>
      <c r="T947" s="40"/>
      <c r="U947" s="24" t="str">
        <f>IFERROR(__xludf.DUMMYFUNCTION("SPLIT(E947,""01234567890"")"),"Linda
")</f>
        <v>Linda
</v>
      </c>
      <c r="V947" s="24" t="str">
        <f>IFERROR(__xludf.DUMMYFUNCTION("SPLIT(D947,"","")"),"Koop")</f>
        <v>Koop</v>
      </c>
      <c r="W947" s="25" t="str">
        <f t="shared" si="1"/>
        <v>LINDA
 KOOP</v>
      </c>
      <c r="X947" s="40"/>
      <c r="Y947" s="40"/>
      <c r="Z947" s="25" t="str">
        <f>IFERROR(__xludf.DUMMYFUNCTION("SPLIT(C947,""
"")"),"Koop, Linda")</f>
        <v>Koop, Linda</v>
      </c>
      <c r="AA947" s="40" t="str">
        <f>IFERROR(__xludf.DUMMYFUNCTION("""COMPUTED_VALUE"""),"15210 Leafy Ln")</f>
        <v>15210 Leafy Ln</v>
      </c>
      <c r="AB947" s="40" t="str">
        <f>IFERROR(__xludf.DUMMYFUNCTION("""COMPUTED_VALUE"""),"Dallas, TX 75248")</f>
        <v>Dallas, TX 75248</v>
      </c>
      <c r="AC947" s="31" t="s">
        <v>2280</v>
      </c>
      <c r="AD947" s="40"/>
      <c r="AE947" s="40"/>
      <c r="AF947" s="40"/>
      <c r="AG947" s="40" t="s">
        <v>60</v>
      </c>
      <c r="AH947" s="42">
        <v>2481.0</v>
      </c>
      <c r="AI947" s="40" t="s">
        <v>68</v>
      </c>
      <c r="AJ947" s="27">
        <v>100.0</v>
      </c>
      <c r="AK947" s="31" t="s">
        <v>25</v>
      </c>
      <c r="AL947" s="43">
        <v>44839.0</v>
      </c>
      <c r="AM947" s="44">
        <v>44937.81995370371</v>
      </c>
      <c r="AN947" s="30">
        <v>2.0</v>
      </c>
      <c r="AO947" s="40"/>
      <c r="AP947" s="40"/>
      <c r="AQ947" s="40"/>
      <c r="AR947" s="40"/>
      <c r="AS947" s="40"/>
      <c r="AT947" s="47"/>
      <c r="AU947" s="40"/>
      <c r="AV947" s="46"/>
      <c r="AW947" s="119" t="s">
        <v>2281</v>
      </c>
      <c r="AX947" s="116">
        <f>COUNTIF(BT1:BT935,"&gt;0")</f>
        <v>0</v>
      </c>
      <c r="AY947" s="44"/>
      <c r="AZ947" s="30"/>
      <c r="BS947" s="81"/>
      <c r="CU947" s="55"/>
      <c r="CV947" s="55"/>
      <c r="CW947" s="55"/>
      <c r="CX947" s="55"/>
      <c r="CY947" s="55"/>
      <c r="CZ947" s="55"/>
      <c r="DA947" s="82"/>
      <c r="DB947" s="55"/>
      <c r="DC947" s="55"/>
      <c r="DD947" s="55"/>
      <c r="DE947" s="55"/>
      <c r="DF947" s="55"/>
      <c r="DG947" s="55"/>
      <c r="DH947" s="55"/>
      <c r="DI947" s="55"/>
      <c r="DJ947" s="55"/>
      <c r="DK947" s="55"/>
      <c r="DL947" s="55"/>
      <c r="DM947" s="55"/>
      <c r="DN947" s="55"/>
      <c r="DO947" s="55"/>
      <c r="DP947" s="55"/>
      <c r="DQ947" s="55"/>
      <c r="DR947" s="55"/>
      <c r="DS947" s="55"/>
      <c r="DT947" s="55"/>
      <c r="DU947" s="55"/>
      <c r="DV947" s="55"/>
      <c r="DW947" s="55"/>
    </row>
    <row r="948">
      <c r="A948" s="22" t="s">
        <v>55</v>
      </c>
      <c r="B948" s="23" t="s">
        <v>56</v>
      </c>
      <c r="C948" s="31" t="s">
        <v>2279</v>
      </c>
      <c r="D948" s="25" t="str">
        <f>IFERROR(__xludf.DUMMYFUNCTION("SPLIT(C948,"" "")"),"Koop,")</f>
        <v>Koop,</v>
      </c>
      <c r="E948" s="22" t="str">
        <f>IFERROR(__xludf.DUMMYFUNCTION("""COMPUTED_VALUE"""),"Linda
15210")</f>
        <v>Linda
15210</v>
      </c>
      <c r="F948" s="22" t="str">
        <f>IFERROR(__xludf.DUMMYFUNCTION("""COMPUTED_VALUE"""),"Leafy")</f>
        <v>Leafy</v>
      </c>
      <c r="G948" s="22" t="str">
        <f>IFERROR(__xludf.DUMMYFUNCTION("""COMPUTED_VALUE"""),"Ln
Dallas,")</f>
        <v>Ln
Dallas,</v>
      </c>
      <c r="H948" s="22" t="str">
        <f>IFERROR(__xludf.DUMMYFUNCTION("""COMPUTED_VALUE"""),"TX")</f>
        <v>TX</v>
      </c>
      <c r="I948" s="22">
        <f>IFERROR(__xludf.DUMMYFUNCTION("""COMPUTED_VALUE"""),75248.0)</f>
        <v>75248</v>
      </c>
      <c r="J948" s="22"/>
      <c r="K948" s="22"/>
      <c r="L948" s="22"/>
      <c r="M948" s="22"/>
      <c r="N948" s="22"/>
      <c r="O948" s="22"/>
      <c r="P948" s="22"/>
      <c r="Q948" s="22"/>
      <c r="R948" s="22"/>
      <c r="S948" s="22"/>
      <c r="T948" s="22"/>
      <c r="U948" s="24" t="str">
        <f>IFERROR(__xludf.DUMMYFUNCTION("SPLIT(E948,""01234567890"")"),"Linda
")</f>
        <v>Linda
</v>
      </c>
      <c r="V948" s="24" t="str">
        <f>IFERROR(__xludf.DUMMYFUNCTION("SPLIT(D948,"","")"),"Koop")</f>
        <v>Koop</v>
      </c>
      <c r="W948" s="25" t="str">
        <f t="shared" si="1"/>
        <v>LINDA
 KOOP</v>
      </c>
      <c r="X948" s="22"/>
      <c r="Y948" s="22"/>
      <c r="Z948" s="25" t="str">
        <f>IFERROR(__xludf.DUMMYFUNCTION("SPLIT(C948,""
"")"),"Koop, Linda")</f>
        <v>Koop, Linda</v>
      </c>
      <c r="AA948" s="22" t="str">
        <f>IFERROR(__xludf.DUMMYFUNCTION("""COMPUTED_VALUE"""),"15210 Leafy Ln")</f>
        <v>15210 Leafy Ln</v>
      </c>
      <c r="AB948" s="22" t="str">
        <f>IFERROR(__xludf.DUMMYFUNCTION("""COMPUTED_VALUE"""),"Dallas, TX 75248")</f>
        <v>Dallas, TX 75248</v>
      </c>
      <c r="AC948" s="31" t="s">
        <v>2280</v>
      </c>
      <c r="AD948" s="22"/>
      <c r="AE948" s="22"/>
      <c r="AF948" s="22"/>
      <c r="AG948" s="22" t="s">
        <v>60</v>
      </c>
      <c r="AH948" s="54">
        <v>2481.0</v>
      </c>
      <c r="AI948" s="22" t="s">
        <v>68</v>
      </c>
      <c r="AJ948" s="27">
        <v>100.0</v>
      </c>
      <c r="AK948" s="31" t="s">
        <v>25</v>
      </c>
      <c r="AL948" s="28">
        <v>44839.0</v>
      </c>
      <c r="AM948" s="29">
        <v>44937.81995370371</v>
      </c>
      <c r="AN948" s="30">
        <v>2.0</v>
      </c>
      <c r="AO948" s="22"/>
      <c r="AP948" s="22"/>
      <c r="AQ948" s="22"/>
      <c r="AR948" s="22"/>
      <c r="AS948" s="22"/>
      <c r="AT948" s="70"/>
      <c r="AU948" s="22"/>
      <c r="AV948" s="57"/>
      <c r="AW948" s="57"/>
      <c r="AX948" s="47"/>
      <c r="AY948" s="29"/>
      <c r="AZ948" s="30"/>
      <c r="BS948" s="81"/>
      <c r="CU948" s="55"/>
      <c r="CV948" s="55"/>
      <c r="CW948" s="55"/>
      <c r="CX948" s="55"/>
      <c r="CY948" s="55"/>
      <c r="CZ948" s="55"/>
      <c r="DA948" s="82"/>
      <c r="DB948" s="55"/>
      <c r="DC948" s="55"/>
      <c r="DD948" s="55"/>
      <c r="DE948" s="55"/>
      <c r="DF948" s="55"/>
      <c r="DG948" s="55"/>
      <c r="DH948" s="55"/>
      <c r="DI948" s="55"/>
      <c r="DJ948" s="55"/>
      <c r="DK948" s="55"/>
      <c r="DL948" s="55"/>
      <c r="DM948" s="55"/>
      <c r="DN948" s="55"/>
      <c r="DO948" s="55"/>
      <c r="DP948" s="55"/>
      <c r="DQ948" s="55"/>
      <c r="DR948" s="55"/>
      <c r="DS948" s="55"/>
      <c r="DT948" s="55"/>
      <c r="DU948" s="55"/>
      <c r="DV948" s="55"/>
      <c r="DW948" s="55"/>
    </row>
    <row r="949">
      <c r="A949" s="40" t="s">
        <v>55</v>
      </c>
      <c r="B949" s="41" t="s">
        <v>56</v>
      </c>
      <c r="C949" s="31" t="s">
        <v>2282</v>
      </c>
      <c r="D949" s="25" t="str">
        <f>IFERROR(__xludf.DUMMYFUNCTION("SPLIT(C949,"" "")"),"Feuer,")</f>
        <v>Feuer,</v>
      </c>
      <c r="E949" s="40" t="str">
        <f>IFERROR(__xludf.DUMMYFUNCTION("""COMPUTED_VALUE"""),"Ian
822")</f>
        <v>Ian
822</v>
      </c>
      <c r="F949" s="40" t="str">
        <f>IFERROR(__xludf.DUMMYFUNCTION("""COMPUTED_VALUE"""),"Kings")</f>
        <v>Kings</v>
      </c>
      <c r="G949" s="40" t="str">
        <f>IFERROR(__xludf.DUMMYFUNCTION("""COMPUTED_VALUE"""),"Canyon")</f>
        <v>Canyon</v>
      </c>
      <c r="H949" s="40" t="str">
        <f>IFERROR(__xludf.DUMMYFUNCTION("""COMPUTED_VALUE"""),"Court
Coppell,")</f>
        <v>Court
Coppell,</v>
      </c>
      <c r="I949" s="40" t="str">
        <f>IFERROR(__xludf.DUMMYFUNCTION("""COMPUTED_VALUE"""),"TX")</f>
        <v>TX</v>
      </c>
      <c r="J949" s="40">
        <f>IFERROR(__xludf.DUMMYFUNCTION("""COMPUTED_VALUE"""),75019.0)</f>
        <v>75019</v>
      </c>
      <c r="K949" s="40"/>
      <c r="L949" s="40"/>
      <c r="M949" s="40"/>
      <c r="N949" s="40"/>
      <c r="O949" s="40"/>
      <c r="P949" s="40"/>
      <c r="Q949" s="40"/>
      <c r="R949" s="40"/>
      <c r="S949" s="40"/>
      <c r="T949" s="40"/>
      <c r="U949" s="24" t="str">
        <f>IFERROR(__xludf.DUMMYFUNCTION("SPLIT(E949,""01234567890"")"),"Ian
")</f>
        <v>Ian
</v>
      </c>
      <c r="V949" s="24" t="str">
        <f>IFERROR(__xludf.DUMMYFUNCTION("SPLIT(D949,"","")"),"Feuer")</f>
        <v>Feuer</v>
      </c>
      <c r="W949" s="25" t="str">
        <f t="shared" si="1"/>
        <v>IAN
 FEUER</v>
      </c>
      <c r="X949" s="40"/>
      <c r="Y949" s="40"/>
      <c r="Z949" s="25" t="str">
        <f>IFERROR(__xludf.DUMMYFUNCTION("SPLIT(C949,""
"")"),"Feuer, Ian")</f>
        <v>Feuer, Ian</v>
      </c>
      <c r="AA949" s="40" t="str">
        <f>IFERROR(__xludf.DUMMYFUNCTION("""COMPUTED_VALUE"""),"822 Kings Canyon Court")</f>
        <v>822 Kings Canyon Court</v>
      </c>
      <c r="AB949" s="40" t="str">
        <f>IFERROR(__xludf.DUMMYFUNCTION("""COMPUTED_VALUE"""),"Coppell, TX 75019")</f>
        <v>Coppell, TX 75019</v>
      </c>
      <c r="AC949" s="31" t="s">
        <v>2283</v>
      </c>
      <c r="AD949" s="40"/>
      <c r="AE949" s="40"/>
      <c r="AF949" s="40"/>
      <c r="AG949" s="40" t="s">
        <v>60</v>
      </c>
      <c r="AH949" s="42">
        <v>2481.0</v>
      </c>
      <c r="AI949" s="40" t="s">
        <v>68</v>
      </c>
      <c r="AJ949" s="27">
        <v>50.0</v>
      </c>
      <c r="AK949" s="31" t="s">
        <v>25</v>
      </c>
      <c r="AL949" s="43">
        <v>44839.0</v>
      </c>
      <c r="AM949" s="44">
        <v>44937.81995370371</v>
      </c>
      <c r="AN949" s="30">
        <v>2.0</v>
      </c>
      <c r="AO949" s="40"/>
      <c r="AP949" s="40"/>
      <c r="AQ949" s="40"/>
      <c r="AR949" s="40"/>
      <c r="AS949" s="40"/>
      <c r="AT949" s="47"/>
      <c r="AU949" s="40"/>
      <c r="AV949" s="46"/>
      <c r="AW949" s="46"/>
      <c r="AX949" s="47"/>
      <c r="AY949" s="44"/>
      <c r="AZ949" s="30"/>
      <c r="BS949" s="81"/>
      <c r="CU949" s="55"/>
      <c r="CV949" s="55"/>
      <c r="CW949" s="55"/>
      <c r="CX949" s="55"/>
      <c r="CY949" s="55"/>
      <c r="CZ949" s="55"/>
      <c r="DA949" s="82"/>
      <c r="DB949" s="55"/>
      <c r="DC949" s="55"/>
      <c r="DD949" s="55"/>
      <c r="DE949" s="55"/>
      <c r="DF949" s="55"/>
      <c r="DG949" s="55"/>
      <c r="DH949" s="55"/>
      <c r="DI949" s="55"/>
      <c r="DJ949" s="55"/>
      <c r="DK949" s="55"/>
      <c r="DL949" s="55"/>
      <c r="DM949" s="55"/>
      <c r="DN949" s="55"/>
      <c r="DO949" s="55"/>
      <c r="DP949" s="55"/>
      <c r="DQ949" s="55"/>
      <c r="DR949" s="55"/>
      <c r="DS949" s="55"/>
      <c r="DT949" s="55"/>
      <c r="DU949" s="55"/>
      <c r="DV949" s="55"/>
      <c r="DW949" s="55"/>
    </row>
    <row r="950">
      <c r="A950" s="22" t="s">
        <v>55</v>
      </c>
      <c r="B950" s="23" t="s">
        <v>56</v>
      </c>
      <c r="C950" s="31" t="s">
        <v>75</v>
      </c>
      <c r="D950" s="25" t="str">
        <f>IFERROR(__xludf.DUMMYFUNCTION("SPLIT(C950,"" "")"),"Abtahi,")</f>
        <v>Abtahi,</v>
      </c>
      <c r="E950" s="22" t="str">
        <f>IFERROR(__xludf.DUMMYFUNCTION("""COMPUTED_VALUE"""),"Robert
1126")</f>
        <v>Robert
1126</v>
      </c>
      <c r="F950" s="22" t="str">
        <f>IFERROR(__xludf.DUMMYFUNCTION("""COMPUTED_VALUE"""),"N")</f>
        <v>N</v>
      </c>
      <c r="G950" s="22" t="str">
        <f>IFERROR(__xludf.DUMMYFUNCTION("""COMPUTED_VALUE"""),"Zang")</f>
        <v>Zang</v>
      </c>
      <c r="H950" s="22" t="str">
        <f>IFERROR(__xludf.DUMMYFUNCTION("""COMPUTED_VALUE"""),"Blvd
Dallas,")</f>
        <v>Blvd
Dallas,</v>
      </c>
      <c r="I950" s="22" t="str">
        <f>IFERROR(__xludf.DUMMYFUNCTION("""COMPUTED_VALUE"""),"TX")</f>
        <v>TX</v>
      </c>
      <c r="J950" s="22">
        <f>IFERROR(__xludf.DUMMYFUNCTION("""COMPUTED_VALUE"""),75203.0)</f>
        <v>75203</v>
      </c>
      <c r="K950" s="22"/>
      <c r="L950" s="22"/>
      <c r="M950" s="22"/>
      <c r="N950" s="22"/>
      <c r="O950" s="22"/>
      <c r="P950" s="22"/>
      <c r="Q950" s="22"/>
      <c r="R950" s="22"/>
      <c r="S950" s="22"/>
      <c r="T950" s="22"/>
      <c r="U950" s="24" t="str">
        <f>IFERROR(__xludf.DUMMYFUNCTION("SPLIT(E950,""01234567890"")"),"Robert
")</f>
        <v>Robert
</v>
      </c>
      <c r="V950" s="24" t="str">
        <f>IFERROR(__xludf.DUMMYFUNCTION("SPLIT(D950,"","")"),"Abtahi")</f>
        <v>Abtahi</v>
      </c>
      <c r="W950" s="25" t="str">
        <f t="shared" si="1"/>
        <v>ROBERT
 ABTAHI</v>
      </c>
      <c r="X950" s="22"/>
      <c r="Y950" s="22"/>
      <c r="Z950" s="25" t="str">
        <f>IFERROR(__xludf.DUMMYFUNCTION("SPLIT(C950,""
"")"),"Abtahi, Robert")</f>
        <v>Abtahi, Robert</v>
      </c>
      <c r="AA950" s="22" t="str">
        <f>IFERROR(__xludf.DUMMYFUNCTION("""COMPUTED_VALUE"""),"1126 N Zang Blvd")</f>
        <v>1126 N Zang Blvd</v>
      </c>
      <c r="AB950" s="22" t="str">
        <f>IFERROR(__xludf.DUMMYFUNCTION("""COMPUTED_VALUE"""),"Dallas, TX 75203")</f>
        <v>Dallas, TX 75203</v>
      </c>
      <c r="AC950" s="31" t="s">
        <v>77</v>
      </c>
      <c r="AD950" s="22"/>
      <c r="AE950" s="22"/>
      <c r="AF950" s="22"/>
      <c r="AG950" s="22" t="s">
        <v>60</v>
      </c>
      <c r="AH950" s="54">
        <v>2481.0</v>
      </c>
      <c r="AI950" s="22" t="s">
        <v>68</v>
      </c>
      <c r="AJ950" s="27">
        <v>250.0</v>
      </c>
      <c r="AK950" s="31" t="s">
        <v>25</v>
      </c>
      <c r="AL950" s="28">
        <v>44839.0</v>
      </c>
      <c r="AM950" s="29">
        <v>44937.81995370371</v>
      </c>
      <c r="AN950" s="30">
        <v>2.0</v>
      </c>
      <c r="AO950" s="22"/>
      <c r="AP950" s="22"/>
      <c r="AQ950" s="22"/>
      <c r="AR950" s="22"/>
      <c r="AS950" s="22"/>
      <c r="AT950" s="70"/>
      <c r="AU950" s="22"/>
      <c r="AV950" s="57"/>
      <c r="AW950" s="57"/>
      <c r="AX950" s="47"/>
      <c r="AY950" s="29"/>
      <c r="AZ950" s="30"/>
      <c r="BS950" s="81"/>
      <c r="CU950" s="55"/>
      <c r="CV950" s="55"/>
      <c r="CW950" s="55"/>
      <c r="CX950" s="55"/>
      <c r="CY950" s="55"/>
      <c r="CZ950" s="55"/>
      <c r="DA950" s="82"/>
      <c r="DB950" s="55"/>
      <c r="DC950" s="55"/>
      <c r="DD950" s="55"/>
      <c r="DE950" s="55"/>
      <c r="DF950" s="55"/>
      <c r="DG950" s="55"/>
      <c r="DH950" s="55"/>
      <c r="DI950" s="55"/>
      <c r="DJ950" s="55"/>
      <c r="DK950" s="55"/>
      <c r="DL950" s="55"/>
      <c r="DM950" s="55"/>
      <c r="DN950" s="55"/>
      <c r="DO950" s="55"/>
      <c r="DP950" s="55"/>
      <c r="DQ950" s="55"/>
      <c r="DR950" s="55"/>
      <c r="DS950" s="55"/>
      <c r="DT950" s="55"/>
      <c r="DU950" s="55"/>
      <c r="DV950" s="55"/>
      <c r="DW950" s="55"/>
    </row>
    <row r="951">
      <c r="A951" s="40" t="s">
        <v>55</v>
      </c>
      <c r="B951" s="41" t="s">
        <v>56</v>
      </c>
      <c r="C951" s="31" t="s">
        <v>2284</v>
      </c>
      <c r="D951" s="25" t="str">
        <f>IFERROR(__xludf.DUMMYFUNCTION("SPLIT(C951,"" "")"),"Dorantes,")</f>
        <v>Dorantes,</v>
      </c>
      <c r="E951" s="40" t="str">
        <f>IFERROR(__xludf.DUMMYFUNCTION("""COMPUTED_VALUE"""),"Alan
1908")</f>
        <v>Alan
1908</v>
      </c>
      <c r="F951" s="40" t="str">
        <f>IFERROR(__xludf.DUMMYFUNCTION("""COMPUTED_VALUE"""),"Emilia")</f>
        <v>Emilia</v>
      </c>
      <c r="G951" s="40" t="str">
        <f>IFERROR(__xludf.DUMMYFUNCTION("""COMPUTED_VALUE"""),"Dr
Celina,")</f>
        <v>Dr
Celina,</v>
      </c>
      <c r="H951" s="40" t="str">
        <f>IFERROR(__xludf.DUMMYFUNCTION("""COMPUTED_VALUE"""),"TX")</f>
        <v>TX</v>
      </c>
      <c r="I951" s="40">
        <f>IFERROR(__xludf.DUMMYFUNCTION("""COMPUTED_VALUE"""),75009.0)</f>
        <v>75009</v>
      </c>
      <c r="J951" s="40"/>
      <c r="K951" s="40"/>
      <c r="L951" s="40"/>
      <c r="M951" s="40"/>
      <c r="N951" s="40"/>
      <c r="O951" s="40"/>
      <c r="P951" s="40"/>
      <c r="Q951" s="40"/>
      <c r="R951" s="40"/>
      <c r="S951" s="40"/>
      <c r="T951" s="40"/>
      <c r="U951" s="24" t="str">
        <f>IFERROR(__xludf.DUMMYFUNCTION("SPLIT(E951,""01234567890"")"),"Alan
")</f>
        <v>Alan
</v>
      </c>
      <c r="V951" s="24" t="str">
        <f>IFERROR(__xludf.DUMMYFUNCTION("SPLIT(D951,"","")"),"Dorantes")</f>
        <v>Dorantes</v>
      </c>
      <c r="W951" s="25" t="str">
        <f t="shared" si="1"/>
        <v>ALAN
 DORANTES</v>
      </c>
      <c r="X951" s="40"/>
      <c r="Y951" s="40"/>
      <c r="Z951" s="25" t="str">
        <f>IFERROR(__xludf.DUMMYFUNCTION("SPLIT(C951,""
"")"),"Dorantes, Alan")</f>
        <v>Dorantes, Alan</v>
      </c>
      <c r="AA951" s="40" t="str">
        <f>IFERROR(__xludf.DUMMYFUNCTION("""COMPUTED_VALUE"""),"1908 Emilia Dr")</f>
        <v>1908 Emilia Dr</v>
      </c>
      <c r="AB951" s="40" t="str">
        <f>IFERROR(__xludf.DUMMYFUNCTION("""COMPUTED_VALUE"""),"Celina, TX 75009")</f>
        <v>Celina, TX 75009</v>
      </c>
      <c r="AC951" s="31" t="s">
        <v>2285</v>
      </c>
      <c r="AD951" s="40"/>
      <c r="AE951" s="40"/>
      <c r="AF951" s="40"/>
      <c r="AG951" s="40" t="s">
        <v>60</v>
      </c>
      <c r="AH951" s="42">
        <v>2481.0</v>
      </c>
      <c r="AI951" s="40" t="s">
        <v>68</v>
      </c>
      <c r="AJ951" s="27">
        <v>100.0</v>
      </c>
      <c r="AK951" s="31" t="s">
        <v>25</v>
      </c>
      <c r="AL951" s="43">
        <v>44839.0</v>
      </c>
      <c r="AM951" s="44">
        <v>44937.81995370371</v>
      </c>
      <c r="AN951" s="30">
        <v>2.0</v>
      </c>
      <c r="AO951" s="40"/>
      <c r="AP951" s="40"/>
      <c r="AQ951" s="40"/>
      <c r="AR951" s="40"/>
      <c r="AS951" s="40"/>
      <c r="AT951" s="47"/>
      <c r="AU951" s="40"/>
      <c r="AV951" s="46"/>
      <c r="AW951" s="46"/>
      <c r="AX951" s="47"/>
      <c r="AY951" s="44"/>
      <c r="AZ951" s="30"/>
      <c r="BS951" s="81"/>
      <c r="CU951" s="55"/>
      <c r="CV951" s="55"/>
      <c r="CW951" s="55"/>
      <c r="CX951" s="55"/>
      <c r="CY951" s="55"/>
      <c r="CZ951" s="55"/>
      <c r="DA951" s="82"/>
      <c r="DB951" s="55"/>
      <c r="DC951" s="55"/>
      <c r="DD951" s="55"/>
      <c r="DE951" s="55"/>
      <c r="DF951" s="55"/>
      <c r="DG951" s="55"/>
      <c r="DH951" s="55"/>
      <c r="DI951" s="55"/>
      <c r="DJ951" s="55"/>
      <c r="DK951" s="55"/>
      <c r="DL951" s="55"/>
      <c r="DM951" s="55"/>
      <c r="DN951" s="55"/>
      <c r="DO951" s="55"/>
      <c r="DP951" s="55"/>
      <c r="DQ951" s="55"/>
      <c r="DR951" s="55"/>
      <c r="DS951" s="55"/>
      <c r="DT951" s="55"/>
      <c r="DU951" s="55"/>
      <c r="DV951" s="55"/>
      <c r="DW951" s="55"/>
    </row>
    <row r="952">
      <c r="A952" s="22" t="s">
        <v>55</v>
      </c>
      <c r="B952" s="23" t="s">
        <v>56</v>
      </c>
      <c r="C952" s="31" t="s">
        <v>2286</v>
      </c>
      <c r="D952" s="25" t="str">
        <f>IFERROR(__xludf.DUMMYFUNCTION("SPLIT(C952,"" "")"),"King,")</f>
        <v>King,</v>
      </c>
      <c r="E952" s="22" t="str">
        <f>IFERROR(__xludf.DUMMYFUNCTION("""COMPUTED_VALUE"""),"Delva
1243")</f>
        <v>Delva
1243</v>
      </c>
      <c r="F952" s="22" t="str">
        <f>IFERROR(__xludf.DUMMYFUNCTION("""COMPUTED_VALUE"""),"W")</f>
        <v>W</v>
      </c>
      <c r="G952" s="22" t="str">
        <f>IFERROR(__xludf.DUMMYFUNCTION("""COMPUTED_VALUE"""),"Pleasant")</f>
        <v>Pleasant</v>
      </c>
      <c r="H952" s="22" t="str">
        <f>IFERROR(__xludf.DUMMYFUNCTION("""COMPUTED_VALUE"""),"Run")</f>
        <v>Run</v>
      </c>
      <c r="I952" s="22" t="str">
        <f>IFERROR(__xludf.DUMMYFUNCTION("""COMPUTED_VALUE"""),"Road
Desoto,")</f>
        <v>Road
Desoto,</v>
      </c>
      <c r="J952" s="22" t="str">
        <f>IFERROR(__xludf.DUMMYFUNCTION("""COMPUTED_VALUE"""),"TX")</f>
        <v>TX</v>
      </c>
      <c r="K952" s="22">
        <f>IFERROR(__xludf.DUMMYFUNCTION("""COMPUTED_VALUE"""),75115.0)</f>
        <v>75115</v>
      </c>
      <c r="L952" s="22"/>
      <c r="M952" s="22"/>
      <c r="N952" s="22"/>
      <c r="O952" s="22"/>
      <c r="P952" s="22"/>
      <c r="Q952" s="22"/>
      <c r="R952" s="22"/>
      <c r="S952" s="22"/>
      <c r="T952" s="22"/>
      <c r="U952" s="24" t="str">
        <f>IFERROR(__xludf.DUMMYFUNCTION("SPLIT(E952,""01234567890"")"),"Delva
")</f>
        <v>Delva
</v>
      </c>
      <c r="V952" s="24" t="str">
        <f>IFERROR(__xludf.DUMMYFUNCTION("SPLIT(D952,"","")"),"King")</f>
        <v>King</v>
      </c>
      <c r="W952" s="25" t="str">
        <f t="shared" si="1"/>
        <v>DELVA
 KING</v>
      </c>
      <c r="X952" s="22"/>
      <c r="Y952" s="22"/>
      <c r="Z952" s="25" t="str">
        <f>IFERROR(__xludf.DUMMYFUNCTION("SPLIT(C952,""
"")"),"King, Delva")</f>
        <v>King, Delva</v>
      </c>
      <c r="AA952" s="22" t="str">
        <f>IFERROR(__xludf.DUMMYFUNCTION("""COMPUTED_VALUE"""),"1243 W Pleasant Run Road")</f>
        <v>1243 W Pleasant Run Road</v>
      </c>
      <c r="AB952" s="22" t="str">
        <f>IFERROR(__xludf.DUMMYFUNCTION("""COMPUTED_VALUE"""),"Desoto, TX 75115")</f>
        <v>Desoto, TX 75115</v>
      </c>
      <c r="AC952" s="31" t="s">
        <v>2287</v>
      </c>
      <c r="AD952" s="22"/>
      <c r="AE952" s="22"/>
      <c r="AF952" s="22"/>
      <c r="AG952" s="22" t="s">
        <v>60</v>
      </c>
      <c r="AH952" s="54">
        <v>2481.0</v>
      </c>
      <c r="AI952" s="22" t="s">
        <v>68</v>
      </c>
      <c r="AJ952" s="27">
        <v>1000.0</v>
      </c>
      <c r="AK952" s="31" t="s">
        <v>25</v>
      </c>
      <c r="AL952" s="28">
        <v>44839.0</v>
      </c>
      <c r="AM952" s="29">
        <v>44937.81995370371</v>
      </c>
      <c r="AN952" s="30">
        <v>2.0</v>
      </c>
      <c r="AO952" s="22"/>
      <c r="AP952" s="22"/>
      <c r="AQ952" s="22"/>
      <c r="AR952" s="22"/>
      <c r="AS952" s="22"/>
      <c r="AT952" s="70"/>
      <c r="AU952" s="22"/>
      <c r="AV952" s="57"/>
      <c r="AW952" s="57"/>
      <c r="AX952" s="47"/>
      <c r="AY952" s="29"/>
      <c r="AZ952" s="30"/>
      <c r="BS952" s="81"/>
      <c r="CU952" s="55"/>
      <c r="CV952" s="55"/>
      <c r="CW952" s="55"/>
      <c r="CX952" s="55"/>
      <c r="CY952" s="55"/>
      <c r="CZ952" s="55"/>
      <c r="DA952" s="82"/>
      <c r="DB952" s="55"/>
      <c r="DC952" s="55"/>
      <c r="DD952" s="55"/>
      <c r="DE952" s="55"/>
      <c r="DF952" s="55"/>
      <c r="DG952" s="55"/>
      <c r="DH952" s="55"/>
      <c r="DI952" s="55"/>
      <c r="DJ952" s="55"/>
      <c r="DK952" s="55"/>
      <c r="DL952" s="55"/>
      <c r="DM952" s="55"/>
      <c r="DN952" s="55"/>
      <c r="DO952" s="55"/>
      <c r="DP952" s="55"/>
      <c r="DQ952" s="55"/>
      <c r="DR952" s="55"/>
      <c r="DS952" s="55"/>
      <c r="DT952" s="55"/>
      <c r="DU952" s="55"/>
      <c r="DV952" s="55"/>
      <c r="DW952" s="55"/>
    </row>
    <row r="953">
      <c r="A953" s="40" t="s">
        <v>55</v>
      </c>
      <c r="B953" s="41" t="s">
        <v>56</v>
      </c>
      <c r="C953" s="31" t="s">
        <v>2288</v>
      </c>
      <c r="D953" s="25" t="str">
        <f>IFERROR(__xludf.DUMMYFUNCTION("SPLIT(C953,"" "")"),"Conley,")</f>
        <v>Conley,</v>
      </c>
      <c r="E953" s="40" t="str">
        <f>IFERROR(__xludf.DUMMYFUNCTION("""COMPUTED_VALUE"""),"Paige
10429")</f>
        <v>Paige
10429</v>
      </c>
      <c r="F953" s="40" t="str">
        <f>IFERROR(__xludf.DUMMYFUNCTION("""COMPUTED_VALUE"""),"Yorkford")</f>
        <v>Yorkford</v>
      </c>
      <c r="G953" s="40" t="str">
        <f>IFERROR(__xludf.DUMMYFUNCTION("""COMPUTED_VALUE"""),"Dr
Dallas,")</f>
        <v>Dr
Dallas,</v>
      </c>
      <c r="H953" s="40" t="str">
        <f>IFERROR(__xludf.DUMMYFUNCTION("""COMPUTED_VALUE"""),"TX")</f>
        <v>TX</v>
      </c>
      <c r="I953" s="40">
        <f>IFERROR(__xludf.DUMMYFUNCTION("""COMPUTED_VALUE"""),75238.0)</f>
        <v>75238</v>
      </c>
      <c r="J953" s="40"/>
      <c r="K953" s="40"/>
      <c r="L953" s="40"/>
      <c r="M953" s="40"/>
      <c r="N953" s="40"/>
      <c r="O953" s="40"/>
      <c r="P953" s="40"/>
      <c r="Q953" s="40"/>
      <c r="R953" s="40"/>
      <c r="S953" s="40"/>
      <c r="T953" s="40"/>
      <c r="U953" s="24" t="str">
        <f>IFERROR(__xludf.DUMMYFUNCTION("SPLIT(E953,""01234567890"")"),"Paige
")</f>
        <v>Paige
</v>
      </c>
      <c r="V953" s="24" t="str">
        <f>IFERROR(__xludf.DUMMYFUNCTION("SPLIT(D953,"","")"),"Conley")</f>
        <v>Conley</v>
      </c>
      <c r="W953" s="25" t="str">
        <f t="shared" si="1"/>
        <v>PAIGE
 CONLEY</v>
      </c>
      <c r="X953" s="40"/>
      <c r="Y953" s="40"/>
      <c r="Z953" s="25" t="str">
        <f>IFERROR(__xludf.DUMMYFUNCTION("SPLIT(C953,""
"")"),"Conley, Paige")</f>
        <v>Conley, Paige</v>
      </c>
      <c r="AA953" s="40" t="str">
        <f>IFERROR(__xludf.DUMMYFUNCTION("""COMPUTED_VALUE"""),"10429 Yorkford Dr")</f>
        <v>10429 Yorkford Dr</v>
      </c>
      <c r="AB953" s="40" t="str">
        <f>IFERROR(__xludf.DUMMYFUNCTION("""COMPUTED_VALUE"""),"Dallas, TX 75238")</f>
        <v>Dallas, TX 75238</v>
      </c>
      <c r="AC953" s="31" t="s">
        <v>2289</v>
      </c>
      <c r="AD953" s="40"/>
      <c r="AE953" s="40"/>
      <c r="AF953" s="40"/>
      <c r="AG953" s="40" t="s">
        <v>60</v>
      </c>
      <c r="AH953" s="42">
        <v>2481.0</v>
      </c>
      <c r="AI953" s="40" t="s">
        <v>68</v>
      </c>
      <c r="AJ953" s="27">
        <v>15.0</v>
      </c>
      <c r="AK953" s="31" t="s">
        <v>25</v>
      </c>
      <c r="AL953" s="43">
        <v>44839.0</v>
      </c>
      <c r="AM953" s="44">
        <v>44937.81995370371</v>
      </c>
      <c r="AN953" s="30">
        <v>2.0</v>
      </c>
      <c r="AO953" s="40"/>
      <c r="AP953" s="40"/>
      <c r="AQ953" s="40"/>
      <c r="AR953" s="40"/>
      <c r="AS953" s="40"/>
      <c r="AT953" s="47"/>
      <c r="AU953" s="40"/>
      <c r="AV953" s="46"/>
      <c r="AW953" s="46"/>
      <c r="AX953" s="47"/>
      <c r="AY953" s="44"/>
      <c r="AZ953" s="30"/>
      <c r="BS953" s="81"/>
      <c r="CU953" s="55"/>
      <c r="CV953" s="55"/>
      <c r="CW953" s="55"/>
      <c r="CX953" s="55"/>
      <c r="CY953" s="55"/>
      <c r="CZ953" s="55"/>
      <c r="DA953" s="82"/>
      <c r="DB953" s="55"/>
      <c r="DC953" s="55"/>
      <c r="DD953" s="55"/>
      <c r="DE953" s="55"/>
      <c r="DF953" s="55"/>
      <c r="DG953" s="55"/>
      <c r="DH953" s="55"/>
      <c r="DI953" s="55"/>
      <c r="DJ953" s="55"/>
      <c r="DK953" s="55"/>
      <c r="DL953" s="55"/>
      <c r="DM953" s="55"/>
      <c r="DN953" s="55"/>
      <c r="DO953" s="55"/>
      <c r="DP953" s="55"/>
      <c r="DQ953" s="55"/>
      <c r="DR953" s="55"/>
      <c r="DS953" s="55"/>
      <c r="DT953" s="55"/>
      <c r="DU953" s="55"/>
      <c r="DV953" s="55"/>
      <c r="DW953" s="55"/>
    </row>
    <row r="954">
      <c r="A954" s="22" t="s">
        <v>55</v>
      </c>
      <c r="B954" s="23" t="s">
        <v>56</v>
      </c>
      <c r="C954" s="31" t="s">
        <v>2290</v>
      </c>
      <c r="D954" s="25" t="str">
        <f>IFERROR(__xludf.DUMMYFUNCTION("SPLIT(C954,"" "")"),"Hill,")</f>
        <v>Hill,</v>
      </c>
      <c r="E954" s="22" t="str">
        <f>IFERROR(__xludf.DUMMYFUNCTION("""COMPUTED_VALUE"""),"Kendall
3126")</f>
        <v>Kendall
3126</v>
      </c>
      <c r="F954" s="22" t="str">
        <f>IFERROR(__xludf.DUMMYFUNCTION("""COMPUTED_VALUE"""),"Ross")</f>
        <v>Ross</v>
      </c>
      <c r="G954" s="22" t="str">
        <f>IFERROR(__xludf.DUMMYFUNCTION("""COMPUTED_VALUE"""),"Ave
Dallas,")</f>
        <v>Ave
Dallas,</v>
      </c>
      <c r="H954" s="22" t="str">
        <f>IFERROR(__xludf.DUMMYFUNCTION("""COMPUTED_VALUE"""),"TX")</f>
        <v>TX</v>
      </c>
      <c r="I954" s="22">
        <f>IFERROR(__xludf.DUMMYFUNCTION("""COMPUTED_VALUE"""),75204.0)</f>
        <v>75204</v>
      </c>
      <c r="J954" s="22"/>
      <c r="K954" s="22"/>
      <c r="L954" s="22"/>
      <c r="M954" s="22"/>
      <c r="N954" s="22"/>
      <c r="O954" s="22"/>
      <c r="P954" s="22"/>
      <c r="Q954" s="22"/>
      <c r="R954" s="22"/>
      <c r="S954" s="22"/>
      <c r="T954" s="22"/>
      <c r="U954" s="24" t="str">
        <f>IFERROR(__xludf.DUMMYFUNCTION("SPLIT(E954,""01234567890"")"),"Kendall
")</f>
        <v>Kendall
</v>
      </c>
      <c r="V954" s="24" t="str">
        <f>IFERROR(__xludf.DUMMYFUNCTION("SPLIT(D954,"","")"),"Hill")</f>
        <v>Hill</v>
      </c>
      <c r="W954" s="25" t="str">
        <f t="shared" si="1"/>
        <v>KENDALL
 HILL</v>
      </c>
      <c r="X954" s="22"/>
      <c r="Y954" s="22"/>
      <c r="Z954" s="25" t="str">
        <f>IFERROR(__xludf.DUMMYFUNCTION("SPLIT(C954,""
"")"),"Hill, Kendall")</f>
        <v>Hill, Kendall</v>
      </c>
      <c r="AA954" s="22" t="str">
        <f>IFERROR(__xludf.DUMMYFUNCTION("""COMPUTED_VALUE"""),"3126 Ross Ave")</f>
        <v>3126 Ross Ave</v>
      </c>
      <c r="AB954" s="22" t="str">
        <f>IFERROR(__xludf.DUMMYFUNCTION("""COMPUTED_VALUE"""),"Dallas, TX 75204")</f>
        <v>Dallas, TX 75204</v>
      </c>
      <c r="AC954" s="31" t="s">
        <v>2291</v>
      </c>
      <c r="AD954" s="22"/>
      <c r="AE954" s="22"/>
      <c r="AF954" s="22"/>
      <c r="AG954" s="22" t="s">
        <v>60</v>
      </c>
      <c r="AH954" s="54">
        <v>2481.0</v>
      </c>
      <c r="AI954" s="22" t="s">
        <v>68</v>
      </c>
      <c r="AJ954" s="27">
        <v>50.0</v>
      </c>
      <c r="AK954" s="31" t="s">
        <v>25</v>
      </c>
      <c r="AL954" s="28">
        <v>44839.0</v>
      </c>
      <c r="AM954" s="29">
        <v>44937.81995370371</v>
      </c>
      <c r="AN954" s="30">
        <v>2.0</v>
      </c>
      <c r="AO954" s="22"/>
      <c r="AP954" s="22"/>
      <c r="AQ954" s="22"/>
      <c r="AR954" s="22"/>
      <c r="AS954" s="22"/>
      <c r="AT954" s="70"/>
      <c r="AU954" s="22"/>
      <c r="AV954" s="57"/>
      <c r="AW954" s="57"/>
      <c r="AX954" s="47"/>
      <c r="AY954" s="29"/>
      <c r="AZ954" s="30"/>
      <c r="BS954" s="81"/>
      <c r="CU954" s="55"/>
      <c r="CV954" s="55"/>
      <c r="CW954" s="55"/>
      <c r="CX954" s="55"/>
      <c r="CY954" s="55"/>
      <c r="CZ954" s="55"/>
      <c r="DA954" s="82"/>
      <c r="DB954" s="55"/>
      <c r="DC954" s="55"/>
      <c r="DD954" s="55"/>
      <c r="DE954" s="55"/>
      <c r="DF954" s="55"/>
      <c r="DG954" s="55"/>
      <c r="DH954" s="55"/>
      <c r="DI954" s="55"/>
      <c r="DJ954" s="55"/>
      <c r="DK954" s="55"/>
      <c r="DL954" s="55"/>
      <c r="DM954" s="55"/>
      <c r="DN954" s="55"/>
      <c r="DO954" s="55"/>
      <c r="DP954" s="55"/>
      <c r="DQ954" s="55"/>
      <c r="DR954" s="55"/>
      <c r="DS954" s="55"/>
      <c r="DT954" s="55"/>
      <c r="DU954" s="55"/>
      <c r="DV954" s="55"/>
      <c r="DW954" s="55"/>
    </row>
    <row r="955">
      <c r="A955" s="40" t="s">
        <v>55</v>
      </c>
      <c r="B955" s="41" t="s">
        <v>56</v>
      </c>
      <c r="C955" s="31" t="s">
        <v>2292</v>
      </c>
      <c r="D955" s="25" t="str">
        <f>IFERROR(__xludf.DUMMYFUNCTION("SPLIT(C955,"" "")"),"Jones,")</f>
        <v>Jones,</v>
      </c>
      <c r="E955" s="40" t="str">
        <f>IFERROR(__xludf.DUMMYFUNCTION("""COMPUTED_VALUE"""),"Venton
1075")</f>
        <v>Venton
1075</v>
      </c>
      <c r="F955" s="40" t="str">
        <f>IFERROR(__xludf.DUMMYFUNCTION("""COMPUTED_VALUE"""),"Griffin")</f>
        <v>Griffin</v>
      </c>
      <c r="G955" s="40" t="str">
        <f>IFERROR(__xludf.DUMMYFUNCTION("""COMPUTED_VALUE"""),"St")</f>
        <v>St</v>
      </c>
      <c r="H955" s="40" t="str">
        <f>IFERROR(__xludf.DUMMYFUNCTION("""COMPUTED_VALUE"""),"W
Dallas,")</f>
        <v>W
Dallas,</v>
      </c>
      <c r="I955" s="40" t="str">
        <f>IFERROR(__xludf.DUMMYFUNCTION("""COMPUTED_VALUE"""),"TX")</f>
        <v>TX</v>
      </c>
      <c r="J955" s="40">
        <f>IFERROR(__xludf.DUMMYFUNCTION("""COMPUTED_VALUE"""),75215.0)</f>
        <v>75215</v>
      </c>
      <c r="K955" s="40"/>
      <c r="L955" s="40"/>
      <c r="M955" s="40"/>
      <c r="N955" s="40"/>
      <c r="O955" s="40"/>
      <c r="P955" s="40"/>
      <c r="Q955" s="40"/>
      <c r="R955" s="40"/>
      <c r="S955" s="40"/>
      <c r="T955" s="40"/>
      <c r="U955" s="24" t="str">
        <f>IFERROR(__xludf.DUMMYFUNCTION("SPLIT(E955,""01234567890"")"),"Venton
")</f>
        <v>Venton
</v>
      </c>
      <c r="V955" s="24" t="str">
        <f>IFERROR(__xludf.DUMMYFUNCTION("SPLIT(D955,"","")"),"Jones")</f>
        <v>Jones</v>
      </c>
      <c r="W955" s="25" t="str">
        <f t="shared" si="1"/>
        <v>VENTON
 JONES</v>
      </c>
      <c r="X955" s="40"/>
      <c r="Y955" s="40"/>
      <c r="Z955" s="25" t="str">
        <f>IFERROR(__xludf.DUMMYFUNCTION("SPLIT(C955,""
"")"),"Jones, Venton")</f>
        <v>Jones, Venton</v>
      </c>
      <c r="AA955" s="40" t="str">
        <f>IFERROR(__xludf.DUMMYFUNCTION("""COMPUTED_VALUE"""),"1075 Griffin St W")</f>
        <v>1075 Griffin St W</v>
      </c>
      <c r="AB955" s="40" t="str">
        <f>IFERROR(__xludf.DUMMYFUNCTION("""COMPUTED_VALUE"""),"Dallas, TX 75215")</f>
        <v>Dallas, TX 75215</v>
      </c>
      <c r="AC955" s="31" t="s">
        <v>2293</v>
      </c>
      <c r="AD955" s="40"/>
      <c r="AE955" s="40"/>
      <c r="AF955" s="40"/>
      <c r="AG955" s="40" t="s">
        <v>60</v>
      </c>
      <c r="AH955" s="42">
        <v>2481.0</v>
      </c>
      <c r="AI955" s="40" t="s">
        <v>68</v>
      </c>
      <c r="AJ955" s="27">
        <v>100.0</v>
      </c>
      <c r="AK955" s="31" t="s">
        <v>25</v>
      </c>
      <c r="AL955" s="43">
        <v>44839.0</v>
      </c>
      <c r="AM955" s="44">
        <v>44937.81995370371</v>
      </c>
      <c r="AN955" s="30">
        <v>2.0</v>
      </c>
      <c r="AO955" s="40"/>
      <c r="AP955" s="40"/>
      <c r="AQ955" s="40"/>
      <c r="AR955" s="40"/>
      <c r="AS955" s="40"/>
      <c r="AT955" s="47"/>
      <c r="AU955" s="40"/>
      <c r="AV955" s="46"/>
      <c r="AW955" s="46"/>
      <c r="AX955" s="47"/>
      <c r="AY955" s="44"/>
      <c r="AZ955" s="30"/>
      <c r="BS955" s="81"/>
      <c r="CU955" s="55"/>
      <c r="CV955" s="55"/>
      <c r="CW955" s="55"/>
      <c r="CX955" s="55"/>
      <c r="CY955" s="55"/>
      <c r="CZ955" s="55"/>
      <c r="DA955" s="82"/>
      <c r="DB955" s="55"/>
      <c r="DC955" s="55"/>
      <c r="DD955" s="55"/>
      <c r="DE955" s="55"/>
      <c r="DF955" s="55"/>
      <c r="DG955" s="55"/>
      <c r="DH955" s="55"/>
      <c r="DI955" s="55"/>
      <c r="DJ955" s="55"/>
      <c r="DK955" s="55"/>
      <c r="DL955" s="55"/>
      <c r="DM955" s="55"/>
      <c r="DN955" s="55"/>
      <c r="DO955" s="55"/>
      <c r="DP955" s="55"/>
      <c r="DQ955" s="55"/>
      <c r="DR955" s="55"/>
      <c r="DS955" s="55"/>
      <c r="DT955" s="55"/>
      <c r="DU955" s="55"/>
      <c r="DV955" s="55"/>
      <c r="DW955" s="55"/>
    </row>
    <row r="956">
      <c r="A956" s="22" t="s">
        <v>55</v>
      </c>
      <c r="B956" s="23" t="s">
        <v>56</v>
      </c>
      <c r="C956" s="31" t="s">
        <v>2294</v>
      </c>
      <c r="D956" s="25" t="str">
        <f>IFERROR(__xludf.DUMMYFUNCTION("SPLIT(C956,"" "")"),"Larosiliere,")</f>
        <v>Larosiliere,</v>
      </c>
      <c r="E956" s="22" t="str">
        <f>IFERROR(__xludf.DUMMYFUNCTION("""COMPUTED_VALUE"""),"Tracy
6604")</f>
        <v>Tracy
6604</v>
      </c>
      <c r="F956" s="22" t="str">
        <f>IFERROR(__xludf.DUMMYFUNCTION("""COMPUTED_VALUE"""),"Briar")</f>
        <v>Briar</v>
      </c>
      <c r="G956" s="22" t="str">
        <f>IFERROR(__xludf.DUMMYFUNCTION("""COMPUTED_VALUE"""),"Ridge")</f>
        <v>Ridge</v>
      </c>
      <c r="H956" s="22" t="str">
        <f>IFERROR(__xludf.DUMMYFUNCTION("""COMPUTED_VALUE"""),"Lane
Plano,")</f>
        <v>Lane
Plano,</v>
      </c>
      <c r="I956" s="22" t="str">
        <f>IFERROR(__xludf.DUMMYFUNCTION("""COMPUTED_VALUE"""),"TX")</f>
        <v>TX</v>
      </c>
      <c r="J956" s="22">
        <f>IFERROR(__xludf.DUMMYFUNCTION("""COMPUTED_VALUE"""),75024.0)</f>
        <v>75024</v>
      </c>
      <c r="K956" s="22"/>
      <c r="L956" s="22"/>
      <c r="M956" s="22"/>
      <c r="N956" s="22"/>
      <c r="O956" s="22"/>
      <c r="P956" s="22"/>
      <c r="Q956" s="22"/>
      <c r="R956" s="22"/>
      <c r="S956" s="22"/>
      <c r="T956" s="22"/>
      <c r="U956" s="24" t="str">
        <f>IFERROR(__xludf.DUMMYFUNCTION("SPLIT(E956,""01234567890"")"),"Tracy
")</f>
        <v>Tracy
</v>
      </c>
      <c r="V956" s="24" t="str">
        <f>IFERROR(__xludf.DUMMYFUNCTION("SPLIT(D956,"","")"),"Larosiliere")</f>
        <v>Larosiliere</v>
      </c>
      <c r="W956" s="25" t="str">
        <f t="shared" si="1"/>
        <v>TRACY
 LAROSILIERE</v>
      </c>
      <c r="X956" s="22"/>
      <c r="Y956" s="22"/>
      <c r="Z956" s="25" t="str">
        <f>IFERROR(__xludf.DUMMYFUNCTION("SPLIT(C956,""
"")"),"Larosiliere, Tracy")</f>
        <v>Larosiliere, Tracy</v>
      </c>
      <c r="AA956" s="22" t="str">
        <f>IFERROR(__xludf.DUMMYFUNCTION("""COMPUTED_VALUE"""),"6604 Briar Ridge Lane")</f>
        <v>6604 Briar Ridge Lane</v>
      </c>
      <c r="AB956" s="22" t="str">
        <f>IFERROR(__xludf.DUMMYFUNCTION("""COMPUTED_VALUE"""),"Plano, TX 75024")</f>
        <v>Plano, TX 75024</v>
      </c>
      <c r="AC956" s="31" t="s">
        <v>2295</v>
      </c>
      <c r="AD956" s="22"/>
      <c r="AE956" s="22"/>
      <c r="AF956" s="22"/>
      <c r="AG956" s="22" t="s">
        <v>60</v>
      </c>
      <c r="AH956" s="54">
        <v>2481.0</v>
      </c>
      <c r="AI956" s="22" t="s">
        <v>68</v>
      </c>
      <c r="AJ956" s="27">
        <v>500.0</v>
      </c>
      <c r="AK956" s="31" t="s">
        <v>25</v>
      </c>
      <c r="AL956" s="28">
        <v>44839.0</v>
      </c>
      <c r="AM956" s="29">
        <v>44937.81995370371</v>
      </c>
      <c r="AN956" s="30">
        <v>2.0</v>
      </c>
      <c r="AO956" s="22"/>
      <c r="AP956" s="22"/>
      <c r="AQ956" s="22"/>
      <c r="AR956" s="22"/>
      <c r="AS956" s="22"/>
      <c r="AT956" s="70"/>
      <c r="AU956" s="22"/>
      <c r="AV956" s="57"/>
      <c r="AW956" s="57"/>
      <c r="AX956" s="47"/>
      <c r="AY956" s="29"/>
      <c r="AZ956" s="30"/>
      <c r="BS956" s="81"/>
      <c r="CU956" s="55"/>
      <c r="CV956" s="55"/>
      <c r="CW956" s="55"/>
      <c r="CX956" s="55"/>
      <c r="CY956" s="55"/>
      <c r="CZ956" s="55"/>
      <c r="DA956" s="82"/>
      <c r="DB956" s="55"/>
      <c r="DC956" s="55"/>
      <c r="DD956" s="55"/>
      <c r="DE956" s="55"/>
      <c r="DF956" s="55"/>
      <c r="DG956" s="55"/>
      <c r="DH956" s="55"/>
      <c r="DI956" s="55"/>
      <c r="DJ956" s="55"/>
      <c r="DK956" s="55"/>
      <c r="DL956" s="55"/>
      <c r="DM956" s="55"/>
      <c r="DN956" s="55"/>
      <c r="DO956" s="55"/>
      <c r="DP956" s="55"/>
      <c r="DQ956" s="55"/>
      <c r="DR956" s="55"/>
      <c r="DS956" s="55"/>
      <c r="DT956" s="55"/>
      <c r="DU956" s="55"/>
      <c r="DV956" s="55"/>
      <c r="DW956" s="55"/>
    </row>
    <row r="957">
      <c r="A957" s="40" t="s">
        <v>55</v>
      </c>
      <c r="B957" s="41" t="s">
        <v>56</v>
      </c>
      <c r="C957" s="31" t="s">
        <v>1041</v>
      </c>
      <c r="D957" s="25" t="str">
        <f>IFERROR(__xludf.DUMMYFUNCTION("SPLIT(C957,"" "")"),"Walker,")</f>
        <v>Walker,</v>
      </c>
      <c r="E957" s="40" t="str">
        <f>IFERROR(__xludf.DUMMYFUNCTION("""COMPUTED_VALUE"""),"Blake
7018")</f>
        <v>Blake
7018</v>
      </c>
      <c r="F957" s="40" t="str">
        <f>IFERROR(__xludf.DUMMYFUNCTION("""COMPUTED_VALUE"""),"Elmridge")</f>
        <v>Elmridge</v>
      </c>
      <c r="G957" s="40" t="str">
        <f>IFERROR(__xludf.DUMMYFUNCTION("""COMPUTED_VALUE"""),"Dr
Dallas,")</f>
        <v>Dr
Dallas,</v>
      </c>
      <c r="H957" s="40" t="str">
        <f>IFERROR(__xludf.DUMMYFUNCTION("""COMPUTED_VALUE"""),"TX")</f>
        <v>TX</v>
      </c>
      <c r="I957" s="40">
        <f>IFERROR(__xludf.DUMMYFUNCTION("""COMPUTED_VALUE"""),75240.0)</f>
        <v>75240</v>
      </c>
      <c r="J957" s="40"/>
      <c r="K957" s="40"/>
      <c r="L957" s="40"/>
      <c r="M957" s="40"/>
      <c r="N957" s="40"/>
      <c r="O957" s="40"/>
      <c r="P957" s="40"/>
      <c r="Q957" s="40"/>
      <c r="R957" s="40"/>
      <c r="S957" s="40"/>
      <c r="T957" s="40"/>
      <c r="U957" s="24" t="str">
        <f>IFERROR(__xludf.DUMMYFUNCTION("SPLIT(E957,""01234567890"")"),"Blake
")</f>
        <v>Blake
</v>
      </c>
      <c r="V957" s="24" t="str">
        <f>IFERROR(__xludf.DUMMYFUNCTION("SPLIT(D957,"","")"),"Walker")</f>
        <v>Walker</v>
      </c>
      <c r="W957" s="25" t="str">
        <f t="shared" si="1"/>
        <v>BLAKE
 WALKER</v>
      </c>
      <c r="X957" s="40"/>
      <c r="Y957" s="40"/>
      <c r="Z957" s="25" t="str">
        <f>IFERROR(__xludf.DUMMYFUNCTION("SPLIT(C957,""
"")"),"Walker, Blake")</f>
        <v>Walker, Blake</v>
      </c>
      <c r="AA957" s="40" t="str">
        <f>IFERROR(__xludf.DUMMYFUNCTION("""COMPUTED_VALUE"""),"7018 Elmridge Dr")</f>
        <v>7018 Elmridge Dr</v>
      </c>
      <c r="AB957" s="40" t="str">
        <f>IFERROR(__xludf.DUMMYFUNCTION("""COMPUTED_VALUE"""),"Dallas, TX 75240")</f>
        <v>Dallas, TX 75240</v>
      </c>
      <c r="AC957" s="31" t="s">
        <v>1043</v>
      </c>
      <c r="AD957" s="40"/>
      <c r="AE957" s="40"/>
      <c r="AF957" s="40"/>
      <c r="AG957" s="40" t="s">
        <v>60</v>
      </c>
      <c r="AH957" s="42">
        <v>2481.0</v>
      </c>
      <c r="AI957" s="40" t="s">
        <v>68</v>
      </c>
      <c r="AJ957" s="27">
        <v>1000.0</v>
      </c>
      <c r="AK957" s="31" t="s">
        <v>25</v>
      </c>
      <c r="AL957" s="43">
        <v>44839.0</v>
      </c>
      <c r="AM957" s="44">
        <v>44937.81995370371</v>
      </c>
      <c r="AN957" s="30">
        <v>2.0</v>
      </c>
      <c r="AO957" s="40"/>
      <c r="AP957" s="40"/>
      <c r="AQ957" s="40"/>
      <c r="AR957" s="40"/>
      <c r="AS957" s="40"/>
      <c r="AT957" s="47"/>
      <c r="AU957" s="40"/>
      <c r="AV957" s="46"/>
      <c r="AW957" s="46"/>
      <c r="AX957" s="47"/>
      <c r="AY957" s="44"/>
      <c r="AZ957" s="30"/>
      <c r="BS957" s="81"/>
      <c r="CU957" s="55"/>
      <c r="CV957" s="55"/>
      <c r="CW957" s="55"/>
      <c r="CX957" s="55"/>
      <c r="CY957" s="55"/>
      <c r="CZ957" s="55"/>
      <c r="DA957" s="82"/>
      <c r="DB957" s="55"/>
      <c r="DC957" s="55"/>
      <c r="DD957" s="55"/>
      <c r="DE957" s="55"/>
      <c r="DF957" s="55"/>
      <c r="DG957" s="55"/>
      <c r="DH957" s="55"/>
      <c r="DI957" s="55"/>
      <c r="DJ957" s="55"/>
      <c r="DK957" s="55"/>
      <c r="DL957" s="55"/>
      <c r="DM957" s="55"/>
      <c r="DN957" s="55"/>
      <c r="DO957" s="55"/>
      <c r="DP957" s="55"/>
      <c r="DQ957" s="55"/>
      <c r="DR957" s="55"/>
      <c r="DS957" s="55"/>
      <c r="DT957" s="55"/>
      <c r="DU957" s="55"/>
      <c r="DV957" s="55"/>
      <c r="DW957" s="55"/>
    </row>
    <row r="958">
      <c r="A958" s="22" t="s">
        <v>55</v>
      </c>
      <c r="B958" s="23" t="s">
        <v>56</v>
      </c>
      <c r="C958" s="31" t="s">
        <v>2296</v>
      </c>
      <c r="D958" s="25" t="str">
        <f>IFERROR(__xludf.DUMMYFUNCTION("SPLIT(C958,"" "")"),"Huerta,")</f>
        <v>Huerta,</v>
      </c>
      <c r="E958" s="22" t="str">
        <f>IFERROR(__xludf.DUMMYFUNCTION("""COMPUTED_VALUE"""),"Daniel
1414")</f>
        <v>Daniel
1414</v>
      </c>
      <c r="F958" s="22" t="str">
        <f>IFERROR(__xludf.DUMMYFUNCTION("""COMPUTED_VALUE"""),"Cedar")</f>
        <v>Cedar</v>
      </c>
      <c r="G958" s="22" t="str">
        <f>IFERROR(__xludf.DUMMYFUNCTION("""COMPUTED_VALUE"""),"Hill
Dallas,")</f>
        <v>Hill
Dallas,</v>
      </c>
      <c r="H958" s="22" t="str">
        <f>IFERROR(__xludf.DUMMYFUNCTION("""COMPUTED_VALUE"""),"TX")</f>
        <v>TX</v>
      </c>
      <c r="I958" s="22">
        <f>IFERROR(__xludf.DUMMYFUNCTION("""COMPUTED_VALUE"""),75208.0)</f>
        <v>75208</v>
      </c>
      <c r="J958" s="22"/>
      <c r="K958" s="22"/>
      <c r="L958" s="22"/>
      <c r="M958" s="22"/>
      <c r="N958" s="22"/>
      <c r="O958" s="22"/>
      <c r="P958" s="22"/>
      <c r="Q958" s="22"/>
      <c r="R958" s="22"/>
      <c r="S958" s="22"/>
      <c r="T958" s="22"/>
      <c r="U958" s="24" t="str">
        <f>IFERROR(__xludf.DUMMYFUNCTION("SPLIT(E958,""01234567890"")"),"Daniel
")</f>
        <v>Daniel
</v>
      </c>
      <c r="V958" s="24" t="str">
        <f>IFERROR(__xludf.DUMMYFUNCTION("SPLIT(D958,"","")"),"Huerta")</f>
        <v>Huerta</v>
      </c>
      <c r="W958" s="25" t="str">
        <f t="shared" si="1"/>
        <v>DANIEL
 HUERTA</v>
      </c>
      <c r="X958" s="22"/>
      <c r="Y958" s="22"/>
      <c r="Z958" s="25" t="str">
        <f>IFERROR(__xludf.DUMMYFUNCTION("SPLIT(C958,""
"")"),"Huerta, Daniel")</f>
        <v>Huerta, Daniel</v>
      </c>
      <c r="AA958" s="22" t="str">
        <f>IFERROR(__xludf.DUMMYFUNCTION("""COMPUTED_VALUE"""),"1414 Cedar Hill")</f>
        <v>1414 Cedar Hill</v>
      </c>
      <c r="AB958" s="22" t="str">
        <f>IFERROR(__xludf.DUMMYFUNCTION("""COMPUTED_VALUE"""),"Dallas, TX 75208")</f>
        <v>Dallas, TX 75208</v>
      </c>
      <c r="AC958" s="31" t="s">
        <v>703</v>
      </c>
      <c r="AD958" s="22"/>
      <c r="AE958" s="22"/>
      <c r="AF958" s="22"/>
      <c r="AG958" s="22" t="s">
        <v>60</v>
      </c>
      <c r="AH958" s="54">
        <v>2481.0</v>
      </c>
      <c r="AI958" s="22" t="s">
        <v>68</v>
      </c>
      <c r="AJ958" s="27">
        <v>100.0</v>
      </c>
      <c r="AK958" s="31" t="s">
        <v>25</v>
      </c>
      <c r="AL958" s="28">
        <v>44839.0</v>
      </c>
      <c r="AM958" s="29">
        <v>44937.81995370371</v>
      </c>
      <c r="AN958" s="30">
        <v>2.0</v>
      </c>
      <c r="AO958" s="22"/>
      <c r="AP958" s="22"/>
      <c r="AQ958" s="22"/>
      <c r="AR958" s="22"/>
      <c r="AS958" s="22"/>
      <c r="AT958" s="70"/>
      <c r="AU958" s="22"/>
      <c r="AV958" s="57"/>
      <c r="AW958" s="57"/>
      <c r="AX958" s="47"/>
      <c r="AY958" s="29"/>
      <c r="AZ958" s="30"/>
      <c r="BS958" s="81"/>
      <c r="CU958" s="55"/>
      <c r="CV958" s="55"/>
      <c r="CW958" s="55"/>
      <c r="CX958" s="55"/>
      <c r="CY958" s="55"/>
      <c r="CZ958" s="55"/>
      <c r="DA958" s="82"/>
      <c r="DB958" s="55"/>
      <c r="DC958" s="55"/>
      <c r="DD958" s="55"/>
      <c r="DE958" s="55"/>
      <c r="DF958" s="55"/>
      <c r="DG958" s="55"/>
      <c r="DH958" s="55"/>
      <c r="DI958" s="55"/>
      <c r="DJ958" s="55"/>
      <c r="DK958" s="55"/>
      <c r="DL958" s="55"/>
      <c r="DM958" s="55"/>
      <c r="DN958" s="55"/>
      <c r="DO958" s="55"/>
      <c r="DP958" s="55"/>
      <c r="DQ958" s="55"/>
      <c r="DR958" s="55"/>
      <c r="DS958" s="55"/>
      <c r="DT958" s="55"/>
      <c r="DU958" s="55"/>
      <c r="DV958" s="55"/>
      <c r="DW958" s="55"/>
    </row>
    <row r="959">
      <c r="A959" s="40" t="s">
        <v>55</v>
      </c>
      <c r="B959" s="41" t="s">
        <v>56</v>
      </c>
      <c r="C959" s="31" t="s">
        <v>2297</v>
      </c>
      <c r="D959" s="25" t="str">
        <f>IFERROR(__xludf.DUMMYFUNCTION("SPLIT(C959,"" "")"),"Starnes,")</f>
        <v>Starnes,</v>
      </c>
      <c r="E959" s="40" t="str">
        <f>IFERROR(__xludf.DUMMYFUNCTION("""COMPUTED_VALUE"""),"Darrell
11937")</f>
        <v>Darrell
11937</v>
      </c>
      <c r="F959" s="40" t="str">
        <f>IFERROR(__xludf.DUMMYFUNCTION("""COMPUTED_VALUE"""),"Denton")</f>
        <v>Denton</v>
      </c>
      <c r="G959" s="40" t="str">
        <f>IFERROR(__xludf.DUMMYFUNCTION("""COMPUTED_VALUE"""),"Dr
Dallas,")</f>
        <v>Dr
Dallas,</v>
      </c>
      <c r="H959" s="40" t="str">
        <f>IFERROR(__xludf.DUMMYFUNCTION("""COMPUTED_VALUE"""),"TX")</f>
        <v>TX</v>
      </c>
      <c r="I959" s="40">
        <f>IFERROR(__xludf.DUMMYFUNCTION("""COMPUTED_VALUE"""),75234.0)</f>
        <v>75234</v>
      </c>
      <c r="J959" s="40"/>
      <c r="K959" s="40"/>
      <c r="L959" s="40"/>
      <c r="M959" s="40"/>
      <c r="N959" s="40"/>
      <c r="O959" s="40"/>
      <c r="P959" s="40"/>
      <c r="Q959" s="40"/>
      <c r="R959" s="40"/>
      <c r="S959" s="40"/>
      <c r="T959" s="40"/>
      <c r="U959" s="24" t="str">
        <f>IFERROR(__xludf.DUMMYFUNCTION("SPLIT(E959,""01234567890"")"),"Darrell
")</f>
        <v>Darrell
</v>
      </c>
      <c r="V959" s="24" t="str">
        <f>IFERROR(__xludf.DUMMYFUNCTION("SPLIT(D959,"","")"),"Starnes")</f>
        <v>Starnes</v>
      </c>
      <c r="W959" s="25" t="str">
        <f t="shared" si="1"/>
        <v>DARRELL
 STARNES</v>
      </c>
      <c r="X959" s="40"/>
      <c r="Y959" s="40"/>
      <c r="Z959" s="25" t="str">
        <f>IFERROR(__xludf.DUMMYFUNCTION("SPLIT(C959,""
"")"),"Starnes, Darrell")</f>
        <v>Starnes, Darrell</v>
      </c>
      <c r="AA959" s="40" t="str">
        <f>IFERROR(__xludf.DUMMYFUNCTION("""COMPUTED_VALUE"""),"11937 Denton Dr")</f>
        <v>11937 Denton Dr</v>
      </c>
      <c r="AB959" s="40" t="str">
        <f>IFERROR(__xludf.DUMMYFUNCTION("""COMPUTED_VALUE"""),"Dallas, TX 75234")</f>
        <v>Dallas, TX 75234</v>
      </c>
      <c r="AC959" s="31" t="s">
        <v>2298</v>
      </c>
      <c r="AD959" s="40"/>
      <c r="AE959" s="40"/>
      <c r="AF959" s="40"/>
      <c r="AG959" s="40" t="s">
        <v>60</v>
      </c>
      <c r="AH959" s="42">
        <v>2481.0</v>
      </c>
      <c r="AI959" s="40" t="s">
        <v>68</v>
      </c>
      <c r="AJ959" s="27">
        <v>100.0</v>
      </c>
      <c r="AK959" s="31" t="s">
        <v>25</v>
      </c>
      <c r="AL959" s="43">
        <v>44840.0</v>
      </c>
      <c r="AM959" s="44">
        <v>44937.81995370371</v>
      </c>
      <c r="AN959" s="30">
        <v>2.0</v>
      </c>
      <c r="AO959" s="40"/>
      <c r="AP959" s="40"/>
      <c r="AQ959" s="40"/>
      <c r="AR959" s="40"/>
      <c r="AS959" s="40"/>
      <c r="AT959" s="47"/>
      <c r="AU959" s="40"/>
      <c r="AV959" s="46"/>
      <c r="AW959" s="46"/>
      <c r="AX959" s="47"/>
      <c r="AY959" s="44"/>
      <c r="AZ959" s="30"/>
      <c r="BS959" s="81"/>
      <c r="CU959" s="55"/>
      <c r="CV959" s="55"/>
      <c r="CW959" s="55"/>
      <c r="CX959" s="55"/>
      <c r="CY959" s="55"/>
      <c r="CZ959" s="55"/>
      <c r="DA959" s="82"/>
      <c r="DB959" s="55"/>
      <c r="DC959" s="55"/>
      <c r="DD959" s="55"/>
      <c r="DE959" s="55"/>
      <c r="DF959" s="55"/>
      <c r="DG959" s="55"/>
      <c r="DH959" s="55"/>
      <c r="DI959" s="55"/>
      <c r="DJ959" s="55"/>
      <c r="DK959" s="55"/>
      <c r="DL959" s="55"/>
      <c r="DM959" s="55"/>
      <c r="DN959" s="55"/>
      <c r="DO959" s="55"/>
      <c r="DP959" s="55"/>
      <c r="DQ959" s="55"/>
      <c r="DR959" s="55"/>
      <c r="DS959" s="55"/>
      <c r="DT959" s="55"/>
      <c r="DU959" s="55"/>
      <c r="DV959" s="55"/>
      <c r="DW959" s="55"/>
    </row>
    <row r="960">
      <c r="A960" s="22" t="s">
        <v>55</v>
      </c>
      <c r="B960" s="23" t="s">
        <v>56</v>
      </c>
      <c r="C960" s="31" t="s">
        <v>381</v>
      </c>
      <c r="D960" s="25" t="str">
        <f>IFERROR(__xludf.DUMMYFUNCTION("SPLIT(C960,"" "")"),"Bennett,")</f>
        <v>Bennett,</v>
      </c>
      <c r="E960" s="22" t="str">
        <f>IFERROR(__xludf.DUMMYFUNCTION("""COMPUTED_VALUE"""),"Jeffrey
3100")</f>
        <v>Jeffrey
3100</v>
      </c>
      <c r="F960" s="22" t="str">
        <f>IFERROR(__xludf.DUMMYFUNCTION("""COMPUTED_VALUE"""),"Commerce")</f>
        <v>Commerce</v>
      </c>
      <c r="G960" s="22" t="str">
        <f>IFERROR(__xludf.DUMMYFUNCTION("""COMPUTED_VALUE"""),"St
Dallas,")</f>
        <v>St
Dallas,</v>
      </c>
      <c r="H960" s="22" t="str">
        <f>IFERROR(__xludf.DUMMYFUNCTION("""COMPUTED_VALUE"""),"TX")</f>
        <v>TX</v>
      </c>
      <c r="I960" s="22">
        <f>IFERROR(__xludf.DUMMYFUNCTION("""COMPUTED_VALUE"""),75226.0)</f>
        <v>75226</v>
      </c>
      <c r="J960" s="22"/>
      <c r="K960" s="22"/>
      <c r="L960" s="22"/>
      <c r="M960" s="22"/>
      <c r="N960" s="22"/>
      <c r="O960" s="22"/>
      <c r="P960" s="22"/>
      <c r="Q960" s="22"/>
      <c r="R960" s="22"/>
      <c r="S960" s="22"/>
      <c r="T960" s="22"/>
      <c r="U960" s="24" t="str">
        <f>IFERROR(__xludf.DUMMYFUNCTION("SPLIT(E960,""01234567890"")"),"Jeffrey
")</f>
        <v>Jeffrey
</v>
      </c>
      <c r="V960" s="24" t="str">
        <f>IFERROR(__xludf.DUMMYFUNCTION("SPLIT(D960,"","")"),"Bennett")</f>
        <v>Bennett</v>
      </c>
      <c r="W960" s="25" t="str">
        <f t="shared" si="1"/>
        <v>JEFFREY
 BENNETT</v>
      </c>
      <c r="X960" s="22"/>
      <c r="Y960" s="22"/>
      <c r="Z960" s="25" t="str">
        <f>IFERROR(__xludf.DUMMYFUNCTION("SPLIT(C960,""
"")"),"Bennett, Jeffrey")</f>
        <v>Bennett, Jeffrey</v>
      </c>
      <c r="AA960" s="22" t="str">
        <f>IFERROR(__xludf.DUMMYFUNCTION("""COMPUTED_VALUE"""),"3100 Commerce St")</f>
        <v>3100 Commerce St</v>
      </c>
      <c r="AB960" s="22" t="str">
        <f>IFERROR(__xludf.DUMMYFUNCTION("""COMPUTED_VALUE"""),"Dallas, TX 75226")</f>
        <v>Dallas, TX 75226</v>
      </c>
      <c r="AC960" s="31" t="s">
        <v>383</v>
      </c>
      <c r="AD960" s="22"/>
      <c r="AE960" s="22"/>
      <c r="AF960" s="22"/>
      <c r="AG960" s="22" t="s">
        <v>60</v>
      </c>
      <c r="AH960" s="54">
        <v>2481.0</v>
      </c>
      <c r="AI960" s="22" t="s">
        <v>68</v>
      </c>
      <c r="AJ960" s="27">
        <v>500.0</v>
      </c>
      <c r="AK960" s="31" t="s">
        <v>25</v>
      </c>
      <c r="AL960" s="28">
        <v>44840.0</v>
      </c>
      <c r="AM960" s="29">
        <v>44937.81995370371</v>
      </c>
      <c r="AN960" s="30">
        <v>2.0</v>
      </c>
      <c r="AO960" s="22"/>
      <c r="AP960" s="22"/>
      <c r="AQ960" s="22"/>
      <c r="AR960" s="22"/>
      <c r="AS960" s="22"/>
      <c r="AT960" s="70"/>
      <c r="AU960" s="22"/>
      <c r="AV960" s="57"/>
      <c r="AW960" s="57"/>
      <c r="AX960" s="47"/>
      <c r="AY960" s="29"/>
      <c r="AZ960" s="30"/>
      <c r="BS960" s="81"/>
      <c r="CU960" s="55"/>
      <c r="CV960" s="55"/>
      <c r="CW960" s="55"/>
      <c r="CX960" s="55"/>
      <c r="CY960" s="55"/>
      <c r="CZ960" s="55"/>
      <c r="DA960" s="82"/>
      <c r="DB960" s="55"/>
      <c r="DC960" s="55"/>
      <c r="DD960" s="55"/>
      <c r="DE960" s="55"/>
      <c r="DF960" s="55"/>
      <c r="DG960" s="55"/>
      <c r="DH960" s="55"/>
      <c r="DI960" s="55"/>
      <c r="DJ960" s="55"/>
      <c r="DK960" s="55"/>
      <c r="DL960" s="55"/>
      <c r="DM960" s="55"/>
      <c r="DN960" s="55"/>
      <c r="DO960" s="55"/>
      <c r="DP960" s="55"/>
      <c r="DQ960" s="55"/>
      <c r="DR960" s="55"/>
      <c r="DS960" s="55"/>
      <c r="DT960" s="55"/>
      <c r="DU960" s="55"/>
      <c r="DV960" s="55"/>
      <c r="DW960" s="55"/>
    </row>
    <row r="961">
      <c r="A961" s="40" t="s">
        <v>55</v>
      </c>
      <c r="B961" s="41" t="s">
        <v>56</v>
      </c>
      <c r="C961" s="31" t="s">
        <v>2297</v>
      </c>
      <c r="D961" s="25" t="str">
        <f>IFERROR(__xludf.DUMMYFUNCTION("SPLIT(C961,"" "")"),"Starnes,")</f>
        <v>Starnes,</v>
      </c>
      <c r="E961" s="40" t="str">
        <f>IFERROR(__xludf.DUMMYFUNCTION("""COMPUTED_VALUE"""),"Darrell
11937")</f>
        <v>Darrell
11937</v>
      </c>
      <c r="F961" s="40" t="str">
        <f>IFERROR(__xludf.DUMMYFUNCTION("""COMPUTED_VALUE"""),"Denton")</f>
        <v>Denton</v>
      </c>
      <c r="G961" s="40" t="str">
        <f>IFERROR(__xludf.DUMMYFUNCTION("""COMPUTED_VALUE"""),"Dr
Dallas,")</f>
        <v>Dr
Dallas,</v>
      </c>
      <c r="H961" s="40" t="str">
        <f>IFERROR(__xludf.DUMMYFUNCTION("""COMPUTED_VALUE"""),"TX")</f>
        <v>TX</v>
      </c>
      <c r="I961" s="40">
        <f>IFERROR(__xludf.DUMMYFUNCTION("""COMPUTED_VALUE"""),75234.0)</f>
        <v>75234</v>
      </c>
      <c r="J961" s="40"/>
      <c r="K961" s="40"/>
      <c r="L961" s="40"/>
      <c r="M961" s="40"/>
      <c r="N961" s="40"/>
      <c r="O961" s="40"/>
      <c r="P961" s="40"/>
      <c r="Q961" s="40"/>
      <c r="R961" s="40"/>
      <c r="S961" s="40"/>
      <c r="T961" s="40"/>
      <c r="U961" s="24" t="str">
        <f>IFERROR(__xludf.DUMMYFUNCTION("SPLIT(E961,""01234567890"")"),"Darrell
")</f>
        <v>Darrell
</v>
      </c>
      <c r="V961" s="24" t="str">
        <f>IFERROR(__xludf.DUMMYFUNCTION("SPLIT(D961,"","")"),"Starnes")</f>
        <v>Starnes</v>
      </c>
      <c r="W961" s="25" t="str">
        <f t="shared" si="1"/>
        <v>DARRELL
 STARNES</v>
      </c>
      <c r="X961" s="40"/>
      <c r="Y961" s="40"/>
      <c r="Z961" s="25" t="str">
        <f>IFERROR(__xludf.DUMMYFUNCTION("SPLIT(C961,""
"")"),"Starnes, Darrell")</f>
        <v>Starnes, Darrell</v>
      </c>
      <c r="AA961" s="40" t="str">
        <f>IFERROR(__xludf.DUMMYFUNCTION("""COMPUTED_VALUE"""),"11937 Denton Dr")</f>
        <v>11937 Denton Dr</v>
      </c>
      <c r="AB961" s="40" t="str">
        <f>IFERROR(__xludf.DUMMYFUNCTION("""COMPUTED_VALUE"""),"Dallas, TX 75234")</f>
        <v>Dallas, TX 75234</v>
      </c>
      <c r="AC961" s="31" t="s">
        <v>2298</v>
      </c>
      <c r="AD961" s="40"/>
      <c r="AE961" s="40"/>
      <c r="AF961" s="40"/>
      <c r="AG961" s="40" t="s">
        <v>60</v>
      </c>
      <c r="AH961" s="42">
        <v>2481.0</v>
      </c>
      <c r="AI961" s="40" t="s">
        <v>68</v>
      </c>
      <c r="AJ961" s="27">
        <v>100.0</v>
      </c>
      <c r="AK961" s="31" t="s">
        <v>25</v>
      </c>
      <c r="AL961" s="43">
        <v>44840.0</v>
      </c>
      <c r="AM961" s="44">
        <v>44937.81995370371</v>
      </c>
      <c r="AN961" s="30">
        <v>2.0</v>
      </c>
      <c r="AO961" s="40"/>
      <c r="AP961" s="40"/>
      <c r="AQ961" s="40"/>
      <c r="AR961" s="40"/>
      <c r="AS961" s="40"/>
      <c r="AT961" s="47"/>
      <c r="AU961" s="40"/>
      <c r="AV961" s="46"/>
      <c r="AW961" s="46"/>
      <c r="AX961" s="47"/>
      <c r="AY961" s="44"/>
      <c r="AZ961" s="30"/>
      <c r="BS961" s="81"/>
      <c r="CU961" s="55"/>
      <c r="CV961" s="55"/>
      <c r="CW961" s="55"/>
      <c r="CX961" s="55"/>
      <c r="CY961" s="55"/>
      <c r="CZ961" s="55"/>
      <c r="DA961" s="82"/>
      <c r="DB961" s="55"/>
      <c r="DC961" s="55"/>
      <c r="DD961" s="55"/>
      <c r="DE961" s="55"/>
      <c r="DF961" s="55"/>
      <c r="DG961" s="55"/>
      <c r="DH961" s="55"/>
      <c r="DI961" s="55"/>
      <c r="DJ961" s="55"/>
      <c r="DK961" s="55"/>
      <c r="DL961" s="55"/>
      <c r="DM961" s="55"/>
      <c r="DN961" s="55"/>
      <c r="DO961" s="55"/>
      <c r="DP961" s="55"/>
      <c r="DQ961" s="55"/>
      <c r="DR961" s="55"/>
      <c r="DS961" s="55"/>
      <c r="DT961" s="55"/>
      <c r="DU961" s="55"/>
      <c r="DV961" s="55"/>
      <c r="DW961" s="55"/>
    </row>
    <row r="962">
      <c r="A962" s="22" t="s">
        <v>55</v>
      </c>
      <c r="B962" s="23" t="s">
        <v>56</v>
      </c>
      <c r="C962" s="31" t="s">
        <v>2299</v>
      </c>
      <c r="D962" s="25" t="str">
        <f>IFERROR(__xludf.DUMMYFUNCTION("SPLIT(C962,"" "")"),"Joyner,")</f>
        <v>Joyner,</v>
      </c>
      <c r="E962" s="22" t="str">
        <f>IFERROR(__xludf.DUMMYFUNCTION("""COMPUTED_VALUE"""),"Oscar
1512")</f>
        <v>Oscar
1512</v>
      </c>
      <c r="F962" s="22" t="str">
        <f>IFERROR(__xludf.DUMMYFUNCTION("""COMPUTED_VALUE"""),"Nelson")</f>
        <v>Nelson</v>
      </c>
      <c r="G962" s="22" t="str">
        <f>IFERROR(__xludf.DUMMYFUNCTION("""COMPUTED_VALUE"""),"Dr
Irving,")</f>
        <v>Dr
Irving,</v>
      </c>
      <c r="H962" s="22" t="str">
        <f>IFERROR(__xludf.DUMMYFUNCTION("""COMPUTED_VALUE"""),"TX")</f>
        <v>TX</v>
      </c>
      <c r="I962" s="22">
        <f>IFERROR(__xludf.DUMMYFUNCTION("""COMPUTED_VALUE"""),75038.0)</f>
        <v>75038</v>
      </c>
      <c r="J962" s="22"/>
      <c r="K962" s="22"/>
      <c r="L962" s="22"/>
      <c r="M962" s="22"/>
      <c r="N962" s="22"/>
      <c r="O962" s="22"/>
      <c r="P962" s="22"/>
      <c r="Q962" s="22"/>
      <c r="R962" s="22"/>
      <c r="S962" s="22"/>
      <c r="T962" s="22"/>
      <c r="U962" s="24" t="str">
        <f>IFERROR(__xludf.DUMMYFUNCTION("SPLIT(E962,""01234567890"")"),"Oscar
")</f>
        <v>Oscar
</v>
      </c>
      <c r="V962" s="24" t="str">
        <f>IFERROR(__xludf.DUMMYFUNCTION("SPLIT(D962,"","")"),"Joyner")</f>
        <v>Joyner</v>
      </c>
      <c r="W962" s="25" t="str">
        <f t="shared" si="1"/>
        <v>OSCAR
 JOYNER</v>
      </c>
      <c r="X962" s="22"/>
      <c r="Y962" s="22"/>
      <c r="Z962" s="25" t="str">
        <f>IFERROR(__xludf.DUMMYFUNCTION("SPLIT(C962,""
"")"),"Joyner, Oscar")</f>
        <v>Joyner, Oscar</v>
      </c>
      <c r="AA962" s="22" t="str">
        <f>IFERROR(__xludf.DUMMYFUNCTION("""COMPUTED_VALUE"""),"1512 Nelson Dr")</f>
        <v>1512 Nelson Dr</v>
      </c>
      <c r="AB962" s="22" t="str">
        <f>IFERROR(__xludf.DUMMYFUNCTION("""COMPUTED_VALUE"""),"Irving, TX 75038")</f>
        <v>Irving, TX 75038</v>
      </c>
      <c r="AC962" s="31" t="s">
        <v>2300</v>
      </c>
      <c r="AD962" s="22"/>
      <c r="AE962" s="22"/>
      <c r="AF962" s="22"/>
      <c r="AG962" s="22" t="s">
        <v>60</v>
      </c>
      <c r="AH962" s="54">
        <v>2481.0</v>
      </c>
      <c r="AI962" s="22" t="s">
        <v>68</v>
      </c>
      <c r="AJ962" s="27">
        <v>500.0</v>
      </c>
      <c r="AK962" s="31" t="s">
        <v>25</v>
      </c>
      <c r="AL962" s="28">
        <v>44840.0</v>
      </c>
      <c r="AM962" s="29">
        <v>44937.81995370371</v>
      </c>
      <c r="AN962" s="30">
        <v>2.0</v>
      </c>
      <c r="AO962" s="22"/>
      <c r="AP962" s="22"/>
      <c r="AQ962" s="22"/>
      <c r="AR962" s="22"/>
      <c r="AS962" s="22"/>
      <c r="AT962" s="70"/>
      <c r="AU962" s="22"/>
      <c r="AV962" s="57"/>
      <c r="AW962" s="57"/>
      <c r="AX962" s="47"/>
      <c r="AY962" s="29"/>
      <c r="AZ962" s="30"/>
      <c r="BS962" s="81"/>
      <c r="CU962" s="55"/>
      <c r="CV962" s="55"/>
      <c r="CW962" s="55"/>
      <c r="CX962" s="55"/>
      <c r="CY962" s="55"/>
      <c r="CZ962" s="55"/>
      <c r="DA962" s="82"/>
      <c r="DB962" s="55"/>
      <c r="DC962" s="55"/>
      <c r="DD962" s="55"/>
      <c r="DE962" s="55"/>
      <c r="DF962" s="55"/>
      <c r="DG962" s="55"/>
      <c r="DH962" s="55"/>
      <c r="DI962" s="55"/>
      <c r="DJ962" s="55"/>
      <c r="DK962" s="55"/>
      <c r="DL962" s="55"/>
      <c r="DM962" s="55"/>
      <c r="DN962" s="55"/>
      <c r="DO962" s="55"/>
      <c r="DP962" s="55"/>
      <c r="DQ962" s="55"/>
      <c r="DR962" s="55"/>
      <c r="DS962" s="55"/>
      <c r="DT962" s="55"/>
      <c r="DU962" s="55"/>
      <c r="DV962" s="55"/>
      <c r="DW962" s="55"/>
    </row>
    <row r="963">
      <c r="A963" s="40" t="s">
        <v>55</v>
      </c>
      <c r="B963" s="41" t="s">
        <v>56</v>
      </c>
      <c r="C963" s="31" t="s">
        <v>2301</v>
      </c>
      <c r="D963" s="25" t="str">
        <f>IFERROR(__xludf.DUMMYFUNCTION("SPLIT(C963,"" "")"),"Robinson,")</f>
        <v>Robinson,</v>
      </c>
      <c r="E963" s="40" t="str">
        <f>IFERROR(__xludf.DUMMYFUNCTION("""COMPUTED_VALUE"""),"David
1720")</f>
        <v>David
1720</v>
      </c>
      <c r="F963" s="40" t="str">
        <f>IFERROR(__xludf.DUMMYFUNCTION("""COMPUTED_VALUE"""),"Dartmouth")</f>
        <v>Dartmouth</v>
      </c>
      <c r="G963" s="40" t="str">
        <f>IFERROR(__xludf.DUMMYFUNCTION("""COMPUTED_VALUE"""),"Dr
Glenn")</f>
        <v>Dr
Glenn</v>
      </c>
      <c r="H963" s="40" t="str">
        <f>IFERROR(__xludf.DUMMYFUNCTION("""COMPUTED_VALUE"""),"Heights,")</f>
        <v>Heights,</v>
      </c>
      <c r="I963" s="40" t="str">
        <f>IFERROR(__xludf.DUMMYFUNCTION("""COMPUTED_VALUE"""),"TX")</f>
        <v>TX</v>
      </c>
      <c r="J963" s="40">
        <f>IFERROR(__xludf.DUMMYFUNCTION("""COMPUTED_VALUE"""),75154.0)</f>
        <v>75154</v>
      </c>
      <c r="K963" s="40"/>
      <c r="L963" s="40"/>
      <c r="M963" s="40"/>
      <c r="N963" s="40"/>
      <c r="O963" s="40"/>
      <c r="P963" s="40"/>
      <c r="Q963" s="40"/>
      <c r="R963" s="40"/>
      <c r="S963" s="40"/>
      <c r="T963" s="40"/>
      <c r="U963" s="24" t="str">
        <f>IFERROR(__xludf.DUMMYFUNCTION("SPLIT(E963,""01234567890"")"),"David
")</f>
        <v>David
</v>
      </c>
      <c r="V963" s="24" t="str">
        <f>IFERROR(__xludf.DUMMYFUNCTION("SPLIT(D963,"","")"),"Robinson")</f>
        <v>Robinson</v>
      </c>
      <c r="W963" s="25" t="str">
        <f t="shared" si="1"/>
        <v>DAVID
 ROBINSON</v>
      </c>
      <c r="X963" s="40"/>
      <c r="Y963" s="40"/>
      <c r="Z963" s="25" t="str">
        <f>IFERROR(__xludf.DUMMYFUNCTION("SPLIT(C963,""
"")"),"Robinson, David")</f>
        <v>Robinson, David</v>
      </c>
      <c r="AA963" s="40" t="str">
        <f>IFERROR(__xludf.DUMMYFUNCTION("""COMPUTED_VALUE"""),"1720 Dartmouth Dr")</f>
        <v>1720 Dartmouth Dr</v>
      </c>
      <c r="AB963" s="40" t="str">
        <f>IFERROR(__xludf.DUMMYFUNCTION("""COMPUTED_VALUE"""),"Glenn Heights, TX 75154")</f>
        <v>Glenn Heights, TX 75154</v>
      </c>
      <c r="AC963" s="31" t="s">
        <v>2302</v>
      </c>
      <c r="AD963" s="40"/>
      <c r="AE963" s="40"/>
      <c r="AF963" s="40"/>
      <c r="AG963" s="40" t="s">
        <v>60</v>
      </c>
      <c r="AH963" s="42">
        <v>2481.0</v>
      </c>
      <c r="AI963" s="40" t="s">
        <v>68</v>
      </c>
      <c r="AJ963" s="27">
        <v>25.0</v>
      </c>
      <c r="AK963" s="31" t="s">
        <v>25</v>
      </c>
      <c r="AL963" s="43">
        <v>44840.0</v>
      </c>
      <c r="AM963" s="44">
        <v>44937.81995370371</v>
      </c>
      <c r="AN963" s="30">
        <v>2.0</v>
      </c>
      <c r="AO963" s="40"/>
      <c r="AP963" s="40"/>
      <c r="AQ963" s="40"/>
      <c r="AR963" s="40"/>
      <c r="AS963" s="40"/>
      <c r="AT963" s="47"/>
      <c r="AU963" s="40"/>
      <c r="AV963" s="46"/>
      <c r="AW963" s="46"/>
      <c r="AX963" s="47"/>
      <c r="AY963" s="44"/>
      <c r="AZ963" s="30"/>
      <c r="BS963" s="81"/>
      <c r="CU963" s="55"/>
      <c r="CV963" s="55"/>
      <c r="CW963" s="55"/>
      <c r="CX963" s="55"/>
      <c r="CY963" s="55"/>
      <c r="CZ963" s="55"/>
      <c r="DA963" s="82"/>
      <c r="DB963" s="55"/>
      <c r="DC963" s="55"/>
      <c r="DD963" s="55"/>
      <c r="DE963" s="55"/>
      <c r="DF963" s="55"/>
      <c r="DG963" s="55"/>
      <c r="DH963" s="55"/>
      <c r="DI963" s="55"/>
      <c r="DJ963" s="55"/>
      <c r="DK963" s="55"/>
      <c r="DL963" s="55"/>
      <c r="DM963" s="55"/>
      <c r="DN963" s="55"/>
      <c r="DO963" s="55"/>
      <c r="DP963" s="55"/>
      <c r="DQ963" s="55"/>
      <c r="DR963" s="55"/>
      <c r="DS963" s="55"/>
      <c r="DT963" s="55"/>
      <c r="DU963" s="55"/>
      <c r="DV963" s="55"/>
      <c r="DW963" s="55"/>
    </row>
    <row r="964">
      <c r="A964" s="22" t="s">
        <v>55</v>
      </c>
      <c r="B964" s="23" t="s">
        <v>56</v>
      </c>
      <c r="C964" s="31" t="s">
        <v>2303</v>
      </c>
      <c r="D964" s="25" t="str">
        <f>IFERROR(__xludf.DUMMYFUNCTION("SPLIT(C964,"" "")"),"Vindas,")</f>
        <v>Vindas,</v>
      </c>
      <c r="E964" s="22" t="str">
        <f>IFERROR(__xludf.DUMMYFUNCTION("""COMPUTED_VALUE"""),"Andrea
448")</f>
        <v>Andrea
448</v>
      </c>
      <c r="F964" s="22" t="str">
        <f>IFERROR(__xludf.DUMMYFUNCTION("""COMPUTED_VALUE"""),"W")</f>
        <v>W</v>
      </c>
      <c r="G964" s="22" t="str">
        <f>IFERROR(__xludf.DUMMYFUNCTION("""COMPUTED_VALUE"""),"19th")</f>
        <v>19th</v>
      </c>
      <c r="H964" s="22" t="str">
        <f>IFERROR(__xludf.DUMMYFUNCTION("""COMPUTED_VALUE"""),"St
Houston,")</f>
        <v>St
Houston,</v>
      </c>
      <c r="I964" s="22" t="str">
        <f>IFERROR(__xludf.DUMMYFUNCTION("""COMPUTED_VALUE"""),"TX")</f>
        <v>TX</v>
      </c>
      <c r="J964" s="22">
        <f>IFERROR(__xludf.DUMMYFUNCTION("""COMPUTED_VALUE"""),77008.0)</f>
        <v>77008</v>
      </c>
      <c r="K964" s="22"/>
      <c r="L964" s="22"/>
      <c r="M964" s="22"/>
      <c r="N964" s="22"/>
      <c r="O964" s="22"/>
      <c r="P964" s="22"/>
      <c r="Q964" s="22"/>
      <c r="R964" s="22"/>
      <c r="S964" s="22"/>
      <c r="T964" s="22"/>
      <c r="U964" s="24" t="str">
        <f>IFERROR(__xludf.DUMMYFUNCTION("SPLIT(E964,""01234567890"")"),"Andrea
")</f>
        <v>Andrea
</v>
      </c>
      <c r="V964" s="24" t="str">
        <f>IFERROR(__xludf.DUMMYFUNCTION("SPLIT(D964,"","")"),"Vindas")</f>
        <v>Vindas</v>
      </c>
      <c r="W964" s="25" t="str">
        <f t="shared" si="1"/>
        <v>ANDREA
 VINDAS</v>
      </c>
      <c r="X964" s="22"/>
      <c r="Y964" s="22"/>
      <c r="Z964" s="25" t="str">
        <f>IFERROR(__xludf.DUMMYFUNCTION("SPLIT(C964,""
"")"),"Vindas, Andrea")</f>
        <v>Vindas, Andrea</v>
      </c>
      <c r="AA964" s="22" t="str">
        <f>IFERROR(__xludf.DUMMYFUNCTION("""COMPUTED_VALUE"""),"448 W 19th St")</f>
        <v>448 W 19th St</v>
      </c>
      <c r="AB964" s="22" t="str">
        <f>IFERROR(__xludf.DUMMYFUNCTION("""COMPUTED_VALUE"""),"Houston, TX 77008")</f>
        <v>Houston, TX 77008</v>
      </c>
      <c r="AC964" s="31" t="s">
        <v>2304</v>
      </c>
      <c r="AD964" s="22"/>
      <c r="AE964" s="22"/>
      <c r="AF964" s="22"/>
      <c r="AG964" s="22" t="s">
        <v>60</v>
      </c>
      <c r="AH964" s="54">
        <v>2481.0</v>
      </c>
      <c r="AI964" s="22" t="s">
        <v>68</v>
      </c>
      <c r="AJ964" s="27">
        <v>50.0</v>
      </c>
      <c r="AK964" s="31" t="s">
        <v>25</v>
      </c>
      <c r="AL964" s="28">
        <v>44840.0</v>
      </c>
      <c r="AM964" s="29">
        <v>44937.81995370371</v>
      </c>
      <c r="AN964" s="30">
        <v>2.0</v>
      </c>
      <c r="AO964" s="22"/>
      <c r="AP964" s="22"/>
      <c r="AQ964" s="22"/>
      <c r="AR964" s="22"/>
      <c r="AS964" s="22"/>
      <c r="AT964" s="70"/>
      <c r="AU964" s="22"/>
      <c r="AV964" s="57"/>
      <c r="AW964" s="57"/>
      <c r="AX964" s="47"/>
      <c r="AY964" s="29"/>
      <c r="AZ964" s="30"/>
      <c r="BS964" s="81"/>
      <c r="CU964" s="55"/>
      <c r="CV964" s="55"/>
      <c r="CW964" s="55"/>
      <c r="CX964" s="55"/>
      <c r="CY964" s="55"/>
      <c r="CZ964" s="55"/>
      <c r="DA964" s="82"/>
      <c r="DB964" s="55"/>
      <c r="DC964" s="55"/>
      <c r="DD964" s="55"/>
      <c r="DE964" s="55"/>
      <c r="DF964" s="55"/>
      <c r="DG964" s="55"/>
      <c r="DH964" s="55"/>
      <c r="DI964" s="55"/>
      <c r="DJ964" s="55"/>
      <c r="DK964" s="55"/>
      <c r="DL964" s="55"/>
      <c r="DM964" s="55"/>
      <c r="DN964" s="55"/>
      <c r="DO964" s="55"/>
      <c r="DP964" s="55"/>
      <c r="DQ964" s="55"/>
      <c r="DR964" s="55"/>
      <c r="DS964" s="55"/>
      <c r="DT964" s="55"/>
      <c r="DU964" s="55"/>
      <c r="DV964" s="55"/>
      <c r="DW964" s="55"/>
    </row>
    <row r="965">
      <c r="A965" s="40" t="s">
        <v>55</v>
      </c>
      <c r="B965" s="41" t="s">
        <v>56</v>
      </c>
      <c r="C965" s="31" t="s">
        <v>2305</v>
      </c>
      <c r="D965" s="25" t="str">
        <f>IFERROR(__xludf.DUMMYFUNCTION("SPLIT(C965,"" "")"),"Silva,")</f>
        <v>Silva,</v>
      </c>
      <c r="E965" s="40" t="str">
        <f>IFERROR(__xludf.DUMMYFUNCTION("""COMPUTED_VALUE"""),"Carlos
901")</f>
        <v>Carlos
901</v>
      </c>
      <c r="F965" s="40" t="str">
        <f>IFERROR(__xludf.DUMMYFUNCTION("""COMPUTED_VALUE"""),"Lakeside")</f>
        <v>Lakeside</v>
      </c>
      <c r="G965" s="40" t="str">
        <f>IFERROR(__xludf.DUMMYFUNCTION("""COMPUTED_VALUE"""),"Cir
Lewisville,")</f>
        <v>Cir
Lewisville,</v>
      </c>
      <c r="H965" s="40" t="str">
        <f>IFERROR(__xludf.DUMMYFUNCTION("""COMPUTED_VALUE"""),"TX")</f>
        <v>TX</v>
      </c>
      <c r="I965" s="40">
        <f>IFERROR(__xludf.DUMMYFUNCTION("""COMPUTED_VALUE"""),75057.0)</f>
        <v>75057</v>
      </c>
      <c r="J965" s="40"/>
      <c r="K965" s="40"/>
      <c r="L965" s="40"/>
      <c r="M965" s="40"/>
      <c r="N965" s="40"/>
      <c r="O965" s="40"/>
      <c r="P965" s="40"/>
      <c r="Q965" s="40"/>
      <c r="R965" s="40"/>
      <c r="S965" s="40"/>
      <c r="T965" s="40"/>
      <c r="U965" s="24" t="str">
        <f>IFERROR(__xludf.DUMMYFUNCTION("SPLIT(E965,""01234567890"")"),"Carlos
")</f>
        <v>Carlos
</v>
      </c>
      <c r="V965" s="24" t="str">
        <f>IFERROR(__xludf.DUMMYFUNCTION("SPLIT(D965,"","")"),"Silva")</f>
        <v>Silva</v>
      </c>
      <c r="W965" s="25" t="str">
        <f t="shared" si="1"/>
        <v>CARLOS
 SILVA</v>
      </c>
      <c r="X965" s="40"/>
      <c r="Y965" s="40"/>
      <c r="Z965" s="25" t="str">
        <f>IFERROR(__xludf.DUMMYFUNCTION("SPLIT(C965,""
"")"),"Silva, Carlos")</f>
        <v>Silva, Carlos</v>
      </c>
      <c r="AA965" s="40" t="str">
        <f>IFERROR(__xludf.DUMMYFUNCTION("""COMPUTED_VALUE"""),"901 Lakeside Cir")</f>
        <v>901 Lakeside Cir</v>
      </c>
      <c r="AB965" s="40" t="str">
        <f>IFERROR(__xludf.DUMMYFUNCTION("""COMPUTED_VALUE"""),"Lewisville, TX 75057")</f>
        <v>Lewisville, TX 75057</v>
      </c>
      <c r="AC965" s="31" t="s">
        <v>2306</v>
      </c>
      <c r="AD965" s="40"/>
      <c r="AE965" s="40"/>
      <c r="AF965" s="40"/>
      <c r="AG965" s="40" t="s">
        <v>60</v>
      </c>
      <c r="AH965" s="42">
        <v>2481.0</v>
      </c>
      <c r="AI965" s="40" t="s">
        <v>68</v>
      </c>
      <c r="AJ965" s="27">
        <v>50.0</v>
      </c>
      <c r="AK965" s="31" t="s">
        <v>25</v>
      </c>
      <c r="AL965" s="43">
        <v>44840.0</v>
      </c>
      <c r="AM965" s="44">
        <v>44937.81995370371</v>
      </c>
      <c r="AN965" s="30">
        <v>2.0</v>
      </c>
      <c r="AO965" s="40"/>
      <c r="AP965" s="40"/>
      <c r="AQ965" s="40"/>
      <c r="AR965" s="40"/>
      <c r="AS965" s="40"/>
      <c r="AT965" s="47"/>
      <c r="AU965" s="40"/>
      <c r="AV965" s="46"/>
      <c r="AW965" s="46"/>
      <c r="AX965" s="47"/>
      <c r="AY965" s="44"/>
      <c r="AZ965" s="30"/>
      <c r="BS965" s="81"/>
      <c r="CU965" s="55"/>
      <c r="CV965" s="55"/>
      <c r="CW965" s="55"/>
      <c r="CX965" s="55"/>
      <c r="CY965" s="55"/>
      <c r="CZ965" s="55"/>
      <c r="DA965" s="82"/>
      <c r="DB965" s="55"/>
      <c r="DC965" s="55"/>
      <c r="DD965" s="55"/>
      <c r="DE965" s="55"/>
      <c r="DF965" s="55"/>
      <c r="DG965" s="55"/>
      <c r="DH965" s="55"/>
      <c r="DI965" s="55"/>
      <c r="DJ965" s="55"/>
      <c r="DK965" s="55"/>
      <c r="DL965" s="55"/>
      <c r="DM965" s="55"/>
      <c r="DN965" s="55"/>
      <c r="DO965" s="55"/>
      <c r="DP965" s="55"/>
      <c r="DQ965" s="55"/>
      <c r="DR965" s="55"/>
      <c r="DS965" s="55"/>
      <c r="DT965" s="55"/>
      <c r="DU965" s="55"/>
      <c r="DV965" s="55"/>
      <c r="DW965" s="55"/>
    </row>
    <row r="966">
      <c r="A966" s="22" t="s">
        <v>55</v>
      </c>
      <c r="B966" s="23" t="s">
        <v>56</v>
      </c>
      <c r="C966" s="31" t="s">
        <v>2307</v>
      </c>
      <c r="D966" s="25" t="str">
        <f>IFERROR(__xludf.DUMMYFUNCTION("SPLIT(C966,"" "")"),"Syed,")</f>
        <v>Syed,</v>
      </c>
      <c r="E966" s="22" t="str">
        <f>IFERROR(__xludf.DUMMYFUNCTION("""COMPUTED_VALUE"""),"Sana
3838")</f>
        <v>Sana
3838</v>
      </c>
      <c r="F966" s="22" t="str">
        <f>IFERROR(__xludf.DUMMYFUNCTION("""COMPUTED_VALUE"""),"Oak")</f>
        <v>Oak</v>
      </c>
      <c r="G966" s="22" t="str">
        <f>IFERROR(__xludf.DUMMYFUNCTION("""COMPUTED_VALUE"""),"Lawn
Dallas,")</f>
        <v>Lawn
Dallas,</v>
      </c>
      <c r="H966" s="22" t="str">
        <f>IFERROR(__xludf.DUMMYFUNCTION("""COMPUTED_VALUE"""),"TX")</f>
        <v>TX</v>
      </c>
      <c r="I966" s="22">
        <f>IFERROR(__xludf.DUMMYFUNCTION("""COMPUTED_VALUE"""),75219.0)</f>
        <v>75219</v>
      </c>
      <c r="J966" s="22"/>
      <c r="K966" s="22"/>
      <c r="L966" s="22"/>
      <c r="M966" s="22"/>
      <c r="N966" s="22"/>
      <c r="O966" s="22"/>
      <c r="P966" s="22"/>
      <c r="Q966" s="22"/>
      <c r="R966" s="22"/>
      <c r="S966" s="22"/>
      <c r="T966" s="22"/>
      <c r="U966" s="24" t="str">
        <f>IFERROR(__xludf.DUMMYFUNCTION("SPLIT(E966,""01234567890"")"),"Sana
")</f>
        <v>Sana
</v>
      </c>
      <c r="V966" s="24" t="str">
        <f>IFERROR(__xludf.DUMMYFUNCTION("SPLIT(D966,"","")"),"Syed")</f>
        <v>Syed</v>
      </c>
      <c r="W966" s="25" t="str">
        <f t="shared" si="1"/>
        <v>SANA
 SYED</v>
      </c>
      <c r="X966" s="22"/>
      <c r="Y966" s="22"/>
      <c r="Z966" s="25" t="str">
        <f>IFERROR(__xludf.DUMMYFUNCTION("SPLIT(C966,""
"")"),"Syed, Sana")</f>
        <v>Syed, Sana</v>
      </c>
      <c r="AA966" s="22" t="str">
        <f>IFERROR(__xludf.DUMMYFUNCTION("""COMPUTED_VALUE"""),"3838 Oak Lawn")</f>
        <v>3838 Oak Lawn</v>
      </c>
      <c r="AB966" s="22" t="str">
        <f>IFERROR(__xludf.DUMMYFUNCTION("""COMPUTED_VALUE"""),"Dallas, TX 75219")</f>
        <v>Dallas, TX 75219</v>
      </c>
      <c r="AC966" s="31" t="s">
        <v>2308</v>
      </c>
      <c r="AD966" s="22"/>
      <c r="AE966" s="22"/>
      <c r="AF966" s="22"/>
      <c r="AG966" s="22" t="s">
        <v>60</v>
      </c>
      <c r="AH966" s="54">
        <v>2481.0</v>
      </c>
      <c r="AI966" s="22" t="s">
        <v>68</v>
      </c>
      <c r="AJ966" s="27">
        <v>100.0</v>
      </c>
      <c r="AK966" s="31" t="s">
        <v>25</v>
      </c>
      <c r="AL966" s="28">
        <v>44840.0</v>
      </c>
      <c r="AM966" s="29">
        <v>44937.81995370371</v>
      </c>
      <c r="AN966" s="30">
        <v>2.0</v>
      </c>
      <c r="AO966" s="22"/>
      <c r="AP966" s="22"/>
      <c r="AQ966" s="22"/>
      <c r="AR966" s="22"/>
      <c r="AS966" s="22"/>
      <c r="AT966" s="70"/>
      <c r="AU966" s="22"/>
      <c r="AV966" s="57"/>
      <c r="AW966" s="57"/>
      <c r="AX966" s="47"/>
      <c r="AY966" s="29"/>
      <c r="AZ966" s="30"/>
      <c r="BS966" s="81"/>
      <c r="CU966" s="55"/>
      <c r="CV966" s="55"/>
      <c r="CW966" s="55"/>
      <c r="CX966" s="55"/>
      <c r="CY966" s="55"/>
      <c r="CZ966" s="55"/>
      <c r="DA966" s="82"/>
      <c r="DB966" s="55"/>
      <c r="DC966" s="55"/>
      <c r="DD966" s="55"/>
      <c r="DE966" s="55"/>
      <c r="DF966" s="55"/>
      <c r="DG966" s="55"/>
      <c r="DH966" s="55"/>
      <c r="DI966" s="55"/>
      <c r="DJ966" s="55"/>
      <c r="DK966" s="55"/>
      <c r="DL966" s="55"/>
      <c r="DM966" s="55"/>
      <c r="DN966" s="55"/>
      <c r="DO966" s="55"/>
      <c r="DP966" s="55"/>
      <c r="DQ966" s="55"/>
      <c r="DR966" s="55"/>
      <c r="DS966" s="55"/>
      <c r="DT966" s="55"/>
      <c r="DU966" s="55"/>
      <c r="DV966" s="55"/>
      <c r="DW966" s="55"/>
    </row>
    <row r="967">
      <c r="A967" s="40" t="s">
        <v>55</v>
      </c>
      <c r="B967" s="41" t="s">
        <v>56</v>
      </c>
      <c r="C967" s="31" t="s">
        <v>2309</v>
      </c>
      <c r="D967" s="25" t="str">
        <f>IFERROR(__xludf.DUMMYFUNCTION("SPLIT(C967,"" "")"),"Mier,")</f>
        <v>Mier,</v>
      </c>
      <c r="E967" s="40" t="str">
        <f>IFERROR(__xludf.DUMMYFUNCTION("""COMPUTED_VALUE"""),"Dan
8515")</f>
        <v>Dan
8515</v>
      </c>
      <c r="F967" s="40" t="str">
        <f>IFERROR(__xludf.DUMMYFUNCTION("""COMPUTED_VALUE"""),"San")</f>
        <v>San</v>
      </c>
      <c r="G967" s="40" t="str">
        <f>IFERROR(__xludf.DUMMYFUNCTION("""COMPUTED_VALUE"""),"Benito")</f>
        <v>Benito</v>
      </c>
      <c r="H967" s="40" t="str">
        <f>IFERROR(__xludf.DUMMYFUNCTION("""COMPUTED_VALUE"""),"Way
Dallas,")</f>
        <v>Way
Dallas,</v>
      </c>
      <c r="I967" s="40" t="str">
        <f>IFERROR(__xludf.DUMMYFUNCTION("""COMPUTED_VALUE"""),"TX")</f>
        <v>TX</v>
      </c>
      <c r="J967" s="40">
        <f>IFERROR(__xludf.DUMMYFUNCTION("""COMPUTED_VALUE"""),75218.0)</f>
        <v>75218</v>
      </c>
      <c r="K967" s="40"/>
      <c r="L967" s="40"/>
      <c r="M967" s="40"/>
      <c r="N967" s="40"/>
      <c r="O967" s="40"/>
      <c r="P967" s="40"/>
      <c r="Q967" s="40"/>
      <c r="R967" s="40"/>
      <c r="S967" s="40"/>
      <c r="T967" s="40"/>
      <c r="U967" s="24" t="str">
        <f>IFERROR(__xludf.DUMMYFUNCTION("SPLIT(E967,""01234567890"")"),"Dan
")</f>
        <v>Dan
</v>
      </c>
      <c r="V967" s="24" t="str">
        <f>IFERROR(__xludf.DUMMYFUNCTION("SPLIT(D967,"","")"),"Mier")</f>
        <v>Mier</v>
      </c>
      <c r="W967" s="25" t="str">
        <f t="shared" si="1"/>
        <v>DAN
 MIER</v>
      </c>
      <c r="X967" s="40"/>
      <c r="Y967" s="40"/>
      <c r="Z967" s="25" t="str">
        <f>IFERROR(__xludf.DUMMYFUNCTION("SPLIT(C967,""
"")"),"Mier, Dan")</f>
        <v>Mier, Dan</v>
      </c>
      <c r="AA967" s="40" t="str">
        <f>IFERROR(__xludf.DUMMYFUNCTION("""COMPUTED_VALUE"""),"8515 San Benito Way")</f>
        <v>8515 San Benito Way</v>
      </c>
      <c r="AB967" s="40" t="str">
        <f>IFERROR(__xludf.DUMMYFUNCTION("""COMPUTED_VALUE"""),"Dallas, TX 75218")</f>
        <v>Dallas, TX 75218</v>
      </c>
      <c r="AC967" s="31" t="s">
        <v>2310</v>
      </c>
      <c r="AD967" s="40"/>
      <c r="AE967" s="40"/>
      <c r="AF967" s="40"/>
      <c r="AG967" s="40" t="s">
        <v>60</v>
      </c>
      <c r="AH967" s="42">
        <v>2481.0</v>
      </c>
      <c r="AI967" s="40" t="s">
        <v>68</v>
      </c>
      <c r="AJ967" s="27">
        <v>50.0</v>
      </c>
      <c r="AK967" s="31" t="s">
        <v>25</v>
      </c>
      <c r="AL967" s="43">
        <v>44840.0</v>
      </c>
      <c r="AM967" s="44">
        <v>44937.81995370371</v>
      </c>
      <c r="AN967" s="30">
        <v>2.0</v>
      </c>
      <c r="AO967" s="40"/>
      <c r="AP967" s="40"/>
      <c r="AQ967" s="40"/>
      <c r="AR967" s="40"/>
      <c r="AS967" s="40"/>
      <c r="AT967" s="47"/>
      <c r="AU967" s="40"/>
      <c r="AV967" s="46"/>
      <c r="AW967" s="46"/>
      <c r="AX967" s="47"/>
      <c r="AY967" s="44"/>
      <c r="AZ967" s="30"/>
      <c r="BS967" s="81"/>
      <c r="CU967" s="55"/>
      <c r="CV967" s="55"/>
      <c r="CW967" s="55"/>
      <c r="CX967" s="55"/>
      <c r="CY967" s="55"/>
      <c r="CZ967" s="55"/>
      <c r="DA967" s="82"/>
      <c r="DB967" s="55"/>
      <c r="DC967" s="55"/>
      <c r="DD967" s="55"/>
      <c r="DE967" s="55"/>
      <c r="DF967" s="55"/>
      <c r="DG967" s="55"/>
      <c r="DH967" s="55"/>
      <c r="DI967" s="55"/>
      <c r="DJ967" s="55"/>
      <c r="DK967" s="55"/>
      <c r="DL967" s="55"/>
      <c r="DM967" s="55"/>
      <c r="DN967" s="55"/>
      <c r="DO967" s="55"/>
      <c r="DP967" s="55"/>
      <c r="DQ967" s="55"/>
      <c r="DR967" s="55"/>
      <c r="DS967" s="55"/>
      <c r="DT967" s="55"/>
      <c r="DU967" s="55"/>
      <c r="DV967" s="55"/>
      <c r="DW967" s="55"/>
    </row>
    <row r="968">
      <c r="A968" s="22" t="s">
        <v>55</v>
      </c>
      <c r="B968" s="23" t="s">
        <v>56</v>
      </c>
      <c r="C968" s="31" t="s">
        <v>928</v>
      </c>
      <c r="D968" s="25" t="str">
        <f>IFERROR(__xludf.DUMMYFUNCTION("SPLIT(C968,"" "")"),"Mier,")</f>
        <v>Mier,</v>
      </c>
      <c r="E968" s="22" t="str">
        <f>IFERROR(__xludf.DUMMYFUNCTION("""COMPUTED_VALUE"""),"Brian
8515")</f>
        <v>Brian
8515</v>
      </c>
      <c r="F968" s="22" t="str">
        <f>IFERROR(__xludf.DUMMYFUNCTION("""COMPUTED_VALUE"""),"San")</f>
        <v>San</v>
      </c>
      <c r="G968" s="22" t="str">
        <f>IFERROR(__xludf.DUMMYFUNCTION("""COMPUTED_VALUE"""),"Benito")</f>
        <v>Benito</v>
      </c>
      <c r="H968" s="22" t="str">
        <f>IFERROR(__xludf.DUMMYFUNCTION("""COMPUTED_VALUE"""),"Way
Dallas,")</f>
        <v>Way
Dallas,</v>
      </c>
      <c r="I968" s="22" t="str">
        <f>IFERROR(__xludf.DUMMYFUNCTION("""COMPUTED_VALUE"""),"TX")</f>
        <v>TX</v>
      </c>
      <c r="J968" s="22">
        <f>IFERROR(__xludf.DUMMYFUNCTION("""COMPUTED_VALUE"""),75218.0)</f>
        <v>75218</v>
      </c>
      <c r="K968" s="22"/>
      <c r="L968" s="22"/>
      <c r="M968" s="22"/>
      <c r="N968" s="22"/>
      <c r="O968" s="22"/>
      <c r="P968" s="22"/>
      <c r="Q968" s="22"/>
      <c r="R968" s="22"/>
      <c r="S968" s="22"/>
      <c r="T968" s="22"/>
      <c r="U968" s="24" t="str">
        <f>IFERROR(__xludf.DUMMYFUNCTION("SPLIT(E968,""01234567890"")"),"Brian
")</f>
        <v>Brian
</v>
      </c>
      <c r="V968" s="24" t="str">
        <f>IFERROR(__xludf.DUMMYFUNCTION("SPLIT(D968,"","")"),"Mier")</f>
        <v>Mier</v>
      </c>
      <c r="W968" s="25" t="str">
        <f t="shared" si="1"/>
        <v>BRIAN
 MIER</v>
      </c>
      <c r="X968" s="22"/>
      <c r="Y968" s="22"/>
      <c r="Z968" s="25" t="str">
        <f>IFERROR(__xludf.DUMMYFUNCTION("SPLIT(C968,""
"")"),"Mier, Brian")</f>
        <v>Mier, Brian</v>
      </c>
      <c r="AA968" s="22" t="str">
        <f>IFERROR(__xludf.DUMMYFUNCTION("""COMPUTED_VALUE"""),"8515 San Benito Way")</f>
        <v>8515 San Benito Way</v>
      </c>
      <c r="AB968" s="22" t="str">
        <f>IFERROR(__xludf.DUMMYFUNCTION("""COMPUTED_VALUE"""),"Dallas, TX 75218")</f>
        <v>Dallas, TX 75218</v>
      </c>
      <c r="AC968" s="31" t="s">
        <v>930</v>
      </c>
      <c r="AD968" s="22"/>
      <c r="AE968" s="22"/>
      <c r="AF968" s="22"/>
      <c r="AG968" s="22" t="s">
        <v>60</v>
      </c>
      <c r="AH968" s="54">
        <v>2481.0</v>
      </c>
      <c r="AI968" s="22" t="s">
        <v>68</v>
      </c>
      <c r="AJ968" s="27">
        <v>50.0</v>
      </c>
      <c r="AK968" s="31" t="s">
        <v>25</v>
      </c>
      <c r="AL968" s="28">
        <v>44840.0</v>
      </c>
      <c r="AM968" s="29">
        <v>44937.81995370371</v>
      </c>
      <c r="AN968" s="30">
        <v>2.0</v>
      </c>
      <c r="AO968" s="22"/>
      <c r="AP968" s="22"/>
      <c r="AQ968" s="22"/>
      <c r="AR968" s="22"/>
      <c r="AS968" s="22"/>
      <c r="AT968" s="70"/>
      <c r="AU968" s="22"/>
      <c r="AV968" s="57"/>
      <c r="AW968" s="57"/>
      <c r="AX968" s="47"/>
      <c r="AY968" s="29"/>
      <c r="AZ968" s="30"/>
      <c r="BS968" s="81"/>
      <c r="CU968" s="55"/>
      <c r="CV968" s="55"/>
      <c r="CW968" s="55"/>
      <c r="CX968" s="55"/>
      <c r="CY968" s="55"/>
      <c r="CZ968" s="55"/>
      <c r="DA968" s="82"/>
      <c r="DB968" s="55"/>
      <c r="DC968" s="55"/>
      <c r="DD968" s="55"/>
      <c r="DE968" s="55"/>
      <c r="DF968" s="55"/>
      <c r="DG968" s="55"/>
      <c r="DH968" s="55"/>
      <c r="DI968" s="55"/>
      <c r="DJ968" s="55"/>
      <c r="DK968" s="55"/>
      <c r="DL968" s="55"/>
      <c r="DM968" s="55"/>
      <c r="DN968" s="55"/>
      <c r="DO968" s="55"/>
      <c r="DP968" s="55"/>
      <c r="DQ968" s="55"/>
      <c r="DR968" s="55"/>
      <c r="DS968" s="55"/>
      <c r="DT968" s="55"/>
      <c r="DU968" s="55"/>
      <c r="DV968" s="55"/>
      <c r="DW968" s="55"/>
    </row>
    <row r="969">
      <c r="A969" s="40" t="s">
        <v>55</v>
      </c>
      <c r="B969" s="41" t="s">
        <v>56</v>
      </c>
      <c r="C969" s="31" t="s">
        <v>2311</v>
      </c>
      <c r="D969" s="25" t="str">
        <f>IFERROR(__xludf.DUMMYFUNCTION("SPLIT(C969,"" "")"),"Ford,")</f>
        <v>Ford,</v>
      </c>
      <c r="E969" s="40" t="str">
        <f>IFERROR(__xludf.DUMMYFUNCTION("""COMPUTED_VALUE"""),"Chris
8047")</f>
        <v>Chris
8047</v>
      </c>
      <c r="F969" s="40" t="str">
        <f>IFERROR(__xludf.DUMMYFUNCTION("""COMPUTED_VALUE"""),"Moss")</f>
        <v>Moss</v>
      </c>
      <c r="G969" s="40" t="str">
        <f>IFERROR(__xludf.DUMMYFUNCTION("""COMPUTED_VALUE"""),"Meadows")</f>
        <v>Meadows</v>
      </c>
      <c r="H969" s="40" t="str">
        <f>IFERROR(__xludf.DUMMYFUNCTION("""COMPUTED_VALUE"""),"Dr
Dallas,")</f>
        <v>Dr
Dallas,</v>
      </c>
      <c r="I969" s="40" t="str">
        <f>IFERROR(__xludf.DUMMYFUNCTION("""COMPUTED_VALUE"""),"TX")</f>
        <v>TX</v>
      </c>
      <c r="J969" s="40">
        <f>IFERROR(__xludf.DUMMYFUNCTION("""COMPUTED_VALUE"""),75231.0)</f>
        <v>75231</v>
      </c>
      <c r="K969" s="40"/>
      <c r="L969" s="40"/>
      <c r="M969" s="40"/>
      <c r="N969" s="40"/>
      <c r="O969" s="40"/>
      <c r="P969" s="40"/>
      <c r="Q969" s="40"/>
      <c r="R969" s="40"/>
      <c r="S969" s="40"/>
      <c r="T969" s="40"/>
      <c r="U969" s="24" t="str">
        <f>IFERROR(__xludf.DUMMYFUNCTION("SPLIT(E969,""01234567890"")"),"Chris
")</f>
        <v>Chris
</v>
      </c>
      <c r="V969" s="24" t="str">
        <f>IFERROR(__xludf.DUMMYFUNCTION("SPLIT(D969,"","")"),"Ford")</f>
        <v>Ford</v>
      </c>
      <c r="W969" s="25" t="str">
        <f t="shared" si="1"/>
        <v>CHRIS
 FORD</v>
      </c>
      <c r="X969" s="40"/>
      <c r="Y969" s="40"/>
      <c r="Z969" s="25" t="str">
        <f>IFERROR(__xludf.DUMMYFUNCTION("SPLIT(C969,""
"")"),"Ford, Chris")</f>
        <v>Ford, Chris</v>
      </c>
      <c r="AA969" s="40" t="str">
        <f>IFERROR(__xludf.DUMMYFUNCTION("""COMPUTED_VALUE"""),"8047 Moss Meadows Dr")</f>
        <v>8047 Moss Meadows Dr</v>
      </c>
      <c r="AB969" s="40" t="str">
        <f>IFERROR(__xludf.DUMMYFUNCTION("""COMPUTED_VALUE"""),"Dallas, TX 75231")</f>
        <v>Dallas, TX 75231</v>
      </c>
      <c r="AC969" s="31" t="s">
        <v>2312</v>
      </c>
      <c r="AD969" s="40"/>
      <c r="AE969" s="40"/>
      <c r="AF969" s="40"/>
      <c r="AG969" s="40" t="s">
        <v>60</v>
      </c>
      <c r="AH969" s="42">
        <v>2481.0</v>
      </c>
      <c r="AI969" s="40" t="s">
        <v>68</v>
      </c>
      <c r="AJ969" s="27">
        <v>50.0</v>
      </c>
      <c r="AK969" s="31" t="s">
        <v>25</v>
      </c>
      <c r="AL969" s="43">
        <v>44840.0</v>
      </c>
      <c r="AM969" s="44">
        <v>44937.81995370371</v>
      </c>
      <c r="AN969" s="30">
        <v>2.0</v>
      </c>
      <c r="AO969" s="40"/>
      <c r="AP969" s="40"/>
      <c r="AQ969" s="40"/>
      <c r="AR969" s="40"/>
      <c r="AS969" s="40"/>
      <c r="AT969" s="47"/>
      <c r="AU969" s="40"/>
      <c r="AV969" s="46"/>
      <c r="AW969" s="46"/>
      <c r="AX969" s="47"/>
      <c r="AY969" s="44"/>
      <c r="AZ969" s="30"/>
      <c r="BS969" s="81"/>
      <c r="CU969" s="55"/>
      <c r="CV969" s="55"/>
      <c r="CW969" s="55"/>
      <c r="CX969" s="55"/>
      <c r="CY969" s="55"/>
      <c r="CZ969" s="55"/>
      <c r="DA969" s="82"/>
      <c r="DB969" s="55"/>
      <c r="DC969" s="55"/>
      <c r="DD969" s="55"/>
      <c r="DE969" s="55"/>
      <c r="DF969" s="55"/>
      <c r="DG969" s="55"/>
      <c r="DH969" s="55"/>
      <c r="DI969" s="55"/>
      <c r="DJ969" s="55"/>
      <c r="DK969" s="55"/>
      <c r="DL969" s="55"/>
      <c r="DM969" s="55"/>
      <c r="DN969" s="55"/>
      <c r="DO969" s="55"/>
      <c r="DP969" s="55"/>
      <c r="DQ969" s="55"/>
      <c r="DR969" s="55"/>
      <c r="DS969" s="55"/>
      <c r="DT969" s="55"/>
      <c r="DU969" s="55"/>
      <c r="DV969" s="55"/>
      <c r="DW969" s="55"/>
    </row>
    <row r="970">
      <c r="A970" s="22" t="s">
        <v>55</v>
      </c>
      <c r="B970" s="23" t="s">
        <v>56</v>
      </c>
      <c r="C970" s="31" t="s">
        <v>2313</v>
      </c>
      <c r="D970" s="25" t="str">
        <f>IFERROR(__xludf.DUMMYFUNCTION("SPLIT(C970,"" "")"),"Warner,")</f>
        <v>Warner,</v>
      </c>
      <c r="E970" s="22" t="str">
        <f>IFERROR(__xludf.DUMMYFUNCTION("""COMPUTED_VALUE"""),"Michael
4727")</f>
        <v>Michael
4727</v>
      </c>
      <c r="F970" s="22" t="str">
        <f>IFERROR(__xludf.DUMMYFUNCTION("""COMPUTED_VALUE"""),"Arvilla")</f>
        <v>Arvilla</v>
      </c>
      <c r="G970" s="22" t="str">
        <f>IFERROR(__xludf.DUMMYFUNCTION("""COMPUTED_VALUE"""),"Lane
Houston,")</f>
        <v>Lane
Houston,</v>
      </c>
      <c r="H970" s="22" t="str">
        <f>IFERROR(__xludf.DUMMYFUNCTION("""COMPUTED_VALUE"""),"TX")</f>
        <v>TX</v>
      </c>
      <c r="I970" s="22">
        <f>IFERROR(__xludf.DUMMYFUNCTION("""COMPUTED_VALUE"""),77021.0)</f>
        <v>77021</v>
      </c>
      <c r="J970" s="22"/>
      <c r="K970" s="22"/>
      <c r="L970" s="22"/>
      <c r="M970" s="22"/>
      <c r="N970" s="22"/>
      <c r="O970" s="22"/>
      <c r="P970" s="22"/>
      <c r="Q970" s="22"/>
      <c r="R970" s="22"/>
      <c r="S970" s="22"/>
      <c r="T970" s="22"/>
      <c r="U970" s="24" t="str">
        <f>IFERROR(__xludf.DUMMYFUNCTION("SPLIT(E970,""01234567890"")"),"Michael
")</f>
        <v>Michael
</v>
      </c>
      <c r="V970" s="24" t="str">
        <f>IFERROR(__xludf.DUMMYFUNCTION("SPLIT(D970,"","")"),"Warner")</f>
        <v>Warner</v>
      </c>
      <c r="W970" s="25" t="str">
        <f t="shared" si="1"/>
        <v>MICHAEL
 WARNER</v>
      </c>
      <c r="X970" s="22"/>
      <c r="Y970" s="22"/>
      <c r="Z970" s="25" t="str">
        <f>IFERROR(__xludf.DUMMYFUNCTION("SPLIT(C970,""
"")"),"Warner, Michael")</f>
        <v>Warner, Michael</v>
      </c>
      <c r="AA970" s="22" t="str">
        <f>IFERROR(__xludf.DUMMYFUNCTION("""COMPUTED_VALUE"""),"4727 Arvilla Lane")</f>
        <v>4727 Arvilla Lane</v>
      </c>
      <c r="AB970" s="22" t="str">
        <f>IFERROR(__xludf.DUMMYFUNCTION("""COMPUTED_VALUE"""),"Houston, TX 77021")</f>
        <v>Houston, TX 77021</v>
      </c>
      <c r="AC970" s="31" t="s">
        <v>1379</v>
      </c>
      <c r="AD970" s="22"/>
      <c r="AE970" s="22"/>
      <c r="AF970" s="22"/>
      <c r="AG970" s="22" t="s">
        <v>60</v>
      </c>
      <c r="AH970" s="54">
        <v>2481.0</v>
      </c>
      <c r="AI970" s="22" t="s">
        <v>68</v>
      </c>
      <c r="AJ970" s="27">
        <v>1000.0</v>
      </c>
      <c r="AK970" s="31" t="s">
        <v>25</v>
      </c>
      <c r="AL970" s="28">
        <v>44840.0</v>
      </c>
      <c r="AM970" s="29">
        <v>44937.81995370371</v>
      </c>
      <c r="AN970" s="30">
        <v>2.0</v>
      </c>
      <c r="AO970" s="22"/>
      <c r="AP970" s="22"/>
      <c r="AQ970" s="22"/>
      <c r="AR970" s="22"/>
      <c r="AS970" s="22"/>
      <c r="AT970" s="70"/>
      <c r="AU970" s="22"/>
      <c r="AV970" s="57"/>
      <c r="AW970" s="57"/>
      <c r="AX970" s="47"/>
      <c r="AY970" s="29"/>
      <c r="AZ970" s="30"/>
      <c r="BS970" s="81"/>
      <c r="CU970" s="55"/>
      <c r="CV970" s="55"/>
      <c r="CW970" s="55"/>
      <c r="CX970" s="55"/>
      <c r="CY970" s="55"/>
      <c r="CZ970" s="55"/>
      <c r="DA970" s="82"/>
      <c r="DB970" s="55"/>
      <c r="DC970" s="55"/>
      <c r="DD970" s="55"/>
      <c r="DE970" s="55"/>
      <c r="DF970" s="55"/>
      <c r="DG970" s="55"/>
      <c r="DH970" s="55"/>
      <c r="DI970" s="55"/>
      <c r="DJ970" s="55"/>
      <c r="DK970" s="55"/>
      <c r="DL970" s="55"/>
      <c r="DM970" s="55"/>
      <c r="DN970" s="55"/>
      <c r="DO970" s="55"/>
      <c r="DP970" s="55"/>
      <c r="DQ970" s="55"/>
      <c r="DR970" s="55"/>
      <c r="DS970" s="55"/>
      <c r="DT970" s="55"/>
      <c r="DU970" s="55"/>
      <c r="DV970" s="55"/>
      <c r="DW970" s="55"/>
    </row>
    <row r="971">
      <c r="A971" s="40" t="s">
        <v>55</v>
      </c>
      <c r="B971" s="41" t="s">
        <v>56</v>
      </c>
      <c r="C971" s="31" t="s">
        <v>2314</v>
      </c>
      <c r="D971" s="25" t="str">
        <f>IFERROR(__xludf.DUMMYFUNCTION("SPLIT(C971,"" "")"),"Moore,")</f>
        <v>Moore,</v>
      </c>
      <c r="E971" s="40" t="str">
        <f>IFERROR(__xludf.DUMMYFUNCTION("""COMPUTED_VALUE"""),"Matt
5807")</f>
        <v>Matt
5807</v>
      </c>
      <c r="F971" s="40" t="str">
        <f>IFERROR(__xludf.DUMMYFUNCTION("""COMPUTED_VALUE"""),"Still")</f>
        <v>Still</v>
      </c>
      <c r="G971" s="40" t="str">
        <f>IFERROR(__xludf.DUMMYFUNCTION("""COMPUTED_VALUE"""),"Forest")</f>
        <v>Forest</v>
      </c>
      <c r="H971" s="40" t="str">
        <f>IFERROR(__xludf.DUMMYFUNCTION("""COMPUTED_VALUE"""),"Dr
Dallas,")</f>
        <v>Dr
Dallas,</v>
      </c>
      <c r="I971" s="40" t="str">
        <f>IFERROR(__xludf.DUMMYFUNCTION("""COMPUTED_VALUE"""),"TX")</f>
        <v>TX</v>
      </c>
      <c r="J971" s="40">
        <f>IFERROR(__xludf.DUMMYFUNCTION("""COMPUTED_VALUE"""),75252.0)</f>
        <v>75252</v>
      </c>
      <c r="K971" s="40"/>
      <c r="L971" s="40"/>
      <c r="M971" s="40"/>
      <c r="N971" s="40"/>
      <c r="O971" s="40"/>
      <c r="P971" s="40"/>
      <c r="Q971" s="40"/>
      <c r="R971" s="40"/>
      <c r="S971" s="40"/>
      <c r="T971" s="40"/>
      <c r="U971" s="24" t="str">
        <f>IFERROR(__xludf.DUMMYFUNCTION("SPLIT(E971,""01234567890"")"),"Matt
")</f>
        <v>Matt
</v>
      </c>
      <c r="V971" s="24" t="str">
        <f>IFERROR(__xludf.DUMMYFUNCTION("SPLIT(D971,"","")"),"Moore")</f>
        <v>Moore</v>
      </c>
      <c r="W971" s="25" t="str">
        <f t="shared" si="1"/>
        <v>MATT
 MOORE</v>
      </c>
      <c r="X971" s="40"/>
      <c r="Y971" s="40"/>
      <c r="Z971" s="25" t="str">
        <f>IFERROR(__xludf.DUMMYFUNCTION("SPLIT(C971,""
"")"),"Moore, Matt")</f>
        <v>Moore, Matt</v>
      </c>
      <c r="AA971" s="40" t="str">
        <f>IFERROR(__xludf.DUMMYFUNCTION("""COMPUTED_VALUE"""),"5807 Still Forest Dr")</f>
        <v>5807 Still Forest Dr</v>
      </c>
      <c r="AB971" s="40" t="str">
        <f>IFERROR(__xludf.DUMMYFUNCTION("""COMPUTED_VALUE"""),"Dallas, TX 75252")</f>
        <v>Dallas, TX 75252</v>
      </c>
      <c r="AC971" s="31" t="s">
        <v>2315</v>
      </c>
      <c r="AD971" s="40"/>
      <c r="AE971" s="40"/>
      <c r="AF971" s="40"/>
      <c r="AG971" s="40" t="s">
        <v>60</v>
      </c>
      <c r="AH971" s="42">
        <v>2481.0</v>
      </c>
      <c r="AI971" s="40" t="s">
        <v>68</v>
      </c>
      <c r="AJ971" s="27">
        <v>100.0</v>
      </c>
      <c r="AK971" s="31" t="s">
        <v>25</v>
      </c>
      <c r="AL971" s="43">
        <v>44840.0</v>
      </c>
      <c r="AM971" s="44">
        <v>44937.81995370371</v>
      </c>
      <c r="AN971" s="30">
        <v>2.0</v>
      </c>
      <c r="AO971" s="40"/>
      <c r="AP971" s="40"/>
      <c r="AQ971" s="40"/>
      <c r="AR971" s="40"/>
      <c r="AS971" s="40"/>
      <c r="AT971" s="47"/>
      <c r="AU971" s="40"/>
      <c r="AV971" s="46"/>
      <c r="AW971" s="46"/>
      <c r="AX971" s="47"/>
      <c r="AY971" s="44"/>
      <c r="AZ971" s="30"/>
      <c r="BS971" s="81"/>
      <c r="CU971" s="55"/>
      <c r="CV971" s="55"/>
      <c r="CW971" s="55"/>
      <c r="CX971" s="55"/>
      <c r="CY971" s="55"/>
      <c r="CZ971" s="55"/>
      <c r="DA971" s="82"/>
      <c r="DB971" s="55"/>
      <c r="DC971" s="55"/>
      <c r="DD971" s="55"/>
      <c r="DE971" s="55"/>
      <c r="DF971" s="55"/>
      <c r="DG971" s="55"/>
      <c r="DH971" s="55"/>
      <c r="DI971" s="55"/>
      <c r="DJ971" s="55"/>
      <c r="DK971" s="55"/>
      <c r="DL971" s="55"/>
      <c r="DM971" s="55"/>
      <c r="DN971" s="55"/>
      <c r="DO971" s="55"/>
      <c r="DP971" s="55"/>
      <c r="DQ971" s="55"/>
      <c r="DR971" s="55"/>
      <c r="DS971" s="55"/>
      <c r="DT971" s="55"/>
      <c r="DU971" s="55"/>
      <c r="DV971" s="55"/>
      <c r="DW971" s="55"/>
    </row>
    <row r="972">
      <c r="A972" s="22" t="s">
        <v>55</v>
      </c>
      <c r="B972" s="23" t="s">
        <v>56</v>
      </c>
      <c r="C972" s="31" t="s">
        <v>174</v>
      </c>
      <c r="D972" s="25" t="str">
        <f>IFERROR(__xludf.DUMMYFUNCTION("SPLIT(C972,"" "")"),"Anderson,")</f>
        <v>Anderson,</v>
      </c>
      <c r="E972" s="22" t="str">
        <f>IFERROR(__xludf.DUMMYFUNCTION("""COMPUTED_VALUE"""),"Annette
3706")</f>
        <v>Annette
3706</v>
      </c>
      <c r="F972" s="22" t="str">
        <f>IFERROR(__xludf.DUMMYFUNCTION("""COMPUTED_VALUE"""),"Pallos")</f>
        <v>Pallos</v>
      </c>
      <c r="G972" s="22" t="str">
        <f>IFERROR(__xludf.DUMMYFUNCTION("""COMPUTED_VALUE"""),"Verdas")</f>
        <v>Verdas</v>
      </c>
      <c r="H972" s="22" t="str">
        <f>IFERROR(__xludf.DUMMYFUNCTION("""COMPUTED_VALUE"""),"Dr
Dallas,")</f>
        <v>Dr
Dallas,</v>
      </c>
      <c r="I972" s="22" t="str">
        <f>IFERROR(__xludf.DUMMYFUNCTION("""COMPUTED_VALUE"""),"TX")</f>
        <v>TX</v>
      </c>
      <c r="J972" s="22">
        <f>IFERROR(__xludf.DUMMYFUNCTION("""COMPUTED_VALUE"""),75229.0)</f>
        <v>75229</v>
      </c>
      <c r="K972" s="22"/>
      <c r="L972" s="22"/>
      <c r="M972" s="22"/>
      <c r="N972" s="22"/>
      <c r="O972" s="22"/>
      <c r="P972" s="22"/>
      <c r="Q972" s="22"/>
      <c r="R972" s="22"/>
      <c r="S972" s="22"/>
      <c r="T972" s="22"/>
      <c r="U972" s="24" t="str">
        <f>IFERROR(__xludf.DUMMYFUNCTION("SPLIT(E972,""01234567890"")"),"Annette
")</f>
        <v>Annette
</v>
      </c>
      <c r="V972" s="24" t="str">
        <f>IFERROR(__xludf.DUMMYFUNCTION("SPLIT(D972,"","")"),"Anderson")</f>
        <v>Anderson</v>
      </c>
      <c r="W972" s="25" t="str">
        <f t="shared" si="1"/>
        <v>ANNETTE
 ANDERSON</v>
      </c>
      <c r="X972" s="22"/>
      <c r="Y972" s="22"/>
      <c r="Z972" s="25" t="str">
        <f>IFERROR(__xludf.DUMMYFUNCTION("SPLIT(C972,""
"")"),"Anderson, Annette")</f>
        <v>Anderson, Annette</v>
      </c>
      <c r="AA972" s="22" t="str">
        <f>IFERROR(__xludf.DUMMYFUNCTION("""COMPUTED_VALUE"""),"3706 Pallos Verdas Dr")</f>
        <v>3706 Pallos Verdas Dr</v>
      </c>
      <c r="AB972" s="22" t="str">
        <f>IFERROR(__xludf.DUMMYFUNCTION("""COMPUTED_VALUE"""),"Dallas, TX 75229")</f>
        <v>Dallas, TX 75229</v>
      </c>
      <c r="AC972" s="31" t="s">
        <v>176</v>
      </c>
      <c r="AD972" s="22"/>
      <c r="AE972" s="22"/>
      <c r="AF972" s="22"/>
      <c r="AG972" s="22" t="s">
        <v>60</v>
      </c>
      <c r="AH972" s="54">
        <v>2481.0</v>
      </c>
      <c r="AI972" s="22" t="s">
        <v>68</v>
      </c>
      <c r="AJ972" s="27">
        <v>100.0</v>
      </c>
      <c r="AK972" s="31" t="s">
        <v>25</v>
      </c>
      <c r="AL972" s="28">
        <v>44840.0</v>
      </c>
      <c r="AM972" s="29">
        <v>44937.81995370371</v>
      </c>
      <c r="AN972" s="30">
        <v>2.0</v>
      </c>
      <c r="AO972" s="22"/>
      <c r="AP972" s="22"/>
      <c r="AQ972" s="22"/>
      <c r="AR972" s="22"/>
      <c r="AS972" s="22"/>
      <c r="AT972" s="70"/>
      <c r="AU972" s="22"/>
      <c r="AV972" s="57"/>
      <c r="AW972" s="57"/>
      <c r="AX972" s="47"/>
      <c r="AY972" s="29"/>
      <c r="AZ972" s="30"/>
      <c r="BS972" s="81"/>
      <c r="CU972" s="55"/>
      <c r="CV972" s="55"/>
      <c r="CW972" s="55"/>
      <c r="CX972" s="55"/>
      <c r="CY972" s="55"/>
      <c r="CZ972" s="55"/>
      <c r="DA972" s="82"/>
      <c r="DB972" s="55"/>
      <c r="DC972" s="55"/>
      <c r="DD972" s="55"/>
      <c r="DE972" s="55"/>
      <c r="DF972" s="55"/>
      <c r="DG972" s="55"/>
      <c r="DH972" s="55"/>
      <c r="DI972" s="55"/>
      <c r="DJ972" s="55"/>
      <c r="DK972" s="55"/>
      <c r="DL972" s="55"/>
      <c r="DM972" s="55"/>
      <c r="DN972" s="55"/>
      <c r="DO972" s="55"/>
      <c r="DP972" s="55"/>
      <c r="DQ972" s="55"/>
      <c r="DR972" s="55"/>
      <c r="DS972" s="55"/>
      <c r="DT972" s="55"/>
      <c r="DU972" s="55"/>
      <c r="DV972" s="55"/>
      <c r="DW972" s="55"/>
    </row>
    <row r="973">
      <c r="A973" s="40" t="s">
        <v>55</v>
      </c>
      <c r="B973" s="41" t="s">
        <v>56</v>
      </c>
      <c r="C973" s="31" t="s">
        <v>2316</v>
      </c>
      <c r="D973" s="25" t="str">
        <f>IFERROR(__xludf.DUMMYFUNCTION("SPLIT(C973,"" "")"),"Garfield,")</f>
        <v>Garfield,</v>
      </c>
      <c r="E973" s="40" t="str">
        <f>IFERROR(__xludf.DUMMYFUNCTION("""COMPUTED_VALUE"""),"Ray
6306")</f>
        <v>Ray
6306</v>
      </c>
      <c r="F973" s="40" t="str">
        <f>IFERROR(__xludf.DUMMYFUNCTION("""COMPUTED_VALUE"""),"Stonehill")</f>
        <v>Stonehill</v>
      </c>
      <c r="G973" s="40" t="str">
        <f>IFERROR(__xludf.DUMMYFUNCTION("""COMPUTED_VALUE"""),"Dr
Dallas,")</f>
        <v>Dr
Dallas,</v>
      </c>
      <c r="H973" s="40" t="str">
        <f>IFERROR(__xludf.DUMMYFUNCTION("""COMPUTED_VALUE"""),"TX")</f>
        <v>TX</v>
      </c>
      <c r="I973" s="40">
        <f>IFERROR(__xludf.DUMMYFUNCTION("""COMPUTED_VALUE"""),75254.0)</f>
        <v>75254</v>
      </c>
      <c r="J973" s="40"/>
      <c r="K973" s="40"/>
      <c r="L973" s="40"/>
      <c r="M973" s="40"/>
      <c r="N973" s="40"/>
      <c r="O973" s="40"/>
      <c r="P973" s="40"/>
      <c r="Q973" s="40"/>
      <c r="R973" s="40"/>
      <c r="S973" s="40"/>
      <c r="T973" s="40"/>
      <c r="U973" s="24" t="str">
        <f>IFERROR(__xludf.DUMMYFUNCTION("SPLIT(E973,""01234567890"")"),"Ray
")</f>
        <v>Ray
</v>
      </c>
      <c r="V973" s="24" t="str">
        <f>IFERROR(__xludf.DUMMYFUNCTION("SPLIT(D973,"","")"),"Garfield")</f>
        <v>Garfield</v>
      </c>
      <c r="W973" s="25" t="str">
        <f t="shared" si="1"/>
        <v>RAY
 GARFIELD</v>
      </c>
      <c r="X973" s="40"/>
      <c r="Y973" s="40"/>
      <c r="Z973" s="25" t="str">
        <f>IFERROR(__xludf.DUMMYFUNCTION("SPLIT(C973,""
"")"),"Garfield, Ray")</f>
        <v>Garfield, Ray</v>
      </c>
      <c r="AA973" s="40" t="str">
        <f>IFERROR(__xludf.DUMMYFUNCTION("""COMPUTED_VALUE"""),"6306 Stonehill Dr")</f>
        <v>6306 Stonehill Dr</v>
      </c>
      <c r="AB973" s="40" t="str">
        <f>IFERROR(__xludf.DUMMYFUNCTION("""COMPUTED_VALUE"""),"Dallas, TX 75254")</f>
        <v>Dallas, TX 75254</v>
      </c>
      <c r="AC973" s="31" t="s">
        <v>2317</v>
      </c>
      <c r="AD973" s="40"/>
      <c r="AE973" s="40"/>
      <c r="AF973" s="40"/>
      <c r="AG973" s="40" t="s">
        <v>60</v>
      </c>
      <c r="AH973" s="42">
        <v>2481.0</v>
      </c>
      <c r="AI973" s="40" t="s">
        <v>68</v>
      </c>
      <c r="AJ973" s="27">
        <v>250.0</v>
      </c>
      <c r="AK973" s="31" t="s">
        <v>25</v>
      </c>
      <c r="AL973" s="43">
        <v>44840.0</v>
      </c>
      <c r="AM973" s="44">
        <v>44937.81995370371</v>
      </c>
      <c r="AN973" s="30">
        <v>2.0</v>
      </c>
      <c r="AO973" s="40"/>
      <c r="AP973" s="40"/>
      <c r="AQ973" s="40"/>
      <c r="AR973" s="40"/>
      <c r="AS973" s="40"/>
      <c r="AT973" s="47"/>
      <c r="AU973" s="40"/>
      <c r="AV973" s="46"/>
      <c r="AW973" s="46"/>
      <c r="AX973" s="47"/>
      <c r="AY973" s="44"/>
      <c r="AZ973" s="30"/>
      <c r="BS973" s="81"/>
      <c r="CU973" s="55"/>
      <c r="CV973" s="55"/>
      <c r="CW973" s="55"/>
      <c r="CX973" s="55"/>
      <c r="CY973" s="55"/>
      <c r="CZ973" s="55"/>
      <c r="DA973" s="82"/>
      <c r="DB973" s="55"/>
      <c r="DC973" s="55"/>
      <c r="DD973" s="55"/>
      <c r="DE973" s="55"/>
      <c r="DF973" s="55"/>
      <c r="DG973" s="55"/>
      <c r="DH973" s="55"/>
      <c r="DI973" s="55"/>
      <c r="DJ973" s="55"/>
      <c r="DK973" s="55"/>
      <c r="DL973" s="55"/>
      <c r="DM973" s="55"/>
      <c r="DN973" s="55"/>
      <c r="DO973" s="55"/>
      <c r="DP973" s="55"/>
      <c r="DQ973" s="55"/>
      <c r="DR973" s="55"/>
      <c r="DS973" s="55"/>
      <c r="DT973" s="55"/>
      <c r="DU973" s="55"/>
      <c r="DV973" s="55"/>
      <c r="DW973" s="55"/>
    </row>
    <row r="974">
      <c r="A974" s="22" t="s">
        <v>55</v>
      </c>
      <c r="B974" s="23" t="s">
        <v>56</v>
      </c>
      <c r="C974" s="31" t="s">
        <v>2318</v>
      </c>
      <c r="D974" s="25" t="str">
        <f>IFERROR(__xludf.DUMMYFUNCTION("SPLIT(C974,"" "")"),"Price,")</f>
        <v>Price,</v>
      </c>
      <c r="E974" s="22" t="str">
        <f>IFERROR(__xludf.DUMMYFUNCTION("""COMPUTED_VALUE"""),"Mandy
6303")</f>
        <v>Mandy
6303</v>
      </c>
      <c r="F974" s="22" t="str">
        <f>IFERROR(__xludf.DUMMYFUNCTION("""COMPUTED_VALUE"""),"Revere")</f>
        <v>Revere</v>
      </c>
      <c r="G974" s="22" t="str">
        <f>IFERROR(__xludf.DUMMYFUNCTION("""COMPUTED_VALUE"""),"Place
Dallas,")</f>
        <v>Place
Dallas,</v>
      </c>
      <c r="H974" s="22" t="str">
        <f>IFERROR(__xludf.DUMMYFUNCTION("""COMPUTED_VALUE"""),"TX")</f>
        <v>TX</v>
      </c>
      <c r="I974" s="22">
        <f>IFERROR(__xludf.DUMMYFUNCTION("""COMPUTED_VALUE"""),75214.0)</f>
        <v>75214</v>
      </c>
      <c r="J974" s="22"/>
      <c r="K974" s="22"/>
      <c r="L974" s="22"/>
      <c r="M974" s="22"/>
      <c r="N974" s="22"/>
      <c r="O974" s="22"/>
      <c r="P974" s="22"/>
      <c r="Q974" s="22"/>
      <c r="R974" s="22"/>
      <c r="S974" s="22"/>
      <c r="T974" s="22"/>
      <c r="U974" s="24" t="str">
        <f>IFERROR(__xludf.DUMMYFUNCTION("SPLIT(E974,""01234567890"")"),"Mandy
")</f>
        <v>Mandy
</v>
      </c>
      <c r="V974" s="24" t="str">
        <f>IFERROR(__xludf.DUMMYFUNCTION("SPLIT(D974,"","")"),"Price")</f>
        <v>Price</v>
      </c>
      <c r="W974" s="25" t="str">
        <f t="shared" si="1"/>
        <v>MANDY
 PRICE</v>
      </c>
      <c r="X974" s="22"/>
      <c r="Y974" s="22"/>
      <c r="Z974" s="25" t="str">
        <f>IFERROR(__xludf.DUMMYFUNCTION("SPLIT(C974,""
"")"),"Price, Mandy")</f>
        <v>Price, Mandy</v>
      </c>
      <c r="AA974" s="22" t="str">
        <f>IFERROR(__xludf.DUMMYFUNCTION("""COMPUTED_VALUE"""),"6303 Revere Place")</f>
        <v>6303 Revere Place</v>
      </c>
      <c r="AB974" s="22" t="str">
        <f>IFERROR(__xludf.DUMMYFUNCTION("""COMPUTED_VALUE"""),"Dallas, TX 75214")</f>
        <v>Dallas, TX 75214</v>
      </c>
      <c r="AC974" s="31" t="s">
        <v>2319</v>
      </c>
      <c r="AD974" s="22"/>
      <c r="AE974" s="22"/>
      <c r="AF974" s="22"/>
      <c r="AG974" s="22" t="s">
        <v>60</v>
      </c>
      <c r="AH974" s="54">
        <v>2481.0</v>
      </c>
      <c r="AI974" s="22" t="s">
        <v>68</v>
      </c>
      <c r="AJ974" s="27">
        <v>100.0</v>
      </c>
      <c r="AK974" s="31" t="s">
        <v>25</v>
      </c>
      <c r="AL974" s="28">
        <v>44840.0</v>
      </c>
      <c r="AM974" s="29">
        <v>44937.81995370371</v>
      </c>
      <c r="AN974" s="30">
        <v>2.0</v>
      </c>
      <c r="AO974" s="22"/>
      <c r="AP974" s="22"/>
      <c r="AQ974" s="22"/>
      <c r="AR974" s="22"/>
      <c r="AS974" s="22"/>
      <c r="AT974" s="70"/>
      <c r="AU974" s="22"/>
      <c r="AV974" s="57"/>
      <c r="AW974" s="57"/>
      <c r="AX974" s="47"/>
      <c r="AY974" s="29"/>
      <c r="AZ974" s="30"/>
      <c r="BS974" s="81"/>
      <c r="CU974" s="55"/>
      <c r="CV974" s="55"/>
      <c r="CW974" s="55"/>
      <c r="CX974" s="55"/>
      <c r="CY974" s="55"/>
      <c r="CZ974" s="55"/>
      <c r="DA974" s="82"/>
      <c r="DB974" s="55"/>
      <c r="DC974" s="55"/>
      <c r="DD974" s="55"/>
      <c r="DE974" s="55"/>
      <c r="DF974" s="55"/>
      <c r="DG974" s="55"/>
      <c r="DH974" s="55"/>
      <c r="DI974" s="55"/>
      <c r="DJ974" s="55"/>
      <c r="DK974" s="55"/>
      <c r="DL974" s="55"/>
      <c r="DM974" s="55"/>
      <c r="DN974" s="55"/>
      <c r="DO974" s="55"/>
      <c r="DP974" s="55"/>
      <c r="DQ974" s="55"/>
      <c r="DR974" s="55"/>
      <c r="DS974" s="55"/>
      <c r="DT974" s="55"/>
      <c r="DU974" s="55"/>
      <c r="DV974" s="55"/>
      <c r="DW974" s="55"/>
    </row>
    <row r="975">
      <c r="A975" s="40" t="s">
        <v>55</v>
      </c>
      <c r="B975" s="41" t="s">
        <v>56</v>
      </c>
      <c r="C975" s="31" t="s">
        <v>2320</v>
      </c>
      <c r="D975" s="25" t="str">
        <f>IFERROR(__xludf.DUMMYFUNCTION("SPLIT(C975,"" "")"),"Kelly,")</f>
        <v>Kelly,</v>
      </c>
      <c r="E975" s="40" t="str">
        <f>IFERROR(__xludf.DUMMYFUNCTION("""COMPUTED_VALUE"""),"Patrick
6544")</f>
        <v>Patrick
6544</v>
      </c>
      <c r="F975" s="40" t="str">
        <f>IFERROR(__xludf.DUMMYFUNCTION("""COMPUTED_VALUE"""),"Winton")</f>
        <v>Winton</v>
      </c>
      <c r="G975" s="40" t="str">
        <f>IFERROR(__xludf.DUMMYFUNCTION("""COMPUTED_VALUE"""),"Street
Dallas,")</f>
        <v>Street
Dallas,</v>
      </c>
      <c r="H975" s="40" t="str">
        <f>IFERROR(__xludf.DUMMYFUNCTION("""COMPUTED_VALUE"""),"TX")</f>
        <v>TX</v>
      </c>
      <c r="I975" s="40">
        <f>IFERROR(__xludf.DUMMYFUNCTION("""COMPUTED_VALUE"""),75214.0)</f>
        <v>75214</v>
      </c>
      <c r="J975" s="40"/>
      <c r="K975" s="40"/>
      <c r="L975" s="40"/>
      <c r="M975" s="40"/>
      <c r="N975" s="40"/>
      <c r="O975" s="40"/>
      <c r="P975" s="40"/>
      <c r="Q975" s="40"/>
      <c r="R975" s="40"/>
      <c r="S975" s="40"/>
      <c r="T975" s="40"/>
      <c r="U975" s="24" t="str">
        <f>IFERROR(__xludf.DUMMYFUNCTION("SPLIT(E975,""01234567890"")"),"Patrick
")</f>
        <v>Patrick
</v>
      </c>
      <c r="V975" s="24" t="str">
        <f>IFERROR(__xludf.DUMMYFUNCTION("SPLIT(D975,"","")"),"Kelly")</f>
        <v>Kelly</v>
      </c>
      <c r="W975" s="25" t="str">
        <f t="shared" si="1"/>
        <v>PATRICK
 KELLY</v>
      </c>
      <c r="X975" s="40"/>
      <c r="Y975" s="40"/>
      <c r="Z975" s="25" t="str">
        <f>IFERROR(__xludf.DUMMYFUNCTION("SPLIT(C975,""
"")"),"Kelly, Patrick")</f>
        <v>Kelly, Patrick</v>
      </c>
      <c r="AA975" s="40" t="str">
        <f>IFERROR(__xludf.DUMMYFUNCTION("""COMPUTED_VALUE"""),"6544 Winton Street")</f>
        <v>6544 Winton Street</v>
      </c>
      <c r="AB975" s="40" t="str">
        <f>IFERROR(__xludf.DUMMYFUNCTION("""COMPUTED_VALUE"""),"Dallas, TX 75214")</f>
        <v>Dallas, TX 75214</v>
      </c>
      <c r="AC975" s="31" t="s">
        <v>2321</v>
      </c>
      <c r="AD975" s="40"/>
      <c r="AE975" s="40"/>
      <c r="AF975" s="40"/>
      <c r="AG975" s="40" t="s">
        <v>60</v>
      </c>
      <c r="AH975" s="42">
        <v>2481.0</v>
      </c>
      <c r="AI975" s="40" t="s">
        <v>68</v>
      </c>
      <c r="AJ975" s="27">
        <v>50.0</v>
      </c>
      <c r="AK975" s="31" t="s">
        <v>25</v>
      </c>
      <c r="AL975" s="43">
        <v>44840.0</v>
      </c>
      <c r="AM975" s="44">
        <v>44937.81995370371</v>
      </c>
      <c r="AN975" s="30">
        <v>2.0</v>
      </c>
      <c r="AO975" s="40"/>
      <c r="AP975" s="40"/>
      <c r="AQ975" s="40"/>
      <c r="AR975" s="40"/>
      <c r="AS975" s="40"/>
      <c r="AT975" s="47"/>
      <c r="AU975" s="40"/>
      <c r="AV975" s="46"/>
      <c r="AW975" s="46"/>
      <c r="AX975" s="47"/>
      <c r="AY975" s="44"/>
      <c r="AZ975" s="30"/>
      <c r="BS975" s="81"/>
      <c r="CU975" s="55"/>
      <c r="CV975" s="55"/>
      <c r="CW975" s="55"/>
      <c r="CX975" s="55"/>
      <c r="CY975" s="55"/>
      <c r="CZ975" s="55"/>
      <c r="DA975" s="82"/>
      <c r="DB975" s="55"/>
      <c r="DC975" s="55"/>
      <c r="DD975" s="55"/>
      <c r="DE975" s="55"/>
      <c r="DF975" s="55"/>
      <c r="DG975" s="55"/>
      <c r="DH975" s="55"/>
      <c r="DI975" s="55"/>
      <c r="DJ975" s="55"/>
      <c r="DK975" s="55"/>
      <c r="DL975" s="55"/>
      <c r="DM975" s="55"/>
      <c r="DN975" s="55"/>
      <c r="DO975" s="55"/>
      <c r="DP975" s="55"/>
      <c r="DQ975" s="55"/>
      <c r="DR975" s="55"/>
      <c r="DS975" s="55"/>
      <c r="DT975" s="55"/>
      <c r="DU975" s="55"/>
      <c r="DV975" s="55"/>
      <c r="DW975" s="55"/>
    </row>
    <row r="976">
      <c r="A976" s="22" t="s">
        <v>55</v>
      </c>
      <c r="B976" s="23" t="s">
        <v>56</v>
      </c>
      <c r="C976" s="31" t="s">
        <v>2322</v>
      </c>
      <c r="D976" s="25" t="str">
        <f>IFERROR(__xludf.DUMMYFUNCTION("SPLIT(C976,"" "")"),"Coleman,")</f>
        <v>Coleman,</v>
      </c>
      <c r="E976" s="22" t="str">
        <f>IFERROR(__xludf.DUMMYFUNCTION("""COMPUTED_VALUE"""),"William
6643")</f>
        <v>William
6643</v>
      </c>
      <c r="F976" s="22" t="str">
        <f>IFERROR(__xludf.DUMMYFUNCTION("""COMPUTED_VALUE"""),"Prairie")</f>
        <v>Prairie</v>
      </c>
      <c r="G976" s="22" t="str">
        <f>IFERROR(__xludf.DUMMYFUNCTION("""COMPUTED_VALUE"""),"Flower")</f>
        <v>Flower</v>
      </c>
      <c r="H976" s="22" t="str">
        <f>IFERROR(__xludf.DUMMYFUNCTION("""COMPUTED_VALUE"""),"Trail
Dallas,")</f>
        <v>Trail
Dallas,</v>
      </c>
      <c r="I976" s="22" t="str">
        <f>IFERROR(__xludf.DUMMYFUNCTION("""COMPUTED_VALUE"""),"TX")</f>
        <v>TX</v>
      </c>
      <c r="J976" s="22">
        <f>IFERROR(__xludf.DUMMYFUNCTION("""COMPUTED_VALUE"""),75227.0)</f>
        <v>75227</v>
      </c>
      <c r="K976" s="22"/>
      <c r="L976" s="22"/>
      <c r="M976" s="22"/>
      <c r="N976" s="22"/>
      <c r="O976" s="22"/>
      <c r="P976" s="22"/>
      <c r="Q976" s="22"/>
      <c r="R976" s="22"/>
      <c r="S976" s="22"/>
      <c r="T976" s="22"/>
      <c r="U976" s="24" t="str">
        <f>IFERROR(__xludf.DUMMYFUNCTION("SPLIT(E976,""01234567890"")"),"William
")</f>
        <v>William
</v>
      </c>
      <c r="V976" s="24" t="str">
        <f>IFERROR(__xludf.DUMMYFUNCTION("SPLIT(D976,"","")"),"Coleman")</f>
        <v>Coleman</v>
      </c>
      <c r="W976" s="25" t="str">
        <f t="shared" si="1"/>
        <v>WILLIAM
 COLEMAN</v>
      </c>
      <c r="X976" s="22"/>
      <c r="Y976" s="22"/>
      <c r="Z976" s="25" t="str">
        <f>IFERROR(__xludf.DUMMYFUNCTION("SPLIT(C976,""
"")"),"Coleman, William")</f>
        <v>Coleman, William</v>
      </c>
      <c r="AA976" s="22" t="str">
        <f>IFERROR(__xludf.DUMMYFUNCTION("""COMPUTED_VALUE"""),"6643 Prairie Flower Trail")</f>
        <v>6643 Prairie Flower Trail</v>
      </c>
      <c r="AB976" s="22" t="str">
        <f>IFERROR(__xludf.DUMMYFUNCTION("""COMPUTED_VALUE"""),"Dallas, TX 75227")</f>
        <v>Dallas, TX 75227</v>
      </c>
      <c r="AC976" s="31" t="s">
        <v>2323</v>
      </c>
      <c r="AD976" s="22"/>
      <c r="AE976" s="22"/>
      <c r="AF976" s="22"/>
      <c r="AG976" s="22" t="s">
        <v>60</v>
      </c>
      <c r="AH976" s="54">
        <v>2481.0</v>
      </c>
      <c r="AI976" s="22" t="s">
        <v>68</v>
      </c>
      <c r="AJ976" s="27">
        <v>100.0</v>
      </c>
      <c r="AK976" s="31" t="s">
        <v>25</v>
      </c>
      <c r="AL976" s="28">
        <v>44840.0</v>
      </c>
      <c r="AM976" s="29">
        <v>44937.81995370371</v>
      </c>
      <c r="AN976" s="30">
        <v>2.0</v>
      </c>
      <c r="AO976" s="22"/>
      <c r="AP976" s="22"/>
      <c r="AQ976" s="22"/>
      <c r="AR976" s="22"/>
      <c r="AS976" s="22"/>
      <c r="AT976" s="70"/>
      <c r="AU976" s="22"/>
      <c r="AV976" s="57"/>
      <c r="AW976" s="57"/>
      <c r="AX976" s="47"/>
      <c r="AY976" s="29"/>
      <c r="AZ976" s="30"/>
      <c r="BS976" s="81"/>
      <c r="CU976" s="55"/>
      <c r="CV976" s="55"/>
      <c r="CW976" s="55"/>
      <c r="CX976" s="55"/>
      <c r="CY976" s="55"/>
      <c r="CZ976" s="55"/>
      <c r="DA976" s="82"/>
      <c r="DB976" s="55"/>
      <c r="DC976" s="55"/>
      <c r="DD976" s="55"/>
      <c r="DE976" s="55"/>
      <c r="DF976" s="55"/>
      <c r="DG976" s="55"/>
      <c r="DH976" s="55"/>
      <c r="DI976" s="55"/>
      <c r="DJ976" s="55"/>
      <c r="DK976" s="55"/>
      <c r="DL976" s="55"/>
      <c r="DM976" s="55"/>
      <c r="DN976" s="55"/>
      <c r="DO976" s="55"/>
      <c r="DP976" s="55"/>
      <c r="DQ976" s="55"/>
      <c r="DR976" s="55"/>
      <c r="DS976" s="55"/>
      <c r="DT976" s="55"/>
      <c r="DU976" s="55"/>
      <c r="DV976" s="55"/>
      <c r="DW976" s="55"/>
    </row>
    <row r="977">
      <c r="A977" s="40" t="s">
        <v>55</v>
      </c>
      <c r="B977" s="41" t="s">
        <v>56</v>
      </c>
      <c r="C977" s="31" t="s">
        <v>2324</v>
      </c>
      <c r="D977" s="25" t="str">
        <f>IFERROR(__xludf.DUMMYFUNCTION("SPLIT(C977,"" "")"),"Perryman,")</f>
        <v>Perryman,</v>
      </c>
      <c r="E977" s="40" t="str">
        <f>IFERROR(__xludf.DUMMYFUNCTION("""COMPUTED_VALUE"""),"Sally
6138")</f>
        <v>Sally
6138</v>
      </c>
      <c r="F977" s="40" t="str">
        <f>IFERROR(__xludf.DUMMYFUNCTION("""COMPUTED_VALUE"""),"Woodland")</f>
        <v>Woodland</v>
      </c>
      <c r="G977" s="40" t="str">
        <f>IFERROR(__xludf.DUMMYFUNCTION("""COMPUTED_VALUE"""),"Dri
Dallas,")</f>
        <v>Dri
Dallas,</v>
      </c>
      <c r="H977" s="40" t="str">
        <f>IFERROR(__xludf.DUMMYFUNCTION("""COMPUTED_VALUE"""),"TX")</f>
        <v>TX</v>
      </c>
      <c r="I977" s="40">
        <f>IFERROR(__xludf.DUMMYFUNCTION("""COMPUTED_VALUE"""),75225.0)</f>
        <v>75225</v>
      </c>
      <c r="J977" s="40"/>
      <c r="K977" s="40"/>
      <c r="L977" s="40"/>
      <c r="M977" s="40"/>
      <c r="N977" s="40"/>
      <c r="O977" s="40"/>
      <c r="P977" s="40"/>
      <c r="Q977" s="40"/>
      <c r="R977" s="40"/>
      <c r="S977" s="40"/>
      <c r="T977" s="40"/>
      <c r="U977" s="24" t="str">
        <f>IFERROR(__xludf.DUMMYFUNCTION("SPLIT(E977,""01234567890"")"),"Sally
")</f>
        <v>Sally
</v>
      </c>
      <c r="V977" s="24" t="str">
        <f>IFERROR(__xludf.DUMMYFUNCTION("SPLIT(D977,"","")"),"Perryman")</f>
        <v>Perryman</v>
      </c>
      <c r="W977" s="25" t="str">
        <f t="shared" si="1"/>
        <v>SALLY
 PERRYMAN</v>
      </c>
      <c r="X977" s="40"/>
      <c r="Y977" s="40"/>
      <c r="Z977" s="25" t="str">
        <f>IFERROR(__xludf.DUMMYFUNCTION("SPLIT(C977,""
"")"),"Perryman, Sally")</f>
        <v>Perryman, Sally</v>
      </c>
      <c r="AA977" s="40" t="str">
        <f>IFERROR(__xludf.DUMMYFUNCTION("""COMPUTED_VALUE"""),"6138 Woodland Dri")</f>
        <v>6138 Woodland Dri</v>
      </c>
      <c r="AB977" s="40" t="str">
        <f>IFERROR(__xludf.DUMMYFUNCTION("""COMPUTED_VALUE"""),"Dallas, TX 75225")</f>
        <v>Dallas, TX 75225</v>
      </c>
      <c r="AC977" s="31" t="s">
        <v>2325</v>
      </c>
      <c r="AD977" s="40"/>
      <c r="AE977" s="40"/>
      <c r="AF977" s="40"/>
      <c r="AG977" s="40" t="s">
        <v>60</v>
      </c>
      <c r="AH977" s="42">
        <v>2481.0</v>
      </c>
      <c r="AI977" s="40" t="s">
        <v>68</v>
      </c>
      <c r="AJ977" s="27">
        <v>100.0</v>
      </c>
      <c r="AK977" s="31" t="s">
        <v>25</v>
      </c>
      <c r="AL977" s="43">
        <v>44840.0</v>
      </c>
      <c r="AM977" s="44">
        <v>44937.81995370371</v>
      </c>
      <c r="AN977" s="30">
        <v>2.0</v>
      </c>
      <c r="AO977" s="40"/>
      <c r="AP977" s="40"/>
      <c r="AQ977" s="40"/>
      <c r="AR977" s="40"/>
      <c r="AS977" s="40"/>
      <c r="AT977" s="47"/>
      <c r="AU977" s="40"/>
      <c r="AV977" s="46"/>
      <c r="AW977" s="46"/>
      <c r="AX977" s="47"/>
      <c r="AY977" s="44"/>
      <c r="AZ977" s="30"/>
      <c r="BS977" s="81"/>
      <c r="CU977" s="55"/>
      <c r="CV977" s="55"/>
      <c r="CW977" s="55"/>
      <c r="CX977" s="55"/>
      <c r="CY977" s="55"/>
      <c r="CZ977" s="55"/>
      <c r="DA977" s="82"/>
      <c r="DB977" s="55"/>
      <c r="DC977" s="55"/>
      <c r="DD977" s="55"/>
      <c r="DE977" s="55"/>
      <c r="DF977" s="55"/>
      <c r="DG977" s="55"/>
      <c r="DH977" s="55"/>
      <c r="DI977" s="55"/>
      <c r="DJ977" s="55"/>
      <c r="DK977" s="55"/>
      <c r="DL977" s="55"/>
      <c r="DM977" s="55"/>
      <c r="DN977" s="55"/>
      <c r="DO977" s="55"/>
      <c r="DP977" s="55"/>
      <c r="DQ977" s="55"/>
      <c r="DR977" s="55"/>
      <c r="DS977" s="55"/>
      <c r="DT977" s="55"/>
      <c r="DU977" s="55"/>
      <c r="DV977" s="55"/>
      <c r="DW977" s="55"/>
    </row>
    <row r="978">
      <c r="A978" s="22" t="s">
        <v>55</v>
      </c>
      <c r="B978" s="23" t="s">
        <v>56</v>
      </c>
      <c r="C978" s="31" t="s">
        <v>2326</v>
      </c>
      <c r="D978" s="25" t="str">
        <f>IFERROR(__xludf.DUMMYFUNCTION("SPLIT(C978,"" "")"),"Perryman,")</f>
        <v>Perryman,</v>
      </c>
      <c r="E978" s="22" t="str">
        <f>IFERROR(__xludf.DUMMYFUNCTION("""COMPUTED_VALUE"""),"Thomas
6138")</f>
        <v>Thomas
6138</v>
      </c>
      <c r="F978" s="22" t="str">
        <f>IFERROR(__xludf.DUMMYFUNCTION("""COMPUTED_VALUE"""),"Woodland")</f>
        <v>Woodland</v>
      </c>
      <c r="G978" s="22" t="str">
        <f>IFERROR(__xludf.DUMMYFUNCTION("""COMPUTED_VALUE"""),"Dr
Dallas,")</f>
        <v>Dr
Dallas,</v>
      </c>
      <c r="H978" s="22" t="str">
        <f>IFERROR(__xludf.DUMMYFUNCTION("""COMPUTED_VALUE"""),"TX")</f>
        <v>TX</v>
      </c>
      <c r="I978" s="22">
        <f>IFERROR(__xludf.DUMMYFUNCTION("""COMPUTED_VALUE"""),75225.0)</f>
        <v>75225</v>
      </c>
      <c r="J978" s="22"/>
      <c r="K978" s="22"/>
      <c r="L978" s="22"/>
      <c r="M978" s="22"/>
      <c r="N978" s="22"/>
      <c r="O978" s="22"/>
      <c r="P978" s="22"/>
      <c r="Q978" s="22"/>
      <c r="R978" s="22"/>
      <c r="S978" s="22"/>
      <c r="T978" s="22"/>
      <c r="U978" s="24" t="str">
        <f>IFERROR(__xludf.DUMMYFUNCTION("SPLIT(E978,""01234567890"")"),"Thomas
")</f>
        <v>Thomas
</v>
      </c>
      <c r="V978" s="24" t="str">
        <f>IFERROR(__xludf.DUMMYFUNCTION("SPLIT(D978,"","")"),"Perryman")</f>
        <v>Perryman</v>
      </c>
      <c r="W978" s="25" t="str">
        <f t="shared" si="1"/>
        <v>THOMAS
 PERRYMAN</v>
      </c>
      <c r="X978" s="22"/>
      <c r="Y978" s="22"/>
      <c r="Z978" s="25" t="str">
        <f>IFERROR(__xludf.DUMMYFUNCTION("SPLIT(C978,""
"")"),"Perryman, Thomas")</f>
        <v>Perryman, Thomas</v>
      </c>
      <c r="AA978" s="22" t="str">
        <f>IFERROR(__xludf.DUMMYFUNCTION("""COMPUTED_VALUE"""),"6138 Woodland Dr")</f>
        <v>6138 Woodland Dr</v>
      </c>
      <c r="AB978" s="22" t="str">
        <f>IFERROR(__xludf.DUMMYFUNCTION("""COMPUTED_VALUE"""),"Dallas, TX 75225")</f>
        <v>Dallas, TX 75225</v>
      </c>
      <c r="AC978" s="31" t="s">
        <v>2327</v>
      </c>
      <c r="AD978" s="22"/>
      <c r="AE978" s="22"/>
      <c r="AF978" s="22"/>
      <c r="AG978" s="22" t="s">
        <v>60</v>
      </c>
      <c r="AH978" s="54">
        <v>2481.0</v>
      </c>
      <c r="AI978" s="22" t="s">
        <v>68</v>
      </c>
      <c r="AJ978" s="27">
        <v>100.0</v>
      </c>
      <c r="AK978" s="31" t="s">
        <v>25</v>
      </c>
      <c r="AL978" s="28">
        <v>44840.0</v>
      </c>
      <c r="AM978" s="29">
        <v>44937.81995370371</v>
      </c>
      <c r="AN978" s="30">
        <v>2.0</v>
      </c>
      <c r="AO978" s="22"/>
      <c r="AP978" s="22"/>
      <c r="AQ978" s="22"/>
      <c r="AR978" s="22"/>
      <c r="AS978" s="22"/>
      <c r="AT978" s="70"/>
      <c r="AU978" s="22"/>
      <c r="AV978" s="57"/>
      <c r="AW978" s="57"/>
      <c r="AX978" s="47"/>
      <c r="AY978" s="29"/>
      <c r="AZ978" s="30"/>
      <c r="BS978" s="81"/>
      <c r="CU978" s="55"/>
      <c r="CV978" s="55"/>
      <c r="CW978" s="55"/>
      <c r="CX978" s="55"/>
      <c r="CY978" s="55"/>
      <c r="CZ978" s="55"/>
      <c r="DA978" s="82"/>
      <c r="DB978" s="55"/>
      <c r="DC978" s="55"/>
      <c r="DD978" s="55"/>
      <c r="DE978" s="55"/>
      <c r="DF978" s="55"/>
      <c r="DG978" s="55"/>
      <c r="DH978" s="55"/>
      <c r="DI978" s="55"/>
      <c r="DJ978" s="55"/>
      <c r="DK978" s="55"/>
      <c r="DL978" s="55"/>
      <c r="DM978" s="55"/>
      <c r="DN978" s="55"/>
      <c r="DO978" s="55"/>
      <c r="DP978" s="55"/>
      <c r="DQ978" s="55"/>
      <c r="DR978" s="55"/>
      <c r="DS978" s="55"/>
      <c r="DT978" s="55"/>
      <c r="DU978" s="55"/>
      <c r="DV978" s="55"/>
      <c r="DW978" s="55"/>
    </row>
    <row r="979">
      <c r="A979" s="40" t="s">
        <v>55</v>
      </c>
      <c r="B979" s="41" t="s">
        <v>56</v>
      </c>
      <c r="C979" s="31" t="s">
        <v>387</v>
      </c>
      <c r="D979" s="25" t="str">
        <f>IFERROR(__xludf.DUMMYFUNCTION("SPLIT(C979,"" "")"),"Benton,")</f>
        <v>Benton,</v>
      </c>
      <c r="E979" s="40" t="str">
        <f>IFERROR(__xludf.DUMMYFUNCTION("""COMPUTED_VALUE"""),"Levi
3417")</f>
        <v>Levi
3417</v>
      </c>
      <c r="F979" s="40" t="str">
        <f>IFERROR(__xludf.DUMMYFUNCTION("""COMPUTED_VALUE"""),"Milam")</f>
        <v>Milam</v>
      </c>
      <c r="G979" s="40" t="str">
        <f>IFERROR(__xludf.DUMMYFUNCTION("""COMPUTED_VALUE"""),"St
Houston,")</f>
        <v>St
Houston,</v>
      </c>
      <c r="H979" s="40" t="str">
        <f>IFERROR(__xludf.DUMMYFUNCTION("""COMPUTED_VALUE"""),"TX")</f>
        <v>TX</v>
      </c>
      <c r="I979" s="40">
        <f>IFERROR(__xludf.DUMMYFUNCTION("""COMPUTED_VALUE"""),77002.0)</f>
        <v>77002</v>
      </c>
      <c r="J979" s="40"/>
      <c r="K979" s="40"/>
      <c r="L979" s="40"/>
      <c r="M979" s="40"/>
      <c r="N979" s="40"/>
      <c r="O979" s="40"/>
      <c r="P979" s="40"/>
      <c r="Q979" s="40"/>
      <c r="R979" s="40"/>
      <c r="S979" s="40"/>
      <c r="T979" s="40"/>
      <c r="U979" s="24" t="str">
        <f>IFERROR(__xludf.DUMMYFUNCTION("SPLIT(E979,""01234567890"")"),"Levi
")</f>
        <v>Levi
</v>
      </c>
      <c r="V979" s="24" t="str">
        <f>IFERROR(__xludf.DUMMYFUNCTION("SPLIT(D979,"","")"),"Benton")</f>
        <v>Benton</v>
      </c>
      <c r="W979" s="25" t="str">
        <f t="shared" si="1"/>
        <v>LEVI
 BENTON</v>
      </c>
      <c r="X979" s="40"/>
      <c r="Y979" s="40"/>
      <c r="Z979" s="25" t="str">
        <f>IFERROR(__xludf.DUMMYFUNCTION("SPLIT(C979,""
"")"),"Benton, Levi")</f>
        <v>Benton, Levi</v>
      </c>
      <c r="AA979" s="40" t="str">
        <f>IFERROR(__xludf.DUMMYFUNCTION("""COMPUTED_VALUE"""),"3417 Milam St")</f>
        <v>3417 Milam St</v>
      </c>
      <c r="AB979" s="40" t="str">
        <f>IFERROR(__xludf.DUMMYFUNCTION("""COMPUTED_VALUE"""),"Houston, TX 77002")</f>
        <v>Houston, TX 77002</v>
      </c>
      <c r="AC979" s="31" t="s">
        <v>389</v>
      </c>
      <c r="AD979" s="40"/>
      <c r="AE979" s="40"/>
      <c r="AF979" s="40"/>
      <c r="AG979" s="40" t="s">
        <v>60</v>
      </c>
      <c r="AH979" s="42">
        <v>2481.0</v>
      </c>
      <c r="AI979" s="40" t="s">
        <v>68</v>
      </c>
      <c r="AJ979" s="27">
        <v>500.0</v>
      </c>
      <c r="AK979" s="31" t="s">
        <v>25</v>
      </c>
      <c r="AL979" s="43">
        <v>44840.0</v>
      </c>
      <c r="AM979" s="44">
        <v>44937.81995370371</v>
      </c>
      <c r="AN979" s="30">
        <v>2.0</v>
      </c>
      <c r="AO979" s="40"/>
      <c r="AP979" s="40"/>
      <c r="AQ979" s="40"/>
      <c r="AR979" s="40"/>
      <c r="AS979" s="40"/>
      <c r="AT979" s="47"/>
      <c r="AU979" s="40"/>
      <c r="AV979" s="46"/>
      <c r="AW979" s="46"/>
      <c r="AX979" s="47"/>
      <c r="AY979" s="44"/>
      <c r="AZ979" s="30"/>
      <c r="BS979" s="81"/>
      <c r="CU979" s="55"/>
      <c r="CV979" s="55"/>
      <c r="CW979" s="55"/>
      <c r="CX979" s="55"/>
      <c r="CY979" s="55"/>
      <c r="CZ979" s="55"/>
      <c r="DA979" s="82"/>
      <c r="DB979" s="55"/>
      <c r="DC979" s="55"/>
      <c r="DD979" s="55"/>
      <c r="DE979" s="55"/>
      <c r="DF979" s="55"/>
      <c r="DG979" s="55"/>
      <c r="DH979" s="55"/>
      <c r="DI979" s="55"/>
      <c r="DJ979" s="55"/>
      <c r="DK979" s="55"/>
      <c r="DL979" s="55"/>
      <c r="DM979" s="55"/>
      <c r="DN979" s="55"/>
      <c r="DO979" s="55"/>
      <c r="DP979" s="55"/>
      <c r="DQ979" s="55"/>
      <c r="DR979" s="55"/>
      <c r="DS979" s="55"/>
      <c r="DT979" s="55"/>
      <c r="DU979" s="55"/>
      <c r="DV979" s="55"/>
      <c r="DW979" s="55"/>
    </row>
    <row r="980">
      <c r="A980" s="22" t="s">
        <v>55</v>
      </c>
      <c r="B980" s="23" t="s">
        <v>56</v>
      </c>
      <c r="C980" s="31" t="s">
        <v>2328</v>
      </c>
      <c r="D980" s="25" t="str">
        <f>IFERROR(__xludf.DUMMYFUNCTION("SPLIT(C980,"" "")"),"Segura,")</f>
        <v>Segura,</v>
      </c>
      <c r="E980" s="22" t="str">
        <f>IFERROR(__xludf.DUMMYFUNCTION("""COMPUTED_VALUE"""),"Rodolfo
9706")</f>
        <v>Rodolfo
9706</v>
      </c>
      <c r="F980" s="22" t="str">
        <f>IFERROR(__xludf.DUMMYFUNCTION("""COMPUTED_VALUE"""),"Maplehill")</f>
        <v>Maplehill</v>
      </c>
      <c r="G980" s="22" t="str">
        <f>IFERROR(__xludf.DUMMYFUNCTION("""COMPUTED_VALUE"""),"Dr
Dallas,")</f>
        <v>Dr
Dallas,</v>
      </c>
      <c r="H980" s="22" t="str">
        <f>IFERROR(__xludf.DUMMYFUNCTION("""COMPUTED_VALUE"""),"TX")</f>
        <v>TX</v>
      </c>
      <c r="I980" s="22">
        <f>IFERROR(__xludf.DUMMYFUNCTION("""COMPUTED_VALUE"""),75238.0)</f>
        <v>75238</v>
      </c>
      <c r="J980" s="22"/>
      <c r="K980" s="22"/>
      <c r="L980" s="22"/>
      <c r="M980" s="22"/>
      <c r="N980" s="22"/>
      <c r="O980" s="22"/>
      <c r="P980" s="22"/>
      <c r="Q980" s="22"/>
      <c r="R980" s="22"/>
      <c r="S980" s="22"/>
      <c r="T980" s="22"/>
      <c r="U980" s="24" t="str">
        <f>IFERROR(__xludf.DUMMYFUNCTION("SPLIT(E980,""01234567890"")"),"Rodolfo
")</f>
        <v>Rodolfo
</v>
      </c>
      <c r="V980" s="24" t="str">
        <f>IFERROR(__xludf.DUMMYFUNCTION("SPLIT(D980,"","")"),"Segura")</f>
        <v>Segura</v>
      </c>
      <c r="W980" s="25" t="str">
        <f t="shared" si="1"/>
        <v>RODOLFO
 SEGURA</v>
      </c>
      <c r="X980" s="22"/>
      <c r="Y980" s="22"/>
      <c r="Z980" s="25" t="str">
        <f>IFERROR(__xludf.DUMMYFUNCTION("SPLIT(C980,""
"")"),"Segura, Rodolfo")</f>
        <v>Segura, Rodolfo</v>
      </c>
      <c r="AA980" s="22" t="str">
        <f>IFERROR(__xludf.DUMMYFUNCTION("""COMPUTED_VALUE"""),"9706 Maplehill Dr")</f>
        <v>9706 Maplehill Dr</v>
      </c>
      <c r="AB980" s="22" t="str">
        <f>IFERROR(__xludf.DUMMYFUNCTION("""COMPUTED_VALUE"""),"Dallas, TX 75238")</f>
        <v>Dallas, TX 75238</v>
      </c>
      <c r="AC980" s="31" t="s">
        <v>2329</v>
      </c>
      <c r="AD980" s="22"/>
      <c r="AE980" s="22"/>
      <c r="AF980" s="22"/>
      <c r="AG980" s="22" t="s">
        <v>60</v>
      </c>
      <c r="AH980" s="54">
        <v>2481.0</v>
      </c>
      <c r="AI980" s="22" t="s">
        <v>68</v>
      </c>
      <c r="AJ980" s="27">
        <v>50.0</v>
      </c>
      <c r="AK980" s="31" t="s">
        <v>25</v>
      </c>
      <c r="AL980" s="28">
        <v>44840.0</v>
      </c>
      <c r="AM980" s="29">
        <v>44937.81995370371</v>
      </c>
      <c r="AN980" s="30">
        <v>2.0</v>
      </c>
      <c r="AO980" s="22"/>
      <c r="AP980" s="22"/>
      <c r="AQ980" s="22"/>
      <c r="AR980" s="22"/>
      <c r="AS980" s="22"/>
      <c r="AT980" s="70"/>
      <c r="AU980" s="22"/>
      <c r="AV980" s="57"/>
      <c r="AW980" s="57"/>
      <c r="AX980" s="47"/>
      <c r="AY980" s="29"/>
      <c r="AZ980" s="30"/>
      <c r="BS980" s="81"/>
      <c r="CU980" s="55"/>
      <c r="CV980" s="55"/>
      <c r="CW980" s="55"/>
      <c r="CX980" s="55"/>
      <c r="CY980" s="55"/>
      <c r="CZ980" s="55"/>
      <c r="DA980" s="82"/>
      <c r="DB980" s="55"/>
      <c r="DC980" s="55"/>
      <c r="DD980" s="55"/>
      <c r="DE980" s="55"/>
      <c r="DF980" s="55"/>
      <c r="DG980" s="55"/>
      <c r="DH980" s="55"/>
      <c r="DI980" s="55"/>
      <c r="DJ980" s="55"/>
      <c r="DK980" s="55"/>
      <c r="DL980" s="55"/>
      <c r="DM980" s="55"/>
      <c r="DN980" s="55"/>
      <c r="DO980" s="55"/>
      <c r="DP980" s="55"/>
      <c r="DQ980" s="55"/>
      <c r="DR980" s="55"/>
      <c r="DS980" s="55"/>
      <c r="DT980" s="55"/>
      <c r="DU980" s="55"/>
      <c r="DV980" s="55"/>
      <c r="DW980" s="55"/>
    </row>
    <row r="981">
      <c r="A981" s="40" t="s">
        <v>55</v>
      </c>
      <c r="B981" s="41" t="s">
        <v>56</v>
      </c>
      <c r="C981" s="31" t="s">
        <v>2330</v>
      </c>
      <c r="D981" s="25" t="str">
        <f>IFERROR(__xludf.DUMMYFUNCTION("SPLIT(C981,"" "")"),"Hubbard,")</f>
        <v>Hubbard,</v>
      </c>
      <c r="E981" s="40" t="str">
        <f>IFERROR(__xludf.DUMMYFUNCTION("""COMPUTED_VALUE"""),"Michael
1510")</f>
        <v>Michael
1510</v>
      </c>
      <c r="F981" s="40" t="str">
        <f>IFERROR(__xludf.DUMMYFUNCTION("""COMPUTED_VALUE"""),"Redbird")</f>
        <v>Redbird</v>
      </c>
      <c r="G981" s="40" t="str">
        <f>IFERROR(__xludf.DUMMYFUNCTION("""COMPUTED_VALUE"""),"Dr
Garland,")</f>
        <v>Dr
Garland,</v>
      </c>
      <c r="H981" s="40" t="str">
        <f>IFERROR(__xludf.DUMMYFUNCTION("""COMPUTED_VALUE"""),"TX")</f>
        <v>TX</v>
      </c>
      <c r="I981" s="40">
        <f>IFERROR(__xludf.DUMMYFUNCTION("""COMPUTED_VALUE"""),75043.0)</f>
        <v>75043</v>
      </c>
      <c r="J981" s="40"/>
      <c r="K981" s="40"/>
      <c r="L981" s="40"/>
      <c r="M981" s="40"/>
      <c r="N981" s="40"/>
      <c r="O981" s="40"/>
      <c r="P981" s="40"/>
      <c r="Q981" s="40"/>
      <c r="R981" s="40"/>
      <c r="S981" s="40"/>
      <c r="T981" s="40"/>
      <c r="U981" s="24" t="str">
        <f>IFERROR(__xludf.DUMMYFUNCTION("SPLIT(E981,""01234567890"")"),"Michael
")</f>
        <v>Michael
</v>
      </c>
      <c r="V981" s="24" t="str">
        <f>IFERROR(__xludf.DUMMYFUNCTION("SPLIT(D981,"","")"),"Hubbard")</f>
        <v>Hubbard</v>
      </c>
      <c r="W981" s="25" t="str">
        <f t="shared" si="1"/>
        <v>MICHAEL
 HUBBARD</v>
      </c>
      <c r="X981" s="40"/>
      <c r="Y981" s="40"/>
      <c r="Z981" s="25" t="str">
        <f>IFERROR(__xludf.DUMMYFUNCTION("SPLIT(C981,""
"")"),"Hubbard, Michael")</f>
        <v>Hubbard, Michael</v>
      </c>
      <c r="AA981" s="40" t="str">
        <f>IFERROR(__xludf.DUMMYFUNCTION("""COMPUTED_VALUE"""),"1510 Redbird Dr")</f>
        <v>1510 Redbird Dr</v>
      </c>
      <c r="AB981" s="40" t="str">
        <f>IFERROR(__xludf.DUMMYFUNCTION("""COMPUTED_VALUE"""),"Garland, TX 75043")</f>
        <v>Garland, TX 75043</v>
      </c>
      <c r="AC981" s="31" t="s">
        <v>2331</v>
      </c>
      <c r="AD981" s="40"/>
      <c r="AE981" s="40"/>
      <c r="AF981" s="40"/>
      <c r="AG981" s="40" t="s">
        <v>60</v>
      </c>
      <c r="AH981" s="42">
        <v>2481.0</v>
      </c>
      <c r="AI981" s="40" t="s">
        <v>68</v>
      </c>
      <c r="AJ981" s="27">
        <v>50.0</v>
      </c>
      <c r="AK981" s="31" t="s">
        <v>25</v>
      </c>
      <c r="AL981" s="43">
        <v>44840.0</v>
      </c>
      <c r="AM981" s="44">
        <v>44937.81995370371</v>
      </c>
      <c r="AN981" s="30">
        <v>2.0</v>
      </c>
      <c r="AO981" s="40"/>
      <c r="AP981" s="40"/>
      <c r="AQ981" s="40"/>
      <c r="AR981" s="40"/>
      <c r="AS981" s="40"/>
      <c r="AT981" s="47"/>
      <c r="AU981" s="40"/>
      <c r="AV981" s="46"/>
      <c r="AW981" s="46"/>
      <c r="AX981" s="47"/>
      <c r="AY981" s="44"/>
      <c r="AZ981" s="30"/>
      <c r="BS981" s="81"/>
      <c r="CU981" s="55"/>
      <c r="CV981" s="55"/>
      <c r="CW981" s="55"/>
      <c r="CX981" s="55"/>
      <c r="CY981" s="55"/>
      <c r="CZ981" s="55"/>
      <c r="DA981" s="82"/>
      <c r="DB981" s="55"/>
      <c r="DC981" s="55"/>
      <c r="DD981" s="55"/>
      <c r="DE981" s="55"/>
      <c r="DF981" s="55"/>
      <c r="DG981" s="55"/>
      <c r="DH981" s="55"/>
      <c r="DI981" s="55"/>
      <c r="DJ981" s="55"/>
      <c r="DK981" s="55"/>
      <c r="DL981" s="55"/>
      <c r="DM981" s="55"/>
      <c r="DN981" s="55"/>
      <c r="DO981" s="55"/>
      <c r="DP981" s="55"/>
      <c r="DQ981" s="55"/>
      <c r="DR981" s="55"/>
      <c r="DS981" s="55"/>
      <c r="DT981" s="55"/>
      <c r="DU981" s="55"/>
      <c r="DV981" s="55"/>
      <c r="DW981" s="55"/>
    </row>
    <row r="982">
      <c r="A982" s="22" t="s">
        <v>55</v>
      </c>
      <c r="B982" s="23" t="s">
        <v>56</v>
      </c>
      <c r="C982" s="31" t="s">
        <v>2332</v>
      </c>
      <c r="D982" s="25" t="str">
        <f>IFERROR(__xludf.DUMMYFUNCTION("SPLIT(C982,"" "")"),"Webb,")</f>
        <v>Webb,</v>
      </c>
      <c r="E982" s="22" t="str">
        <f>IFERROR(__xludf.DUMMYFUNCTION("""COMPUTED_VALUE"""),"Crayton
5505")</f>
        <v>Crayton
5505</v>
      </c>
      <c r="F982" s="22" t="str">
        <f>IFERROR(__xludf.DUMMYFUNCTION("""COMPUTED_VALUE"""),"W")</f>
        <v>W</v>
      </c>
      <c r="G982" s="22" t="str">
        <f>IFERROR(__xludf.DUMMYFUNCTION("""COMPUTED_VALUE"""),"University")</f>
        <v>University</v>
      </c>
      <c r="H982" s="22" t="str">
        <f>IFERROR(__xludf.DUMMYFUNCTION("""COMPUTED_VALUE"""),"Blvd
Dallas,")</f>
        <v>Blvd
Dallas,</v>
      </c>
      <c r="I982" s="22" t="str">
        <f>IFERROR(__xludf.DUMMYFUNCTION("""COMPUTED_VALUE"""),"TX")</f>
        <v>TX</v>
      </c>
      <c r="J982" s="22">
        <f>IFERROR(__xludf.DUMMYFUNCTION("""COMPUTED_VALUE"""),75209.0)</f>
        <v>75209</v>
      </c>
      <c r="K982" s="22"/>
      <c r="L982" s="22"/>
      <c r="M982" s="22"/>
      <c r="N982" s="22"/>
      <c r="O982" s="22"/>
      <c r="P982" s="22"/>
      <c r="Q982" s="22"/>
      <c r="R982" s="22"/>
      <c r="S982" s="22"/>
      <c r="T982" s="22"/>
      <c r="U982" s="24" t="str">
        <f>IFERROR(__xludf.DUMMYFUNCTION("SPLIT(E982,""01234567890"")"),"Crayton
")</f>
        <v>Crayton
</v>
      </c>
      <c r="V982" s="24" t="str">
        <f>IFERROR(__xludf.DUMMYFUNCTION("SPLIT(D982,"","")"),"Webb")</f>
        <v>Webb</v>
      </c>
      <c r="W982" s="25" t="str">
        <f t="shared" si="1"/>
        <v>CRAYTON
 WEBB</v>
      </c>
      <c r="X982" s="22"/>
      <c r="Y982" s="22"/>
      <c r="Z982" s="25" t="str">
        <f>IFERROR(__xludf.DUMMYFUNCTION("SPLIT(C982,""
"")"),"Webb, Crayton")</f>
        <v>Webb, Crayton</v>
      </c>
      <c r="AA982" s="22" t="str">
        <f>IFERROR(__xludf.DUMMYFUNCTION("""COMPUTED_VALUE"""),"5505 W University Blvd")</f>
        <v>5505 W University Blvd</v>
      </c>
      <c r="AB982" s="22" t="str">
        <f>IFERROR(__xludf.DUMMYFUNCTION("""COMPUTED_VALUE"""),"Dallas, TX 75209")</f>
        <v>Dallas, TX 75209</v>
      </c>
      <c r="AC982" s="31" t="s">
        <v>2333</v>
      </c>
      <c r="AD982" s="22"/>
      <c r="AE982" s="22"/>
      <c r="AF982" s="22"/>
      <c r="AG982" s="22" t="s">
        <v>60</v>
      </c>
      <c r="AH982" s="54">
        <v>2481.0</v>
      </c>
      <c r="AI982" s="22" t="s">
        <v>68</v>
      </c>
      <c r="AJ982" s="27">
        <v>500.0</v>
      </c>
      <c r="AK982" s="31" t="s">
        <v>25</v>
      </c>
      <c r="AL982" s="28">
        <v>44840.0</v>
      </c>
      <c r="AM982" s="29">
        <v>44937.81995370371</v>
      </c>
      <c r="AN982" s="30">
        <v>2.0</v>
      </c>
      <c r="AO982" s="22"/>
      <c r="AP982" s="22"/>
      <c r="AQ982" s="22"/>
      <c r="AR982" s="22"/>
      <c r="AS982" s="22"/>
      <c r="AT982" s="70"/>
      <c r="AU982" s="22"/>
      <c r="AV982" s="57"/>
      <c r="AW982" s="57"/>
      <c r="AX982" s="47"/>
      <c r="AY982" s="29"/>
      <c r="AZ982" s="30"/>
      <c r="CU982" s="55"/>
      <c r="CV982" s="55"/>
      <c r="CW982" s="55"/>
      <c r="CX982" s="55"/>
      <c r="CY982" s="55"/>
      <c r="CZ982" s="55"/>
      <c r="DA982" s="82"/>
      <c r="DB982" s="55"/>
      <c r="DC982" s="55"/>
      <c r="DD982" s="55"/>
      <c r="DE982" s="55"/>
      <c r="DF982" s="55"/>
      <c r="DG982" s="55"/>
      <c r="DH982" s="55"/>
      <c r="DI982" s="55"/>
      <c r="DJ982" s="55"/>
      <c r="DK982" s="55"/>
      <c r="DL982" s="55"/>
      <c r="DM982" s="55"/>
      <c r="DN982" s="55"/>
      <c r="DO982" s="55"/>
      <c r="DP982" s="55"/>
      <c r="DQ982" s="55"/>
      <c r="DR982" s="55"/>
      <c r="DS982" s="55"/>
      <c r="DT982" s="55"/>
      <c r="DU982" s="55"/>
      <c r="DV982" s="55"/>
      <c r="DW982" s="55"/>
    </row>
    <row r="983">
      <c r="A983" s="40" t="s">
        <v>55</v>
      </c>
      <c r="B983" s="41" t="s">
        <v>56</v>
      </c>
      <c r="C983" s="31" t="s">
        <v>2334</v>
      </c>
      <c r="D983" s="25" t="str">
        <f>IFERROR(__xludf.DUMMYFUNCTION("SPLIT(C983,"" "")"),"Dunning,")</f>
        <v>Dunning,</v>
      </c>
      <c r="E983" s="40" t="str">
        <f>IFERROR(__xludf.DUMMYFUNCTION("""COMPUTED_VALUE"""),"Tom")</f>
        <v>Tom</v>
      </c>
      <c r="F983" s="40" t="str">
        <f>IFERROR(__xludf.DUMMYFUNCTION("""COMPUTED_VALUE"""),"&amp;")</f>
        <v>&amp;</v>
      </c>
      <c r="G983" s="40" t="str">
        <f>IFERROR(__xludf.DUMMYFUNCTION("""COMPUTED_VALUE"""),"Sally
9239")</f>
        <v>Sally
9239</v>
      </c>
      <c r="H983" s="40" t="str">
        <f>IFERROR(__xludf.DUMMYFUNCTION("""COMPUTED_VALUE"""),"Hathaway")</f>
        <v>Hathaway</v>
      </c>
      <c r="I983" s="40" t="str">
        <f>IFERROR(__xludf.DUMMYFUNCTION("""COMPUTED_VALUE"""),"St
Dallas,")</f>
        <v>St
Dallas,</v>
      </c>
      <c r="J983" s="40" t="str">
        <f>IFERROR(__xludf.DUMMYFUNCTION("""COMPUTED_VALUE"""),"TX")</f>
        <v>TX</v>
      </c>
      <c r="K983" s="40">
        <f>IFERROR(__xludf.DUMMYFUNCTION("""COMPUTED_VALUE"""),75220.0)</f>
        <v>75220</v>
      </c>
      <c r="L983" s="40"/>
      <c r="M983" s="40"/>
      <c r="N983" s="40"/>
      <c r="O983" s="40"/>
      <c r="P983" s="40"/>
      <c r="Q983" s="40"/>
      <c r="R983" s="40"/>
      <c r="S983" s="40"/>
      <c r="T983" s="40"/>
      <c r="U983" s="24" t="str">
        <f>IFERROR(__xludf.DUMMYFUNCTION("SPLIT(E983,""01234567890"")"),"Tom")</f>
        <v>Tom</v>
      </c>
      <c r="V983" s="24" t="str">
        <f>IFERROR(__xludf.DUMMYFUNCTION("SPLIT(D983,"","")"),"Dunning")</f>
        <v>Dunning</v>
      </c>
      <c r="W983" s="25" t="str">
        <f t="shared" si="1"/>
        <v>TOM DUNNING</v>
      </c>
      <c r="X983" s="40"/>
      <c r="Y983" s="40"/>
      <c r="Z983" s="25" t="str">
        <f>IFERROR(__xludf.DUMMYFUNCTION("SPLIT(C983,""
"")"),"Dunning, Tom &amp; Sally")</f>
        <v>Dunning, Tom &amp; Sally</v>
      </c>
      <c r="AA983" s="40" t="str">
        <f>IFERROR(__xludf.DUMMYFUNCTION("""COMPUTED_VALUE"""),"9239 Hathaway St")</f>
        <v>9239 Hathaway St</v>
      </c>
      <c r="AB983" s="40" t="str">
        <f>IFERROR(__xludf.DUMMYFUNCTION("""COMPUTED_VALUE"""),"Dallas, TX 75220")</f>
        <v>Dallas, TX 75220</v>
      </c>
      <c r="AC983" s="31" t="s">
        <v>2335</v>
      </c>
      <c r="AD983" s="40"/>
      <c r="AE983" s="40"/>
      <c r="AF983" s="40"/>
      <c r="AG983" s="40" t="s">
        <v>60</v>
      </c>
      <c r="AH983" s="42">
        <v>2481.0</v>
      </c>
      <c r="AI983" s="40" t="s">
        <v>68</v>
      </c>
      <c r="AJ983" s="27">
        <v>10000.0</v>
      </c>
      <c r="AK983" s="31" t="s">
        <v>25</v>
      </c>
      <c r="AL983" s="43">
        <v>44840.0</v>
      </c>
      <c r="AM983" s="44">
        <v>44937.81995370371</v>
      </c>
      <c r="AN983" s="30">
        <v>2.0</v>
      </c>
      <c r="AO983" s="40"/>
      <c r="AP983" s="40"/>
      <c r="AQ983" s="40"/>
      <c r="AR983" s="40"/>
      <c r="AS983" s="40"/>
      <c r="AT983" s="47"/>
      <c r="AU983" s="40"/>
      <c r="AV983" s="46"/>
      <c r="AW983" s="46"/>
      <c r="AX983" s="47"/>
      <c r="AY983" s="44"/>
      <c r="AZ983" s="30"/>
      <c r="CU983" s="55"/>
      <c r="CV983" s="55"/>
      <c r="CW983" s="55"/>
      <c r="CX983" s="55"/>
      <c r="CY983" s="55"/>
      <c r="CZ983" s="55"/>
      <c r="DA983" s="82"/>
      <c r="DB983" s="55"/>
      <c r="DC983" s="55"/>
      <c r="DD983" s="55"/>
      <c r="DE983" s="55"/>
      <c r="DF983" s="55"/>
      <c r="DG983" s="55"/>
      <c r="DH983" s="55"/>
      <c r="DI983" s="55"/>
      <c r="DJ983" s="55"/>
      <c r="DK983" s="55"/>
      <c r="DL983" s="55"/>
      <c r="DM983" s="55"/>
      <c r="DN983" s="55"/>
      <c r="DO983" s="55"/>
      <c r="DP983" s="55"/>
      <c r="DQ983" s="55"/>
      <c r="DR983" s="55"/>
      <c r="DS983" s="55"/>
      <c r="DT983" s="55"/>
      <c r="DU983" s="55"/>
      <c r="DV983" s="55"/>
      <c r="DW983" s="55"/>
    </row>
    <row r="984">
      <c r="A984" s="22" t="s">
        <v>55</v>
      </c>
      <c r="B984" s="23" t="s">
        <v>56</v>
      </c>
      <c r="C984" s="31" t="s">
        <v>2336</v>
      </c>
      <c r="D984" s="25" t="str">
        <f>IFERROR(__xludf.DUMMYFUNCTION("SPLIT(C984,"" "")"),"Henry,")</f>
        <v>Henry,</v>
      </c>
      <c r="E984" s="22" t="str">
        <f>IFERROR(__xludf.DUMMYFUNCTION("""COMPUTED_VALUE"""),"Justin
7012")</f>
        <v>Justin
7012</v>
      </c>
      <c r="F984" s="22" t="str">
        <f>IFERROR(__xludf.DUMMYFUNCTION("""COMPUTED_VALUE"""),"Lindsley")</f>
        <v>Lindsley</v>
      </c>
      <c r="G984" s="22" t="str">
        <f>IFERROR(__xludf.DUMMYFUNCTION("""COMPUTED_VALUE"""),"Ave
Dallas,")</f>
        <v>Ave
Dallas,</v>
      </c>
      <c r="H984" s="22" t="str">
        <f>IFERROR(__xludf.DUMMYFUNCTION("""COMPUTED_VALUE"""),"TX")</f>
        <v>TX</v>
      </c>
      <c r="I984" s="22">
        <f>IFERROR(__xludf.DUMMYFUNCTION("""COMPUTED_VALUE"""),75223.0)</f>
        <v>75223</v>
      </c>
      <c r="J984" s="22"/>
      <c r="K984" s="22"/>
      <c r="L984" s="22"/>
      <c r="M984" s="22"/>
      <c r="N984" s="22"/>
      <c r="O984" s="22"/>
      <c r="P984" s="22"/>
      <c r="Q984" s="22"/>
      <c r="R984" s="22"/>
      <c r="S984" s="22"/>
      <c r="T984" s="22"/>
      <c r="U984" s="24" t="str">
        <f>IFERROR(__xludf.DUMMYFUNCTION("SPLIT(E984,""01234567890"")"),"Justin
")</f>
        <v>Justin
</v>
      </c>
      <c r="V984" s="24" t="str">
        <f>IFERROR(__xludf.DUMMYFUNCTION("SPLIT(D984,"","")"),"Henry")</f>
        <v>Henry</v>
      </c>
      <c r="W984" s="25" t="str">
        <f t="shared" si="1"/>
        <v>JUSTIN
 HENRY</v>
      </c>
      <c r="X984" s="22"/>
      <c r="Y984" s="22"/>
      <c r="Z984" s="25" t="str">
        <f>IFERROR(__xludf.DUMMYFUNCTION("SPLIT(C984,""
"")"),"Henry, Justin")</f>
        <v>Henry, Justin</v>
      </c>
      <c r="AA984" s="22" t="str">
        <f>IFERROR(__xludf.DUMMYFUNCTION("""COMPUTED_VALUE"""),"7012 Lindsley Ave")</f>
        <v>7012 Lindsley Ave</v>
      </c>
      <c r="AB984" s="22" t="str">
        <f>IFERROR(__xludf.DUMMYFUNCTION("""COMPUTED_VALUE"""),"Dallas, TX 75223")</f>
        <v>Dallas, TX 75223</v>
      </c>
      <c r="AC984" s="31" t="s">
        <v>2337</v>
      </c>
      <c r="AD984" s="22"/>
      <c r="AE984" s="22"/>
      <c r="AF984" s="22"/>
      <c r="AG984" s="22" t="s">
        <v>60</v>
      </c>
      <c r="AH984" s="54">
        <v>2481.0</v>
      </c>
      <c r="AI984" s="22" t="s">
        <v>68</v>
      </c>
      <c r="AJ984" s="27">
        <v>500.0</v>
      </c>
      <c r="AK984" s="31" t="s">
        <v>25</v>
      </c>
      <c r="AL984" s="28">
        <v>44841.0</v>
      </c>
      <c r="AM984" s="29">
        <v>44937.81995370371</v>
      </c>
      <c r="AN984" s="30">
        <v>2.0</v>
      </c>
      <c r="AO984" s="22"/>
      <c r="AP984" s="22"/>
      <c r="AQ984" s="22"/>
      <c r="AR984" s="22"/>
      <c r="AS984" s="22"/>
      <c r="AT984" s="70"/>
      <c r="AU984" s="22"/>
      <c r="AV984" s="57"/>
      <c r="AW984" s="57"/>
      <c r="AX984" s="47"/>
      <c r="AY984" s="29"/>
      <c r="AZ984" s="30"/>
      <c r="CU984" s="55"/>
      <c r="CV984" s="55"/>
      <c r="CW984" s="55"/>
      <c r="CX984" s="55"/>
      <c r="CY984" s="55"/>
      <c r="CZ984" s="55"/>
      <c r="DA984" s="82"/>
      <c r="DB984" s="55"/>
      <c r="DC984" s="55"/>
      <c r="DD984" s="55"/>
      <c r="DE984" s="55"/>
      <c r="DF984" s="55"/>
      <c r="DG984" s="55"/>
      <c r="DH984" s="55"/>
      <c r="DI984" s="55"/>
      <c r="DJ984" s="55"/>
      <c r="DK984" s="55"/>
      <c r="DL984" s="55"/>
      <c r="DM984" s="55"/>
      <c r="DN984" s="55"/>
      <c r="DO984" s="55"/>
      <c r="DP984" s="55"/>
      <c r="DQ984" s="55"/>
      <c r="DR984" s="55"/>
      <c r="DS984" s="55"/>
      <c r="DT984" s="55"/>
      <c r="DU984" s="55"/>
      <c r="DV984" s="55"/>
      <c r="DW984" s="55"/>
    </row>
    <row r="985">
      <c r="A985" s="40" t="s">
        <v>55</v>
      </c>
      <c r="B985" s="41" t="s">
        <v>56</v>
      </c>
      <c r="C985" s="31" t="s">
        <v>2338</v>
      </c>
      <c r="D985" s="25" t="str">
        <f>IFERROR(__xludf.DUMMYFUNCTION("SPLIT(C985,"" "")"),"Sadler,")</f>
        <v>Sadler,</v>
      </c>
      <c r="E985" s="40" t="str">
        <f>IFERROR(__xludf.DUMMYFUNCTION("""COMPUTED_VALUE"""),"Tamara
1113")</f>
        <v>Tamara
1113</v>
      </c>
      <c r="F985" s="40" t="str">
        <f>IFERROR(__xludf.DUMMYFUNCTION("""COMPUTED_VALUE"""),"Bordeaux
DeSoto,")</f>
        <v>Bordeaux
DeSoto,</v>
      </c>
      <c r="G985" s="40" t="str">
        <f>IFERROR(__xludf.DUMMYFUNCTION("""COMPUTED_VALUE"""),"TX")</f>
        <v>TX</v>
      </c>
      <c r="H985" s="40">
        <f>IFERROR(__xludf.DUMMYFUNCTION("""COMPUTED_VALUE"""),75115.0)</f>
        <v>75115</v>
      </c>
      <c r="I985" s="40"/>
      <c r="J985" s="40"/>
      <c r="K985" s="40"/>
      <c r="L985" s="40"/>
      <c r="M985" s="40"/>
      <c r="N985" s="40"/>
      <c r="O985" s="40"/>
      <c r="P985" s="40"/>
      <c r="Q985" s="40"/>
      <c r="R985" s="40"/>
      <c r="S985" s="40"/>
      <c r="T985" s="40"/>
      <c r="U985" s="24" t="str">
        <f>IFERROR(__xludf.DUMMYFUNCTION("SPLIT(E985,""01234567890"")"),"Tamara
")</f>
        <v>Tamara
</v>
      </c>
      <c r="V985" s="24" t="str">
        <f>IFERROR(__xludf.DUMMYFUNCTION("SPLIT(D985,"","")"),"Sadler")</f>
        <v>Sadler</v>
      </c>
      <c r="W985" s="25" t="str">
        <f t="shared" si="1"/>
        <v>TAMARA
 SADLER</v>
      </c>
      <c r="X985" s="40"/>
      <c r="Y985" s="40"/>
      <c r="Z985" s="25" t="str">
        <f>IFERROR(__xludf.DUMMYFUNCTION("SPLIT(C985,""
"")"),"Sadler, Tamara")</f>
        <v>Sadler, Tamara</v>
      </c>
      <c r="AA985" s="40" t="str">
        <f>IFERROR(__xludf.DUMMYFUNCTION("""COMPUTED_VALUE"""),"1113 Bordeaux")</f>
        <v>1113 Bordeaux</v>
      </c>
      <c r="AB985" s="40" t="str">
        <f>IFERROR(__xludf.DUMMYFUNCTION("""COMPUTED_VALUE"""),"DeSoto, TX 75115")</f>
        <v>DeSoto, TX 75115</v>
      </c>
      <c r="AC985" s="31" t="s">
        <v>2339</v>
      </c>
      <c r="AD985" s="40"/>
      <c r="AE985" s="40"/>
      <c r="AF985" s="40"/>
      <c r="AG985" s="40" t="s">
        <v>60</v>
      </c>
      <c r="AH985" s="42">
        <v>2481.0</v>
      </c>
      <c r="AI985" s="40" t="s">
        <v>68</v>
      </c>
      <c r="AJ985" s="27">
        <v>50.0</v>
      </c>
      <c r="AK985" s="31" t="s">
        <v>25</v>
      </c>
      <c r="AL985" s="43">
        <v>44841.0</v>
      </c>
      <c r="AM985" s="44">
        <v>44937.81995370371</v>
      </c>
      <c r="AN985" s="30">
        <v>2.0</v>
      </c>
      <c r="AO985" s="40"/>
      <c r="AP985" s="40"/>
      <c r="AQ985" s="40"/>
      <c r="AR985" s="40"/>
      <c r="AS985" s="40"/>
      <c r="AT985" s="47"/>
      <c r="AU985" s="40"/>
      <c r="AV985" s="46"/>
      <c r="AW985" s="46"/>
      <c r="AX985" s="47"/>
      <c r="AY985" s="44"/>
      <c r="AZ985" s="30"/>
      <c r="CU985" s="55"/>
      <c r="CV985" s="55"/>
      <c r="CW985" s="55"/>
      <c r="CX985" s="55"/>
      <c r="CY985" s="55"/>
      <c r="CZ985" s="55"/>
      <c r="DA985" s="82"/>
      <c r="DB985" s="55"/>
      <c r="DC985" s="55"/>
      <c r="DD985" s="55"/>
      <c r="DE985" s="55"/>
      <c r="DF985" s="55"/>
      <c r="DG985" s="55"/>
      <c r="DH985" s="55"/>
      <c r="DI985" s="55"/>
      <c r="DJ985" s="55"/>
      <c r="DK985" s="55"/>
      <c r="DL985" s="55"/>
      <c r="DM985" s="55"/>
      <c r="DN985" s="55"/>
      <c r="DO985" s="55"/>
      <c r="DP985" s="55"/>
      <c r="DQ985" s="55"/>
      <c r="DR985" s="55"/>
      <c r="DS985" s="55"/>
      <c r="DT985" s="55"/>
      <c r="DU985" s="55"/>
      <c r="DV985" s="55"/>
      <c r="DW985" s="55"/>
    </row>
    <row r="986">
      <c r="A986" s="22" t="s">
        <v>55</v>
      </c>
      <c r="B986" s="23" t="s">
        <v>56</v>
      </c>
      <c r="C986" s="31" t="s">
        <v>2340</v>
      </c>
      <c r="D986" s="25" t="str">
        <f>IFERROR(__xludf.DUMMYFUNCTION("SPLIT(C986,"" "")"),"Walters,")</f>
        <v>Walters,</v>
      </c>
      <c r="E986" s="22" t="str">
        <f>IFERROR(__xludf.DUMMYFUNCTION("""COMPUTED_VALUE"""),"Robert
2001")</f>
        <v>Robert
2001</v>
      </c>
      <c r="F986" s="22" t="str">
        <f>IFERROR(__xludf.DUMMYFUNCTION("""COMPUTED_VALUE"""),"Ross")</f>
        <v>Ross</v>
      </c>
      <c r="G986" s="22" t="str">
        <f>IFERROR(__xludf.DUMMYFUNCTION("""COMPUTED_VALUE"""),"Ave
Dallas,")</f>
        <v>Ave
Dallas,</v>
      </c>
      <c r="H986" s="22" t="str">
        <f>IFERROR(__xludf.DUMMYFUNCTION("""COMPUTED_VALUE"""),"TX")</f>
        <v>TX</v>
      </c>
      <c r="I986" s="22">
        <f>IFERROR(__xludf.DUMMYFUNCTION("""COMPUTED_VALUE"""),75201.0)</f>
        <v>75201</v>
      </c>
      <c r="J986" s="22"/>
      <c r="K986" s="22"/>
      <c r="L986" s="22"/>
      <c r="M986" s="22"/>
      <c r="N986" s="22"/>
      <c r="O986" s="22"/>
      <c r="P986" s="22"/>
      <c r="Q986" s="22"/>
      <c r="R986" s="22"/>
      <c r="S986" s="22"/>
      <c r="T986" s="22"/>
      <c r="U986" s="24" t="str">
        <f>IFERROR(__xludf.DUMMYFUNCTION("SPLIT(E986,""01234567890"")"),"Robert
")</f>
        <v>Robert
</v>
      </c>
      <c r="V986" s="24" t="str">
        <f>IFERROR(__xludf.DUMMYFUNCTION("SPLIT(D986,"","")"),"Walters")</f>
        <v>Walters</v>
      </c>
      <c r="W986" s="25" t="str">
        <f t="shared" si="1"/>
        <v>ROBERT
 WALTERS</v>
      </c>
      <c r="X986" s="22"/>
      <c r="Y986" s="22"/>
      <c r="Z986" s="25" t="str">
        <f>IFERROR(__xludf.DUMMYFUNCTION("SPLIT(C986,""
"")"),"Walters, Robert")</f>
        <v>Walters, Robert</v>
      </c>
      <c r="AA986" s="22" t="str">
        <f>IFERROR(__xludf.DUMMYFUNCTION("""COMPUTED_VALUE"""),"2001 Ross Ave")</f>
        <v>2001 Ross Ave</v>
      </c>
      <c r="AB986" s="22" t="str">
        <f>IFERROR(__xludf.DUMMYFUNCTION("""COMPUTED_VALUE"""),"Dallas, TX 75201")</f>
        <v>Dallas, TX 75201</v>
      </c>
      <c r="AC986" s="31" t="s">
        <v>2341</v>
      </c>
      <c r="AD986" s="22"/>
      <c r="AE986" s="22"/>
      <c r="AF986" s="22"/>
      <c r="AG986" s="22" t="s">
        <v>60</v>
      </c>
      <c r="AH986" s="54">
        <v>2481.0</v>
      </c>
      <c r="AI986" s="22" t="s">
        <v>68</v>
      </c>
      <c r="AJ986" s="27">
        <v>1000.0</v>
      </c>
      <c r="AK986" s="31" t="s">
        <v>25</v>
      </c>
      <c r="AL986" s="28">
        <v>44841.0</v>
      </c>
      <c r="AM986" s="29">
        <v>44937.81995370371</v>
      </c>
      <c r="AN986" s="30">
        <v>2.0</v>
      </c>
      <c r="AO986" s="22"/>
      <c r="AP986" s="22"/>
      <c r="AQ986" s="22"/>
      <c r="AR986" s="22"/>
      <c r="AS986" s="22"/>
      <c r="AT986" s="70"/>
      <c r="AU986" s="22"/>
      <c r="AV986" s="57"/>
      <c r="AW986" s="57"/>
      <c r="AX986" s="47"/>
      <c r="AY986" s="29"/>
      <c r="AZ986" s="30"/>
      <c r="CU986" s="55"/>
      <c r="CV986" s="55"/>
      <c r="CW986" s="55"/>
      <c r="CX986" s="55"/>
      <c r="CY986" s="55"/>
      <c r="CZ986" s="55"/>
      <c r="DA986" s="82"/>
      <c r="DB986" s="55"/>
      <c r="DC986" s="55"/>
      <c r="DD986" s="55"/>
      <c r="DE986" s="55"/>
      <c r="DF986" s="55"/>
      <c r="DG986" s="55"/>
      <c r="DH986" s="55"/>
      <c r="DI986" s="55"/>
      <c r="DJ986" s="55"/>
      <c r="DK986" s="55"/>
      <c r="DL986" s="55"/>
      <c r="DM986" s="55"/>
      <c r="DN986" s="55"/>
      <c r="DO986" s="55"/>
      <c r="DP986" s="55"/>
      <c r="DQ986" s="55"/>
      <c r="DR986" s="55"/>
      <c r="DS986" s="55"/>
      <c r="DT986" s="55"/>
      <c r="DU986" s="55"/>
      <c r="DV986" s="55"/>
      <c r="DW986" s="55"/>
    </row>
    <row r="987">
      <c r="A987" s="40" t="s">
        <v>55</v>
      </c>
      <c r="B987" s="41" t="s">
        <v>56</v>
      </c>
      <c r="C987" s="31" t="s">
        <v>2342</v>
      </c>
      <c r="D987" s="25" t="str">
        <f>IFERROR(__xludf.DUMMYFUNCTION("SPLIT(C987,"" "")"),"Malveaux,")</f>
        <v>Malveaux,</v>
      </c>
      <c r="E987" s="40" t="str">
        <f>IFERROR(__xludf.DUMMYFUNCTION("""COMPUTED_VALUE"""),"Mark
6138")</f>
        <v>Mark
6138</v>
      </c>
      <c r="F987" s="40" t="str">
        <f>IFERROR(__xludf.DUMMYFUNCTION("""COMPUTED_VALUE"""),"Desco")</f>
        <v>Desco</v>
      </c>
      <c r="G987" s="40" t="str">
        <f>IFERROR(__xludf.DUMMYFUNCTION("""COMPUTED_VALUE"""),"Dr
Dallas,")</f>
        <v>Dr
Dallas,</v>
      </c>
      <c r="H987" s="40" t="str">
        <f>IFERROR(__xludf.DUMMYFUNCTION("""COMPUTED_VALUE"""),"TX")</f>
        <v>TX</v>
      </c>
      <c r="I987" s="40">
        <f>IFERROR(__xludf.DUMMYFUNCTION("""COMPUTED_VALUE"""),75225.0)</f>
        <v>75225</v>
      </c>
      <c r="J987" s="40"/>
      <c r="K987" s="40"/>
      <c r="L987" s="40"/>
      <c r="M987" s="40"/>
      <c r="N987" s="40"/>
      <c r="O987" s="40"/>
      <c r="P987" s="40"/>
      <c r="Q987" s="40"/>
      <c r="R987" s="40"/>
      <c r="S987" s="40"/>
      <c r="T987" s="40"/>
      <c r="U987" s="24" t="str">
        <f>IFERROR(__xludf.DUMMYFUNCTION("SPLIT(E987,""01234567890"")"),"Mark
")</f>
        <v>Mark
</v>
      </c>
      <c r="V987" s="24" t="str">
        <f>IFERROR(__xludf.DUMMYFUNCTION("SPLIT(D987,"","")"),"Malveaux")</f>
        <v>Malveaux</v>
      </c>
      <c r="W987" s="25" t="str">
        <f t="shared" si="1"/>
        <v>MARK
 MALVEAUX</v>
      </c>
      <c r="X987" s="40"/>
      <c r="Y987" s="40"/>
      <c r="Z987" s="25" t="str">
        <f>IFERROR(__xludf.DUMMYFUNCTION("SPLIT(C987,""
"")"),"Malveaux, Mark")</f>
        <v>Malveaux, Mark</v>
      </c>
      <c r="AA987" s="40" t="str">
        <f>IFERROR(__xludf.DUMMYFUNCTION("""COMPUTED_VALUE"""),"6138 Desco Dr")</f>
        <v>6138 Desco Dr</v>
      </c>
      <c r="AB987" s="40" t="str">
        <f>IFERROR(__xludf.DUMMYFUNCTION("""COMPUTED_VALUE"""),"Dallas, TX 75225")</f>
        <v>Dallas, TX 75225</v>
      </c>
      <c r="AC987" s="31" t="s">
        <v>2343</v>
      </c>
      <c r="AD987" s="40"/>
      <c r="AE987" s="40"/>
      <c r="AF987" s="40"/>
      <c r="AG987" s="40" t="s">
        <v>60</v>
      </c>
      <c r="AH987" s="42">
        <v>2481.0</v>
      </c>
      <c r="AI987" s="40" t="s">
        <v>68</v>
      </c>
      <c r="AJ987" s="27">
        <v>5000.0</v>
      </c>
      <c r="AK987" s="31" t="s">
        <v>25</v>
      </c>
      <c r="AL987" s="43">
        <v>44841.0</v>
      </c>
      <c r="AM987" s="44">
        <v>44937.81995370371</v>
      </c>
      <c r="AN987" s="30">
        <v>2.0</v>
      </c>
      <c r="AO987" s="40"/>
      <c r="AP987" s="40"/>
      <c r="AQ987" s="40"/>
      <c r="AR987" s="40"/>
      <c r="AS987" s="40"/>
      <c r="AT987" s="47"/>
      <c r="AU987" s="40"/>
      <c r="AV987" s="46"/>
      <c r="AW987" s="46"/>
      <c r="AX987" s="47"/>
      <c r="AY987" s="44"/>
      <c r="AZ987" s="30"/>
      <c r="CU987" s="55"/>
      <c r="CV987" s="55"/>
      <c r="CW987" s="55"/>
      <c r="CX987" s="55"/>
      <c r="CY987" s="55"/>
      <c r="CZ987" s="55"/>
      <c r="DA987" s="82"/>
      <c r="DB987" s="55"/>
      <c r="DC987" s="55"/>
      <c r="DD987" s="55"/>
      <c r="DE987" s="55"/>
      <c r="DF987" s="55"/>
      <c r="DG987" s="55"/>
      <c r="DH987" s="55"/>
      <c r="DI987" s="55"/>
      <c r="DJ987" s="55"/>
      <c r="DK987" s="55"/>
      <c r="DL987" s="55"/>
      <c r="DM987" s="55"/>
      <c r="DN987" s="55"/>
      <c r="DO987" s="55"/>
      <c r="DP987" s="55"/>
      <c r="DQ987" s="55"/>
      <c r="DR987" s="55"/>
      <c r="DS987" s="55"/>
      <c r="DT987" s="55"/>
      <c r="DU987" s="55"/>
      <c r="DV987" s="55"/>
      <c r="DW987" s="55"/>
    </row>
    <row r="988">
      <c r="A988" s="22" t="s">
        <v>55</v>
      </c>
      <c r="B988" s="23" t="s">
        <v>56</v>
      </c>
      <c r="C988" s="31" t="s">
        <v>2344</v>
      </c>
      <c r="D988" s="25" t="str">
        <f>IFERROR(__xludf.DUMMYFUNCTION("SPLIT(C988,"" "")"),"Enobakhare,")</f>
        <v>Enobakhare,</v>
      </c>
      <c r="E988" s="22" t="str">
        <f>IFERROR(__xludf.DUMMYFUNCTION("""COMPUTED_VALUE"""),"Jesuorobo
305")</f>
        <v>Jesuorobo
305</v>
      </c>
      <c r="F988" s="22" t="str">
        <f>IFERROR(__xludf.DUMMYFUNCTION("""COMPUTED_VALUE"""),"W")</f>
        <v>W</v>
      </c>
      <c r="G988" s="22" t="str">
        <f>IFERROR(__xludf.DUMMYFUNCTION("""COMPUTED_VALUE"""),"Commerce")</f>
        <v>Commerce</v>
      </c>
      <c r="H988" s="22" t="str">
        <f>IFERROR(__xludf.DUMMYFUNCTION("""COMPUTED_VALUE"""),"St
Dallas,")</f>
        <v>St
Dallas,</v>
      </c>
      <c r="I988" s="22" t="str">
        <f>IFERROR(__xludf.DUMMYFUNCTION("""COMPUTED_VALUE"""),"TX")</f>
        <v>TX</v>
      </c>
      <c r="J988" s="22">
        <f>IFERROR(__xludf.DUMMYFUNCTION("""COMPUTED_VALUE"""),75208.0)</f>
        <v>75208</v>
      </c>
      <c r="K988" s="22"/>
      <c r="L988" s="22"/>
      <c r="M988" s="22"/>
      <c r="N988" s="22"/>
      <c r="O988" s="22"/>
      <c r="P988" s="22"/>
      <c r="Q988" s="22"/>
      <c r="R988" s="22"/>
      <c r="S988" s="22"/>
      <c r="T988" s="22"/>
      <c r="U988" s="24" t="str">
        <f>IFERROR(__xludf.DUMMYFUNCTION("SPLIT(E988,""01234567890"")"),"Jesuorobo
")</f>
        <v>Jesuorobo
</v>
      </c>
      <c r="V988" s="24" t="str">
        <f>IFERROR(__xludf.DUMMYFUNCTION("SPLIT(D988,"","")"),"Enobakhare")</f>
        <v>Enobakhare</v>
      </c>
      <c r="W988" s="25" t="str">
        <f t="shared" si="1"/>
        <v>JESUOROBO
 ENOBAKHARE</v>
      </c>
      <c r="X988" s="22"/>
      <c r="Y988" s="22"/>
      <c r="Z988" s="25" t="str">
        <f>IFERROR(__xludf.DUMMYFUNCTION("SPLIT(C988,""
"")"),"Enobakhare, Jesuorobo")</f>
        <v>Enobakhare, Jesuorobo</v>
      </c>
      <c r="AA988" s="22" t="str">
        <f>IFERROR(__xludf.DUMMYFUNCTION("""COMPUTED_VALUE"""),"305 W Commerce St")</f>
        <v>305 W Commerce St</v>
      </c>
      <c r="AB988" s="22" t="str">
        <f>IFERROR(__xludf.DUMMYFUNCTION("""COMPUTED_VALUE"""),"Dallas, TX 75208")</f>
        <v>Dallas, TX 75208</v>
      </c>
      <c r="AC988" s="31" t="s">
        <v>2345</v>
      </c>
      <c r="AD988" s="22"/>
      <c r="AE988" s="22"/>
      <c r="AF988" s="22"/>
      <c r="AG988" s="22" t="s">
        <v>60</v>
      </c>
      <c r="AH988" s="54">
        <v>2481.0</v>
      </c>
      <c r="AI988" s="22" t="s">
        <v>68</v>
      </c>
      <c r="AJ988" s="27">
        <v>100.0</v>
      </c>
      <c r="AK988" s="31" t="s">
        <v>25</v>
      </c>
      <c r="AL988" s="28">
        <v>44841.0</v>
      </c>
      <c r="AM988" s="29">
        <v>44937.81995370371</v>
      </c>
      <c r="AN988" s="30">
        <v>2.0</v>
      </c>
      <c r="AO988" s="22"/>
      <c r="AP988" s="22"/>
      <c r="AQ988" s="22"/>
      <c r="AR988" s="22"/>
      <c r="AS988" s="22"/>
      <c r="AT988" s="70"/>
      <c r="AU988" s="22"/>
      <c r="AV988" s="57"/>
      <c r="AW988" s="57"/>
      <c r="AX988" s="47"/>
      <c r="AY988" s="29"/>
      <c r="AZ988" s="30"/>
      <c r="CU988" s="55"/>
      <c r="CV988" s="55"/>
      <c r="CW988" s="55"/>
      <c r="CX988" s="55"/>
      <c r="CY988" s="55"/>
      <c r="CZ988" s="55"/>
      <c r="DA988" s="82"/>
      <c r="DB988" s="55"/>
      <c r="DC988" s="55"/>
      <c r="DD988" s="55"/>
      <c r="DE988" s="55"/>
      <c r="DF988" s="55"/>
      <c r="DG988" s="55"/>
      <c r="DH988" s="55"/>
      <c r="DI988" s="55"/>
      <c r="DJ988" s="55"/>
      <c r="DK988" s="55"/>
      <c r="DL988" s="55"/>
      <c r="DM988" s="55"/>
      <c r="DN988" s="55"/>
      <c r="DO988" s="55"/>
      <c r="DP988" s="55"/>
      <c r="DQ988" s="55"/>
      <c r="DR988" s="55"/>
      <c r="DS988" s="55"/>
      <c r="DT988" s="55"/>
      <c r="DU988" s="55"/>
      <c r="DV988" s="55"/>
      <c r="DW988" s="55"/>
    </row>
    <row r="989">
      <c r="A989" s="40" t="s">
        <v>55</v>
      </c>
      <c r="B989" s="41" t="s">
        <v>56</v>
      </c>
      <c r="C989" s="31" t="s">
        <v>2346</v>
      </c>
      <c r="D989" s="25" t="str">
        <f>IFERROR(__xludf.DUMMYFUNCTION("SPLIT(C989,"" "")"),"McDougal,")</f>
        <v>McDougal,</v>
      </c>
      <c r="E989" s="40" t="str">
        <f>IFERROR(__xludf.DUMMYFUNCTION("""COMPUTED_VALUE"""),"Matthew
4001")</f>
        <v>Matthew
4001</v>
      </c>
      <c r="F989" s="40" t="str">
        <f>IFERROR(__xludf.DUMMYFUNCTION("""COMPUTED_VALUE"""),"Ross")</f>
        <v>Ross</v>
      </c>
      <c r="G989" s="40" t="str">
        <f>IFERROR(__xludf.DUMMYFUNCTION("""COMPUTED_VALUE"""),"Ave
Dallas,")</f>
        <v>Ave
Dallas,</v>
      </c>
      <c r="H989" s="40" t="str">
        <f>IFERROR(__xludf.DUMMYFUNCTION("""COMPUTED_VALUE"""),"TX")</f>
        <v>TX</v>
      </c>
      <c r="I989" s="40">
        <f>IFERROR(__xludf.DUMMYFUNCTION("""COMPUTED_VALUE"""),75205.0)</f>
        <v>75205</v>
      </c>
      <c r="J989" s="40"/>
      <c r="K989" s="40"/>
      <c r="L989" s="40"/>
      <c r="M989" s="40"/>
      <c r="N989" s="40"/>
      <c r="O989" s="40"/>
      <c r="P989" s="40"/>
      <c r="Q989" s="40"/>
      <c r="R989" s="40"/>
      <c r="S989" s="40"/>
      <c r="T989" s="40"/>
      <c r="U989" s="24" t="str">
        <f>IFERROR(__xludf.DUMMYFUNCTION("SPLIT(E989,""01234567890"")"),"Matthew
")</f>
        <v>Matthew
</v>
      </c>
      <c r="V989" s="24" t="str">
        <f>IFERROR(__xludf.DUMMYFUNCTION("SPLIT(D989,"","")"),"McDougal")</f>
        <v>McDougal</v>
      </c>
      <c r="W989" s="25" t="str">
        <f t="shared" si="1"/>
        <v>MATTHEW
 MCDOUGAL</v>
      </c>
      <c r="X989" s="40"/>
      <c r="Y989" s="40"/>
      <c r="Z989" s="25" t="str">
        <f>IFERROR(__xludf.DUMMYFUNCTION("SPLIT(C989,""
"")"),"McDougal, Matthew")</f>
        <v>McDougal, Matthew</v>
      </c>
      <c r="AA989" s="40" t="str">
        <f>IFERROR(__xludf.DUMMYFUNCTION("""COMPUTED_VALUE"""),"4001 Ross Ave")</f>
        <v>4001 Ross Ave</v>
      </c>
      <c r="AB989" s="40" t="str">
        <f>IFERROR(__xludf.DUMMYFUNCTION("""COMPUTED_VALUE"""),"Dallas, TX 75205")</f>
        <v>Dallas, TX 75205</v>
      </c>
      <c r="AC989" s="31" t="s">
        <v>885</v>
      </c>
      <c r="AD989" s="40"/>
      <c r="AE989" s="40"/>
      <c r="AF989" s="40"/>
      <c r="AG989" s="40" t="s">
        <v>60</v>
      </c>
      <c r="AH989" s="42">
        <v>2481.0</v>
      </c>
      <c r="AI989" s="40" t="s">
        <v>68</v>
      </c>
      <c r="AJ989" s="27">
        <v>100.0</v>
      </c>
      <c r="AK989" s="31" t="s">
        <v>25</v>
      </c>
      <c r="AL989" s="43">
        <v>44841.0</v>
      </c>
      <c r="AM989" s="44">
        <v>44937.81995370371</v>
      </c>
      <c r="AN989" s="30">
        <v>2.0</v>
      </c>
      <c r="AO989" s="40"/>
      <c r="AP989" s="40"/>
      <c r="AQ989" s="40"/>
      <c r="AR989" s="40"/>
      <c r="AS989" s="40"/>
      <c r="AT989" s="47"/>
      <c r="AU989" s="40"/>
      <c r="AV989" s="46"/>
      <c r="AW989" s="46"/>
      <c r="AX989" s="47"/>
      <c r="AY989" s="44"/>
      <c r="AZ989" s="30"/>
      <c r="CU989" s="55"/>
      <c r="CV989" s="55"/>
      <c r="CW989" s="55"/>
      <c r="CX989" s="55"/>
      <c r="CY989" s="55"/>
      <c r="CZ989" s="55"/>
      <c r="DA989" s="82"/>
      <c r="DB989" s="55"/>
      <c r="DC989" s="55"/>
      <c r="DD989" s="55"/>
      <c r="DE989" s="55"/>
      <c r="DF989" s="55"/>
      <c r="DG989" s="55"/>
      <c r="DH989" s="55"/>
      <c r="DI989" s="55"/>
      <c r="DJ989" s="55"/>
      <c r="DK989" s="55"/>
      <c r="DL989" s="55"/>
      <c r="DM989" s="55"/>
      <c r="DN989" s="55"/>
      <c r="DO989" s="55"/>
      <c r="DP989" s="55"/>
      <c r="DQ989" s="55"/>
      <c r="DR989" s="55"/>
      <c r="DS989" s="55"/>
      <c r="DT989" s="55"/>
      <c r="DU989" s="55"/>
      <c r="DV989" s="55"/>
      <c r="DW989" s="55"/>
    </row>
    <row r="990">
      <c r="A990" s="22" t="s">
        <v>55</v>
      </c>
      <c r="B990" s="23" t="s">
        <v>56</v>
      </c>
      <c r="C990" s="31" t="s">
        <v>2347</v>
      </c>
      <c r="D990" s="25" t="str">
        <f>IFERROR(__xludf.DUMMYFUNCTION("SPLIT(C990,"" "")"),"Matthews,")</f>
        <v>Matthews,</v>
      </c>
      <c r="E990" s="22" t="str">
        <f>IFERROR(__xludf.DUMMYFUNCTION("""COMPUTED_VALUE"""),"Jack
120")</f>
        <v>Jack
120</v>
      </c>
      <c r="F990" s="22" t="str">
        <f>IFERROR(__xludf.DUMMYFUNCTION("""COMPUTED_VALUE"""),"Winding")</f>
        <v>Winding</v>
      </c>
      <c r="G990" s="22" t="str">
        <f>IFERROR(__xludf.DUMMYFUNCTION("""COMPUTED_VALUE"""),"Creek")</f>
        <v>Creek</v>
      </c>
      <c r="H990" s="22" t="str">
        <f>IFERROR(__xludf.DUMMYFUNCTION("""COMPUTED_VALUE"""),"Way
Argyle,")</f>
        <v>Way
Argyle,</v>
      </c>
      <c r="I990" s="22" t="str">
        <f>IFERROR(__xludf.DUMMYFUNCTION("""COMPUTED_VALUE"""),"TX")</f>
        <v>TX</v>
      </c>
      <c r="J990" s="22">
        <f>IFERROR(__xludf.DUMMYFUNCTION("""COMPUTED_VALUE"""),76226.0)</f>
        <v>76226</v>
      </c>
      <c r="K990" s="22"/>
      <c r="L990" s="22"/>
      <c r="M990" s="22"/>
      <c r="N990" s="22"/>
      <c r="O990" s="22"/>
      <c r="P990" s="22"/>
      <c r="Q990" s="22"/>
      <c r="R990" s="22"/>
      <c r="S990" s="22"/>
      <c r="T990" s="22"/>
      <c r="U990" s="24" t="str">
        <f>IFERROR(__xludf.DUMMYFUNCTION("SPLIT(E990,""01234567890"")"),"Jack
")</f>
        <v>Jack
</v>
      </c>
      <c r="V990" s="24" t="str">
        <f>IFERROR(__xludf.DUMMYFUNCTION("SPLIT(D990,"","")"),"Matthews")</f>
        <v>Matthews</v>
      </c>
      <c r="W990" s="25" t="str">
        <f t="shared" si="1"/>
        <v>JACK
 MATTHEWS</v>
      </c>
      <c r="X990" s="22"/>
      <c r="Y990" s="22"/>
      <c r="Z990" s="25" t="str">
        <f>IFERROR(__xludf.DUMMYFUNCTION("SPLIT(C990,""
"")"),"Matthews, Jack")</f>
        <v>Matthews, Jack</v>
      </c>
      <c r="AA990" s="22" t="str">
        <f>IFERROR(__xludf.DUMMYFUNCTION("""COMPUTED_VALUE"""),"120 Winding Creek Way")</f>
        <v>120 Winding Creek Way</v>
      </c>
      <c r="AB990" s="22" t="str">
        <f>IFERROR(__xludf.DUMMYFUNCTION("""COMPUTED_VALUE"""),"Argyle, TX 76226")</f>
        <v>Argyle, TX 76226</v>
      </c>
      <c r="AC990" s="31" t="s">
        <v>2348</v>
      </c>
      <c r="AD990" s="22"/>
      <c r="AE990" s="22"/>
      <c r="AF990" s="22"/>
      <c r="AG990" s="22" t="s">
        <v>60</v>
      </c>
      <c r="AH990" s="54">
        <v>2481.0</v>
      </c>
      <c r="AI990" s="22" t="s">
        <v>68</v>
      </c>
      <c r="AJ990" s="27">
        <v>5000.0</v>
      </c>
      <c r="AK990" s="31" t="s">
        <v>25</v>
      </c>
      <c r="AL990" s="28">
        <v>44841.0</v>
      </c>
      <c r="AM990" s="29">
        <v>44937.81995370371</v>
      </c>
      <c r="AN990" s="30">
        <v>2.0</v>
      </c>
      <c r="AO990" s="22"/>
      <c r="AP990" s="22"/>
      <c r="AQ990" s="22"/>
      <c r="AR990" s="22"/>
      <c r="AS990" s="22"/>
      <c r="AT990" s="70"/>
      <c r="AU990" s="22"/>
      <c r="AV990" s="57"/>
      <c r="AW990" s="57"/>
      <c r="AX990" s="47"/>
      <c r="AY990" s="29"/>
      <c r="AZ990" s="30"/>
      <c r="CU990" s="55"/>
      <c r="CV990" s="55"/>
      <c r="CW990" s="55"/>
      <c r="CX990" s="55"/>
      <c r="CY990" s="55"/>
      <c r="CZ990" s="55"/>
      <c r="DA990" s="82"/>
      <c r="DB990" s="55"/>
      <c r="DC990" s="55"/>
      <c r="DD990" s="55"/>
      <c r="DE990" s="55"/>
      <c r="DF990" s="55"/>
      <c r="DG990" s="55"/>
      <c r="DH990" s="55"/>
      <c r="DI990" s="55"/>
      <c r="DJ990" s="55"/>
      <c r="DK990" s="55"/>
      <c r="DL990" s="55"/>
      <c r="DM990" s="55"/>
      <c r="DN990" s="55"/>
      <c r="DO990" s="55"/>
      <c r="DP990" s="55"/>
      <c r="DQ990" s="55"/>
      <c r="DR990" s="55"/>
      <c r="DS990" s="55"/>
      <c r="DT990" s="55"/>
      <c r="DU990" s="55"/>
      <c r="DV990" s="55"/>
      <c r="DW990" s="55"/>
    </row>
    <row r="991">
      <c r="A991" s="40" t="s">
        <v>55</v>
      </c>
      <c r="B991" s="41" t="s">
        <v>56</v>
      </c>
      <c r="C991" s="31" t="s">
        <v>2349</v>
      </c>
      <c r="D991" s="25" t="str">
        <f>IFERROR(__xludf.DUMMYFUNCTION("SPLIT(C991,"" "")"),"Lashlee,")</f>
        <v>Lashlee,</v>
      </c>
      <c r="E991" s="40" t="str">
        <f>IFERROR(__xludf.DUMMYFUNCTION("""COMPUTED_VALUE"""),"Rhett
3500")</f>
        <v>Rhett
3500</v>
      </c>
      <c r="F991" s="40" t="str">
        <f>IFERROR(__xludf.DUMMYFUNCTION("""COMPUTED_VALUE"""),"Villanova")</f>
        <v>Villanova</v>
      </c>
      <c r="G991" s="40" t="str">
        <f>IFERROR(__xludf.DUMMYFUNCTION("""COMPUTED_VALUE"""),"St
Dallas,")</f>
        <v>St
Dallas,</v>
      </c>
      <c r="H991" s="40" t="str">
        <f>IFERROR(__xludf.DUMMYFUNCTION("""COMPUTED_VALUE"""),"TX")</f>
        <v>TX</v>
      </c>
      <c r="I991" s="40">
        <f>IFERROR(__xludf.DUMMYFUNCTION("""COMPUTED_VALUE"""),75225.0)</f>
        <v>75225</v>
      </c>
      <c r="J991" s="40"/>
      <c r="K991" s="40"/>
      <c r="L991" s="40"/>
      <c r="M991" s="40"/>
      <c r="N991" s="40"/>
      <c r="O991" s="40"/>
      <c r="P991" s="40"/>
      <c r="Q991" s="40"/>
      <c r="R991" s="40"/>
      <c r="S991" s="40"/>
      <c r="T991" s="40"/>
      <c r="U991" s="24" t="str">
        <f>IFERROR(__xludf.DUMMYFUNCTION("SPLIT(E991,""01234567890"")"),"Rhett
")</f>
        <v>Rhett
</v>
      </c>
      <c r="V991" s="24" t="str">
        <f>IFERROR(__xludf.DUMMYFUNCTION("SPLIT(D991,"","")"),"Lashlee")</f>
        <v>Lashlee</v>
      </c>
      <c r="W991" s="25" t="str">
        <f t="shared" si="1"/>
        <v>RHETT
 LASHLEE</v>
      </c>
      <c r="X991" s="40"/>
      <c r="Y991" s="40"/>
      <c r="Z991" s="25" t="str">
        <f>IFERROR(__xludf.DUMMYFUNCTION("SPLIT(C991,""
"")"),"Lashlee, Rhett")</f>
        <v>Lashlee, Rhett</v>
      </c>
      <c r="AA991" s="40" t="str">
        <f>IFERROR(__xludf.DUMMYFUNCTION("""COMPUTED_VALUE"""),"3500 Villanova St")</f>
        <v>3500 Villanova St</v>
      </c>
      <c r="AB991" s="40" t="str">
        <f>IFERROR(__xludf.DUMMYFUNCTION("""COMPUTED_VALUE"""),"Dallas, TX 75225")</f>
        <v>Dallas, TX 75225</v>
      </c>
      <c r="AC991" s="31" t="s">
        <v>912</v>
      </c>
      <c r="AD991" s="40"/>
      <c r="AE991" s="40"/>
      <c r="AF991" s="40"/>
      <c r="AG991" s="40" t="s">
        <v>60</v>
      </c>
      <c r="AH991" s="42">
        <v>2481.0</v>
      </c>
      <c r="AI991" s="40" t="s">
        <v>68</v>
      </c>
      <c r="AJ991" s="27">
        <v>500.0</v>
      </c>
      <c r="AK991" s="31" t="s">
        <v>25</v>
      </c>
      <c r="AL991" s="43">
        <v>44841.0</v>
      </c>
      <c r="AM991" s="44">
        <v>44937.81995370371</v>
      </c>
      <c r="AN991" s="30">
        <v>2.0</v>
      </c>
      <c r="AO991" s="40"/>
      <c r="AP991" s="40"/>
      <c r="AQ991" s="40"/>
      <c r="AR991" s="40"/>
      <c r="AS991" s="40"/>
      <c r="AT991" s="47"/>
      <c r="AU991" s="40"/>
      <c r="AV991" s="46"/>
      <c r="AW991" s="46"/>
      <c r="AX991" s="47"/>
      <c r="AY991" s="44"/>
      <c r="AZ991" s="30"/>
      <c r="CU991" s="55"/>
      <c r="CV991" s="55"/>
      <c r="CW991" s="55"/>
      <c r="CX991" s="55"/>
      <c r="CY991" s="55"/>
      <c r="CZ991" s="55"/>
      <c r="DA991" s="82"/>
      <c r="DB991" s="55"/>
      <c r="DC991" s="55"/>
      <c r="DD991" s="55"/>
      <c r="DE991" s="55"/>
      <c r="DF991" s="55"/>
      <c r="DG991" s="55"/>
      <c r="DH991" s="55"/>
      <c r="DI991" s="55"/>
      <c r="DJ991" s="55"/>
      <c r="DK991" s="55"/>
      <c r="DL991" s="55"/>
      <c r="DM991" s="55"/>
      <c r="DN991" s="55"/>
      <c r="DO991" s="55"/>
      <c r="DP991" s="55"/>
      <c r="DQ991" s="55"/>
      <c r="DR991" s="55"/>
      <c r="DS991" s="55"/>
      <c r="DT991" s="55"/>
      <c r="DU991" s="55"/>
      <c r="DV991" s="55"/>
      <c r="DW991" s="55"/>
    </row>
    <row r="992">
      <c r="A992" s="22" t="s">
        <v>55</v>
      </c>
      <c r="B992" s="23" t="s">
        <v>56</v>
      </c>
      <c r="C992" s="31" t="s">
        <v>2350</v>
      </c>
      <c r="D992" s="25" t="str">
        <f>IFERROR(__xludf.DUMMYFUNCTION("SPLIT(C992,"" "")"),"Christian,")</f>
        <v>Christian,</v>
      </c>
      <c r="E992" s="22" t="str">
        <f>IFERROR(__xludf.DUMMYFUNCTION("""COMPUTED_VALUE"""),"Doretha
8112")</f>
        <v>Doretha
8112</v>
      </c>
      <c r="F992" s="22" t="str">
        <f>IFERROR(__xludf.DUMMYFUNCTION("""COMPUTED_VALUE"""),"Fox")</f>
        <v>Fox</v>
      </c>
      <c r="G992" s="22" t="str">
        <f>IFERROR(__xludf.DUMMYFUNCTION("""COMPUTED_VALUE"""),"Creek")</f>
        <v>Creek</v>
      </c>
      <c r="H992" s="22" t="str">
        <f>IFERROR(__xludf.DUMMYFUNCTION("""COMPUTED_VALUE"""),"Trail
Dallas,")</f>
        <v>Trail
Dallas,</v>
      </c>
      <c r="I992" s="22" t="str">
        <f>IFERROR(__xludf.DUMMYFUNCTION("""COMPUTED_VALUE"""),"TX")</f>
        <v>TX</v>
      </c>
      <c r="J992" s="22">
        <f>IFERROR(__xludf.DUMMYFUNCTION("""COMPUTED_VALUE"""),75249.0)</f>
        <v>75249</v>
      </c>
      <c r="K992" s="22"/>
      <c r="L992" s="22"/>
      <c r="M992" s="22"/>
      <c r="N992" s="22"/>
      <c r="O992" s="22"/>
      <c r="P992" s="22"/>
      <c r="Q992" s="22"/>
      <c r="R992" s="22"/>
      <c r="S992" s="22"/>
      <c r="T992" s="22"/>
      <c r="U992" s="24" t="str">
        <f>IFERROR(__xludf.DUMMYFUNCTION("SPLIT(E992,""01234567890"")"),"Doretha
")</f>
        <v>Doretha
</v>
      </c>
      <c r="V992" s="24" t="str">
        <f>IFERROR(__xludf.DUMMYFUNCTION("SPLIT(D992,"","")"),"Christian")</f>
        <v>Christian</v>
      </c>
      <c r="W992" s="25" t="str">
        <f t="shared" si="1"/>
        <v>DORETHA
 CHRISTIAN</v>
      </c>
      <c r="X992" s="22"/>
      <c r="Y992" s="22"/>
      <c r="Z992" s="25" t="str">
        <f>IFERROR(__xludf.DUMMYFUNCTION("SPLIT(C992,""
"")"),"Christian, Doretha")</f>
        <v>Christian, Doretha</v>
      </c>
      <c r="AA992" s="22" t="str">
        <f>IFERROR(__xludf.DUMMYFUNCTION("""COMPUTED_VALUE"""),"8112 Fox Creek Trail")</f>
        <v>8112 Fox Creek Trail</v>
      </c>
      <c r="AB992" s="22" t="str">
        <f>IFERROR(__xludf.DUMMYFUNCTION("""COMPUTED_VALUE"""),"Dallas, TX 75249")</f>
        <v>Dallas, TX 75249</v>
      </c>
      <c r="AC992" s="31" t="s">
        <v>2351</v>
      </c>
      <c r="AD992" s="22"/>
      <c r="AE992" s="22"/>
      <c r="AF992" s="22"/>
      <c r="AG992" s="22" t="s">
        <v>60</v>
      </c>
      <c r="AH992" s="54">
        <v>2481.0</v>
      </c>
      <c r="AI992" s="22" t="s">
        <v>68</v>
      </c>
      <c r="AJ992" s="27">
        <v>50.0</v>
      </c>
      <c r="AK992" s="31" t="s">
        <v>25</v>
      </c>
      <c r="AL992" s="28">
        <v>44841.0</v>
      </c>
      <c r="AM992" s="29">
        <v>44937.81995370371</v>
      </c>
      <c r="AN992" s="30">
        <v>2.0</v>
      </c>
      <c r="AO992" s="22"/>
      <c r="AP992" s="22"/>
      <c r="AQ992" s="22"/>
      <c r="AR992" s="22"/>
      <c r="AS992" s="22"/>
      <c r="AT992" s="70"/>
      <c r="AU992" s="22"/>
      <c r="AV992" s="57"/>
      <c r="AW992" s="57"/>
      <c r="AX992" s="47"/>
      <c r="AY992" s="29"/>
      <c r="AZ992" s="30"/>
      <c r="CU992" s="55"/>
      <c r="CV992" s="55"/>
      <c r="CW992" s="55"/>
      <c r="CX992" s="55"/>
      <c r="CY992" s="55"/>
      <c r="CZ992" s="55"/>
      <c r="DA992" s="82"/>
      <c r="DB992" s="55"/>
      <c r="DC992" s="55"/>
      <c r="DD992" s="55"/>
      <c r="DE992" s="55"/>
      <c r="DF992" s="55"/>
      <c r="DG992" s="55"/>
      <c r="DH992" s="55"/>
      <c r="DI992" s="55"/>
      <c r="DJ992" s="55"/>
      <c r="DK992" s="55"/>
      <c r="DL992" s="55"/>
      <c r="DM992" s="55"/>
      <c r="DN992" s="55"/>
      <c r="DO992" s="55"/>
      <c r="DP992" s="55"/>
      <c r="DQ992" s="55"/>
      <c r="DR992" s="55"/>
      <c r="DS992" s="55"/>
      <c r="DT992" s="55"/>
      <c r="DU992" s="55"/>
      <c r="DV992" s="55"/>
      <c r="DW992" s="55"/>
    </row>
    <row r="993">
      <c r="A993" s="40" t="s">
        <v>55</v>
      </c>
      <c r="B993" s="41" t="s">
        <v>56</v>
      </c>
      <c r="C993" s="31" t="s">
        <v>2352</v>
      </c>
      <c r="D993" s="25" t="str">
        <f>IFERROR(__xludf.DUMMYFUNCTION("SPLIT(C993,"" "")"),"Cabrales,")</f>
        <v>Cabrales,</v>
      </c>
      <c r="E993" s="40" t="str">
        <f>IFERROR(__xludf.DUMMYFUNCTION("""COMPUTED_VALUE"""),"David
2021")</f>
        <v>David
2021</v>
      </c>
      <c r="F993" s="40" t="str">
        <f>IFERROR(__xludf.DUMMYFUNCTION("""COMPUTED_VALUE"""),"McKinney")</f>
        <v>McKinney</v>
      </c>
      <c r="G993" s="40" t="str">
        <f>IFERROR(__xludf.DUMMYFUNCTION("""COMPUTED_VALUE"""),"Ave
Dallas,")</f>
        <v>Ave
Dallas,</v>
      </c>
      <c r="H993" s="40" t="str">
        <f>IFERROR(__xludf.DUMMYFUNCTION("""COMPUTED_VALUE"""),"TX")</f>
        <v>TX</v>
      </c>
      <c r="I993" s="40">
        <f>IFERROR(__xludf.DUMMYFUNCTION("""COMPUTED_VALUE"""),75201.0)</f>
        <v>75201</v>
      </c>
      <c r="J993" s="40"/>
      <c r="K993" s="40"/>
      <c r="L993" s="40"/>
      <c r="M993" s="40"/>
      <c r="N993" s="40"/>
      <c r="O993" s="40"/>
      <c r="P993" s="40"/>
      <c r="Q993" s="40"/>
      <c r="R993" s="40"/>
      <c r="S993" s="40"/>
      <c r="T993" s="40"/>
      <c r="U993" s="24" t="str">
        <f>IFERROR(__xludf.DUMMYFUNCTION("SPLIT(E993,""01234567890"")"),"David
")</f>
        <v>David
</v>
      </c>
      <c r="V993" s="24" t="str">
        <f>IFERROR(__xludf.DUMMYFUNCTION("SPLIT(D993,"","")"),"Cabrales")</f>
        <v>Cabrales</v>
      </c>
      <c r="W993" s="25" t="str">
        <f t="shared" si="1"/>
        <v>DAVID
 CABRALES</v>
      </c>
      <c r="X993" s="40"/>
      <c r="Y993" s="40"/>
      <c r="Z993" s="25" t="str">
        <f>IFERROR(__xludf.DUMMYFUNCTION("SPLIT(C993,""
"")"),"Cabrales, David")</f>
        <v>Cabrales, David</v>
      </c>
      <c r="AA993" s="40" t="str">
        <f>IFERROR(__xludf.DUMMYFUNCTION("""COMPUTED_VALUE"""),"2021 McKinney Ave")</f>
        <v>2021 McKinney Ave</v>
      </c>
      <c r="AB993" s="40" t="str">
        <f>IFERROR(__xludf.DUMMYFUNCTION("""COMPUTED_VALUE"""),"Dallas, TX 75201")</f>
        <v>Dallas, TX 75201</v>
      </c>
      <c r="AC993" s="31" t="s">
        <v>2353</v>
      </c>
      <c r="AD993" s="40"/>
      <c r="AE993" s="40"/>
      <c r="AF993" s="40"/>
      <c r="AG993" s="40" t="s">
        <v>60</v>
      </c>
      <c r="AH993" s="42">
        <v>2481.0</v>
      </c>
      <c r="AI993" s="40" t="s">
        <v>68</v>
      </c>
      <c r="AJ993" s="27">
        <v>250.0</v>
      </c>
      <c r="AK993" s="31" t="s">
        <v>25</v>
      </c>
      <c r="AL993" s="43">
        <v>44841.0</v>
      </c>
      <c r="AM993" s="44">
        <v>44937.81995370371</v>
      </c>
      <c r="AN993" s="30">
        <v>2.0</v>
      </c>
      <c r="AO993" s="40"/>
      <c r="AP993" s="40"/>
      <c r="AQ993" s="40"/>
      <c r="AR993" s="40"/>
      <c r="AS993" s="40"/>
      <c r="AT993" s="47"/>
      <c r="AU993" s="40"/>
      <c r="AV993" s="46"/>
      <c r="AW993" s="46"/>
      <c r="AX993" s="47"/>
      <c r="AY993" s="44"/>
      <c r="AZ993" s="30"/>
      <c r="CU993" s="55"/>
      <c r="CV993" s="55"/>
      <c r="CW993" s="55"/>
      <c r="CX993" s="55"/>
      <c r="CY993" s="55"/>
      <c r="CZ993" s="55"/>
      <c r="DA993" s="82"/>
      <c r="DB993" s="55"/>
      <c r="DC993" s="55"/>
      <c r="DD993" s="55"/>
      <c r="DE993" s="55"/>
      <c r="DF993" s="55"/>
      <c r="DG993" s="55"/>
      <c r="DH993" s="55"/>
      <c r="DI993" s="55"/>
      <c r="DJ993" s="55"/>
      <c r="DK993" s="55"/>
      <c r="DL993" s="55"/>
      <c r="DM993" s="55"/>
      <c r="DN993" s="55"/>
      <c r="DO993" s="55"/>
      <c r="DP993" s="55"/>
      <c r="DQ993" s="55"/>
      <c r="DR993" s="55"/>
      <c r="DS993" s="55"/>
      <c r="DT993" s="55"/>
      <c r="DU993" s="55"/>
      <c r="DV993" s="55"/>
      <c r="DW993" s="55"/>
    </row>
    <row r="994">
      <c r="A994" s="22" t="s">
        <v>55</v>
      </c>
      <c r="B994" s="23" t="s">
        <v>56</v>
      </c>
      <c r="C994" s="31" t="s">
        <v>2354</v>
      </c>
      <c r="D994" s="25" t="str">
        <f>IFERROR(__xludf.DUMMYFUNCTION("SPLIT(C994,"" "")"),"Tsao,")</f>
        <v>Tsao,</v>
      </c>
      <c r="E994" s="22" t="str">
        <f>IFERROR(__xludf.DUMMYFUNCTION("""COMPUTED_VALUE"""),"William
6435")</f>
        <v>William
6435</v>
      </c>
      <c r="F994" s="22" t="str">
        <f>IFERROR(__xludf.DUMMYFUNCTION("""COMPUTED_VALUE"""),"Riverview")</f>
        <v>Riverview</v>
      </c>
      <c r="G994" s="22" t="str">
        <f>IFERROR(__xludf.DUMMYFUNCTION("""COMPUTED_VALUE"""),"Lane
Dallas,")</f>
        <v>Lane
Dallas,</v>
      </c>
      <c r="H994" s="22" t="str">
        <f>IFERROR(__xludf.DUMMYFUNCTION("""COMPUTED_VALUE"""),"TX")</f>
        <v>TX</v>
      </c>
      <c r="I994" s="22">
        <f>IFERROR(__xludf.DUMMYFUNCTION("""COMPUTED_VALUE"""),75252.0)</f>
        <v>75252</v>
      </c>
      <c r="J994" s="22"/>
      <c r="K994" s="22"/>
      <c r="L994" s="22"/>
      <c r="M994" s="22"/>
      <c r="N994" s="22"/>
      <c r="O994" s="22"/>
      <c r="P994" s="22"/>
      <c r="Q994" s="22"/>
      <c r="R994" s="22"/>
      <c r="S994" s="22"/>
      <c r="T994" s="22"/>
      <c r="U994" s="24" t="str">
        <f>IFERROR(__xludf.DUMMYFUNCTION("SPLIT(E994,""01234567890"")"),"William
")</f>
        <v>William
</v>
      </c>
      <c r="V994" s="24" t="str">
        <f>IFERROR(__xludf.DUMMYFUNCTION("SPLIT(D994,"","")"),"Tsao")</f>
        <v>Tsao</v>
      </c>
      <c r="W994" s="25" t="str">
        <f t="shared" si="1"/>
        <v>WILLIAM
 TSAO</v>
      </c>
      <c r="X994" s="22"/>
      <c r="Y994" s="22"/>
      <c r="Z994" s="25" t="str">
        <f>IFERROR(__xludf.DUMMYFUNCTION("SPLIT(C994,""
"")"),"Tsao, William")</f>
        <v>Tsao, William</v>
      </c>
      <c r="AA994" s="22" t="str">
        <f>IFERROR(__xludf.DUMMYFUNCTION("""COMPUTED_VALUE"""),"6435 Riverview Lane")</f>
        <v>6435 Riverview Lane</v>
      </c>
      <c r="AB994" s="22" t="str">
        <f>IFERROR(__xludf.DUMMYFUNCTION("""COMPUTED_VALUE"""),"Dallas, TX 75252")</f>
        <v>Dallas, TX 75252</v>
      </c>
      <c r="AC994" s="31" t="s">
        <v>2355</v>
      </c>
      <c r="AD994" s="22"/>
      <c r="AE994" s="22"/>
      <c r="AF994" s="22"/>
      <c r="AG994" s="22" t="s">
        <v>60</v>
      </c>
      <c r="AH994" s="54">
        <v>2481.0</v>
      </c>
      <c r="AI994" s="22" t="s">
        <v>68</v>
      </c>
      <c r="AJ994" s="27">
        <v>1500.0</v>
      </c>
      <c r="AK994" s="31" t="s">
        <v>25</v>
      </c>
      <c r="AL994" s="28">
        <v>44841.0</v>
      </c>
      <c r="AM994" s="29">
        <v>44937.81995370371</v>
      </c>
      <c r="AN994" s="30">
        <v>2.0</v>
      </c>
      <c r="AO994" s="22"/>
      <c r="AP994" s="22"/>
      <c r="AQ994" s="22"/>
      <c r="AR994" s="22"/>
      <c r="AS994" s="22"/>
      <c r="AT994" s="70"/>
      <c r="AU994" s="22"/>
      <c r="AV994" s="57"/>
      <c r="AW994" s="57"/>
      <c r="AX994" s="47"/>
      <c r="AY994" s="29"/>
      <c r="AZ994" s="30"/>
      <c r="CU994" s="55"/>
      <c r="CV994" s="55"/>
      <c r="CW994" s="55"/>
      <c r="CX994" s="55"/>
      <c r="CY994" s="55"/>
      <c r="CZ994" s="55"/>
      <c r="DA994" s="82"/>
      <c r="DB994" s="55"/>
      <c r="DC994" s="55"/>
      <c r="DD994" s="55"/>
      <c r="DE994" s="55"/>
      <c r="DF994" s="55"/>
      <c r="DG994" s="55"/>
      <c r="DH994" s="55"/>
      <c r="DI994" s="55"/>
      <c r="DJ994" s="55"/>
      <c r="DK994" s="55"/>
      <c r="DL994" s="55"/>
      <c r="DM994" s="55"/>
      <c r="DN994" s="55"/>
      <c r="DO994" s="55"/>
      <c r="DP994" s="55"/>
      <c r="DQ994" s="55"/>
      <c r="DR994" s="55"/>
      <c r="DS994" s="55"/>
      <c r="DT994" s="55"/>
      <c r="DU994" s="55"/>
      <c r="DV994" s="55"/>
      <c r="DW994" s="55"/>
    </row>
    <row r="995">
      <c r="A995" s="40" t="s">
        <v>55</v>
      </c>
      <c r="B995" s="41" t="s">
        <v>56</v>
      </c>
      <c r="C995" s="31" t="s">
        <v>2297</v>
      </c>
      <c r="D995" s="25" t="str">
        <f>IFERROR(__xludf.DUMMYFUNCTION("SPLIT(C995,"" "")"),"Starnes,")</f>
        <v>Starnes,</v>
      </c>
      <c r="E995" s="40" t="str">
        <f>IFERROR(__xludf.DUMMYFUNCTION("""COMPUTED_VALUE"""),"Darrell
11937")</f>
        <v>Darrell
11937</v>
      </c>
      <c r="F995" s="40" t="str">
        <f>IFERROR(__xludf.DUMMYFUNCTION("""COMPUTED_VALUE"""),"Denton")</f>
        <v>Denton</v>
      </c>
      <c r="G995" s="40" t="str">
        <f>IFERROR(__xludf.DUMMYFUNCTION("""COMPUTED_VALUE"""),"Dr
Dallas,")</f>
        <v>Dr
Dallas,</v>
      </c>
      <c r="H995" s="40" t="str">
        <f>IFERROR(__xludf.DUMMYFUNCTION("""COMPUTED_VALUE"""),"TX")</f>
        <v>TX</v>
      </c>
      <c r="I995" s="40">
        <f>IFERROR(__xludf.DUMMYFUNCTION("""COMPUTED_VALUE"""),75234.0)</f>
        <v>75234</v>
      </c>
      <c r="J995" s="40"/>
      <c r="K995" s="40"/>
      <c r="L995" s="40"/>
      <c r="M995" s="40"/>
      <c r="N995" s="40"/>
      <c r="O995" s="40"/>
      <c r="P995" s="40"/>
      <c r="Q995" s="40"/>
      <c r="R995" s="40"/>
      <c r="S995" s="40"/>
      <c r="T995" s="40"/>
      <c r="U995" s="24" t="str">
        <f>IFERROR(__xludf.DUMMYFUNCTION("SPLIT(E995,""01234567890"")"),"Darrell
")</f>
        <v>Darrell
</v>
      </c>
      <c r="V995" s="24" t="str">
        <f>IFERROR(__xludf.DUMMYFUNCTION("SPLIT(D995,"","")"),"Starnes")</f>
        <v>Starnes</v>
      </c>
      <c r="W995" s="25" t="str">
        <f t="shared" si="1"/>
        <v>DARRELL
 STARNES</v>
      </c>
      <c r="X995" s="40"/>
      <c r="Y995" s="40"/>
      <c r="Z995" s="25" t="str">
        <f>IFERROR(__xludf.DUMMYFUNCTION("SPLIT(C995,""
"")"),"Starnes, Darrell")</f>
        <v>Starnes, Darrell</v>
      </c>
      <c r="AA995" s="40" t="str">
        <f>IFERROR(__xludf.DUMMYFUNCTION("""COMPUTED_VALUE"""),"11937 Denton Dr")</f>
        <v>11937 Denton Dr</v>
      </c>
      <c r="AB995" s="40" t="str">
        <f>IFERROR(__xludf.DUMMYFUNCTION("""COMPUTED_VALUE"""),"Dallas, TX 75234")</f>
        <v>Dallas, TX 75234</v>
      </c>
      <c r="AC995" s="31" t="s">
        <v>2298</v>
      </c>
      <c r="AD995" s="40"/>
      <c r="AE995" s="40"/>
      <c r="AF995" s="40"/>
      <c r="AG995" s="40" t="s">
        <v>60</v>
      </c>
      <c r="AH995" s="42">
        <v>2481.0</v>
      </c>
      <c r="AI995" s="40" t="s">
        <v>68</v>
      </c>
      <c r="AJ995" s="27">
        <v>500.0</v>
      </c>
      <c r="AK995" s="31" t="s">
        <v>25</v>
      </c>
      <c r="AL995" s="43">
        <v>44841.0</v>
      </c>
      <c r="AM995" s="44">
        <v>44937.81995370371</v>
      </c>
      <c r="AN995" s="30">
        <v>2.0</v>
      </c>
      <c r="AO995" s="40"/>
      <c r="AP995" s="40"/>
      <c r="AQ995" s="40"/>
      <c r="AR995" s="40"/>
      <c r="AS995" s="40"/>
      <c r="AT995" s="47"/>
      <c r="AU995" s="40"/>
      <c r="AV995" s="46"/>
      <c r="AW995" s="46"/>
      <c r="AX995" s="47"/>
      <c r="AY995" s="44"/>
      <c r="AZ995" s="30"/>
      <c r="CU995" s="55"/>
      <c r="CV995" s="55"/>
      <c r="CW995" s="55"/>
      <c r="CX995" s="55"/>
      <c r="CY995" s="55"/>
      <c r="CZ995" s="55"/>
      <c r="DA995" s="82"/>
      <c r="DB995" s="55"/>
      <c r="DC995" s="55"/>
      <c r="DD995" s="55"/>
      <c r="DE995" s="55"/>
      <c r="DF995" s="55"/>
      <c r="DG995" s="55"/>
      <c r="DH995" s="55"/>
      <c r="DI995" s="55"/>
      <c r="DJ995" s="55"/>
      <c r="DK995" s="55"/>
      <c r="DL995" s="55"/>
      <c r="DM995" s="55"/>
      <c r="DN995" s="55"/>
      <c r="DO995" s="55"/>
      <c r="DP995" s="55"/>
      <c r="DQ995" s="55"/>
      <c r="DR995" s="55"/>
      <c r="DS995" s="55"/>
      <c r="DT995" s="55"/>
      <c r="DU995" s="55"/>
      <c r="DV995" s="55"/>
      <c r="DW995" s="55"/>
    </row>
    <row r="996">
      <c r="A996" s="22" t="s">
        <v>55</v>
      </c>
      <c r="B996" s="23" t="s">
        <v>56</v>
      </c>
      <c r="C996" s="31" t="s">
        <v>118</v>
      </c>
      <c r="D996" s="25" t="str">
        <f>IFERROR(__xludf.DUMMYFUNCTION("SPLIT(C996,"" "")"),"Agarwal,")</f>
        <v>Agarwal,</v>
      </c>
      <c r="E996" s="22" t="str">
        <f>IFERROR(__xludf.DUMMYFUNCTION("""COMPUTED_VALUE"""),"Arun
123")</f>
        <v>Arun
123</v>
      </c>
      <c r="F996" s="22" t="str">
        <f>IFERROR(__xludf.DUMMYFUNCTION("""COMPUTED_VALUE"""),"Oak")</f>
        <v>Oak</v>
      </c>
      <c r="G996" s="22" t="str">
        <f>IFERROR(__xludf.DUMMYFUNCTION("""COMPUTED_VALUE"""),"Lawn")</f>
        <v>Lawn</v>
      </c>
      <c r="H996" s="22" t="str">
        <f>IFERROR(__xludf.DUMMYFUNCTION("""COMPUTED_VALUE"""),"Ave
Dallas,")</f>
        <v>Ave
Dallas,</v>
      </c>
      <c r="I996" s="22" t="str">
        <f>IFERROR(__xludf.DUMMYFUNCTION("""COMPUTED_VALUE"""),"TX")</f>
        <v>TX</v>
      </c>
      <c r="J996" s="22">
        <f>IFERROR(__xludf.DUMMYFUNCTION("""COMPUTED_VALUE"""),75207.0)</f>
        <v>75207</v>
      </c>
      <c r="K996" s="22"/>
      <c r="L996" s="22"/>
      <c r="M996" s="22"/>
      <c r="N996" s="22"/>
      <c r="O996" s="22"/>
      <c r="P996" s="22"/>
      <c r="Q996" s="22"/>
      <c r="R996" s="22"/>
      <c r="S996" s="22"/>
      <c r="T996" s="22"/>
      <c r="U996" s="24" t="str">
        <f>IFERROR(__xludf.DUMMYFUNCTION("SPLIT(E996,""01234567890"")"),"Arun
")</f>
        <v>Arun
</v>
      </c>
      <c r="V996" s="24" t="str">
        <f>IFERROR(__xludf.DUMMYFUNCTION("SPLIT(D996,"","")"),"Agarwal")</f>
        <v>Agarwal</v>
      </c>
      <c r="W996" s="25" t="str">
        <f t="shared" si="1"/>
        <v>ARUN
 AGARWAL</v>
      </c>
      <c r="X996" s="22"/>
      <c r="Y996" s="22"/>
      <c r="Z996" s="25" t="str">
        <f>IFERROR(__xludf.DUMMYFUNCTION("SPLIT(C996,""
"")"),"Agarwal, Arun")</f>
        <v>Agarwal, Arun</v>
      </c>
      <c r="AA996" s="22" t="str">
        <f>IFERROR(__xludf.DUMMYFUNCTION("""COMPUTED_VALUE"""),"123 Oak Lawn Ave")</f>
        <v>123 Oak Lawn Ave</v>
      </c>
      <c r="AB996" s="22" t="str">
        <f>IFERROR(__xludf.DUMMYFUNCTION("""COMPUTED_VALUE"""),"Dallas, TX 75207")</f>
        <v>Dallas, TX 75207</v>
      </c>
      <c r="AC996" s="31" t="s">
        <v>117</v>
      </c>
      <c r="AD996" s="22"/>
      <c r="AE996" s="22"/>
      <c r="AF996" s="22"/>
      <c r="AG996" s="22" t="s">
        <v>60</v>
      </c>
      <c r="AH996" s="54">
        <v>2481.0</v>
      </c>
      <c r="AI996" s="22" t="s">
        <v>68</v>
      </c>
      <c r="AJ996" s="27">
        <v>5000.0</v>
      </c>
      <c r="AK996" s="31" t="s">
        <v>25</v>
      </c>
      <c r="AL996" s="28">
        <v>44841.0</v>
      </c>
      <c r="AM996" s="29">
        <v>44937.81995370371</v>
      </c>
      <c r="AN996" s="30">
        <v>2.0</v>
      </c>
      <c r="AO996" s="22"/>
      <c r="AP996" s="22"/>
      <c r="AQ996" s="22"/>
      <c r="AR996" s="22"/>
      <c r="AS996" s="22"/>
      <c r="AT996" s="70"/>
      <c r="AU996" s="22"/>
      <c r="AV996" s="57"/>
      <c r="AW996" s="57"/>
      <c r="AX996" s="47"/>
      <c r="AY996" s="29"/>
      <c r="AZ996" s="30"/>
      <c r="CU996" s="55"/>
      <c r="CV996" s="55"/>
      <c r="CW996" s="55"/>
      <c r="CX996" s="55"/>
      <c r="CY996" s="55"/>
      <c r="CZ996" s="55"/>
      <c r="DA996" s="82"/>
      <c r="DB996" s="55"/>
      <c r="DC996" s="55"/>
      <c r="DD996" s="55"/>
      <c r="DE996" s="55"/>
      <c r="DF996" s="55"/>
      <c r="DG996" s="55"/>
      <c r="DH996" s="55"/>
      <c r="DI996" s="55"/>
      <c r="DJ996" s="55"/>
      <c r="DK996" s="55"/>
      <c r="DL996" s="55"/>
      <c r="DM996" s="55"/>
      <c r="DN996" s="55"/>
      <c r="DO996" s="55"/>
      <c r="DP996" s="55"/>
      <c r="DQ996" s="55"/>
      <c r="DR996" s="55"/>
      <c r="DS996" s="55"/>
      <c r="DT996" s="55"/>
      <c r="DU996" s="55"/>
      <c r="DV996" s="55"/>
      <c r="DW996" s="55"/>
    </row>
    <row r="997">
      <c r="A997" s="40" t="s">
        <v>55</v>
      </c>
      <c r="B997" s="41" t="s">
        <v>56</v>
      </c>
      <c r="C997" s="31" t="s">
        <v>2356</v>
      </c>
      <c r="D997" s="25" t="str">
        <f>IFERROR(__xludf.DUMMYFUNCTION("SPLIT(C997,"" "")"),"Odom,")</f>
        <v>Odom,</v>
      </c>
      <c r="E997" s="40" t="str">
        <f>IFERROR(__xludf.DUMMYFUNCTION("""COMPUTED_VALUE"""),"Anita
1708")</f>
        <v>Anita
1708</v>
      </c>
      <c r="F997" s="40" t="str">
        <f>IFERROR(__xludf.DUMMYFUNCTION("""COMPUTED_VALUE"""),"Richlen
Dallas,")</f>
        <v>Richlen
Dallas,</v>
      </c>
      <c r="G997" s="40" t="str">
        <f>IFERROR(__xludf.DUMMYFUNCTION("""COMPUTED_VALUE"""),"TX")</f>
        <v>TX</v>
      </c>
      <c r="H997" s="40">
        <f>IFERROR(__xludf.DUMMYFUNCTION("""COMPUTED_VALUE"""),75115.0)</f>
        <v>75115</v>
      </c>
      <c r="I997" s="40"/>
      <c r="J997" s="40"/>
      <c r="K997" s="40"/>
      <c r="L997" s="40"/>
      <c r="M997" s="40"/>
      <c r="N997" s="40"/>
      <c r="O997" s="40"/>
      <c r="P997" s="40"/>
      <c r="Q997" s="40"/>
      <c r="R997" s="40"/>
      <c r="S997" s="40"/>
      <c r="T997" s="40"/>
      <c r="U997" s="24" t="str">
        <f>IFERROR(__xludf.DUMMYFUNCTION("SPLIT(E997,""01234567890"")"),"Anita
")</f>
        <v>Anita
</v>
      </c>
      <c r="V997" s="24" t="str">
        <f>IFERROR(__xludf.DUMMYFUNCTION("SPLIT(D997,"","")"),"Odom")</f>
        <v>Odom</v>
      </c>
      <c r="W997" s="25" t="str">
        <f t="shared" si="1"/>
        <v>ANITA
 ODOM</v>
      </c>
      <c r="X997" s="40"/>
      <c r="Y997" s="40"/>
      <c r="Z997" s="25" t="str">
        <f>IFERROR(__xludf.DUMMYFUNCTION("SPLIT(C997,""
"")"),"Odom, Anita")</f>
        <v>Odom, Anita</v>
      </c>
      <c r="AA997" s="40" t="str">
        <f>IFERROR(__xludf.DUMMYFUNCTION("""COMPUTED_VALUE"""),"1708 Richlen")</f>
        <v>1708 Richlen</v>
      </c>
      <c r="AB997" s="40" t="str">
        <f>IFERROR(__xludf.DUMMYFUNCTION("""COMPUTED_VALUE"""),"Dallas, TX 75115")</f>
        <v>Dallas, TX 75115</v>
      </c>
      <c r="AC997" s="31" t="s">
        <v>2357</v>
      </c>
      <c r="AD997" s="40"/>
      <c r="AE997" s="40"/>
      <c r="AF997" s="40"/>
      <c r="AG997" s="40" t="s">
        <v>60</v>
      </c>
      <c r="AH997" s="42">
        <v>2481.0</v>
      </c>
      <c r="AI997" s="40" t="s">
        <v>68</v>
      </c>
      <c r="AJ997" s="27">
        <v>100.0</v>
      </c>
      <c r="AK997" s="31" t="s">
        <v>25</v>
      </c>
      <c r="AL997" s="43">
        <v>44841.0</v>
      </c>
      <c r="AM997" s="44">
        <v>44937.81995370371</v>
      </c>
      <c r="AN997" s="30">
        <v>2.0</v>
      </c>
      <c r="AO997" s="40"/>
      <c r="AP997" s="40"/>
      <c r="AQ997" s="40"/>
      <c r="AR997" s="40"/>
      <c r="AS997" s="40"/>
      <c r="AT997" s="47"/>
      <c r="AU997" s="40"/>
      <c r="AV997" s="46"/>
      <c r="AW997" s="46"/>
      <c r="AX997" s="47"/>
      <c r="AY997" s="44"/>
      <c r="AZ997" s="30"/>
      <c r="CU997" s="55"/>
      <c r="CV997" s="55"/>
      <c r="CW997" s="55"/>
      <c r="CX997" s="55"/>
      <c r="CY997" s="55"/>
      <c r="CZ997" s="55"/>
      <c r="DA997" s="82"/>
      <c r="DB997" s="55"/>
      <c r="DC997" s="55"/>
      <c r="DD997" s="55"/>
      <c r="DE997" s="55"/>
      <c r="DF997" s="55"/>
      <c r="DG997" s="55"/>
      <c r="DH997" s="55"/>
      <c r="DI997" s="55"/>
      <c r="DJ997" s="55"/>
      <c r="DK997" s="55"/>
      <c r="DL997" s="55"/>
      <c r="DM997" s="55"/>
      <c r="DN997" s="55"/>
      <c r="DO997" s="55"/>
      <c r="DP997" s="55"/>
      <c r="DQ997" s="55"/>
      <c r="DR997" s="55"/>
      <c r="DS997" s="55"/>
      <c r="DT997" s="55"/>
      <c r="DU997" s="55"/>
      <c r="DV997" s="55"/>
      <c r="DW997" s="55"/>
    </row>
    <row r="998">
      <c r="A998" s="22" t="s">
        <v>55</v>
      </c>
      <c r="B998" s="23" t="s">
        <v>56</v>
      </c>
      <c r="C998" s="31" t="s">
        <v>2358</v>
      </c>
      <c r="D998" s="25" t="str">
        <f>IFERROR(__xludf.DUMMYFUNCTION("SPLIT(C998,"" "")"),"Garcia,")</f>
        <v>Garcia,</v>
      </c>
      <c r="E998" s="22" t="str">
        <f>IFERROR(__xludf.DUMMYFUNCTION("""COMPUTED_VALUE"""),"Matthew
500")</f>
        <v>Matthew
500</v>
      </c>
      <c r="F998" s="22" t="str">
        <f>IFERROR(__xludf.DUMMYFUNCTION("""COMPUTED_VALUE"""),"N")</f>
        <v>N</v>
      </c>
      <c r="G998" s="22" t="str">
        <f>IFERROR(__xludf.DUMMYFUNCTION("""COMPUTED_VALUE"""),"Akard")</f>
        <v>Akard</v>
      </c>
      <c r="H998" s="22" t="str">
        <f>IFERROR(__xludf.DUMMYFUNCTION("""COMPUTED_VALUE"""),"St
Dallas,")</f>
        <v>St
Dallas,</v>
      </c>
      <c r="I998" s="22" t="str">
        <f>IFERROR(__xludf.DUMMYFUNCTION("""COMPUTED_VALUE"""),"TX")</f>
        <v>TX</v>
      </c>
      <c r="J998" s="22">
        <f>IFERROR(__xludf.DUMMYFUNCTION("""COMPUTED_VALUE"""),75201.0)</f>
        <v>75201</v>
      </c>
      <c r="K998" s="22"/>
      <c r="L998" s="22"/>
      <c r="M998" s="22"/>
      <c r="N998" s="22"/>
      <c r="O998" s="22"/>
      <c r="P998" s="22"/>
      <c r="Q998" s="22"/>
      <c r="R998" s="22"/>
      <c r="S998" s="22"/>
      <c r="T998" s="22"/>
      <c r="U998" s="24" t="str">
        <f>IFERROR(__xludf.DUMMYFUNCTION("SPLIT(E998,""01234567890"")"),"Matthew
")</f>
        <v>Matthew
</v>
      </c>
      <c r="V998" s="24" t="str">
        <f>IFERROR(__xludf.DUMMYFUNCTION("SPLIT(D998,"","")"),"Garcia")</f>
        <v>Garcia</v>
      </c>
      <c r="W998" s="25" t="str">
        <f t="shared" si="1"/>
        <v>MATTHEW
 GARCIA</v>
      </c>
      <c r="X998" s="22"/>
      <c r="Y998" s="22"/>
      <c r="Z998" s="25" t="str">
        <f>IFERROR(__xludf.DUMMYFUNCTION("SPLIT(C998,""
"")"),"Garcia, Matthew")</f>
        <v>Garcia, Matthew</v>
      </c>
      <c r="AA998" s="22" t="str">
        <f>IFERROR(__xludf.DUMMYFUNCTION("""COMPUTED_VALUE"""),"500 N Akard St")</f>
        <v>500 N Akard St</v>
      </c>
      <c r="AB998" s="22" t="str">
        <f>IFERROR(__xludf.DUMMYFUNCTION("""COMPUTED_VALUE"""),"Dallas, TX 75201")</f>
        <v>Dallas, TX 75201</v>
      </c>
      <c r="AC998" s="31" t="s">
        <v>2359</v>
      </c>
      <c r="AD998" s="22"/>
      <c r="AE998" s="22"/>
      <c r="AF998" s="22"/>
      <c r="AG998" s="22" t="s">
        <v>60</v>
      </c>
      <c r="AH998" s="54">
        <v>2481.0</v>
      </c>
      <c r="AI998" s="22" t="s">
        <v>68</v>
      </c>
      <c r="AJ998" s="27">
        <v>50.0</v>
      </c>
      <c r="AK998" s="31" t="s">
        <v>25</v>
      </c>
      <c r="AL998" s="28">
        <v>44841.0</v>
      </c>
      <c r="AM998" s="29">
        <v>44937.81995370371</v>
      </c>
      <c r="AN998" s="30">
        <v>2.0</v>
      </c>
      <c r="AO998" s="22"/>
      <c r="AP998" s="22"/>
      <c r="AQ998" s="22"/>
      <c r="AR998" s="22"/>
      <c r="AS998" s="22"/>
      <c r="AT998" s="70"/>
      <c r="AU998" s="22"/>
      <c r="AV998" s="57"/>
      <c r="AW998" s="57"/>
      <c r="AX998" s="47"/>
      <c r="AY998" s="29"/>
      <c r="AZ998" s="30"/>
      <c r="CU998" s="55"/>
      <c r="CV998" s="55"/>
      <c r="CW998" s="55"/>
      <c r="CX998" s="55"/>
      <c r="CY998" s="55"/>
      <c r="CZ998" s="55"/>
      <c r="DA998" s="82"/>
      <c r="DB998" s="55"/>
      <c r="DC998" s="55"/>
      <c r="DD998" s="55"/>
      <c r="DE998" s="55"/>
      <c r="DF998" s="55"/>
      <c r="DG998" s="55"/>
      <c r="DH998" s="55"/>
      <c r="DI998" s="55"/>
      <c r="DJ998" s="55"/>
      <c r="DK998" s="55"/>
      <c r="DL998" s="55"/>
      <c r="DM998" s="55"/>
      <c r="DN998" s="55"/>
      <c r="DO998" s="55"/>
      <c r="DP998" s="55"/>
      <c r="DQ998" s="55"/>
      <c r="DR998" s="55"/>
      <c r="DS998" s="55"/>
      <c r="DT998" s="55"/>
      <c r="DU998" s="55"/>
      <c r="DV998" s="55"/>
      <c r="DW998" s="55"/>
    </row>
    <row r="999">
      <c r="A999" s="40" t="s">
        <v>55</v>
      </c>
      <c r="B999" s="41" t="s">
        <v>56</v>
      </c>
      <c r="C999" s="31" t="s">
        <v>2360</v>
      </c>
      <c r="D999" s="25" t="str">
        <f>IFERROR(__xludf.DUMMYFUNCTION("SPLIT(C999,"" "")"),"Garcia,")</f>
        <v>Garcia,</v>
      </c>
      <c r="E999" s="40" t="str">
        <f>IFERROR(__xludf.DUMMYFUNCTION("""COMPUTED_VALUE"""),"Matthew
7415")</f>
        <v>Matthew
7415</v>
      </c>
      <c r="F999" s="40" t="str">
        <f>IFERROR(__xludf.DUMMYFUNCTION("""COMPUTED_VALUE"""),"Chattington")</f>
        <v>Chattington</v>
      </c>
      <c r="G999" s="40" t="str">
        <f>IFERROR(__xludf.DUMMYFUNCTION("""COMPUTED_VALUE"""),"Dr
Dallas,")</f>
        <v>Dr
Dallas,</v>
      </c>
      <c r="H999" s="40" t="str">
        <f>IFERROR(__xludf.DUMMYFUNCTION("""COMPUTED_VALUE"""),"TX")</f>
        <v>TX</v>
      </c>
      <c r="I999" s="40">
        <f>IFERROR(__xludf.DUMMYFUNCTION("""COMPUTED_VALUE"""),75248.0)</f>
        <v>75248</v>
      </c>
      <c r="J999" s="40"/>
      <c r="K999" s="40"/>
      <c r="L999" s="40"/>
      <c r="M999" s="40"/>
      <c r="N999" s="40"/>
      <c r="O999" s="40"/>
      <c r="P999" s="40"/>
      <c r="Q999" s="40"/>
      <c r="R999" s="40"/>
      <c r="S999" s="40"/>
      <c r="T999" s="40"/>
      <c r="U999" s="24" t="str">
        <f>IFERROR(__xludf.DUMMYFUNCTION("SPLIT(E999,""01234567890"")"),"Matthew
")</f>
        <v>Matthew
</v>
      </c>
      <c r="V999" s="24" t="str">
        <f>IFERROR(__xludf.DUMMYFUNCTION("SPLIT(D999,"","")"),"Garcia")</f>
        <v>Garcia</v>
      </c>
      <c r="W999" s="25" t="str">
        <f t="shared" si="1"/>
        <v>MATTHEW
 GARCIA</v>
      </c>
      <c r="X999" s="40"/>
      <c r="Y999" s="40"/>
      <c r="Z999" s="25" t="str">
        <f>IFERROR(__xludf.DUMMYFUNCTION("SPLIT(C999,""
"")"),"Garcia, Matthew")</f>
        <v>Garcia, Matthew</v>
      </c>
      <c r="AA999" s="40" t="str">
        <f>IFERROR(__xludf.DUMMYFUNCTION("""COMPUTED_VALUE"""),"7415 Chattington Dr")</f>
        <v>7415 Chattington Dr</v>
      </c>
      <c r="AB999" s="40" t="str">
        <f>IFERROR(__xludf.DUMMYFUNCTION("""COMPUTED_VALUE"""),"Dallas, TX 75248")</f>
        <v>Dallas, TX 75248</v>
      </c>
      <c r="AC999" s="31" t="s">
        <v>2359</v>
      </c>
      <c r="AD999" s="40"/>
      <c r="AE999" s="40"/>
      <c r="AF999" s="40"/>
      <c r="AG999" s="40" t="s">
        <v>60</v>
      </c>
      <c r="AH999" s="42">
        <v>2481.0</v>
      </c>
      <c r="AI999" s="40" t="s">
        <v>68</v>
      </c>
      <c r="AJ999" s="27">
        <v>100.0</v>
      </c>
      <c r="AK999" s="31" t="s">
        <v>25</v>
      </c>
      <c r="AL999" s="43">
        <v>44841.0</v>
      </c>
      <c r="AM999" s="44">
        <v>44937.81995370371</v>
      </c>
      <c r="AN999" s="30">
        <v>2.0</v>
      </c>
      <c r="AO999" s="40"/>
      <c r="AP999" s="40"/>
      <c r="AQ999" s="40"/>
      <c r="AR999" s="40"/>
      <c r="AS999" s="40"/>
      <c r="AT999" s="47"/>
      <c r="AU999" s="40"/>
      <c r="AV999" s="46"/>
      <c r="AW999" s="46"/>
      <c r="AX999" s="47"/>
      <c r="AY999" s="44"/>
      <c r="AZ999" s="30"/>
      <c r="CU999" s="55"/>
      <c r="CV999" s="55"/>
      <c r="CW999" s="55"/>
      <c r="CX999" s="55"/>
      <c r="CY999" s="55"/>
      <c r="CZ999" s="55"/>
      <c r="DA999" s="82"/>
      <c r="DB999" s="55"/>
      <c r="DC999" s="55"/>
      <c r="DD999" s="55"/>
      <c r="DE999" s="55"/>
      <c r="DF999" s="55"/>
      <c r="DG999" s="55"/>
      <c r="DH999" s="55"/>
      <c r="DI999" s="55"/>
      <c r="DJ999" s="55"/>
      <c r="DK999" s="55"/>
      <c r="DL999" s="55"/>
      <c r="DM999" s="55"/>
      <c r="DN999" s="55"/>
      <c r="DO999" s="55"/>
      <c r="DP999" s="55"/>
      <c r="DQ999" s="55"/>
      <c r="DR999" s="55"/>
      <c r="DS999" s="55"/>
      <c r="DT999" s="55"/>
      <c r="DU999" s="55"/>
      <c r="DV999" s="55"/>
      <c r="DW999" s="55"/>
    </row>
    <row r="1000">
      <c r="A1000" s="22" t="s">
        <v>55</v>
      </c>
      <c r="B1000" s="23" t="s">
        <v>56</v>
      </c>
      <c r="C1000" s="31" t="s">
        <v>2361</v>
      </c>
      <c r="D1000" s="25" t="str">
        <f>IFERROR(__xludf.DUMMYFUNCTION("SPLIT(C1000,"" "")"),"Brunson,")</f>
        <v>Brunson,</v>
      </c>
      <c r="E1000" s="22" t="str">
        <f>IFERROR(__xludf.DUMMYFUNCTION("""COMPUTED_VALUE"""),"Albert
8328")</f>
        <v>Albert
8328</v>
      </c>
      <c r="F1000" s="22" t="str">
        <f>IFERROR(__xludf.DUMMYFUNCTION("""COMPUTED_VALUE"""),"Mountainview")</f>
        <v>Mountainview</v>
      </c>
      <c r="G1000" s="22" t="str">
        <f>IFERROR(__xludf.DUMMYFUNCTION("""COMPUTED_VALUE"""),"Dr
Dallas,")</f>
        <v>Dr
Dallas,</v>
      </c>
      <c r="H1000" s="22" t="str">
        <f>IFERROR(__xludf.DUMMYFUNCTION("""COMPUTED_VALUE"""),"TX")</f>
        <v>TX</v>
      </c>
      <c r="I1000" s="22">
        <f>IFERROR(__xludf.DUMMYFUNCTION("""COMPUTED_VALUE"""),75249.0)</f>
        <v>75249</v>
      </c>
      <c r="J1000" s="22"/>
      <c r="K1000" s="22"/>
      <c r="L1000" s="22"/>
      <c r="M1000" s="22"/>
      <c r="N1000" s="22"/>
      <c r="O1000" s="22"/>
      <c r="P1000" s="22"/>
      <c r="Q1000" s="22"/>
      <c r="R1000" s="22"/>
      <c r="S1000" s="22"/>
      <c r="T1000" s="22"/>
      <c r="U1000" s="24" t="str">
        <f>IFERROR(__xludf.DUMMYFUNCTION("SPLIT(E1000,""01234567890"")"),"Albert
")</f>
        <v>Albert
</v>
      </c>
      <c r="V1000" s="24" t="str">
        <f>IFERROR(__xludf.DUMMYFUNCTION("SPLIT(D1000,"","")"),"Brunson")</f>
        <v>Brunson</v>
      </c>
      <c r="W1000" s="25" t="str">
        <f t="shared" si="1"/>
        <v>ALBERT
 BRUNSON</v>
      </c>
      <c r="X1000" s="22"/>
      <c r="Y1000" s="22"/>
      <c r="Z1000" s="25" t="str">
        <f>IFERROR(__xludf.DUMMYFUNCTION("SPLIT(C1000,""
"")"),"Brunson, Albert")</f>
        <v>Brunson, Albert</v>
      </c>
      <c r="AA1000" s="22" t="str">
        <f>IFERROR(__xludf.DUMMYFUNCTION("""COMPUTED_VALUE"""),"8328 Mountainview Dr")</f>
        <v>8328 Mountainview Dr</v>
      </c>
      <c r="AB1000" s="22" t="str">
        <f>IFERROR(__xludf.DUMMYFUNCTION("""COMPUTED_VALUE"""),"Dallas, TX 75249")</f>
        <v>Dallas, TX 75249</v>
      </c>
      <c r="AC1000" s="31" t="s">
        <v>2362</v>
      </c>
      <c r="AD1000" s="22"/>
      <c r="AE1000" s="22"/>
      <c r="AF1000" s="22"/>
      <c r="AG1000" s="22" t="s">
        <v>60</v>
      </c>
      <c r="AH1000" s="54">
        <v>2481.0</v>
      </c>
      <c r="AI1000" s="22" t="s">
        <v>68</v>
      </c>
      <c r="AJ1000" s="27">
        <v>100.0</v>
      </c>
      <c r="AK1000" s="31" t="s">
        <v>25</v>
      </c>
      <c r="AL1000" s="28">
        <v>44841.0</v>
      </c>
      <c r="AM1000" s="29">
        <v>44937.81995370371</v>
      </c>
      <c r="AN1000" s="30">
        <v>2.0</v>
      </c>
      <c r="AO1000" s="22"/>
      <c r="AP1000" s="22"/>
      <c r="AQ1000" s="22"/>
      <c r="AR1000" s="22"/>
      <c r="AS1000" s="22"/>
      <c r="AT1000" s="70"/>
      <c r="AU1000" s="22"/>
      <c r="AV1000" s="57"/>
      <c r="AW1000" s="57"/>
      <c r="AX1000" s="70"/>
      <c r="AY1000" s="29"/>
      <c r="AZ1000" s="30"/>
      <c r="CU1000" s="55"/>
      <c r="CV1000" s="55"/>
      <c r="CW1000" s="55"/>
      <c r="CX1000" s="55"/>
      <c r="CY1000" s="55"/>
      <c r="CZ1000" s="55"/>
      <c r="DA1000" s="82"/>
      <c r="DB1000" s="55"/>
      <c r="DC1000" s="55"/>
      <c r="DD1000" s="55"/>
      <c r="DE1000" s="55"/>
      <c r="DF1000" s="55"/>
      <c r="DG1000" s="55"/>
      <c r="DH1000" s="55"/>
      <c r="DI1000" s="55"/>
      <c r="DJ1000" s="55"/>
      <c r="DK1000" s="55"/>
      <c r="DL1000" s="55"/>
      <c r="DM1000" s="55"/>
      <c r="DN1000" s="55"/>
      <c r="DO1000" s="55"/>
      <c r="DP1000" s="55"/>
      <c r="DQ1000" s="55"/>
      <c r="DR1000" s="55"/>
      <c r="DS1000" s="55"/>
      <c r="DT1000" s="55"/>
      <c r="DU1000" s="55"/>
      <c r="DV1000" s="55"/>
      <c r="DW1000" s="55"/>
    </row>
    <row r="1001">
      <c r="A1001" s="40" t="s">
        <v>55</v>
      </c>
      <c r="B1001" s="41" t="s">
        <v>56</v>
      </c>
      <c r="C1001" s="31" t="s">
        <v>2363</v>
      </c>
      <c r="D1001" s="25" t="str">
        <f>IFERROR(__xludf.DUMMYFUNCTION("SPLIT(C1001,"" "")"),"Flournoy,")</f>
        <v>Flournoy,</v>
      </c>
      <c r="E1001" s="40" t="str">
        <f>IFERROR(__xludf.DUMMYFUNCTION("""COMPUTED_VALUE"""),"LaTonya
2303")</f>
        <v>LaTonya
2303</v>
      </c>
      <c r="F1001" s="40" t="str">
        <f>IFERROR(__xludf.DUMMYFUNCTION("""COMPUTED_VALUE"""),"Ave")</f>
        <v>Ave</v>
      </c>
      <c r="G1001" s="40" t="str">
        <f>IFERROR(__xludf.DUMMYFUNCTION("""COMPUTED_VALUE"""),"H
Grand")</f>
        <v>H
Grand</v>
      </c>
      <c r="H1001" s="40" t="str">
        <f>IFERROR(__xludf.DUMMYFUNCTION("""COMPUTED_VALUE"""),"Prairie,")</f>
        <v>Prairie,</v>
      </c>
      <c r="I1001" s="40" t="str">
        <f>IFERROR(__xludf.DUMMYFUNCTION("""COMPUTED_VALUE"""),"TX")</f>
        <v>TX</v>
      </c>
      <c r="J1001" s="40">
        <f>IFERROR(__xludf.DUMMYFUNCTION("""COMPUTED_VALUE"""),75050.0)</f>
        <v>75050</v>
      </c>
      <c r="K1001" s="40"/>
      <c r="L1001" s="40"/>
      <c r="M1001" s="40"/>
      <c r="N1001" s="40"/>
      <c r="O1001" s="40"/>
      <c r="P1001" s="40"/>
      <c r="Q1001" s="40"/>
      <c r="R1001" s="40"/>
      <c r="S1001" s="40"/>
      <c r="T1001" s="40"/>
      <c r="U1001" s="24" t="str">
        <f>IFERROR(__xludf.DUMMYFUNCTION("SPLIT(E1001,""01234567890"")"),"LaTonya
")</f>
        <v>LaTonya
</v>
      </c>
      <c r="V1001" s="24" t="str">
        <f>IFERROR(__xludf.DUMMYFUNCTION("SPLIT(D1001,"","")"),"Flournoy")</f>
        <v>Flournoy</v>
      </c>
      <c r="W1001" s="25" t="str">
        <f t="shared" si="1"/>
        <v>LATONYA
 FLOURNOY</v>
      </c>
      <c r="X1001" s="40"/>
      <c r="Y1001" s="40"/>
      <c r="Z1001" s="25" t="str">
        <f>IFERROR(__xludf.DUMMYFUNCTION("SPLIT(C1001,""
"")"),"Flournoy, LaTonya")</f>
        <v>Flournoy, LaTonya</v>
      </c>
      <c r="AA1001" s="40" t="str">
        <f>IFERROR(__xludf.DUMMYFUNCTION("""COMPUTED_VALUE"""),"2303 Ave H")</f>
        <v>2303 Ave H</v>
      </c>
      <c r="AB1001" s="40" t="str">
        <f>IFERROR(__xludf.DUMMYFUNCTION("""COMPUTED_VALUE"""),"Grand Prairie, TX 75050")</f>
        <v>Grand Prairie, TX 75050</v>
      </c>
      <c r="AC1001" s="31" t="s">
        <v>2364</v>
      </c>
      <c r="AD1001" s="40"/>
      <c r="AE1001" s="40"/>
      <c r="AF1001" s="40"/>
      <c r="AG1001" s="40" t="s">
        <v>60</v>
      </c>
      <c r="AH1001" s="42">
        <v>2481.0</v>
      </c>
      <c r="AI1001" s="40" t="s">
        <v>68</v>
      </c>
      <c r="AJ1001" s="27">
        <v>100.0</v>
      </c>
      <c r="AK1001" s="31" t="s">
        <v>25</v>
      </c>
      <c r="AL1001" s="43">
        <v>44841.0</v>
      </c>
      <c r="AM1001" s="44">
        <v>44937.81995370371</v>
      </c>
      <c r="AN1001" s="30">
        <v>2.0</v>
      </c>
      <c r="AO1001" s="40"/>
      <c r="AP1001" s="40"/>
      <c r="AQ1001" s="40"/>
      <c r="AR1001" s="40"/>
      <c r="AS1001" s="40"/>
      <c r="AT1001" s="47"/>
      <c r="AU1001" s="40"/>
      <c r="AV1001" s="46"/>
      <c r="AW1001" s="46"/>
      <c r="AX1001" s="47"/>
      <c r="AY1001" s="44"/>
      <c r="AZ1001" s="30"/>
      <c r="CU1001" s="55"/>
      <c r="CV1001" s="55"/>
      <c r="CW1001" s="55"/>
      <c r="CX1001" s="55"/>
      <c r="CY1001" s="55"/>
      <c r="CZ1001" s="55"/>
      <c r="DA1001" s="82"/>
      <c r="DB1001" s="55"/>
      <c r="DC1001" s="55"/>
      <c r="DD1001" s="55"/>
      <c r="DE1001" s="55"/>
      <c r="DF1001" s="55"/>
      <c r="DG1001" s="55"/>
      <c r="DH1001" s="55"/>
      <c r="DI1001" s="55"/>
      <c r="DJ1001" s="55"/>
      <c r="DK1001" s="55"/>
      <c r="DL1001" s="55"/>
      <c r="DM1001" s="55"/>
      <c r="DN1001" s="55"/>
      <c r="DO1001" s="55"/>
      <c r="DP1001" s="55"/>
      <c r="DQ1001" s="55"/>
      <c r="DR1001" s="55"/>
      <c r="DS1001" s="55"/>
      <c r="DT1001" s="55"/>
      <c r="DU1001" s="55"/>
      <c r="DV1001" s="55"/>
      <c r="DW1001" s="55"/>
    </row>
    <row r="1002">
      <c r="A1002" s="22" t="s">
        <v>55</v>
      </c>
      <c r="B1002" s="23" t="s">
        <v>56</v>
      </c>
      <c r="C1002" s="31" t="s">
        <v>2365</v>
      </c>
      <c r="D1002" s="25" t="str">
        <f>IFERROR(__xludf.DUMMYFUNCTION("SPLIT(C1002,"" "")"),"Lester,")</f>
        <v>Lester,</v>
      </c>
      <c r="E1002" s="22" t="str">
        <f>IFERROR(__xludf.DUMMYFUNCTION("""COMPUTED_VALUE"""),"Cedric
512")</f>
        <v>Cedric
512</v>
      </c>
      <c r="F1002" s="22" t="str">
        <f>IFERROR(__xludf.DUMMYFUNCTION("""COMPUTED_VALUE"""),"N")</f>
        <v>N</v>
      </c>
      <c r="G1002" s="22" t="str">
        <f>IFERROR(__xludf.DUMMYFUNCTION("""COMPUTED_VALUE"""),"Hampton")</f>
        <v>Hampton</v>
      </c>
      <c r="H1002" s="22" t="str">
        <f>IFERROR(__xludf.DUMMYFUNCTION("""COMPUTED_VALUE"""),"Road
DeSoto,")</f>
        <v>Road
DeSoto,</v>
      </c>
      <c r="I1002" s="22" t="str">
        <f>IFERROR(__xludf.DUMMYFUNCTION("""COMPUTED_VALUE"""),"TX")</f>
        <v>TX</v>
      </c>
      <c r="J1002" s="22">
        <f>IFERROR(__xludf.DUMMYFUNCTION("""COMPUTED_VALUE"""),75115.0)</f>
        <v>75115</v>
      </c>
      <c r="K1002" s="22"/>
      <c r="L1002" s="22"/>
      <c r="M1002" s="22"/>
      <c r="N1002" s="22"/>
      <c r="O1002" s="22"/>
      <c r="P1002" s="22"/>
      <c r="Q1002" s="22"/>
      <c r="R1002" s="22"/>
      <c r="S1002" s="22"/>
      <c r="T1002" s="22"/>
      <c r="U1002" s="24" t="str">
        <f>IFERROR(__xludf.DUMMYFUNCTION("SPLIT(E1002,""01234567890"")"),"Cedric
")</f>
        <v>Cedric
</v>
      </c>
      <c r="V1002" s="24" t="str">
        <f>IFERROR(__xludf.DUMMYFUNCTION("SPLIT(D1002,"","")"),"Lester")</f>
        <v>Lester</v>
      </c>
      <c r="W1002" s="25" t="str">
        <f t="shared" si="1"/>
        <v>CEDRIC
 LESTER</v>
      </c>
      <c r="X1002" s="22"/>
      <c r="Y1002" s="22"/>
      <c r="Z1002" s="25" t="str">
        <f>IFERROR(__xludf.DUMMYFUNCTION("SPLIT(C1002,""
"")"),"Lester, Cedric")</f>
        <v>Lester, Cedric</v>
      </c>
      <c r="AA1002" s="22" t="str">
        <f>IFERROR(__xludf.DUMMYFUNCTION("""COMPUTED_VALUE"""),"512 N Hampton Road")</f>
        <v>512 N Hampton Road</v>
      </c>
      <c r="AB1002" s="22" t="str">
        <f>IFERROR(__xludf.DUMMYFUNCTION("""COMPUTED_VALUE"""),"DeSoto, TX 75115")</f>
        <v>DeSoto, TX 75115</v>
      </c>
      <c r="AC1002" s="31" t="s">
        <v>2366</v>
      </c>
      <c r="AD1002" s="22"/>
      <c r="AE1002" s="22"/>
      <c r="AF1002" s="22"/>
      <c r="AG1002" s="22" t="s">
        <v>60</v>
      </c>
      <c r="AH1002" s="54">
        <v>2481.0</v>
      </c>
      <c r="AI1002" s="22" t="s">
        <v>68</v>
      </c>
      <c r="AJ1002" s="27">
        <v>50.0</v>
      </c>
      <c r="AK1002" s="31" t="s">
        <v>25</v>
      </c>
      <c r="AL1002" s="28">
        <v>44841.0</v>
      </c>
      <c r="AM1002" s="29">
        <v>44937.81995370371</v>
      </c>
      <c r="AN1002" s="30">
        <v>2.0</v>
      </c>
      <c r="AO1002" s="22"/>
      <c r="AP1002" s="22"/>
      <c r="AQ1002" s="22"/>
      <c r="AR1002" s="22"/>
      <c r="AS1002" s="22"/>
      <c r="AT1002" s="70"/>
      <c r="AU1002" s="22"/>
      <c r="AV1002" s="57"/>
      <c r="AW1002" s="57"/>
      <c r="AX1002" s="70"/>
      <c r="AY1002" s="29"/>
      <c r="AZ1002" s="30"/>
      <c r="CU1002" s="55"/>
      <c r="CV1002" s="55"/>
      <c r="CW1002" s="55"/>
      <c r="CX1002" s="55"/>
      <c r="CY1002" s="55"/>
      <c r="CZ1002" s="55"/>
      <c r="DA1002" s="82"/>
      <c r="DB1002" s="55"/>
      <c r="DC1002" s="55"/>
      <c r="DD1002" s="55"/>
      <c r="DE1002" s="55"/>
      <c r="DF1002" s="55"/>
      <c r="DG1002" s="55"/>
      <c r="DH1002" s="55"/>
      <c r="DI1002" s="55"/>
      <c r="DJ1002" s="55"/>
      <c r="DK1002" s="55"/>
      <c r="DL1002" s="55"/>
      <c r="DM1002" s="55"/>
      <c r="DN1002" s="55"/>
      <c r="DO1002" s="55"/>
      <c r="DP1002" s="55"/>
      <c r="DQ1002" s="55"/>
      <c r="DR1002" s="55"/>
      <c r="DS1002" s="55"/>
      <c r="DT1002" s="55"/>
      <c r="DU1002" s="55"/>
      <c r="DV1002" s="55"/>
      <c r="DW1002" s="55"/>
    </row>
    <row r="1003">
      <c r="A1003" s="40" t="s">
        <v>55</v>
      </c>
      <c r="B1003" s="41" t="s">
        <v>56</v>
      </c>
      <c r="C1003" s="31" t="s">
        <v>892</v>
      </c>
      <c r="D1003" s="25" t="str">
        <f>IFERROR(__xludf.DUMMYFUNCTION("SPLIT(C1003,"" "")"),"Thomas,")</f>
        <v>Thomas,</v>
      </c>
      <c r="E1003" s="40" t="str">
        <f>IFERROR(__xludf.DUMMYFUNCTION("""COMPUTED_VALUE"""),"Cheri
608")</f>
        <v>Cheri
608</v>
      </c>
      <c r="F1003" s="40" t="str">
        <f>IFERROR(__xludf.DUMMYFUNCTION("""COMPUTED_VALUE"""),"Belhaven")</f>
        <v>Belhaven</v>
      </c>
      <c r="G1003" s="40" t="str">
        <f>IFERROR(__xludf.DUMMYFUNCTION("""COMPUTED_VALUE"""),"Dr
Allen,")</f>
        <v>Dr
Allen,</v>
      </c>
      <c r="H1003" s="40" t="str">
        <f>IFERROR(__xludf.DUMMYFUNCTION("""COMPUTED_VALUE"""),"TX")</f>
        <v>TX</v>
      </c>
      <c r="I1003" s="40">
        <f>IFERROR(__xludf.DUMMYFUNCTION("""COMPUTED_VALUE"""),75013.0)</f>
        <v>75013</v>
      </c>
      <c r="J1003" s="40"/>
      <c r="K1003" s="40"/>
      <c r="L1003" s="40"/>
      <c r="M1003" s="40"/>
      <c r="N1003" s="40"/>
      <c r="O1003" s="40"/>
      <c r="P1003" s="40"/>
      <c r="Q1003" s="40"/>
      <c r="R1003" s="40"/>
      <c r="S1003" s="40"/>
      <c r="T1003" s="40"/>
      <c r="U1003" s="24" t="str">
        <f>IFERROR(__xludf.DUMMYFUNCTION("SPLIT(E1003,""01234567890"")"),"Cheri
")</f>
        <v>Cheri
</v>
      </c>
      <c r="V1003" s="24" t="str">
        <f>IFERROR(__xludf.DUMMYFUNCTION("SPLIT(D1003,"","")"),"Thomas")</f>
        <v>Thomas</v>
      </c>
      <c r="W1003" s="25" t="str">
        <f t="shared" si="1"/>
        <v>CHERI
 THOMAS</v>
      </c>
      <c r="X1003" s="40"/>
      <c r="Y1003" s="40"/>
      <c r="Z1003" s="25" t="str">
        <f>IFERROR(__xludf.DUMMYFUNCTION("SPLIT(C1003,""
"")"),"Thomas, Cheri")</f>
        <v>Thomas, Cheri</v>
      </c>
      <c r="AA1003" s="40" t="str">
        <f>IFERROR(__xludf.DUMMYFUNCTION("""COMPUTED_VALUE"""),"608 Belhaven Dr")</f>
        <v>608 Belhaven Dr</v>
      </c>
      <c r="AB1003" s="40" t="str">
        <f>IFERROR(__xludf.DUMMYFUNCTION("""COMPUTED_VALUE"""),"Allen, TX 75013")</f>
        <v>Allen, TX 75013</v>
      </c>
      <c r="AC1003" s="31" t="s">
        <v>894</v>
      </c>
      <c r="AD1003" s="40"/>
      <c r="AE1003" s="40"/>
      <c r="AF1003" s="40"/>
      <c r="AG1003" s="40" t="s">
        <v>60</v>
      </c>
      <c r="AH1003" s="42">
        <v>2481.0</v>
      </c>
      <c r="AI1003" s="40" t="s">
        <v>68</v>
      </c>
      <c r="AJ1003" s="27">
        <v>2500.0</v>
      </c>
      <c r="AK1003" s="31" t="s">
        <v>25</v>
      </c>
      <c r="AL1003" s="43">
        <v>44841.0</v>
      </c>
      <c r="AM1003" s="44">
        <v>44937.81995370371</v>
      </c>
      <c r="AN1003" s="30">
        <v>2.0</v>
      </c>
      <c r="AO1003" s="40"/>
      <c r="AP1003" s="40"/>
      <c r="AQ1003" s="40"/>
      <c r="AR1003" s="40"/>
      <c r="AS1003" s="40"/>
      <c r="AT1003" s="47"/>
      <c r="AU1003" s="40"/>
      <c r="AV1003" s="46"/>
      <c r="AW1003" s="46"/>
      <c r="AX1003" s="47"/>
      <c r="AY1003" s="44"/>
      <c r="AZ1003" s="30"/>
      <c r="CU1003" s="55"/>
      <c r="CV1003" s="55"/>
      <c r="CW1003" s="55"/>
      <c r="CX1003" s="55"/>
      <c r="CY1003" s="55"/>
      <c r="CZ1003" s="55"/>
      <c r="DA1003" s="82"/>
      <c r="DB1003" s="55"/>
      <c r="DC1003" s="55"/>
      <c r="DD1003" s="55"/>
      <c r="DE1003" s="55"/>
      <c r="DF1003" s="55"/>
      <c r="DG1003" s="55"/>
      <c r="DH1003" s="55"/>
      <c r="DI1003" s="55"/>
      <c r="DJ1003" s="55"/>
      <c r="DK1003" s="55"/>
      <c r="DL1003" s="55"/>
      <c r="DM1003" s="55"/>
      <c r="DN1003" s="55"/>
      <c r="DO1003" s="55"/>
      <c r="DP1003" s="55"/>
      <c r="DQ1003" s="55"/>
      <c r="DR1003" s="55"/>
      <c r="DS1003" s="55"/>
      <c r="DT1003" s="55"/>
      <c r="DU1003" s="55"/>
      <c r="DV1003" s="55"/>
      <c r="DW1003" s="55"/>
    </row>
    <row r="1004">
      <c r="A1004" s="22" t="s">
        <v>55</v>
      </c>
      <c r="B1004" s="23" t="s">
        <v>56</v>
      </c>
      <c r="C1004" s="31" t="s">
        <v>1098</v>
      </c>
      <c r="D1004" s="25" t="str">
        <f>IFERROR(__xludf.DUMMYFUNCTION("SPLIT(C1004,"" "")"),"Heinbaugh,")</f>
        <v>Heinbaugh,</v>
      </c>
      <c r="E1004" s="22" t="str">
        <f>IFERROR(__xludf.DUMMYFUNCTION("""COMPUTED_VALUE"""),"Chris
1801")</f>
        <v>Chris
1801</v>
      </c>
      <c r="F1004" s="22" t="str">
        <f>IFERROR(__xludf.DUMMYFUNCTION("""COMPUTED_VALUE"""),"Annex")</f>
        <v>Annex</v>
      </c>
      <c r="G1004" s="22" t="str">
        <f>IFERROR(__xludf.DUMMYFUNCTION("""COMPUTED_VALUE"""),"Ave
Dallas,")</f>
        <v>Ave
Dallas,</v>
      </c>
      <c r="H1004" s="22" t="str">
        <f>IFERROR(__xludf.DUMMYFUNCTION("""COMPUTED_VALUE"""),"TX")</f>
        <v>TX</v>
      </c>
      <c r="I1004" s="22">
        <f>IFERROR(__xludf.DUMMYFUNCTION("""COMPUTED_VALUE"""),75204.0)</f>
        <v>75204</v>
      </c>
      <c r="J1004" s="22"/>
      <c r="K1004" s="22"/>
      <c r="L1004" s="22"/>
      <c r="M1004" s="22"/>
      <c r="N1004" s="22"/>
      <c r="O1004" s="22"/>
      <c r="P1004" s="22"/>
      <c r="Q1004" s="22"/>
      <c r="R1004" s="22"/>
      <c r="S1004" s="22"/>
      <c r="T1004" s="22"/>
      <c r="U1004" s="24" t="str">
        <f>IFERROR(__xludf.DUMMYFUNCTION("SPLIT(E1004,""01234567890"")"),"Chris
")</f>
        <v>Chris
</v>
      </c>
      <c r="V1004" s="24" t="str">
        <f>IFERROR(__xludf.DUMMYFUNCTION("SPLIT(D1004,"","")"),"Heinbaugh")</f>
        <v>Heinbaugh</v>
      </c>
      <c r="W1004" s="25" t="str">
        <f t="shared" si="1"/>
        <v>CHRIS
 HEINBAUGH</v>
      </c>
      <c r="X1004" s="22"/>
      <c r="Y1004" s="22"/>
      <c r="Z1004" s="25" t="str">
        <f>IFERROR(__xludf.DUMMYFUNCTION("SPLIT(C1004,""
"")"),"Heinbaugh, Chris")</f>
        <v>Heinbaugh, Chris</v>
      </c>
      <c r="AA1004" s="22" t="str">
        <f>IFERROR(__xludf.DUMMYFUNCTION("""COMPUTED_VALUE"""),"1801 Annex Ave")</f>
        <v>1801 Annex Ave</v>
      </c>
      <c r="AB1004" s="22" t="str">
        <f>IFERROR(__xludf.DUMMYFUNCTION("""COMPUTED_VALUE"""),"Dallas, TX 75204")</f>
        <v>Dallas, TX 75204</v>
      </c>
      <c r="AC1004" s="31" t="s">
        <v>1100</v>
      </c>
      <c r="AD1004" s="22"/>
      <c r="AE1004" s="22"/>
      <c r="AF1004" s="22"/>
      <c r="AG1004" s="22" t="s">
        <v>60</v>
      </c>
      <c r="AH1004" s="54">
        <v>2481.0</v>
      </c>
      <c r="AI1004" s="22" t="s">
        <v>68</v>
      </c>
      <c r="AJ1004" s="27">
        <v>100.0</v>
      </c>
      <c r="AK1004" s="31" t="s">
        <v>25</v>
      </c>
      <c r="AL1004" s="28">
        <v>44842.0</v>
      </c>
      <c r="AM1004" s="29">
        <v>44937.81995370371</v>
      </c>
      <c r="AN1004" s="30">
        <v>2.0</v>
      </c>
      <c r="AO1004" s="22"/>
      <c r="AP1004" s="22"/>
      <c r="AQ1004" s="22"/>
      <c r="AR1004" s="22"/>
      <c r="AS1004" s="22"/>
      <c r="AT1004" s="70"/>
      <c r="AU1004" s="22"/>
      <c r="AV1004" s="57"/>
      <c r="AW1004" s="57"/>
      <c r="AX1004" s="70"/>
      <c r="AY1004" s="29"/>
      <c r="AZ1004" s="30"/>
      <c r="CU1004" s="55"/>
      <c r="CV1004" s="55"/>
      <c r="CW1004" s="55"/>
      <c r="CX1004" s="55"/>
      <c r="CY1004" s="55"/>
      <c r="CZ1004" s="55"/>
      <c r="DA1004" s="82"/>
      <c r="DB1004" s="55"/>
      <c r="DC1004" s="55"/>
      <c r="DD1004" s="55"/>
      <c r="DE1004" s="55"/>
      <c r="DF1004" s="55"/>
      <c r="DG1004" s="55"/>
      <c r="DH1004" s="55"/>
      <c r="DI1004" s="55"/>
      <c r="DJ1004" s="55"/>
      <c r="DK1004" s="55"/>
      <c r="DL1004" s="55"/>
      <c r="DM1004" s="55"/>
      <c r="DN1004" s="55"/>
      <c r="DO1004" s="55"/>
      <c r="DP1004" s="55"/>
      <c r="DQ1004" s="55"/>
      <c r="DR1004" s="55"/>
      <c r="DS1004" s="55"/>
      <c r="DT1004" s="55"/>
      <c r="DU1004" s="55"/>
      <c r="DV1004" s="55"/>
      <c r="DW1004" s="55"/>
    </row>
    <row r="1005">
      <c r="A1005" s="40" t="s">
        <v>55</v>
      </c>
      <c r="B1005" s="41" t="s">
        <v>56</v>
      </c>
      <c r="C1005" s="31" t="s">
        <v>2367</v>
      </c>
      <c r="D1005" s="25" t="str">
        <f>IFERROR(__xludf.DUMMYFUNCTION("SPLIT(C1005,"" "")"),"Luce,")</f>
        <v>Luce,</v>
      </c>
      <c r="E1005" s="40" t="str">
        <f>IFERROR(__xludf.DUMMYFUNCTION("""COMPUTED_VALUE"""),"Tom
7338")</f>
        <v>Tom
7338</v>
      </c>
      <c r="F1005" s="40" t="str">
        <f>IFERROR(__xludf.DUMMYFUNCTION("""COMPUTED_VALUE"""),"Lane")</f>
        <v>Lane</v>
      </c>
      <c r="G1005" s="40" t="str">
        <f>IFERROR(__xludf.DUMMYFUNCTION("""COMPUTED_VALUE"""),"Park")</f>
        <v>Park</v>
      </c>
      <c r="H1005" s="40" t="str">
        <f>IFERROR(__xludf.DUMMYFUNCTION("""COMPUTED_VALUE"""),"Dr
Dallas,")</f>
        <v>Dr
Dallas,</v>
      </c>
      <c r="I1005" s="40" t="str">
        <f>IFERROR(__xludf.DUMMYFUNCTION("""COMPUTED_VALUE"""),"TX")</f>
        <v>TX</v>
      </c>
      <c r="J1005" s="40">
        <f>IFERROR(__xludf.DUMMYFUNCTION("""COMPUTED_VALUE"""),75225.0)</f>
        <v>75225</v>
      </c>
      <c r="K1005" s="40"/>
      <c r="L1005" s="40"/>
      <c r="M1005" s="40"/>
      <c r="N1005" s="40"/>
      <c r="O1005" s="40"/>
      <c r="P1005" s="40"/>
      <c r="Q1005" s="40"/>
      <c r="R1005" s="40"/>
      <c r="S1005" s="40"/>
      <c r="T1005" s="40"/>
      <c r="U1005" s="24" t="str">
        <f>IFERROR(__xludf.DUMMYFUNCTION("SPLIT(E1005,""01234567890"")"),"Tom
")</f>
        <v>Tom
</v>
      </c>
      <c r="V1005" s="24" t="str">
        <f>IFERROR(__xludf.DUMMYFUNCTION("SPLIT(D1005,"","")"),"Luce")</f>
        <v>Luce</v>
      </c>
      <c r="W1005" s="25" t="str">
        <f t="shared" si="1"/>
        <v>TOM
 LUCE</v>
      </c>
      <c r="X1005" s="40"/>
      <c r="Y1005" s="40"/>
      <c r="Z1005" s="25" t="str">
        <f>IFERROR(__xludf.DUMMYFUNCTION("SPLIT(C1005,""
"")"),"Luce, Tom")</f>
        <v>Luce, Tom</v>
      </c>
      <c r="AA1005" s="40" t="str">
        <f>IFERROR(__xludf.DUMMYFUNCTION("""COMPUTED_VALUE"""),"7338 Lane Park Dr")</f>
        <v>7338 Lane Park Dr</v>
      </c>
      <c r="AB1005" s="40" t="str">
        <f>IFERROR(__xludf.DUMMYFUNCTION("""COMPUTED_VALUE"""),"Dallas, TX 75225")</f>
        <v>Dallas, TX 75225</v>
      </c>
      <c r="AC1005" s="31" t="s">
        <v>2368</v>
      </c>
      <c r="AD1005" s="40"/>
      <c r="AE1005" s="40"/>
      <c r="AF1005" s="40"/>
      <c r="AG1005" s="40" t="s">
        <v>60</v>
      </c>
      <c r="AH1005" s="42">
        <v>2481.0</v>
      </c>
      <c r="AI1005" s="40" t="s">
        <v>68</v>
      </c>
      <c r="AJ1005" s="27">
        <v>1000.0</v>
      </c>
      <c r="AK1005" s="31" t="s">
        <v>25</v>
      </c>
      <c r="AL1005" s="43">
        <v>44842.0</v>
      </c>
      <c r="AM1005" s="44">
        <v>44937.81995370371</v>
      </c>
      <c r="AN1005" s="30">
        <v>2.0</v>
      </c>
      <c r="AO1005" s="40"/>
      <c r="AP1005" s="40"/>
      <c r="AQ1005" s="40"/>
      <c r="AR1005" s="40"/>
      <c r="AS1005" s="40"/>
      <c r="AT1005" s="47"/>
      <c r="AU1005" s="40"/>
      <c r="AV1005" s="46"/>
      <c r="AW1005" s="46"/>
      <c r="AX1005" s="47"/>
      <c r="AY1005" s="44"/>
      <c r="AZ1005" s="30"/>
      <c r="CU1005" s="55"/>
      <c r="CV1005" s="55"/>
      <c r="CW1005" s="55"/>
      <c r="CX1005" s="55"/>
      <c r="CY1005" s="55"/>
      <c r="CZ1005" s="55"/>
      <c r="DA1005" s="82"/>
      <c r="DB1005" s="55"/>
      <c r="DC1005" s="55"/>
      <c r="DD1005" s="55"/>
      <c r="DE1005" s="55"/>
      <c r="DF1005" s="55"/>
      <c r="DG1005" s="55"/>
      <c r="DH1005" s="55"/>
      <c r="DI1005" s="55"/>
      <c r="DJ1005" s="55"/>
      <c r="DK1005" s="55"/>
      <c r="DL1005" s="55"/>
      <c r="DM1005" s="55"/>
      <c r="DN1005" s="55"/>
      <c r="DO1005" s="55"/>
      <c r="DP1005" s="55"/>
      <c r="DQ1005" s="55"/>
      <c r="DR1005" s="55"/>
      <c r="DS1005" s="55"/>
      <c r="DT1005" s="55"/>
      <c r="DU1005" s="55"/>
      <c r="DV1005" s="55"/>
      <c r="DW1005" s="55"/>
    </row>
    <row r="1006">
      <c r="A1006" s="22" t="s">
        <v>55</v>
      </c>
      <c r="B1006" s="23" t="s">
        <v>56</v>
      </c>
      <c r="C1006" s="31" t="s">
        <v>2369</v>
      </c>
      <c r="D1006" s="25" t="str">
        <f>IFERROR(__xludf.DUMMYFUNCTION("SPLIT(C1006,"" "")"),"Hall,")</f>
        <v>Hall,</v>
      </c>
      <c r="E1006" s="22" t="str">
        <f>IFERROR(__xludf.DUMMYFUNCTION("""COMPUTED_VALUE"""),"Steve")</f>
        <v>Steve</v>
      </c>
      <c r="F1006" s="22" t="str">
        <f>IFERROR(__xludf.DUMMYFUNCTION("""COMPUTED_VALUE"""),"&amp;")</f>
        <v>&amp;</v>
      </c>
      <c r="G1006" s="22" t="str">
        <f>IFERROR(__xludf.DUMMYFUNCTION("""COMPUTED_VALUE"""),"Joy
5959")</f>
        <v>Joy
5959</v>
      </c>
      <c r="H1006" s="22" t="str">
        <f>IFERROR(__xludf.DUMMYFUNCTION("""COMPUTED_VALUE"""),"Royal")</f>
        <v>Royal</v>
      </c>
      <c r="I1006" s="22" t="str">
        <f>IFERROR(__xludf.DUMMYFUNCTION("""COMPUTED_VALUE"""),"Lane
Dallas,")</f>
        <v>Lane
Dallas,</v>
      </c>
      <c r="J1006" s="22" t="str">
        <f>IFERROR(__xludf.DUMMYFUNCTION("""COMPUTED_VALUE"""),"TX")</f>
        <v>TX</v>
      </c>
      <c r="K1006" s="22">
        <f>IFERROR(__xludf.DUMMYFUNCTION("""COMPUTED_VALUE"""),75230.0)</f>
        <v>75230</v>
      </c>
      <c r="L1006" s="22"/>
      <c r="M1006" s="22"/>
      <c r="N1006" s="22"/>
      <c r="O1006" s="22"/>
      <c r="P1006" s="22"/>
      <c r="Q1006" s="22"/>
      <c r="R1006" s="22"/>
      <c r="S1006" s="22"/>
      <c r="T1006" s="22"/>
      <c r="U1006" s="24" t="str">
        <f>IFERROR(__xludf.DUMMYFUNCTION("SPLIT(E1006,""01234567890"")"),"Steve")</f>
        <v>Steve</v>
      </c>
      <c r="V1006" s="24" t="str">
        <f>IFERROR(__xludf.DUMMYFUNCTION("SPLIT(D1006,"","")"),"Hall")</f>
        <v>Hall</v>
      </c>
      <c r="W1006" s="25" t="str">
        <f t="shared" si="1"/>
        <v>STEVE HALL</v>
      </c>
      <c r="X1006" s="22"/>
      <c r="Y1006" s="22"/>
      <c r="Z1006" s="25" t="str">
        <f>IFERROR(__xludf.DUMMYFUNCTION("SPLIT(C1006,""
"")"),"Hall, Steve &amp; Joy")</f>
        <v>Hall, Steve &amp; Joy</v>
      </c>
      <c r="AA1006" s="22" t="str">
        <f>IFERROR(__xludf.DUMMYFUNCTION("""COMPUTED_VALUE"""),"5959 Royal Lane")</f>
        <v>5959 Royal Lane</v>
      </c>
      <c r="AB1006" s="22" t="str">
        <f>IFERROR(__xludf.DUMMYFUNCTION("""COMPUTED_VALUE"""),"Dallas, TX 75230")</f>
        <v>Dallas, TX 75230</v>
      </c>
      <c r="AC1006" s="31" t="s">
        <v>2370</v>
      </c>
      <c r="AD1006" s="22"/>
      <c r="AE1006" s="22"/>
      <c r="AF1006" s="22"/>
      <c r="AG1006" s="22" t="s">
        <v>60</v>
      </c>
      <c r="AH1006" s="54">
        <v>2481.0</v>
      </c>
      <c r="AI1006" s="22" t="s">
        <v>68</v>
      </c>
      <c r="AJ1006" s="27">
        <v>10000.0</v>
      </c>
      <c r="AK1006" s="31" t="s">
        <v>25</v>
      </c>
      <c r="AL1006" s="28">
        <v>44844.0</v>
      </c>
      <c r="AM1006" s="29">
        <v>44937.81995370371</v>
      </c>
      <c r="AN1006" s="30">
        <v>2.0</v>
      </c>
      <c r="AO1006" s="22"/>
      <c r="AP1006" s="22"/>
      <c r="AQ1006" s="22"/>
      <c r="AR1006" s="22"/>
      <c r="AS1006" s="22"/>
      <c r="AT1006" s="70"/>
      <c r="AU1006" s="22"/>
      <c r="AV1006" s="57"/>
      <c r="AW1006" s="57"/>
      <c r="AX1006" s="70"/>
      <c r="AY1006" s="29"/>
      <c r="AZ1006" s="30"/>
      <c r="CU1006" s="55"/>
      <c r="CV1006" s="55"/>
      <c r="CW1006" s="55"/>
      <c r="CX1006" s="55"/>
      <c r="CY1006" s="55"/>
      <c r="CZ1006" s="55"/>
      <c r="DA1006" s="82"/>
      <c r="DB1006" s="55"/>
      <c r="DC1006" s="55"/>
      <c r="DD1006" s="55"/>
      <c r="DE1006" s="55"/>
      <c r="DF1006" s="55"/>
      <c r="DG1006" s="55"/>
      <c r="DH1006" s="55"/>
      <c r="DI1006" s="55"/>
      <c r="DJ1006" s="55"/>
      <c r="DK1006" s="55"/>
      <c r="DL1006" s="55"/>
      <c r="DM1006" s="55"/>
      <c r="DN1006" s="55"/>
      <c r="DO1006" s="55"/>
      <c r="DP1006" s="55"/>
      <c r="DQ1006" s="55"/>
      <c r="DR1006" s="55"/>
      <c r="DS1006" s="55"/>
      <c r="DT1006" s="55"/>
      <c r="DU1006" s="55"/>
      <c r="DV1006" s="55"/>
      <c r="DW1006" s="55"/>
    </row>
    <row r="1007">
      <c r="A1007" s="40" t="s">
        <v>55</v>
      </c>
      <c r="B1007" s="41" t="s">
        <v>56</v>
      </c>
      <c r="C1007" s="31" t="s">
        <v>2371</v>
      </c>
      <c r="D1007" s="25" t="str">
        <f>IFERROR(__xludf.DUMMYFUNCTION("SPLIT(C1007,"" "")"),"Hopper,")</f>
        <v>Hopper,</v>
      </c>
      <c r="E1007" s="40" t="str">
        <f>IFERROR(__xludf.DUMMYFUNCTION("""COMPUTED_VALUE"""),"John
8821")</f>
        <v>John
8821</v>
      </c>
      <c r="F1007" s="40" t="str">
        <f>IFERROR(__xludf.DUMMYFUNCTION("""COMPUTED_VALUE"""),"Tudor")</f>
        <v>Tudor</v>
      </c>
      <c r="G1007" s="40" t="str">
        <f>IFERROR(__xludf.DUMMYFUNCTION("""COMPUTED_VALUE"""),"Pl
Dallas,")</f>
        <v>Pl
Dallas,</v>
      </c>
      <c r="H1007" s="40" t="str">
        <f>IFERROR(__xludf.DUMMYFUNCTION("""COMPUTED_VALUE"""),"TX")</f>
        <v>TX</v>
      </c>
      <c r="I1007" s="40">
        <f>IFERROR(__xludf.DUMMYFUNCTION("""COMPUTED_VALUE"""),75228.0)</f>
        <v>75228</v>
      </c>
      <c r="J1007" s="40"/>
      <c r="K1007" s="40"/>
      <c r="L1007" s="40"/>
      <c r="M1007" s="40"/>
      <c r="N1007" s="40"/>
      <c r="O1007" s="40"/>
      <c r="P1007" s="40"/>
      <c r="Q1007" s="40"/>
      <c r="R1007" s="40"/>
      <c r="S1007" s="40"/>
      <c r="T1007" s="40"/>
      <c r="U1007" s="24" t="str">
        <f>IFERROR(__xludf.DUMMYFUNCTION("SPLIT(E1007,""01234567890"")"),"John
")</f>
        <v>John
</v>
      </c>
      <c r="V1007" s="24" t="str">
        <f>IFERROR(__xludf.DUMMYFUNCTION("SPLIT(D1007,"","")"),"Hopper")</f>
        <v>Hopper</v>
      </c>
      <c r="W1007" s="25" t="str">
        <f t="shared" si="1"/>
        <v>JOHN
 HOPPER</v>
      </c>
      <c r="X1007" s="40"/>
      <c r="Y1007" s="40"/>
      <c r="Z1007" s="25" t="str">
        <f>IFERROR(__xludf.DUMMYFUNCTION("SPLIT(C1007,""
"")"),"Hopper, John")</f>
        <v>Hopper, John</v>
      </c>
      <c r="AA1007" s="40" t="str">
        <f>IFERROR(__xludf.DUMMYFUNCTION("""COMPUTED_VALUE"""),"8821 Tudor Pl")</f>
        <v>8821 Tudor Pl</v>
      </c>
      <c r="AB1007" s="40" t="str">
        <f>IFERROR(__xludf.DUMMYFUNCTION("""COMPUTED_VALUE"""),"Dallas, TX 75228")</f>
        <v>Dallas, TX 75228</v>
      </c>
      <c r="AC1007" s="31" t="s">
        <v>2372</v>
      </c>
      <c r="AD1007" s="40"/>
      <c r="AE1007" s="40"/>
      <c r="AF1007" s="40"/>
      <c r="AG1007" s="40" t="s">
        <v>60</v>
      </c>
      <c r="AH1007" s="42">
        <v>2481.0</v>
      </c>
      <c r="AI1007" s="40" t="s">
        <v>68</v>
      </c>
      <c r="AJ1007" s="27">
        <v>50.0</v>
      </c>
      <c r="AK1007" s="31" t="s">
        <v>25</v>
      </c>
      <c r="AL1007" s="43">
        <v>44844.0</v>
      </c>
      <c r="AM1007" s="44">
        <v>44937.81995370371</v>
      </c>
      <c r="AN1007" s="30">
        <v>2.0</v>
      </c>
      <c r="AO1007" s="40"/>
      <c r="AP1007" s="40"/>
      <c r="AQ1007" s="40"/>
      <c r="AR1007" s="40"/>
      <c r="AS1007" s="40"/>
      <c r="AT1007" s="47"/>
      <c r="AU1007" s="40"/>
      <c r="AV1007" s="46"/>
      <c r="AW1007" s="46"/>
      <c r="AX1007" s="47"/>
      <c r="AY1007" s="44"/>
      <c r="AZ1007" s="30"/>
      <c r="CU1007" s="55"/>
      <c r="CV1007" s="55"/>
      <c r="CW1007" s="55"/>
      <c r="CX1007" s="55"/>
      <c r="CY1007" s="55"/>
      <c r="CZ1007" s="55"/>
      <c r="DA1007" s="82"/>
      <c r="DB1007" s="55"/>
      <c r="DC1007" s="55"/>
      <c r="DD1007" s="55"/>
      <c r="DE1007" s="55"/>
      <c r="DF1007" s="55"/>
      <c r="DG1007" s="55"/>
      <c r="DH1007" s="55"/>
      <c r="DI1007" s="55"/>
      <c r="DJ1007" s="55"/>
      <c r="DK1007" s="55"/>
      <c r="DL1007" s="55"/>
      <c r="DM1007" s="55"/>
      <c r="DN1007" s="55"/>
      <c r="DO1007" s="55"/>
      <c r="DP1007" s="55"/>
      <c r="DQ1007" s="55"/>
      <c r="DR1007" s="55"/>
      <c r="DS1007" s="55"/>
      <c r="DT1007" s="55"/>
      <c r="DU1007" s="55"/>
      <c r="DV1007" s="55"/>
      <c r="DW1007" s="55"/>
    </row>
    <row r="1008">
      <c r="A1008" s="22" t="s">
        <v>55</v>
      </c>
      <c r="B1008" s="23" t="s">
        <v>56</v>
      </c>
      <c r="C1008" s="31" t="s">
        <v>2373</v>
      </c>
      <c r="D1008" s="25" t="str">
        <f>IFERROR(__xludf.DUMMYFUNCTION("SPLIT(C1008,"" "")"),"Washburne,")</f>
        <v>Washburne,</v>
      </c>
      <c r="E1008" s="22" t="str">
        <f>IFERROR(__xludf.DUMMYFUNCTION("""COMPUTED_VALUE"""),"Ray
47")</f>
        <v>Ray
47</v>
      </c>
      <c r="F1008" s="22" t="str">
        <f>IFERROR(__xludf.DUMMYFUNCTION("""COMPUTED_VALUE"""),"Highland")</f>
        <v>Highland</v>
      </c>
      <c r="G1008" s="22" t="str">
        <f>IFERROR(__xludf.DUMMYFUNCTION("""COMPUTED_VALUE"""),"Park")</f>
        <v>Park</v>
      </c>
      <c r="H1008" s="22" t="str">
        <f>IFERROR(__xludf.DUMMYFUNCTION("""COMPUTED_VALUE"""),"Village
Dallas,")</f>
        <v>Village
Dallas,</v>
      </c>
      <c r="I1008" s="22" t="str">
        <f>IFERROR(__xludf.DUMMYFUNCTION("""COMPUTED_VALUE"""),"TX")</f>
        <v>TX</v>
      </c>
      <c r="J1008" s="22">
        <f>IFERROR(__xludf.DUMMYFUNCTION("""COMPUTED_VALUE"""),75205.0)</f>
        <v>75205</v>
      </c>
      <c r="K1008" s="22"/>
      <c r="L1008" s="22"/>
      <c r="M1008" s="22"/>
      <c r="N1008" s="22"/>
      <c r="O1008" s="22"/>
      <c r="P1008" s="22"/>
      <c r="Q1008" s="22"/>
      <c r="R1008" s="22"/>
      <c r="S1008" s="22"/>
      <c r="T1008" s="22"/>
      <c r="U1008" s="24" t="str">
        <f>IFERROR(__xludf.DUMMYFUNCTION("SPLIT(E1008,""01234567890"")"),"Ray
")</f>
        <v>Ray
</v>
      </c>
      <c r="V1008" s="24" t="str">
        <f>IFERROR(__xludf.DUMMYFUNCTION("SPLIT(D1008,"","")"),"Washburne")</f>
        <v>Washburne</v>
      </c>
      <c r="W1008" s="25" t="str">
        <f t="shared" si="1"/>
        <v>RAY
 WASHBURNE</v>
      </c>
      <c r="X1008" s="22"/>
      <c r="Y1008" s="22"/>
      <c r="Z1008" s="25" t="str">
        <f>IFERROR(__xludf.DUMMYFUNCTION("SPLIT(C1008,""
"")"),"Washburne, Ray")</f>
        <v>Washburne, Ray</v>
      </c>
      <c r="AA1008" s="22" t="str">
        <f>IFERROR(__xludf.DUMMYFUNCTION("""COMPUTED_VALUE"""),"47 Highland Park Village")</f>
        <v>47 Highland Park Village</v>
      </c>
      <c r="AB1008" s="22" t="str">
        <f>IFERROR(__xludf.DUMMYFUNCTION("""COMPUTED_VALUE"""),"Dallas, TX 75205")</f>
        <v>Dallas, TX 75205</v>
      </c>
      <c r="AC1008" s="31" t="s">
        <v>2374</v>
      </c>
      <c r="AD1008" s="22"/>
      <c r="AE1008" s="22"/>
      <c r="AF1008" s="22"/>
      <c r="AG1008" s="22" t="s">
        <v>60</v>
      </c>
      <c r="AH1008" s="54">
        <v>2481.0</v>
      </c>
      <c r="AI1008" s="22" t="s">
        <v>68</v>
      </c>
      <c r="AJ1008" s="27">
        <v>5000.0</v>
      </c>
      <c r="AK1008" s="31" t="s">
        <v>25</v>
      </c>
      <c r="AL1008" s="28">
        <v>44845.0</v>
      </c>
      <c r="AM1008" s="29">
        <v>44937.81995370371</v>
      </c>
      <c r="AN1008" s="30">
        <v>2.0</v>
      </c>
      <c r="AO1008" s="22"/>
      <c r="AP1008" s="22"/>
      <c r="AQ1008" s="22"/>
      <c r="AR1008" s="22"/>
      <c r="AS1008" s="22"/>
      <c r="AT1008" s="70"/>
      <c r="AU1008" s="22"/>
      <c r="AV1008" s="57"/>
      <c r="AW1008" s="57"/>
      <c r="AX1008" s="70"/>
      <c r="AY1008" s="29"/>
      <c r="AZ1008" s="30"/>
      <c r="CU1008" s="55"/>
      <c r="CV1008" s="55"/>
      <c r="CW1008" s="55"/>
      <c r="CX1008" s="55"/>
      <c r="CY1008" s="55"/>
      <c r="CZ1008" s="55"/>
      <c r="DA1008" s="82"/>
      <c r="DB1008" s="55"/>
      <c r="DC1008" s="55"/>
      <c r="DD1008" s="55"/>
      <c r="DE1008" s="55"/>
      <c r="DF1008" s="55"/>
      <c r="DG1008" s="55"/>
      <c r="DH1008" s="55"/>
      <c r="DI1008" s="55"/>
      <c r="DJ1008" s="55"/>
      <c r="DK1008" s="55"/>
      <c r="DL1008" s="55"/>
      <c r="DM1008" s="55"/>
      <c r="DN1008" s="55"/>
      <c r="DO1008" s="55"/>
      <c r="DP1008" s="55"/>
      <c r="DQ1008" s="55"/>
      <c r="DR1008" s="55"/>
      <c r="DS1008" s="55"/>
      <c r="DT1008" s="55"/>
      <c r="DU1008" s="55"/>
      <c r="DV1008" s="55"/>
      <c r="DW1008" s="55"/>
    </row>
    <row r="1009">
      <c r="A1009" s="40" t="s">
        <v>55</v>
      </c>
      <c r="B1009" s="41" t="s">
        <v>56</v>
      </c>
      <c r="C1009" s="31" t="s">
        <v>2375</v>
      </c>
      <c r="D1009" s="25" t="str">
        <f>IFERROR(__xludf.DUMMYFUNCTION("SPLIT(C1009,"" "")"),"Goldman,")</f>
        <v>Goldman,</v>
      </c>
      <c r="E1009" s="40" t="str">
        <f>IFERROR(__xludf.DUMMYFUNCTION("""COMPUTED_VALUE"""),"Bridget
4312")</f>
        <v>Bridget
4312</v>
      </c>
      <c r="F1009" s="40" t="str">
        <f>IFERROR(__xludf.DUMMYFUNCTION("""COMPUTED_VALUE"""),"Larchmont")</f>
        <v>Larchmont</v>
      </c>
      <c r="G1009" s="40" t="str">
        <f>IFERROR(__xludf.DUMMYFUNCTION("""COMPUTED_VALUE"""),"St
Dallas,")</f>
        <v>St
Dallas,</v>
      </c>
      <c r="H1009" s="40" t="str">
        <f>IFERROR(__xludf.DUMMYFUNCTION("""COMPUTED_VALUE"""),"TX")</f>
        <v>TX</v>
      </c>
      <c r="I1009" s="40">
        <f>IFERROR(__xludf.DUMMYFUNCTION("""COMPUTED_VALUE"""),75205.0)</f>
        <v>75205</v>
      </c>
      <c r="J1009" s="40"/>
      <c r="K1009" s="40"/>
      <c r="L1009" s="40"/>
      <c r="M1009" s="40"/>
      <c r="N1009" s="40"/>
      <c r="O1009" s="40"/>
      <c r="P1009" s="40"/>
      <c r="Q1009" s="40"/>
      <c r="R1009" s="40"/>
      <c r="S1009" s="40"/>
      <c r="T1009" s="40"/>
      <c r="U1009" s="24" t="str">
        <f>IFERROR(__xludf.DUMMYFUNCTION("SPLIT(E1009,""01234567890"")"),"Bridget
")</f>
        <v>Bridget
</v>
      </c>
      <c r="V1009" s="24" t="str">
        <f>IFERROR(__xludf.DUMMYFUNCTION("SPLIT(D1009,"","")"),"Goldman")</f>
        <v>Goldman</v>
      </c>
      <c r="W1009" s="25" t="str">
        <f t="shared" si="1"/>
        <v>BRIDGET
 GOLDMAN</v>
      </c>
      <c r="X1009" s="40"/>
      <c r="Y1009" s="40"/>
      <c r="Z1009" s="25" t="str">
        <f>IFERROR(__xludf.DUMMYFUNCTION("SPLIT(C1009,""
"")"),"Goldman, Bridget")</f>
        <v>Goldman, Bridget</v>
      </c>
      <c r="AA1009" s="40" t="str">
        <f>IFERROR(__xludf.DUMMYFUNCTION("""COMPUTED_VALUE"""),"4312 Larchmont St")</f>
        <v>4312 Larchmont St</v>
      </c>
      <c r="AB1009" s="40" t="str">
        <f>IFERROR(__xludf.DUMMYFUNCTION("""COMPUTED_VALUE"""),"Dallas, TX 75205")</f>
        <v>Dallas, TX 75205</v>
      </c>
      <c r="AC1009" s="31" t="s">
        <v>2376</v>
      </c>
      <c r="AD1009" s="40"/>
      <c r="AE1009" s="40"/>
      <c r="AF1009" s="40"/>
      <c r="AG1009" s="40" t="s">
        <v>60</v>
      </c>
      <c r="AH1009" s="42">
        <v>2481.0</v>
      </c>
      <c r="AI1009" s="40" t="s">
        <v>68</v>
      </c>
      <c r="AJ1009" s="27">
        <v>100.0</v>
      </c>
      <c r="AK1009" s="31" t="s">
        <v>25</v>
      </c>
      <c r="AL1009" s="43">
        <v>44847.0</v>
      </c>
      <c r="AM1009" s="44">
        <v>44937.81995370371</v>
      </c>
      <c r="AN1009" s="30">
        <v>2.0</v>
      </c>
      <c r="AO1009" s="40"/>
      <c r="AP1009" s="40"/>
      <c r="AQ1009" s="40"/>
      <c r="AR1009" s="40"/>
      <c r="AS1009" s="40"/>
      <c r="AT1009" s="47"/>
      <c r="AU1009" s="40"/>
      <c r="AV1009" s="46"/>
      <c r="AW1009" s="46"/>
      <c r="AX1009" s="47"/>
      <c r="AY1009" s="44"/>
      <c r="AZ1009" s="30"/>
      <c r="CU1009" s="55"/>
      <c r="CV1009" s="55"/>
      <c r="CW1009" s="55"/>
      <c r="CX1009" s="55"/>
      <c r="CY1009" s="55"/>
      <c r="CZ1009" s="55"/>
      <c r="DA1009" s="82"/>
      <c r="DB1009" s="55"/>
      <c r="DC1009" s="55"/>
      <c r="DD1009" s="55"/>
      <c r="DE1009" s="55"/>
      <c r="DF1009" s="55"/>
      <c r="DG1009" s="55"/>
      <c r="DH1009" s="55"/>
      <c r="DI1009" s="55"/>
      <c r="DJ1009" s="55"/>
      <c r="DK1009" s="55"/>
      <c r="DL1009" s="55"/>
      <c r="DM1009" s="55"/>
      <c r="DN1009" s="55"/>
      <c r="DO1009" s="55"/>
      <c r="DP1009" s="55"/>
      <c r="DQ1009" s="55"/>
      <c r="DR1009" s="55"/>
      <c r="DS1009" s="55"/>
      <c r="DT1009" s="55"/>
      <c r="DU1009" s="55"/>
      <c r="DV1009" s="55"/>
      <c r="DW1009" s="55"/>
    </row>
    <row r="1010">
      <c r="A1010" s="22" t="s">
        <v>55</v>
      </c>
      <c r="B1010" s="23" t="s">
        <v>56</v>
      </c>
      <c r="C1010" s="31" t="s">
        <v>2377</v>
      </c>
      <c r="D1010" s="25" t="str">
        <f>IFERROR(__xludf.DUMMYFUNCTION("SPLIT(C1010,"" "")"),"Keyes,")</f>
        <v>Keyes,</v>
      </c>
      <c r="E1010" s="22" t="str">
        <f>IFERROR(__xludf.DUMMYFUNCTION("""COMPUTED_VALUE"""),"Katrina
3839")</f>
        <v>Katrina
3839</v>
      </c>
      <c r="F1010" s="22" t="str">
        <f>IFERROR(__xludf.DUMMYFUNCTION("""COMPUTED_VALUE"""),"McKinney")</f>
        <v>McKinney</v>
      </c>
      <c r="G1010" s="22" t="str">
        <f>IFERROR(__xludf.DUMMYFUNCTION("""COMPUTED_VALUE"""),"Ave
Dallas,")</f>
        <v>Ave
Dallas,</v>
      </c>
      <c r="H1010" s="22" t="str">
        <f>IFERROR(__xludf.DUMMYFUNCTION("""COMPUTED_VALUE"""),"TX")</f>
        <v>TX</v>
      </c>
      <c r="I1010" s="22">
        <f>IFERROR(__xludf.DUMMYFUNCTION("""COMPUTED_VALUE"""),75244.0)</f>
        <v>75244</v>
      </c>
      <c r="J1010" s="22"/>
      <c r="K1010" s="22"/>
      <c r="L1010" s="22"/>
      <c r="M1010" s="22"/>
      <c r="N1010" s="22"/>
      <c r="O1010" s="22"/>
      <c r="P1010" s="22"/>
      <c r="Q1010" s="22"/>
      <c r="R1010" s="22"/>
      <c r="S1010" s="22"/>
      <c r="T1010" s="22"/>
      <c r="U1010" s="24" t="str">
        <f>IFERROR(__xludf.DUMMYFUNCTION("SPLIT(E1010,""01234567890"")"),"Katrina
")</f>
        <v>Katrina
</v>
      </c>
      <c r="V1010" s="24" t="str">
        <f>IFERROR(__xludf.DUMMYFUNCTION("SPLIT(D1010,"","")"),"Keyes")</f>
        <v>Keyes</v>
      </c>
      <c r="W1010" s="25" t="str">
        <f t="shared" si="1"/>
        <v>KATRINA
 KEYES</v>
      </c>
      <c r="X1010" s="22"/>
      <c r="Y1010" s="22"/>
      <c r="Z1010" s="25" t="str">
        <f>IFERROR(__xludf.DUMMYFUNCTION("SPLIT(C1010,""
"")"),"Keyes, Katrina")</f>
        <v>Keyes, Katrina</v>
      </c>
      <c r="AA1010" s="22" t="str">
        <f>IFERROR(__xludf.DUMMYFUNCTION("""COMPUTED_VALUE"""),"3839 McKinney Ave")</f>
        <v>3839 McKinney Ave</v>
      </c>
      <c r="AB1010" s="22" t="str">
        <f>IFERROR(__xludf.DUMMYFUNCTION("""COMPUTED_VALUE"""),"Dallas, TX 75244")</f>
        <v>Dallas, TX 75244</v>
      </c>
      <c r="AC1010" s="31" t="s">
        <v>2378</v>
      </c>
      <c r="AD1010" s="22"/>
      <c r="AE1010" s="22"/>
      <c r="AF1010" s="22"/>
      <c r="AG1010" s="22" t="s">
        <v>60</v>
      </c>
      <c r="AH1010" s="54">
        <v>2481.0</v>
      </c>
      <c r="AI1010" s="22" t="s">
        <v>68</v>
      </c>
      <c r="AJ1010" s="27">
        <v>500.0</v>
      </c>
      <c r="AK1010" s="31" t="s">
        <v>25</v>
      </c>
      <c r="AL1010" s="28">
        <v>44848.0</v>
      </c>
      <c r="AM1010" s="29">
        <v>44937.81995370371</v>
      </c>
      <c r="AN1010" s="30">
        <v>2.0</v>
      </c>
      <c r="AO1010" s="22"/>
      <c r="AP1010" s="22"/>
      <c r="AQ1010" s="22"/>
      <c r="AR1010" s="22"/>
      <c r="AS1010" s="22"/>
      <c r="AT1010" s="70"/>
      <c r="AU1010" s="22"/>
      <c r="AV1010" s="57"/>
      <c r="AW1010" s="57"/>
      <c r="AX1010" s="70"/>
      <c r="AY1010" s="29"/>
      <c r="AZ1010" s="30"/>
      <c r="CU1010" s="55"/>
      <c r="CV1010" s="55"/>
      <c r="CW1010" s="55"/>
      <c r="CX1010" s="55"/>
      <c r="CY1010" s="55"/>
      <c r="CZ1010" s="55"/>
      <c r="DA1010" s="82"/>
      <c r="DB1010" s="55"/>
      <c r="DC1010" s="55"/>
      <c r="DD1010" s="55"/>
      <c r="DE1010" s="55"/>
      <c r="DF1010" s="55"/>
      <c r="DG1010" s="55"/>
      <c r="DH1010" s="55"/>
      <c r="DI1010" s="55"/>
      <c r="DJ1010" s="55"/>
      <c r="DK1010" s="55"/>
      <c r="DL1010" s="55"/>
      <c r="DM1010" s="55"/>
      <c r="DN1010" s="55"/>
      <c r="DO1010" s="55"/>
      <c r="DP1010" s="55"/>
      <c r="DQ1010" s="55"/>
      <c r="DR1010" s="55"/>
      <c r="DS1010" s="55"/>
      <c r="DT1010" s="55"/>
      <c r="DU1010" s="55"/>
      <c r="DV1010" s="55"/>
      <c r="DW1010" s="55"/>
    </row>
    <row r="1011">
      <c r="A1011" s="40" t="s">
        <v>55</v>
      </c>
      <c r="B1011" s="41" t="s">
        <v>56</v>
      </c>
      <c r="C1011" s="31" t="s">
        <v>1689</v>
      </c>
      <c r="D1011" s="25" t="str">
        <f>IFERROR(__xludf.DUMMYFUNCTION("SPLIT(C1011,"" "")"),"Tarpley,")</f>
        <v>Tarpley,</v>
      </c>
      <c r="E1011" s="40" t="str">
        <f>IFERROR(__xludf.DUMMYFUNCTION("""COMPUTED_VALUE"""),"Gloria
8378")</f>
        <v>Gloria
8378</v>
      </c>
      <c r="F1011" s="40" t="str">
        <f>IFERROR(__xludf.DUMMYFUNCTION("""COMPUTED_VALUE"""),"Forest")</f>
        <v>Forest</v>
      </c>
      <c r="G1011" s="40" t="str">
        <f>IFERROR(__xludf.DUMMYFUNCTION("""COMPUTED_VALUE"""),"Hills")</f>
        <v>Hills</v>
      </c>
      <c r="H1011" s="40" t="str">
        <f>IFERROR(__xludf.DUMMYFUNCTION("""COMPUTED_VALUE"""),"Blvd
Dallas,")</f>
        <v>Blvd
Dallas,</v>
      </c>
      <c r="I1011" s="40" t="str">
        <f>IFERROR(__xludf.DUMMYFUNCTION("""COMPUTED_VALUE"""),"TX")</f>
        <v>TX</v>
      </c>
      <c r="J1011" s="40">
        <f>IFERROR(__xludf.DUMMYFUNCTION("""COMPUTED_VALUE"""),75218.0)</f>
        <v>75218</v>
      </c>
      <c r="K1011" s="40"/>
      <c r="L1011" s="40"/>
      <c r="M1011" s="40"/>
      <c r="N1011" s="40"/>
      <c r="O1011" s="40"/>
      <c r="P1011" s="40"/>
      <c r="Q1011" s="40"/>
      <c r="R1011" s="40"/>
      <c r="S1011" s="40"/>
      <c r="T1011" s="40"/>
      <c r="U1011" s="24" t="str">
        <f>IFERROR(__xludf.DUMMYFUNCTION("SPLIT(E1011,""01234567890"")"),"Gloria
")</f>
        <v>Gloria
</v>
      </c>
      <c r="V1011" s="24" t="str">
        <f>IFERROR(__xludf.DUMMYFUNCTION("SPLIT(D1011,"","")"),"Tarpley")</f>
        <v>Tarpley</v>
      </c>
      <c r="W1011" s="25" t="str">
        <f t="shared" si="1"/>
        <v>GLORIA
 TARPLEY</v>
      </c>
      <c r="X1011" s="40"/>
      <c r="Y1011" s="40"/>
      <c r="Z1011" s="25" t="str">
        <f>IFERROR(__xludf.DUMMYFUNCTION("SPLIT(C1011,""
"")"),"Tarpley, Gloria")</f>
        <v>Tarpley, Gloria</v>
      </c>
      <c r="AA1011" s="40" t="str">
        <f>IFERROR(__xludf.DUMMYFUNCTION("""COMPUTED_VALUE"""),"8378 Forest Hills Blvd")</f>
        <v>8378 Forest Hills Blvd</v>
      </c>
      <c r="AB1011" s="40" t="str">
        <f>IFERROR(__xludf.DUMMYFUNCTION("""COMPUTED_VALUE"""),"Dallas, TX 75218")</f>
        <v>Dallas, TX 75218</v>
      </c>
      <c r="AC1011" s="31" t="s">
        <v>1341</v>
      </c>
      <c r="AD1011" s="40"/>
      <c r="AE1011" s="40"/>
      <c r="AF1011" s="40"/>
      <c r="AG1011" s="40" t="s">
        <v>60</v>
      </c>
      <c r="AH1011" s="42">
        <v>2481.0</v>
      </c>
      <c r="AI1011" s="40" t="s">
        <v>68</v>
      </c>
      <c r="AJ1011" s="27">
        <v>1000.0</v>
      </c>
      <c r="AK1011" s="31" t="s">
        <v>25</v>
      </c>
      <c r="AL1011" s="43">
        <v>44848.0</v>
      </c>
      <c r="AM1011" s="44">
        <v>44937.81995370371</v>
      </c>
      <c r="AN1011" s="30">
        <v>2.0</v>
      </c>
      <c r="AO1011" s="40"/>
      <c r="AP1011" s="40"/>
      <c r="AQ1011" s="40"/>
      <c r="AR1011" s="40"/>
      <c r="AS1011" s="40"/>
      <c r="AT1011" s="47"/>
      <c r="AU1011" s="40"/>
      <c r="AV1011" s="46"/>
      <c r="AW1011" s="46"/>
      <c r="AX1011" s="47"/>
      <c r="AY1011" s="44"/>
      <c r="AZ1011" s="30"/>
      <c r="CU1011" s="55"/>
      <c r="CV1011" s="55"/>
      <c r="CW1011" s="55"/>
      <c r="CX1011" s="55"/>
      <c r="CY1011" s="55"/>
      <c r="CZ1011" s="55"/>
      <c r="DA1011" s="82"/>
      <c r="DB1011" s="55"/>
      <c r="DC1011" s="55"/>
      <c r="DD1011" s="55"/>
      <c r="DE1011" s="55"/>
      <c r="DF1011" s="55"/>
      <c r="DG1011" s="55"/>
      <c r="DH1011" s="55"/>
      <c r="DI1011" s="55"/>
      <c r="DJ1011" s="55"/>
      <c r="DK1011" s="55"/>
      <c r="DL1011" s="55"/>
      <c r="DM1011" s="55"/>
      <c r="DN1011" s="55"/>
      <c r="DO1011" s="55"/>
      <c r="DP1011" s="55"/>
      <c r="DQ1011" s="55"/>
      <c r="DR1011" s="55"/>
      <c r="DS1011" s="55"/>
      <c r="DT1011" s="55"/>
      <c r="DU1011" s="55"/>
      <c r="DV1011" s="55"/>
      <c r="DW1011" s="55"/>
    </row>
    <row r="1012">
      <c r="A1012" s="22" t="s">
        <v>55</v>
      </c>
      <c r="B1012" s="23" t="s">
        <v>56</v>
      </c>
      <c r="C1012" s="31" t="s">
        <v>2379</v>
      </c>
      <c r="D1012" s="25" t="str">
        <f>IFERROR(__xludf.DUMMYFUNCTION("SPLIT(C1012,"" "")"),"Pailet,")</f>
        <v>Pailet,</v>
      </c>
      <c r="E1012" s="22" t="str">
        <f>IFERROR(__xludf.DUMMYFUNCTION("""COMPUTED_VALUE"""),"Jeff
7308")</f>
        <v>Jeff
7308</v>
      </c>
      <c r="F1012" s="22" t="str">
        <f>IFERROR(__xludf.DUMMYFUNCTION("""COMPUTED_VALUE"""),"Williamswood")</f>
        <v>Williamswood</v>
      </c>
      <c r="G1012" s="22" t="str">
        <f>IFERROR(__xludf.DUMMYFUNCTION("""COMPUTED_VALUE"""),"Dr
Dallas,")</f>
        <v>Dr
Dallas,</v>
      </c>
      <c r="H1012" s="22" t="str">
        <f>IFERROR(__xludf.DUMMYFUNCTION("""COMPUTED_VALUE"""),"TX")</f>
        <v>TX</v>
      </c>
      <c r="I1012" s="22">
        <f>IFERROR(__xludf.DUMMYFUNCTION("""COMPUTED_VALUE"""),75252.0)</f>
        <v>75252</v>
      </c>
      <c r="J1012" s="22"/>
      <c r="K1012" s="22"/>
      <c r="L1012" s="22"/>
      <c r="M1012" s="22"/>
      <c r="N1012" s="22"/>
      <c r="O1012" s="22"/>
      <c r="P1012" s="22"/>
      <c r="Q1012" s="22"/>
      <c r="R1012" s="22"/>
      <c r="S1012" s="22"/>
      <c r="T1012" s="22"/>
      <c r="U1012" s="24" t="str">
        <f>IFERROR(__xludf.DUMMYFUNCTION("SPLIT(E1012,""01234567890"")"),"Jeff
")</f>
        <v>Jeff
</v>
      </c>
      <c r="V1012" s="24" t="str">
        <f>IFERROR(__xludf.DUMMYFUNCTION("SPLIT(D1012,"","")"),"Pailet")</f>
        <v>Pailet</v>
      </c>
      <c r="W1012" s="25" t="str">
        <f t="shared" si="1"/>
        <v>JEFF
 PAILET</v>
      </c>
      <c r="X1012" s="22"/>
      <c r="Y1012" s="22"/>
      <c r="Z1012" s="25" t="str">
        <f>IFERROR(__xludf.DUMMYFUNCTION("SPLIT(C1012,""
"")"),"Pailet, Jeff")</f>
        <v>Pailet, Jeff</v>
      </c>
      <c r="AA1012" s="22" t="str">
        <f>IFERROR(__xludf.DUMMYFUNCTION("""COMPUTED_VALUE"""),"7308 Williamswood Dr")</f>
        <v>7308 Williamswood Dr</v>
      </c>
      <c r="AB1012" s="22" t="str">
        <f>IFERROR(__xludf.DUMMYFUNCTION("""COMPUTED_VALUE"""),"Dallas, TX 75252")</f>
        <v>Dallas, TX 75252</v>
      </c>
      <c r="AC1012" s="31" t="s">
        <v>2380</v>
      </c>
      <c r="AD1012" s="22"/>
      <c r="AE1012" s="22"/>
      <c r="AF1012" s="22"/>
      <c r="AG1012" s="22" t="s">
        <v>60</v>
      </c>
      <c r="AH1012" s="54">
        <v>2481.0</v>
      </c>
      <c r="AI1012" s="22" t="s">
        <v>68</v>
      </c>
      <c r="AJ1012" s="27">
        <v>100.0</v>
      </c>
      <c r="AK1012" s="31" t="s">
        <v>25</v>
      </c>
      <c r="AL1012" s="28">
        <v>44848.0</v>
      </c>
      <c r="AM1012" s="29">
        <v>44937.81995370371</v>
      </c>
      <c r="AN1012" s="30">
        <v>2.0</v>
      </c>
      <c r="AO1012" s="22"/>
      <c r="AP1012" s="22"/>
      <c r="AQ1012" s="22"/>
      <c r="AR1012" s="22"/>
      <c r="AS1012" s="22"/>
      <c r="AT1012" s="70"/>
      <c r="AU1012" s="22"/>
      <c r="AV1012" s="57"/>
      <c r="AW1012" s="57"/>
      <c r="AX1012" s="70"/>
      <c r="AY1012" s="29"/>
      <c r="AZ1012" s="30"/>
      <c r="CU1012" s="55"/>
      <c r="CV1012" s="55"/>
      <c r="CW1012" s="55"/>
      <c r="CX1012" s="55"/>
      <c r="CY1012" s="55"/>
      <c r="CZ1012" s="55"/>
      <c r="DA1012" s="82"/>
      <c r="DB1012" s="55"/>
      <c r="DC1012" s="55"/>
      <c r="DD1012" s="55"/>
      <c r="DE1012" s="55"/>
      <c r="DF1012" s="55"/>
      <c r="DG1012" s="55"/>
      <c r="DH1012" s="55"/>
      <c r="DI1012" s="55"/>
      <c r="DJ1012" s="55"/>
      <c r="DK1012" s="55"/>
      <c r="DL1012" s="55"/>
      <c r="DM1012" s="55"/>
      <c r="DN1012" s="55"/>
      <c r="DO1012" s="55"/>
      <c r="DP1012" s="55"/>
      <c r="DQ1012" s="55"/>
      <c r="DR1012" s="55"/>
      <c r="DS1012" s="55"/>
      <c r="DT1012" s="55"/>
      <c r="DU1012" s="55"/>
      <c r="DV1012" s="55"/>
      <c r="DW1012" s="55"/>
    </row>
    <row r="1013">
      <c r="A1013" s="40" t="s">
        <v>55</v>
      </c>
      <c r="B1013" s="41" t="s">
        <v>56</v>
      </c>
      <c r="C1013" s="31" t="s">
        <v>2381</v>
      </c>
      <c r="D1013" s="25" t="str">
        <f>IFERROR(__xludf.DUMMYFUNCTION("SPLIT(C1013,"" "")"),"Walne,")</f>
        <v>Walne,</v>
      </c>
      <c r="E1013" s="40" t="str">
        <f>IFERROR(__xludf.DUMMYFUNCTION("""COMPUTED_VALUE"""),"Alan
120")</f>
        <v>Alan
120</v>
      </c>
      <c r="F1013" s="40" t="str">
        <f>IFERROR(__xludf.DUMMYFUNCTION("""COMPUTED_VALUE"""),"Rayflex")</f>
        <v>Rayflex</v>
      </c>
      <c r="G1013" s="40" t="str">
        <f>IFERROR(__xludf.DUMMYFUNCTION("""COMPUTED_VALUE"""),"Dr
Richardson,")</f>
        <v>Dr
Richardson,</v>
      </c>
      <c r="H1013" s="40" t="str">
        <f>IFERROR(__xludf.DUMMYFUNCTION("""COMPUTED_VALUE"""),"TX")</f>
        <v>TX</v>
      </c>
      <c r="I1013" s="40">
        <f>IFERROR(__xludf.DUMMYFUNCTION("""COMPUTED_VALUE"""),75081.0)</f>
        <v>75081</v>
      </c>
      <c r="J1013" s="40"/>
      <c r="K1013" s="40"/>
      <c r="L1013" s="40"/>
      <c r="M1013" s="40"/>
      <c r="N1013" s="40"/>
      <c r="O1013" s="40"/>
      <c r="P1013" s="40"/>
      <c r="Q1013" s="40"/>
      <c r="R1013" s="40"/>
      <c r="S1013" s="40"/>
      <c r="T1013" s="40"/>
      <c r="U1013" s="24" t="str">
        <f>IFERROR(__xludf.DUMMYFUNCTION("SPLIT(E1013,""01234567890"")"),"Alan
")</f>
        <v>Alan
</v>
      </c>
      <c r="V1013" s="24" t="str">
        <f>IFERROR(__xludf.DUMMYFUNCTION("SPLIT(D1013,"","")"),"Walne")</f>
        <v>Walne</v>
      </c>
      <c r="W1013" s="25" t="str">
        <f t="shared" si="1"/>
        <v>ALAN
 WALNE</v>
      </c>
      <c r="X1013" s="40"/>
      <c r="Y1013" s="40"/>
      <c r="Z1013" s="25" t="str">
        <f>IFERROR(__xludf.DUMMYFUNCTION("SPLIT(C1013,""
"")"),"Walne, Alan")</f>
        <v>Walne, Alan</v>
      </c>
      <c r="AA1013" s="40" t="str">
        <f>IFERROR(__xludf.DUMMYFUNCTION("""COMPUTED_VALUE"""),"120 Rayflex Dr")</f>
        <v>120 Rayflex Dr</v>
      </c>
      <c r="AB1013" s="40" t="str">
        <f>IFERROR(__xludf.DUMMYFUNCTION("""COMPUTED_VALUE"""),"Richardson, TX 75081")</f>
        <v>Richardson, TX 75081</v>
      </c>
      <c r="AC1013" s="31" t="s">
        <v>2382</v>
      </c>
      <c r="AD1013" s="40"/>
      <c r="AE1013" s="40"/>
      <c r="AF1013" s="40"/>
      <c r="AG1013" s="40" t="s">
        <v>60</v>
      </c>
      <c r="AH1013" s="42">
        <v>2481.0</v>
      </c>
      <c r="AI1013" s="40" t="s">
        <v>68</v>
      </c>
      <c r="AJ1013" s="27">
        <v>500.0</v>
      </c>
      <c r="AK1013" s="31" t="s">
        <v>25</v>
      </c>
      <c r="AL1013" s="43">
        <v>44851.0</v>
      </c>
      <c r="AM1013" s="44">
        <v>44937.81995370371</v>
      </c>
      <c r="AN1013" s="30">
        <v>2.0</v>
      </c>
      <c r="AO1013" s="40"/>
      <c r="AP1013" s="40"/>
      <c r="AQ1013" s="40"/>
      <c r="AR1013" s="40"/>
      <c r="AS1013" s="40"/>
      <c r="AT1013" s="47"/>
      <c r="AU1013" s="40"/>
      <c r="AV1013" s="46"/>
      <c r="AW1013" s="46"/>
      <c r="AX1013" s="47"/>
      <c r="AY1013" s="44"/>
      <c r="AZ1013" s="30"/>
      <c r="CU1013" s="55"/>
      <c r="CV1013" s="55"/>
      <c r="CW1013" s="55"/>
      <c r="CX1013" s="55"/>
      <c r="CY1013" s="55"/>
      <c r="CZ1013" s="55"/>
      <c r="DA1013" s="82"/>
      <c r="DB1013" s="55"/>
      <c r="DC1013" s="55"/>
      <c r="DD1013" s="55"/>
      <c r="DE1013" s="55"/>
      <c r="DF1013" s="55"/>
      <c r="DG1013" s="55"/>
      <c r="DH1013" s="55"/>
      <c r="DI1013" s="55"/>
      <c r="DJ1013" s="55"/>
      <c r="DK1013" s="55"/>
      <c r="DL1013" s="55"/>
      <c r="DM1013" s="55"/>
      <c r="DN1013" s="55"/>
      <c r="DO1013" s="55"/>
      <c r="DP1013" s="55"/>
      <c r="DQ1013" s="55"/>
      <c r="DR1013" s="55"/>
      <c r="DS1013" s="55"/>
      <c r="DT1013" s="55"/>
      <c r="DU1013" s="55"/>
      <c r="DV1013" s="55"/>
      <c r="DW1013" s="55"/>
    </row>
    <row r="1014">
      <c r="A1014" s="22" t="s">
        <v>55</v>
      </c>
      <c r="B1014" s="23" t="s">
        <v>56</v>
      </c>
      <c r="C1014" s="31" t="s">
        <v>283</v>
      </c>
      <c r="D1014" s="25" t="str">
        <f>IFERROR(__xludf.DUMMYFUNCTION("SPLIT(C1014,"" "")"),"Bailey,")</f>
        <v>Bailey,</v>
      </c>
      <c r="E1014" s="22" t="str">
        <f>IFERROR(__xludf.DUMMYFUNCTION("""COMPUTED_VALUE"""),"Mary
3817")</f>
        <v>Mary
3817</v>
      </c>
      <c r="F1014" s="22" t="str">
        <f>IFERROR(__xludf.DUMMYFUNCTION("""COMPUTED_VALUE"""),"Normandy")</f>
        <v>Normandy</v>
      </c>
      <c r="G1014" s="22" t="str">
        <f>IFERROR(__xludf.DUMMYFUNCTION("""COMPUTED_VALUE"""),"Ave
Dallas,")</f>
        <v>Ave
Dallas,</v>
      </c>
      <c r="H1014" s="22" t="str">
        <f>IFERROR(__xludf.DUMMYFUNCTION("""COMPUTED_VALUE"""),"TX")</f>
        <v>TX</v>
      </c>
      <c r="I1014" s="22">
        <f>IFERROR(__xludf.DUMMYFUNCTION("""COMPUTED_VALUE"""),75205.0)</f>
        <v>75205</v>
      </c>
      <c r="J1014" s="22"/>
      <c r="K1014" s="22"/>
      <c r="L1014" s="22"/>
      <c r="M1014" s="22"/>
      <c r="N1014" s="22"/>
      <c r="O1014" s="22"/>
      <c r="P1014" s="22"/>
      <c r="Q1014" s="22"/>
      <c r="R1014" s="22"/>
      <c r="S1014" s="22"/>
      <c r="T1014" s="22"/>
      <c r="U1014" s="24" t="str">
        <f>IFERROR(__xludf.DUMMYFUNCTION("SPLIT(E1014,""01234567890"")"),"Mary
")</f>
        <v>Mary
</v>
      </c>
      <c r="V1014" s="24" t="str">
        <f>IFERROR(__xludf.DUMMYFUNCTION("SPLIT(D1014,"","")"),"Bailey")</f>
        <v>Bailey</v>
      </c>
      <c r="W1014" s="25" t="str">
        <f t="shared" si="1"/>
        <v>MARY
 BAILEY</v>
      </c>
      <c r="X1014" s="22"/>
      <c r="Y1014" s="22"/>
      <c r="Z1014" s="25" t="str">
        <f>IFERROR(__xludf.DUMMYFUNCTION("SPLIT(C1014,""
"")"),"Bailey, Mary")</f>
        <v>Bailey, Mary</v>
      </c>
      <c r="AA1014" s="22" t="str">
        <f>IFERROR(__xludf.DUMMYFUNCTION("""COMPUTED_VALUE"""),"3817 Normandy Ave")</f>
        <v>3817 Normandy Ave</v>
      </c>
      <c r="AB1014" s="22" t="str">
        <f>IFERROR(__xludf.DUMMYFUNCTION("""COMPUTED_VALUE"""),"Dallas, TX 75205")</f>
        <v>Dallas, TX 75205</v>
      </c>
      <c r="AC1014" s="31" t="s">
        <v>285</v>
      </c>
      <c r="AD1014" s="22"/>
      <c r="AE1014" s="22"/>
      <c r="AF1014" s="22"/>
      <c r="AG1014" s="22" t="s">
        <v>60</v>
      </c>
      <c r="AH1014" s="54">
        <v>2481.0</v>
      </c>
      <c r="AI1014" s="22" t="s">
        <v>68</v>
      </c>
      <c r="AJ1014" s="27">
        <v>2500.0</v>
      </c>
      <c r="AK1014" s="31" t="s">
        <v>25</v>
      </c>
      <c r="AL1014" s="28">
        <v>44851.0</v>
      </c>
      <c r="AM1014" s="29">
        <v>44937.81995370371</v>
      </c>
      <c r="AN1014" s="30">
        <v>2.0</v>
      </c>
      <c r="AO1014" s="22"/>
      <c r="AP1014" s="22"/>
      <c r="AQ1014" s="22"/>
      <c r="AR1014" s="22"/>
      <c r="AS1014" s="22"/>
      <c r="AT1014" s="70"/>
      <c r="AU1014" s="22"/>
      <c r="AV1014" s="57"/>
      <c r="AW1014" s="57"/>
      <c r="AX1014" s="70"/>
      <c r="AY1014" s="29"/>
      <c r="AZ1014" s="30"/>
      <c r="CU1014" s="55"/>
      <c r="CV1014" s="55"/>
      <c r="CW1014" s="55"/>
      <c r="CX1014" s="55"/>
      <c r="CY1014" s="55"/>
      <c r="CZ1014" s="55"/>
      <c r="DA1014" s="82"/>
      <c r="DB1014" s="55"/>
      <c r="DC1014" s="55"/>
      <c r="DD1014" s="55"/>
      <c r="DE1014" s="55"/>
      <c r="DF1014" s="55"/>
      <c r="DG1014" s="55"/>
      <c r="DH1014" s="55"/>
      <c r="DI1014" s="55"/>
      <c r="DJ1014" s="55"/>
      <c r="DK1014" s="55"/>
      <c r="DL1014" s="55"/>
      <c r="DM1014" s="55"/>
      <c r="DN1014" s="55"/>
      <c r="DO1014" s="55"/>
      <c r="DP1014" s="55"/>
      <c r="DQ1014" s="55"/>
      <c r="DR1014" s="55"/>
      <c r="DS1014" s="55"/>
      <c r="DT1014" s="55"/>
      <c r="DU1014" s="55"/>
      <c r="DV1014" s="55"/>
      <c r="DW1014" s="55"/>
    </row>
    <row r="1015">
      <c r="A1015" s="40" t="s">
        <v>55</v>
      </c>
      <c r="B1015" s="41" t="s">
        <v>56</v>
      </c>
      <c r="C1015" s="31" t="s">
        <v>2383</v>
      </c>
      <c r="D1015" s="25" t="str">
        <f>IFERROR(__xludf.DUMMYFUNCTION("SPLIT(C1015,"" "")"),"Hernandez,")</f>
        <v>Hernandez,</v>
      </c>
      <c r="E1015" s="40" t="str">
        <f>IFERROR(__xludf.DUMMYFUNCTION("""COMPUTED_VALUE"""),"James
1236")</f>
        <v>James
1236</v>
      </c>
      <c r="F1015" s="40" t="str">
        <f>IFERROR(__xludf.DUMMYFUNCTION("""COMPUTED_VALUE"""),"W")</f>
        <v>W</v>
      </c>
      <c r="G1015" s="40" t="str">
        <f>IFERROR(__xludf.DUMMYFUNCTION("""COMPUTED_VALUE"""),"18th")</f>
        <v>18th</v>
      </c>
      <c r="H1015" s="40" t="str">
        <f>IFERROR(__xludf.DUMMYFUNCTION("""COMPUTED_VALUE"""),"St
Houston,")</f>
        <v>St
Houston,</v>
      </c>
      <c r="I1015" s="40" t="str">
        <f>IFERROR(__xludf.DUMMYFUNCTION("""COMPUTED_VALUE"""),"TX")</f>
        <v>TX</v>
      </c>
      <c r="J1015" s="40">
        <f>IFERROR(__xludf.DUMMYFUNCTION("""COMPUTED_VALUE"""),77008.0)</f>
        <v>77008</v>
      </c>
      <c r="K1015" s="40"/>
      <c r="L1015" s="40"/>
      <c r="M1015" s="40"/>
      <c r="N1015" s="40"/>
      <c r="O1015" s="40"/>
      <c r="P1015" s="40"/>
      <c r="Q1015" s="40"/>
      <c r="R1015" s="40"/>
      <c r="S1015" s="40"/>
      <c r="T1015" s="40"/>
      <c r="U1015" s="24" t="str">
        <f>IFERROR(__xludf.DUMMYFUNCTION("SPLIT(E1015,""01234567890"")"),"James
")</f>
        <v>James
</v>
      </c>
      <c r="V1015" s="24" t="str">
        <f>IFERROR(__xludf.DUMMYFUNCTION("SPLIT(D1015,"","")"),"Hernandez")</f>
        <v>Hernandez</v>
      </c>
      <c r="W1015" s="25" t="str">
        <f t="shared" si="1"/>
        <v>JAMES
 HERNANDEZ</v>
      </c>
      <c r="X1015" s="40"/>
      <c r="Y1015" s="40"/>
      <c r="Z1015" s="25" t="str">
        <f>IFERROR(__xludf.DUMMYFUNCTION("SPLIT(C1015,""
"")"),"Hernandez, James")</f>
        <v>Hernandez, James</v>
      </c>
      <c r="AA1015" s="40" t="str">
        <f>IFERROR(__xludf.DUMMYFUNCTION("""COMPUTED_VALUE"""),"1236 W 18th St")</f>
        <v>1236 W 18th St</v>
      </c>
      <c r="AB1015" s="40" t="str">
        <f>IFERROR(__xludf.DUMMYFUNCTION("""COMPUTED_VALUE"""),"Houston, TX 77008")</f>
        <v>Houston, TX 77008</v>
      </c>
      <c r="AC1015" s="31" t="s">
        <v>2384</v>
      </c>
      <c r="AD1015" s="40"/>
      <c r="AE1015" s="40"/>
      <c r="AF1015" s="40"/>
      <c r="AG1015" s="40" t="s">
        <v>60</v>
      </c>
      <c r="AH1015" s="42">
        <v>2481.0</v>
      </c>
      <c r="AI1015" s="40" t="s">
        <v>68</v>
      </c>
      <c r="AJ1015" s="27">
        <v>500.0</v>
      </c>
      <c r="AK1015" s="31" t="s">
        <v>25</v>
      </c>
      <c r="AL1015" s="43">
        <v>44854.0</v>
      </c>
      <c r="AM1015" s="44">
        <v>44937.81995370371</v>
      </c>
      <c r="AN1015" s="30">
        <v>2.0</v>
      </c>
      <c r="AO1015" s="40"/>
      <c r="AP1015" s="40"/>
      <c r="AQ1015" s="40"/>
      <c r="AR1015" s="40"/>
      <c r="AS1015" s="40"/>
      <c r="AT1015" s="47"/>
      <c r="AU1015" s="40"/>
      <c r="AV1015" s="46"/>
      <c r="AW1015" s="46"/>
      <c r="AX1015" s="47"/>
      <c r="AY1015" s="44"/>
      <c r="AZ1015" s="30"/>
      <c r="CU1015" s="55"/>
      <c r="CV1015" s="55"/>
      <c r="CW1015" s="55"/>
      <c r="CX1015" s="55"/>
      <c r="CY1015" s="55"/>
      <c r="CZ1015" s="55"/>
      <c r="DA1015" s="82"/>
      <c r="DB1015" s="55"/>
      <c r="DC1015" s="55"/>
      <c r="DD1015" s="55"/>
      <c r="DE1015" s="55"/>
      <c r="DF1015" s="55"/>
      <c r="DG1015" s="55"/>
      <c r="DH1015" s="55"/>
      <c r="DI1015" s="55"/>
      <c r="DJ1015" s="55"/>
      <c r="DK1015" s="55"/>
      <c r="DL1015" s="55"/>
      <c r="DM1015" s="55"/>
      <c r="DN1015" s="55"/>
      <c r="DO1015" s="55"/>
      <c r="DP1015" s="55"/>
      <c r="DQ1015" s="55"/>
      <c r="DR1015" s="55"/>
      <c r="DS1015" s="55"/>
      <c r="DT1015" s="55"/>
      <c r="DU1015" s="55"/>
      <c r="DV1015" s="55"/>
      <c r="DW1015" s="55"/>
    </row>
    <row r="1016">
      <c r="A1016" s="22" t="s">
        <v>55</v>
      </c>
      <c r="B1016" s="23" t="s">
        <v>56</v>
      </c>
      <c r="C1016" s="31" t="s">
        <v>2385</v>
      </c>
      <c r="D1016" s="25" t="str">
        <f>IFERROR(__xludf.DUMMYFUNCTION("SPLIT(C1016,"" "")"),"Collie,")</f>
        <v>Collie,</v>
      </c>
      <c r="E1016" s="22" t="str">
        <f>IFERROR(__xludf.DUMMYFUNCTION("""COMPUTED_VALUE"""),"Robert
5939")</f>
        <v>Robert
5939</v>
      </c>
      <c r="F1016" s="22" t="str">
        <f>IFERROR(__xludf.DUMMYFUNCTION("""COMPUTED_VALUE"""),"Pine")</f>
        <v>Pine</v>
      </c>
      <c r="G1016" s="22" t="str">
        <f>IFERROR(__xludf.DUMMYFUNCTION("""COMPUTED_VALUE"""),"Forest")</f>
        <v>Forest</v>
      </c>
      <c r="H1016" s="22" t="str">
        <f>IFERROR(__xludf.DUMMYFUNCTION("""COMPUTED_VALUE"""),"Road
Houston,")</f>
        <v>Road
Houston,</v>
      </c>
      <c r="I1016" s="22" t="str">
        <f>IFERROR(__xludf.DUMMYFUNCTION("""COMPUTED_VALUE"""),"TX")</f>
        <v>TX</v>
      </c>
      <c r="J1016" s="22">
        <f>IFERROR(__xludf.DUMMYFUNCTION("""COMPUTED_VALUE"""),77057.0)</f>
        <v>77057</v>
      </c>
      <c r="K1016" s="22"/>
      <c r="L1016" s="22"/>
      <c r="M1016" s="22"/>
      <c r="N1016" s="22"/>
      <c r="O1016" s="22"/>
      <c r="P1016" s="22"/>
      <c r="Q1016" s="22"/>
      <c r="R1016" s="22"/>
      <c r="S1016" s="22"/>
      <c r="T1016" s="22"/>
      <c r="U1016" s="24" t="str">
        <f>IFERROR(__xludf.DUMMYFUNCTION("SPLIT(E1016,""01234567890"")"),"Robert
")</f>
        <v>Robert
</v>
      </c>
      <c r="V1016" s="24" t="str">
        <f>IFERROR(__xludf.DUMMYFUNCTION("SPLIT(D1016,"","")"),"Collie")</f>
        <v>Collie</v>
      </c>
      <c r="W1016" s="25" t="str">
        <f t="shared" si="1"/>
        <v>ROBERT
 COLLIE</v>
      </c>
      <c r="X1016" s="22"/>
      <c r="Y1016" s="22"/>
      <c r="Z1016" s="25" t="str">
        <f>IFERROR(__xludf.DUMMYFUNCTION("SPLIT(C1016,""
"")"),"Collie, Robert")</f>
        <v>Collie, Robert</v>
      </c>
      <c r="AA1016" s="22" t="str">
        <f>IFERROR(__xludf.DUMMYFUNCTION("""COMPUTED_VALUE"""),"5939 Pine Forest Road")</f>
        <v>5939 Pine Forest Road</v>
      </c>
      <c r="AB1016" s="22" t="str">
        <f>IFERROR(__xludf.DUMMYFUNCTION("""COMPUTED_VALUE"""),"Houston, TX 77057")</f>
        <v>Houston, TX 77057</v>
      </c>
      <c r="AC1016" s="31" t="s">
        <v>2386</v>
      </c>
      <c r="AD1016" s="22"/>
      <c r="AE1016" s="22"/>
      <c r="AF1016" s="22"/>
      <c r="AG1016" s="22" t="s">
        <v>60</v>
      </c>
      <c r="AH1016" s="54">
        <v>2481.0</v>
      </c>
      <c r="AI1016" s="22" t="s">
        <v>68</v>
      </c>
      <c r="AJ1016" s="27">
        <v>500.0</v>
      </c>
      <c r="AK1016" s="31" t="s">
        <v>25</v>
      </c>
      <c r="AL1016" s="28">
        <v>44860.0</v>
      </c>
      <c r="AM1016" s="29">
        <v>44937.81995370371</v>
      </c>
      <c r="AN1016" s="30">
        <v>2.0</v>
      </c>
      <c r="AO1016" s="22"/>
      <c r="AP1016" s="22"/>
      <c r="AQ1016" s="22"/>
      <c r="AR1016" s="22"/>
      <c r="AS1016" s="22"/>
      <c r="AT1016" s="70"/>
      <c r="AU1016" s="22"/>
      <c r="AV1016" s="57"/>
      <c r="AW1016" s="57"/>
      <c r="AX1016" s="70"/>
      <c r="AY1016" s="29"/>
      <c r="AZ1016" s="30"/>
      <c r="CU1016" s="55"/>
      <c r="CV1016" s="55"/>
      <c r="CW1016" s="55"/>
      <c r="CX1016" s="55"/>
      <c r="CY1016" s="55"/>
      <c r="CZ1016" s="55"/>
      <c r="DA1016" s="82"/>
      <c r="DB1016" s="55"/>
      <c r="DC1016" s="55"/>
      <c r="DD1016" s="55"/>
      <c r="DE1016" s="55"/>
      <c r="DF1016" s="55"/>
      <c r="DG1016" s="55"/>
      <c r="DH1016" s="55"/>
      <c r="DI1016" s="55"/>
      <c r="DJ1016" s="55"/>
      <c r="DK1016" s="55"/>
      <c r="DL1016" s="55"/>
      <c r="DM1016" s="55"/>
      <c r="DN1016" s="55"/>
      <c r="DO1016" s="55"/>
      <c r="DP1016" s="55"/>
      <c r="DQ1016" s="55"/>
      <c r="DR1016" s="55"/>
      <c r="DS1016" s="55"/>
      <c r="DT1016" s="55"/>
      <c r="DU1016" s="55"/>
      <c r="DV1016" s="55"/>
      <c r="DW1016" s="55"/>
    </row>
    <row r="1017">
      <c r="A1017" s="40" t="s">
        <v>55</v>
      </c>
      <c r="B1017" s="41" t="s">
        <v>56</v>
      </c>
      <c r="C1017" s="31" t="s">
        <v>2387</v>
      </c>
      <c r="D1017" s="25" t="str">
        <f>IFERROR(__xludf.DUMMYFUNCTION("SPLIT(C1017,"" "")"),"Johnson,")</f>
        <v>Johnson,</v>
      </c>
      <c r="E1017" s="40" t="str">
        <f>IFERROR(__xludf.DUMMYFUNCTION("""COMPUTED_VALUE"""),"Willis
1001")</f>
        <v>Willis
1001</v>
      </c>
      <c r="F1017" s="40" t="str">
        <f>IFERROR(__xludf.DUMMYFUNCTION("""COMPUTED_VALUE"""),"Belleview")</f>
        <v>Belleview</v>
      </c>
      <c r="G1017" s="40" t="str">
        <f>IFERROR(__xludf.DUMMYFUNCTION("""COMPUTED_VALUE"""),"St
Dallas,")</f>
        <v>St
Dallas,</v>
      </c>
      <c r="H1017" s="40" t="str">
        <f>IFERROR(__xludf.DUMMYFUNCTION("""COMPUTED_VALUE"""),"TX")</f>
        <v>TX</v>
      </c>
      <c r="I1017" s="40">
        <f>IFERROR(__xludf.DUMMYFUNCTION("""COMPUTED_VALUE"""),75215.0)</f>
        <v>75215</v>
      </c>
      <c r="J1017" s="40"/>
      <c r="K1017" s="40"/>
      <c r="L1017" s="40"/>
      <c r="M1017" s="40"/>
      <c r="N1017" s="40"/>
      <c r="O1017" s="40"/>
      <c r="P1017" s="40"/>
      <c r="Q1017" s="40"/>
      <c r="R1017" s="40"/>
      <c r="S1017" s="40"/>
      <c r="T1017" s="40"/>
      <c r="U1017" s="24" t="str">
        <f>IFERROR(__xludf.DUMMYFUNCTION("SPLIT(E1017,""01234567890"")"),"Willis
")</f>
        <v>Willis
</v>
      </c>
      <c r="V1017" s="24" t="str">
        <f>IFERROR(__xludf.DUMMYFUNCTION("SPLIT(D1017,"","")"),"Johnson")</f>
        <v>Johnson</v>
      </c>
      <c r="W1017" s="25" t="str">
        <f t="shared" si="1"/>
        <v>WILLIS
 JOHNSON</v>
      </c>
      <c r="X1017" s="40"/>
      <c r="Y1017" s="40"/>
      <c r="Z1017" s="25" t="str">
        <f>IFERROR(__xludf.DUMMYFUNCTION("SPLIT(C1017,""
"")"),"Johnson, Willis")</f>
        <v>Johnson, Willis</v>
      </c>
      <c r="AA1017" s="40" t="str">
        <f>IFERROR(__xludf.DUMMYFUNCTION("""COMPUTED_VALUE"""),"1001 Belleview St")</f>
        <v>1001 Belleview St</v>
      </c>
      <c r="AB1017" s="40" t="str">
        <f>IFERROR(__xludf.DUMMYFUNCTION("""COMPUTED_VALUE"""),"Dallas, TX 75215")</f>
        <v>Dallas, TX 75215</v>
      </c>
      <c r="AC1017" s="31" t="s">
        <v>1476</v>
      </c>
      <c r="AD1017" s="40"/>
      <c r="AE1017" s="40"/>
      <c r="AF1017" s="40"/>
      <c r="AG1017" s="40" t="s">
        <v>60</v>
      </c>
      <c r="AH1017" s="42">
        <v>2481.0</v>
      </c>
      <c r="AI1017" s="40" t="s">
        <v>68</v>
      </c>
      <c r="AJ1017" s="27">
        <v>500.0</v>
      </c>
      <c r="AK1017" s="31" t="s">
        <v>25</v>
      </c>
      <c r="AL1017" s="43">
        <v>44860.0</v>
      </c>
      <c r="AM1017" s="44">
        <v>44937.81995370371</v>
      </c>
      <c r="AN1017" s="30">
        <v>2.0</v>
      </c>
      <c r="AO1017" s="40"/>
      <c r="AP1017" s="40"/>
      <c r="AQ1017" s="40"/>
      <c r="AR1017" s="40"/>
      <c r="AS1017" s="40"/>
      <c r="AT1017" s="47"/>
      <c r="AU1017" s="40"/>
      <c r="AV1017" s="46"/>
      <c r="AW1017" s="46"/>
      <c r="AX1017" s="47"/>
      <c r="AY1017" s="44"/>
      <c r="AZ1017" s="30"/>
      <c r="CU1017" s="55"/>
      <c r="CV1017" s="55"/>
      <c r="CW1017" s="55"/>
      <c r="CX1017" s="55"/>
      <c r="CY1017" s="55"/>
      <c r="CZ1017" s="55"/>
      <c r="DA1017" s="82"/>
      <c r="DB1017" s="55"/>
      <c r="DC1017" s="55"/>
      <c r="DD1017" s="55"/>
      <c r="DE1017" s="55"/>
      <c r="DF1017" s="55"/>
      <c r="DG1017" s="55"/>
      <c r="DH1017" s="55"/>
      <c r="DI1017" s="55"/>
      <c r="DJ1017" s="55"/>
      <c r="DK1017" s="55"/>
      <c r="DL1017" s="55"/>
      <c r="DM1017" s="55"/>
      <c r="DN1017" s="55"/>
      <c r="DO1017" s="55"/>
      <c r="DP1017" s="55"/>
      <c r="DQ1017" s="55"/>
      <c r="DR1017" s="55"/>
      <c r="DS1017" s="55"/>
      <c r="DT1017" s="55"/>
      <c r="DU1017" s="55"/>
      <c r="DV1017" s="55"/>
      <c r="DW1017" s="55"/>
    </row>
    <row r="1018">
      <c r="A1018" s="22" t="s">
        <v>55</v>
      </c>
      <c r="B1018" s="23" t="s">
        <v>56</v>
      </c>
      <c r="C1018" s="31" t="s">
        <v>2388</v>
      </c>
      <c r="D1018" s="25" t="str">
        <f>IFERROR(__xludf.DUMMYFUNCTION("SPLIT(C1018,"" "")"),"Taylor,")</f>
        <v>Taylor,</v>
      </c>
      <c r="E1018" s="22" t="str">
        <f>IFERROR(__xludf.DUMMYFUNCTION("""COMPUTED_VALUE"""),"David
11307")</f>
        <v>David
11307</v>
      </c>
      <c r="F1018" s="22" t="str">
        <f>IFERROR(__xludf.DUMMYFUNCTION("""COMPUTED_VALUE"""),"Coloma")</f>
        <v>Coloma</v>
      </c>
      <c r="G1018" s="22" t="str">
        <f>IFERROR(__xludf.DUMMYFUNCTION("""COMPUTED_VALUE"""),"Lane
Houston,")</f>
        <v>Lane
Houston,</v>
      </c>
      <c r="H1018" s="22" t="str">
        <f>IFERROR(__xludf.DUMMYFUNCTION("""COMPUTED_VALUE"""),"TX")</f>
        <v>TX</v>
      </c>
      <c r="I1018" s="22">
        <f>IFERROR(__xludf.DUMMYFUNCTION("""COMPUTED_VALUE"""),77024.0)</f>
        <v>77024</v>
      </c>
      <c r="J1018" s="22"/>
      <c r="K1018" s="22"/>
      <c r="L1018" s="22"/>
      <c r="M1018" s="22"/>
      <c r="N1018" s="22"/>
      <c r="O1018" s="22"/>
      <c r="P1018" s="22"/>
      <c r="Q1018" s="22"/>
      <c r="R1018" s="22"/>
      <c r="S1018" s="22"/>
      <c r="T1018" s="22"/>
      <c r="U1018" s="24" t="str">
        <f>IFERROR(__xludf.DUMMYFUNCTION("SPLIT(E1018,""01234567890"")"),"David
")</f>
        <v>David
</v>
      </c>
      <c r="V1018" s="24" t="str">
        <f>IFERROR(__xludf.DUMMYFUNCTION("SPLIT(D1018,"","")"),"Taylor")</f>
        <v>Taylor</v>
      </c>
      <c r="W1018" s="25" t="str">
        <f t="shared" si="1"/>
        <v>DAVID
 TAYLOR</v>
      </c>
      <c r="X1018" s="22"/>
      <c r="Y1018" s="22"/>
      <c r="Z1018" s="25" t="str">
        <f>IFERROR(__xludf.DUMMYFUNCTION("SPLIT(C1018,""
"")"),"Taylor, David")</f>
        <v>Taylor, David</v>
      </c>
      <c r="AA1018" s="22" t="str">
        <f>IFERROR(__xludf.DUMMYFUNCTION("""COMPUTED_VALUE"""),"11307 Coloma Lane")</f>
        <v>11307 Coloma Lane</v>
      </c>
      <c r="AB1018" s="22" t="str">
        <f>IFERROR(__xludf.DUMMYFUNCTION("""COMPUTED_VALUE"""),"Houston, TX 77024")</f>
        <v>Houston, TX 77024</v>
      </c>
      <c r="AC1018" s="31" t="s">
        <v>2389</v>
      </c>
      <c r="AD1018" s="22"/>
      <c r="AE1018" s="22"/>
      <c r="AF1018" s="22"/>
      <c r="AG1018" s="22" t="s">
        <v>60</v>
      </c>
      <c r="AH1018" s="54">
        <v>2481.0</v>
      </c>
      <c r="AI1018" s="22" t="s">
        <v>68</v>
      </c>
      <c r="AJ1018" s="27">
        <v>1000.0</v>
      </c>
      <c r="AK1018" s="31" t="s">
        <v>25</v>
      </c>
      <c r="AL1018" s="28">
        <v>44860.0</v>
      </c>
      <c r="AM1018" s="29">
        <v>44937.81995370371</v>
      </c>
      <c r="AN1018" s="30">
        <v>2.0</v>
      </c>
      <c r="AO1018" s="22"/>
      <c r="AP1018" s="22"/>
      <c r="AQ1018" s="22"/>
      <c r="AR1018" s="22"/>
      <c r="AS1018" s="22"/>
      <c r="AT1018" s="70"/>
      <c r="AU1018" s="22"/>
      <c r="AV1018" s="57"/>
      <c r="AW1018" s="57"/>
      <c r="AX1018" s="70"/>
      <c r="AY1018" s="29"/>
      <c r="AZ1018" s="30"/>
      <c r="CU1018" s="55"/>
      <c r="CV1018" s="55"/>
      <c r="CW1018" s="55"/>
      <c r="CX1018" s="55"/>
      <c r="CY1018" s="55"/>
      <c r="CZ1018" s="55"/>
      <c r="DA1018" s="82"/>
      <c r="DB1018" s="55"/>
      <c r="DC1018" s="55"/>
      <c r="DD1018" s="55"/>
      <c r="DE1018" s="55"/>
      <c r="DF1018" s="55"/>
      <c r="DG1018" s="55"/>
      <c r="DH1018" s="55"/>
      <c r="DI1018" s="55"/>
      <c r="DJ1018" s="55"/>
      <c r="DK1018" s="55"/>
      <c r="DL1018" s="55"/>
      <c r="DM1018" s="55"/>
      <c r="DN1018" s="55"/>
      <c r="DO1018" s="55"/>
      <c r="DP1018" s="55"/>
      <c r="DQ1018" s="55"/>
      <c r="DR1018" s="55"/>
      <c r="DS1018" s="55"/>
      <c r="DT1018" s="55"/>
      <c r="DU1018" s="55"/>
      <c r="DV1018" s="55"/>
      <c r="DW1018" s="55"/>
    </row>
    <row r="1019">
      <c r="A1019" s="40" t="s">
        <v>55</v>
      </c>
      <c r="B1019" s="41" t="s">
        <v>56</v>
      </c>
      <c r="C1019" s="31" t="s">
        <v>2390</v>
      </c>
      <c r="D1019" s="25" t="str">
        <f>IFERROR(__xludf.DUMMYFUNCTION("SPLIT(C1019,"" "")"),"Cox,")</f>
        <v>Cox,</v>
      </c>
      <c r="E1019" s="40" t="str">
        <f>IFERROR(__xludf.DUMMYFUNCTION("""COMPUTED_VALUE"""),"Jonathan
1415")</f>
        <v>Jonathan
1415</v>
      </c>
      <c r="F1019" s="40" t="str">
        <f>IFERROR(__xludf.DUMMYFUNCTION("""COMPUTED_VALUE"""),"North")</f>
        <v>North</v>
      </c>
      <c r="G1019" s="40" t="str">
        <f>IFERROR(__xludf.DUMMYFUNCTION("""COMPUTED_VALUE"""),"Loop")</f>
        <v>Loop</v>
      </c>
      <c r="H1019" s="40" t="str">
        <f>IFERROR(__xludf.DUMMYFUNCTION("""COMPUTED_VALUE"""),"West
Houston,")</f>
        <v>West
Houston,</v>
      </c>
      <c r="I1019" s="40" t="str">
        <f>IFERROR(__xludf.DUMMYFUNCTION("""COMPUTED_VALUE"""),"TX")</f>
        <v>TX</v>
      </c>
      <c r="J1019" s="40">
        <f>IFERROR(__xludf.DUMMYFUNCTION("""COMPUTED_VALUE"""),77024.0)</f>
        <v>77024</v>
      </c>
      <c r="K1019" s="40"/>
      <c r="L1019" s="40"/>
      <c r="M1019" s="40"/>
      <c r="N1019" s="40"/>
      <c r="O1019" s="40"/>
      <c r="P1019" s="40"/>
      <c r="Q1019" s="40"/>
      <c r="R1019" s="40"/>
      <c r="S1019" s="40"/>
      <c r="T1019" s="40"/>
      <c r="U1019" s="24" t="str">
        <f>IFERROR(__xludf.DUMMYFUNCTION("SPLIT(E1019,""01234567890"")"),"Jonathan
")</f>
        <v>Jonathan
</v>
      </c>
      <c r="V1019" s="24" t="str">
        <f>IFERROR(__xludf.DUMMYFUNCTION("SPLIT(D1019,"","")"),"Cox")</f>
        <v>Cox</v>
      </c>
      <c r="W1019" s="25" t="str">
        <f t="shared" si="1"/>
        <v>JONATHAN
 COX</v>
      </c>
      <c r="X1019" s="40"/>
      <c r="Y1019" s="40"/>
      <c r="Z1019" s="25" t="str">
        <f>IFERROR(__xludf.DUMMYFUNCTION("SPLIT(C1019,""
"")"),"Cox, Jonathan")</f>
        <v>Cox, Jonathan</v>
      </c>
      <c r="AA1019" s="40" t="str">
        <f>IFERROR(__xludf.DUMMYFUNCTION("""COMPUTED_VALUE"""),"1415 North Loop West")</f>
        <v>1415 North Loop West</v>
      </c>
      <c r="AB1019" s="40" t="str">
        <f>IFERROR(__xludf.DUMMYFUNCTION("""COMPUTED_VALUE"""),"Houston, TX 77024")</f>
        <v>Houston, TX 77024</v>
      </c>
      <c r="AC1019" s="31" t="s">
        <v>2391</v>
      </c>
      <c r="AD1019" s="40"/>
      <c r="AE1019" s="40"/>
      <c r="AF1019" s="40"/>
      <c r="AG1019" s="40" t="s">
        <v>60</v>
      </c>
      <c r="AH1019" s="42">
        <v>2481.0</v>
      </c>
      <c r="AI1019" s="40" t="s">
        <v>68</v>
      </c>
      <c r="AJ1019" s="27">
        <v>1000.0</v>
      </c>
      <c r="AK1019" s="31" t="s">
        <v>25</v>
      </c>
      <c r="AL1019" s="43">
        <v>44861.0</v>
      </c>
      <c r="AM1019" s="44">
        <v>44937.81995370371</v>
      </c>
      <c r="AN1019" s="30">
        <v>2.0</v>
      </c>
      <c r="AO1019" s="40"/>
      <c r="AP1019" s="40"/>
      <c r="AQ1019" s="40"/>
      <c r="AR1019" s="40"/>
      <c r="AS1019" s="40"/>
      <c r="AT1019" s="47"/>
      <c r="AU1019" s="40"/>
      <c r="AV1019" s="46"/>
      <c r="AW1019" s="46"/>
      <c r="AX1019" s="47"/>
      <c r="AY1019" s="44"/>
      <c r="AZ1019" s="30"/>
      <c r="CU1019" s="55"/>
      <c r="CV1019" s="55"/>
      <c r="CW1019" s="55"/>
      <c r="CX1019" s="55"/>
      <c r="CY1019" s="55"/>
      <c r="CZ1019" s="55"/>
      <c r="DA1019" s="82"/>
      <c r="DB1019" s="55"/>
      <c r="DC1019" s="55"/>
      <c r="DD1019" s="55"/>
      <c r="DE1019" s="55"/>
      <c r="DF1019" s="55"/>
      <c r="DG1019" s="55"/>
      <c r="DH1019" s="55"/>
      <c r="DI1019" s="55"/>
      <c r="DJ1019" s="55"/>
      <c r="DK1019" s="55"/>
      <c r="DL1019" s="55"/>
      <c r="DM1019" s="55"/>
      <c r="DN1019" s="55"/>
      <c r="DO1019" s="55"/>
      <c r="DP1019" s="55"/>
      <c r="DQ1019" s="55"/>
      <c r="DR1019" s="55"/>
      <c r="DS1019" s="55"/>
      <c r="DT1019" s="55"/>
      <c r="DU1019" s="55"/>
      <c r="DV1019" s="55"/>
      <c r="DW1019" s="55"/>
    </row>
    <row r="1020">
      <c r="A1020" s="22" t="s">
        <v>55</v>
      </c>
      <c r="B1020" s="23" t="s">
        <v>56</v>
      </c>
      <c r="C1020" s="31" t="s">
        <v>2392</v>
      </c>
      <c r="D1020" s="25" t="str">
        <f>IFERROR(__xludf.DUMMYFUNCTION("SPLIT(C1020,"" "")"),"Pradia,")</f>
        <v>Pradia,</v>
      </c>
      <c r="E1020" s="22" t="str">
        <f>IFERROR(__xludf.DUMMYFUNCTION("""COMPUTED_VALUE"""),"Troy
1415")</f>
        <v>Troy
1415</v>
      </c>
      <c r="F1020" s="22" t="str">
        <f>IFERROR(__xludf.DUMMYFUNCTION("""COMPUTED_VALUE"""),"N")</f>
        <v>N</v>
      </c>
      <c r="G1020" s="22" t="str">
        <f>IFERROR(__xludf.DUMMYFUNCTION("""COMPUTED_VALUE"""),"Loop")</f>
        <v>Loop</v>
      </c>
      <c r="H1020" s="22" t="str">
        <f>IFERROR(__xludf.DUMMYFUNCTION("""COMPUTED_VALUE"""),"West
Houston,")</f>
        <v>West
Houston,</v>
      </c>
      <c r="I1020" s="22" t="str">
        <f>IFERROR(__xludf.DUMMYFUNCTION("""COMPUTED_VALUE"""),"TX")</f>
        <v>TX</v>
      </c>
      <c r="J1020" s="22">
        <f>IFERROR(__xludf.DUMMYFUNCTION("""COMPUTED_VALUE"""),77004.0)</f>
        <v>77004</v>
      </c>
      <c r="K1020" s="22"/>
      <c r="L1020" s="22"/>
      <c r="M1020" s="22"/>
      <c r="N1020" s="22"/>
      <c r="O1020" s="22"/>
      <c r="P1020" s="22"/>
      <c r="Q1020" s="22"/>
      <c r="R1020" s="22"/>
      <c r="S1020" s="22"/>
      <c r="T1020" s="22"/>
      <c r="U1020" s="24" t="str">
        <f>IFERROR(__xludf.DUMMYFUNCTION("SPLIT(E1020,""01234567890"")"),"Troy
")</f>
        <v>Troy
</v>
      </c>
      <c r="V1020" s="24" t="str">
        <f>IFERROR(__xludf.DUMMYFUNCTION("SPLIT(D1020,"","")"),"Pradia")</f>
        <v>Pradia</v>
      </c>
      <c r="W1020" s="25" t="str">
        <f t="shared" si="1"/>
        <v>TROY
 PRADIA</v>
      </c>
      <c r="X1020" s="22"/>
      <c r="Y1020" s="22"/>
      <c r="Z1020" s="25" t="str">
        <f>IFERROR(__xludf.DUMMYFUNCTION("SPLIT(C1020,""
"")"),"Pradia, Troy")</f>
        <v>Pradia, Troy</v>
      </c>
      <c r="AA1020" s="22" t="str">
        <f>IFERROR(__xludf.DUMMYFUNCTION("""COMPUTED_VALUE"""),"1415 N Loop West")</f>
        <v>1415 N Loop West</v>
      </c>
      <c r="AB1020" s="22" t="str">
        <f>IFERROR(__xludf.DUMMYFUNCTION("""COMPUTED_VALUE"""),"Houston, TX 77004")</f>
        <v>Houston, TX 77004</v>
      </c>
      <c r="AC1020" s="31" t="s">
        <v>2393</v>
      </c>
      <c r="AD1020" s="22"/>
      <c r="AE1020" s="22"/>
      <c r="AF1020" s="22"/>
      <c r="AG1020" s="22" t="s">
        <v>60</v>
      </c>
      <c r="AH1020" s="54">
        <v>2481.0</v>
      </c>
      <c r="AI1020" s="22" t="s">
        <v>68</v>
      </c>
      <c r="AJ1020" s="27">
        <v>1000.0</v>
      </c>
      <c r="AK1020" s="31" t="s">
        <v>25</v>
      </c>
      <c r="AL1020" s="28">
        <v>44861.0</v>
      </c>
      <c r="AM1020" s="29">
        <v>44937.81995370371</v>
      </c>
      <c r="AN1020" s="30">
        <v>2.0</v>
      </c>
      <c r="AO1020" s="22"/>
      <c r="AP1020" s="22"/>
      <c r="AQ1020" s="22"/>
      <c r="AR1020" s="22"/>
      <c r="AS1020" s="22"/>
      <c r="AT1020" s="70"/>
      <c r="AU1020" s="22"/>
      <c r="AV1020" s="57"/>
      <c r="AW1020" s="57"/>
      <c r="AX1020" s="70"/>
      <c r="AY1020" s="29"/>
      <c r="AZ1020" s="30"/>
      <c r="CU1020" s="55"/>
      <c r="CV1020" s="55"/>
      <c r="CW1020" s="55"/>
      <c r="CX1020" s="55"/>
      <c r="CY1020" s="55"/>
      <c r="CZ1020" s="55"/>
      <c r="DA1020" s="82"/>
      <c r="DB1020" s="55"/>
      <c r="DC1020" s="55"/>
      <c r="DD1020" s="55"/>
      <c r="DE1020" s="55"/>
      <c r="DF1020" s="55"/>
      <c r="DG1020" s="55"/>
      <c r="DH1020" s="55"/>
      <c r="DI1020" s="55"/>
      <c r="DJ1020" s="55"/>
      <c r="DK1020" s="55"/>
      <c r="DL1020" s="55"/>
      <c r="DM1020" s="55"/>
      <c r="DN1020" s="55"/>
      <c r="DO1020" s="55"/>
      <c r="DP1020" s="55"/>
      <c r="DQ1020" s="55"/>
      <c r="DR1020" s="55"/>
      <c r="DS1020" s="55"/>
      <c r="DT1020" s="55"/>
      <c r="DU1020" s="55"/>
      <c r="DV1020" s="55"/>
      <c r="DW1020" s="55"/>
    </row>
    <row r="1021">
      <c r="A1021" s="40" t="s">
        <v>55</v>
      </c>
      <c r="B1021" s="41" t="s">
        <v>56</v>
      </c>
      <c r="C1021" s="31" t="s">
        <v>2394</v>
      </c>
      <c r="D1021" s="25" t="str">
        <f>IFERROR(__xludf.DUMMYFUNCTION("SPLIT(C1021,"" "")"),"Lee,")</f>
        <v>Lee,</v>
      </c>
      <c r="E1021" s="40" t="str">
        <f>IFERROR(__xludf.DUMMYFUNCTION("""COMPUTED_VALUE"""),"Jason
3602")</f>
        <v>Jason
3602</v>
      </c>
      <c r="F1021" s="40" t="str">
        <f>IFERROR(__xludf.DUMMYFUNCTION("""COMPUTED_VALUE"""),"Garrott")</f>
        <v>Garrott</v>
      </c>
      <c r="G1021" s="40" t="str">
        <f>IFERROR(__xludf.DUMMYFUNCTION("""COMPUTED_VALUE"""),"St
Houston,")</f>
        <v>St
Houston,</v>
      </c>
      <c r="H1021" s="40" t="str">
        <f>IFERROR(__xludf.DUMMYFUNCTION("""COMPUTED_VALUE"""),"TX")</f>
        <v>TX</v>
      </c>
      <c r="I1021" s="40">
        <f>IFERROR(__xludf.DUMMYFUNCTION("""COMPUTED_VALUE"""),77006.0)</f>
        <v>77006</v>
      </c>
      <c r="J1021" s="40"/>
      <c r="K1021" s="40"/>
      <c r="L1021" s="40"/>
      <c r="M1021" s="40"/>
      <c r="N1021" s="40"/>
      <c r="O1021" s="40"/>
      <c r="P1021" s="40"/>
      <c r="Q1021" s="40"/>
      <c r="R1021" s="40"/>
      <c r="S1021" s="40"/>
      <c r="T1021" s="40"/>
      <c r="U1021" s="24" t="str">
        <f>IFERROR(__xludf.DUMMYFUNCTION("SPLIT(E1021,""01234567890"")"),"Jason
")</f>
        <v>Jason
</v>
      </c>
      <c r="V1021" s="24" t="str">
        <f>IFERROR(__xludf.DUMMYFUNCTION("SPLIT(D1021,"","")"),"Lee")</f>
        <v>Lee</v>
      </c>
      <c r="W1021" s="25" t="str">
        <f t="shared" si="1"/>
        <v>JASON
 LEE</v>
      </c>
      <c r="X1021" s="40"/>
      <c r="Y1021" s="40"/>
      <c r="Z1021" s="25" t="str">
        <f>IFERROR(__xludf.DUMMYFUNCTION("SPLIT(C1021,""
"")"),"Lee, Jason")</f>
        <v>Lee, Jason</v>
      </c>
      <c r="AA1021" s="40" t="str">
        <f>IFERROR(__xludf.DUMMYFUNCTION("""COMPUTED_VALUE"""),"3602 Garrott St")</f>
        <v>3602 Garrott St</v>
      </c>
      <c r="AB1021" s="40" t="str">
        <f>IFERROR(__xludf.DUMMYFUNCTION("""COMPUTED_VALUE"""),"Houston, TX 77006")</f>
        <v>Houston, TX 77006</v>
      </c>
      <c r="AC1021" s="31" t="s">
        <v>2395</v>
      </c>
      <c r="AD1021" s="40"/>
      <c r="AE1021" s="40"/>
      <c r="AF1021" s="40"/>
      <c r="AG1021" s="40" t="s">
        <v>60</v>
      </c>
      <c r="AH1021" s="42">
        <v>2481.0</v>
      </c>
      <c r="AI1021" s="40" t="s">
        <v>68</v>
      </c>
      <c r="AJ1021" s="27">
        <v>150.0</v>
      </c>
      <c r="AK1021" s="31" t="s">
        <v>25</v>
      </c>
      <c r="AL1021" s="43">
        <v>44861.0</v>
      </c>
      <c r="AM1021" s="44">
        <v>44937.81995370371</v>
      </c>
      <c r="AN1021" s="30">
        <v>2.0</v>
      </c>
      <c r="AO1021" s="40"/>
      <c r="AP1021" s="40"/>
      <c r="AQ1021" s="40"/>
      <c r="AR1021" s="40"/>
      <c r="AS1021" s="40"/>
      <c r="AT1021" s="47"/>
      <c r="AU1021" s="40"/>
      <c r="AV1021" s="46"/>
      <c r="AW1021" s="46"/>
      <c r="AX1021" s="47"/>
      <c r="AY1021" s="44"/>
      <c r="AZ1021" s="30"/>
      <c r="CU1021" s="55"/>
      <c r="CV1021" s="55"/>
      <c r="CW1021" s="55"/>
      <c r="CX1021" s="55"/>
      <c r="CY1021" s="55"/>
      <c r="CZ1021" s="55"/>
      <c r="DA1021" s="82"/>
      <c r="DB1021" s="55"/>
      <c r="DC1021" s="55"/>
      <c r="DD1021" s="55"/>
      <c r="DE1021" s="55"/>
      <c r="DF1021" s="55"/>
      <c r="DG1021" s="55"/>
      <c r="DH1021" s="55"/>
      <c r="DI1021" s="55"/>
      <c r="DJ1021" s="55"/>
      <c r="DK1021" s="55"/>
      <c r="DL1021" s="55"/>
      <c r="DM1021" s="55"/>
      <c r="DN1021" s="55"/>
      <c r="DO1021" s="55"/>
      <c r="DP1021" s="55"/>
      <c r="DQ1021" s="55"/>
      <c r="DR1021" s="55"/>
      <c r="DS1021" s="55"/>
      <c r="DT1021" s="55"/>
      <c r="DU1021" s="55"/>
      <c r="DV1021" s="55"/>
      <c r="DW1021" s="55"/>
    </row>
    <row r="1022">
      <c r="A1022" s="22" t="s">
        <v>55</v>
      </c>
      <c r="B1022" s="23" t="s">
        <v>56</v>
      </c>
      <c r="C1022" s="31" t="s">
        <v>2396</v>
      </c>
      <c r="D1022" s="25" t="str">
        <f>IFERROR(__xludf.DUMMYFUNCTION("SPLIT(C1022,"" "")"),"Deckard,")</f>
        <v>Deckard,</v>
      </c>
      <c r="E1022" s="22" t="str">
        <f>IFERROR(__xludf.DUMMYFUNCTION("""COMPUTED_VALUE"""),"Chassidy
409")</f>
        <v>Chassidy
409</v>
      </c>
      <c r="F1022" s="22" t="str">
        <f>IFERROR(__xludf.DUMMYFUNCTION("""COMPUTED_VALUE"""),"Travis")</f>
        <v>Travis</v>
      </c>
      <c r="G1022" s="22" t="str">
        <f>IFERROR(__xludf.DUMMYFUNCTION("""COMPUTED_VALUE"""),"St
Houston,")</f>
        <v>St
Houston,</v>
      </c>
      <c r="H1022" s="22" t="str">
        <f>IFERROR(__xludf.DUMMYFUNCTION("""COMPUTED_VALUE"""),"TX")</f>
        <v>TX</v>
      </c>
      <c r="I1022" s="22">
        <f>IFERROR(__xludf.DUMMYFUNCTION("""COMPUTED_VALUE"""),77002.0)</f>
        <v>77002</v>
      </c>
      <c r="J1022" s="22"/>
      <c r="K1022" s="22"/>
      <c r="L1022" s="22"/>
      <c r="M1022" s="22"/>
      <c r="N1022" s="22"/>
      <c r="O1022" s="22"/>
      <c r="P1022" s="22"/>
      <c r="Q1022" s="22"/>
      <c r="R1022" s="22"/>
      <c r="S1022" s="22"/>
      <c r="T1022" s="22"/>
      <c r="U1022" s="24" t="str">
        <f>IFERROR(__xludf.DUMMYFUNCTION("SPLIT(E1022,""01234567890"")"),"Chassidy
")</f>
        <v>Chassidy
</v>
      </c>
      <c r="V1022" s="24" t="str">
        <f>IFERROR(__xludf.DUMMYFUNCTION("SPLIT(D1022,"","")"),"Deckard")</f>
        <v>Deckard</v>
      </c>
      <c r="W1022" s="25" t="str">
        <f t="shared" si="1"/>
        <v>CHASSIDY
 DECKARD</v>
      </c>
      <c r="X1022" s="22"/>
      <c r="Y1022" s="22"/>
      <c r="Z1022" s="25" t="str">
        <f>IFERROR(__xludf.DUMMYFUNCTION("SPLIT(C1022,""
"")"),"Deckard, Chassidy")</f>
        <v>Deckard, Chassidy</v>
      </c>
      <c r="AA1022" s="22" t="str">
        <f>IFERROR(__xludf.DUMMYFUNCTION("""COMPUTED_VALUE"""),"409 Travis St")</f>
        <v>409 Travis St</v>
      </c>
      <c r="AB1022" s="22" t="str">
        <f>IFERROR(__xludf.DUMMYFUNCTION("""COMPUTED_VALUE"""),"Houston, TX 77002")</f>
        <v>Houston, TX 77002</v>
      </c>
      <c r="AC1022" s="31" t="s">
        <v>2397</v>
      </c>
      <c r="AD1022" s="22"/>
      <c r="AE1022" s="22"/>
      <c r="AF1022" s="22"/>
      <c r="AG1022" s="22" t="s">
        <v>60</v>
      </c>
      <c r="AH1022" s="54">
        <v>2481.0</v>
      </c>
      <c r="AI1022" s="22" t="s">
        <v>68</v>
      </c>
      <c r="AJ1022" s="27">
        <v>50.0</v>
      </c>
      <c r="AK1022" s="31" t="s">
        <v>25</v>
      </c>
      <c r="AL1022" s="28">
        <v>44861.0</v>
      </c>
      <c r="AM1022" s="29">
        <v>44937.81995370371</v>
      </c>
      <c r="AN1022" s="30">
        <v>2.0</v>
      </c>
      <c r="AO1022" s="22"/>
      <c r="AP1022" s="22"/>
      <c r="AQ1022" s="22"/>
      <c r="AR1022" s="22"/>
      <c r="AS1022" s="22"/>
      <c r="AT1022" s="70"/>
      <c r="AU1022" s="22"/>
      <c r="AV1022" s="57"/>
      <c r="AW1022" s="57"/>
      <c r="AX1022" s="70"/>
      <c r="AY1022" s="29"/>
      <c r="AZ1022" s="30"/>
      <c r="CU1022" s="55"/>
      <c r="CV1022" s="55"/>
      <c r="CW1022" s="55"/>
      <c r="CX1022" s="55"/>
      <c r="CY1022" s="55"/>
      <c r="CZ1022" s="55"/>
      <c r="DA1022" s="82"/>
      <c r="DB1022" s="55"/>
      <c r="DC1022" s="55"/>
      <c r="DD1022" s="55"/>
      <c r="DE1022" s="55"/>
      <c r="DF1022" s="55"/>
      <c r="DG1022" s="55"/>
      <c r="DH1022" s="55"/>
      <c r="DI1022" s="55"/>
      <c r="DJ1022" s="55"/>
      <c r="DK1022" s="55"/>
      <c r="DL1022" s="55"/>
      <c r="DM1022" s="55"/>
      <c r="DN1022" s="55"/>
      <c r="DO1022" s="55"/>
      <c r="DP1022" s="55"/>
      <c r="DQ1022" s="55"/>
      <c r="DR1022" s="55"/>
      <c r="DS1022" s="55"/>
      <c r="DT1022" s="55"/>
      <c r="DU1022" s="55"/>
      <c r="DV1022" s="55"/>
      <c r="DW1022" s="55"/>
    </row>
    <row r="1023">
      <c r="A1023" s="40" t="s">
        <v>55</v>
      </c>
      <c r="B1023" s="41" t="s">
        <v>56</v>
      </c>
      <c r="C1023" s="31" t="s">
        <v>354</v>
      </c>
      <c r="D1023" s="25" t="str">
        <f>IFERROR(__xludf.DUMMYFUNCTION("SPLIT(C1023,"" "")"),"Becker,")</f>
        <v>Becker,</v>
      </c>
      <c r="E1023" s="40" t="str">
        <f>IFERROR(__xludf.DUMMYFUNCTION("""COMPUTED_VALUE"""),"Will
304")</f>
        <v>Will
304</v>
      </c>
      <c r="F1023" s="40" t="str">
        <f>IFERROR(__xludf.DUMMYFUNCTION("""COMPUTED_VALUE"""),"Town")</f>
        <v>Town</v>
      </c>
      <c r="G1023" s="40" t="str">
        <f>IFERROR(__xludf.DUMMYFUNCTION("""COMPUTED_VALUE"""),"East")</f>
        <v>East</v>
      </c>
      <c r="H1023" s="40" t="str">
        <f>IFERROR(__xludf.DUMMYFUNCTION("""COMPUTED_VALUE"""),"Blvd
Sunnyvale,")</f>
        <v>Blvd
Sunnyvale,</v>
      </c>
      <c r="I1023" s="40" t="str">
        <f>IFERROR(__xludf.DUMMYFUNCTION("""COMPUTED_VALUE"""),"TX")</f>
        <v>TX</v>
      </c>
      <c r="J1023" s="40">
        <f>IFERROR(__xludf.DUMMYFUNCTION("""COMPUTED_VALUE"""),75182.0)</f>
        <v>75182</v>
      </c>
      <c r="K1023" s="40"/>
      <c r="L1023" s="40"/>
      <c r="M1023" s="40"/>
      <c r="N1023" s="40"/>
      <c r="O1023" s="40"/>
      <c r="P1023" s="40"/>
      <c r="Q1023" s="40"/>
      <c r="R1023" s="40"/>
      <c r="S1023" s="40"/>
      <c r="T1023" s="40"/>
      <c r="U1023" s="24" t="str">
        <f>IFERROR(__xludf.DUMMYFUNCTION("SPLIT(E1023,""01234567890"")"),"Will
")</f>
        <v>Will
</v>
      </c>
      <c r="V1023" s="24" t="str">
        <f>IFERROR(__xludf.DUMMYFUNCTION("SPLIT(D1023,"","")"),"Becker")</f>
        <v>Becker</v>
      </c>
      <c r="W1023" s="25" t="str">
        <f t="shared" si="1"/>
        <v>WILL
 BECKER</v>
      </c>
      <c r="X1023" s="40"/>
      <c r="Y1023" s="40"/>
      <c r="Z1023" s="25" t="str">
        <f>IFERROR(__xludf.DUMMYFUNCTION("SPLIT(C1023,""
"")"),"Becker, Will")</f>
        <v>Becker, Will</v>
      </c>
      <c r="AA1023" s="40" t="str">
        <f>IFERROR(__xludf.DUMMYFUNCTION("""COMPUTED_VALUE"""),"304 Town East Blvd")</f>
        <v>304 Town East Blvd</v>
      </c>
      <c r="AB1023" s="40" t="str">
        <f>IFERROR(__xludf.DUMMYFUNCTION("""COMPUTED_VALUE"""),"Sunnyvale, TX 75182")</f>
        <v>Sunnyvale, TX 75182</v>
      </c>
      <c r="AC1023" s="31" t="s">
        <v>356</v>
      </c>
      <c r="AD1023" s="40"/>
      <c r="AE1023" s="40"/>
      <c r="AF1023" s="40"/>
      <c r="AG1023" s="40" t="s">
        <v>60</v>
      </c>
      <c r="AH1023" s="42">
        <v>2481.0</v>
      </c>
      <c r="AI1023" s="40" t="s">
        <v>68</v>
      </c>
      <c r="AJ1023" s="27">
        <v>1000.0</v>
      </c>
      <c r="AK1023" s="31" t="s">
        <v>25</v>
      </c>
      <c r="AL1023" s="43">
        <v>44867.0</v>
      </c>
      <c r="AM1023" s="44">
        <v>44937.81995370371</v>
      </c>
      <c r="AN1023" s="30">
        <v>2.0</v>
      </c>
      <c r="AO1023" s="40"/>
      <c r="AP1023" s="40"/>
      <c r="AQ1023" s="40"/>
      <c r="AR1023" s="40"/>
      <c r="AS1023" s="40"/>
      <c r="AT1023" s="47"/>
      <c r="AU1023" s="40"/>
      <c r="AV1023" s="46"/>
      <c r="AW1023" s="46"/>
      <c r="AX1023" s="47"/>
      <c r="AY1023" s="44"/>
      <c r="AZ1023" s="30"/>
      <c r="CU1023" s="55"/>
      <c r="CV1023" s="55"/>
      <c r="CW1023" s="55"/>
      <c r="CX1023" s="55"/>
      <c r="CY1023" s="55"/>
      <c r="CZ1023" s="55"/>
      <c r="DA1023" s="82"/>
      <c r="DB1023" s="55"/>
      <c r="DC1023" s="55"/>
      <c r="DD1023" s="55"/>
      <c r="DE1023" s="55"/>
      <c r="DF1023" s="55"/>
      <c r="DG1023" s="55"/>
      <c r="DH1023" s="55"/>
      <c r="DI1023" s="55"/>
      <c r="DJ1023" s="55"/>
      <c r="DK1023" s="55"/>
      <c r="DL1023" s="55"/>
      <c r="DM1023" s="55"/>
      <c r="DN1023" s="55"/>
      <c r="DO1023" s="55"/>
      <c r="DP1023" s="55"/>
      <c r="DQ1023" s="55"/>
      <c r="DR1023" s="55"/>
      <c r="DS1023" s="55"/>
      <c r="DT1023" s="55"/>
      <c r="DU1023" s="55"/>
      <c r="DV1023" s="55"/>
      <c r="DW1023" s="55"/>
    </row>
    <row r="1024">
      <c r="A1024" s="22" t="s">
        <v>55</v>
      </c>
      <c r="B1024" s="23" t="s">
        <v>56</v>
      </c>
      <c r="C1024" s="31" t="s">
        <v>2398</v>
      </c>
      <c r="D1024" s="25" t="str">
        <f>IFERROR(__xludf.DUMMYFUNCTION("SPLIT(C1024,"" "")"),"Stanton,")</f>
        <v>Stanton,</v>
      </c>
      <c r="E1024" s="22" t="str">
        <f>IFERROR(__xludf.DUMMYFUNCTION("""COMPUTED_VALUE"""),"James
6125")</f>
        <v>James
6125</v>
      </c>
      <c r="F1024" s="22" t="str">
        <f>IFERROR(__xludf.DUMMYFUNCTION("""COMPUTED_VALUE"""),"Luther")</f>
        <v>Luther</v>
      </c>
      <c r="G1024" s="22" t="str">
        <f>IFERROR(__xludf.DUMMYFUNCTION("""COMPUTED_VALUE"""),"Ln
Dallas,")</f>
        <v>Ln
Dallas,</v>
      </c>
      <c r="H1024" s="22" t="str">
        <f>IFERROR(__xludf.DUMMYFUNCTION("""COMPUTED_VALUE"""),"TX")</f>
        <v>TX</v>
      </c>
      <c r="I1024" s="22">
        <f>IFERROR(__xludf.DUMMYFUNCTION("""COMPUTED_VALUE"""),75225.0)</f>
        <v>75225</v>
      </c>
      <c r="J1024" s="22"/>
      <c r="K1024" s="22"/>
      <c r="L1024" s="22"/>
      <c r="M1024" s="22"/>
      <c r="N1024" s="22"/>
      <c r="O1024" s="22"/>
      <c r="P1024" s="22"/>
      <c r="Q1024" s="22"/>
      <c r="R1024" s="22"/>
      <c r="S1024" s="22"/>
      <c r="T1024" s="22"/>
      <c r="U1024" s="24" t="str">
        <f>IFERROR(__xludf.DUMMYFUNCTION("SPLIT(E1024,""01234567890"")"),"James
")</f>
        <v>James
</v>
      </c>
      <c r="V1024" s="24" t="str">
        <f>IFERROR(__xludf.DUMMYFUNCTION("SPLIT(D1024,"","")"),"Stanton")</f>
        <v>Stanton</v>
      </c>
      <c r="W1024" s="25" t="str">
        <f t="shared" si="1"/>
        <v>JAMES
 STANTON</v>
      </c>
      <c r="X1024" s="22"/>
      <c r="Y1024" s="22"/>
      <c r="Z1024" s="25" t="str">
        <f>IFERROR(__xludf.DUMMYFUNCTION("SPLIT(C1024,""
"")"),"Stanton, James")</f>
        <v>Stanton, James</v>
      </c>
      <c r="AA1024" s="22" t="str">
        <f>IFERROR(__xludf.DUMMYFUNCTION("""COMPUTED_VALUE"""),"6125 Luther Ln")</f>
        <v>6125 Luther Ln</v>
      </c>
      <c r="AB1024" s="22" t="str">
        <f>IFERROR(__xludf.DUMMYFUNCTION("""COMPUTED_VALUE"""),"Dallas, TX 75225")</f>
        <v>Dallas, TX 75225</v>
      </c>
      <c r="AC1024" s="31" t="s">
        <v>2399</v>
      </c>
      <c r="AD1024" s="22"/>
      <c r="AE1024" s="22"/>
      <c r="AF1024" s="22"/>
      <c r="AG1024" s="22" t="s">
        <v>60</v>
      </c>
      <c r="AH1024" s="54">
        <v>2481.0</v>
      </c>
      <c r="AI1024" s="22" t="s">
        <v>68</v>
      </c>
      <c r="AJ1024" s="27">
        <v>5000.0</v>
      </c>
      <c r="AK1024" s="31" t="s">
        <v>25</v>
      </c>
      <c r="AL1024" s="28">
        <v>44869.0</v>
      </c>
      <c r="AM1024" s="29">
        <v>44937.81995370371</v>
      </c>
      <c r="AN1024" s="30">
        <v>2.0</v>
      </c>
      <c r="AO1024" s="22"/>
      <c r="AP1024" s="22"/>
      <c r="AQ1024" s="22"/>
      <c r="AR1024" s="22"/>
      <c r="AS1024" s="22"/>
      <c r="AT1024" s="70"/>
      <c r="AU1024" s="22"/>
      <c r="AV1024" s="57"/>
      <c r="AW1024" s="57"/>
      <c r="AX1024" s="70"/>
      <c r="AY1024" s="29"/>
      <c r="AZ1024" s="30"/>
      <c r="CU1024" s="55"/>
      <c r="CV1024" s="55"/>
      <c r="CW1024" s="55"/>
      <c r="CX1024" s="55"/>
      <c r="CY1024" s="55"/>
      <c r="CZ1024" s="55"/>
      <c r="DA1024" s="82"/>
      <c r="DB1024" s="55"/>
      <c r="DC1024" s="55"/>
      <c r="DD1024" s="55"/>
      <c r="DE1024" s="55"/>
      <c r="DF1024" s="55"/>
      <c r="DG1024" s="55"/>
      <c r="DH1024" s="55"/>
      <c r="DI1024" s="55"/>
      <c r="DJ1024" s="55"/>
      <c r="DK1024" s="55"/>
      <c r="DL1024" s="55"/>
      <c r="DM1024" s="55"/>
      <c r="DN1024" s="55"/>
      <c r="DO1024" s="55"/>
      <c r="DP1024" s="55"/>
      <c r="DQ1024" s="55"/>
      <c r="DR1024" s="55"/>
      <c r="DS1024" s="55"/>
      <c r="DT1024" s="55"/>
      <c r="DU1024" s="55"/>
      <c r="DV1024" s="55"/>
      <c r="DW1024" s="55"/>
    </row>
    <row r="1025">
      <c r="A1025" s="40" t="s">
        <v>55</v>
      </c>
      <c r="B1025" s="41" t="s">
        <v>56</v>
      </c>
      <c r="C1025" s="31" t="s">
        <v>2400</v>
      </c>
      <c r="D1025" s="25" t="str">
        <f>IFERROR(__xludf.DUMMYFUNCTION("SPLIT(C1025,"" "")"),"Nosek,")</f>
        <v>Nosek,</v>
      </c>
      <c r="E1025" s="40" t="str">
        <f>IFERROR(__xludf.DUMMYFUNCTION("""COMPUTED_VALUE"""),"Nicole
6")</f>
        <v>Nicole
6</v>
      </c>
      <c r="F1025" s="40" t="str">
        <f>IFERROR(__xludf.DUMMYFUNCTION("""COMPUTED_VALUE"""),"Basin")</f>
        <v>Basin</v>
      </c>
      <c r="G1025" s="40" t="str">
        <f>IFERROR(__xludf.DUMMYFUNCTION("""COMPUTED_VALUE"""),"Ledge")</f>
        <v>Ledge</v>
      </c>
      <c r="H1025" s="40" t="str">
        <f>IFERROR(__xludf.DUMMYFUNCTION("""COMPUTED_VALUE"""),"East
West")</f>
        <v>East
West</v>
      </c>
      <c r="I1025" s="40" t="str">
        <f>IFERROR(__xludf.DUMMYFUNCTION("""COMPUTED_VALUE"""),"Lake,")</f>
        <v>Lake,</v>
      </c>
      <c r="J1025" s="40" t="str">
        <f>IFERROR(__xludf.DUMMYFUNCTION("""COMPUTED_VALUE"""),"TX")</f>
        <v>TX</v>
      </c>
      <c r="K1025" s="40">
        <f>IFERROR(__xludf.DUMMYFUNCTION("""COMPUTED_VALUE"""),78746.0)</f>
        <v>78746</v>
      </c>
      <c r="L1025" s="40"/>
      <c r="M1025" s="40"/>
      <c r="N1025" s="40"/>
      <c r="O1025" s="40"/>
      <c r="P1025" s="40"/>
      <c r="Q1025" s="40"/>
      <c r="R1025" s="40"/>
      <c r="S1025" s="40"/>
      <c r="T1025" s="40"/>
      <c r="U1025" s="24" t="str">
        <f>IFERROR(__xludf.DUMMYFUNCTION("SPLIT(E1025,""01234567890"")"),"Nicole
")</f>
        <v>Nicole
</v>
      </c>
      <c r="V1025" s="24" t="str">
        <f>IFERROR(__xludf.DUMMYFUNCTION("SPLIT(D1025,"","")"),"Nosek")</f>
        <v>Nosek</v>
      </c>
      <c r="W1025" s="25" t="str">
        <f t="shared" si="1"/>
        <v>NICOLE
 NOSEK</v>
      </c>
      <c r="X1025" s="40"/>
      <c r="Y1025" s="40"/>
      <c r="Z1025" s="25" t="str">
        <f>IFERROR(__xludf.DUMMYFUNCTION("SPLIT(C1025,""
"")"),"Nosek, Nicole")</f>
        <v>Nosek, Nicole</v>
      </c>
      <c r="AA1025" s="40" t="str">
        <f>IFERROR(__xludf.DUMMYFUNCTION("""COMPUTED_VALUE"""),"6 Basin Ledge East")</f>
        <v>6 Basin Ledge East</v>
      </c>
      <c r="AB1025" s="40" t="str">
        <f>IFERROR(__xludf.DUMMYFUNCTION("""COMPUTED_VALUE"""),"West Lake, TX 78746")</f>
        <v>West Lake, TX 78746</v>
      </c>
      <c r="AC1025" s="31" t="s">
        <v>2064</v>
      </c>
      <c r="AD1025" s="40"/>
      <c r="AE1025" s="40"/>
      <c r="AF1025" s="40"/>
      <c r="AG1025" s="40" t="s">
        <v>60</v>
      </c>
      <c r="AH1025" s="42">
        <v>2481.0</v>
      </c>
      <c r="AI1025" s="40" t="s">
        <v>68</v>
      </c>
      <c r="AJ1025" s="27">
        <v>2100.0</v>
      </c>
      <c r="AK1025" s="31" t="s">
        <v>25</v>
      </c>
      <c r="AL1025" s="43">
        <v>44870.0</v>
      </c>
      <c r="AM1025" s="44">
        <v>44937.81995370371</v>
      </c>
      <c r="AN1025" s="30">
        <v>2.0</v>
      </c>
      <c r="AO1025" s="40"/>
      <c r="AP1025" s="40"/>
      <c r="AQ1025" s="40"/>
      <c r="AR1025" s="40"/>
      <c r="AS1025" s="40"/>
      <c r="AT1025" s="47"/>
      <c r="AU1025" s="40"/>
      <c r="AV1025" s="46"/>
      <c r="AW1025" s="46"/>
      <c r="AX1025" s="47"/>
      <c r="AY1025" s="44"/>
      <c r="AZ1025" s="30"/>
      <c r="CU1025" s="55"/>
      <c r="CV1025" s="55"/>
      <c r="CW1025" s="55"/>
      <c r="CX1025" s="55"/>
      <c r="CY1025" s="55"/>
      <c r="CZ1025" s="55"/>
      <c r="DA1025" s="82"/>
      <c r="DB1025" s="55"/>
      <c r="DC1025" s="55"/>
      <c r="DD1025" s="55"/>
      <c r="DE1025" s="55"/>
      <c r="DF1025" s="55"/>
      <c r="DG1025" s="55"/>
      <c r="DH1025" s="55"/>
      <c r="DI1025" s="55"/>
      <c r="DJ1025" s="55"/>
      <c r="DK1025" s="55"/>
      <c r="DL1025" s="55"/>
      <c r="DM1025" s="55"/>
      <c r="DN1025" s="55"/>
      <c r="DO1025" s="55"/>
      <c r="DP1025" s="55"/>
      <c r="DQ1025" s="55"/>
      <c r="DR1025" s="55"/>
      <c r="DS1025" s="55"/>
      <c r="DT1025" s="55"/>
      <c r="DU1025" s="55"/>
      <c r="DV1025" s="55"/>
      <c r="DW1025" s="55"/>
    </row>
    <row r="1026">
      <c r="A1026" s="22" t="s">
        <v>55</v>
      </c>
      <c r="B1026" s="23" t="s">
        <v>56</v>
      </c>
      <c r="C1026" s="31" t="s">
        <v>2401</v>
      </c>
      <c r="D1026" s="25" t="str">
        <f>IFERROR(__xludf.DUMMYFUNCTION("SPLIT(C1026,"" "")"),"Murchison,")</f>
        <v>Murchison,</v>
      </c>
      <c r="E1026" s="22" t="str">
        <f>IFERROR(__xludf.DUMMYFUNCTION("""COMPUTED_VALUE"""),"Robert
5430")</f>
        <v>Robert
5430</v>
      </c>
      <c r="F1026" s="22" t="str">
        <f>IFERROR(__xludf.DUMMYFUNCTION("""COMPUTED_VALUE"""),"LBJ")</f>
        <v>LBJ</v>
      </c>
      <c r="G1026" s="22" t="str">
        <f>IFERROR(__xludf.DUMMYFUNCTION("""COMPUTED_VALUE"""),"Fwy
Dallas,")</f>
        <v>Fwy
Dallas,</v>
      </c>
      <c r="H1026" s="22" t="str">
        <f>IFERROR(__xludf.DUMMYFUNCTION("""COMPUTED_VALUE"""),"TX")</f>
        <v>TX</v>
      </c>
      <c r="I1026" s="22">
        <f>IFERROR(__xludf.DUMMYFUNCTION("""COMPUTED_VALUE"""),75240.0)</f>
        <v>75240</v>
      </c>
      <c r="J1026" s="22"/>
      <c r="K1026" s="22"/>
      <c r="L1026" s="22"/>
      <c r="M1026" s="22"/>
      <c r="N1026" s="22"/>
      <c r="O1026" s="22"/>
      <c r="P1026" s="22"/>
      <c r="Q1026" s="22"/>
      <c r="R1026" s="22"/>
      <c r="S1026" s="22"/>
      <c r="T1026" s="22"/>
      <c r="U1026" s="24" t="str">
        <f>IFERROR(__xludf.DUMMYFUNCTION("SPLIT(E1026,""01234567890"")"),"Robert
")</f>
        <v>Robert
</v>
      </c>
      <c r="V1026" s="24" t="str">
        <f>IFERROR(__xludf.DUMMYFUNCTION("SPLIT(D1026,"","")"),"Murchison")</f>
        <v>Murchison</v>
      </c>
      <c r="W1026" s="25" t="str">
        <f t="shared" si="1"/>
        <v>ROBERT
 MURCHISON</v>
      </c>
      <c r="X1026" s="22"/>
      <c r="Y1026" s="22"/>
      <c r="Z1026" s="25" t="str">
        <f>IFERROR(__xludf.DUMMYFUNCTION("SPLIT(C1026,""
"")"),"Murchison, Robert")</f>
        <v>Murchison, Robert</v>
      </c>
      <c r="AA1026" s="22" t="str">
        <f>IFERROR(__xludf.DUMMYFUNCTION("""COMPUTED_VALUE"""),"5430 LBJ Fwy")</f>
        <v>5430 LBJ Fwy</v>
      </c>
      <c r="AB1026" s="22" t="str">
        <f>IFERROR(__xludf.DUMMYFUNCTION("""COMPUTED_VALUE"""),"Dallas, TX 75240")</f>
        <v>Dallas, TX 75240</v>
      </c>
      <c r="AC1026" s="31" t="s">
        <v>1088</v>
      </c>
      <c r="AD1026" s="22"/>
      <c r="AE1026" s="22"/>
      <c r="AF1026" s="22"/>
      <c r="AG1026" s="22" t="s">
        <v>60</v>
      </c>
      <c r="AH1026" s="54">
        <v>2481.0</v>
      </c>
      <c r="AI1026" s="22" t="s">
        <v>68</v>
      </c>
      <c r="AJ1026" s="27">
        <v>4000.0</v>
      </c>
      <c r="AK1026" s="31" t="s">
        <v>25</v>
      </c>
      <c r="AL1026" s="28">
        <v>44888.0</v>
      </c>
      <c r="AM1026" s="29">
        <v>44937.81995370371</v>
      </c>
      <c r="AN1026" s="30">
        <v>2.0</v>
      </c>
      <c r="AO1026" s="22"/>
      <c r="AP1026" s="22"/>
      <c r="AQ1026" s="22"/>
      <c r="AR1026" s="22"/>
      <c r="AS1026" s="22"/>
      <c r="AT1026" s="70"/>
      <c r="AU1026" s="22"/>
      <c r="AV1026" s="57"/>
      <c r="AW1026" s="57"/>
      <c r="AX1026" s="70"/>
      <c r="AY1026" s="29"/>
      <c r="AZ1026" s="30"/>
      <c r="CU1026" s="55"/>
      <c r="CV1026" s="55"/>
      <c r="CW1026" s="55"/>
      <c r="CX1026" s="55"/>
      <c r="CY1026" s="55"/>
      <c r="CZ1026" s="55"/>
      <c r="DA1026" s="82"/>
      <c r="DB1026" s="55"/>
      <c r="DC1026" s="55"/>
      <c r="DD1026" s="55"/>
      <c r="DE1026" s="55"/>
      <c r="DF1026" s="55"/>
      <c r="DG1026" s="55"/>
      <c r="DH1026" s="55"/>
      <c r="DI1026" s="55"/>
      <c r="DJ1026" s="55"/>
      <c r="DK1026" s="55"/>
      <c r="DL1026" s="55"/>
      <c r="DM1026" s="55"/>
      <c r="DN1026" s="55"/>
      <c r="DO1026" s="55"/>
      <c r="DP1026" s="55"/>
      <c r="DQ1026" s="55"/>
      <c r="DR1026" s="55"/>
      <c r="DS1026" s="55"/>
      <c r="DT1026" s="55"/>
      <c r="DU1026" s="55"/>
      <c r="DV1026" s="55"/>
      <c r="DW1026" s="55"/>
    </row>
    <row r="1027">
      <c r="A1027" s="40" t="s">
        <v>55</v>
      </c>
      <c r="B1027" s="41" t="s">
        <v>56</v>
      </c>
      <c r="C1027" s="31" t="s">
        <v>2402</v>
      </c>
      <c r="D1027" s="25" t="str">
        <f>IFERROR(__xludf.DUMMYFUNCTION("SPLIT(C1027,"" "")"),"Idoux,")</f>
        <v>Idoux,</v>
      </c>
      <c r="E1027" s="40" t="str">
        <f>IFERROR(__xludf.DUMMYFUNCTION("""COMPUTED_VALUE"""),"Steve
6123")</f>
        <v>Steve
6123</v>
      </c>
      <c r="F1027" s="40" t="str">
        <f>IFERROR(__xludf.DUMMYFUNCTION("""COMPUTED_VALUE"""),"Orchid")</f>
        <v>Orchid</v>
      </c>
      <c r="G1027" s="40" t="str">
        <f>IFERROR(__xludf.DUMMYFUNCTION("""COMPUTED_VALUE"""),"Lane
Dallas,")</f>
        <v>Lane
Dallas,</v>
      </c>
      <c r="H1027" s="40" t="str">
        <f>IFERROR(__xludf.DUMMYFUNCTION("""COMPUTED_VALUE"""),"TX")</f>
        <v>TX</v>
      </c>
      <c r="I1027" s="40">
        <f>IFERROR(__xludf.DUMMYFUNCTION("""COMPUTED_VALUE"""),75230.0)</f>
        <v>75230</v>
      </c>
      <c r="J1027" s="40"/>
      <c r="K1027" s="40"/>
      <c r="L1027" s="40"/>
      <c r="M1027" s="40"/>
      <c r="N1027" s="40"/>
      <c r="O1027" s="40"/>
      <c r="P1027" s="40"/>
      <c r="Q1027" s="40"/>
      <c r="R1027" s="40"/>
      <c r="S1027" s="40"/>
      <c r="T1027" s="40"/>
      <c r="U1027" s="24" t="str">
        <f>IFERROR(__xludf.DUMMYFUNCTION("SPLIT(E1027,""01234567890"")"),"Steve
")</f>
        <v>Steve
</v>
      </c>
      <c r="V1027" s="24" t="str">
        <f>IFERROR(__xludf.DUMMYFUNCTION("SPLIT(D1027,"","")"),"Idoux")</f>
        <v>Idoux</v>
      </c>
      <c r="W1027" s="25" t="str">
        <f t="shared" si="1"/>
        <v>STEVE
 IDOUX</v>
      </c>
      <c r="X1027" s="40"/>
      <c r="Y1027" s="40"/>
      <c r="Z1027" s="25" t="str">
        <f>IFERROR(__xludf.DUMMYFUNCTION("SPLIT(C1027,""
"")"),"Idoux, Steve")</f>
        <v>Idoux, Steve</v>
      </c>
      <c r="AA1027" s="40" t="str">
        <f>IFERROR(__xludf.DUMMYFUNCTION("""COMPUTED_VALUE"""),"6123 Orchid Lane")</f>
        <v>6123 Orchid Lane</v>
      </c>
      <c r="AB1027" s="40" t="str">
        <f>IFERROR(__xludf.DUMMYFUNCTION("""COMPUTED_VALUE"""),"Dallas, TX 75230")</f>
        <v>Dallas, TX 75230</v>
      </c>
      <c r="AC1027" s="31" t="s">
        <v>2403</v>
      </c>
      <c r="AD1027" s="40"/>
      <c r="AE1027" s="40"/>
      <c r="AF1027" s="40"/>
      <c r="AG1027" s="40" t="s">
        <v>60</v>
      </c>
      <c r="AH1027" s="42">
        <v>2481.0</v>
      </c>
      <c r="AI1027" s="40" t="s">
        <v>68</v>
      </c>
      <c r="AJ1027" s="27">
        <v>5000.0</v>
      </c>
      <c r="AK1027" s="31" t="s">
        <v>25</v>
      </c>
      <c r="AL1027" s="43">
        <v>44893.0</v>
      </c>
      <c r="AM1027" s="44">
        <v>44937.81995370371</v>
      </c>
      <c r="AN1027" s="30">
        <v>2.0</v>
      </c>
      <c r="AO1027" s="40"/>
      <c r="AP1027" s="40"/>
      <c r="AQ1027" s="40"/>
      <c r="AR1027" s="40"/>
      <c r="AS1027" s="40"/>
      <c r="AT1027" s="47"/>
      <c r="AU1027" s="40"/>
      <c r="AV1027" s="46"/>
      <c r="AW1027" s="46"/>
      <c r="AX1027" s="47"/>
      <c r="AY1027" s="44"/>
      <c r="AZ1027" s="30"/>
      <c r="CU1027" s="55"/>
      <c r="CV1027" s="55"/>
      <c r="CW1027" s="55"/>
      <c r="CX1027" s="55"/>
      <c r="CY1027" s="55"/>
      <c r="CZ1027" s="55"/>
      <c r="DA1027" s="82"/>
      <c r="DB1027" s="55"/>
      <c r="DC1027" s="55"/>
      <c r="DD1027" s="55"/>
      <c r="DE1027" s="55"/>
      <c r="DF1027" s="55"/>
      <c r="DG1027" s="55"/>
      <c r="DH1027" s="55"/>
      <c r="DI1027" s="55"/>
      <c r="DJ1027" s="55"/>
      <c r="DK1027" s="55"/>
      <c r="DL1027" s="55"/>
      <c r="DM1027" s="55"/>
      <c r="DN1027" s="55"/>
      <c r="DO1027" s="55"/>
      <c r="DP1027" s="55"/>
      <c r="DQ1027" s="55"/>
      <c r="DR1027" s="55"/>
      <c r="DS1027" s="55"/>
      <c r="DT1027" s="55"/>
      <c r="DU1027" s="55"/>
      <c r="DV1027" s="55"/>
      <c r="DW1027" s="55"/>
    </row>
    <row r="1028">
      <c r="A1028" s="22" t="s">
        <v>55</v>
      </c>
      <c r="B1028" s="23" t="s">
        <v>56</v>
      </c>
      <c r="C1028" s="31" t="s">
        <v>2404</v>
      </c>
      <c r="D1028" s="25" t="str">
        <f>IFERROR(__xludf.DUMMYFUNCTION("SPLIT(C1028,"" "")"),"Pick,")</f>
        <v>Pick,</v>
      </c>
      <c r="E1028" s="22" t="str">
        <f>IFERROR(__xludf.DUMMYFUNCTION("""COMPUTED_VALUE"""),"Jacki
10134")</f>
        <v>Jacki
10134</v>
      </c>
      <c r="F1028" s="22" t="str">
        <f>IFERROR(__xludf.DUMMYFUNCTION("""COMPUTED_VALUE"""),"Waller")</f>
        <v>Waller</v>
      </c>
      <c r="G1028" s="22" t="str">
        <f>IFERROR(__xludf.DUMMYFUNCTION("""COMPUTED_VALUE"""),"Dr
Dallas,")</f>
        <v>Dr
Dallas,</v>
      </c>
      <c r="H1028" s="22" t="str">
        <f>IFERROR(__xludf.DUMMYFUNCTION("""COMPUTED_VALUE"""),"TX")</f>
        <v>TX</v>
      </c>
      <c r="I1028" s="22">
        <f>IFERROR(__xludf.DUMMYFUNCTION("""COMPUTED_VALUE"""),75229.0)</f>
        <v>75229</v>
      </c>
      <c r="J1028" s="22"/>
      <c r="K1028" s="22"/>
      <c r="L1028" s="22"/>
      <c r="M1028" s="22"/>
      <c r="N1028" s="22"/>
      <c r="O1028" s="22"/>
      <c r="P1028" s="22"/>
      <c r="Q1028" s="22"/>
      <c r="R1028" s="22"/>
      <c r="S1028" s="22"/>
      <c r="T1028" s="22"/>
      <c r="U1028" s="24" t="str">
        <f>IFERROR(__xludf.DUMMYFUNCTION("SPLIT(E1028,""01234567890"")"),"Jacki
")</f>
        <v>Jacki
</v>
      </c>
      <c r="V1028" s="24" t="str">
        <f>IFERROR(__xludf.DUMMYFUNCTION("SPLIT(D1028,"","")"),"Pick")</f>
        <v>Pick</v>
      </c>
      <c r="W1028" s="25" t="str">
        <f t="shared" si="1"/>
        <v>JACKI
 PICK</v>
      </c>
      <c r="X1028" s="22"/>
      <c r="Y1028" s="22"/>
      <c r="Z1028" s="25" t="str">
        <f>IFERROR(__xludf.DUMMYFUNCTION("SPLIT(C1028,""
"")"),"Pick, Jacki")</f>
        <v>Pick, Jacki</v>
      </c>
      <c r="AA1028" s="22" t="str">
        <f>IFERROR(__xludf.DUMMYFUNCTION("""COMPUTED_VALUE"""),"10134 Waller Dr")</f>
        <v>10134 Waller Dr</v>
      </c>
      <c r="AB1028" s="22" t="str">
        <f>IFERROR(__xludf.DUMMYFUNCTION("""COMPUTED_VALUE"""),"Dallas, TX 75229")</f>
        <v>Dallas, TX 75229</v>
      </c>
      <c r="AC1028" s="31" t="s">
        <v>2405</v>
      </c>
      <c r="AD1028" s="22"/>
      <c r="AE1028" s="22"/>
      <c r="AF1028" s="22"/>
      <c r="AG1028" s="22" t="s">
        <v>60</v>
      </c>
      <c r="AH1028" s="54">
        <v>2481.0</v>
      </c>
      <c r="AI1028" s="22" t="s">
        <v>68</v>
      </c>
      <c r="AJ1028" s="27">
        <v>5000.0</v>
      </c>
      <c r="AK1028" s="31" t="s">
        <v>25</v>
      </c>
      <c r="AL1028" s="28">
        <v>44895.0</v>
      </c>
      <c r="AM1028" s="29">
        <v>44937.81995370371</v>
      </c>
      <c r="AN1028" s="30">
        <v>2.0</v>
      </c>
      <c r="AO1028" s="22"/>
      <c r="AP1028" s="22"/>
      <c r="AQ1028" s="22"/>
      <c r="AR1028" s="22"/>
      <c r="AS1028" s="22"/>
      <c r="AT1028" s="70"/>
      <c r="AU1028" s="22"/>
      <c r="AV1028" s="57"/>
      <c r="AW1028" s="57"/>
      <c r="AX1028" s="70"/>
      <c r="AY1028" s="29"/>
      <c r="AZ1028" s="30"/>
      <c r="CU1028" s="55"/>
      <c r="CV1028" s="55"/>
      <c r="CW1028" s="55"/>
      <c r="CX1028" s="55"/>
      <c r="CY1028" s="55"/>
      <c r="CZ1028" s="55"/>
      <c r="DA1028" s="82"/>
      <c r="DB1028" s="55"/>
      <c r="DC1028" s="55"/>
      <c r="DD1028" s="55"/>
      <c r="DE1028" s="55"/>
      <c r="DF1028" s="55"/>
      <c r="DG1028" s="55"/>
      <c r="DH1028" s="55"/>
      <c r="DI1028" s="55"/>
      <c r="DJ1028" s="55"/>
      <c r="DK1028" s="55"/>
      <c r="DL1028" s="55"/>
      <c r="DM1028" s="55"/>
      <c r="DN1028" s="55"/>
      <c r="DO1028" s="55"/>
      <c r="DP1028" s="55"/>
      <c r="DQ1028" s="55"/>
      <c r="DR1028" s="55"/>
      <c r="DS1028" s="55"/>
      <c r="DT1028" s="55"/>
      <c r="DU1028" s="55"/>
      <c r="DV1028" s="55"/>
      <c r="DW1028" s="55"/>
    </row>
    <row r="1029">
      <c r="A1029" s="40" t="s">
        <v>55</v>
      </c>
      <c r="B1029" s="41" t="s">
        <v>56</v>
      </c>
      <c r="C1029" s="31" t="s">
        <v>2406</v>
      </c>
      <c r="D1029" s="25" t="str">
        <f>IFERROR(__xludf.DUMMYFUNCTION("SPLIT(C1029,"" "")"),"Deason,")</f>
        <v>Deason,</v>
      </c>
      <c r="E1029" s="40" t="str">
        <f>IFERROR(__xludf.DUMMYFUNCTION("""COMPUTED_VALUE"""),"Doug
10134")</f>
        <v>Doug
10134</v>
      </c>
      <c r="F1029" s="40" t="str">
        <f>IFERROR(__xludf.DUMMYFUNCTION("""COMPUTED_VALUE"""),"Waller")</f>
        <v>Waller</v>
      </c>
      <c r="G1029" s="40" t="str">
        <f>IFERROR(__xludf.DUMMYFUNCTION("""COMPUTED_VALUE"""),"Dr
Dallas,")</f>
        <v>Dr
Dallas,</v>
      </c>
      <c r="H1029" s="40" t="str">
        <f>IFERROR(__xludf.DUMMYFUNCTION("""COMPUTED_VALUE"""),"TX")</f>
        <v>TX</v>
      </c>
      <c r="I1029" s="40">
        <f>IFERROR(__xludf.DUMMYFUNCTION("""COMPUTED_VALUE"""),75229.0)</f>
        <v>75229</v>
      </c>
      <c r="J1029" s="40"/>
      <c r="K1029" s="40"/>
      <c r="L1029" s="40"/>
      <c r="M1029" s="40"/>
      <c r="N1029" s="40"/>
      <c r="O1029" s="40"/>
      <c r="P1029" s="40"/>
      <c r="Q1029" s="40"/>
      <c r="R1029" s="40"/>
      <c r="S1029" s="40"/>
      <c r="T1029" s="40"/>
      <c r="U1029" s="24" t="str">
        <f>IFERROR(__xludf.DUMMYFUNCTION("SPLIT(E1029,""01234567890"")"),"Doug
")</f>
        <v>Doug
</v>
      </c>
      <c r="V1029" s="24" t="str">
        <f>IFERROR(__xludf.DUMMYFUNCTION("SPLIT(D1029,"","")"),"Deason")</f>
        <v>Deason</v>
      </c>
      <c r="W1029" s="25" t="str">
        <f t="shared" si="1"/>
        <v>DOUG
 DEASON</v>
      </c>
      <c r="X1029" s="40"/>
      <c r="Y1029" s="40"/>
      <c r="Z1029" s="25" t="str">
        <f>IFERROR(__xludf.DUMMYFUNCTION("SPLIT(C1029,""
"")"),"Deason, Doug")</f>
        <v>Deason, Doug</v>
      </c>
      <c r="AA1029" s="40" t="str">
        <f>IFERROR(__xludf.DUMMYFUNCTION("""COMPUTED_VALUE"""),"10134 Waller Dr")</f>
        <v>10134 Waller Dr</v>
      </c>
      <c r="AB1029" s="40" t="str">
        <f>IFERROR(__xludf.DUMMYFUNCTION("""COMPUTED_VALUE"""),"Dallas, TX 75229")</f>
        <v>Dallas, TX 75229</v>
      </c>
      <c r="AC1029" s="31" t="s">
        <v>2407</v>
      </c>
      <c r="AD1029" s="40"/>
      <c r="AE1029" s="40"/>
      <c r="AF1029" s="40"/>
      <c r="AG1029" s="40" t="s">
        <v>60</v>
      </c>
      <c r="AH1029" s="42">
        <v>2481.0</v>
      </c>
      <c r="AI1029" s="40" t="s">
        <v>68</v>
      </c>
      <c r="AJ1029" s="27">
        <v>5000.0</v>
      </c>
      <c r="AK1029" s="31" t="s">
        <v>25</v>
      </c>
      <c r="AL1029" s="43">
        <v>44895.0</v>
      </c>
      <c r="AM1029" s="44">
        <v>44937.81995370371</v>
      </c>
      <c r="AN1029" s="30">
        <v>2.0</v>
      </c>
      <c r="AO1029" s="40"/>
      <c r="AP1029" s="40"/>
      <c r="AQ1029" s="40"/>
      <c r="AR1029" s="40"/>
      <c r="AS1029" s="40"/>
      <c r="AT1029" s="47"/>
      <c r="AU1029" s="40"/>
      <c r="AV1029" s="46"/>
      <c r="AW1029" s="46"/>
      <c r="AX1029" s="47"/>
      <c r="AY1029" s="44"/>
      <c r="AZ1029" s="30"/>
      <c r="CU1029" s="55"/>
      <c r="CV1029" s="55"/>
      <c r="CW1029" s="55"/>
      <c r="CX1029" s="55"/>
      <c r="CY1029" s="55"/>
      <c r="CZ1029" s="55"/>
      <c r="DA1029" s="82"/>
      <c r="DB1029" s="55"/>
      <c r="DC1029" s="55"/>
      <c r="DD1029" s="55"/>
      <c r="DE1029" s="55"/>
      <c r="DF1029" s="55"/>
      <c r="DG1029" s="55"/>
      <c r="DH1029" s="55"/>
      <c r="DI1029" s="55"/>
      <c r="DJ1029" s="55"/>
      <c r="DK1029" s="55"/>
      <c r="DL1029" s="55"/>
      <c r="DM1029" s="55"/>
      <c r="DN1029" s="55"/>
      <c r="DO1029" s="55"/>
      <c r="DP1029" s="55"/>
      <c r="DQ1029" s="55"/>
      <c r="DR1029" s="55"/>
      <c r="DS1029" s="55"/>
      <c r="DT1029" s="55"/>
      <c r="DU1029" s="55"/>
      <c r="DV1029" s="55"/>
      <c r="DW1029" s="55"/>
    </row>
    <row r="1030">
      <c r="A1030" s="22" t="s">
        <v>55</v>
      </c>
      <c r="B1030" s="23" t="s">
        <v>56</v>
      </c>
      <c r="C1030" s="31" t="s">
        <v>2408</v>
      </c>
      <c r="D1030" s="25" t="str">
        <f>IFERROR(__xludf.DUMMYFUNCTION("SPLIT(C1030,"" "")"),"Miller,")</f>
        <v>Miller,</v>
      </c>
      <c r="E1030" s="22" t="str">
        <f>IFERROR(__xludf.DUMMYFUNCTION("""COMPUTED_VALUE"""),"Ronald
7920")</f>
        <v>Ronald
7920</v>
      </c>
      <c r="F1030" s="22" t="str">
        <f>IFERROR(__xludf.DUMMYFUNCTION("""COMPUTED_VALUE"""),"Beltline
Dallas,")</f>
        <v>Beltline
Dallas,</v>
      </c>
      <c r="G1030" s="22" t="str">
        <f>IFERROR(__xludf.DUMMYFUNCTION("""COMPUTED_VALUE"""),"TX")</f>
        <v>TX</v>
      </c>
      <c r="H1030" s="22">
        <f>IFERROR(__xludf.DUMMYFUNCTION("""COMPUTED_VALUE"""),75254.0)</f>
        <v>75254</v>
      </c>
      <c r="I1030" s="22"/>
      <c r="J1030" s="22"/>
      <c r="K1030" s="22"/>
      <c r="L1030" s="22"/>
      <c r="M1030" s="22"/>
      <c r="N1030" s="22"/>
      <c r="O1030" s="22"/>
      <c r="P1030" s="22"/>
      <c r="Q1030" s="22"/>
      <c r="R1030" s="22"/>
      <c r="S1030" s="22"/>
      <c r="T1030" s="22"/>
      <c r="U1030" s="24" t="str">
        <f>IFERROR(__xludf.DUMMYFUNCTION("SPLIT(E1030,""01234567890"")"),"Ronald
")</f>
        <v>Ronald
</v>
      </c>
      <c r="V1030" s="24" t="str">
        <f>IFERROR(__xludf.DUMMYFUNCTION("SPLIT(D1030,"","")"),"Miller")</f>
        <v>Miller</v>
      </c>
      <c r="W1030" s="25" t="str">
        <f t="shared" si="1"/>
        <v>RONALD
 MILLER</v>
      </c>
      <c r="X1030" s="22"/>
      <c r="Y1030" s="22"/>
      <c r="Z1030" s="25" t="str">
        <f>IFERROR(__xludf.DUMMYFUNCTION("SPLIT(C1030,""
"")"),"Miller, Ronald")</f>
        <v>Miller, Ronald</v>
      </c>
      <c r="AA1030" s="22" t="str">
        <f>IFERROR(__xludf.DUMMYFUNCTION("""COMPUTED_VALUE"""),"7920 Beltline")</f>
        <v>7920 Beltline</v>
      </c>
      <c r="AB1030" s="22" t="str">
        <f>IFERROR(__xludf.DUMMYFUNCTION("""COMPUTED_VALUE"""),"Dallas, TX 75254")</f>
        <v>Dallas, TX 75254</v>
      </c>
      <c r="AC1030" s="31" t="s">
        <v>2409</v>
      </c>
      <c r="AD1030" s="22"/>
      <c r="AE1030" s="22"/>
      <c r="AF1030" s="22"/>
      <c r="AG1030" s="22" t="s">
        <v>60</v>
      </c>
      <c r="AH1030" s="54">
        <v>2481.0</v>
      </c>
      <c r="AI1030" s="22" t="s">
        <v>68</v>
      </c>
      <c r="AJ1030" s="27">
        <v>300.0</v>
      </c>
      <c r="AK1030" s="31" t="s">
        <v>25</v>
      </c>
      <c r="AL1030" s="28">
        <v>44895.0</v>
      </c>
      <c r="AM1030" s="29">
        <v>44937.81995370371</v>
      </c>
      <c r="AN1030" s="30">
        <v>2.0</v>
      </c>
      <c r="AO1030" s="22"/>
      <c r="AP1030" s="22"/>
      <c r="AQ1030" s="22"/>
      <c r="AR1030" s="22"/>
      <c r="AS1030" s="22"/>
      <c r="AT1030" s="70"/>
      <c r="AU1030" s="22"/>
      <c r="AV1030" s="57"/>
      <c r="AW1030" s="57"/>
      <c r="AX1030" s="70"/>
      <c r="AY1030" s="29"/>
      <c r="AZ1030" s="30"/>
      <c r="CU1030" s="55"/>
      <c r="CV1030" s="55"/>
      <c r="CW1030" s="55"/>
      <c r="CX1030" s="55"/>
      <c r="CY1030" s="55"/>
      <c r="CZ1030" s="55"/>
      <c r="DA1030" s="82"/>
      <c r="DB1030" s="55"/>
      <c r="DC1030" s="55"/>
      <c r="DD1030" s="55"/>
      <c r="DE1030" s="55"/>
      <c r="DF1030" s="55"/>
      <c r="DG1030" s="55"/>
      <c r="DH1030" s="55"/>
      <c r="DI1030" s="55"/>
      <c r="DJ1030" s="55"/>
      <c r="DK1030" s="55"/>
      <c r="DL1030" s="55"/>
      <c r="DM1030" s="55"/>
      <c r="DN1030" s="55"/>
      <c r="DO1030" s="55"/>
      <c r="DP1030" s="55"/>
      <c r="DQ1030" s="55"/>
      <c r="DR1030" s="55"/>
      <c r="DS1030" s="55"/>
      <c r="DT1030" s="55"/>
      <c r="DU1030" s="55"/>
      <c r="DV1030" s="55"/>
      <c r="DW1030" s="55"/>
    </row>
    <row r="1031">
      <c r="A1031" s="40" t="s">
        <v>55</v>
      </c>
      <c r="B1031" s="41" t="s">
        <v>56</v>
      </c>
      <c r="C1031" s="31" t="s">
        <v>2410</v>
      </c>
      <c r="D1031" s="25" t="str">
        <f>IFERROR(__xludf.DUMMYFUNCTION("SPLIT(C1031,"" "")"),"Martin,")</f>
        <v>Martin,</v>
      </c>
      <c r="E1031" s="40" t="str">
        <f>IFERROR(__xludf.DUMMYFUNCTION("""COMPUTED_VALUE"""),"Jack
100")</f>
        <v>Jack
100</v>
      </c>
      <c r="F1031" s="40" t="str">
        <f>IFERROR(__xludf.DUMMYFUNCTION("""COMPUTED_VALUE"""),"Crescent")</f>
        <v>Crescent</v>
      </c>
      <c r="G1031" s="40" t="str">
        <f>IFERROR(__xludf.DUMMYFUNCTION("""COMPUTED_VALUE"""),"Court
Dallas,")</f>
        <v>Court
Dallas,</v>
      </c>
      <c r="H1031" s="40" t="str">
        <f>IFERROR(__xludf.DUMMYFUNCTION("""COMPUTED_VALUE"""),"TX")</f>
        <v>TX</v>
      </c>
      <c r="I1031" s="40">
        <f>IFERROR(__xludf.DUMMYFUNCTION("""COMPUTED_VALUE"""),75201.0)</f>
        <v>75201</v>
      </c>
      <c r="J1031" s="40"/>
      <c r="K1031" s="40"/>
      <c r="L1031" s="40"/>
      <c r="M1031" s="40"/>
      <c r="N1031" s="40"/>
      <c r="O1031" s="40"/>
      <c r="P1031" s="40"/>
      <c r="Q1031" s="40"/>
      <c r="R1031" s="40"/>
      <c r="S1031" s="40"/>
      <c r="T1031" s="40"/>
      <c r="U1031" s="24" t="str">
        <f>IFERROR(__xludf.DUMMYFUNCTION("SPLIT(E1031,""01234567890"")"),"Jack
")</f>
        <v>Jack
</v>
      </c>
      <c r="V1031" s="24" t="str">
        <f>IFERROR(__xludf.DUMMYFUNCTION("SPLIT(D1031,"","")"),"Martin")</f>
        <v>Martin</v>
      </c>
      <c r="W1031" s="25" t="str">
        <f t="shared" si="1"/>
        <v>JACK
 MARTIN</v>
      </c>
      <c r="X1031" s="40"/>
      <c r="Y1031" s="40"/>
      <c r="Z1031" s="25" t="str">
        <f>IFERROR(__xludf.DUMMYFUNCTION("SPLIT(C1031,""
"")"),"Martin, Jack")</f>
        <v>Martin, Jack</v>
      </c>
      <c r="AA1031" s="40" t="str">
        <f>IFERROR(__xludf.DUMMYFUNCTION("""COMPUTED_VALUE"""),"100 Crescent Court")</f>
        <v>100 Crescent Court</v>
      </c>
      <c r="AB1031" s="40" t="str">
        <f>IFERROR(__xludf.DUMMYFUNCTION("""COMPUTED_VALUE"""),"Dallas, TX 75201")</f>
        <v>Dallas, TX 75201</v>
      </c>
      <c r="AC1031" s="31" t="s">
        <v>2411</v>
      </c>
      <c r="AD1031" s="40"/>
      <c r="AE1031" s="40"/>
      <c r="AF1031" s="40"/>
      <c r="AG1031" s="40" t="s">
        <v>60</v>
      </c>
      <c r="AH1031" s="42">
        <v>2481.0</v>
      </c>
      <c r="AI1031" s="40" t="s">
        <v>68</v>
      </c>
      <c r="AJ1031" s="27">
        <v>5000.0</v>
      </c>
      <c r="AK1031" s="31" t="s">
        <v>25</v>
      </c>
      <c r="AL1031" s="43">
        <v>44896.0</v>
      </c>
      <c r="AM1031" s="44">
        <v>44937.81995370371</v>
      </c>
      <c r="AN1031" s="30">
        <v>2.0</v>
      </c>
      <c r="AO1031" s="40"/>
      <c r="AP1031" s="40"/>
      <c r="AQ1031" s="40"/>
      <c r="AR1031" s="40"/>
      <c r="AS1031" s="40"/>
      <c r="AT1031" s="47"/>
      <c r="AU1031" s="40"/>
      <c r="AV1031" s="46"/>
      <c r="AW1031" s="46"/>
      <c r="AX1031" s="47"/>
      <c r="AY1031" s="44"/>
      <c r="AZ1031" s="30"/>
      <c r="CU1031" s="55"/>
      <c r="CV1031" s="55"/>
      <c r="CW1031" s="55"/>
      <c r="CX1031" s="55"/>
      <c r="CY1031" s="55"/>
      <c r="CZ1031" s="55"/>
      <c r="DA1031" s="82"/>
      <c r="DB1031" s="55"/>
      <c r="DC1031" s="55"/>
      <c r="DD1031" s="55"/>
      <c r="DE1031" s="55"/>
      <c r="DF1031" s="55"/>
      <c r="DG1031" s="55"/>
      <c r="DH1031" s="55"/>
      <c r="DI1031" s="55"/>
      <c r="DJ1031" s="55"/>
      <c r="DK1031" s="55"/>
      <c r="DL1031" s="55"/>
      <c r="DM1031" s="55"/>
      <c r="DN1031" s="55"/>
      <c r="DO1031" s="55"/>
      <c r="DP1031" s="55"/>
      <c r="DQ1031" s="55"/>
      <c r="DR1031" s="55"/>
      <c r="DS1031" s="55"/>
      <c r="DT1031" s="55"/>
      <c r="DU1031" s="55"/>
      <c r="DV1031" s="55"/>
      <c r="DW1031" s="55"/>
    </row>
    <row r="1032">
      <c r="A1032" s="22" t="s">
        <v>55</v>
      </c>
      <c r="B1032" s="23" t="s">
        <v>56</v>
      </c>
      <c r="C1032" s="31" t="s">
        <v>2412</v>
      </c>
      <c r="D1032" s="25" t="str">
        <f>IFERROR(__xludf.DUMMYFUNCTION("SPLIT(C1032,"" "")"),"Kress,")</f>
        <v>Kress,</v>
      </c>
      <c r="E1032" s="22" t="str">
        <f>IFERROR(__xludf.DUMMYFUNCTION("""COMPUTED_VALUE"""),"Barnett
1400")</f>
        <v>Barnett
1400</v>
      </c>
      <c r="F1032" s="22" t="str">
        <f>IFERROR(__xludf.DUMMYFUNCTION("""COMPUTED_VALUE"""),"Hardouin")</f>
        <v>Hardouin</v>
      </c>
      <c r="G1032" s="22" t="str">
        <f>IFERROR(__xludf.DUMMYFUNCTION("""COMPUTED_VALUE"""),"Ave
Austin,")</f>
        <v>Ave
Austin,</v>
      </c>
      <c r="H1032" s="22" t="str">
        <f>IFERROR(__xludf.DUMMYFUNCTION("""COMPUTED_VALUE"""),"TX")</f>
        <v>TX</v>
      </c>
      <c r="I1032" s="22">
        <f>IFERROR(__xludf.DUMMYFUNCTION("""COMPUTED_VALUE"""),78703.0)</f>
        <v>78703</v>
      </c>
      <c r="J1032" s="22"/>
      <c r="K1032" s="22"/>
      <c r="L1032" s="22"/>
      <c r="M1032" s="22"/>
      <c r="N1032" s="22"/>
      <c r="O1032" s="22"/>
      <c r="P1032" s="22"/>
      <c r="Q1032" s="22"/>
      <c r="R1032" s="22"/>
      <c r="S1032" s="22"/>
      <c r="T1032" s="22"/>
      <c r="U1032" s="24" t="str">
        <f>IFERROR(__xludf.DUMMYFUNCTION("SPLIT(E1032,""01234567890"")"),"Barnett
")</f>
        <v>Barnett
</v>
      </c>
      <c r="V1032" s="24" t="str">
        <f>IFERROR(__xludf.DUMMYFUNCTION("SPLIT(D1032,"","")"),"Kress")</f>
        <v>Kress</v>
      </c>
      <c r="W1032" s="25" t="str">
        <f t="shared" si="1"/>
        <v>BARNETT
 KRESS</v>
      </c>
      <c r="X1032" s="22"/>
      <c r="Y1032" s="22"/>
      <c r="Z1032" s="25" t="str">
        <f>IFERROR(__xludf.DUMMYFUNCTION("SPLIT(C1032,""
"")"),"Kress, Barnett")</f>
        <v>Kress, Barnett</v>
      </c>
      <c r="AA1032" s="22" t="str">
        <f>IFERROR(__xludf.DUMMYFUNCTION("""COMPUTED_VALUE"""),"1400 Hardouin Ave")</f>
        <v>1400 Hardouin Ave</v>
      </c>
      <c r="AB1032" s="22" t="str">
        <f>IFERROR(__xludf.DUMMYFUNCTION("""COMPUTED_VALUE"""),"Austin, TX 78703")</f>
        <v>Austin, TX 78703</v>
      </c>
      <c r="AC1032" s="31" t="s">
        <v>2413</v>
      </c>
      <c r="AD1032" s="22"/>
      <c r="AE1032" s="22"/>
      <c r="AF1032" s="22"/>
      <c r="AG1032" s="22" t="s">
        <v>60</v>
      </c>
      <c r="AH1032" s="54">
        <v>2481.0</v>
      </c>
      <c r="AI1032" s="22" t="s">
        <v>68</v>
      </c>
      <c r="AJ1032" s="27">
        <v>1000.0</v>
      </c>
      <c r="AK1032" s="31" t="s">
        <v>25</v>
      </c>
      <c r="AL1032" s="28">
        <v>44899.0</v>
      </c>
      <c r="AM1032" s="29">
        <v>44937.81995370371</v>
      </c>
      <c r="AN1032" s="30">
        <v>2.0</v>
      </c>
      <c r="AO1032" s="22"/>
      <c r="AP1032" s="22"/>
      <c r="AQ1032" s="22"/>
      <c r="AR1032" s="22"/>
      <c r="AS1032" s="22"/>
      <c r="AT1032" s="70"/>
      <c r="AU1032" s="22"/>
      <c r="AV1032" s="57"/>
      <c r="AW1032" s="57"/>
      <c r="AX1032" s="70"/>
      <c r="AY1032" s="29"/>
      <c r="AZ1032" s="30"/>
      <c r="CU1032" s="55"/>
      <c r="CV1032" s="55"/>
      <c r="CW1032" s="55"/>
      <c r="CX1032" s="55"/>
      <c r="CY1032" s="55"/>
      <c r="CZ1032" s="55"/>
      <c r="DA1032" s="82"/>
      <c r="DB1032" s="55"/>
      <c r="DC1032" s="55"/>
      <c r="DD1032" s="55"/>
      <c r="DE1032" s="55"/>
      <c r="DF1032" s="55"/>
      <c r="DG1032" s="55"/>
      <c r="DH1032" s="55"/>
      <c r="DI1032" s="55"/>
      <c r="DJ1032" s="55"/>
      <c r="DK1032" s="55"/>
      <c r="DL1032" s="55"/>
      <c r="DM1032" s="55"/>
      <c r="DN1032" s="55"/>
      <c r="DO1032" s="55"/>
      <c r="DP1032" s="55"/>
      <c r="DQ1032" s="55"/>
      <c r="DR1032" s="55"/>
      <c r="DS1032" s="55"/>
      <c r="DT1032" s="55"/>
      <c r="DU1032" s="55"/>
      <c r="DV1032" s="55"/>
      <c r="DW1032" s="55"/>
    </row>
    <row r="1033">
      <c r="A1033" s="40" t="s">
        <v>55</v>
      </c>
      <c r="B1033" s="41" t="s">
        <v>56</v>
      </c>
      <c r="C1033" s="31" t="s">
        <v>2414</v>
      </c>
      <c r="D1033" s="25" t="str">
        <f>IFERROR(__xludf.DUMMYFUNCTION("SPLIT(C1033,"" "")"),"Sampson,")</f>
        <v>Sampson,</v>
      </c>
      <c r="E1033" s="40" t="str">
        <f>IFERROR(__xludf.DUMMYFUNCTION("""COMPUTED_VALUE"""),"Demetris
2207")</f>
        <v>Demetris
2207</v>
      </c>
      <c r="F1033" s="40" t="str">
        <f>IFERROR(__xludf.DUMMYFUNCTION("""COMPUTED_VALUE"""),"Elderoaks")</f>
        <v>Elderoaks</v>
      </c>
      <c r="G1033" s="40" t="str">
        <f>IFERROR(__xludf.DUMMYFUNCTION("""COMPUTED_VALUE"""),"Ln
Dallas,")</f>
        <v>Ln
Dallas,</v>
      </c>
      <c r="H1033" s="40" t="str">
        <f>IFERROR(__xludf.DUMMYFUNCTION("""COMPUTED_VALUE"""),"TX")</f>
        <v>TX</v>
      </c>
      <c r="I1033" s="40">
        <f>IFERROR(__xludf.DUMMYFUNCTION("""COMPUTED_VALUE"""),75232.0)</f>
        <v>75232</v>
      </c>
      <c r="J1033" s="40"/>
      <c r="K1033" s="40"/>
      <c r="L1033" s="40"/>
      <c r="M1033" s="40"/>
      <c r="N1033" s="40"/>
      <c r="O1033" s="40"/>
      <c r="P1033" s="40"/>
      <c r="Q1033" s="40"/>
      <c r="R1033" s="40"/>
      <c r="S1033" s="40"/>
      <c r="T1033" s="40"/>
      <c r="U1033" s="24" t="str">
        <f>IFERROR(__xludf.DUMMYFUNCTION("SPLIT(E1033,""01234567890"")"),"Demetris
")</f>
        <v>Demetris
</v>
      </c>
      <c r="V1033" s="24" t="str">
        <f>IFERROR(__xludf.DUMMYFUNCTION("SPLIT(D1033,"","")"),"Sampson")</f>
        <v>Sampson</v>
      </c>
      <c r="W1033" s="25" t="str">
        <f t="shared" si="1"/>
        <v>DEMETRIS
 SAMPSON</v>
      </c>
      <c r="X1033" s="40"/>
      <c r="Y1033" s="40"/>
      <c r="Z1033" s="25" t="str">
        <f>IFERROR(__xludf.DUMMYFUNCTION("SPLIT(C1033,""
"")"),"Sampson, Demetris")</f>
        <v>Sampson, Demetris</v>
      </c>
      <c r="AA1033" s="40" t="str">
        <f>IFERROR(__xludf.DUMMYFUNCTION("""COMPUTED_VALUE"""),"2207 Elderoaks Ln")</f>
        <v>2207 Elderoaks Ln</v>
      </c>
      <c r="AB1033" s="40" t="str">
        <f>IFERROR(__xludf.DUMMYFUNCTION("""COMPUTED_VALUE"""),"Dallas, TX 75232")</f>
        <v>Dallas, TX 75232</v>
      </c>
      <c r="AC1033" s="31" t="s">
        <v>814</v>
      </c>
      <c r="AD1033" s="40"/>
      <c r="AE1033" s="40"/>
      <c r="AF1033" s="40"/>
      <c r="AG1033" s="40" t="s">
        <v>60</v>
      </c>
      <c r="AH1033" s="42">
        <v>2481.0</v>
      </c>
      <c r="AI1033" s="40" t="s">
        <v>68</v>
      </c>
      <c r="AJ1033" s="27">
        <v>4000.0</v>
      </c>
      <c r="AK1033" s="31" t="s">
        <v>25</v>
      </c>
      <c r="AL1033" s="43">
        <v>44900.0</v>
      </c>
      <c r="AM1033" s="44">
        <v>44937.81995370371</v>
      </c>
      <c r="AN1033" s="30">
        <v>2.0</v>
      </c>
      <c r="AO1033" s="40"/>
      <c r="AP1033" s="40"/>
      <c r="AQ1033" s="40"/>
      <c r="AR1033" s="40"/>
      <c r="AS1033" s="40"/>
      <c r="AT1033" s="47"/>
      <c r="AU1033" s="40"/>
      <c r="AV1033" s="46"/>
      <c r="AW1033" s="46"/>
      <c r="AX1033" s="47"/>
      <c r="AY1033" s="44"/>
      <c r="AZ1033" s="30"/>
      <c r="CU1033" s="55"/>
      <c r="CV1033" s="55"/>
      <c r="CW1033" s="55"/>
      <c r="CX1033" s="55"/>
      <c r="CY1033" s="55"/>
      <c r="CZ1033" s="55"/>
      <c r="DA1033" s="82"/>
      <c r="DB1033" s="55"/>
      <c r="DC1033" s="55"/>
      <c r="DD1033" s="55"/>
      <c r="DE1033" s="55"/>
      <c r="DF1033" s="55"/>
      <c r="DG1033" s="55"/>
      <c r="DH1033" s="55"/>
      <c r="DI1033" s="55"/>
      <c r="DJ1033" s="55"/>
      <c r="DK1033" s="55"/>
      <c r="DL1033" s="55"/>
      <c r="DM1033" s="55"/>
      <c r="DN1033" s="55"/>
      <c r="DO1033" s="55"/>
      <c r="DP1033" s="55"/>
      <c r="DQ1033" s="55"/>
      <c r="DR1033" s="55"/>
      <c r="DS1033" s="55"/>
      <c r="DT1033" s="55"/>
      <c r="DU1033" s="55"/>
      <c r="DV1033" s="55"/>
      <c r="DW1033" s="55"/>
    </row>
    <row r="1034">
      <c r="A1034" s="22" t="s">
        <v>55</v>
      </c>
      <c r="B1034" s="23" t="s">
        <v>56</v>
      </c>
      <c r="C1034" s="31" t="s">
        <v>2415</v>
      </c>
      <c r="D1034" s="25" t="str">
        <f>IFERROR(__xludf.DUMMYFUNCTION("SPLIT(C1034,"" "")"),"Gruber,")</f>
        <v>Gruber,</v>
      </c>
      <c r="E1034" s="22" t="str">
        <f>IFERROR(__xludf.DUMMYFUNCTION("""COMPUTED_VALUE"""),"Mike
1918")</f>
        <v>Mike
1918</v>
      </c>
      <c r="F1034" s="22" t="str">
        <f>IFERROR(__xludf.DUMMYFUNCTION("""COMPUTED_VALUE"""),"Olive")</f>
        <v>Olive</v>
      </c>
      <c r="G1034" s="22" t="str">
        <f>IFERROR(__xludf.DUMMYFUNCTION("""COMPUTED_VALUE"""),"St
Dallas,")</f>
        <v>St
Dallas,</v>
      </c>
      <c r="H1034" s="22" t="str">
        <f>IFERROR(__xludf.DUMMYFUNCTION("""COMPUTED_VALUE"""),"TX")</f>
        <v>TX</v>
      </c>
      <c r="I1034" s="22">
        <f>IFERROR(__xludf.DUMMYFUNCTION("""COMPUTED_VALUE"""),75201.0)</f>
        <v>75201</v>
      </c>
      <c r="J1034" s="22"/>
      <c r="K1034" s="22"/>
      <c r="L1034" s="22"/>
      <c r="M1034" s="22"/>
      <c r="N1034" s="22"/>
      <c r="O1034" s="22"/>
      <c r="P1034" s="22"/>
      <c r="Q1034" s="22"/>
      <c r="R1034" s="22"/>
      <c r="S1034" s="22"/>
      <c r="T1034" s="22"/>
      <c r="U1034" s="24" t="str">
        <f>IFERROR(__xludf.DUMMYFUNCTION("SPLIT(E1034,""01234567890"")"),"Mike
")</f>
        <v>Mike
</v>
      </c>
      <c r="V1034" s="24" t="str">
        <f>IFERROR(__xludf.DUMMYFUNCTION("SPLIT(D1034,"","")"),"Gruber")</f>
        <v>Gruber</v>
      </c>
      <c r="W1034" s="25" t="str">
        <f t="shared" si="1"/>
        <v>MIKE
 GRUBER</v>
      </c>
      <c r="X1034" s="22"/>
      <c r="Y1034" s="22"/>
      <c r="Z1034" s="25" t="str">
        <f>IFERROR(__xludf.DUMMYFUNCTION("SPLIT(C1034,""
"")"),"Gruber, Mike")</f>
        <v>Gruber, Mike</v>
      </c>
      <c r="AA1034" s="22" t="str">
        <f>IFERROR(__xludf.DUMMYFUNCTION("""COMPUTED_VALUE"""),"1918 Olive St")</f>
        <v>1918 Olive St</v>
      </c>
      <c r="AB1034" s="22" t="str">
        <f>IFERROR(__xludf.DUMMYFUNCTION("""COMPUTED_VALUE"""),"Dallas, TX 75201")</f>
        <v>Dallas, TX 75201</v>
      </c>
      <c r="AC1034" s="31" t="s">
        <v>1118</v>
      </c>
      <c r="AD1034" s="22"/>
      <c r="AE1034" s="22"/>
      <c r="AF1034" s="22"/>
      <c r="AG1034" s="22" t="s">
        <v>60</v>
      </c>
      <c r="AH1034" s="54">
        <v>2481.0</v>
      </c>
      <c r="AI1034" s="22" t="s">
        <v>68</v>
      </c>
      <c r="AJ1034" s="27">
        <v>2500.0</v>
      </c>
      <c r="AK1034" s="31" t="s">
        <v>25</v>
      </c>
      <c r="AL1034" s="28">
        <v>44901.0</v>
      </c>
      <c r="AM1034" s="29">
        <v>44937.81995370371</v>
      </c>
      <c r="AN1034" s="30">
        <v>2.0</v>
      </c>
      <c r="AO1034" s="22"/>
      <c r="AP1034" s="22"/>
      <c r="AQ1034" s="22"/>
      <c r="AR1034" s="22"/>
      <c r="AS1034" s="22"/>
      <c r="AT1034" s="70"/>
      <c r="AU1034" s="22"/>
      <c r="AV1034" s="57"/>
      <c r="AW1034" s="57"/>
      <c r="AX1034" s="70"/>
      <c r="AY1034" s="29"/>
      <c r="AZ1034" s="30"/>
      <c r="CU1034" s="55"/>
      <c r="CV1034" s="55"/>
      <c r="CW1034" s="55"/>
      <c r="CX1034" s="55"/>
      <c r="CY1034" s="55"/>
      <c r="CZ1034" s="55"/>
      <c r="DA1034" s="82"/>
      <c r="DB1034" s="55"/>
      <c r="DC1034" s="55"/>
      <c r="DD1034" s="55"/>
      <c r="DE1034" s="55"/>
      <c r="DF1034" s="55"/>
      <c r="DG1034" s="55"/>
      <c r="DH1034" s="55"/>
      <c r="DI1034" s="55"/>
      <c r="DJ1034" s="55"/>
      <c r="DK1034" s="55"/>
      <c r="DL1034" s="55"/>
      <c r="DM1034" s="55"/>
      <c r="DN1034" s="55"/>
      <c r="DO1034" s="55"/>
      <c r="DP1034" s="55"/>
      <c r="DQ1034" s="55"/>
      <c r="DR1034" s="55"/>
      <c r="DS1034" s="55"/>
      <c r="DT1034" s="55"/>
      <c r="DU1034" s="55"/>
      <c r="DV1034" s="55"/>
      <c r="DW1034" s="55"/>
    </row>
    <row r="1035">
      <c r="A1035" s="40" t="s">
        <v>55</v>
      </c>
      <c r="B1035" s="41" t="s">
        <v>56</v>
      </c>
      <c r="C1035" s="31" t="s">
        <v>432</v>
      </c>
      <c r="D1035" s="25" t="str">
        <f>IFERROR(__xludf.DUMMYFUNCTION("SPLIT(C1035,"" "")"),"Billingsley,")</f>
        <v>Billingsley,</v>
      </c>
      <c r="E1035" s="40" t="str">
        <f>IFERROR(__xludf.DUMMYFUNCTION("""COMPUTED_VALUE"""),"Lucy
1723")</f>
        <v>Lucy
1723</v>
      </c>
      <c r="F1035" s="40" t="str">
        <f>IFERROR(__xludf.DUMMYFUNCTION("""COMPUTED_VALUE"""),"Routh")</f>
        <v>Routh</v>
      </c>
      <c r="G1035" s="40" t="str">
        <f>IFERROR(__xludf.DUMMYFUNCTION("""COMPUTED_VALUE"""),"Street
Dallas,")</f>
        <v>Street
Dallas,</v>
      </c>
      <c r="H1035" s="40" t="str">
        <f>IFERROR(__xludf.DUMMYFUNCTION("""COMPUTED_VALUE"""),"TX")</f>
        <v>TX</v>
      </c>
      <c r="I1035" s="40">
        <f>IFERROR(__xludf.DUMMYFUNCTION("""COMPUTED_VALUE"""),75201.0)</f>
        <v>75201</v>
      </c>
      <c r="J1035" s="40"/>
      <c r="K1035" s="40"/>
      <c r="L1035" s="40"/>
      <c r="M1035" s="40"/>
      <c r="N1035" s="40"/>
      <c r="O1035" s="40"/>
      <c r="P1035" s="40"/>
      <c r="Q1035" s="40"/>
      <c r="R1035" s="40"/>
      <c r="S1035" s="40"/>
      <c r="T1035" s="40"/>
      <c r="U1035" s="24" t="str">
        <f>IFERROR(__xludf.DUMMYFUNCTION("SPLIT(E1035,""01234567890"")"),"Lucy
")</f>
        <v>Lucy
</v>
      </c>
      <c r="V1035" s="24" t="str">
        <f>IFERROR(__xludf.DUMMYFUNCTION("SPLIT(D1035,"","")"),"Billingsley")</f>
        <v>Billingsley</v>
      </c>
      <c r="W1035" s="25" t="str">
        <f t="shared" si="1"/>
        <v>LUCY
 BILLINGSLEY</v>
      </c>
      <c r="X1035" s="40"/>
      <c r="Y1035" s="40"/>
      <c r="Z1035" s="25" t="str">
        <f>IFERROR(__xludf.DUMMYFUNCTION("SPLIT(C1035,""
"")"),"Billingsley, Lucy")</f>
        <v>Billingsley, Lucy</v>
      </c>
      <c r="AA1035" s="40" t="str">
        <f>IFERROR(__xludf.DUMMYFUNCTION("""COMPUTED_VALUE"""),"1723 Routh Street")</f>
        <v>1723 Routh Street</v>
      </c>
      <c r="AB1035" s="40" t="str">
        <f>IFERROR(__xludf.DUMMYFUNCTION("""COMPUTED_VALUE"""),"Dallas, TX 75201")</f>
        <v>Dallas, TX 75201</v>
      </c>
      <c r="AC1035" s="31" t="s">
        <v>425</v>
      </c>
      <c r="AD1035" s="40"/>
      <c r="AE1035" s="40"/>
      <c r="AF1035" s="40"/>
      <c r="AG1035" s="40" t="s">
        <v>60</v>
      </c>
      <c r="AH1035" s="42">
        <v>2481.0</v>
      </c>
      <c r="AI1035" s="40" t="s">
        <v>68</v>
      </c>
      <c r="AJ1035" s="27">
        <v>1000.0</v>
      </c>
      <c r="AK1035" s="31" t="s">
        <v>25</v>
      </c>
      <c r="AL1035" s="43">
        <v>44902.0</v>
      </c>
      <c r="AM1035" s="44">
        <v>44937.81995370371</v>
      </c>
      <c r="AN1035" s="30">
        <v>2.0</v>
      </c>
      <c r="AO1035" s="40"/>
      <c r="AP1035" s="40"/>
      <c r="AQ1035" s="40"/>
      <c r="AR1035" s="40"/>
      <c r="AS1035" s="40"/>
      <c r="AT1035" s="47"/>
      <c r="AU1035" s="40"/>
      <c r="AV1035" s="46"/>
      <c r="AW1035" s="46"/>
      <c r="AX1035" s="47"/>
      <c r="AY1035" s="44"/>
      <c r="AZ1035" s="30"/>
      <c r="CU1035" s="55"/>
      <c r="CV1035" s="55"/>
      <c r="CW1035" s="55"/>
      <c r="CX1035" s="55"/>
      <c r="CY1035" s="55"/>
      <c r="CZ1035" s="55"/>
      <c r="DA1035" s="82"/>
      <c r="DB1035" s="55"/>
      <c r="DC1035" s="55"/>
      <c r="DD1035" s="55"/>
      <c r="DE1035" s="55"/>
      <c r="DF1035" s="55"/>
      <c r="DG1035" s="55"/>
      <c r="DH1035" s="55"/>
      <c r="DI1035" s="55"/>
      <c r="DJ1035" s="55"/>
      <c r="DK1035" s="55"/>
      <c r="DL1035" s="55"/>
      <c r="DM1035" s="55"/>
      <c r="DN1035" s="55"/>
      <c r="DO1035" s="55"/>
      <c r="DP1035" s="55"/>
      <c r="DQ1035" s="55"/>
      <c r="DR1035" s="55"/>
      <c r="DS1035" s="55"/>
      <c r="DT1035" s="55"/>
      <c r="DU1035" s="55"/>
      <c r="DV1035" s="55"/>
      <c r="DW1035" s="55"/>
    </row>
    <row r="1036">
      <c r="A1036" s="22" t="s">
        <v>55</v>
      </c>
      <c r="B1036" s="23" t="s">
        <v>56</v>
      </c>
      <c r="C1036" s="31" t="s">
        <v>2416</v>
      </c>
      <c r="D1036" s="25" t="str">
        <f>IFERROR(__xludf.DUMMYFUNCTION("SPLIT(C1036,"" "")"),"Chapman,")</f>
        <v>Chapman,</v>
      </c>
      <c r="E1036" s="22" t="str">
        <f>IFERROR(__xludf.DUMMYFUNCTION("""COMPUTED_VALUE"""),"Jeffrey
4851")</f>
        <v>Jeffrey
4851</v>
      </c>
      <c r="F1036" s="22" t="str">
        <f>IFERROR(__xludf.DUMMYFUNCTION("""COMPUTED_VALUE"""),"Harrys")</f>
        <v>Harrys</v>
      </c>
      <c r="G1036" s="22" t="str">
        <f>IFERROR(__xludf.DUMMYFUNCTION("""COMPUTED_VALUE"""),"Lane
Dallas,")</f>
        <v>Lane
Dallas,</v>
      </c>
      <c r="H1036" s="22" t="str">
        <f>IFERROR(__xludf.DUMMYFUNCTION("""COMPUTED_VALUE"""),"TX")</f>
        <v>TX</v>
      </c>
      <c r="I1036" s="22">
        <f>IFERROR(__xludf.DUMMYFUNCTION("""COMPUTED_VALUE"""),75229.0)</f>
        <v>75229</v>
      </c>
      <c r="J1036" s="22"/>
      <c r="K1036" s="22"/>
      <c r="L1036" s="22"/>
      <c r="M1036" s="22"/>
      <c r="N1036" s="22"/>
      <c r="O1036" s="22"/>
      <c r="P1036" s="22"/>
      <c r="Q1036" s="22"/>
      <c r="R1036" s="22"/>
      <c r="S1036" s="22"/>
      <c r="T1036" s="22"/>
      <c r="U1036" s="24" t="str">
        <f>IFERROR(__xludf.DUMMYFUNCTION("SPLIT(E1036,""01234567890"")"),"Jeffrey
")</f>
        <v>Jeffrey
</v>
      </c>
      <c r="V1036" s="24" t="str">
        <f>IFERROR(__xludf.DUMMYFUNCTION("SPLIT(D1036,"","")"),"Chapman")</f>
        <v>Chapman</v>
      </c>
      <c r="W1036" s="25" t="str">
        <f t="shared" si="1"/>
        <v>JEFFREY
 CHAPMAN</v>
      </c>
      <c r="X1036" s="22"/>
      <c r="Y1036" s="22"/>
      <c r="Z1036" s="25" t="str">
        <f>IFERROR(__xludf.DUMMYFUNCTION("SPLIT(C1036,""
"")"),"Chapman, Jeffrey")</f>
        <v>Chapman, Jeffrey</v>
      </c>
      <c r="AA1036" s="22" t="str">
        <f>IFERROR(__xludf.DUMMYFUNCTION("""COMPUTED_VALUE"""),"4851 Harrys Lane")</f>
        <v>4851 Harrys Lane</v>
      </c>
      <c r="AB1036" s="22" t="str">
        <f>IFERROR(__xludf.DUMMYFUNCTION("""COMPUTED_VALUE"""),"Dallas, TX 75229")</f>
        <v>Dallas, TX 75229</v>
      </c>
      <c r="AC1036" s="31" t="s">
        <v>2417</v>
      </c>
      <c r="AD1036" s="22"/>
      <c r="AE1036" s="22"/>
      <c r="AF1036" s="22"/>
      <c r="AG1036" s="22" t="s">
        <v>60</v>
      </c>
      <c r="AH1036" s="54">
        <v>2481.0</v>
      </c>
      <c r="AI1036" s="22" t="s">
        <v>68</v>
      </c>
      <c r="AJ1036" s="27">
        <v>2000.0</v>
      </c>
      <c r="AK1036" s="31" t="s">
        <v>25</v>
      </c>
      <c r="AL1036" s="28">
        <v>44902.0</v>
      </c>
      <c r="AM1036" s="29">
        <v>44937.81995370371</v>
      </c>
      <c r="AN1036" s="30">
        <v>2.0</v>
      </c>
      <c r="AO1036" s="22"/>
      <c r="AP1036" s="22"/>
      <c r="AQ1036" s="22"/>
      <c r="AR1036" s="22"/>
      <c r="AS1036" s="22"/>
      <c r="AT1036" s="70"/>
      <c r="AU1036" s="22"/>
      <c r="AV1036" s="57"/>
      <c r="AW1036" s="57"/>
      <c r="AX1036" s="70"/>
      <c r="AY1036" s="29"/>
      <c r="AZ1036" s="30"/>
      <c r="CU1036" s="55"/>
      <c r="CV1036" s="55"/>
      <c r="CW1036" s="55"/>
      <c r="CX1036" s="55"/>
      <c r="CY1036" s="55"/>
      <c r="CZ1036" s="55"/>
      <c r="DA1036" s="82"/>
      <c r="DB1036" s="55"/>
      <c r="DC1036" s="55"/>
      <c r="DD1036" s="55"/>
      <c r="DE1036" s="55"/>
      <c r="DF1036" s="55"/>
      <c r="DG1036" s="55"/>
      <c r="DH1036" s="55"/>
      <c r="DI1036" s="55"/>
      <c r="DJ1036" s="55"/>
      <c r="DK1036" s="55"/>
      <c r="DL1036" s="55"/>
      <c r="DM1036" s="55"/>
      <c r="DN1036" s="55"/>
      <c r="DO1036" s="55"/>
      <c r="DP1036" s="55"/>
      <c r="DQ1036" s="55"/>
      <c r="DR1036" s="55"/>
      <c r="DS1036" s="55"/>
      <c r="DT1036" s="55"/>
      <c r="DU1036" s="55"/>
      <c r="DV1036" s="55"/>
      <c r="DW1036" s="55"/>
    </row>
    <row r="1037">
      <c r="A1037" s="40" t="s">
        <v>55</v>
      </c>
      <c r="B1037" s="41" t="s">
        <v>56</v>
      </c>
      <c r="C1037" s="31" t="s">
        <v>2418</v>
      </c>
      <c r="D1037" s="25" t="str">
        <f>IFERROR(__xludf.DUMMYFUNCTION("SPLIT(C1037,"" "")"),"Todd,")</f>
        <v>Todd,</v>
      </c>
      <c r="E1037" s="40" t="str">
        <f>IFERROR(__xludf.DUMMYFUNCTION("""COMPUTED_VALUE"""),"Shawn
400")</f>
        <v>Shawn
400</v>
      </c>
      <c r="F1037" s="40" t="str">
        <f>IFERROR(__xludf.DUMMYFUNCTION("""COMPUTED_VALUE"""),"Ervay
Dallas,")</f>
        <v>Ervay
Dallas,</v>
      </c>
      <c r="G1037" s="40" t="str">
        <f>IFERROR(__xludf.DUMMYFUNCTION("""COMPUTED_VALUE"""),"TX")</f>
        <v>TX</v>
      </c>
      <c r="H1037" s="40">
        <f>IFERROR(__xludf.DUMMYFUNCTION("""COMPUTED_VALUE"""),75201.0)</f>
        <v>75201</v>
      </c>
      <c r="I1037" s="40"/>
      <c r="J1037" s="40"/>
      <c r="K1037" s="40"/>
      <c r="L1037" s="40"/>
      <c r="M1037" s="40"/>
      <c r="N1037" s="40"/>
      <c r="O1037" s="40"/>
      <c r="P1037" s="40"/>
      <c r="Q1037" s="40"/>
      <c r="R1037" s="40"/>
      <c r="S1037" s="40"/>
      <c r="T1037" s="40"/>
      <c r="U1037" s="24" t="str">
        <f>IFERROR(__xludf.DUMMYFUNCTION("SPLIT(E1037,""01234567890"")"),"Shawn
")</f>
        <v>Shawn
</v>
      </c>
      <c r="V1037" s="24" t="str">
        <f>IFERROR(__xludf.DUMMYFUNCTION("SPLIT(D1037,"","")"),"Todd")</f>
        <v>Todd</v>
      </c>
      <c r="W1037" s="25" t="str">
        <f t="shared" si="1"/>
        <v>SHAWN
 TODD</v>
      </c>
      <c r="X1037" s="40"/>
      <c r="Y1037" s="40"/>
      <c r="Z1037" s="25" t="str">
        <f>IFERROR(__xludf.DUMMYFUNCTION("SPLIT(C1037,""
"")"),"Todd, Shawn")</f>
        <v>Todd, Shawn</v>
      </c>
      <c r="AA1037" s="40" t="str">
        <f>IFERROR(__xludf.DUMMYFUNCTION("""COMPUTED_VALUE"""),"400 Ervay")</f>
        <v>400 Ervay</v>
      </c>
      <c r="AB1037" s="40" t="str">
        <f>IFERROR(__xludf.DUMMYFUNCTION("""COMPUTED_VALUE"""),"Dallas, TX 75201")</f>
        <v>Dallas, TX 75201</v>
      </c>
      <c r="AC1037" s="31" t="s">
        <v>2419</v>
      </c>
      <c r="AD1037" s="40"/>
      <c r="AE1037" s="40"/>
      <c r="AF1037" s="40"/>
      <c r="AG1037" s="40" t="s">
        <v>60</v>
      </c>
      <c r="AH1037" s="42">
        <v>2481.0</v>
      </c>
      <c r="AI1037" s="40" t="s">
        <v>68</v>
      </c>
      <c r="AJ1037" s="27">
        <v>5000.0</v>
      </c>
      <c r="AK1037" s="31" t="s">
        <v>25</v>
      </c>
      <c r="AL1037" s="43">
        <v>44907.0</v>
      </c>
      <c r="AM1037" s="44">
        <v>44937.81995370371</v>
      </c>
      <c r="AN1037" s="30">
        <v>2.0</v>
      </c>
      <c r="AO1037" s="40"/>
      <c r="AP1037" s="40"/>
      <c r="AQ1037" s="40"/>
      <c r="AR1037" s="40"/>
      <c r="AS1037" s="40"/>
      <c r="AT1037" s="47"/>
      <c r="AU1037" s="40"/>
      <c r="AV1037" s="46"/>
      <c r="AW1037" s="46"/>
      <c r="AX1037" s="47"/>
      <c r="AY1037" s="44"/>
      <c r="AZ1037" s="30"/>
      <c r="CU1037" s="55"/>
      <c r="CV1037" s="55"/>
      <c r="CW1037" s="55"/>
      <c r="CX1037" s="55"/>
      <c r="CY1037" s="55"/>
      <c r="CZ1037" s="55"/>
      <c r="DA1037" s="82"/>
      <c r="DB1037" s="55"/>
      <c r="DC1037" s="55"/>
      <c r="DD1037" s="55"/>
      <c r="DE1037" s="55"/>
      <c r="DF1037" s="55"/>
      <c r="DG1037" s="55"/>
      <c r="DH1037" s="55"/>
      <c r="DI1037" s="55"/>
      <c r="DJ1037" s="55"/>
      <c r="DK1037" s="55"/>
      <c r="DL1037" s="55"/>
      <c r="DM1037" s="55"/>
      <c r="DN1037" s="55"/>
      <c r="DO1037" s="55"/>
      <c r="DP1037" s="55"/>
      <c r="DQ1037" s="55"/>
      <c r="DR1037" s="55"/>
      <c r="DS1037" s="55"/>
      <c r="DT1037" s="55"/>
      <c r="DU1037" s="55"/>
      <c r="DV1037" s="55"/>
      <c r="DW1037" s="55"/>
    </row>
    <row r="1038">
      <c r="A1038" s="22" t="s">
        <v>55</v>
      </c>
      <c r="B1038" s="23" t="s">
        <v>56</v>
      </c>
      <c r="C1038" s="31" t="s">
        <v>2420</v>
      </c>
      <c r="D1038" s="25" t="str">
        <f>IFERROR(__xludf.DUMMYFUNCTION("SPLIT(C1038,"" "")"),"Seay,")</f>
        <v>Seay,</v>
      </c>
      <c r="E1038" s="22" t="str">
        <f>IFERROR(__xludf.DUMMYFUNCTION("""COMPUTED_VALUE"""),"George
2626")</f>
        <v>George
2626</v>
      </c>
      <c r="F1038" s="22" t="str">
        <f>IFERROR(__xludf.DUMMYFUNCTION("""COMPUTED_VALUE"""),"Cole")</f>
        <v>Cole</v>
      </c>
      <c r="G1038" s="22" t="str">
        <f>IFERROR(__xludf.DUMMYFUNCTION("""COMPUTED_VALUE"""),"Ave
Dallas,")</f>
        <v>Ave
Dallas,</v>
      </c>
      <c r="H1038" s="22" t="str">
        <f>IFERROR(__xludf.DUMMYFUNCTION("""COMPUTED_VALUE"""),"TX")</f>
        <v>TX</v>
      </c>
      <c r="I1038" s="22">
        <f>IFERROR(__xludf.DUMMYFUNCTION("""COMPUTED_VALUE"""),75204.0)</f>
        <v>75204</v>
      </c>
      <c r="J1038" s="22"/>
      <c r="K1038" s="22"/>
      <c r="L1038" s="22"/>
      <c r="M1038" s="22"/>
      <c r="N1038" s="22"/>
      <c r="O1038" s="22"/>
      <c r="P1038" s="22"/>
      <c r="Q1038" s="22"/>
      <c r="R1038" s="22"/>
      <c r="S1038" s="22"/>
      <c r="T1038" s="22"/>
      <c r="U1038" s="24" t="str">
        <f>IFERROR(__xludf.DUMMYFUNCTION("SPLIT(E1038,""01234567890"")"),"George
")</f>
        <v>George
</v>
      </c>
      <c r="V1038" s="24" t="str">
        <f>IFERROR(__xludf.DUMMYFUNCTION("SPLIT(D1038,"","")"),"Seay")</f>
        <v>Seay</v>
      </c>
      <c r="W1038" s="25" t="str">
        <f t="shared" si="1"/>
        <v>GEORGE
 SEAY</v>
      </c>
      <c r="X1038" s="22"/>
      <c r="Y1038" s="22"/>
      <c r="Z1038" s="25" t="str">
        <f>IFERROR(__xludf.DUMMYFUNCTION("SPLIT(C1038,""
"")"),"Seay, George")</f>
        <v>Seay, George</v>
      </c>
      <c r="AA1038" s="22" t="str">
        <f>IFERROR(__xludf.DUMMYFUNCTION("""COMPUTED_VALUE"""),"2626 Cole Ave")</f>
        <v>2626 Cole Ave</v>
      </c>
      <c r="AB1038" s="22" t="str">
        <f>IFERROR(__xludf.DUMMYFUNCTION("""COMPUTED_VALUE"""),"Dallas, TX 75204")</f>
        <v>Dallas, TX 75204</v>
      </c>
      <c r="AC1038" s="31" t="s">
        <v>2421</v>
      </c>
      <c r="AD1038" s="22"/>
      <c r="AE1038" s="22"/>
      <c r="AF1038" s="22"/>
      <c r="AG1038" s="22" t="s">
        <v>60</v>
      </c>
      <c r="AH1038" s="54">
        <v>2481.0</v>
      </c>
      <c r="AI1038" s="22" t="s">
        <v>68</v>
      </c>
      <c r="AJ1038" s="27">
        <v>5000.0</v>
      </c>
      <c r="AK1038" s="31" t="s">
        <v>25</v>
      </c>
      <c r="AL1038" s="28">
        <v>44908.0</v>
      </c>
      <c r="AM1038" s="29">
        <v>44937.81995370371</v>
      </c>
      <c r="AN1038" s="30">
        <v>2.0</v>
      </c>
      <c r="AO1038" s="22"/>
      <c r="AP1038" s="22"/>
      <c r="AQ1038" s="22"/>
      <c r="AR1038" s="22"/>
      <c r="AS1038" s="22"/>
      <c r="AT1038" s="70"/>
      <c r="AU1038" s="22"/>
      <c r="AV1038" s="57"/>
      <c r="AW1038" s="57"/>
      <c r="AX1038" s="70"/>
      <c r="AY1038" s="29"/>
      <c r="AZ1038" s="30"/>
      <c r="CU1038" s="55"/>
      <c r="CV1038" s="55"/>
      <c r="CW1038" s="55"/>
      <c r="CX1038" s="55"/>
      <c r="CY1038" s="55"/>
      <c r="CZ1038" s="55"/>
      <c r="DA1038" s="82"/>
      <c r="DB1038" s="55"/>
      <c r="DC1038" s="55"/>
      <c r="DD1038" s="55"/>
      <c r="DE1038" s="55"/>
      <c r="DF1038" s="55"/>
      <c r="DG1038" s="55"/>
      <c r="DH1038" s="55"/>
      <c r="DI1038" s="55"/>
      <c r="DJ1038" s="55"/>
      <c r="DK1038" s="55"/>
      <c r="DL1038" s="55"/>
      <c r="DM1038" s="55"/>
      <c r="DN1038" s="55"/>
      <c r="DO1038" s="55"/>
      <c r="DP1038" s="55"/>
      <c r="DQ1038" s="55"/>
      <c r="DR1038" s="55"/>
      <c r="DS1038" s="55"/>
      <c r="DT1038" s="55"/>
      <c r="DU1038" s="55"/>
      <c r="DV1038" s="55"/>
      <c r="DW1038" s="55"/>
    </row>
    <row r="1039">
      <c r="A1039" s="40" t="s">
        <v>55</v>
      </c>
      <c r="B1039" s="41" t="s">
        <v>56</v>
      </c>
      <c r="C1039" s="31" t="s">
        <v>426</v>
      </c>
      <c r="D1039" s="25" t="str">
        <f>IFERROR(__xludf.DUMMYFUNCTION("SPLIT(C1039,"" "")"),"Billingsley,")</f>
        <v>Billingsley,</v>
      </c>
      <c r="E1039" s="40" t="str">
        <f>IFERROR(__xludf.DUMMYFUNCTION("""COMPUTED_VALUE"""),"Lucy
1722")</f>
        <v>Lucy
1722</v>
      </c>
      <c r="F1039" s="40" t="str">
        <f>IFERROR(__xludf.DUMMYFUNCTION("""COMPUTED_VALUE"""),"Routh")</f>
        <v>Routh</v>
      </c>
      <c r="G1039" s="40" t="str">
        <f>IFERROR(__xludf.DUMMYFUNCTION("""COMPUTED_VALUE"""),"St
Dallas,")</f>
        <v>St
Dallas,</v>
      </c>
      <c r="H1039" s="40" t="str">
        <f>IFERROR(__xludf.DUMMYFUNCTION("""COMPUTED_VALUE"""),"TX")</f>
        <v>TX</v>
      </c>
      <c r="I1039" s="40">
        <f>IFERROR(__xludf.DUMMYFUNCTION("""COMPUTED_VALUE"""),75201.0)</f>
        <v>75201</v>
      </c>
      <c r="J1039" s="40"/>
      <c r="K1039" s="40"/>
      <c r="L1039" s="40"/>
      <c r="M1039" s="40"/>
      <c r="N1039" s="40"/>
      <c r="O1039" s="40"/>
      <c r="P1039" s="40"/>
      <c r="Q1039" s="40"/>
      <c r="R1039" s="40"/>
      <c r="S1039" s="40"/>
      <c r="T1039" s="40"/>
      <c r="U1039" s="24" t="str">
        <f>IFERROR(__xludf.DUMMYFUNCTION("SPLIT(E1039,""01234567890"")"),"Lucy
")</f>
        <v>Lucy
</v>
      </c>
      <c r="V1039" s="24" t="str">
        <f>IFERROR(__xludf.DUMMYFUNCTION("SPLIT(D1039,"","")"),"Billingsley")</f>
        <v>Billingsley</v>
      </c>
      <c r="W1039" s="25" t="str">
        <f t="shared" si="1"/>
        <v>LUCY
 BILLINGSLEY</v>
      </c>
      <c r="X1039" s="40"/>
      <c r="Y1039" s="40"/>
      <c r="Z1039" s="25" t="str">
        <f>IFERROR(__xludf.DUMMYFUNCTION("SPLIT(C1039,""
"")"),"Billingsley, Lucy")</f>
        <v>Billingsley, Lucy</v>
      </c>
      <c r="AA1039" s="40" t="str">
        <f>IFERROR(__xludf.DUMMYFUNCTION("""COMPUTED_VALUE"""),"1722 Routh St")</f>
        <v>1722 Routh St</v>
      </c>
      <c r="AB1039" s="40" t="str">
        <f>IFERROR(__xludf.DUMMYFUNCTION("""COMPUTED_VALUE"""),"Dallas, TX 75201")</f>
        <v>Dallas, TX 75201</v>
      </c>
      <c r="AC1039" s="31" t="s">
        <v>425</v>
      </c>
      <c r="AD1039" s="40"/>
      <c r="AE1039" s="40"/>
      <c r="AF1039" s="40"/>
      <c r="AG1039" s="40" t="s">
        <v>60</v>
      </c>
      <c r="AH1039" s="42">
        <v>2481.0</v>
      </c>
      <c r="AI1039" s="40" t="s">
        <v>68</v>
      </c>
      <c r="AJ1039" s="27">
        <v>3500.0</v>
      </c>
      <c r="AK1039" s="31" t="s">
        <v>25</v>
      </c>
      <c r="AL1039" s="43">
        <v>44910.0</v>
      </c>
      <c r="AM1039" s="44">
        <v>44937.81995370371</v>
      </c>
      <c r="AN1039" s="30">
        <v>2.0</v>
      </c>
      <c r="AO1039" s="40"/>
      <c r="AP1039" s="40"/>
      <c r="AQ1039" s="40"/>
      <c r="AR1039" s="40"/>
      <c r="AS1039" s="40"/>
      <c r="AT1039" s="47"/>
      <c r="AU1039" s="40"/>
      <c r="AV1039" s="46"/>
      <c r="AW1039" s="46"/>
      <c r="AX1039" s="47"/>
      <c r="AY1039" s="44"/>
      <c r="AZ1039" s="30"/>
      <c r="CU1039" s="55"/>
      <c r="CV1039" s="55"/>
      <c r="CW1039" s="55"/>
      <c r="CX1039" s="55"/>
      <c r="CY1039" s="55"/>
      <c r="CZ1039" s="55"/>
      <c r="DA1039" s="82"/>
      <c r="DB1039" s="55"/>
      <c r="DC1039" s="55"/>
      <c r="DD1039" s="55"/>
      <c r="DE1039" s="55"/>
      <c r="DF1039" s="55"/>
      <c r="DG1039" s="55"/>
      <c r="DH1039" s="55"/>
      <c r="DI1039" s="55"/>
      <c r="DJ1039" s="55"/>
      <c r="DK1039" s="55"/>
      <c r="DL1039" s="55"/>
      <c r="DM1039" s="55"/>
      <c r="DN1039" s="55"/>
      <c r="DO1039" s="55"/>
      <c r="DP1039" s="55"/>
      <c r="DQ1039" s="55"/>
      <c r="DR1039" s="55"/>
      <c r="DS1039" s="55"/>
      <c r="DT1039" s="55"/>
      <c r="DU1039" s="55"/>
      <c r="DV1039" s="55"/>
      <c r="DW1039" s="55"/>
    </row>
    <row r="1040">
      <c r="A1040" s="22" t="s">
        <v>55</v>
      </c>
      <c r="B1040" s="23" t="s">
        <v>56</v>
      </c>
      <c r="C1040" s="31" t="s">
        <v>2422</v>
      </c>
      <c r="D1040" s="25" t="str">
        <f>IFERROR(__xludf.DUMMYFUNCTION("SPLIT(C1040,"" "")"),"Lonsdale,")</f>
        <v>Lonsdale,</v>
      </c>
      <c r="E1040" s="22" t="str">
        <f>IFERROR(__xludf.DUMMYFUNCTION("""COMPUTED_VALUE"""),"Joe
2407")</f>
        <v>Joe
2407</v>
      </c>
      <c r="F1040" s="22" t="str">
        <f>IFERROR(__xludf.DUMMYFUNCTION("""COMPUTED_VALUE"""),"S")</f>
        <v>S</v>
      </c>
      <c r="G1040" s="22" t="str">
        <f>IFERROR(__xludf.DUMMYFUNCTION("""COMPUTED_VALUE"""),"Congress")</f>
        <v>Congress</v>
      </c>
      <c r="H1040" s="22" t="str">
        <f>IFERROR(__xludf.DUMMYFUNCTION("""COMPUTED_VALUE"""),"Ave
Austin,")</f>
        <v>Ave
Austin,</v>
      </c>
      <c r="I1040" s="22" t="str">
        <f>IFERROR(__xludf.DUMMYFUNCTION("""COMPUTED_VALUE"""),"TX")</f>
        <v>TX</v>
      </c>
      <c r="J1040" s="22">
        <f>IFERROR(__xludf.DUMMYFUNCTION("""COMPUTED_VALUE"""),78704.0)</f>
        <v>78704</v>
      </c>
      <c r="K1040" s="22"/>
      <c r="L1040" s="22"/>
      <c r="M1040" s="22"/>
      <c r="N1040" s="22"/>
      <c r="O1040" s="22"/>
      <c r="P1040" s="22"/>
      <c r="Q1040" s="22"/>
      <c r="R1040" s="22"/>
      <c r="S1040" s="22"/>
      <c r="T1040" s="22"/>
      <c r="U1040" s="24" t="str">
        <f>IFERROR(__xludf.DUMMYFUNCTION("SPLIT(E1040,""01234567890"")"),"Joe
")</f>
        <v>Joe
</v>
      </c>
      <c r="V1040" s="24" t="str">
        <f>IFERROR(__xludf.DUMMYFUNCTION("SPLIT(D1040,"","")"),"Lonsdale")</f>
        <v>Lonsdale</v>
      </c>
      <c r="W1040" s="25" t="str">
        <f t="shared" si="1"/>
        <v>JOE
 LONSDALE</v>
      </c>
      <c r="X1040" s="22"/>
      <c r="Y1040" s="22"/>
      <c r="Z1040" s="25" t="str">
        <f>IFERROR(__xludf.DUMMYFUNCTION("SPLIT(C1040,""
"")"),"Lonsdale, Joe")</f>
        <v>Lonsdale, Joe</v>
      </c>
      <c r="AA1040" s="22" t="str">
        <f>IFERROR(__xludf.DUMMYFUNCTION("""COMPUTED_VALUE"""),"2407 S Congress Ave")</f>
        <v>2407 S Congress Ave</v>
      </c>
      <c r="AB1040" s="22" t="str">
        <f>IFERROR(__xludf.DUMMYFUNCTION("""COMPUTED_VALUE"""),"Austin, TX 78704")</f>
        <v>Austin, TX 78704</v>
      </c>
      <c r="AC1040" s="31" t="s">
        <v>2423</v>
      </c>
      <c r="AD1040" s="22"/>
      <c r="AE1040" s="22"/>
      <c r="AF1040" s="22"/>
      <c r="AG1040" s="22" t="s">
        <v>60</v>
      </c>
      <c r="AH1040" s="54">
        <v>2481.0</v>
      </c>
      <c r="AI1040" s="22" t="s">
        <v>68</v>
      </c>
      <c r="AJ1040" s="27">
        <v>2500.0</v>
      </c>
      <c r="AK1040" s="31" t="s">
        <v>25</v>
      </c>
      <c r="AL1040" s="28">
        <v>44922.0</v>
      </c>
      <c r="AM1040" s="29">
        <v>44937.81995370371</v>
      </c>
      <c r="AN1040" s="30">
        <v>2.0</v>
      </c>
      <c r="AO1040" s="22"/>
      <c r="AP1040" s="22"/>
      <c r="AQ1040" s="22"/>
      <c r="AR1040" s="22"/>
      <c r="AS1040" s="22"/>
      <c r="AT1040" s="70"/>
      <c r="AU1040" s="22"/>
      <c r="AV1040" s="57"/>
      <c r="AW1040" s="57"/>
      <c r="AX1040" s="70"/>
      <c r="AY1040" s="29"/>
      <c r="AZ1040" s="30"/>
      <c r="CU1040" s="55"/>
      <c r="CV1040" s="55"/>
      <c r="CW1040" s="55"/>
      <c r="CX1040" s="55"/>
      <c r="CY1040" s="55"/>
      <c r="CZ1040" s="55"/>
      <c r="DA1040" s="82"/>
      <c r="DB1040" s="55"/>
      <c r="DC1040" s="55"/>
      <c r="DD1040" s="55"/>
      <c r="DE1040" s="55"/>
      <c r="DF1040" s="55"/>
      <c r="DG1040" s="55"/>
      <c r="DH1040" s="55"/>
      <c r="DI1040" s="55"/>
      <c r="DJ1040" s="55"/>
      <c r="DK1040" s="55"/>
      <c r="DL1040" s="55"/>
      <c r="DM1040" s="55"/>
      <c r="DN1040" s="55"/>
      <c r="DO1040" s="55"/>
      <c r="DP1040" s="55"/>
      <c r="DQ1040" s="55"/>
      <c r="DR1040" s="55"/>
      <c r="DS1040" s="55"/>
      <c r="DT1040" s="55"/>
      <c r="DU1040" s="55"/>
      <c r="DV1040" s="55"/>
      <c r="DW1040" s="55"/>
    </row>
    <row r="1041">
      <c r="A1041" s="40" t="s">
        <v>55</v>
      </c>
      <c r="B1041" s="41" t="s">
        <v>56</v>
      </c>
      <c r="C1041" s="31" t="s">
        <v>2424</v>
      </c>
      <c r="D1041" s="25" t="str">
        <f>IFERROR(__xludf.DUMMYFUNCTION("SPLIT(C1041,"" "")"),"Jakes,")</f>
        <v>Jakes,</v>
      </c>
      <c r="E1041" s="40" t="str">
        <f>IFERROR(__xludf.DUMMYFUNCTION("""COMPUTED_VALUE"""),"T.D.
8416")</f>
        <v>T.D.
8416</v>
      </c>
      <c r="F1041" s="40" t="str">
        <f>IFERROR(__xludf.DUMMYFUNCTION("""COMPUTED_VALUE"""),"Meadowbrook")</f>
        <v>Meadowbrook</v>
      </c>
      <c r="G1041" s="40" t="str">
        <f>IFERROR(__xludf.DUMMYFUNCTION("""COMPUTED_VALUE"""),"Rd
Fort")</f>
        <v>Rd
Fort</v>
      </c>
      <c r="H1041" s="40" t="str">
        <f>IFERROR(__xludf.DUMMYFUNCTION("""COMPUTED_VALUE"""),"Worth,")</f>
        <v>Worth,</v>
      </c>
      <c r="I1041" s="40" t="str">
        <f>IFERROR(__xludf.DUMMYFUNCTION("""COMPUTED_VALUE"""),"TX")</f>
        <v>TX</v>
      </c>
      <c r="J1041" s="40">
        <f>IFERROR(__xludf.DUMMYFUNCTION("""COMPUTED_VALUE"""),76120.0)</f>
        <v>76120</v>
      </c>
      <c r="K1041" s="40"/>
      <c r="L1041" s="40"/>
      <c r="M1041" s="40"/>
      <c r="N1041" s="40"/>
      <c r="O1041" s="40"/>
      <c r="P1041" s="40"/>
      <c r="Q1041" s="40"/>
      <c r="R1041" s="40"/>
      <c r="S1041" s="40"/>
      <c r="T1041" s="40"/>
      <c r="U1041" s="24" t="str">
        <f>IFERROR(__xludf.DUMMYFUNCTION("SPLIT(E1041,""01234567890"")"),"T.D.
")</f>
        <v>T.D.
</v>
      </c>
      <c r="V1041" s="24" t="str">
        <f>IFERROR(__xludf.DUMMYFUNCTION("SPLIT(D1041,"","")"),"Jakes")</f>
        <v>Jakes</v>
      </c>
      <c r="W1041" s="25" t="str">
        <f t="shared" si="1"/>
        <v>T.D.
 JAKES</v>
      </c>
      <c r="X1041" s="40"/>
      <c r="Y1041" s="40"/>
      <c r="Z1041" s="25" t="str">
        <f>IFERROR(__xludf.DUMMYFUNCTION("SPLIT(C1041,""
"")"),"Jakes, T.D.")</f>
        <v>Jakes, T.D.</v>
      </c>
      <c r="AA1041" s="40" t="str">
        <f>IFERROR(__xludf.DUMMYFUNCTION("""COMPUTED_VALUE"""),"8416 Meadowbrook Rd")</f>
        <v>8416 Meadowbrook Rd</v>
      </c>
      <c r="AB1041" s="40" t="str">
        <f>IFERROR(__xludf.DUMMYFUNCTION("""COMPUTED_VALUE"""),"Fort Worth, TX 76120")</f>
        <v>Fort Worth, TX 76120</v>
      </c>
      <c r="AC1041" s="31" t="s">
        <v>2083</v>
      </c>
      <c r="AD1041" s="40"/>
      <c r="AE1041" s="40"/>
      <c r="AF1041" s="40"/>
      <c r="AG1041" s="40" t="s">
        <v>60</v>
      </c>
      <c r="AH1041" s="42">
        <v>2481.0</v>
      </c>
      <c r="AI1041" s="40" t="s">
        <v>68</v>
      </c>
      <c r="AJ1041" s="27">
        <v>5000.0</v>
      </c>
      <c r="AK1041" s="31" t="s">
        <v>25</v>
      </c>
      <c r="AL1041" s="43">
        <v>44923.0</v>
      </c>
      <c r="AM1041" s="44">
        <v>44937.81995370371</v>
      </c>
      <c r="AN1041" s="30">
        <v>2.0</v>
      </c>
      <c r="AO1041" s="40"/>
      <c r="AP1041" s="40"/>
      <c r="AQ1041" s="40"/>
      <c r="AR1041" s="40"/>
      <c r="AS1041" s="40"/>
      <c r="AT1041" s="47"/>
      <c r="AU1041" s="40"/>
      <c r="AV1041" s="46"/>
      <c r="AW1041" s="46"/>
      <c r="AX1041" s="47"/>
      <c r="AY1041" s="44"/>
      <c r="AZ1041" s="30"/>
      <c r="CU1041" s="55"/>
      <c r="CV1041" s="55"/>
      <c r="CW1041" s="55"/>
      <c r="CX1041" s="55"/>
      <c r="CY1041" s="55"/>
      <c r="CZ1041" s="55"/>
      <c r="DA1041" s="82"/>
      <c r="DB1041" s="55"/>
      <c r="DC1041" s="55"/>
      <c r="DD1041" s="55"/>
      <c r="DE1041" s="55"/>
      <c r="DF1041" s="55"/>
      <c r="DG1041" s="55"/>
      <c r="DH1041" s="55"/>
      <c r="DI1041" s="55"/>
      <c r="DJ1041" s="55"/>
      <c r="DK1041" s="55"/>
      <c r="DL1041" s="55"/>
      <c r="DM1041" s="55"/>
      <c r="DN1041" s="55"/>
      <c r="DO1041" s="55"/>
      <c r="DP1041" s="55"/>
      <c r="DQ1041" s="55"/>
      <c r="DR1041" s="55"/>
      <c r="DS1041" s="55"/>
      <c r="DT1041" s="55"/>
      <c r="DU1041" s="55"/>
      <c r="DV1041" s="55"/>
      <c r="DW1041" s="55"/>
    </row>
    <row r="1042">
      <c r="A1042" s="22" t="s">
        <v>55</v>
      </c>
      <c r="B1042" s="23" t="s">
        <v>56</v>
      </c>
      <c r="C1042" s="31" t="s">
        <v>2425</v>
      </c>
      <c r="D1042" s="25" t="str">
        <f>IFERROR(__xludf.DUMMYFUNCTION("SPLIT(C1042,"" "")"),"Hicks,")</f>
        <v>Hicks,</v>
      </c>
      <c r="E1042" s="22" t="str">
        <f>IFERROR(__xludf.DUMMYFUNCTION("""COMPUTED_VALUE"""),"Thomas
310")</f>
        <v>Thomas
310</v>
      </c>
      <c r="F1042" s="22" t="str">
        <f>IFERROR(__xludf.DUMMYFUNCTION("""COMPUTED_VALUE"""),"First")</f>
        <v>First</v>
      </c>
      <c r="G1042" s="22" t="str">
        <f>IFERROR(__xludf.DUMMYFUNCTION("""COMPUTED_VALUE"""),"Street")</f>
        <v>Street</v>
      </c>
      <c r="H1042" s="22" t="str">
        <f>IFERROR(__xludf.DUMMYFUNCTION("""COMPUTED_VALUE"""),"Southeast
Washington,")</f>
        <v>Southeast
Washington,</v>
      </c>
      <c r="I1042" s="22" t="str">
        <f>IFERROR(__xludf.DUMMYFUNCTION("""COMPUTED_VALUE"""),"DC")</f>
        <v>DC</v>
      </c>
      <c r="J1042" s="22">
        <f>IFERROR(__xludf.DUMMYFUNCTION("""COMPUTED_VALUE"""),20003.0)</f>
        <v>20003</v>
      </c>
      <c r="K1042" s="22"/>
      <c r="L1042" s="22"/>
      <c r="M1042" s="22"/>
      <c r="N1042" s="22"/>
      <c r="O1042" s="22"/>
      <c r="P1042" s="22"/>
      <c r="Q1042" s="22"/>
      <c r="R1042" s="22"/>
      <c r="S1042" s="22"/>
      <c r="T1042" s="22"/>
      <c r="U1042" s="24" t="str">
        <f>IFERROR(__xludf.DUMMYFUNCTION("SPLIT(E1042,""01234567890"")"),"Thomas
")</f>
        <v>Thomas
</v>
      </c>
      <c r="V1042" s="24" t="str">
        <f>IFERROR(__xludf.DUMMYFUNCTION("SPLIT(D1042,"","")"),"Hicks")</f>
        <v>Hicks</v>
      </c>
      <c r="W1042" s="25" t="str">
        <f t="shared" si="1"/>
        <v>THOMAS
 HICKS</v>
      </c>
      <c r="X1042" s="22"/>
      <c r="Y1042" s="22"/>
      <c r="Z1042" s="25" t="str">
        <f>IFERROR(__xludf.DUMMYFUNCTION("SPLIT(C1042,""
"")"),"Hicks, Thomas")</f>
        <v>Hicks, Thomas</v>
      </c>
      <c r="AA1042" s="22" t="str">
        <f>IFERROR(__xludf.DUMMYFUNCTION("""COMPUTED_VALUE"""),"310 First Street Southeast")</f>
        <v>310 First Street Southeast</v>
      </c>
      <c r="AB1042" s="22" t="str">
        <f>IFERROR(__xludf.DUMMYFUNCTION("""COMPUTED_VALUE"""),"Washington, DC 20003")</f>
        <v>Washington, DC 20003</v>
      </c>
      <c r="AC1042" s="31" t="s">
        <v>2426</v>
      </c>
      <c r="AD1042" s="22"/>
      <c r="AE1042" s="22"/>
      <c r="AF1042" s="22"/>
      <c r="AG1042" s="22" t="s">
        <v>60</v>
      </c>
      <c r="AH1042" s="54">
        <v>2481.0</v>
      </c>
      <c r="AI1042" s="22" t="s">
        <v>68</v>
      </c>
      <c r="AJ1042" s="27">
        <v>2500.0</v>
      </c>
      <c r="AK1042" s="31" t="s">
        <v>25</v>
      </c>
      <c r="AL1042" s="28">
        <v>44923.0</v>
      </c>
      <c r="AM1042" s="29">
        <v>44937.81995370371</v>
      </c>
      <c r="AN1042" s="30">
        <v>2.0</v>
      </c>
      <c r="AO1042" s="22"/>
      <c r="AP1042" s="22"/>
      <c r="AQ1042" s="22"/>
      <c r="AR1042" s="22"/>
      <c r="AS1042" s="22"/>
      <c r="AT1042" s="70"/>
      <c r="AU1042" s="22"/>
      <c r="AV1042" s="57"/>
      <c r="AW1042" s="57"/>
      <c r="AX1042" s="70"/>
      <c r="AY1042" s="29"/>
      <c r="AZ1042" s="30"/>
      <c r="CU1042" s="55"/>
      <c r="CV1042" s="55"/>
      <c r="CW1042" s="55"/>
      <c r="CX1042" s="55"/>
      <c r="CY1042" s="55"/>
      <c r="CZ1042" s="55"/>
      <c r="DA1042" s="82"/>
      <c r="DB1042" s="55"/>
      <c r="DC1042" s="55"/>
      <c r="DD1042" s="55"/>
      <c r="DE1042" s="55"/>
      <c r="DF1042" s="55"/>
      <c r="DG1042" s="55"/>
      <c r="DH1042" s="55"/>
      <c r="DI1042" s="55"/>
      <c r="DJ1042" s="55"/>
      <c r="DK1042" s="55"/>
      <c r="DL1042" s="55"/>
      <c r="DM1042" s="55"/>
      <c r="DN1042" s="55"/>
      <c r="DO1042" s="55"/>
      <c r="DP1042" s="55"/>
      <c r="DQ1042" s="55"/>
      <c r="DR1042" s="55"/>
      <c r="DS1042" s="55"/>
      <c r="DT1042" s="55"/>
      <c r="DU1042" s="55"/>
      <c r="DV1042" s="55"/>
      <c r="DW1042" s="55"/>
    </row>
    <row r="1043">
      <c r="A1043" s="40" t="s">
        <v>55</v>
      </c>
      <c r="B1043" s="41" t="s">
        <v>56</v>
      </c>
      <c r="C1043" s="31" t="s">
        <v>2427</v>
      </c>
      <c r="D1043" s="25" t="str">
        <f>IFERROR(__xludf.DUMMYFUNCTION("SPLIT(C1043,"" "")"),"Johnson,")</f>
        <v>Johnson,</v>
      </c>
      <c r="E1043" s="40" t="str">
        <f>IFERROR(__xludf.DUMMYFUNCTION("""COMPUTED_VALUE"""),"Avery
1401")</f>
        <v>Avery
1401</v>
      </c>
      <c r="F1043" s="40" t="str">
        <f>IFERROR(__xludf.DUMMYFUNCTION("""COMPUTED_VALUE"""),"Elm")</f>
        <v>Elm</v>
      </c>
      <c r="G1043" s="40" t="str">
        <f>IFERROR(__xludf.DUMMYFUNCTION("""COMPUTED_VALUE"""),"St
Dallas,")</f>
        <v>St
Dallas,</v>
      </c>
      <c r="H1043" s="40" t="str">
        <f>IFERROR(__xludf.DUMMYFUNCTION("""COMPUTED_VALUE"""),"TX")</f>
        <v>TX</v>
      </c>
      <c r="I1043" s="40">
        <f>IFERROR(__xludf.DUMMYFUNCTION("""COMPUTED_VALUE"""),75202.0)</f>
        <v>75202</v>
      </c>
      <c r="J1043" s="40"/>
      <c r="K1043" s="40"/>
      <c r="L1043" s="40"/>
      <c r="M1043" s="40"/>
      <c r="N1043" s="40"/>
      <c r="O1043" s="40"/>
      <c r="P1043" s="40"/>
      <c r="Q1043" s="40"/>
      <c r="R1043" s="40"/>
      <c r="S1043" s="40"/>
      <c r="T1043" s="40"/>
      <c r="U1043" s="24" t="str">
        <f>IFERROR(__xludf.DUMMYFUNCTION("SPLIT(E1043,""01234567890"")"),"Avery
")</f>
        <v>Avery
</v>
      </c>
      <c r="V1043" s="24" t="str">
        <f>IFERROR(__xludf.DUMMYFUNCTION("SPLIT(D1043,"","")"),"Johnson")</f>
        <v>Johnson</v>
      </c>
      <c r="W1043" s="25" t="str">
        <f t="shared" si="1"/>
        <v>AVERY
 JOHNSON</v>
      </c>
      <c r="X1043" s="40"/>
      <c r="Y1043" s="40"/>
      <c r="Z1043" s="25" t="str">
        <f>IFERROR(__xludf.DUMMYFUNCTION("SPLIT(C1043,""
"")"),"Johnson, Avery")</f>
        <v>Johnson, Avery</v>
      </c>
      <c r="AA1043" s="40" t="str">
        <f>IFERROR(__xludf.DUMMYFUNCTION("""COMPUTED_VALUE"""),"1401 Elm St")</f>
        <v>1401 Elm St</v>
      </c>
      <c r="AB1043" s="40" t="str">
        <f>IFERROR(__xludf.DUMMYFUNCTION("""COMPUTED_VALUE"""),"Dallas, TX 75202")</f>
        <v>Dallas, TX 75202</v>
      </c>
      <c r="AC1043" s="31" t="s">
        <v>2428</v>
      </c>
      <c r="AD1043" s="40"/>
      <c r="AE1043" s="40"/>
      <c r="AF1043" s="40"/>
      <c r="AG1043" s="40" t="s">
        <v>60</v>
      </c>
      <c r="AH1043" s="42">
        <v>2481.0</v>
      </c>
      <c r="AI1043" s="40" t="s">
        <v>68</v>
      </c>
      <c r="AJ1043" s="27">
        <v>5000.0</v>
      </c>
      <c r="AK1043" s="31" t="s">
        <v>25</v>
      </c>
      <c r="AL1043" s="43">
        <v>44923.0</v>
      </c>
      <c r="AM1043" s="44">
        <v>44937.81995370371</v>
      </c>
      <c r="AN1043" s="30">
        <v>2.0</v>
      </c>
      <c r="AO1043" s="40"/>
      <c r="AP1043" s="40"/>
      <c r="AQ1043" s="40"/>
      <c r="AR1043" s="40"/>
      <c r="AS1043" s="40"/>
      <c r="AT1043" s="47"/>
      <c r="AU1043" s="40"/>
      <c r="AV1043" s="46"/>
      <c r="AW1043" s="46"/>
      <c r="AX1043" s="47"/>
      <c r="AY1043" s="44"/>
      <c r="AZ1043" s="30"/>
      <c r="CU1043" s="55"/>
      <c r="CV1043" s="55"/>
      <c r="CW1043" s="55"/>
      <c r="CX1043" s="55"/>
      <c r="CY1043" s="55"/>
      <c r="CZ1043" s="55"/>
      <c r="DA1043" s="82"/>
      <c r="DB1043" s="55"/>
      <c r="DC1043" s="55"/>
      <c r="DD1043" s="55"/>
      <c r="DE1043" s="55"/>
      <c r="DF1043" s="55"/>
      <c r="DG1043" s="55"/>
      <c r="DH1043" s="55"/>
      <c r="DI1043" s="55"/>
      <c r="DJ1043" s="55"/>
      <c r="DK1043" s="55"/>
      <c r="DL1043" s="55"/>
      <c r="DM1043" s="55"/>
      <c r="DN1043" s="55"/>
      <c r="DO1043" s="55"/>
      <c r="DP1043" s="55"/>
      <c r="DQ1043" s="55"/>
      <c r="DR1043" s="55"/>
      <c r="DS1043" s="55"/>
      <c r="DT1043" s="55"/>
      <c r="DU1043" s="55"/>
      <c r="DV1043" s="55"/>
      <c r="DW1043" s="55"/>
    </row>
    <row r="1044">
      <c r="A1044" s="22" t="s">
        <v>55</v>
      </c>
      <c r="B1044" s="23" t="s">
        <v>56</v>
      </c>
      <c r="C1044" s="31" t="s">
        <v>2429</v>
      </c>
      <c r="D1044" s="25" t="str">
        <f>IFERROR(__xludf.DUMMYFUNCTION("SPLIT(C1044,"" "")"),"Ryan,")</f>
        <v>Ryan,</v>
      </c>
      <c r="E1044" s="22" t="str">
        <f>IFERROR(__xludf.DUMMYFUNCTION("""COMPUTED_VALUE"""),"George")</f>
        <v>George</v>
      </c>
      <c r="F1044" s="22" t="str">
        <f>IFERROR(__xludf.DUMMYFUNCTION("""COMPUTED_VALUE"""),"&amp;")</f>
        <v>&amp;</v>
      </c>
      <c r="G1044" s="22" t="str">
        <f>IFERROR(__xludf.DUMMYFUNCTION("""COMPUTED_VALUE"""),"Amanda
PO")</f>
        <v>Amanda
PO</v>
      </c>
      <c r="H1044" s="22" t="str">
        <f>IFERROR(__xludf.DUMMYFUNCTION("""COMPUTED_VALUE"""),"Box")</f>
        <v>Box</v>
      </c>
      <c r="I1044" s="22" t="str">
        <f>IFERROR(__xludf.DUMMYFUNCTION("""COMPUTED_VALUE"""),"803447
Dallas,")</f>
        <v>803447
Dallas,</v>
      </c>
      <c r="J1044" s="22" t="str">
        <f>IFERROR(__xludf.DUMMYFUNCTION("""COMPUTED_VALUE"""),"TX")</f>
        <v>TX</v>
      </c>
      <c r="K1044" s="22">
        <f>IFERROR(__xludf.DUMMYFUNCTION("""COMPUTED_VALUE"""),75380.0)</f>
        <v>75380</v>
      </c>
      <c r="L1044" s="22"/>
      <c r="M1044" s="22"/>
      <c r="N1044" s="22"/>
      <c r="O1044" s="22"/>
      <c r="P1044" s="22"/>
      <c r="Q1044" s="22"/>
      <c r="R1044" s="22"/>
      <c r="S1044" s="22"/>
      <c r="T1044" s="22"/>
      <c r="U1044" s="24" t="str">
        <f>IFERROR(__xludf.DUMMYFUNCTION("SPLIT(E1044,""01234567890"")"),"George")</f>
        <v>George</v>
      </c>
      <c r="V1044" s="24" t="str">
        <f>IFERROR(__xludf.DUMMYFUNCTION("SPLIT(D1044,"","")"),"Ryan")</f>
        <v>Ryan</v>
      </c>
      <c r="W1044" s="25" t="str">
        <f t="shared" si="1"/>
        <v>GEORGE RYAN</v>
      </c>
      <c r="X1044" s="22"/>
      <c r="Y1044" s="22"/>
      <c r="Z1044" s="25" t="str">
        <f>IFERROR(__xludf.DUMMYFUNCTION("SPLIT(C1044,""
"")"),"Ryan, George &amp; Amanda")</f>
        <v>Ryan, George &amp; Amanda</v>
      </c>
      <c r="AA1044" s="22" t="str">
        <f>IFERROR(__xludf.DUMMYFUNCTION("""COMPUTED_VALUE"""),"PO Box 803447")</f>
        <v>PO Box 803447</v>
      </c>
      <c r="AB1044" s="22" t="str">
        <f>IFERROR(__xludf.DUMMYFUNCTION("""COMPUTED_VALUE"""),"Dallas, TX 75380")</f>
        <v>Dallas, TX 75380</v>
      </c>
      <c r="AC1044" s="31" t="s">
        <v>2430</v>
      </c>
      <c r="AD1044" s="22"/>
      <c r="AE1044" s="22"/>
      <c r="AF1044" s="22"/>
      <c r="AG1044" s="22" t="s">
        <v>60</v>
      </c>
      <c r="AH1044" s="54">
        <v>2481.0</v>
      </c>
      <c r="AI1044" s="22" t="s">
        <v>68</v>
      </c>
      <c r="AJ1044" s="27">
        <v>10000.0</v>
      </c>
      <c r="AK1044" s="31" t="s">
        <v>25</v>
      </c>
      <c r="AL1044" s="28">
        <v>44925.0</v>
      </c>
      <c r="AM1044" s="29">
        <v>44937.81995370371</v>
      </c>
      <c r="AN1044" s="30">
        <v>2.0</v>
      </c>
      <c r="AO1044" s="22"/>
      <c r="AP1044" s="22"/>
      <c r="AQ1044" s="22"/>
      <c r="AR1044" s="22"/>
      <c r="AS1044" s="22"/>
      <c r="AT1044" s="70"/>
      <c r="AU1044" s="22"/>
      <c r="AV1044" s="57"/>
      <c r="AW1044" s="57"/>
      <c r="AX1044" s="70"/>
      <c r="AY1044" s="29"/>
      <c r="AZ1044" s="30"/>
      <c r="CU1044" s="55"/>
      <c r="CV1044" s="55"/>
      <c r="CW1044" s="55"/>
      <c r="CX1044" s="55"/>
      <c r="CY1044" s="55"/>
      <c r="CZ1044" s="55"/>
      <c r="DA1044" s="82"/>
      <c r="DB1044" s="55"/>
      <c r="DC1044" s="55"/>
      <c r="DD1044" s="55"/>
      <c r="DE1044" s="55"/>
      <c r="DF1044" s="55"/>
      <c r="DG1044" s="55"/>
      <c r="DH1044" s="55"/>
      <c r="DI1044" s="55"/>
      <c r="DJ1044" s="55"/>
      <c r="DK1044" s="55"/>
      <c r="DL1044" s="55"/>
      <c r="DM1044" s="55"/>
      <c r="DN1044" s="55"/>
      <c r="DO1044" s="55"/>
      <c r="DP1044" s="55"/>
      <c r="DQ1044" s="55"/>
      <c r="DR1044" s="55"/>
      <c r="DS1044" s="55"/>
      <c r="DT1044" s="55"/>
      <c r="DU1044" s="55"/>
      <c r="DV1044" s="55"/>
      <c r="DW1044" s="55"/>
    </row>
    <row r="1045">
      <c r="A1045" s="40" t="s">
        <v>55</v>
      </c>
      <c r="B1045" s="41" t="s">
        <v>56</v>
      </c>
      <c r="C1045" s="31" t="s">
        <v>2431</v>
      </c>
      <c r="D1045" s="25" t="str">
        <f>IFERROR(__xludf.DUMMYFUNCTION("SPLIT(C1045,"" "")"),"Vasquez,")</f>
        <v>Vasquez,</v>
      </c>
      <c r="E1045" s="40" t="str">
        <f>IFERROR(__xludf.DUMMYFUNCTION("""COMPUTED_VALUE"""),"Mary
1709")</f>
        <v>Mary
1709</v>
      </c>
      <c r="F1045" s="40" t="str">
        <f>IFERROR(__xludf.DUMMYFUNCTION("""COMPUTED_VALUE"""),"East")</f>
        <v>East</v>
      </c>
      <c r="G1045" s="40" t="str">
        <f>IFERROR(__xludf.DUMMYFUNCTION("""COMPUTED_VALUE"""),"Ave
Katy,")</f>
        <v>Ave
Katy,</v>
      </c>
      <c r="H1045" s="40" t="str">
        <f>IFERROR(__xludf.DUMMYFUNCTION("""COMPUTED_VALUE"""),"TX")</f>
        <v>TX</v>
      </c>
      <c r="I1045" s="40">
        <f>IFERROR(__xludf.DUMMYFUNCTION("""COMPUTED_VALUE"""),77493.0)</f>
        <v>77493</v>
      </c>
      <c r="J1045" s="40"/>
      <c r="K1045" s="40"/>
      <c r="L1045" s="40"/>
      <c r="M1045" s="40"/>
      <c r="N1045" s="40"/>
      <c r="O1045" s="40"/>
      <c r="P1045" s="40"/>
      <c r="Q1045" s="40"/>
      <c r="R1045" s="40"/>
      <c r="S1045" s="40"/>
      <c r="T1045" s="40"/>
      <c r="U1045" s="24" t="str">
        <f>IFERROR(__xludf.DUMMYFUNCTION("SPLIT(E1045,""01234567890"")"),"Mary
")</f>
        <v>Mary
</v>
      </c>
      <c r="V1045" s="24" t="str">
        <f>IFERROR(__xludf.DUMMYFUNCTION("SPLIT(D1045,"","")"),"Vasquez")</f>
        <v>Vasquez</v>
      </c>
      <c r="W1045" s="25" t="str">
        <f t="shared" si="1"/>
        <v>MARY
 VASQUEZ</v>
      </c>
      <c r="X1045" s="40"/>
      <c r="Y1045" s="40"/>
      <c r="Z1045" s="25" t="str">
        <f>IFERROR(__xludf.DUMMYFUNCTION("SPLIT(C1045,""
"")"),"Vasquez, Mary")</f>
        <v>Vasquez, Mary</v>
      </c>
      <c r="AA1045" s="40" t="str">
        <f>IFERROR(__xludf.DUMMYFUNCTION("""COMPUTED_VALUE"""),"1709 East Ave")</f>
        <v>1709 East Ave</v>
      </c>
      <c r="AB1045" s="40" t="str">
        <f>IFERROR(__xludf.DUMMYFUNCTION("""COMPUTED_VALUE"""),"Katy, TX 77493")</f>
        <v>Katy, TX 77493</v>
      </c>
      <c r="AC1045" s="31" t="s">
        <v>2432</v>
      </c>
      <c r="AD1045" s="40"/>
      <c r="AE1045" s="40"/>
      <c r="AF1045" s="40"/>
      <c r="AG1045" s="40" t="s">
        <v>60</v>
      </c>
      <c r="AH1045" s="42">
        <v>2480.0</v>
      </c>
      <c r="AI1045" s="40" t="s">
        <v>68</v>
      </c>
      <c r="AJ1045" s="27">
        <v>1000.0</v>
      </c>
      <c r="AK1045" s="31" t="s">
        <v>22</v>
      </c>
      <c r="AL1045" s="43">
        <v>44907.0</v>
      </c>
      <c r="AM1045" s="44">
        <v>44942.7278125</v>
      </c>
      <c r="AN1045" s="30">
        <v>2.0</v>
      </c>
      <c r="AO1045" s="40"/>
      <c r="AP1045" s="40"/>
      <c r="AQ1045" s="40"/>
      <c r="AR1045" s="40"/>
      <c r="AS1045" s="40"/>
      <c r="AT1045" s="47"/>
      <c r="AU1045" s="40"/>
      <c r="AV1045" s="46"/>
      <c r="AW1045" s="46"/>
      <c r="AX1045" s="47"/>
      <c r="AY1045" s="44"/>
      <c r="AZ1045" s="30"/>
      <c r="CU1045" s="55"/>
      <c r="CV1045" s="55"/>
      <c r="CW1045" s="55"/>
      <c r="CX1045" s="55"/>
      <c r="CY1045" s="55"/>
      <c r="CZ1045" s="55"/>
      <c r="DA1045" s="82"/>
      <c r="DB1045" s="55"/>
      <c r="DC1045" s="55"/>
      <c r="DD1045" s="55"/>
      <c r="DE1045" s="55"/>
      <c r="DF1045" s="55"/>
      <c r="DG1045" s="55"/>
      <c r="DH1045" s="55"/>
      <c r="DI1045" s="55"/>
      <c r="DJ1045" s="55"/>
      <c r="DK1045" s="55"/>
      <c r="DL1045" s="55"/>
      <c r="DM1045" s="55"/>
      <c r="DN1045" s="55"/>
      <c r="DO1045" s="55"/>
      <c r="DP1045" s="55"/>
      <c r="DQ1045" s="55"/>
      <c r="DR1045" s="55"/>
      <c r="DS1045" s="55"/>
      <c r="DT1045" s="55"/>
      <c r="DU1045" s="55"/>
      <c r="DV1045" s="55"/>
      <c r="DW1045" s="55"/>
    </row>
    <row r="1046">
      <c r="A1046" s="23" t="s">
        <v>64</v>
      </c>
      <c r="B1046" s="23" t="s">
        <v>56</v>
      </c>
      <c r="C1046" s="31" t="s">
        <v>221</v>
      </c>
      <c r="D1046" s="25" t="str">
        <f>IFERROR(__xludf.DUMMYFUNCTION("SPLIT(C1046,"" "")"),"Aranza,")</f>
        <v>Aranza,</v>
      </c>
      <c r="E1046" s="22" t="str">
        <f>IFERROR(__xludf.DUMMYFUNCTION("""COMPUTED_VALUE"""),"Anthony
1507")</f>
        <v>Anthony
1507</v>
      </c>
      <c r="F1046" s="22" t="str">
        <f>IFERROR(__xludf.DUMMYFUNCTION("""COMPUTED_VALUE"""),"Stonehedge")</f>
        <v>Stonehedge</v>
      </c>
      <c r="G1046" s="22" t="str">
        <f>IFERROR(__xludf.DUMMYFUNCTION("""COMPUTED_VALUE"""),"Bend")</f>
        <v>Bend</v>
      </c>
      <c r="H1046" s="22" t="str">
        <f>IFERROR(__xludf.DUMMYFUNCTION("""COMPUTED_VALUE"""),"Dr
Houston,")</f>
        <v>Dr
Houston,</v>
      </c>
      <c r="I1046" s="22" t="str">
        <f>IFERROR(__xludf.DUMMYFUNCTION("""COMPUTED_VALUE"""),"TX")</f>
        <v>TX</v>
      </c>
      <c r="J1046" s="22">
        <f>IFERROR(__xludf.DUMMYFUNCTION("""COMPUTED_VALUE"""),77073.0)</f>
        <v>77073</v>
      </c>
      <c r="K1046" s="22"/>
      <c r="L1046" s="22"/>
      <c r="M1046" s="22"/>
      <c r="N1046" s="22"/>
      <c r="O1046" s="22"/>
      <c r="P1046" s="22"/>
      <c r="Q1046" s="22"/>
      <c r="R1046" s="22"/>
      <c r="S1046" s="22"/>
      <c r="T1046" s="22"/>
      <c r="U1046" s="24" t="str">
        <f>IFERROR(__xludf.DUMMYFUNCTION("SPLIT(E1046,""01234567890"")"),"Anthony
")</f>
        <v>Anthony
</v>
      </c>
      <c r="V1046" s="24" t="str">
        <f>IFERROR(__xludf.DUMMYFUNCTION("SPLIT(D1046,"","")"),"Aranza")</f>
        <v>Aranza</v>
      </c>
      <c r="W1046" s="25" t="str">
        <f t="shared" si="1"/>
        <v>ANTHONY
 ARANZA</v>
      </c>
      <c r="X1046" s="22"/>
      <c r="Y1046" s="22"/>
      <c r="Z1046" s="25" t="str">
        <f>IFERROR(__xludf.DUMMYFUNCTION("SPLIT(C1046,""
"")"),"Aranza, Anthony")</f>
        <v>Aranza, Anthony</v>
      </c>
      <c r="AA1046" s="22" t="str">
        <f>IFERROR(__xludf.DUMMYFUNCTION("""COMPUTED_VALUE"""),"1507 Stonehedge Bend Dr")</f>
        <v>1507 Stonehedge Bend Dr</v>
      </c>
      <c r="AB1046" s="22" t="str">
        <f>IFERROR(__xludf.DUMMYFUNCTION("""COMPUTED_VALUE"""),"Houston, TX 77073")</f>
        <v>Houston, TX 77073</v>
      </c>
      <c r="AC1046" s="31" t="s">
        <v>220</v>
      </c>
      <c r="AD1046" s="22"/>
      <c r="AE1046" s="22"/>
      <c r="AF1046" s="22"/>
      <c r="AG1046" s="22" t="s">
        <v>60</v>
      </c>
      <c r="AH1046" s="54">
        <v>2480.0</v>
      </c>
      <c r="AI1046" s="22" t="s">
        <v>68</v>
      </c>
      <c r="AJ1046" s="27">
        <v>1000.0</v>
      </c>
      <c r="AK1046" s="31" t="s">
        <v>22</v>
      </c>
      <c r="AL1046" s="28">
        <v>44907.0</v>
      </c>
      <c r="AM1046" s="29">
        <v>44942.7278125</v>
      </c>
      <c r="AN1046" s="30">
        <v>2.0</v>
      </c>
      <c r="AO1046" s="22"/>
      <c r="AP1046" s="22"/>
      <c r="AQ1046" s="22"/>
      <c r="AR1046" s="22"/>
      <c r="AS1046" s="22"/>
      <c r="AT1046" s="70"/>
      <c r="AU1046" s="22"/>
      <c r="AV1046" s="57"/>
      <c r="AW1046" s="57"/>
      <c r="AX1046" s="70"/>
      <c r="AY1046" s="29"/>
      <c r="AZ1046" s="30"/>
      <c r="CU1046" s="55"/>
      <c r="CV1046" s="55"/>
      <c r="CW1046" s="55"/>
      <c r="CX1046" s="55"/>
      <c r="CY1046" s="55"/>
      <c r="CZ1046" s="55"/>
      <c r="DA1046" s="82"/>
      <c r="DB1046" s="55"/>
      <c r="DC1046" s="55"/>
      <c r="DD1046" s="55"/>
      <c r="DE1046" s="55"/>
      <c r="DF1046" s="55"/>
      <c r="DG1046" s="55"/>
      <c r="DH1046" s="55"/>
      <c r="DI1046" s="55"/>
      <c r="DJ1046" s="55"/>
      <c r="DK1046" s="55"/>
      <c r="DL1046" s="55"/>
      <c r="DM1046" s="55"/>
      <c r="DN1046" s="55"/>
      <c r="DO1046" s="55"/>
      <c r="DP1046" s="55"/>
      <c r="DQ1046" s="55"/>
      <c r="DR1046" s="55"/>
      <c r="DS1046" s="55"/>
      <c r="DT1046" s="55"/>
      <c r="DU1046" s="55"/>
      <c r="DV1046" s="55"/>
      <c r="DW1046" s="55"/>
    </row>
    <row r="1047">
      <c r="A1047" s="40" t="s">
        <v>55</v>
      </c>
      <c r="B1047" s="41" t="s">
        <v>56</v>
      </c>
      <c r="C1047" s="31" t="s">
        <v>2433</v>
      </c>
      <c r="D1047" s="25" t="str">
        <f>IFERROR(__xludf.DUMMYFUNCTION("SPLIT(C1047,"" "")"),"Crow,")</f>
        <v>Crow,</v>
      </c>
      <c r="E1047" s="40" t="str">
        <f>IFERROR(__xludf.DUMMYFUNCTION("""COMPUTED_VALUE"""),"Katherine
4700")</f>
        <v>Katherine
4700</v>
      </c>
      <c r="F1047" s="40" t="str">
        <f>IFERROR(__xludf.DUMMYFUNCTION("""COMPUTED_VALUE"""),"Preston")</f>
        <v>Preston</v>
      </c>
      <c r="G1047" s="40" t="str">
        <f>IFERROR(__xludf.DUMMYFUNCTION("""COMPUTED_VALUE"""),"Rd
Dallas,")</f>
        <v>Rd
Dallas,</v>
      </c>
      <c r="H1047" s="40" t="str">
        <f>IFERROR(__xludf.DUMMYFUNCTION("""COMPUTED_VALUE"""),"TX")</f>
        <v>TX</v>
      </c>
      <c r="I1047" s="40">
        <f>IFERROR(__xludf.DUMMYFUNCTION("""COMPUTED_VALUE"""),75205.0)</f>
        <v>75205</v>
      </c>
      <c r="J1047" s="40"/>
      <c r="K1047" s="40"/>
      <c r="L1047" s="40"/>
      <c r="M1047" s="40"/>
      <c r="N1047" s="40"/>
      <c r="O1047" s="40"/>
      <c r="P1047" s="40"/>
      <c r="Q1047" s="40"/>
      <c r="R1047" s="40"/>
      <c r="S1047" s="40"/>
      <c r="T1047" s="40"/>
      <c r="U1047" s="24" t="str">
        <f>IFERROR(__xludf.DUMMYFUNCTION("SPLIT(E1047,""01234567890"")"),"Katherine
")</f>
        <v>Katherine
</v>
      </c>
      <c r="V1047" s="24" t="str">
        <f>IFERROR(__xludf.DUMMYFUNCTION("SPLIT(D1047,"","")"),"Crow")</f>
        <v>Crow</v>
      </c>
      <c r="W1047" s="25" t="str">
        <f t="shared" si="1"/>
        <v>KATHERINE
 CROW</v>
      </c>
      <c r="X1047" s="40"/>
      <c r="Y1047" s="40"/>
      <c r="Z1047" s="25" t="str">
        <f>IFERROR(__xludf.DUMMYFUNCTION("SPLIT(C1047,""
"")"),"Crow, Katherine")</f>
        <v>Crow, Katherine</v>
      </c>
      <c r="AA1047" s="40" t="str">
        <f>IFERROR(__xludf.DUMMYFUNCTION("""COMPUTED_VALUE"""),"4700 Preston Rd")</f>
        <v>4700 Preston Rd</v>
      </c>
      <c r="AB1047" s="40" t="str">
        <f>IFERROR(__xludf.DUMMYFUNCTION("""COMPUTED_VALUE"""),"Dallas, TX 75205")</f>
        <v>Dallas, TX 75205</v>
      </c>
      <c r="AC1047" s="31" t="s">
        <v>2434</v>
      </c>
      <c r="AD1047" s="40"/>
      <c r="AE1047" s="40"/>
      <c r="AF1047" s="40"/>
      <c r="AG1047" s="40" t="s">
        <v>60</v>
      </c>
      <c r="AH1047" s="42">
        <v>2480.0</v>
      </c>
      <c r="AI1047" s="40" t="s">
        <v>68</v>
      </c>
      <c r="AJ1047" s="27">
        <v>1000.0</v>
      </c>
      <c r="AK1047" s="31" t="s">
        <v>22</v>
      </c>
      <c r="AL1047" s="43">
        <v>44911.0</v>
      </c>
      <c r="AM1047" s="44">
        <v>44942.7278125</v>
      </c>
      <c r="AN1047" s="30">
        <v>2.0</v>
      </c>
      <c r="AO1047" s="40"/>
      <c r="AP1047" s="40"/>
      <c r="AQ1047" s="40"/>
      <c r="AR1047" s="40"/>
      <c r="AS1047" s="40"/>
      <c r="AT1047" s="47"/>
      <c r="AU1047" s="40"/>
      <c r="AV1047" s="46"/>
      <c r="AW1047" s="46"/>
      <c r="AX1047" s="47"/>
      <c r="AY1047" s="44"/>
      <c r="AZ1047" s="30"/>
      <c r="CU1047" s="55"/>
      <c r="CV1047" s="55"/>
      <c r="CW1047" s="55"/>
      <c r="CX1047" s="55"/>
      <c r="CY1047" s="55"/>
      <c r="CZ1047" s="55"/>
      <c r="DA1047" s="82"/>
      <c r="DB1047" s="55"/>
      <c r="DC1047" s="55"/>
      <c r="DD1047" s="55"/>
      <c r="DE1047" s="55"/>
      <c r="DF1047" s="55"/>
      <c r="DG1047" s="55"/>
      <c r="DH1047" s="55"/>
      <c r="DI1047" s="55"/>
      <c r="DJ1047" s="55"/>
      <c r="DK1047" s="55"/>
      <c r="DL1047" s="55"/>
      <c r="DM1047" s="55"/>
      <c r="DN1047" s="55"/>
      <c r="DO1047" s="55"/>
      <c r="DP1047" s="55"/>
      <c r="DQ1047" s="55"/>
      <c r="DR1047" s="55"/>
      <c r="DS1047" s="55"/>
      <c r="DT1047" s="55"/>
      <c r="DU1047" s="55"/>
      <c r="DV1047" s="55"/>
      <c r="DW1047" s="55"/>
    </row>
    <row r="1048">
      <c r="A1048" s="23" t="s">
        <v>64</v>
      </c>
      <c r="B1048" s="23" t="s">
        <v>56</v>
      </c>
      <c r="C1048" s="31" t="s">
        <v>2435</v>
      </c>
      <c r="D1048" s="25" t="str">
        <f>IFERROR(__xludf.DUMMYFUNCTION("SPLIT(C1048,"" "")"),"Crow,")</f>
        <v>Crow,</v>
      </c>
      <c r="E1048" s="22" t="str">
        <f>IFERROR(__xludf.DUMMYFUNCTION("""COMPUTED_VALUE"""),"Harlan
3819")</f>
        <v>Harlan
3819</v>
      </c>
      <c r="F1048" s="22" t="str">
        <f>IFERROR(__xludf.DUMMYFUNCTION("""COMPUTED_VALUE"""),"Maple")</f>
        <v>Maple</v>
      </c>
      <c r="G1048" s="22" t="str">
        <f>IFERROR(__xludf.DUMMYFUNCTION("""COMPUTED_VALUE"""),"Ave
Dallas,")</f>
        <v>Ave
Dallas,</v>
      </c>
      <c r="H1048" s="22" t="str">
        <f>IFERROR(__xludf.DUMMYFUNCTION("""COMPUTED_VALUE"""),"TX")</f>
        <v>TX</v>
      </c>
      <c r="I1048" s="22">
        <f>IFERROR(__xludf.DUMMYFUNCTION("""COMPUTED_VALUE"""),75219.0)</f>
        <v>75219</v>
      </c>
      <c r="J1048" s="22"/>
      <c r="K1048" s="22"/>
      <c r="L1048" s="22"/>
      <c r="M1048" s="22"/>
      <c r="N1048" s="22"/>
      <c r="O1048" s="22"/>
      <c r="P1048" s="22"/>
      <c r="Q1048" s="22"/>
      <c r="R1048" s="22"/>
      <c r="S1048" s="22"/>
      <c r="T1048" s="22"/>
      <c r="U1048" s="24" t="str">
        <f>IFERROR(__xludf.DUMMYFUNCTION("SPLIT(E1048,""01234567890"")"),"Harlan
")</f>
        <v>Harlan
</v>
      </c>
      <c r="V1048" s="24" t="str">
        <f>IFERROR(__xludf.DUMMYFUNCTION("SPLIT(D1048,"","")"),"Crow")</f>
        <v>Crow</v>
      </c>
      <c r="W1048" s="25" t="str">
        <f t="shared" si="1"/>
        <v>HARLAN
 CROW</v>
      </c>
      <c r="X1048" s="22"/>
      <c r="Y1048" s="22"/>
      <c r="Z1048" s="25" t="str">
        <f>IFERROR(__xludf.DUMMYFUNCTION("SPLIT(C1048,""
"")"),"Crow, Harlan")</f>
        <v>Crow, Harlan</v>
      </c>
      <c r="AA1048" s="22" t="str">
        <f>IFERROR(__xludf.DUMMYFUNCTION("""COMPUTED_VALUE"""),"3819 Maple Ave")</f>
        <v>3819 Maple Ave</v>
      </c>
      <c r="AB1048" s="22" t="str">
        <f>IFERROR(__xludf.DUMMYFUNCTION("""COMPUTED_VALUE"""),"Dallas, TX 75219")</f>
        <v>Dallas, TX 75219</v>
      </c>
      <c r="AC1048" s="31" t="s">
        <v>2002</v>
      </c>
      <c r="AD1048" s="22"/>
      <c r="AE1048" s="22"/>
      <c r="AF1048" s="22"/>
      <c r="AG1048" s="22" t="s">
        <v>60</v>
      </c>
      <c r="AH1048" s="54">
        <v>2480.0</v>
      </c>
      <c r="AI1048" s="22" t="s">
        <v>68</v>
      </c>
      <c r="AJ1048" s="27">
        <v>1000.0</v>
      </c>
      <c r="AK1048" s="31" t="s">
        <v>22</v>
      </c>
      <c r="AL1048" s="28">
        <v>44915.0</v>
      </c>
      <c r="AM1048" s="29">
        <v>44942.7278125</v>
      </c>
      <c r="AN1048" s="30">
        <v>2.0</v>
      </c>
      <c r="AO1048" s="22"/>
      <c r="AP1048" s="22"/>
      <c r="AQ1048" s="22"/>
      <c r="AR1048" s="22"/>
      <c r="AS1048" s="22"/>
      <c r="AT1048" s="70"/>
      <c r="AU1048" s="22"/>
      <c r="AV1048" s="57"/>
      <c r="AW1048" s="57"/>
      <c r="AX1048" s="70"/>
      <c r="AY1048" s="29"/>
      <c r="AZ1048" s="30"/>
      <c r="CU1048" s="55"/>
      <c r="CV1048" s="55"/>
      <c r="CW1048" s="55"/>
      <c r="CX1048" s="55"/>
      <c r="CY1048" s="55"/>
      <c r="CZ1048" s="55"/>
      <c r="DA1048" s="82"/>
      <c r="DB1048" s="55"/>
      <c r="DC1048" s="55"/>
      <c r="DD1048" s="55"/>
      <c r="DE1048" s="55"/>
      <c r="DF1048" s="55"/>
      <c r="DG1048" s="55"/>
      <c r="DH1048" s="55"/>
      <c r="DI1048" s="55"/>
      <c r="DJ1048" s="55"/>
      <c r="DK1048" s="55"/>
      <c r="DL1048" s="55"/>
      <c r="DM1048" s="55"/>
      <c r="DN1048" s="55"/>
      <c r="DO1048" s="55"/>
      <c r="DP1048" s="55"/>
      <c r="DQ1048" s="55"/>
      <c r="DR1048" s="55"/>
      <c r="DS1048" s="55"/>
      <c r="DT1048" s="55"/>
      <c r="DU1048" s="55"/>
      <c r="DV1048" s="55"/>
      <c r="DW1048" s="55"/>
    </row>
    <row r="1049">
      <c r="A1049" s="41" t="s">
        <v>64</v>
      </c>
      <c r="B1049" s="41" t="s">
        <v>56</v>
      </c>
      <c r="C1049" s="31" t="s">
        <v>106</v>
      </c>
      <c r="D1049" s="25" t="str">
        <f>IFERROR(__xludf.DUMMYFUNCTION("SPLIT(C1049,"" "")"),"Addy,")</f>
        <v>Addy,</v>
      </c>
      <c r="E1049" s="40" t="str">
        <f>IFERROR(__xludf.DUMMYFUNCTION("""COMPUTED_VALUE"""),"William
3805")</f>
        <v>William
3805</v>
      </c>
      <c r="F1049" s="40" t="str">
        <f>IFERROR(__xludf.DUMMYFUNCTION("""COMPUTED_VALUE"""),"Normandy")</f>
        <v>Normandy</v>
      </c>
      <c r="G1049" s="40" t="str">
        <f>IFERROR(__xludf.DUMMYFUNCTION("""COMPUTED_VALUE"""),"Ave
Dallas,")</f>
        <v>Ave
Dallas,</v>
      </c>
      <c r="H1049" s="40" t="str">
        <f>IFERROR(__xludf.DUMMYFUNCTION("""COMPUTED_VALUE"""),"TX")</f>
        <v>TX</v>
      </c>
      <c r="I1049" s="40">
        <f>IFERROR(__xludf.DUMMYFUNCTION("""COMPUTED_VALUE"""),75205.0)</f>
        <v>75205</v>
      </c>
      <c r="J1049" s="40"/>
      <c r="K1049" s="40"/>
      <c r="L1049" s="40"/>
      <c r="M1049" s="40"/>
      <c r="N1049" s="40"/>
      <c r="O1049" s="40"/>
      <c r="P1049" s="40"/>
      <c r="Q1049" s="40"/>
      <c r="R1049" s="40"/>
      <c r="S1049" s="40"/>
      <c r="T1049" s="40"/>
      <c r="U1049" s="24" t="str">
        <f>IFERROR(__xludf.DUMMYFUNCTION("SPLIT(E1049,""01234567890"")"),"William
")</f>
        <v>William
</v>
      </c>
      <c r="V1049" s="24" t="str">
        <f>IFERROR(__xludf.DUMMYFUNCTION("SPLIT(D1049,"","")"),"Addy")</f>
        <v>Addy</v>
      </c>
      <c r="W1049" s="25" t="str">
        <f t="shared" si="1"/>
        <v>WILLIAM
 ADDY</v>
      </c>
      <c r="X1049" s="40"/>
      <c r="Y1049" s="40"/>
      <c r="Z1049" s="25" t="str">
        <f>IFERROR(__xludf.DUMMYFUNCTION("SPLIT(C1049,""
"")"),"Addy, William")</f>
        <v>Addy, William</v>
      </c>
      <c r="AA1049" s="40" t="str">
        <f>IFERROR(__xludf.DUMMYFUNCTION("""COMPUTED_VALUE"""),"3805 Normandy Ave")</f>
        <v>3805 Normandy Ave</v>
      </c>
      <c r="AB1049" s="40" t="str">
        <f>IFERROR(__xludf.DUMMYFUNCTION("""COMPUTED_VALUE"""),"Dallas, TX 75205")</f>
        <v>Dallas, TX 75205</v>
      </c>
      <c r="AC1049" s="31" t="s">
        <v>104</v>
      </c>
      <c r="AD1049" s="40"/>
      <c r="AE1049" s="40"/>
      <c r="AF1049" s="40"/>
      <c r="AG1049" s="40" t="s">
        <v>60</v>
      </c>
      <c r="AH1049" s="42">
        <v>2484.0</v>
      </c>
      <c r="AI1049" s="40" t="s">
        <v>68</v>
      </c>
      <c r="AJ1049" s="27">
        <v>1000.0</v>
      </c>
      <c r="AK1049" s="31" t="s">
        <v>28</v>
      </c>
      <c r="AL1049" s="43">
        <v>44856.0</v>
      </c>
      <c r="AM1049" s="44">
        <v>44937.871145833335</v>
      </c>
      <c r="AN1049" s="30">
        <v>2.0</v>
      </c>
      <c r="AO1049" s="40"/>
      <c r="AP1049" s="40"/>
      <c r="AQ1049" s="40"/>
      <c r="AR1049" s="40"/>
      <c r="AS1049" s="40"/>
      <c r="AT1049" s="47"/>
      <c r="AU1049" s="40"/>
      <c r="AV1049" s="46"/>
      <c r="AW1049" s="46"/>
      <c r="AX1049" s="47"/>
      <c r="AY1049" s="44"/>
      <c r="AZ1049" s="30"/>
      <c r="CU1049" s="55"/>
      <c r="CV1049" s="55"/>
      <c r="CW1049" s="55"/>
      <c r="CX1049" s="55"/>
      <c r="CY1049" s="55"/>
      <c r="CZ1049" s="55"/>
      <c r="DA1049" s="82"/>
      <c r="DB1049" s="55"/>
      <c r="DC1049" s="55"/>
      <c r="DD1049" s="55"/>
      <c r="DE1049" s="55"/>
      <c r="DF1049" s="55"/>
      <c r="DG1049" s="55"/>
      <c r="DH1049" s="55"/>
      <c r="DI1049" s="55"/>
      <c r="DJ1049" s="55"/>
      <c r="DK1049" s="55"/>
      <c r="DL1049" s="55"/>
      <c r="DM1049" s="55"/>
      <c r="DN1049" s="55"/>
      <c r="DO1049" s="55"/>
      <c r="DP1049" s="55"/>
      <c r="DQ1049" s="55"/>
      <c r="DR1049" s="55"/>
      <c r="DS1049" s="55"/>
      <c r="DT1049" s="55"/>
      <c r="DU1049" s="55"/>
      <c r="DV1049" s="55"/>
      <c r="DW1049" s="55"/>
    </row>
    <row r="1050">
      <c r="A1050" s="23" t="s">
        <v>64</v>
      </c>
      <c r="B1050" s="23" t="s">
        <v>56</v>
      </c>
      <c r="C1050" s="31" t="s">
        <v>106</v>
      </c>
      <c r="D1050" s="25" t="str">
        <f>IFERROR(__xludf.DUMMYFUNCTION("SPLIT(C1050,"" "")"),"Addy,")</f>
        <v>Addy,</v>
      </c>
      <c r="E1050" s="22" t="str">
        <f>IFERROR(__xludf.DUMMYFUNCTION("""COMPUTED_VALUE"""),"William
3805")</f>
        <v>William
3805</v>
      </c>
      <c r="F1050" s="22" t="str">
        <f>IFERROR(__xludf.DUMMYFUNCTION("""COMPUTED_VALUE"""),"Normandy")</f>
        <v>Normandy</v>
      </c>
      <c r="G1050" s="22" t="str">
        <f>IFERROR(__xludf.DUMMYFUNCTION("""COMPUTED_VALUE"""),"Ave
Dallas,")</f>
        <v>Ave
Dallas,</v>
      </c>
      <c r="H1050" s="22" t="str">
        <f>IFERROR(__xludf.DUMMYFUNCTION("""COMPUTED_VALUE"""),"TX")</f>
        <v>TX</v>
      </c>
      <c r="I1050" s="22">
        <f>IFERROR(__xludf.DUMMYFUNCTION("""COMPUTED_VALUE"""),75205.0)</f>
        <v>75205</v>
      </c>
      <c r="J1050" s="22"/>
      <c r="K1050" s="22"/>
      <c r="L1050" s="22"/>
      <c r="M1050" s="22"/>
      <c r="N1050" s="22"/>
      <c r="O1050" s="22"/>
      <c r="P1050" s="22"/>
      <c r="Q1050" s="22"/>
      <c r="R1050" s="22"/>
      <c r="S1050" s="22"/>
      <c r="T1050" s="22"/>
      <c r="U1050" s="24" t="str">
        <f>IFERROR(__xludf.DUMMYFUNCTION("SPLIT(E1050,""01234567890"")"),"William
")</f>
        <v>William
</v>
      </c>
      <c r="V1050" s="24" t="str">
        <f>IFERROR(__xludf.DUMMYFUNCTION("SPLIT(D1050,"","")"),"Addy")</f>
        <v>Addy</v>
      </c>
      <c r="W1050" s="25" t="str">
        <f t="shared" si="1"/>
        <v>WILLIAM
 ADDY</v>
      </c>
      <c r="X1050" s="22"/>
      <c r="Y1050" s="22"/>
      <c r="Z1050" s="25" t="str">
        <f>IFERROR(__xludf.DUMMYFUNCTION("SPLIT(C1050,""
"")"),"Addy, William")</f>
        <v>Addy, William</v>
      </c>
      <c r="AA1050" s="22" t="str">
        <f>IFERROR(__xludf.DUMMYFUNCTION("""COMPUTED_VALUE"""),"3805 Normandy Ave")</f>
        <v>3805 Normandy Ave</v>
      </c>
      <c r="AB1050" s="22" t="str">
        <f>IFERROR(__xludf.DUMMYFUNCTION("""COMPUTED_VALUE"""),"Dallas, TX 75205")</f>
        <v>Dallas, TX 75205</v>
      </c>
      <c r="AC1050" s="31" t="s">
        <v>104</v>
      </c>
      <c r="AD1050" s="22"/>
      <c r="AE1050" s="22"/>
      <c r="AF1050" s="22"/>
      <c r="AG1050" s="22" t="s">
        <v>60</v>
      </c>
      <c r="AH1050" s="54">
        <v>2484.0</v>
      </c>
      <c r="AI1050" s="22" t="s">
        <v>68</v>
      </c>
      <c r="AJ1050" s="27">
        <v>1000.0</v>
      </c>
      <c r="AK1050" s="31" t="s">
        <v>28</v>
      </c>
      <c r="AL1050" s="28">
        <v>44856.0</v>
      </c>
      <c r="AM1050" s="29">
        <v>44937.871145833335</v>
      </c>
      <c r="AN1050" s="30">
        <v>2.0</v>
      </c>
      <c r="AO1050" s="22"/>
      <c r="AP1050" s="22"/>
      <c r="AQ1050" s="22"/>
      <c r="AR1050" s="22"/>
      <c r="AS1050" s="22"/>
      <c r="AT1050" s="70"/>
      <c r="AU1050" s="22"/>
      <c r="AV1050" s="57"/>
      <c r="AW1050" s="57"/>
      <c r="AX1050" s="70"/>
      <c r="AY1050" s="29"/>
      <c r="AZ1050" s="30"/>
      <c r="CU1050" s="55"/>
      <c r="CV1050" s="55"/>
      <c r="CW1050" s="55"/>
      <c r="CX1050" s="55"/>
      <c r="CY1050" s="55"/>
      <c r="CZ1050" s="55"/>
      <c r="DA1050" s="82"/>
      <c r="DB1050" s="55"/>
      <c r="DC1050" s="55"/>
      <c r="DD1050" s="55"/>
      <c r="DE1050" s="55"/>
      <c r="DF1050" s="55"/>
      <c r="DG1050" s="55"/>
      <c r="DH1050" s="55"/>
      <c r="DI1050" s="55"/>
      <c r="DJ1050" s="55"/>
      <c r="DK1050" s="55"/>
      <c r="DL1050" s="55"/>
      <c r="DM1050" s="55"/>
      <c r="DN1050" s="55"/>
      <c r="DO1050" s="55"/>
      <c r="DP1050" s="55"/>
      <c r="DQ1050" s="55"/>
      <c r="DR1050" s="55"/>
      <c r="DS1050" s="55"/>
      <c r="DT1050" s="55"/>
      <c r="DU1050" s="55"/>
      <c r="DV1050" s="55"/>
      <c r="DW1050" s="55"/>
    </row>
    <row r="1051">
      <c r="A1051" s="41" t="s">
        <v>64</v>
      </c>
      <c r="B1051" s="41" t="s">
        <v>56</v>
      </c>
      <c r="C1051" s="31" t="s">
        <v>100</v>
      </c>
      <c r="D1051" s="25" t="str">
        <f>IFERROR(__xludf.DUMMYFUNCTION("SPLIT(C1051,"" "")"),"Addy,")</f>
        <v>Addy,</v>
      </c>
      <c r="E1051" s="40" t="str">
        <f>IFERROR(__xludf.DUMMYFUNCTION("""COMPUTED_VALUE"""),"Lydia
3805")</f>
        <v>Lydia
3805</v>
      </c>
      <c r="F1051" s="40" t="str">
        <f>IFERROR(__xludf.DUMMYFUNCTION("""COMPUTED_VALUE"""),"Normandy")</f>
        <v>Normandy</v>
      </c>
      <c r="G1051" s="40" t="str">
        <f>IFERROR(__xludf.DUMMYFUNCTION("""COMPUTED_VALUE"""),"Ave
Dallas,")</f>
        <v>Ave
Dallas,</v>
      </c>
      <c r="H1051" s="40" t="str">
        <f>IFERROR(__xludf.DUMMYFUNCTION("""COMPUTED_VALUE"""),"TX")</f>
        <v>TX</v>
      </c>
      <c r="I1051" s="40">
        <f>IFERROR(__xludf.DUMMYFUNCTION("""COMPUTED_VALUE"""),75205.0)</f>
        <v>75205</v>
      </c>
      <c r="J1051" s="40"/>
      <c r="K1051" s="40"/>
      <c r="L1051" s="40"/>
      <c r="M1051" s="40"/>
      <c r="N1051" s="40"/>
      <c r="O1051" s="40"/>
      <c r="P1051" s="40"/>
      <c r="Q1051" s="40"/>
      <c r="R1051" s="40"/>
      <c r="S1051" s="40"/>
      <c r="T1051" s="40"/>
      <c r="U1051" s="24" t="str">
        <f>IFERROR(__xludf.DUMMYFUNCTION("SPLIT(E1051,""01234567890"")"),"Lydia
")</f>
        <v>Lydia
</v>
      </c>
      <c r="V1051" s="24" t="str">
        <f>IFERROR(__xludf.DUMMYFUNCTION("SPLIT(D1051,"","")"),"Addy")</f>
        <v>Addy</v>
      </c>
      <c r="W1051" s="25" t="str">
        <f t="shared" si="1"/>
        <v>LYDIA
 ADDY</v>
      </c>
      <c r="X1051" s="40"/>
      <c r="Y1051" s="40"/>
      <c r="Z1051" s="25" t="str">
        <f>IFERROR(__xludf.DUMMYFUNCTION("SPLIT(C1051,""
"")"),"Addy, Lydia")</f>
        <v>Addy, Lydia</v>
      </c>
      <c r="AA1051" s="40" t="str">
        <f>IFERROR(__xludf.DUMMYFUNCTION("""COMPUTED_VALUE"""),"3805 Normandy Ave")</f>
        <v>3805 Normandy Ave</v>
      </c>
      <c r="AB1051" s="40" t="str">
        <f>IFERROR(__xludf.DUMMYFUNCTION("""COMPUTED_VALUE"""),"Dallas, TX 75205")</f>
        <v>Dallas, TX 75205</v>
      </c>
      <c r="AC1051" s="31" t="s">
        <v>99</v>
      </c>
      <c r="AD1051" s="40"/>
      <c r="AE1051" s="40"/>
      <c r="AF1051" s="40"/>
      <c r="AG1051" s="40" t="s">
        <v>60</v>
      </c>
      <c r="AH1051" s="42">
        <v>2484.0</v>
      </c>
      <c r="AI1051" s="40" t="s">
        <v>68</v>
      </c>
      <c r="AJ1051" s="27">
        <v>1000.0</v>
      </c>
      <c r="AK1051" s="31" t="s">
        <v>28</v>
      </c>
      <c r="AL1051" s="43">
        <v>44856.0</v>
      </c>
      <c r="AM1051" s="44">
        <v>44937.871145833335</v>
      </c>
      <c r="AN1051" s="30">
        <v>2.0</v>
      </c>
      <c r="AO1051" s="40"/>
      <c r="AP1051" s="40"/>
      <c r="AQ1051" s="40"/>
      <c r="AR1051" s="40"/>
      <c r="AS1051" s="40"/>
      <c r="AT1051" s="47"/>
      <c r="AU1051" s="40"/>
      <c r="AV1051" s="46"/>
      <c r="AW1051" s="46"/>
      <c r="AX1051" s="47"/>
      <c r="AY1051" s="44"/>
      <c r="AZ1051" s="30"/>
      <c r="CU1051" s="55"/>
      <c r="CV1051" s="55"/>
      <c r="CW1051" s="55"/>
      <c r="CX1051" s="55"/>
      <c r="CY1051" s="55"/>
      <c r="CZ1051" s="55"/>
      <c r="DA1051" s="82"/>
      <c r="DB1051" s="55"/>
      <c r="DC1051" s="55"/>
      <c r="DD1051" s="55"/>
      <c r="DE1051" s="55"/>
      <c r="DF1051" s="55"/>
      <c r="DG1051" s="55"/>
      <c r="DH1051" s="55"/>
      <c r="DI1051" s="55"/>
      <c r="DJ1051" s="55"/>
      <c r="DK1051" s="55"/>
      <c r="DL1051" s="55"/>
      <c r="DM1051" s="55"/>
      <c r="DN1051" s="55"/>
      <c r="DO1051" s="55"/>
      <c r="DP1051" s="55"/>
      <c r="DQ1051" s="55"/>
      <c r="DR1051" s="55"/>
      <c r="DS1051" s="55"/>
      <c r="DT1051" s="55"/>
      <c r="DU1051" s="55"/>
      <c r="DV1051" s="55"/>
      <c r="DW1051" s="55"/>
    </row>
    <row r="1052">
      <c r="A1052" s="23" t="s">
        <v>64</v>
      </c>
      <c r="B1052" s="23" t="s">
        <v>56</v>
      </c>
      <c r="C1052" s="31" t="s">
        <v>100</v>
      </c>
      <c r="D1052" s="25" t="str">
        <f>IFERROR(__xludf.DUMMYFUNCTION("SPLIT(C1052,"" "")"),"Addy,")</f>
        <v>Addy,</v>
      </c>
      <c r="E1052" s="22" t="str">
        <f>IFERROR(__xludf.DUMMYFUNCTION("""COMPUTED_VALUE"""),"Lydia
3805")</f>
        <v>Lydia
3805</v>
      </c>
      <c r="F1052" s="22" t="str">
        <f>IFERROR(__xludf.DUMMYFUNCTION("""COMPUTED_VALUE"""),"Normandy")</f>
        <v>Normandy</v>
      </c>
      <c r="G1052" s="22" t="str">
        <f>IFERROR(__xludf.DUMMYFUNCTION("""COMPUTED_VALUE"""),"Ave
Dallas,")</f>
        <v>Ave
Dallas,</v>
      </c>
      <c r="H1052" s="22" t="str">
        <f>IFERROR(__xludf.DUMMYFUNCTION("""COMPUTED_VALUE"""),"TX")</f>
        <v>TX</v>
      </c>
      <c r="I1052" s="22">
        <f>IFERROR(__xludf.DUMMYFUNCTION("""COMPUTED_VALUE"""),75205.0)</f>
        <v>75205</v>
      </c>
      <c r="J1052" s="22"/>
      <c r="K1052" s="22"/>
      <c r="L1052" s="22"/>
      <c r="M1052" s="22"/>
      <c r="N1052" s="22"/>
      <c r="O1052" s="22"/>
      <c r="P1052" s="22"/>
      <c r="Q1052" s="22"/>
      <c r="R1052" s="22"/>
      <c r="S1052" s="22"/>
      <c r="T1052" s="22"/>
      <c r="U1052" s="24" t="str">
        <f>IFERROR(__xludf.DUMMYFUNCTION("SPLIT(E1052,""01234567890"")"),"Lydia
")</f>
        <v>Lydia
</v>
      </c>
      <c r="V1052" s="24" t="str">
        <f>IFERROR(__xludf.DUMMYFUNCTION("SPLIT(D1052,"","")"),"Addy")</f>
        <v>Addy</v>
      </c>
      <c r="W1052" s="25" t="str">
        <f t="shared" si="1"/>
        <v>LYDIA
 ADDY</v>
      </c>
      <c r="X1052" s="22"/>
      <c r="Y1052" s="22"/>
      <c r="Z1052" s="25" t="str">
        <f>IFERROR(__xludf.DUMMYFUNCTION("SPLIT(C1052,""
"")"),"Addy, Lydia")</f>
        <v>Addy, Lydia</v>
      </c>
      <c r="AA1052" s="22" t="str">
        <f>IFERROR(__xludf.DUMMYFUNCTION("""COMPUTED_VALUE"""),"3805 Normandy Ave")</f>
        <v>3805 Normandy Ave</v>
      </c>
      <c r="AB1052" s="22" t="str">
        <f>IFERROR(__xludf.DUMMYFUNCTION("""COMPUTED_VALUE"""),"Dallas, TX 75205")</f>
        <v>Dallas, TX 75205</v>
      </c>
      <c r="AC1052" s="31" t="s">
        <v>99</v>
      </c>
      <c r="AD1052" s="22"/>
      <c r="AE1052" s="22"/>
      <c r="AF1052" s="22"/>
      <c r="AG1052" s="22" t="s">
        <v>60</v>
      </c>
      <c r="AH1052" s="54">
        <v>2484.0</v>
      </c>
      <c r="AI1052" s="22" t="s">
        <v>68</v>
      </c>
      <c r="AJ1052" s="27">
        <v>1000.0</v>
      </c>
      <c r="AK1052" s="31" t="s">
        <v>28</v>
      </c>
      <c r="AL1052" s="28">
        <v>44856.0</v>
      </c>
      <c r="AM1052" s="29">
        <v>44937.871145833335</v>
      </c>
      <c r="AN1052" s="30">
        <v>2.0</v>
      </c>
      <c r="AO1052" s="22"/>
      <c r="AP1052" s="22"/>
      <c r="AQ1052" s="22"/>
      <c r="AR1052" s="22"/>
      <c r="AS1052" s="22"/>
      <c r="AT1052" s="70"/>
      <c r="AU1052" s="22"/>
      <c r="AV1052" s="57"/>
      <c r="AW1052" s="57"/>
      <c r="AX1052" s="70"/>
      <c r="AY1052" s="29"/>
      <c r="AZ1052" s="30"/>
      <c r="CU1052" s="55"/>
      <c r="CV1052" s="55"/>
      <c r="CW1052" s="55"/>
      <c r="CX1052" s="55"/>
      <c r="CY1052" s="55"/>
      <c r="CZ1052" s="55"/>
      <c r="DA1052" s="82"/>
      <c r="DB1052" s="55"/>
      <c r="DC1052" s="55"/>
      <c r="DD1052" s="55"/>
      <c r="DE1052" s="55"/>
      <c r="DF1052" s="55"/>
      <c r="DG1052" s="55"/>
      <c r="DH1052" s="55"/>
      <c r="DI1052" s="55"/>
      <c r="DJ1052" s="55"/>
      <c r="DK1052" s="55"/>
      <c r="DL1052" s="55"/>
      <c r="DM1052" s="55"/>
      <c r="DN1052" s="55"/>
      <c r="DO1052" s="55"/>
      <c r="DP1052" s="55"/>
      <c r="DQ1052" s="55"/>
      <c r="DR1052" s="55"/>
      <c r="DS1052" s="55"/>
      <c r="DT1052" s="55"/>
      <c r="DU1052" s="55"/>
      <c r="DV1052" s="55"/>
      <c r="DW1052" s="55"/>
    </row>
    <row r="1053">
      <c r="A1053" s="41" t="s">
        <v>64</v>
      </c>
      <c r="B1053" s="41" t="s">
        <v>56</v>
      </c>
      <c r="C1053" s="31" t="s">
        <v>2436</v>
      </c>
      <c r="D1053" s="25" t="str">
        <f>IFERROR(__xludf.DUMMYFUNCTION("SPLIT(C1053,"" "")"),"HBA")</f>
        <v>HBA</v>
      </c>
      <c r="E1053" s="40" t="str">
        <f>IFERROR(__xludf.DUMMYFUNCTION("""COMPUTED_VALUE"""),"of")</f>
        <v>of</v>
      </c>
      <c r="F1053" s="40" t="str">
        <f>IFERROR(__xludf.DUMMYFUNCTION("""COMPUTED_VALUE"""),"Greater")</f>
        <v>Greater</v>
      </c>
      <c r="G1053" s="40" t="str">
        <f>IFERROR(__xludf.DUMMYFUNCTION("""COMPUTED_VALUE"""),"Dallas")</f>
        <v>Dallas</v>
      </c>
      <c r="H1053" s="40" t="str">
        <f>IFERROR(__xludf.DUMMYFUNCTION("""COMPUTED_VALUE"""),"HOMEPAC
5816")</f>
        <v>HOMEPAC
5816</v>
      </c>
      <c r="I1053" s="40" t="str">
        <f>IFERROR(__xludf.DUMMYFUNCTION("""COMPUTED_VALUE"""),"W.")</f>
        <v>W.</v>
      </c>
      <c r="J1053" s="40" t="str">
        <f>IFERROR(__xludf.DUMMYFUNCTION("""COMPUTED_VALUE"""),"Plano")</f>
        <v>Plano</v>
      </c>
      <c r="K1053" s="40" t="str">
        <f>IFERROR(__xludf.DUMMYFUNCTION("""COMPUTED_VALUE"""),"Pkwy
Plano,")</f>
        <v>Pkwy
Plano,</v>
      </c>
      <c r="L1053" s="40" t="str">
        <f>IFERROR(__xludf.DUMMYFUNCTION("""COMPUTED_VALUE"""),"TX")</f>
        <v>TX</v>
      </c>
      <c r="M1053" s="40">
        <f>IFERROR(__xludf.DUMMYFUNCTION("""COMPUTED_VALUE"""),75093.0)</f>
        <v>75093</v>
      </c>
      <c r="N1053" s="40"/>
      <c r="O1053" s="40"/>
      <c r="P1053" s="40"/>
      <c r="Q1053" s="40"/>
      <c r="R1053" s="40"/>
      <c r="S1053" s="40"/>
      <c r="T1053" s="40"/>
      <c r="U1053" s="24" t="str">
        <f>IFERROR(__xludf.DUMMYFUNCTION("SPLIT(E1053,""01234567890"")"),"of")</f>
        <v>of</v>
      </c>
      <c r="V1053" s="24" t="str">
        <f>IFERROR(__xludf.DUMMYFUNCTION("SPLIT(D1053,"","")"),"HBA")</f>
        <v>HBA</v>
      </c>
      <c r="W1053" s="25" t="str">
        <f t="shared" si="1"/>
        <v>OF HBA</v>
      </c>
      <c r="X1053" s="40"/>
      <c r="Y1053" s="40"/>
      <c r="Z1053" s="25" t="str">
        <f>IFERROR(__xludf.DUMMYFUNCTION("SPLIT(C1053,""
"")"),"HBA of Greater Dallas HOMEPAC")</f>
        <v>HBA of Greater Dallas HOMEPAC</v>
      </c>
      <c r="AA1053" s="40" t="str">
        <f>IFERROR(__xludf.DUMMYFUNCTION("""COMPUTED_VALUE"""),"5816 W. Plano Pkwy")</f>
        <v>5816 W. Plano Pkwy</v>
      </c>
      <c r="AB1053" s="40" t="str">
        <f>IFERROR(__xludf.DUMMYFUNCTION("""COMPUTED_VALUE"""),"Plano, TX 75093")</f>
        <v>Plano, TX 75093</v>
      </c>
      <c r="AC1053" s="31" t="s">
        <v>2437</v>
      </c>
      <c r="AD1053" s="40"/>
      <c r="AE1053" s="40"/>
      <c r="AF1053" s="40"/>
      <c r="AG1053" s="40" t="s">
        <v>60</v>
      </c>
      <c r="AH1053" s="42">
        <v>2484.0</v>
      </c>
      <c r="AI1053" s="40" t="s">
        <v>68</v>
      </c>
      <c r="AJ1053" s="27">
        <v>2500.0</v>
      </c>
      <c r="AK1053" s="31" t="s">
        <v>28</v>
      </c>
      <c r="AL1053" s="43">
        <v>44865.0</v>
      </c>
      <c r="AM1053" s="44">
        <v>44937.871145833335</v>
      </c>
      <c r="AN1053" s="30">
        <v>2.0</v>
      </c>
      <c r="AO1053" s="40"/>
      <c r="AP1053" s="40"/>
      <c r="AQ1053" s="40"/>
      <c r="AR1053" s="40"/>
      <c r="AS1053" s="40"/>
      <c r="AT1053" s="47"/>
      <c r="AU1053" s="40"/>
      <c r="AV1053" s="46"/>
      <c r="AW1053" s="46"/>
      <c r="AX1053" s="47"/>
      <c r="AY1053" s="44"/>
      <c r="AZ1053" s="30"/>
      <c r="CU1053" s="55"/>
      <c r="CV1053" s="55"/>
      <c r="CW1053" s="55"/>
      <c r="CX1053" s="55"/>
      <c r="CY1053" s="55"/>
      <c r="CZ1053" s="55"/>
      <c r="DA1053" s="82"/>
      <c r="DB1053" s="55"/>
      <c r="DC1053" s="55"/>
      <c r="DD1053" s="55"/>
      <c r="DE1053" s="55"/>
      <c r="DF1053" s="55"/>
      <c r="DG1053" s="55"/>
      <c r="DH1053" s="55"/>
      <c r="DI1053" s="55"/>
      <c r="DJ1053" s="55"/>
      <c r="DK1053" s="55"/>
      <c r="DL1053" s="55"/>
      <c r="DM1053" s="55"/>
      <c r="DN1053" s="55"/>
      <c r="DO1053" s="55"/>
      <c r="DP1053" s="55"/>
      <c r="DQ1053" s="55"/>
      <c r="DR1053" s="55"/>
      <c r="DS1053" s="55"/>
      <c r="DT1053" s="55"/>
      <c r="DU1053" s="55"/>
      <c r="DV1053" s="55"/>
      <c r="DW1053" s="55"/>
    </row>
    <row r="1054">
      <c r="A1054" s="23" t="s">
        <v>64</v>
      </c>
      <c r="B1054" s="23" t="s">
        <v>56</v>
      </c>
      <c r="C1054" s="31" t="s">
        <v>2436</v>
      </c>
      <c r="D1054" s="25" t="str">
        <f>IFERROR(__xludf.DUMMYFUNCTION("SPLIT(C1054,"" "")"),"HBA")</f>
        <v>HBA</v>
      </c>
      <c r="E1054" s="22" t="str">
        <f>IFERROR(__xludf.DUMMYFUNCTION("""COMPUTED_VALUE"""),"of")</f>
        <v>of</v>
      </c>
      <c r="F1054" s="22" t="str">
        <f>IFERROR(__xludf.DUMMYFUNCTION("""COMPUTED_VALUE"""),"Greater")</f>
        <v>Greater</v>
      </c>
      <c r="G1054" s="22" t="str">
        <f>IFERROR(__xludf.DUMMYFUNCTION("""COMPUTED_VALUE"""),"Dallas")</f>
        <v>Dallas</v>
      </c>
      <c r="H1054" s="22" t="str">
        <f>IFERROR(__xludf.DUMMYFUNCTION("""COMPUTED_VALUE"""),"HOMEPAC
5816")</f>
        <v>HOMEPAC
5816</v>
      </c>
      <c r="I1054" s="22" t="str">
        <f>IFERROR(__xludf.DUMMYFUNCTION("""COMPUTED_VALUE"""),"W.")</f>
        <v>W.</v>
      </c>
      <c r="J1054" s="22" t="str">
        <f>IFERROR(__xludf.DUMMYFUNCTION("""COMPUTED_VALUE"""),"Plano")</f>
        <v>Plano</v>
      </c>
      <c r="K1054" s="22" t="str">
        <f>IFERROR(__xludf.DUMMYFUNCTION("""COMPUTED_VALUE"""),"Pkwy
Plano,")</f>
        <v>Pkwy
Plano,</v>
      </c>
      <c r="L1054" s="22" t="str">
        <f>IFERROR(__xludf.DUMMYFUNCTION("""COMPUTED_VALUE"""),"TX")</f>
        <v>TX</v>
      </c>
      <c r="M1054" s="22">
        <f>IFERROR(__xludf.DUMMYFUNCTION("""COMPUTED_VALUE"""),75093.0)</f>
        <v>75093</v>
      </c>
      <c r="N1054" s="22"/>
      <c r="O1054" s="22"/>
      <c r="P1054" s="22"/>
      <c r="Q1054" s="22"/>
      <c r="R1054" s="22"/>
      <c r="S1054" s="22"/>
      <c r="T1054" s="22"/>
      <c r="U1054" s="24" t="str">
        <f>IFERROR(__xludf.DUMMYFUNCTION("SPLIT(E1054,""01234567890"")"),"of")</f>
        <v>of</v>
      </c>
      <c r="V1054" s="24" t="str">
        <f>IFERROR(__xludf.DUMMYFUNCTION("SPLIT(D1054,"","")"),"HBA")</f>
        <v>HBA</v>
      </c>
      <c r="W1054" s="25" t="str">
        <f t="shared" si="1"/>
        <v>OF HBA</v>
      </c>
      <c r="X1054" s="22"/>
      <c r="Y1054" s="22"/>
      <c r="Z1054" s="25" t="str">
        <f>IFERROR(__xludf.DUMMYFUNCTION("SPLIT(C1054,""
"")"),"HBA of Greater Dallas HOMEPAC")</f>
        <v>HBA of Greater Dallas HOMEPAC</v>
      </c>
      <c r="AA1054" s="22" t="str">
        <f>IFERROR(__xludf.DUMMYFUNCTION("""COMPUTED_VALUE"""),"5816 W. Plano Pkwy")</f>
        <v>5816 W. Plano Pkwy</v>
      </c>
      <c r="AB1054" s="22" t="str">
        <f>IFERROR(__xludf.DUMMYFUNCTION("""COMPUTED_VALUE"""),"Plano, TX 75093")</f>
        <v>Plano, TX 75093</v>
      </c>
      <c r="AC1054" s="31" t="s">
        <v>2437</v>
      </c>
      <c r="AD1054" s="22"/>
      <c r="AE1054" s="22"/>
      <c r="AF1054" s="22"/>
      <c r="AG1054" s="22" t="s">
        <v>60</v>
      </c>
      <c r="AH1054" s="54">
        <v>2484.0</v>
      </c>
      <c r="AI1054" s="22" t="s">
        <v>68</v>
      </c>
      <c r="AJ1054" s="27">
        <v>2500.0</v>
      </c>
      <c r="AK1054" s="31" t="s">
        <v>28</v>
      </c>
      <c r="AL1054" s="28">
        <v>44865.0</v>
      </c>
      <c r="AM1054" s="29">
        <v>44937.871145833335</v>
      </c>
      <c r="AN1054" s="30">
        <v>2.0</v>
      </c>
      <c r="AO1054" s="22"/>
      <c r="AP1054" s="22"/>
      <c r="AQ1054" s="22"/>
      <c r="AR1054" s="22"/>
      <c r="AS1054" s="22"/>
      <c r="AT1054" s="70"/>
      <c r="AU1054" s="22"/>
      <c r="AV1054" s="57"/>
      <c r="AW1054" s="57"/>
      <c r="AX1054" s="70"/>
      <c r="AY1054" s="29"/>
      <c r="AZ1054" s="30"/>
      <c r="CU1054" s="55"/>
      <c r="CV1054" s="55"/>
      <c r="CW1054" s="55"/>
      <c r="CX1054" s="55"/>
      <c r="CY1054" s="55"/>
      <c r="CZ1054" s="55"/>
      <c r="DA1054" s="82"/>
      <c r="DB1054" s="55"/>
      <c r="DC1054" s="55"/>
      <c r="DD1054" s="55"/>
      <c r="DE1054" s="55"/>
      <c r="DF1054" s="55"/>
      <c r="DG1054" s="55"/>
      <c r="DH1054" s="55"/>
      <c r="DI1054" s="55"/>
      <c r="DJ1054" s="55"/>
      <c r="DK1054" s="55"/>
      <c r="DL1054" s="55"/>
      <c r="DM1054" s="55"/>
      <c r="DN1054" s="55"/>
      <c r="DO1054" s="55"/>
      <c r="DP1054" s="55"/>
      <c r="DQ1054" s="55"/>
      <c r="DR1054" s="55"/>
      <c r="DS1054" s="55"/>
      <c r="DT1054" s="55"/>
      <c r="DU1054" s="55"/>
      <c r="DV1054" s="55"/>
      <c r="DW1054" s="55"/>
    </row>
    <row r="1055">
      <c r="A1055" s="41" t="s">
        <v>64</v>
      </c>
      <c r="B1055" s="41" t="s">
        <v>56</v>
      </c>
      <c r="C1055" s="31" t="s">
        <v>2438</v>
      </c>
      <c r="D1055" s="25" t="str">
        <f>IFERROR(__xludf.DUMMYFUNCTION("SPLIT(C1055,"" "")"),"Mazziotta,")</f>
        <v>Mazziotta,</v>
      </c>
      <c r="E1055" s="40" t="str">
        <f>IFERROR(__xludf.DUMMYFUNCTION("""COMPUTED_VALUE"""),"Beth
7114")</f>
        <v>Beth
7114</v>
      </c>
      <c r="F1055" s="40" t="str">
        <f>IFERROR(__xludf.DUMMYFUNCTION("""COMPUTED_VALUE"""),"Royal")</f>
        <v>Royal</v>
      </c>
      <c r="G1055" s="40" t="str">
        <f>IFERROR(__xludf.DUMMYFUNCTION("""COMPUTED_VALUE"""),"Lane
Dallas,")</f>
        <v>Lane
Dallas,</v>
      </c>
      <c r="H1055" s="40" t="str">
        <f>IFERROR(__xludf.DUMMYFUNCTION("""COMPUTED_VALUE"""),"TX")</f>
        <v>TX</v>
      </c>
      <c r="I1055" s="40">
        <f>IFERROR(__xludf.DUMMYFUNCTION("""COMPUTED_VALUE"""),75230.0)</f>
        <v>75230</v>
      </c>
      <c r="J1055" s="40"/>
      <c r="K1055" s="40"/>
      <c r="L1055" s="40"/>
      <c r="M1055" s="40"/>
      <c r="N1055" s="40"/>
      <c r="O1055" s="40"/>
      <c r="P1055" s="40"/>
      <c r="Q1055" s="40"/>
      <c r="R1055" s="40"/>
      <c r="S1055" s="40"/>
      <c r="T1055" s="40"/>
      <c r="U1055" s="24" t="str">
        <f>IFERROR(__xludf.DUMMYFUNCTION("SPLIT(E1055,""01234567890"")"),"Beth
")</f>
        <v>Beth
</v>
      </c>
      <c r="V1055" s="24" t="str">
        <f>IFERROR(__xludf.DUMMYFUNCTION("SPLIT(D1055,"","")"),"Mazziotta")</f>
        <v>Mazziotta</v>
      </c>
      <c r="W1055" s="25" t="str">
        <f t="shared" si="1"/>
        <v>BETH
 MAZZIOTTA</v>
      </c>
      <c r="X1055" s="40"/>
      <c r="Y1055" s="40"/>
      <c r="Z1055" s="25" t="str">
        <f>IFERROR(__xludf.DUMMYFUNCTION("SPLIT(C1055,""
"")"),"Mazziotta, Beth")</f>
        <v>Mazziotta, Beth</v>
      </c>
      <c r="AA1055" s="40" t="str">
        <f>IFERROR(__xludf.DUMMYFUNCTION("""COMPUTED_VALUE"""),"7114 Royal Lane")</f>
        <v>7114 Royal Lane</v>
      </c>
      <c r="AB1055" s="40" t="str">
        <f>IFERROR(__xludf.DUMMYFUNCTION("""COMPUTED_VALUE"""),"Dallas, TX 75230")</f>
        <v>Dallas, TX 75230</v>
      </c>
      <c r="AC1055" s="31" t="s">
        <v>2439</v>
      </c>
      <c r="AD1055" s="40"/>
      <c r="AE1055" s="40"/>
      <c r="AF1055" s="40"/>
      <c r="AG1055" s="40" t="s">
        <v>60</v>
      </c>
      <c r="AH1055" s="42">
        <v>2484.0</v>
      </c>
      <c r="AI1055" s="40" t="s">
        <v>68</v>
      </c>
      <c r="AJ1055" s="27">
        <v>1000.0</v>
      </c>
      <c r="AK1055" s="31" t="s">
        <v>28</v>
      </c>
      <c r="AL1055" s="43">
        <v>44868.0</v>
      </c>
      <c r="AM1055" s="44">
        <v>44937.871145833335</v>
      </c>
      <c r="AN1055" s="30">
        <v>2.0</v>
      </c>
      <c r="AO1055" s="40"/>
      <c r="AP1055" s="40"/>
      <c r="AQ1055" s="40"/>
      <c r="AR1055" s="40"/>
      <c r="AS1055" s="40"/>
      <c r="AT1055" s="47"/>
      <c r="AU1055" s="40"/>
      <c r="AV1055" s="46"/>
      <c r="AW1055" s="46"/>
      <c r="AX1055" s="47"/>
      <c r="AY1055" s="44"/>
      <c r="AZ1055" s="30"/>
      <c r="CU1055" s="55"/>
      <c r="CV1055" s="55"/>
      <c r="CW1055" s="55"/>
      <c r="CX1055" s="55"/>
      <c r="CY1055" s="55"/>
      <c r="CZ1055" s="55"/>
      <c r="DA1055" s="82"/>
      <c r="DB1055" s="55"/>
      <c r="DC1055" s="55"/>
      <c r="DD1055" s="55"/>
      <c r="DE1055" s="55"/>
      <c r="DF1055" s="55"/>
      <c r="DG1055" s="55"/>
      <c r="DH1055" s="55"/>
      <c r="DI1055" s="55"/>
      <c r="DJ1055" s="55"/>
      <c r="DK1055" s="55"/>
      <c r="DL1055" s="55"/>
      <c r="DM1055" s="55"/>
      <c r="DN1055" s="55"/>
      <c r="DO1055" s="55"/>
      <c r="DP1055" s="55"/>
      <c r="DQ1055" s="55"/>
      <c r="DR1055" s="55"/>
      <c r="DS1055" s="55"/>
      <c r="DT1055" s="55"/>
      <c r="DU1055" s="55"/>
      <c r="DV1055" s="55"/>
      <c r="DW1055" s="55"/>
    </row>
    <row r="1056">
      <c r="A1056" s="23" t="s">
        <v>64</v>
      </c>
      <c r="B1056" s="23" t="s">
        <v>56</v>
      </c>
      <c r="C1056" s="31" t="s">
        <v>2438</v>
      </c>
      <c r="D1056" s="25" t="str">
        <f>IFERROR(__xludf.DUMMYFUNCTION("SPLIT(C1056,"" "")"),"Mazziotta,")</f>
        <v>Mazziotta,</v>
      </c>
      <c r="E1056" s="22" t="str">
        <f>IFERROR(__xludf.DUMMYFUNCTION("""COMPUTED_VALUE"""),"Beth
7114")</f>
        <v>Beth
7114</v>
      </c>
      <c r="F1056" s="22" t="str">
        <f>IFERROR(__xludf.DUMMYFUNCTION("""COMPUTED_VALUE"""),"Royal")</f>
        <v>Royal</v>
      </c>
      <c r="G1056" s="22" t="str">
        <f>IFERROR(__xludf.DUMMYFUNCTION("""COMPUTED_VALUE"""),"Lane
Dallas,")</f>
        <v>Lane
Dallas,</v>
      </c>
      <c r="H1056" s="22" t="str">
        <f>IFERROR(__xludf.DUMMYFUNCTION("""COMPUTED_VALUE"""),"TX")</f>
        <v>TX</v>
      </c>
      <c r="I1056" s="22">
        <f>IFERROR(__xludf.DUMMYFUNCTION("""COMPUTED_VALUE"""),75230.0)</f>
        <v>75230</v>
      </c>
      <c r="J1056" s="22"/>
      <c r="K1056" s="22"/>
      <c r="L1056" s="22"/>
      <c r="M1056" s="22"/>
      <c r="N1056" s="22"/>
      <c r="O1056" s="22"/>
      <c r="P1056" s="22"/>
      <c r="Q1056" s="22"/>
      <c r="R1056" s="22"/>
      <c r="S1056" s="22"/>
      <c r="T1056" s="22"/>
      <c r="U1056" s="24" t="str">
        <f>IFERROR(__xludf.DUMMYFUNCTION("SPLIT(E1056,""01234567890"")"),"Beth
")</f>
        <v>Beth
</v>
      </c>
      <c r="V1056" s="24" t="str">
        <f>IFERROR(__xludf.DUMMYFUNCTION("SPLIT(D1056,"","")"),"Mazziotta")</f>
        <v>Mazziotta</v>
      </c>
      <c r="W1056" s="25" t="str">
        <f t="shared" si="1"/>
        <v>BETH
 MAZZIOTTA</v>
      </c>
      <c r="X1056" s="22"/>
      <c r="Y1056" s="22"/>
      <c r="Z1056" s="25" t="str">
        <f>IFERROR(__xludf.DUMMYFUNCTION("SPLIT(C1056,""
"")"),"Mazziotta, Beth")</f>
        <v>Mazziotta, Beth</v>
      </c>
      <c r="AA1056" s="22" t="str">
        <f>IFERROR(__xludf.DUMMYFUNCTION("""COMPUTED_VALUE"""),"7114 Royal Lane")</f>
        <v>7114 Royal Lane</v>
      </c>
      <c r="AB1056" s="22" t="str">
        <f>IFERROR(__xludf.DUMMYFUNCTION("""COMPUTED_VALUE"""),"Dallas, TX 75230")</f>
        <v>Dallas, TX 75230</v>
      </c>
      <c r="AC1056" s="31" t="s">
        <v>2439</v>
      </c>
      <c r="AD1056" s="22"/>
      <c r="AE1056" s="22"/>
      <c r="AF1056" s="22"/>
      <c r="AG1056" s="22" t="s">
        <v>60</v>
      </c>
      <c r="AH1056" s="54">
        <v>2484.0</v>
      </c>
      <c r="AI1056" s="22" t="s">
        <v>68</v>
      </c>
      <c r="AJ1056" s="27">
        <v>1000.0</v>
      </c>
      <c r="AK1056" s="31" t="s">
        <v>28</v>
      </c>
      <c r="AL1056" s="28">
        <v>44868.0</v>
      </c>
      <c r="AM1056" s="29">
        <v>44937.871145833335</v>
      </c>
      <c r="AN1056" s="30">
        <v>2.0</v>
      </c>
      <c r="AO1056" s="22"/>
      <c r="AP1056" s="22"/>
      <c r="AQ1056" s="22"/>
      <c r="AR1056" s="22"/>
      <c r="AS1056" s="22"/>
      <c r="AT1056" s="70"/>
      <c r="AU1056" s="22"/>
      <c r="AV1056" s="57"/>
      <c r="AW1056" s="57"/>
      <c r="AX1056" s="70"/>
      <c r="AY1056" s="29"/>
      <c r="AZ1056" s="30"/>
      <c r="CU1056" s="55"/>
      <c r="CV1056" s="55"/>
      <c r="CW1056" s="55"/>
      <c r="CX1056" s="55"/>
      <c r="CY1056" s="55"/>
      <c r="CZ1056" s="55"/>
      <c r="DA1056" s="82"/>
      <c r="DB1056" s="55"/>
      <c r="DC1056" s="55"/>
      <c r="DD1056" s="55"/>
      <c r="DE1056" s="55"/>
      <c r="DF1056" s="55"/>
      <c r="DG1056" s="55"/>
      <c r="DH1056" s="55"/>
      <c r="DI1056" s="55"/>
      <c r="DJ1056" s="55"/>
      <c r="DK1056" s="55"/>
      <c r="DL1056" s="55"/>
      <c r="DM1056" s="55"/>
      <c r="DN1056" s="55"/>
      <c r="DO1056" s="55"/>
      <c r="DP1056" s="55"/>
      <c r="DQ1056" s="55"/>
      <c r="DR1056" s="55"/>
      <c r="DS1056" s="55"/>
      <c r="DT1056" s="55"/>
      <c r="DU1056" s="55"/>
      <c r="DV1056" s="55"/>
      <c r="DW1056" s="55"/>
    </row>
    <row r="1057">
      <c r="A1057" s="41" t="s">
        <v>64</v>
      </c>
      <c r="B1057" s="41" t="s">
        <v>56</v>
      </c>
      <c r="C1057" s="31" t="s">
        <v>2440</v>
      </c>
      <c r="D1057" s="25" t="str">
        <f>IFERROR(__xludf.DUMMYFUNCTION("SPLIT(C1057,"" "")"),"Hunt,")</f>
        <v>Hunt,</v>
      </c>
      <c r="E1057" s="40" t="str">
        <f>IFERROR(__xludf.DUMMYFUNCTION("""COMPUTED_VALUE"""),"Ray
1900")</f>
        <v>Ray
1900</v>
      </c>
      <c r="F1057" s="40" t="str">
        <f>IFERROR(__xludf.DUMMYFUNCTION("""COMPUTED_VALUE"""),"N")</f>
        <v>N</v>
      </c>
      <c r="G1057" s="40" t="str">
        <f>IFERROR(__xludf.DUMMYFUNCTION("""COMPUTED_VALUE"""),"Akard")</f>
        <v>Akard</v>
      </c>
      <c r="H1057" s="40" t="str">
        <f>IFERROR(__xludf.DUMMYFUNCTION("""COMPUTED_VALUE"""),"Street
Dallas,")</f>
        <v>Street
Dallas,</v>
      </c>
      <c r="I1057" s="40" t="str">
        <f>IFERROR(__xludf.DUMMYFUNCTION("""COMPUTED_VALUE"""),"TX")</f>
        <v>TX</v>
      </c>
      <c r="J1057" s="40">
        <f>IFERROR(__xludf.DUMMYFUNCTION("""COMPUTED_VALUE"""),75201.0)</f>
        <v>75201</v>
      </c>
      <c r="K1057" s="40"/>
      <c r="L1057" s="40"/>
      <c r="M1057" s="40"/>
      <c r="N1057" s="40"/>
      <c r="O1057" s="40"/>
      <c r="P1057" s="40"/>
      <c r="Q1057" s="40"/>
      <c r="R1057" s="40"/>
      <c r="S1057" s="40"/>
      <c r="T1057" s="40"/>
      <c r="U1057" s="24" t="str">
        <f>IFERROR(__xludf.DUMMYFUNCTION("SPLIT(E1057,""01234567890"")"),"Ray
")</f>
        <v>Ray
</v>
      </c>
      <c r="V1057" s="24" t="str">
        <f>IFERROR(__xludf.DUMMYFUNCTION("SPLIT(D1057,"","")"),"Hunt")</f>
        <v>Hunt</v>
      </c>
      <c r="W1057" s="25" t="str">
        <f t="shared" si="1"/>
        <v>RAY
 HUNT</v>
      </c>
      <c r="X1057" s="40"/>
      <c r="Y1057" s="40"/>
      <c r="Z1057" s="25" t="str">
        <f>IFERROR(__xludf.DUMMYFUNCTION("SPLIT(C1057,""
"")"),"Hunt, Ray")</f>
        <v>Hunt, Ray</v>
      </c>
      <c r="AA1057" s="40" t="str">
        <f>IFERROR(__xludf.DUMMYFUNCTION("""COMPUTED_VALUE"""),"1900 N Akard Street")</f>
        <v>1900 N Akard Street</v>
      </c>
      <c r="AB1057" s="40" t="str">
        <f>IFERROR(__xludf.DUMMYFUNCTION("""COMPUTED_VALUE"""),"Dallas, TX 75201")</f>
        <v>Dallas, TX 75201</v>
      </c>
      <c r="AC1057" s="31" t="s">
        <v>721</v>
      </c>
      <c r="AD1057" s="40"/>
      <c r="AE1057" s="40"/>
      <c r="AF1057" s="40"/>
      <c r="AG1057" s="40" t="s">
        <v>60</v>
      </c>
      <c r="AH1057" s="42">
        <v>2484.0</v>
      </c>
      <c r="AI1057" s="40" t="s">
        <v>68</v>
      </c>
      <c r="AJ1057" s="27">
        <v>1000.0</v>
      </c>
      <c r="AK1057" s="31" t="s">
        <v>28</v>
      </c>
      <c r="AL1057" s="43">
        <v>44743.0</v>
      </c>
      <c r="AM1057" s="44">
        <v>44937.871145833335</v>
      </c>
      <c r="AN1057" s="30">
        <v>2.0</v>
      </c>
      <c r="AO1057" s="40"/>
      <c r="AP1057" s="40"/>
      <c r="AQ1057" s="40"/>
      <c r="AR1057" s="40"/>
      <c r="AS1057" s="40"/>
      <c r="AT1057" s="47"/>
      <c r="AU1057" s="40"/>
      <c r="AV1057" s="46"/>
      <c r="AW1057" s="46"/>
      <c r="AX1057" s="47"/>
      <c r="AY1057" s="44"/>
      <c r="AZ1057" s="30"/>
      <c r="CU1057" s="55"/>
      <c r="CV1057" s="55"/>
      <c r="CW1057" s="55"/>
      <c r="CX1057" s="55"/>
      <c r="CY1057" s="55"/>
      <c r="CZ1057" s="55"/>
      <c r="DA1057" s="82"/>
      <c r="DB1057" s="55"/>
      <c r="DC1057" s="55"/>
      <c r="DD1057" s="55"/>
      <c r="DE1057" s="55"/>
      <c r="DF1057" s="55"/>
      <c r="DG1057" s="55"/>
      <c r="DH1057" s="55"/>
      <c r="DI1057" s="55"/>
      <c r="DJ1057" s="55"/>
      <c r="DK1057" s="55"/>
      <c r="DL1057" s="55"/>
      <c r="DM1057" s="55"/>
      <c r="DN1057" s="55"/>
      <c r="DO1057" s="55"/>
      <c r="DP1057" s="55"/>
      <c r="DQ1057" s="55"/>
      <c r="DR1057" s="55"/>
      <c r="DS1057" s="55"/>
      <c r="DT1057" s="55"/>
      <c r="DU1057" s="55"/>
      <c r="DV1057" s="55"/>
      <c r="DW1057" s="55"/>
    </row>
    <row r="1058">
      <c r="A1058" s="23" t="s">
        <v>64</v>
      </c>
      <c r="B1058" s="23" t="s">
        <v>56</v>
      </c>
      <c r="C1058" s="31" t="s">
        <v>2440</v>
      </c>
      <c r="D1058" s="25" t="str">
        <f>IFERROR(__xludf.DUMMYFUNCTION("SPLIT(C1058,"" "")"),"Hunt,")</f>
        <v>Hunt,</v>
      </c>
      <c r="E1058" s="22" t="str">
        <f>IFERROR(__xludf.DUMMYFUNCTION("""COMPUTED_VALUE"""),"Ray
1900")</f>
        <v>Ray
1900</v>
      </c>
      <c r="F1058" s="22" t="str">
        <f>IFERROR(__xludf.DUMMYFUNCTION("""COMPUTED_VALUE"""),"N")</f>
        <v>N</v>
      </c>
      <c r="G1058" s="22" t="str">
        <f>IFERROR(__xludf.DUMMYFUNCTION("""COMPUTED_VALUE"""),"Akard")</f>
        <v>Akard</v>
      </c>
      <c r="H1058" s="22" t="str">
        <f>IFERROR(__xludf.DUMMYFUNCTION("""COMPUTED_VALUE"""),"Street
Dallas,")</f>
        <v>Street
Dallas,</v>
      </c>
      <c r="I1058" s="22" t="str">
        <f>IFERROR(__xludf.DUMMYFUNCTION("""COMPUTED_VALUE"""),"TX")</f>
        <v>TX</v>
      </c>
      <c r="J1058" s="22">
        <f>IFERROR(__xludf.DUMMYFUNCTION("""COMPUTED_VALUE"""),75201.0)</f>
        <v>75201</v>
      </c>
      <c r="K1058" s="22"/>
      <c r="L1058" s="22"/>
      <c r="M1058" s="22"/>
      <c r="N1058" s="22"/>
      <c r="O1058" s="22"/>
      <c r="P1058" s="22"/>
      <c r="Q1058" s="22"/>
      <c r="R1058" s="22"/>
      <c r="S1058" s="22"/>
      <c r="T1058" s="22"/>
      <c r="U1058" s="24" t="str">
        <f>IFERROR(__xludf.DUMMYFUNCTION("SPLIT(E1058,""01234567890"")"),"Ray
")</f>
        <v>Ray
</v>
      </c>
      <c r="V1058" s="24" t="str">
        <f>IFERROR(__xludf.DUMMYFUNCTION("SPLIT(D1058,"","")"),"Hunt")</f>
        <v>Hunt</v>
      </c>
      <c r="W1058" s="25" t="str">
        <f t="shared" si="1"/>
        <v>RAY
 HUNT</v>
      </c>
      <c r="X1058" s="22"/>
      <c r="Y1058" s="22"/>
      <c r="Z1058" s="25" t="str">
        <f>IFERROR(__xludf.DUMMYFUNCTION("SPLIT(C1058,""
"")"),"Hunt, Ray")</f>
        <v>Hunt, Ray</v>
      </c>
      <c r="AA1058" s="22" t="str">
        <f>IFERROR(__xludf.DUMMYFUNCTION("""COMPUTED_VALUE"""),"1900 N Akard Street")</f>
        <v>1900 N Akard Street</v>
      </c>
      <c r="AB1058" s="22" t="str">
        <f>IFERROR(__xludf.DUMMYFUNCTION("""COMPUTED_VALUE"""),"Dallas, TX 75201")</f>
        <v>Dallas, TX 75201</v>
      </c>
      <c r="AC1058" s="31" t="s">
        <v>721</v>
      </c>
      <c r="AD1058" s="22"/>
      <c r="AE1058" s="22"/>
      <c r="AF1058" s="22"/>
      <c r="AG1058" s="22" t="s">
        <v>60</v>
      </c>
      <c r="AH1058" s="54">
        <v>2484.0</v>
      </c>
      <c r="AI1058" s="22" t="s">
        <v>68</v>
      </c>
      <c r="AJ1058" s="27">
        <v>1000.0</v>
      </c>
      <c r="AK1058" s="31" t="s">
        <v>28</v>
      </c>
      <c r="AL1058" s="28">
        <v>44743.0</v>
      </c>
      <c r="AM1058" s="29">
        <v>44937.871145833335</v>
      </c>
      <c r="AN1058" s="30">
        <v>2.0</v>
      </c>
      <c r="AO1058" s="22"/>
      <c r="AP1058" s="22"/>
      <c r="AQ1058" s="22"/>
      <c r="AR1058" s="22"/>
      <c r="AS1058" s="22"/>
      <c r="AT1058" s="70"/>
      <c r="AU1058" s="22"/>
      <c r="AV1058" s="57"/>
      <c r="AW1058" s="57"/>
      <c r="AX1058" s="70"/>
      <c r="AY1058" s="29"/>
      <c r="AZ1058" s="30"/>
      <c r="CU1058" s="55"/>
      <c r="CV1058" s="55"/>
      <c r="CW1058" s="55"/>
      <c r="CX1058" s="55"/>
      <c r="CY1058" s="55"/>
      <c r="CZ1058" s="55"/>
      <c r="DA1058" s="82"/>
      <c r="DB1058" s="55"/>
      <c r="DC1058" s="55"/>
      <c r="DD1058" s="55"/>
      <c r="DE1058" s="55"/>
      <c r="DF1058" s="55"/>
      <c r="DG1058" s="55"/>
      <c r="DH1058" s="55"/>
      <c r="DI1058" s="55"/>
      <c r="DJ1058" s="55"/>
      <c r="DK1058" s="55"/>
      <c r="DL1058" s="55"/>
      <c r="DM1058" s="55"/>
      <c r="DN1058" s="55"/>
      <c r="DO1058" s="55"/>
      <c r="DP1058" s="55"/>
      <c r="DQ1058" s="55"/>
      <c r="DR1058" s="55"/>
      <c r="DS1058" s="55"/>
      <c r="DT1058" s="55"/>
      <c r="DU1058" s="55"/>
      <c r="DV1058" s="55"/>
      <c r="DW1058" s="55"/>
    </row>
    <row r="1059">
      <c r="A1059" s="41" t="s">
        <v>64</v>
      </c>
      <c r="B1059" s="41" t="s">
        <v>56</v>
      </c>
      <c r="C1059" s="31" t="s">
        <v>2387</v>
      </c>
      <c r="D1059" s="25" t="str">
        <f>IFERROR(__xludf.DUMMYFUNCTION("SPLIT(C1059,"" "")"),"Johnson,")</f>
        <v>Johnson,</v>
      </c>
      <c r="E1059" s="40" t="str">
        <f>IFERROR(__xludf.DUMMYFUNCTION("""COMPUTED_VALUE"""),"Willis
1001")</f>
        <v>Willis
1001</v>
      </c>
      <c r="F1059" s="40" t="str">
        <f>IFERROR(__xludf.DUMMYFUNCTION("""COMPUTED_VALUE"""),"Belleview")</f>
        <v>Belleview</v>
      </c>
      <c r="G1059" s="40" t="str">
        <f>IFERROR(__xludf.DUMMYFUNCTION("""COMPUTED_VALUE"""),"St
Dallas,")</f>
        <v>St
Dallas,</v>
      </c>
      <c r="H1059" s="40" t="str">
        <f>IFERROR(__xludf.DUMMYFUNCTION("""COMPUTED_VALUE"""),"TX")</f>
        <v>TX</v>
      </c>
      <c r="I1059" s="40">
        <f>IFERROR(__xludf.DUMMYFUNCTION("""COMPUTED_VALUE"""),75215.0)</f>
        <v>75215</v>
      </c>
      <c r="J1059" s="40"/>
      <c r="K1059" s="40"/>
      <c r="L1059" s="40"/>
      <c r="M1059" s="40"/>
      <c r="N1059" s="40"/>
      <c r="O1059" s="40"/>
      <c r="P1059" s="40"/>
      <c r="Q1059" s="40"/>
      <c r="R1059" s="40"/>
      <c r="S1059" s="40"/>
      <c r="T1059" s="40"/>
      <c r="U1059" s="24" t="str">
        <f>IFERROR(__xludf.DUMMYFUNCTION("SPLIT(E1059,""01234567890"")"),"Willis
")</f>
        <v>Willis
</v>
      </c>
      <c r="V1059" s="24" t="str">
        <f>IFERROR(__xludf.DUMMYFUNCTION("SPLIT(D1059,"","")"),"Johnson")</f>
        <v>Johnson</v>
      </c>
      <c r="W1059" s="25" t="str">
        <f t="shared" si="1"/>
        <v>WILLIS
 JOHNSON</v>
      </c>
      <c r="X1059" s="40"/>
      <c r="Y1059" s="40"/>
      <c r="Z1059" s="25" t="str">
        <f>IFERROR(__xludf.DUMMYFUNCTION("SPLIT(C1059,""
"")"),"Johnson, Willis")</f>
        <v>Johnson, Willis</v>
      </c>
      <c r="AA1059" s="40" t="str">
        <f>IFERROR(__xludf.DUMMYFUNCTION("""COMPUTED_VALUE"""),"1001 Belleview St")</f>
        <v>1001 Belleview St</v>
      </c>
      <c r="AB1059" s="40" t="str">
        <f>IFERROR(__xludf.DUMMYFUNCTION("""COMPUTED_VALUE"""),"Dallas, TX 75215")</f>
        <v>Dallas, TX 75215</v>
      </c>
      <c r="AC1059" s="31" t="s">
        <v>1476</v>
      </c>
      <c r="AD1059" s="40"/>
      <c r="AE1059" s="40"/>
      <c r="AF1059" s="40"/>
      <c r="AG1059" s="40" t="s">
        <v>60</v>
      </c>
      <c r="AH1059" s="42">
        <v>2484.0</v>
      </c>
      <c r="AI1059" s="40" t="s">
        <v>68</v>
      </c>
      <c r="AJ1059" s="27">
        <v>500.0</v>
      </c>
      <c r="AK1059" s="31" t="s">
        <v>28</v>
      </c>
      <c r="AL1059" s="43">
        <v>44900.0</v>
      </c>
      <c r="AM1059" s="44">
        <v>44937.871145833335</v>
      </c>
      <c r="AN1059" s="30">
        <v>2.0</v>
      </c>
      <c r="AO1059" s="40"/>
      <c r="AP1059" s="40"/>
      <c r="AQ1059" s="40"/>
      <c r="AR1059" s="40"/>
      <c r="AS1059" s="40"/>
      <c r="AT1059" s="47"/>
      <c r="AU1059" s="40"/>
      <c r="AV1059" s="46"/>
      <c r="AW1059" s="46"/>
      <c r="AX1059" s="47"/>
      <c r="AY1059" s="44"/>
      <c r="AZ1059" s="30"/>
      <c r="CU1059" s="55"/>
      <c r="CV1059" s="55"/>
      <c r="CW1059" s="55"/>
      <c r="CX1059" s="55"/>
      <c r="CY1059" s="55"/>
      <c r="CZ1059" s="55"/>
      <c r="DA1059" s="82"/>
      <c r="DB1059" s="55"/>
      <c r="DC1059" s="55"/>
      <c r="DD1059" s="55"/>
      <c r="DE1059" s="55"/>
      <c r="DF1059" s="55"/>
      <c r="DG1059" s="55"/>
      <c r="DH1059" s="55"/>
      <c r="DI1059" s="55"/>
      <c r="DJ1059" s="55"/>
      <c r="DK1059" s="55"/>
      <c r="DL1059" s="55"/>
      <c r="DM1059" s="55"/>
      <c r="DN1059" s="55"/>
      <c r="DO1059" s="55"/>
      <c r="DP1059" s="55"/>
      <c r="DQ1059" s="55"/>
      <c r="DR1059" s="55"/>
      <c r="DS1059" s="55"/>
      <c r="DT1059" s="55"/>
      <c r="DU1059" s="55"/>
      <c r="DV1059" s="55"/>
      <c r="DW1059" s="55"/>
    </row>
    <row r="1060">
      <c r="A1060" s="23" t="s">
        <v>64</v>
      </c>
      <c r="B1060" s="23" t="s">
        <v>56</v>
      </c>
      <c r="C1060" s="31" t="s">
        <v>2387</v>
      </c>
      <c r="D1060" s="25" t="str">
        <f>IFERROR(__xludf.DUMMYFUNCTION("SPLIT(C1060,"" "")"),"Johnson,")</f>
        <v>Johnson,</v>
      </c>
      <c r="E1060" s="22" t="str">
        <f>IFERROR(__xludf.DUMMYFUNCTION("""COMPUTED_VALUE"""),"Willis
1001")</f>
        <v>Willis
1001</v>
      </c>
      <c r="F1060" s="22" t="str">
        <f>IFERROR(__xludf.DUMMYFUNCTION("""COMPUTED_VALUE"""),"Belleview")</f>
        <v>Belleview</v>
      </c>
      <c r="G1060" s="22" t="str">
        <f>IFERROR(__xludf.DUMMYFUNCTION("""COMPUTED_VALUE"""),"St
Dallas,")</f>
        <v>St
Dallas,</v>
      </c>
      <c r="H1060" s="22" t="str">
        <f>IFERROR(__xludf.DUMMYFUNCTION("""COMPUTED_VALUE"""),"TX")</f>
        <v>TX</v>
      </c>
      <c r="I1060" s="22">
        <f>IFERROR(__xludf.DUMMYFUNCTION("""COMPUTED_VALUE"""),75215.0)</f>
        <v>75215</v>
      </c>
      <c r="J1060" s="22"/>
      <c r="K1060" s="22"/>
      <c r="L1060" s="22"/>
      <c r="M1060" s="22"/>
      <c r="N1060" s="22"/>
      <c r="O1060" s="22"/>
      <c r="P1060" s="22"/>
      <c r="Q1060" s="22"/>
      <c r="R1060" s="22"/>
      <c r="S1060" s="22"/>
      <c r="T1060" s="22"/>
      <c r="U1060" s="24" t="str">
        <f>IFERROR(__xludf.DUMMYFUNCTION("SPLIT(E1060,""01234567890"")"),"Willis
")</f>
        <v>Willis
</v>
      </c>
      <c r="V1060" s="24" t="str">
        <f>IFERROR(__xludf.DUMMYFUNCTION("SPLIT(D1060,"","")"),"Johnson")</f>
        <v>Johnson</v>
      </c>
      <c r="W1060" s="25" t="str">
        <f t="shared" si="1"/>
        <v>WILLIS
 JOHNSON</v>
      </c>
      <c r="X1060" s="22"/>
      <c r="Y1060" s="22"/>
      <c r="Z1060" s="25" t="str">
        <f>IFERROR(__xludf.DUMMYFUNCTION("SPLIT(C1060,""
"")"),"Johnson, Willis")</f>
        <v>Johnson, Willis</v>
      </c>
      <c r="AA1060" s="22" t="str">
        <f>IFERROR(__xludf.DUMMYFUNCTION("""COMPUTED_VALUE"""),"1001 Belleview St")</f>
        <v>1001 Belleview St</v>
      </c>
      <c r="AB1060" s="22" t="str">
        <f>IFERROR(__xludf.DUMMYFUNCTION("""COMPUTED_VALUE"""),"Dallas, TX 75215")</f>
        <v>Dallas, TX 75215</v>
      </c>
      <c r="AC1060" s="31" t="s">
        <v>1476</v>
      </c>
      <c r="AD1060" s="22"/>
      <c r="AE1060" s="22"/>
      <c r="AF1060" s="22"/>
      <c r="AG1060" s="22" t="s">
        <v>60</v>
      </c>
      <c r="AH1060" s="54">
        <v>2484.0</v>
      </c>
      <c r="AI1060" s="22" t="s">
        <v>68</v>
      </c>
      <c r="AJ1060" s="27">
        <v>500.0</v>
      </c>
      <c r="AK1060" s="31" t="s">
        <v>28</v>
      </c>
      <c r="AL1060" s="28">
        <v>44900.0</v>
      </c>
      <c r="AM1060" s="29">
        <v>44937.871145833335</v>
      </c>
      <c r="AN1060" s="30">
        <v>2.0</v>
      </c>
      <c r="AO1060" s="22"/>
      <c r="AP1060" s="22"/>
      <c r="AQ1060" s="22"/>
      <c r="AR1060" s="22"/>
      <c r="AS1060" s="22"/>
      <c r="AT1060" s="70"/>
      <c r="AU1060" s="22"/>
      <c r="AV1060" s="57"/>
      <c r="AW1060" s="57"/>
      <c r="AX1060" s="70"/>
      <c r="AY1060" s="29"/>
      <c r="AZ1060" s="30"/>
      <c r="CU1060" s="55"/>
      <c r="CV1060" s="55"/>
      <c r="CW1060" s="55"/>
      <c r="CX1060" s="55"/>
      <c r="CY1060" s="55"/>
      <c r="CZ1060" s="55"/>
      <c r="DA1060" s="82"/>
      <c r="DB1060" s="55"/>
      <c r="DC1060" s="55"/>
      <c r="DD1060" s="55"/>
      <c r="DE1060" s="55"/>
      <c r="DF1060" s="55"/>
      <c r="DG1060" s="55"/>
      <c r="DH1060" s="55"/>
      <c r="DI1060" s="55"/>
      <c r="DJ1060" s="55"/>
      <c r="DK1060" s="55"/>
      <c r="DL1060" s="55"/>
      <c r="DM1060" s="55"/>
      <c r="DN1060" s="55"/>
      <c r="DO1060" s="55"/>
      <c r="DP1060" s="55"/>
      <c r="DQ1060" s="55"/>
      <c r="DR1060" s="55"/>
      <c r="DS1060" s="55"/>
      <c r="DT1060" s="55"/>
      <c r="DU1060" s="55"/>
      <c r="DV1060" s="55"/>
      <c r="DW1060" s="55"/>
    </row>
    <row r="1061">
      <c r="A1061" s="41" t="s">
        <v>64</v>
      </c>
      <c r="B1061" s="41" t="s">
        <v>56</v>
      </c>
      <c r="C1061" s="31" t="s">
        <v>2441</v>
      </c>
      <c r="D1061" s="25" t="str">
        <f>IFERROR(__xludf.DUMMYFUNCTION("SPLIT(C1061,"" "")"),"Stein,")</f>
        <v>Stein,</v>
      </c>
      <c r="E1061" s="40" t="str">
        <f>IFERROR(__xludf.DUMMYFUNCTION("""COMPUTED_VALUE"""),"Sheldon
9338")</f>
        <v>Sheldon
9338</v>
      </c>
      <c r="F1061" s="40" t="str">
        <f>IFERROR(__xludf.DUMMYFUNCTION("""COMPUTED_VALUE"""),"Meadowbrook")</f>
        <v>Meadowbrook</v>
      </c>
      <c r="G1061" s="40" t="str">
        <f>IFERROR(__xludf.DUMMYFUNCTION("""COMPUTED_VALUE"""),"Dr
Dallas,")</f>
        <v>Dr
Dallas,</v>
      </c>
      <c r="H1061" s="40" t="str">
        <f>IFERROR(__xludf.DUMMYFUNCTION("""COMPUTED_VALUE"""),"TX")</f>
        <v>TX</v>
      </c>
      <c r="I1061" s="40">
        <f>IFERROR(__xludf.DUMMYFUNCTION("""COMPUTED_VALUE"""),75220.0)</f>
        <v>75220</v>
      </c>
      <c r="J1061" s="40"/>
      <c r="K1061" s="40"/>
      <c r="L1061" s="40"/>
      <c r="M1061" s="40"/>
      <c r="N1061" s="40"/>
      <c r="O1061" s="40"/>
      <c r="P1061" s="40"/>
      <c r="Q1061" s="40"/>
      <c r="R1061" s="40"/>
      <c r="S1061" s="40"/>
      <c r="T1061" s="40"/>
      <c r="U1061" s="24" t="str">
        <f>IFERROR(__xludf.DUMMYFUNCTION("SPLIT(E1061,""01234567890"")"),"Sheldon
")</f>
        <v>Sheldon
</v>
      </c>
      <c r="V1061" s="24" t="str">
        <f>IFERROR(__xludf.DUMMYFUNCTION("SPLIT(D1061,"","")"),"Stein")</f>
        <v>Stein</v>
      </c>
      <c r="W1061" s="25" t="str">
        <f t="shared" si="1"/>
        <v>SHELDON
 STEIN</v>
      </c>
      <c r="X1061" s="40"/>
      <c r="Y1061" s="40"/>
      <c r="Z1061" s="25" t="str">
        <f>IFERROR(__xludf.DUMMYFUNCTION("SPLIT(C1061,""
"")"),"Stein, Sheldon")</f>
        <v>Stein, Sheldon</v>
      </c>
      <c r="AA1061" s="40" t="str">
        <f>IFERROR(__xludf.DUMMYFUNCTION("""COMPUTED_VALUE"""),"9338 Meadowbrook Dr")</f>
        <v>9338 Meadowbrook Dr</v>
      </c>
      <c r="AB1061" s="40" t="str">
        <f>IFERROR(__xludf.DUMMYFUNCTION("""COMPUTED_VALUE"""),"Dallas, TX 75220")</f>
        <v>Dallas, TX 75220</v>
      </c>
      <c r="AC1061" s="31" t="s">
        <v>969</v>
      </c>
      <c r="AD1061" s="40"/>
      <c r="AE1061" s="40"/>
      <c r="AF1061" s="40"/>
      <c r="AG1061" s="40" t="s">
        <v>60</v>
      </c>
      <c r="AH1061" s="42">
        <v>2484.0</v>
      </c>
      <c r="AI1061" s="40" t="s">
        <v>68</v>
      </c>
      <c r="AJ1061" s="27">
        <v>1000.0</v>
      </c>
      <c r="AK1061" s="31" t="s">
        <v>28</v>
      </c>
      <c r="AL1061" s="43">
        <v>44898.0</v>
      </c>
      <c r="AM1061" s="44">
        <v>44937.871145833335</v>
      </c>
      <c r="AN1061" s="30">
        <v>2.0</v>
      </c>
      <c r="AO1061" s="40"/>
      <c r="AP1061" s="40"/>
      <c r="AQ1061" s="40"/>
      <c r="AR1061" s="40"/>
      <c r="AS1061" s="40"/>
      <c r="AT1061" s="47"/>
      <c r="AU1061" s="40"/>
      <c r="AV1061" s="46"/>
      <c r="AW1061" s="46"/>
      <c r="AX1061" s="47"/>
      <c r="AY1061" s="44"/>
      <c r="AZ1061" s="30"/>
      <c r="CU1061" s="55"/>
      <c r="CV1061" s="55"/>
      <c r="CW1061" s="55"/>
      <c r="CX1061" s="55"/>
      <c r="CY1061" s="55"/>
      <c r="CZ1061" s="55"/>
      <c r="DA1061" s="82"/>
      <c r="DB1061" s="55"/>
      <c r="DC1061" s="55"/>
      <c r="DD1061" s="55"/>
      <c r="DE1061" s="55"/>
      <c r="DF1061" s="55"/>
      <c r="DG1061" s="55"/>
      <c r="DH1061" s="55"/>
      <c r="DI1061" s="55"/>
      <c r="DJ1061" s="55"/>
      <c r="DK1061" s="55"/>
      <c r="DL1061" s="55"/>
      <c r="DM1061" s="55"/>
      <c r="DN1061" s="55"/>
      <c r="DO1061" s="55"/>
      <c r="DP1061" s="55"/>
      <c r="DQ1061" s="55"/>
      <c r="DR1061" s="55"/>
      <c r="DS1061" s="55"/>
      <c r="DT1061" s="55"/>
      <c r="DU1061" s="55"/>
      <c r="DV1061" s="55"/>
      <c r="DW1061" s="55"/>
    </row>
    <row r="1062">
      <c r="A1062" s="23" t="s">
        <v>64</v>
      </c>
      <c r="B1062" s="23" t="s">
        <v>56</v>
      </c>
      <c r="C1062" s="31" t="s">
        <v>2441</v>
      </c>
      <c r="D1062" s="25" t="str">
        <f>IFERROR(__xludf.DUMMYFUNCTION("SPLIT(C1062,"" "")"),"Stein,")</f>
        <v>Stein,</v>
      </c>
      <c r="E1062" s="22" t="str">
        <f>IFERROR(__xludf.DUMMYFUNCTION("""COMPUTED_VALUE"""),"Sheldon
9338")</f>
        <v>Sheldon
9338</v>
      </c>
      <c r="F1062" s="22" t="str">
        <f>IFERROR(__xludf.DUMMYFUNCTION("""COMPUTED_VALUE"""),"Meadowbrook")</f>
        <v>Meadowbrook</v>
      </c>
      <c r="G1062" s="22" t="str">
        <f>IFERROR(__xludf.DUMMYFUNCTION("""COMPUTED_VALUE"""),"Dr
Dallas,")</f>
        <v>Dr
Dallas,</v>
      </c>
      <c r="H1062" s="22" t="str">
        <f>IFERROR(__xludf.DUMMYFUNCTION("""COMPUTED_VALUE"""),"TX")</f>
        <v>TX</v>
      </c>
      <c r="I1062" s="22">
        <f>IFERROR(__xludf.DUMMYFUNCTION("""COMPUTED_VALUE"""),75220.0)</f>
        <v>75220</v>
      </c>
      <c r="J1062" s="22"/>
      <c r="K1062" s="22"/>
      <c r="L1062" s="22"/>
      <c r="M1062" s="22"/>
      <c r="N1062" s="22"/>
      <c r="O1062" s="22"/>
      <c r="P1062" s="22"/>
      <c r="Q1062" s="22"/>
      <c r="R1062" s="22"/>
      <c r="S1062" s="22"/>
      <c r="T1062" s="22"/>
      <c r="U1062" s="24" t="str">
        <f>IFERROR(__xludf.DUMMYFUNCTION("SPLIT(E1062,""01234567890"")"),"Sheldon
")</f>
        <v>Sheldon
</v>
      </c>
      <c r="V1062" s="24" t="str">
        <f>IFERROR(__xludf.DUMMYFUNCTION("SPLIT(D1062,"","")"),"Stein")</f>
        <v>Stein</v>
      </c>
      <c r="W1062" s="25" t="str">
        <f t="shared" si="1"/>
        <v>SHELDON
 STEIN</v>
      </c>
      <c r="X1062" s="22"/>
      <c r="Y1062" s="22"/>
      <c r="Z1062" s="25" t="str">
        <f>IFERROR(__xludf.DUMMYFUNCTION("SPLIT(C1062,""
"")"),"Stein, Sheldon")</f>
        <v>Stein, Sheldon</v>
      </c>
      <c r="AA1062" s="22" t="str">
        <f>IFERROR(__xludf.DUMMYFUNCTION("""COMPUTED_VALUE"""),"9338 Meadowbrook Dr")</f>
        <v>9338 Meadowbrook Dr</v>
      </c>
      <c r="AB1062" s="22" t="str">
        <f>IFERROR(__xludf.DUMMYFUNCTION("""COMPUTED_VALUE"""),"Dallas, TX 75220")</f>
        <v>Dallas, TX 75220</v>
      </c>
      <c r="AC1062" s="31" t="s">
        <v>969</v>
      </c>
      <c r="AD1062" s="22"/>
      <c r="AE1062" s="22"/>
      <c r="AF1062" s="22"/>
      <c r="AG1062" s="22" t="s">
        <v>60</v>
      </c>
      <c r="AH1062" s="54">
        <v>2484.0</v>
      </c>
      <c r="AI1062" s="22" t="s">
        <v>68</v>
      </c>
      <c r="AJ1062" s="27">
        <v>1000.0</v>
      </c>
      <c r="AK1062" s="31" t="s">
        <v>28</v>
      </c>
      <c r="AL1062" s="28">
        <v>44898.0</v>
      </c>
      <c r="AM1062" s="29">
        <v>44937.871145833335</v>
      </c>
      <c r="AN1062" s="30">
        <v>2.0</v>
      </c>
      <c r="AO1062" s="22"/>
      <c r="AP1062" s="22"/>
      <c r="AQ1062" s="22"/>
      <c r="AR1062" s="22"/>
      <c r="AS1062" s="22"/>
      <c r="AT1062" s="70"/>
      <c r="AU1062" s="22"/>
      <c r="AV1062" s="57"/>
      <c r="AW1062" s="57"/>
      <c r="AX1062" s="70"/>
      <c r="AY1062" s="29"/>
      <c r="AZ1062" s="30"/>
      <c r="CU1062" s="55"/>
      <c r="CV1062" s="55"/>
      <c r="CW1062" s="55"/>
      <c r="CX1062" s="55"/>
      <c r="CY1062" s="55"/>
      <c r="CZ1062" s="55"/>
      <c r="DA1062" s="82"/>
      <c r="DB1062" s="55"/>
      <c r="DC1062" s="55"/>
      <c r="DD1062" s="55"/>
      <c r="DE1062" s="55"/>
      <c r="DF1062" s="55"/>
      <c r="DG1062" s="55"/>
      <c r="DH1062" s="55"/>
      <c r="DI1062" s="55"/>
      <c r="DJ1062" s="55"/>
      <c r="DK1062" s="55"/>
      <c r="DL1062" s="55"/>
      <c r="DM1062" s="55"/>
      <c r="DN1062" s="55"/>
      <c r="DO1062" s="55"/>
      <c r="DP1062" s="55"/>
      <c r="DQ1062" s="55"/>
      <c r="DR1062" s="55"/>
      <c r="DS1062" s="55"/>
      <c r="DT1062" s="55"/>
      <c r="DU1062" s="55"/>
      <c r="DV1062" s="55"/>
      <c r="DW1062" s="55"/>
    </row>
    <row r="1063">
      <c r="A1063" s="41" t="s">
        <v>64</v>
      </c>
      <c r="B1063" s="41" t="s">
        <v>56</v>
      </c>
      <c r="C1063" s="31" t="s">
        <v>2442</v>
      </c>
      <c r="D1063" s="25" t="str">
        <f>IFERROR(__xludf.DUMMYFUNCTION("SPLIT(C1063,"" "")"),"Stein,")</f>
        <v>Stein,</v>
      </c>
      <c r="E1063" s="40" t="str">
        <f>IFERROR(__xludf.DUMMYFUNCTION("""COMPUTED_VALUE"""),"Barbara
9338")</f>
        <v>Barbara
9338</v>
      </c>
      <c r="F1063" s="40" t="str">
        <f>IFERROR(__xludf.DUMMYFUNCTION("""COMPUTED_VALUE"""),"Meadowbrook")</f>
        <v>Meadowbrook</v>
      </c>
      <c r="G1063" s="40" t="str">
        <f>IFERROR(__xludf.DUMMYFUNCTION("""COMPUTED_VALUE"""),"Dr
Dallas,")</f>
        <v>Dr
Dallas,</v>
      </c>
      <c r="H1063" s="40" t="str">
        <f>IFERROR(__xludf.DUMMYFUNCTION("""COMPUTED_VALUE"""),"TX")</f>
        <v>TX</v>
      </c>
      <c r="I1063" s="40">
        <f>IFERROR(__xludf.DUMMYFUNCTION("""COMPUTED_VALUE"""),75220.0)</f>
        <v>75220</v>
      </c>
      <c r="J1063" s="40"/>
      <c r="K1063" s="40"/>
      <c r="L1063" s="40"/>
      <c r="M1063" s="40"/>
      <c r="N1063" s="40"/>
      <c r="O1063" s="40"/>
      <c r="P1063" s="40"/>
      <c r="Q1063" s="40"/>
      <c r="R1063" s="40"/>
      <c r="S1063" s="40"/>
      <c r="T1063" s="40"/>
      <c r="U1063" s="24" t="str">
        <f>IFERROR(__xludf.DUMMYFUNCTION("SPLIT(E1063,""01234567890"")"),"Barbara
")</f>
        <v>Barbara
</v>
      </c>
      <c r="V1063" s="24" t="str">
        <f>IFERROR(__xludf.DUMMYFUNCTION("SPLIT(D1063,"","")"),"Stein")</f>
        <v>Stein</v>
      </c>
      <c r="W1063" s="25" t="str">
        <f t="shared" si="1"/>
        <v>BARBARA
 STEIN</v>
      </c>
      <c r="X1063" s="40"/>
      <c r="Y1063" s="40"/>
      <c r="Z1063" s="25" t="str">
        <f>IFERROR(__xludf.DUMMYFUNCTION("SPLIT(C1063,""
"")"),"Stein, Barbara")</f>
        <v>Stein, Barbara</v>
      </c>
      <c r="AA1063" s="40" t="str">
        <f>IFERROR(__xludf.DUMMYFUNCTION("""COMPUTED_VALUE"""),"9338 Meadowbrook Dr")</f>
        <v>9338 Meadowbrook Dr</v>
      </c>
      <c r="AB1063" s="40" t="str">
        <f>IFERROR(__xludf.DUMMYFUNCTION("""COMPUTED_VALUE"""),"Dallas, TX 75220")</f>
        <v>Dallas, TX 75220</v>
      </c>
      <c r="AC1063" s="31" t="s">
        <v>2443</v>
      </c>
      <c r="AD1063" s="40"/>
      <c r="AE1063" s="40"/>
      <c r="AF1063" s="40"/>
      <c r="AG1063" s="40" t="s">
        <v>60</v>
      </c>
      <c r="AH1063" s="42">
        <v>2484.0</v>
      </c>
      <c r="AI1063" s="40" t="s">
        <v>68</v>
      </c>
      <c r="AJ1063" s="27">
        <v>1000.0</v>
      </c>
      <c r="AK1063" s="31" t="s">
        <v>28</v>
      </c>
      <c r="AL1063" s="43">
        <v>44898.0</v>
      </c>
      <c r="AM1063" s="44">
        <v>44937.871145833335</v>
      </c>
      <c r="AN1063" s="30">
        <v>2.0</v>
      </c>
      <c r="AO1063" s="40"/>
      <c r="AP1063" s="40"/>
      <c r="AQ1063" s="40"/>
      <c r="AR1063" s="40"/>
      <c r="AS1063" s="40"/>
      <c r="AT1063" s="47"/>
      <c r="AU1063" s="40"/>
      <c r="AV1063" s="46"/>
      <c r="AW1063" s="46"/>
      <c r="AX1063" s="47"/>
      <c r="AY1063" s="44"/>
      <c r="AZ1063" s="30"/>
      <c r="CU1063" s="55"/>
      <c r="CV1063" s="55"/>
      <c r="CW1063" s="55"/>
      <c r="CX1063" s="55"/>
      <c r="CY1063" s="55"/>
      <c r="CZ1063" s="55"/>
      <c r="DA1063" s="82"/>
      <c r="DB1063" s="55"/>
      <c r="DC1063" s="55"/>
      <c r="DD1063" s="55"/>
      <c r="DE1063" s="55"/>
      <c r="DF1063" s="55"/>
      <c r="DG1063" s="55"/>
      <c r="DH1063" s="55"/>
      <c r="DI1063" s="55"/>
      <c r="DJ1063" s="55"/>
      <c r="DK1063" s="55"/>
      <c r="DL1063" s="55"/>
      <c r="DM1063" s="55"/>
      <c r="DN1063" s="55"/>
      <c r="DO1063" s="55"/>
      <c r="DP1063" s="55"/>
      <c r="DQ1063" s="55"/>
      <c r="DR1063" s="55"/>
      <c r="DS1063" s="55"/>
      <c r="DT1063" s="55"/>
      <c r="DU1063" s="55"/>
      <c r="DV1063" s="55"/>
      <c r="DW1063" s="55"/>
    </row>
    <row r="1064">
      <c r="A1064" s="23" t="s">
        <v>64</v>
      </c>
      <c r="B1064" s="23" t="s">
        <v>56</v>
      </c>
      <c r="C1064" s="31" t="s">
        <v>2442</v>
      </c>
      <c r="D1064" s="25" t="str">
        <f>IFERROR(__xludf.DUMMYFUNCTION("SPLIT(C1064,"" "")"),"Stein,")</f>
        <v>Stein,</v>
      </c>
      <c r="E1064" s="22" t="str">
        <f>IFERROR(__xludf.DUMMYFUNCTION("""COMPUTED_VALUE"""),"Barbara
9338")</f>
        <v>Barbara
9338</v>
      </c>
      <c r="F1064" s="22" t="str">
        <f>IFERROR(__xludf.DUMMYFUNCTION("""COMPUTED_VALUE"""),"Meadowbrook")</f>
        <v>Meadowbrook</v>
      </c>
      <c r="G1064" s="22" t="str">
        <f>IFERROR(__xludf.DUMMYFUNCTION("""COMPUTED_VALUE"""),"Dr
Dallas,")</f>
        <v>Dr
Dallas,</v>
      </c>
      <c r="H1064" s="22" t="str">
        <f>IFERROR(__xludf.DUMMYFUNCTION("""COMPUTED_VALUE"""),"TX")</f>
        <v>TX</v>
      </c>
      <c r="I1064" s="22">
        <f>IFERROR(__xludf.DUMMYFUNCTION("""COMPUTED_VALUE"""),75220.0)</f>
        <v>75220</v>
      </c>
      <c r="J1064" s="22"/>
      <c r="K1064" s="22"/>
      <c r="L1064" s="22"/>
      <c r="M1064" s="22"/>
      <c r="N1064" s="22"/>
      <c r="O1064" s="22"/>
      <c r="P1064" s="22"/>
      <c r="Q1064" s="22"/>
      <c r="R1064" s="22"/>
      <c r="S1064" s="22"/>
      <c r="T1064" s="22"/>
      <c r="U1064" s="24" t="str">
        <f>IFERROR(__xludf.DUMMYFUNCTION("SPLIT(E1064,""01234567890"")"),"Barbara
")</f>
        <v>Barbara
</v>
      </c>
      <c r="V1064" s="24" t="str">
        <f>IFERROR(__xludf.DUMMYFUNCTION("SPLIT(D1064,"","")"),"Stein")</f>
        <v>Stein</v>
      </c>
      <c r="W1064" s="25" t="str">
        <f t="shared" si="1"/>
        <v>BARBARA
 STEIN</v>
      </c>
      <c r="X1064" s="22"/>
      <c r="Y1064" s="22"/>
      <c r="Z1064" s="25" t="str">
        <f>IFERROR(__xludf.DUMMYFUNCTION("SPLIT(C1064,""
"")"),"Stein, Barbara")</f>
        <v>Stein, Barbara</v>
      </c>
      <c r="AA1064" s="22" t="str">
        <f>IFERROR(__xludf.DUMMYFUNCTION("""COMPUTED_VALUE"""),"9338 Meadowbrook Dr")</f>
        <v>9338 Meadowbrook Dr</v>
      </c>
      <c r="AB1064" s="22" t="str">
        <f>IFERROR(__xludf.DUMMYFUNCTION("""COMPUTED_VALUE"""),"Dallas, TX 75220")</f>
        <v>Dallas, TX 75220</v>
      </c>
      <c r="AC1064" s="31" t="s">
        <v>2443</v>
      </c>
      <c r="AD1064" s="22"/>
      <c r="AE1064" s="22"/>
      <c r="AF1064" s="22"/>
      <c r="AG1064" s="22" t="s">
        <v>60</v>
      </c>
      <c r="AH1064" s="54">
        <v>2484.0</v>
      </c>
      <c r="AI1064" s="22" t="s">
        <v>68</v>
      </c>
      <c r="AJ1064" s="27">
        <v>1000.0</v>
      </c>
      <c r="AK1064" s="31" t="s">
        <v>28</v>
      </c>
      <c r="AL1064" s="28">
        <v>44898.0</v>
      </c>
      <c r="AM1064" s="29">
        <v>44937.871145833335</v>
      </c>
      <c r="AN1064" s="30">
        <v>2.0</v>
      </c>
      <c r="AO1064" s="22"/>
      <c r="AP1064" s="22"/>
      <c r="AQ1064" s="22"/>
      <c r="AR1064" s="22"/>
      <c r="AS1064" s="22"/>
      <c r="AT1064" s="70"/>
      <c r="AU1064" s="22"/>
      <c r="AV1064" s="57"/>
      <c r="AW1064" s="57"/>
      <c r="AX1064" s="70"/>
      <c r="AY1064" s="29"/>
      <c r="AZ1064" s="30"/>
      <c r="CU1064" s="55"/>
      <c r="CV1064" s="55"/>
      <c r="CW1064" s="55"/>
      <c r="CX1064" s="55"/>
      <c r="CY1064" s="55"/>
      <c r="CZ1064" s="55"/>
      <c r="DA1064" s="82"/>
      <c r="DB1064" s="55"/>
      <c r="DC1064" s="55"/>
      <c r="DD1064" s="55"/>
      <c r="DE1064" s="55"/>
      <c r="DF1064" s="55"/>
      <c r="DG1064" s="55"/>
      <c r="DH1064" s="55"/>
      <c r="DI1064" s="55"/>
      <c r="DJ1064" s="55"/>
      <c r="DK1064" s="55"/>
      <c r="DL1064" s="55"/>
      <c r="DM1064" s="55"/>
      <c r="DN1064" s="55"/>
      <c r="DO1064" s="55"/>
      <c r="DP1064" s="55"/>
      <c r="DQ1064" s="55"/>
      <c r="DR1064" s="55"/>
      <c r="DS1064" s="55"/>
      <c r="DT1064" s="55"/>
      <c r="DU1064" s="55"/>
      <c r="DV1064" s="55"/>
      <c r="DW1064" s="55"/>
    </row>
    <row r="1065">
      <c r="A1065" s="41" t="s">
        <v>64</v>
      </c>
      <c r="B1065" s="41" t="s">
        <v>56</v>
      </c>
      <c r="C1065" s="31" t="s">
        <v>2444</v>
      </c>
      <c r="D1065" s="25" t="str">
        <f>IFERROR(__xludf.DUMMYFUNCTION("SPLIT(C1065,"" "")"),"Burk,")</f>
        <v>Burk,</v>
      </c>
      <c r="E1065" s="40" t="str">
        <f>IFERROR(__xludf.DUMMYFUNCTION("""COMPUTED_VALUE"""),"Leland
5311")</f>
        <v>Leland
5311</v>
      </c>
      <c r="F1065" s="40" t="str">
        <f>IFERROR(__xludf.DUMMYFUNCTION("""COMPUTED_VALUE"""),"Park")</f>
        <v>Park</v>
      </c>
      <c r="G1065" s="40" t="str">
        <f>IFERROR(__xludf.DUMMYFUNCTION("""COMPUTED_VALUE"""),"Ln
Dallas,")</f>
        <v>Ln
Dallas,</v>
      </c>
      <c r="H1065" s="40" t="str">
        <f>IFERROR(__xludf.DUMMYFUNCTION("""COMPUTED_VALUE"""),"TX")</f>
        <v>TX</v>
      </c>
      <c r="I1065" s="40">
        <f>IFERROR(__xludf.DUMMYFUNCTION("""COMPUTED_VALUE"""),75220.0)</f>
        <v>75220</v>
      </c>
      <c r="J1065" s="40"/>
      <c r="K1065" s="40"/>
      <c r="L1065" s="40"/>
      <c r="M1065" s="40"/>
      <c r="N1065" s="40"/>
      <c r="O1065" s="40"/>
      <c r="P1065" s="40"/>
      <c r="Q1065" s="40"/>
      <c r="R1065" s="40"/>
      <c r="S1065" s="40"/>
      <c r="T1065" s="40"/>
      <c r="U1065" s="24" t="str">
        <f>IFERROR(__xludf.DUMMYFUNCTION("SPLIT(E1065,""01234567890"")"),"Leland
")</f>
        <v>Leland
</v>
      </c>
      <c r="V1065" s="24" t="str">
        <f>IFERROR(__xludf.DUMMYFUNCTION("SPLIT(D1065,"","")"),"Burk")</f>
        <v>Burk</v>
      </c>
      <c r="W1065" s="25" t="str">
        <f t="shared" si="1"/>
        <v>LELAND
 BURK</v>
      </c>
      <c r="X1065" s="40"/>
      <c r="Y1065" s="40"/>
      <c r="Z1065" s="25" t="str">
        <f>IFERROR(__xludf.DUMMYFUNCTION("SPLIT(C1065,""
"")"),"Burk, Leland")</f>
        <v>Burk, Leland</v>
      </c>
      <c r="AA1065" s="40" t="str">
        <f>IFERROR(__xludf.DUMMYFUNCTION("""COMPUTED_VALUE"""),"5311 Park Ln")</f>
        <v>5311 Park Ln</v>
      </c>
      <c r="AB1065" s="40" t="str">
        <f>IFERROR(__xludf.DUMMYFUNCTION("""COMPUTED_VALUE"""),"Dallas, TX 75220")</f>
        <v>Dallas, TX 75220</v>
      </c>
      <c r="AC1065" s="31" t="s">
        <v>2445</v>
      </c>
      <c r="AD1065" s="40"/>
      <c r="AE1065" s="40"/>
      <c r="AF1065" s="40"/>
      <c r="AG1065" s="40" t="s">
        <v>60</v>
      </c>
      <c r="AH1065" s="42">
        <v>2484.0</v>
      </c>
      <c r="AI1065" s="40" t="s">
        <v>68</v>
      </c>
      <c r="AJ1065" s="27">
        <v>1000.0</v>
      </c>
      <c r="AK1065" s="31" t="s">
        <v>28</v>
      </c>
      <c r="AL1065" s="43">
        <v>44897.0</v>
      </c>
      <c r="AM1065" s="44">
        <v>44937.871145833335</v>
      </c>
      <c r="AN1065" s="30">
        <v>2.0</v>
      </c>
      <c r="AO1065" s="40"/>
      <c r="AP1065" s="40"/>
      <c r="AQ1065" s="40"/>
      <c r="AR1065" s="40"/>
      <c r="AS1065" s="40"/>
      <c r="AT1065" s="47"/>
      <c r="AU1065" s="40"/>
      <c r="AV1065" s="46"/>
      <c r="AW1065" s="46"/>
      <c r="AX1065" s="47"/>
      <c r="AY1065" s="44"/>
      <c r="AZ1065" s="30"/>
      <c r="CU1065" s="55"/>
      <c r="CV1065" s="55"/>
      <c r="CW1065" s="55"/>
      <c r="CX1065" s="55"/>
      <c r="CY1065" s="55"/>
      <c r="CZ1065" s="55"/>
      <c r="DA1065" s="82"/>
      <c r="DB1065" s="55"/>
      <c r="DC1065" s="55"/>
      <c r="DD1065" s="55"/>
      <c r="DE1065" s="55"/>
      <c r="DF1065" s="55"/>
      <c r="DG1065" s="55"/>
      <c r="DH1065" s="55"/>
      <c r="DI1065" s="55"/>
      <c r="DJ1065" s="55"/>
      <c r="DK1065" s="55"/>
      <c r="DL1065" s="55"/>
      <c r="DM1065" s="55"/>
      <c r="DN1065" s="55"/>
      <c r="DO1065" s="55"/>
      <c r="DP1065" s="55"/>
      <c r="DQ1065" s="55"/>
      <c r="DR1065" s="55"/>
      <c r="DS1065" s="55"/>
      <c r="DT1065" s="55"/>
      <c r="DU1065" s="55"/>
      <c r="DV1065" s="55"/>
      <c r="DW1065" s="55"/>
    </row>
    <row r="1066">
      <c r="A1066" s="23" t="s">
        <v>64</v>
      </c>
      <c r="B1066" s="23" t="s">
        <v>56</v>
      </c>
      <c r="C1066" s="31" t="s">
        <v>2444</v>
      </c>
      <c r="D1066" s="25" t="str">
        <f>IFERROR(__xludf.DUMMYFUNCTION("SPLIT(C1066,"" "")"),"Burk,")</f>
        <v>Burk,</v>
      </c>
      <c r="E1066" s="22" t="str">
        <f>IFERROR(__xludf.DUMMYFUNCTION("""COMPUTED_VALUE"""),"Leland
5311")</f>
        <v>Leland
5311</v>
      </c>
      <c r="F1066" s="22" t="str">
        <f>IFERROR(__xludf.DUMMYFUNCTION("""COMPUTED_VALUE"""),"Park")</f>
        <v>Park</v>
      </c>
      <c r="G1066" s="22" t="str">
        <f>IFERROR(__xludf.DUMMYFUNCTION("""COMPUTED_VALUE"""),"Ln
Dallas,")</f>
        <v>Ln
Dallas,</v>
      </c>
      <c r="H1066" s="22" t="str">
        <f>IFERROR(__xludf.DUMMYFUNCTION("""COMPUTED_VALUE"""),"TX")</f>
        <v>TX</v>
      </c>
      <c r="I1066" s="22">
        <f>IFERROR(__xludf.DUMMYFUNCTION("""COMPUTED_VALUE"""),75220.0)</f>
        <v>75220</v>
      </c>
      <c r="J1066" s="22"/>
      <c r="K1066" s="22"/>
      <c r="L1066" s="22"/>
      <c r="M1066" s="22"/>
      <c r="N1066" s="22"/>
      <c r="O1066" s="22"/>
      <c r="P1066" s="22"/>
      <c r="Q1066" s="22"/>
      <c r="R1066" s="22"/>
      <c r="S1066" s="22"/>
      <c r="T1066" s="22"/>
      <c r="U1066" s="24" t="str">
        <f>IFERROR(__xludf.DUMMYFUNCTION("SPLIT(E1066,""01234567890"")"),"Leland
")</f>
        <v>Leland
</v>
      </c>
      <c r="V1066" s="24" t="str">
        <f>IFERROR(__xludf.DUMMYFUNCTION("SPLIT(D1066,"","")"),"Burk")</f>
        <v>Burk</v>
      </c>
      <c r="W1066" s="25" t="str">
        <f t="shared" si="1"/>
        <v>LELAND
 BURK</v>
      </c>
      <c r="X1066" s="22"/>
      <c r="Y1066" s="22"/>
      <c r="Z1066" s="25" t="str">
        <f>IFERROR(__xludf.DUMMYFUNCTION("SPLIT(C1066,""
"")"),"Burk, Leland")</f>
        <v>Burk, Leland</v>
      </c>
      <c r="AA1066" s="22" t="str">
        <f>IFERROR(__xludf.DUMMYFUNCTION("""COMPUTED_VALUE"""),"5311 Park Ln")</f>
        <v>5311 Park Ln</v>
      </c>
      <c r="AB1066" s="22" t="str">
        <f>IFERROR(__xludf.DUMMYFUNCTION("""COMPUTED_VALUE"""),"Dallas, TX 75220")</f>
        <v>Dallas, TX 75220</v>
      </c>
      <c r="AC1066" s="31" t="s">
        <v>2445</v>
      </c>
      <c r="AD1066" s="22"/>
      <c r="AE1066" s="22"/>
      <c r="AF1066" s="22"/>
      <c r="AG1066" s="22" t="s">
        <v>60</v>
      </c>
      <c r="AH1066" s="54">
        <v>2484.0</v>
      </c>
      <c r="AI1066" s="22" t="s">
        <v>68</v>
      </c>
      <c r="AJ1066" s="27">
        <v>1000.0</v>
      </c>
      <c r="AK1066" s="31" t="s">
        <v>28</v>
      </c>
      <c r="AL1066" s="28">
        <v>44897.0</v>
      </c>
      <c r="AM1066" s="29">
        <v>44937.871145833335</v>
      </c>
      <c r="AN1066" s="30">
        <v>2.0</v>
      </c>
      <c r="AO1066" s="22"/>
      <c r="AP1066" s="22"/>
      <c r="AQ1066" s="22"/>
      <c r="AR1066" s="22"/>
      <c r="AS1066" s="22"/>
      <c r="AT1066" s="70"/>
      <c r="AU1066" s="22"/>
      <c r="AV1066" s="57"/>
      <c r="AW1066" s="57"/>
      <c r="AX1066" s="70"/>
      <c r="AY1066" s="29"/>
      <c r="AZ1066" s="30"/>
      <c r="CU1066" s="55"/>
      <c r="CV1066" s="55"/>
      <c r="CW1066" s="55"/>
      <c r="CX1066" s="55"/>
      <c r="CY1066" s="55"/>
      <c r="CZ1066" s="55"/>
      <c r="DA1066" s="82"/>
      <c r="DB1066" s="55"/>
      <c r="DC1066" s="55"/>
      <c r="DD1066" s="55"/>
      <c r="DE1066" s="55"/>
      <c r="DF1066" s="55"/>
      <c r="DG1066" s="55"/>
      <c r="DH1066" s="55"/>
      <c r="DI1066" s="55"/>
      <c r="DJ1066" s="55"/>
      <c r="DK1066" s="55"/>
      <c r="DL1066" s="55"/>
      <c r="DM1066" s="55"/>
      <c r="DN1066" s="55"/>
      <c r="DO1066" s="55"/>
      <c r="DP1066" s="55"/>
      <c r="DQ1066" s="55"/>
      <c r="DR1066" s="55"/>
      <c r="DS1066" s="55"/>
      <c r="DT1066" s="55"/>
      <c r="DU1066" s="55"/>
      <c r="DV1066" s="55"/>
      <c r="DW1066" s="55"/>
    </row>
    <row r="1067">
      <c r="A1067" s="41" t="s">
        <v>64</v>
      </c>
      <c r="B1067" s="41" t="s">
        <v>56</v>
      </c>
      <c r="C1067" s="31" t="s">
        <v>2446</v>
      </c>
      <c r="D1067" s="25" t="str">
        <f>IFERROR(__xludf.DUMMYFUNCTION("SPLIT(C1067,"" "")"),"Deitchman,")</f>
        <v>Deitchman,</v>
      </c>
      <c r="E1067" s="40" t="str">
        <f>IFERROR(__xludf.DUMMYFUNCTION("""COMPUTED_VALUE"""),"Buzz")</f>
        <v>Buzz</v>
      </c>
      <c r="F1067" s="40" t="str">
        <f>IFERROR(__xludf.DUMMYFUNCTION("""COMPUTED_VALUE"""),"and")</f>
        <v>and</v>
      </c>
      <c r="G1067" s="40" t="str">
        <f>IFERROR(__xludf.DUMMYFUNCTION("""COMPUTED_VALUE"""),"Nancy
17205")</f>
        <v>Nancy
17205</v>
      </c>
      <c r="H1067" s="40" t="str">
        <f>IFERROR(__xludf.DUMMYFUNCTION("""COMPUTED_VALUE"""),"Wester")</f>
        <v>Wester</v>
      </c>
      <c r="I1067" s="40" t="str">
        <f>IFERROR(__xludf.DUMMYFUNCTION("""COMPUTED_VALUE"""),"Way")</f>
        <v>Way</v>
      </c>
      <c r="J1067" s="40" t="str">
        <f>IFERROR(__xludf.DUMMYFUNCTION("""COMPUTED_VALUE"""),"Ct
Dallas,")</f>
        <v>Ct
Dallas,</v>
      </c>
      <c r="K1067" s="40" t="str">
        <f>IFERROR(__xludf.DUMMYFUNCTION("""COMPUTED_VALUE"""),"TX")</f>
        <v>TX</v>
      </c>
      <c r="L1067" s="40">
        <f>IFERROR(__xludf.DUMMYFUNCTION("""COMPUTED_VALUE"""),75248.0)</f>
        <v>75248</v>
      </c>
      <c r="M1067" s="40"/>
      <c r="N1067" s="40"/>
      <c r="O1067" s="40"/>
      <c r="P1067" s="40"/>
      <c r="Q1067" s="40"/>
      <c r="R1067" s="40"/>
      <c r="S1067" s="40"/>
      <c r="T1067" s="40"/>
      <c r="U1067" s="24" t="str">
        <f>IFERROR(__xludf.DUMMYFUNCTION("SPLIT(E1067,""01234567890"")"),"Buzz")</f>
        <v>Buzz</v>
      </c>
      <c r="V1067" s="24" t="str">
        <f>IFERROR(__xludf.DUMMYFUNCTION("SPLIT(D1067,"","")"),"Deitchman")</f>
        <v>Deitchman</v>
      </c>
      <c r="W1067" s="25" t="str">
        <f t="shared" si="1"/>
        <v>BUZZ DEITCHMAN</v>
      </c>
      <c r="X1067" s="40"/>
      <c r="Y1067" s="40"/>
      <c r="Z1067" s="25" t="str">
        <f>IFERROR(__xludf.DUMMYFUNCTION("SPLIT(C1067,""
"")"),"Deitchman, Buzz and Nancy")</f>
        <v>Deitchman, Buzz and Nancy</v>
      </c>
      <c r="AA1067" s="40" t="str">
        <f>IFERROR(__xludf.DUMMYFUNCTION("""COMPUTED_VALUE"""),"17205 Wester Way Ct")</f>
        <v>17205 Wester Way Ct</v>
      </c>
      <c r="AB1067" s="40" t="str">
        <f>IFERROR(__xludf.DUMMYFUNCTION("""COMPUTED_VALUE"""),"Dallas, TX 75248")</f>
        <v>Dallas, TX 75248</v>
      </c>
      <c r="AC1067" s="31" t="s">
        <v>2447</v>
      </c>
      <c r="AD1067" s="40"/>
      <c r="AE1067" s="40"/>
      <c r="AF1067" s="40"/>
      <c r="AG1067" s="40" t="s">
        <v>60</v>
      </c>
      <c r="AH1067" s="42">
        <v>2484.0</v>
      </c>
      <c r="AI1067" s="40" t="s">
        <v>68</v>
      </c>
      <c r="AJ1067" s="27">
        <v>2000.0</v>
      </c>
      <c r="AK1067" s="31" t="s">
        <v>28</v>
      </c>
      <c r="AL1067" s="43">
        <v>44868.0</v>
      </c>
      <c r="AM1067" s="44">
        <v>44937.871145833335</v>
      </c>
      <c r="AN1067" s="30">
        <v>2.0</v>
      </c>
      <c r="AO1067" s="40"/>
      <c r="AP1067" s="40"/>
      <c r="AQ1067" s="40"/>
      <c r="AR1067" s="40"/>
      <c r="AS1067" s="40"/>
      <c r="AT1067" s="47"/>
      <c r="AU1067" s="40"/>
      <c r="AV1067" s="46"/>
      <c r="AW1067" s="46"/>
      <c r="AX1067" s="47"/>
      <c r="AY1067" s="44"/>
      <c r="AZ1067" s="30"/>
      <c r="CU1067" s="55"/>
      <c r="CV1067" s="55"/>
      <c r="CW1067" s="55"/>
      <c r="CX1067" s="55"/>
      <c r="CY1067" s="55"/>
      <c r="CZ1067" s="55"/>
      <c r="DA1067" s="82"/>
      <c r="DB1067" s="55"/>
      <c r="DC1067" s="55"/>
      <c r="DD1067" s="55"/>
      <c r="DE1067" s="55"/>
      <c r="DF1067" s="55"/>
      <c r="DG1067" s="55"/>
      <c r="DH1067" s="55"/>
      <c r="DI1067" s="55"/>
      <c r="DJ1067" s="55"/>
      <c r="DK1067" s="55"/>
      <c r="DL1067" s="55"/>
      <c r="DM1067" s="55"/>
      <c r="DN1067" s="55"/>
      <c r="DO1067" s="55"/>
      <c r="DP1067" s="55"/>
      <c r="DQ1067" s="55"/>
      <c r="DR1067" s="55"/>
      <c r="DS1067" s="55"/>
      <c r="DT1067" s="55"/>
      <c r="DU1067" s="55"/>
      <c r="DV1067" s="55"/>
      <c r="DW1067" s="55"/>
    </row>
    <row r="1068">
      <c r="A1068" s="23" t="s">
        <v>64</v>
      </c>
      <c r="B1068" s="23" t="s">
        <v>56</v>
      </c>
      <c r="C1068" s="31" t="s">
        <v>2446</v>
      </c>
      <c r="D1068" s="25" t="str">
        <f>IFERROR(__xludf.DUMMYFUNCTION("SPLIT(C1068,"" "")"),"Deitchman,")</f>
        <v>Deitchman,</v>
      </c>
      <c r="E1068" s="22" t="str">
        <f>IFERROR(__xludf.DUMMYFUNCTION("""COMPUTED_VALUE"""),"Buzz")</f>
        <v>Buzz</v>
      </c>
      <c r="F1068" s="22" t="str">
        <f>IFERROR(__xludf.DUMMYFUNCTION("""COMPUTED_VALUE"""),"and")</f>
        <v>and</v>
      </c>
      <c r="G1068" s="22" t="str">
        <f>IFERROR(__xludf.DUMMYFUNCTION("""COMPUTED_VALUE"""),"Nancy
17205")</f>
        <v>Nancy
17205</v>
      </c>
      <c r="H1068" s="22" t="str">
        <f>IFERROR(__xludf.DUMMYFUNCTION("""COMPUTED_VALUE"""),"Wester")</f>
        <v>Wester</v>
      </c>
      <c r="I1068" s="22" t="str">
        <f>IFERROR(__xludf.DUMMYFUNCTION("""COMPUTED_VALUE"""),"Way")</f>
        <v>Way</v>
      </c>
      <c r="J1068" s="22" t="str">
        <f>IFERROR(__xludf.DUMMYFUNCTION("""COMPUTED_VALUE"""),"Ct
Dallas,")</f>
        <v>Ct
Dallas,</v>
      </c>
      <c r="K1068" s="22" t="str">
        <f>IFERROR(__xludf.DUMMYFUNCTION("""COMPUTED_VALUE"""),"TX")</f>
        <v>TX</v>
      </c>
      <c r="L1068" s="22">
        <f>IFERROR(__xludf.DUMMYFUNCTION("""COMPUTED_VALUE"""),75248.0)</f>
        <v>75248</v>
      </c>
      <c r="M1068" s="22"/>
      <c r="N1068" s="22"/>
      <c r="O1068" s="22"/>
      <c r="P1068" s="22"/>
      <c r="Q1068" s="22"/>
      <c r="R1068" s="22"/>
      <c r="S1068" s="22"/>
      <c r="T1068" s="22"/>
      <c r="U1068" s="24" t="str">
        <f>IFERROR(__xludf.DUMMYFUNCTION("SPLIT(E1068,""01234567890"")"),"Buzz")</f>
        <v>Buzz</v>
      </c>
      <c r="V1068" s="24" t="str">
        <f>IFERROR(__xludf.DUMMYFUNCTION("SPLIT(D1068,"","")"),"Deitchman")</f>
        <v>Deitchman</v>
      </c>
      <c r="W1068" s="25" t="str">
        <f t="shared" si="1"/>
        <v>BUZZ DEITCHMAN</v>
      </c>
      <c r="X1068" s="22"/>
      <c r="Y1068" s="22"/>
      <c r="Z1068" s="25" t="str">
        <f>IFERROR(__xludf.DUMMYFUNCTION("SPLIT(C1068,""
"")"),"Deitchman, Buzz and Nancy")</f>
        <v>Deitchman, Buzz and Nancy</v>
      </c>
      <c r="AA1068" s="22" t="str">
        <f>IFERROR(__xludf.DUMMYFUNCTION("""COMPUTED_VALUE"""),"17205 Wester Way Ct")</f>
        <v>17205 Wester Way Ct</v>
      </c>
      <c r="AB1068" s="22" t="str">
        <f>IFERROR(__xludf.DUMMYFUNCTION("""COMPUTED_VALUE"""),"Dallas, TX 75248")</f>
        <v>Dallas, TX 75248</v>
      </c>
      <c r="AC1068" s="31" t="s">
        <v>2447</v>
      </c>
      <c r="AD1068" s="22"/>
      <c r="AE1068" s="22"/>
      <c r="AF1068" s="22"/>
      <c r="AG1068" s="22" t="s">
        <v>60</v>
      </c>
      <c r="AH1068" s="54">
        <v>2484.0</v>
      </c>
      <c r="AI1068" s="22" t="s">
        <v>68</v>
      </c>
      <c r="AJ1068" s="27">
        <v>2000.0</v>
      </c>
      <c r="AK1068" s="31" t="s">
        <v>28</v>
      </c>
      <c r="AL1068" s="28">
        <v>44868.0</v>
      </c>
      <c r="AM1068" s="29">
        <v>44937.871145833335</v>
      </c>
      <c r="AN1068" s="30">
        <v>2.0</v>
      </c>
      <c r="AO1068" s="22"/>
      <c r="AP1068" s="22"/>
      <c r="AQ1068" s="22"/>
      <c r="AR1068" s="22"/>
      <c r="AS1068" s="22"/>
      <c r="AT1068" s="70"/>
      <c r="AU1068" s="22"/>
      <c r="AV1068" s="57"/>
      <c r="AW1068" s="57"/>
      <c r="AX1068" s="70"/>
      <c r="AY1068" s="29"/>
      <c r="AZ1068" s="30"/>
      <c r="CU1068" s="55"/>
      <c r="CV1068" s="55"/>
      <c r="CW1068" s="55"/>
      <c r="CX1068" s="55"/>
      <c r="CY1068" s="55"/>
      <c r="CZ1068" s="55"/>
      <c r="DA1068" s="82"/>
      <c r="DB1068" s="55"/>
      <c r="DC1068" s="55"/>
      <c r="DD1068" s="55"/>
      <c r="DE1068" s="55"/>
      <c r="DF1068" s="55"/>
      <c r="DG1068" s="55"/>
      <c r="DH1068" s="55"/>
      <c r="DI1068" s="55"/>
      <c r="DJ1068" s="55"/>
      <c r="DK1068" s="55"/>
      <c r="DL1068" s="55"/>
      <c r="DM1068" s="55"/>
      <c r="DN1068" s="55"/>
      <c r="DO1068" s="55"/>
      <c r="DP1068" s="55"/>
      <c r="DQ1068" s="55"/>
      <c r="DR1068" s="55"/>
      <c r="DS1068" s="55"/>
      <c r="DT1068" s="55"/>
      <c r="DU1068" s="55"/>
      <c r="DV1068" s="55"/>
      <c r="DW1068" s="55"/>
    </row>
    <row r="1069">
      <c r="A1069" s="41" t="s">
        <v>64</v>
      </c>
      <c r="B1069" s="41" t="s">
        <v>56</v>
      </c>
      <c r="C1069" s="31" t="s">
        <v>2448</v>
      </c>
      <c r="D1069" s="25" t="str">
        <f>IFERROR(__xludf.DUMMYFUNCTION("SPLIT(C1069,"" "")"),"Goad,")</f>
        <v>Goad,</v>
      </c>
      <c r="E1069" s="40" t="str">
        <f>IFERROR(__xludf.DUMMYFUNCTION("""COMPUTED_VALUE"""),"Robert
7034")</f>
        <v>Robert
7034</v>
      </c>
      <c r="F1069" s="40" t="str">
        <f>IFERROR(__xludf.DUMMYFUNCTION("""COMPUTED_VALUE"""),"Lattimore")</f>
        <v>Lattimore</v>
      </c>
      <c r="G1069" s="40" t="str">
        <f>IFERROR(__xludf.DUMMYFUNCTION("""COMPUTED_VALUE"""),"Dr
Dallas,")</f>
        <v>Dr
Dallas,</v>
      </c>
      <c r="H1069" s="40" t="str">
        <f>IFERROR(__xludf.DUMMYFUNCTION("""COMPUTED_VALUE"""),"TX")</f>
        <v>TX</v>
      </c>
      <c r="I1069" s="40">
        <f>IFERROR(__xludf.DUMMYFUNCTION("""COMPUTED_VALUE"""),75252.0)</f>
        <v>75252</v>
      </c>
      <c r="J1069" s="40"/>
      <c r="K1069" s="40"/>
      <c r="L1069" s="40"/>
      <c r="M1069" s="40"/>
      <c r="N1069" s="40"/>
      <c r="O1069" s="40"/>
      <c r="P1069" s="40"/>
      <c r="Q1069" s="40"/>
      <c r="R1069" s="40"/>
      <c r="S1069" s="40"/>
      <c r="T1069" s="40"/>
      <c r="U1069" s="24" t="str">
        <f>IFERROR(__xludf.DUMMYFUNCTION("SPLIT(E1069,""01234567890"")"),"Robert
")</f>
        <v>Robert
</v>
      </c>
      <c r="V1069" s="24" t="str">
        <f>IFERROR(__xludf.DUMMYFUNCTION("SPLIT(D1069,"","")"),"Goad")</f>
        <v>Goad</v>
      </c>
      <c r="W1069" s="25" t="str">
        <f t="shared" si="1"/>
        <v>ROBERT
 GOAD</v>
      </c>
      <c r="X1069" s="40"/>
      <c r="Y1069" s="40"/>
      <c r="Z1069" s="25" t="str">
        <f>IFERROR(__xludf.DUMMYFUNCTION("SPLIT(C1069,""
"")"),"Goad, Robert")</f>
        <v>Goad, Robert</v>
      </c>
      <c r="AA1069" s="40" t="str">
        <f>IFERROR(__xludf.DUMMYFUNCTION("""COMPUTED_VALUE"""),"7034 Lattimore Dr")</f>
        <v>7034 Lattimore Dr</v>
      </c>
      <c r="AB1069" s="40" t="str">
        <f>IFERROR(__xludf.DUMMYFUNCTION("""COMPUTED_VALUE"""),"Dallas, TX 75252")</f>
        <v>Dallas, TX 75252</v>
      </c>
      <c r="AC1069" s="31" t="s">
        <v>2449</v>
      </c>
      <c r="AD1069" s="40"/>
      <c r="AE1069" s="40"/>
      <c r="AF1069" s="40"/>
      <c r="AG1069" s="40" t="s">
        <v>60</v>
      </c>
      <c r="AH1069" s="42">
        <v>2484.0</v>
      </c>
      <c r="AI1069" s="40" t="s">
        <v>68</v>
      </c>
      <c r="AJ1069" s="27">
        <v>1000.0</v>
      </c>
      <c r="AK1069" s="31" t="s">
        <v>28</v>
      </c>
      <c r="AL1069" s="43">
        <v>44837.0</v>
      </c>
      <c r="AM1069" s="44">
        <v>44937.871145833335</v>
      </c>
      <c r="AN1069" s="30">
        <v>2.0</v>
      </c>
      <c r="AO1069" s="40"/>
      <c r="AP1069" s="40"/>
      <c r="AQ1069" s="40"/>
      <c r="AR1069" s="40"/>
      <c r="AS1069" s="40"/>
      <c r="AT1069" s="47"/>
      <c r="AU1069" s="40"/>
      <c r="AV1069" s="46"/>
      <c r="AW1069" s="46"/>
      <c r="AX1069" s="47"/>
      <c r="AY1069" s="44"/>
      <c r="AZ1069" s="30"/>
      <c r="CU1069" s="55"/>
      <c r="CV1069" s="55"/>
      <c r="CW1069" s="55"/>
      <c r="CX1069" s="55"/>
      <c r="CY1069" s="55"/>
      <c r="CZ1069" s="55"/>
      <c r="DA1069" s="82"/>
      <c r="DB1069" s="55"/>
      <c r="DC1069" s="55"/>
      <c r="DD1069" s="55"/>
      <c r="DE1069" s="55"/>
      <c r="DF1069" s="55"/>
      <c r="DG1069" s="55"/>
      <c r="DH1069" s="55"/>
      <c r="DI1069" s="55"/>
      <c r="DJ1069" s="55"/>
      <c r="DK1069" s="55"/>
      <c r="DL1069" s="55"/>
      <c r="DM1069" s="55"/>
      <c r="DN1069" s="55"/>
      <c r="DO1069" s="55"/>
      <c r="DP1069" s="55"/>
      <c r="DQ1069" s="55"/>
      <c r="DR1069" s="55"/>
      <c r="DS1069" s="55"/>
      <c r="DT1069" s="55"/>
      <c r="DU1069" s="55"/>
      <c r="DV1069" s="55"/>
      <c r="DW1069" s="55"/>
    </row>
    <row r="1070">
      <c r="A1070" s="23" t="s">
        <v>64</v>
      </c>
      <c r="B1070" s="23" t="s">
        <v>56</v>
      </c>
      <c r="C1070" s="31" t="s">
        <v>2448</v>
      </c>
      <c r="D1070" s="25" t="str">
        <f>IFERROR(__xludf.DUMMYFUNCTION("SPLIT(C1070,"" "")"),"Goad,")</f>
        <v>Goad,</v>
      </c>
      <c r="E1070" s="22" t="str">
        <f>IFERROR(__xludf.DUMMYFUNCTION("""COMPUTED_VALUE"""),"Robert
7034")</f>
        <v>Robert
7034</v>
      </c>
      <c r="F1070" s="22" t="str">
        <f>IFERROR(__xludf.DUMMYFUNCTION("""COMPUTED_VALUE"""),"Lattimore")</f>
        <v>Lattimore</v>
      </c>
      <c r="G1070" s="22" t="str">
        <f>IFERROR(__xludf.DUMMYFUNCTION("""COMPUTED_VALUE"""),"Dr
Dallas,")</f>
        <v>Dr
Dallas,</v>
      </c>
      <c r="H1070" s="22" t="str">
        <f>IFERROR(__xludf.DUMMYFUNCTION("""COMPUTED_VALUE"""),"TX")</f>
        <v>TX</v>
      </c>
      <c r="I1070" s="22">
        <f>IFERROR(__xludf.DUMMYFUNCTION("""COMPUTED_VALUE"""),75252.0)</f>
        <v>75252</v>
      </c>
      <c r="J1070" s="22"/>
      <c r="K1070" s="22"/>
      <c r="L1070" s="22"/>
      <c r="M1070" s="22"/>
      <c r="N1070" s="22"/>
      <c r="O1070" s="22"/>
      <c r="P1070" s="22"/>
      <c r="Q1070" s="22"/>
      <c r="R1070" s="22"/>
      <c r="S1070" s="22"/>
      <c r="T1070" s="22"/>
      <c r="U1070" s="24" t="str">
        <f>IFERROR(__xludf.DUMMYFUNCTION("SPLIT(E1070,""01234567890"")"),"Robert
")</f>
        <v>Robert
</v>
      </c>
      <c r="V1070" s="24" t="str">
        <f>IFERROR(__xludf.DUMMYFUNCTION("SPLIT(D1070,"","")"),"Goad")</f>
        <v>Goad</v>
      </c>
      <c r="W1070" s="25" t="str">
        <f t="shared" si="1"/>
        <v>ROBERT
 GOAD</v>
      </c>
      <c r="X1070" s="22"/>
      <c r="Y1070" s="22"/>
      <c r="Z1070" s="25" t="str">
        <f>IFERROR(__xludf.DUMMYFUNCTION("SPLIT(C1070,""
"")"),"Goad, Robert")</f>
        <v>Goad, Robert</v>
      </c>
      <c r="AA1070" s="22" t="str">
        <f>IFERROR(__xludf.DUMMYFUNCTION("""COMPUTED_VALUE"""),"7034 Lattimore Dr")</f>
        <v>7034 Lattimore Dr</v>
      </c>
      <c r="AB1070" s="22" t="str">
        <f>IFERROR(__xludf.DUMMYFUNCTION("""COMPUTED_VALUE"""),"Dallas, TX 75252")</f>
        <v>Dallas, TX 75252</v>
      </c>
      <c r="AC1070" s="31" t="s">
        <v>2449</v>
      </c>
      <c r="AD1070" s="22"/>
      <c r="AE1070" s="22"/>
      <c r="AF1070" s="22"/>
      <c r="AG1070" s="22" t="s">
        <v>60</v>
      </c>
      <c r="AH1070" s="54">
        <v>2484.0</v>
      </c>
      <c r="AI1070" s="22" t="s">
        <v>68</v>
      </c>
      <c r="AJ1070" s="27">
        <v>1000.0</v>
      </c>
      <c r="AK1070" s="31" t="s">
        <v>28</v>
      </c>
      <c r="AL1070" s="28">
        <v>44837.0</v>
      </c>
      <c r="AM1070" s="29">
        <v>44937.871145833335</v>
      </c>
      <c r="AN1070" s="30">
        <v>2.0</v>
      </c>
      <c r="AO1070" s="22"/>
      <c r="AP1070" s="22"/>
      <c r="AQ1070" s="22"/>
      <c r="AR1070" s="22"/>
      <c r="AS1070" s="22"/>
      <c r="AT1070" s="70"/>
      <c r="AU1070" s="22"/>
      <c r="AV1070" s="57"/>
      <c r="AW1070" s="57"/>
      <c r="AX1070" s="70"/>
      <c r="AY1070" s="29"/>
      <c r="AZ1070" s="30"/>
      <c r="CU1070" s="55"/>
      <c r="CV1070" s="55"/>
      <c r="CW1070" s="55"/>
      <c r="CX1070" s="55"/>
      <c r="CY1070" s="55"/>
      <c r="CZ1070" s="55"/>
      <c r="DA1070" s="82"/>
      <c r="DB1070" s="55"/>
      <c r="DC1070" s="55"/>
      <c r="DD1070" s="55"/>
      <c r="DE1070" s="55"/>
      <c r="DF1070" s="55"/>
      <c r="DG1070" s="55"/>
      <c r="DH1070" s="55"/>
      <c r="DI1070" s="55"/>
      <c r="DJ1070" s="55"/>
      <c r="DK1070" s="55"/>
      <c r="DL1070" s="55"/>
      <c r="DM1070" s="55"/>
      <c r="DN1070" s="55"/>
      <c r="DO1070" s="55"/>
      <c r="DP1070" s="55"/>
      <c r="DQ1070" s="55"/>
      <c r="DR1070" s="55"/>
      <c r="DS1070" s="55"/>
      <c r="DT1070" s="55"/>
      <c r="DU1070" s="55"/>
      <c r="DV1070" s="55"/>
      <c r="DW1070" s="55"/>
    </row>
    <row r="1071">
      <c r="A1071" s="40" t="s">
        <v>55</v>
      </c>
      <c r="B1071" s="41" t="s">
        <v>56</v>
      </c>
      <c r="C1071" s="31" t="s">
        <v>1098</v>
      </c>
      <c r="D1071" s="25" t="str">
        <f>IFERROR(__xludf.DUMMYFUNCTION("SPLIT(C1071,"" "")"),"Heinbaugh,")</f>
        <v>Heinbaugh,</v>
      </c>
      <c r="E1071" s="40" t="str">
        <f>IFERROR(__xludf.DUMMYFUNCTION("""COMPUTED_VALUE"""),"Chris
1801")</f>
        <v>Chris
1801</v>
      </c>
      <c r="F1071" s="40" t="str">
        <f>IFERROR(__xludf.DUMMYFUNCTION("""COMPUTED_VALUE"""),"Annex")</f>
        <v>Annex</v>
      </c>
      <c r="G1071" s="40" t="str">
        <f>IFERROR(__xludf.DUMMYFUNCTION("""COMPUTED_VALUE"""),"Ave
Dallas,")</f>
        <v>Ave
Dallas,</v>
      </c>
      <c r="H1071" s="40" t="str">
        <f>IFERROR(__xludf.DUMMYFUNCTION("""COMPUTED_VALUE"""),"TX")</f>
        <v>TX</v>
      </c>
      <c r="I1071" s="40">
        <f>IFERROR(__xludf.DUMMYFUNCTION("""COMPUTED_VALUE"""),75204.0)</f>
        <v>75204</v>
      </c>
      <c r="J1071" s="40"/>
      <c r="K1071" s="40"/>
      <c r="L1071" s="40"/>
      <c r="M1071" s="40"/>
      <c r="N1071" s="40"/>
      <c r="O1071" s="40"/>
      <c r="P1071" s="40"/>
      <c r="Q1071" s="40"/>
      <c r="R1071" s="40"/>
      <c r="S1071" s="40"/>
      <c r="T1071" s="40"/>
      <c r="U1071" s="24" t="str">
        <f>IFERROR(__xludf.DUMMYFUNCTION("SPLIT(E1071,""01234567890"")"),"Chris
")</f>
        <v>Chris
</v>
      </c>
      <c r="V1071" s="24" t="str">
        <f>IFERROR(__xludf.DUMMYFUNCTION("SPLIT(D1071,"","")"),"Heinbaugh")</f>
        <v>Heinbaugh</v>
      </c>
      <c r="W1071" s="25" t="str">
        <f t="shared" si="1"/>
        <v>CHRIS
 HEINBAUGH</v>
      </c>
      <c r="X1071" s="40"/>
      <c r="Y1071" s="40"/>
      <c r="Z1071" s="25" t="str">
        <f>IFERROR(__xludf.DUMMYFUNCTION("SPLIT(C1071,""
"")"),"Heinbaugh, Chris")</f>
        <v>Heinbaugh, Chris</v>
      </c>
      <c r="AA1071" s="40" t="str">
        <f>IFERROR(__xludf.DUMMYFUNCTION("""COMPUTED_VALUE"""),"1801 Annex Ave")</f>
        <v>1801 Annex Ave</v>
      </c>
      <c r="AB1071" s="40" t="str">
        <f>IFERROR(__xludf.DUMMYFUNCTION("""COMPUTED_VALUE"""),"Dallas, TX 75204")</f>
        <v>Dallas, TX 75204</v>
      </c>
      <c r="AC1071" s="31" t="s">
        <v>1100</v>
      </c>
      <c r="AD1071" s="40"/>
      <c r="AE1071" s="40"/>
      <c r="AF1071" s="40"/>
      <c r="AG1071" s="40" t="s">
        <v>60</v>
      </c>
      <c r="AH1071" s="42">
        <v>2482.0</v>
      </c>
      <c r="AI1071" s="40" t="s">
        <v>68</v>
      </c>
      <c r="AJ1071" s="27">
        <v>75.0</v>
      </c>
      <c r="AK1071" s="31" t="s">
        <v>31</v>
      </c>
      <c r="AL1071" s="43">
        <v>44926.0</v>
      </c>
      <c r="AM1071" s="44">
        <v>44938.558541666665</v>
      </c>
      <c r="AN1071" s="30">
        <v>2.0</v>
      </c>
      <c r="AO1071" s="40"/>
      <c r="AP1071" s="40"/>
      <c r="AQ1071" s="40"/>
      <c r="AR1071" s="40"/>
      <c r="AS1071" s="40"/>
      <c r="AT1071" s="47"/>
      <c r="AU1071" s="40"/>
      <c r="AV1071" s="46"/>
      <c r="AW1071" s="46"/>
      <c r="AX1071" s="47"/>
      <c r="AY1071" s="44"/>
      <c r="AZ1071" s="30"/>
      <c r="CU1071" s="55"/>
      <c r="CV1071" s="55"/>
      <c r="CW1071" s="55"/>
      <c r="CX1071" s="55"/>
      <c r="CY1071" s="55"/>
      <c r="CZ1071" s="55"/>
      <c r="DA1071" s="82"/>
      <c r="DB1071" s="55"/>
      <c r="DC1071" s="55"/>
      <c r="DD1071" s="55"/>
      <c r="DE1071" s="55"/>
      <c r="DF1071" s="55"/>
      <c r="DG1071" s="55"/>
      <c r="DH1071" s="55"/>
      <c r="DI1071" s="55"/>
      <c r="DJ1071" s="55"/>
      <c r="DK1071" s="55"/>
      <c r="DL1071" s="55"/>
      <c r="DM1071" s="55"/>
      <c r="DN1071" s="55"/>
      <c r="DO1071" s="55"/>
      <c r="DP1071" s="55"/>
      <c r="DQ1071" s="55"/>
      <c r="DR1071" s="55"/>
      <c r="DS1071" s="55"/>
      <c r="DT1071" s="55"/>
      <c r="DU1071" s="55"/>
      <c r="DV1071" s="55"/>
      <c r="DW1071" s="55"/>
    </row>
    <row r="1072">
      <c r="A1072" s="23" t="s">
        <v>64</v>
      </c>
      <c r="B1072" s="23" t="s">
        <v>56</v>
      </c>
      <c r="C1072" s="31" t="s">
        <v>2450</v>
      </c>
      <c r="D1072" s="25" t="str">
        <f>IFERROR(__xludf.DUMMYFUNCTION("SPLIT(C1072,"" "")"),"Cohen,")</f>
        <v>Cohen,</v>
      </c>
      <c r="E1072" s="22" t="str">
        <f>IFERROR(__xludf.DUMMYFUNCTION("""COMPUTED_VALUE"""),"Doug
2731")</f>
        <v>Doug
2731</v>
      </c>
      <c r="F1072" s="22" t="str">
        <f>IFERROR(__xludf.DUMMYFUNCTION("""COMPUTED_VALUE"""),"Satsuma")</f>
        <v>Satsuma</v>
      </c>
      <c r="G1072" s="22" t="str">
        <f>IFERROR(__xludf.DUMMYFUNCTION("""COMPUTED_VALUE"""),"Dr
Dallas,")</f>
        <v>Dr
Dallas,</v>
      </c>
      <c r="H1072" s="22" t="str">
        <f>IFERROR(__xludf.DUMMYFUNCTION("""COMPUTED_VALUE"""),"TX")</f>
        <v>TX</v>
      </c>
      <c r="I1072" s="22">
        <f>IFERROR(__xludf.DUMMYFUNCTION("""COMPUTED_VALUE"""),75229.0)</f>
        <v>75229</v>
      </c>
      <c r="J1072" s="22"/>
      <c r="K1072" s="22"/>
      <c r="L1072" s="22"/>
      <c r="M1072" s="22"/>
      <c r="N1072" s="22"/>
      <c r="O1072" s="22"/>
      <c r="P1072" s="22"/>
      <c r="Q1072" s="22"/>
      <c r="R1072" s="22"/>
      <c r="S1072" s="22"/>
      <c r="T1072" s="22"/>
      <c r="U1072" s="24" t="str">
        <f>IFERROR(__xludf.DUMMYFUNCTION("SPLIT(E1072,""01234567890"")"),"Doug
")</f>
        <v>Doug
</v>
      </c>
      <c r="V1072" s="24" t="str">
        <f>IFERROR(__xludf.DUMMYFUNCTION("SPLIT(D1072,"","")"),"Cohen")</f>
        <v>Cohen</v>
      </c>
      <c r="W1072" s="25" t="str">
        <f t="shared" si="1"/>
        <v>DOUG
 COHEN</v>
      </c>
      <c r="X1072" s="22"/>
      <c r="Y1072" s="22"/>
      <c r="Z1072" s="25" t="str">
        <f>IFERROR(__xludf.DUMMYFUNCTION("SPLIT(C1072,""
"")"),"Cohen, Doug")</f>
        <v>Cohen, Doug</v>
      </c>
      <c r="AA1072" s="22" t="str">
        <f>IFERROR(__xludf.DUMMYFUNCTION("""COMPUTED_VALUE"""),"2731 Satsuma Dr")</f>
        <v>2731 Satsuma Dr</v>
      </c>
      <c r="AB1072" s="22" t="str">
        <f>IFERROR(__xludf.DUMMYFUNCTION("""COMPUTED_VALUE"""),"Dallas, TX 75229")</f>
        <v>Dallas, TX 75229</v>
      </c>
      <c r="AC1072" s="31" t="s">
        <v>2451</v>
      </c>
      <c r="AD1072" s="22"/>
      <c r="AE1072" s="22"/>
      <c r="AF1072" s="22"/>
      <c r="AG1072" s="22" t="s">
        <v>60</v>
      </c>
      <c r="AH1072" s="54">
        <v>2482.0</v>
      </c>
      <c r="AI1072" s="22" t="s">
        <v>68</v>
      </c>
      <c r="AJ1072" s="27">
        <v>250.0</v>
      </c>
      <c r="AK1072" s="31" t="s">
        <v>31</v>
      </c>
      <c r="AL1072" s="28">
        <v>44926.0</v>
      </c>
      <c r="AM1072" s="29">
        <v>44938.558541666665</v>
      </c>
      <c r="AN1072" s="30">
        <v>2.0</v>
      </c>
      <c r="AO1072" s="22"/>
      <c r="AP1072" s="22"/>
      <c r="AQ1072" s="22"/>
      <c r="AR1072" s="22"/>
      <c r="AS1072" s="22"/>
      <c r="AT1072" s="70"/>
      <c r="AU1072" s="22"/>
      <c r="AV1072" s="57"/>
      <c r="AW1072" s="57"/>
      <c r="AX1072" s="70"/>
      <c r="AY1072" s="29"/>
      <c r="AZ1072" s="30"/>
      <c r="CU1072" s="55"/>
      <c r="CV1072" s="55"/>
      <c r="CW1072" s="55"/>
      <c r="CX1072" s="55"/>
      <c r="CY1072" s="55"/>
      <c r="CZ1072" s="55"/>
      <c r="DA1072" s="82"/>
      <c r="DB1072" s="55"/>
      <c r="DC1072" s="55"/>
      <c r="DD1072" s="55"/>
      <c r="DE1072" s="55"/>
      <c r="DF1072" s="55"/>
      <c r="DG1072" s="55"/>
      <c r="DH1072" s="55"/>
      <c r="DI1072" s="55"/>
      <c r="DJ1072" s="55"/>
      <c r="DK1072" s="55"/>
      <c r="DL1072" s="55"/>
      <c r="DM1072" s="55"/>
      <c r="DN1072" s="55"/>
      <c r="DO1072" s="55"/>
      <c r="DP1072" s="55"/>
      <c r="DQ1072" s="55"/>
      <c r="DR1072" s="55"/>
      <c r="DS1072" s="55"/>
      <c r="DT1072" s="55"/>
      <c r="DU1072" s="55"/>
      <c r="DV1072" s="55"/>
      <c r="DW1072" s="55"/>
    </row>
    <row r="1073">
      <c r="A1073" s="40" t="s">
        <v>55</v>
      </c>
      <c r="B1073" s="41" t="s">
        <v>56</v>
      </c>
      <c r="C1073" s="31" t="s">
        <v>2452</v>
      </c>
      <c r="D1073" s="25" t="str">
        <f>IFERROR(__xludf.DUMMYFUNCTION("SPLIT(C1073,"" "")"),"Clore,")</f>
        <v>Clore,</v>
      </c>
      <c r="E1073" s="40" t="str">
        <f>IFERROR(__xludf.DUMMYFUNCTION("""COMPUTED_VALUE"""),"William
9613")</f>
        <v>William
9613</v>
      </c>
      <c r="F1073" s="40" t="str">
        <f>IFERROR(__xludf.DUMMYFUNCTION("""COMPUTED_VALUE"""),"Watkins")</f>
        <v>Watkins</v>
      </c>
      <c r="G1073" s="40" t="str">
        <f>IFERROR(__xludf.DUMMYFUNCTION("""COMPUTED_VALUE"""),"Rd
Laytonsville,")</f>
        <v>Rd
Laytonsville,</v>
      </c>
      <c r="H1073" s="40" t="str">
        <f>IFERROR(__xludf.DUMMYFUNCTION("""COMPUTED_VALUE"""),"MD")</f>
        <v>MD</v>
      </c>
      <c r="I1073" s="40">
        <f>IFERROR(__xludf.DUMMYFUNCTION("""COMPUTED_VALUE"""),20882.0)</f>
        <v>20882</v>
      </c>
      <c r="J1073" s="40"/>
      <c r="K1073" s="40"/>
      <c r="L1073" s="40"/>
      <c r="M1073" s="40"/>
      <c r="N1073" s="40"/>
      <c r="O1073" s="40"/>
      <c r="P1073" s="40"/>
      <c r="Q1073" s="40"/>
      <c r="R1073" s="40"/>
      <c r="S1073" s="40"/>
      <c r="T1073" s="40"/>
      <c r="U1073" s="24" t="str">
        <f>IFERROR(__xludf.DUMMYFUNCTION("SPLIT(E1073,""01234567890"")"),"William
")</f>
        <v>William
</v>
      </c>
      <c r="V1073" s="24" t="str">
        <f>IFERROR(__xludf.DUMMYFUNCTION("SPLIT(D1073,"","")"),"Clore")</f>
        <v>Clore</v>
      </c>
      <c r="W1073" s="25" t="str">
        <f t="shared" si="1"/>
        <v>WILLIAM
 CLORE</v>
      </c>
      <c r="X1073" s="40"/>
      <c r="Y1073" s="40"/>
      <c r="Z1073" s="25" t="str">
        <f>IFERROR(__xludf.DUMMYFUNCTION("SPLIT(C1073,""
"")"),"Clore, William")</f>
        <v>Clore, William</v>
      </c>
      <c r="AA1073" s="40" t="str">
        <f>IFERROR(__xludf.DUMMYFUNCTION("""COMPUTED_VALUE"""),"9613 Watkins Rd")</f>
        <v>9613 Watkins Rd</v>
      </c>
      <c r="AB1073" s="40" t="str">
        <f>IFERROR(__xludf.DUMMYFUNCTION("""COMPUTED_VALUE"""),"Laytonsville, MD 20882")</f>
        <v>Laytonsville, MD 20882</v>
      </c>
      <c r="AC1073" s="31" t="s">
        <v>2453</v>
      </c>
      <c r="AD1073" s="40"/>
      <c r="AE1073" s="40"/>
      <c r="AF1073" s="40"/>
      <c r="AG1073" s="40" t="s">
        <v>60</v>
      </c>
      <c r="AH1073" s="42">
        <v>2482.0</v>
      </c>
      <c r="AI1073" s="40" t="s">
        <v>68</v>
      </c>
      <c r="AJ1073" s="27">
        <v>100.0</v>
      </c>
      <c r="AK1073" s="31" t="s">
        <v>31</v>
      </c>
      <c r="AL1073" s="43">
        <v>44926.0</v>
      </c>
      <c r="AM1073" s="44">
        <v>44938.558541666665</v>
      </c>
      <c r="AN1073" s="30">
        <v>2.0</v>
      </c>
      <c r="AO1073" s="40"/>
      <c r="AP1073" s="40"/>
      <c r="AQ1073" s="40"/>
      <c r="AR1073" s="40"/>
      <c r="AS1073" s="40"/>
      <c r="AT1073" s="47"/>
      <c r="AU1073" s="40"/>
      <c r="AV1073" s="46"/>
      <c r="AW1073" s="46"/>
      <c r="AX1073" s="47"/>
      <c r="AY1073" s="44"/>
      <c r="AZ1073" s="30"/>
      <c r="CU1073" s="55"/>
      <c r="CV1073" s="55"/>
      <c r="CW1073" s="55"/>
      <c r="CX1073" s="55"/>
      <c r="CY1073" s="55"/>
      <c r="CZ1073" s="55"/>
      <c r="DA1073" s="82"/>
      <c r="DB1073" s="55"/>
      <c r="DC1073" s="55"/>
      <c r="DD1073" s="55"/>
      <c r="DE1073" s="55"/>
      <c r="DF1073" s="55"/>
      <c r="DG1073" s="55"/>
      <c r="DH1073" s="55"/>
      <c r="DI1073" s="55"/>
      <c r="DJ1073" s="55"/>
      <c r="DK1073" s="55"/>
      <c r="DL1073" s="55"/>
      <c r="DM1073" s="55"/>
      <c r="DN1073" s="55"/>
      <c r="DO1073" s="55"/>
      <c r="DP1073" s="55"/>
      <c r="DQ1073" s="55"/>
      <c r="DR1073" s="55"/>
      <c r="DS1073" s="55"/>
      <c r="DT1073" s="55"/>
      <c r="DU1073" s="55"/>
      <c r="DV1073" s="55"/>
      <c r="DW1073" s="55"/>
    </row>
    <row r="1074">
      <c r="A1074" s="23" t="s">
        <v>64</v>
      </c>
      <c r="B1074" s="23" t="s">
        <v>56</v>
      </c>
      <c r="C1074" s="31" t="s">
        <v>2454</v>
      </c>
      <c r="D1074" s="25" t="str">
        <f>IFERROR(__xludf.DUMMYFUNCTION("SPLIT(C1074,"" "")"),"Whitman")</f>
        <v>Whitman</v>
      </c>
      <c r="E1074" s="22" t="str">
        <f>IFERROR(__xludf.DUMMYFUNCTION("""COMPUTED_VALUE"""),"Bobbitt,")</f>
        <v>Bobbitt,</v>
      </c>
      <c r="F1074" s="22" t="str">
        <f>IFERROR(__xludf.DUMMYFUNCTION("""COMPUTED_VALUE"""),"Jeanne
4500")</f>
        <v>Jeanne
4500</v>
      </c>
      <c r="G1074" s="22" t="str">
        <f>IFERROR(__xludf.DUMMYFUNCTION("""COMPUTED_VALUE"""),"Roland")</f>
        <v>Roland</v>
      </c>
      <c r="H1074" s="22" t="str">
        <f>IFERROR(__xludf.DUMMYFUNCTION("""COMPUTED_VALUE"""),"Ave
Dallas,")</f>
        <v>Ave
Dallas,</v>
      </c>
      <c r="I1074" s="22" t="str">
        <f>IFERROR(__xludf.DUMMYFUNCTION("""COMPUTED_VALUE"""),"TX")</f>
        <v>TX</v>
      </c>
      <c r="J1074" s="22">
        <f>IFERROR(__xludf.DUMMYFUNCTION("""COMPUTED_VALUE"""),75219.0)</f>
        <v>75219</v>
      </c>
      <c r="K1074" s="22"/>
      <c r="L1074" s="22"/>
      <c r="M1074" s="22"/>
      <c r="N1074" s="22"/>
      <c r="O1074" s="22"/>
      <c r="P1074" s="22"/>
      <c r="Q1074" s="22"/>
      <c r="R1074" s="22"/>
      <c r="S1074" s="22"/>
      <c r="T1074" s="22"/>
      <c r="U1074" s="24" t="str">
        <f>IFERROR(__xludf.DUMMYFUNCTION("SPLIT(E1074,""01234567890"")"),"Bobbitt,")</f>
        <v>Bobbitt,</v>
      </c>
      <c r="V1074" s="24" t="str">
        <f>IFERROR(__xludf.DUMMYFUNCTION("SPLIT(D1074,"","")"),"Whitman")</f>
        <v>Whitman</v>
      </c>
      <c r="W1074" s="25" t="str">
        <f t="shared" si="1"/>
        <v>BOBBITT, WHITMAN</v>
      </c>
      <c r="X1074" s="22"/>
      <c r="Y1074" s="22"/>
      <c r="Z1074" s="25" t="str">
        <f>IFERROR(__xludf.DUMMYFUNCTION("SPLIT(C1074,""
"")"),"Whitman Bobbitt, Jeanne")</f>
        <v>Whitman Bobbitt, Jeanne</v>
      </c>
      <c r="AA1074" s="22" t="str">
        <f>IFERROR(__xludf.DUMMYFUNCTION("""COMPUTED_VALUE"""),"4500 Roland Ave")</f>
        <v>4500 Roland Ave</v>
      </c>
      <c r="AB1074" s="22" t="str">
        <f>IFERROR(__xludf.DUMMYFUNCTION("""COMPUTED_VALUE"""),"Dallas, TX 75219")</f>
        <v>Dallas, TX 75219</v>
      </c>
      <c r="AC1074" s="31" t="s">
        <v>2455</v>
      </c>
      <c r="AD1074" s="22"/>
      <c r="AE1074" s="22"/>
      <c r="AF1074" s="22"/>
      <c r="AG1074" s="22" t="s">
        <v>60</v>
      </c>
      <c r="AH1074" s="54">
        <v>2482.0</v>
      </c>
      <c r="AI1074" s="22" t="s">
        <v>68</v>
      </c>
      <c r="AJ1074" s="27">
        <v>250.0</v>
      </c>
      <c r="AK1074" s="31" t="s">
        <v>31</v>
      </c>
      <c r="AL1074" s="28">
        <v>44926.0</v>
      </c>
      <c r="AM1074" s="29">
        <v>44938.558541666665</v>
      </c>
      <c r="AN1074" s="30">
        <v>2.0</v>
      </c>
      <c r="AO1074" s="22"/>
      <c r="AP1074" s="22"/>
      <c r="AQ1074" s="22"/>
      <c r="AR1074" s="22"/>
      <c r="AS1074" s="22"/>
      <c r="AT1074" s="70"/>
      <c r="AU1074" s="22"/>
      <c r="AV1074" s="57"/>
      <c r="AW1074" s="57"/>
      <c r="AX1074" s="70"/>
      <c r="AY1074" s="29"/>
      <c r="AZ1074" s="30"/>
      <c r="CU1074" s="55"/>
      <c r="CV1074" s="55"/>
      <c r="CW1074" s="55"/>
      <c r="CX1074" s="55"/>
      <c r="CY1074" s="55"/>
      <c r="CZ1074" s="55"/>
      <c r="DA1074" s="82"/>
      <c r="DB1074" s="55"/>
      <c r="DC1074" s="55"/>
      <c r="DD1074" s="55"/>
      <c r="DE1074" s="55"/>
      <c r="DF1074" s="55"/>
      <c r="DG1074" s="55"/>
      <c r="DH1074" s="55"/>
      <c r="DI1074" s="55"/>
      <c r="DJ1074" s="55"/>
      <c r="DK1074" s="55"/>
      <c r="DL1074" s="55"/>
      <c r="DM1074" s="55"/>
      <c r="DN1074" s="55"/>
      <c r="DO1074" s="55"/>
      <c r="DP1074" s="55"/>
      <c r="DQ1074" s="55"/>
      <c r="DR1074" s="55"/>
      <c r="DS1074" s="55"/>
      <c r="DT1074" s="55"/>
      <c r="DU1074" s="55"/>
      <c r="DV1074" s="55"/>
      <c r="DW1074" s="55"/>
    </row>
    <row r="1075">
      <c r="A1075" s="40" t="s">
        <v>55</v>
      </c>
      <c r="B1075" s="41" t="s">
        <v>56</v>
      </c>
      <c r="C1075" s="31" t="s">
        <v>2456</v>
      </c>
      <c r="D1075" s="25" t="str">
        <f>IFERROR(__xludf.DUMMYFUNCTION("SPLIT(C1075,"" "")"),"Frauman,")</f>
        <v>Frauman,</v>
      </c>
      <c r="E1075" s="40" t="str">
        <f>IFERROR(__xludf.DUMMYFUNCTION("""COMPUTED_VALUE"""),"Mindy
74315")</f>
        <v>Mindy
74315</v>
      </c>
      <c r="F1075" s="40" t="str">
        <f>IFERROR(__xludf.DUMMYFUNCTION("""COMPUTED_VALUE"""),"Midbury")</f>
        <v>Midbury</v>
      </c>
      <c r="G1075" s="40" t="str">
        <f>IFERROR(__xludf.DUMMYFUNCTION("""COMPUTED_VALUE"""),"Drive
Dallas,")</f>
        <v>Drive
Dallas,</v>
      </c>
      <c r="H1075" s="40" t="str">
        <f>IFERROR(__xludf.DUMMYFUNCTION("""COMPUTED_VALUE"""),"TX")</f>
        <v>TX</v>
      </c>
      <c r="I1075" s="40">
        <f>IFERROR(__xludf.DUMMYFUNCTION("""COMPUTED_VALUE"""),75230.0)</f>
        <v>75230</v>
      </c>
      <c r="J1075" s="40"/>
      <c r="K1075" s="40"/>
      <c r="L1075" s="40"/>
      <c r="M1075" s="40"/>
      <c r="N1075" s="40"/>
      <c r="O1075" s="40"/>
      <c r="P1075" s="40"/>
      <c r="Q1075" s="40"/>
      <c r="R1075" s="40"/>
      <c r="S1075" s="40"/>
      <c r="T1075" s="40"/>
      <c r="U1075" s="24" t="str">
        <f>IFERROR(__xludf.DUMMYFUNCTION("SPLIT(E1075,""01234567890"")"),"Mindy
")</f>
        <v>Mindy
</v>
      </c>
      <c r="V1075" s="24" t="str">
        <f>IFERROR(__xludf.DUMMYFUNCTION("SPLIT(D1075,"","")"),"Frauman")</f>
        <v>Frauman</v>
      </c>
      <c r="W1075" s="25" t="str">
        <f t="shared" si="1"/>
        <v>MINDY
 FRAUMAN</v>
      </c>
      <c r="X1075" s="40"/>
      <c r="Y1075" s="40"/>
      <c r="Z1075" s="25" t="str">
        <f>IFERROR(__xludf.DUMMYFUNCTION("SPLIT(C1075,""
"")"),"Frauman, Mindy")</f>
        <v>Frauman, Mindy</v>
      </c>
      <c r="AA1075" s="40" t="str">
        <f>IFERROR(__xludf.DUMMYFUNCTION("""COMPUTED_VALUE"""),"74315 Midbury Drive")</f>
        <v>74315 Midbury Drive</v>
      </c>
      <c r="AB1075" s="40" t="str">
        <f>IFERROR(__xludf.DUMMYFUNCTION("""COMPUTED_VALUE"""),"Dallas, TX 75230")</f>
        <v>Dallas, TX 75230</v>
      </c>
      <c r="AC1075" s="31" t="s">
        <v>2457</v>
      </c>
      <c r="AD1075" s="40"/>
      <c r="AE1075" s="40"/>
      <c r="AF1075" s="40"/>
      <c r="AG1075" s="40" t="s">
        <v>60</v>
      </c>
      <c r="AH1075" s="42">
        <v>2482.0</v>
      </c>
      <c r="AI1075" s="40" t="s">
        <v>68</v>
      </c>
      <c r="AJ1075" s="27">
        <v>50.0</v>
      </c>
      <c r="AK1075" s="31" t="s">
        <v>31</v>
      </c>
      <c r="AL1075" s="43">
        <v>44925.0</v>
      </c>
      <c r="AM1075" s="44">
        <v>44938.558541666665</v>
      </c>
      <c r="AN1075" s="30">
        <v>2.0</v>
      </c>
      <c r="AO1075" s="40"/>
      <c r="AP1075" s="40"/>
      <c r="AQ1075" s="40"/>
      <c r="AR1075" s="40"/>
      <c r="AS1075" s="40"/>
      <c r="AT1075" s="47"/>
      <c r="AU1075" s="40"/>
      <c r="AV1075" s="46"/>
      <c r="AW1075" s="46"/>
      <c r="AX1075" s="47"/>
      <c r="AY1075" s="44"/>
      <c r="AZ1075" s="30"/>
      <c r="CU1075" s="55"/>
      <c r="CV1075" s="55"/>
      <c r="CW1075" s="55"/>
      <c r="CX1075" s="55"/>
      <c r="CY1075" s="55"/>
      <c r="CZ1075" s="55"/>
      <c r="DA1075" s="82"/>
      <c r="DB1075" s="55"/>
      <c r="DC1075" s="55"/>
      <c r="DD1075" s="55"/>
      <c r="DE1075" s="55"/>
      <c r="DF1075" s="55"/>
      <c r="DG1075" s="55"/>
      <c r="DH1075" s="55"/>
      <c r="DI1075" s="55"/>
      <c r="DJ1075" s="55"/>
      <c r="DK1075" s="55"/>
      <c r="DL1075" s="55"/>
      <c r="DM1075" s="55"/>
      <c r="DN1075" s="55"/>
      <c r="DO1075" s="55"/>
      <c r="DP1075" s="55"/>
      <c r="DQ1075" s="55"/>
      <c r="DR1075" s="55"/>
      <c r="DS1075" s="55"/>
      <c r="DT1075" s="55"/>
      <c r="DU1075" s="55"/>
      <c r="DV1075" s="55"/>
      <c r="DW1075" s="55"/>
    </row>
    <row r="1076">
      <c r="A1076" s="23" t="s">
        <v>64</v>
      </c>
      <c r="B1076" s="23" t="s">
        <v>56</v>
      </c>
      <c r="C1076" s="31" t="s">
        <v>2458</v>
      </c>
      <c r="D1076" s="25" t="str">
        <f>IFERROR(__xludf.DUMMYFUNCTION("SPLIT(C1076,"" "")"),"Koslin,")</f>
        <v>Koslin,</v>
      </c>
      <c r="E1076" s="22" t="str">
        <f>IFERROR(__xludf.DUMMYFUNCTION("""COMPUTED_VALUE"""),"Rochelle
3456")</f>
        <v>Rochelle
3456</v>
      </c>
      <c r="F1076" s="22" t="str">
        <f>IFERROR(__xludf.DUMMYFUNCTION("""COMPUTED_VALUE"""),"Brook")</f>
        <v>Brook</v>
      </c>
      <c r="G1076" s="22" t="str">
        <f>IFERROR(__xludf.DUMMYFUNCTION("""COMPUTED_VALUE"""),"Mountain")</f>
        <v>Mountain</v>
      </c>
      <c r="H1076" s="22" t="str">
        <f>IFERROR(__xludf.DUMMYFUNCTION("""COMPUTED_VALUE"""),"Lane
Birmingham,")</f>
        <v>Lane
Birmingham,</v>
      </c>
      <c r="I1076" s="22" t="str">
        <f>IFERROR(__xludf.DUMMYFUNCTION("""COMPUTED_VALUE"""),"AL")</f>
        <v>AL</v>
      </c>
      <c r="J1076" s="22">
        <f>IFERROR(__xludf.DUMMYFUNCTION("""COMPUTED_VALUE"""),35223.0)</f>
        <v>35223</v>
      </c>
      <c r="K1076" s="22"/>
      <c r="L1076" s="22"/>
      <c r="M1076" s="22"/>
      <c r="N1076" s="22"/>
      <c r="O1076" s="22"/>
      <c r="P1076" s="22"/>
      <c r="Q1076" s="22"/>
      <c r="R1076" s="22"/>
      <c r="S1076" s="22"/>
      <c r="T1076" s="22"/>
      <c r="U1076" s="24" t="str">
        <f>IFERROR(__xludf.DUMMYFUNCTION("SPLIT(E1076,""01234567890"")"),"Rochelle
")</f>
        <v>Rochelle
</v>
      </c>
      <c r="V1076" s="24" t="str">
        <f>IFERROR(__xludf.DUMMYFUNCTION("SPLIT(D1076,"","")"),"Koslin")</f>
        <v>Koslin</v>
      </c>
      <c r="W1076" s="25" t="str">
        <f t="shared" si="1"/>
        <v>ROCHELLE
 KOSLIN</v>
      </c>
      <c r="X1076" s="22"/>
      <c r="Y1076" s="22"/>
      <c r="Z1076" s="25" t="str">
        <f>IFERROR(__xludf.DUMMYFUNCTION("SPLIT(C1076,""
"")"),"Koslin, Rochelle")</f>
        <v>Koslin, Rochelle</v>
      </c>
      <c r="AA1076" s="22" t="str">
        <f>IFERROR(__xludf.DUMMYFUNCTION("""COMPUTED_VALUE"""),"3456 Brook Mountain Lane")</f>
        <v>3456 Brook Mountain Lane</v>
      </c>
      <c r="AB1076" s="22" t="str">
        <f>IFERROR(__xludf.DUMMYFUNCTION("""COMPUTED_VALUE"""),"Birmingham, AL 35223")</f>
        <v>Birmingham, AL 35223</v>
      </c>
      <c r="AC1076" s="31" t="s">
        <v>2459</v>
      </c>
      <c r="AD1076" s="22"/>
      <c r="AE1076" s="22"/>
      <c r="AF1076" s="22"/>
      <c r="AG1076" s="22" t="s">
        <v>60</v>
      </c>
      <c r="AH1076" s="54">
        <v>2482.0</v>
      </c>
      <c r="AI1076" s="22" t="s">
        <v>68</v>
      </c>
      <c r="AJ1076" s="27">
        <v>250.0</v>
      </c>
      <c r="AK1076" s="31" t="s">
        <v>31</v>
      </c>
      <c r="AL1076" s="28">
        <v>44925.0</v>
      </c>
      <c r="AM1076" s="29">
        <v>44938.558541666665</v>
      </c>
      <c r="AN1076" s="30">
        <v>2.0</v>
      </c>
      <c r="AO1076" s="22"/>
      <c r="AP1076" s="22"/>
      <c r="AQ1076" s="22"/>
      <c r="AR1076" s="22"/>
      <c r="AS1076" s="22"/>
      <c r="AT1076" s="70"/>
      <c r="AU1076" s="22"/>
      <c r="AV1076" s="57"/>
      <c r="AW1076" s="57"/>
      <c r="AX1076" s="70"/>
      <c r="AY1076" s="29"/>
      <c r="AZ1076" s="30"/>
      <c r="CU1076" s="55"/>
      <c r="CV1076" s="55"/>
      <c r="CW1076" s="55"/>
      <c r="CX1076" s="55"/>
      <c r="CY1076" s="55"/>
      <c r="CZ1076" s="55"/>
      <c r="DA1076" s="82"/>
      <c r="DB1076" s="55"/>
      <c r="DC1076" s="55"/>
      <c r="DD1076" s="55"/>
      <c r="DE1076" s="55"/>
      <c r="DF1076" s="55"/>
      <c r="DG1076" s="55"/>
      <c r="DH1076" s="55"/>
      <c r="DI1076" s="55"/>
      <c r="DJ1076" s="55"/>
      <c r="DK1076" s="55"/>
      <c r="DL1076" s="55"/>
      <c r="DM1076" s="55"/>
      <c r="DN1076" s="55"/>
      <c r="DO1076" s="55"/>
      <c r="DP1076" s="55"/>
      <c r="DQ1076" s="55"/>
      <c r="DR1076" s="55"/>
      <c r="DS1076" s="55"/>
      <c r="DT1076" s="55"/>
      <c r="DU1076" s="55"/>
      <c r="DV1076" s="55"/>
      <c r="DW1076" s="55"/>
    </row>
    <row r="1077">
      <c r="A1077" s="40" t="s">
        <v>55</v>
      </c>
      <c r="B1077" s="41" t="s">
        <v>56</v>
      </c>
      <c r="C1077" s="31" t="s">
        <v>2460</v>
      </c>
      <c r="D1077" s="25" t="str">
        <f>IFERROR(__xludf.DUMMYFUNCTION("SPLIT(C1077,"" "")"),"Barnett,")</f>
        <v>Barnett,</v>
      </c>
      <c r="E1077" s="40" t="str">
        <f>IFERROR(__xludf.DUMMYFUNCTION("""COMPUTED_VALUE"""),"Miriam
14020")</f>
        <v>Miriam
14020</v>
      </c>
      <c r="F1077" s="40" t="str">
        <f>IFERROR(__xludf.DUMMYFUNCTION("""COMPUTED_VALUE"""),"Hughes")</f>
        <v>Hughes</v>
      </c>
      <c r="G1077" s="40" t="str">
        <f>IFERROR(__xludf.DUMMYFUNCTION("""COMPUTED_VALUE"""),"Lane
Dallas,")</f>
        <v>Lane
Dallas,</v>
      </c>
      <c r="H1077" s="40" t="str">
        <f>IFERROR(__xludf.DUMMYFUNCTION("""COMPUTED_VALUE"""),"TX")</f>
        <v>TX</v>
      </c>
      <c r="I1077" s="40">
        <f>IFERROR(__xludf.DUMMYFUNCTION("""COMPUTED_VALUE"""),75254.0)</f>
        <v>75254</v>
      </c>
      <c r="J1077" s="40"/>
      <c r="K1077" s="40"/>
      <c r="L1077" s="40"/>
      <c r="M1077" s="40"/>
      <c r="N1077" s="40"/>
      <c r="O1077" s="40"/>
      <c r="P1077" s="40"/>
      <c r="Q1077" s="40"/>
      <c r="R1077" s="40"/>
      <c r="S1077" s="40"/>
      <c r="T1077" s="40"/>
      <c r="U1077" s="24" t="str">
        <f>IFERROR(__xludf.DUMMYFUNCTION("SPLIT(E1077,""01234567890"")"),"Miriam
")</f>
        <v>Miriam
</v>
      </c>
      <c r="V1077" s="24" t="str">
        <f>IFERROR(__xludf.DUMMYFUNCTION("SPLIT(D1077,"","")"),"Barnett")</f>
        <v>Barnett</v>
      </c>
      <c r="W1077" s="25" t="str">
        <f t="shared" si="1"/>
        <v>MIRIAM
 BARNETT</v>
      </c>
      <c r="X1077" s="40"/>
      <c r="Y1077" s="40"/>
      <c r="Z1077" s="25" t="str">
        <f>IFERROR(__xludf.DUMMYFUNCTION("SPLIT(C1077,""
"")"),"Barnett, Miriam")</f>
        <v>Barnett, Miriam</v>
      </c>
      <c r="AA1077" s="40" t="str">
        <f>IFERROR(__xludf.DUMMYFUNCTION("""COMPUTED_VALUE"""),"14020 Hughes Lane")</f>
        <v>14020 Hughes Lane</v>
      </c>
      <c r="AB1077" s="40" t="str">
        <f>IFERROR(__xludf.DUMMYFUNCTION("""COMPUTED_VALUE"""),"Dallas, TX 75254")</f>
        <v>Dallas, TX 75254</v>
      </c>
      <c r="AC1077" s="31" t="s">
        <v>2461</v>
      </c>
      <c r="AD1077" s="40"/>
      <c r="AE1077" s="40"/>
      <c r="AF1077" s="40"/>
      <c r="AG1077" s="40" t="s">
        <v>60</v>
      </c>
      <c r="AH1077" s="42">
        <v>2482.0</v>
      </c>
      <c r="AI1077" s="40" t="s">
        <v>68</v>
      </c>
      <c r="AJ1077" s="27">
        <v>500.0</v>
      </c>
      <c r="AK1077" s="31" t="s">
        <v>31</v>
      </c>
      <c r="AL1077" s="43">
        <v>44925.0</v>
      </c>
      <c r="AM1077" s="44">
        <v>44938.558541666665</v>
      </c>
      <c r="AN1077" s="30">
        <v>2.0</v>
      </c>
      <c r="AO1077" s="40"/>
      <c r="AP1077" s="40"/>
      <c r="AQ1077" s="40"/>
      <c r="AR1077" s="40"/>
      <c r="AS1077" s="40"/>
      <c r="AT1077" s="47"/>
      <c r="AU1077" s="40"/>
      <c r="AV1077" s="46"/>
      <c r="AW1077" s="46"/>
      <c r="AX1077" s="47"/>
      <c r="AY1077" s="44"/>
      <c r="AZ1077" s="30"/>
      <c r="CU1077" s="55"/>
      <c r="CV1077" s="55"/>
      <c r="CW1077" s="55"/>
      <c r="CX1077" s="55"/>
      <c r="CY1077" s="55"/>
      <c r="CZ1077" s="55"/>
      <c r="DA1077" s="82"/>
      <c r="DB1077" s="55"/>
      <c r="DC1077" s="55"/>
      <c r="DD1077" s="55"/>
      <c r="DE1077" s="55"/>
      <c r="DF1077" s="55"/>
      <c r="DG1077" s="55"/>
      <c r="DH1077" s="55"/>
      <c r="DI1077" s="55"/>
      <c r="DJ1077" s="55"/>
      <c r="DK1077" s="55"/>
      <c r="DL1077" s="55"/>
      <c r="DM1077" s="55"/>
      <c r="DN1077" s="55"/>
      <c r="DO1077" s="55"/>
      <c r="DP1077" s="55"/>
      <c r="DQ1077" s="55"/>
      <c r="DR1077" s="55"/>
      <c r="DS1077" s="55"/>
      <c r="DT1077" s="55"/>
      <c r="DU1077" s="55"/>
      <c r="DV1077" s="55"/>
      <c r="DW1077" s="55"/>
    </row>
    <row r="1078">
      <c r="A1078" s="23" t="s">
        <v>64</v>
      </c>
      <c r="B1078" s="23" t="s">
        <v>56</v>
      </c>
      <c r="C1078" s="31" t="s">
        <v>2462</v>
      </c>
      <c r="D1078" s="25" t="str">
        <f>IFERROR(__xludf.DUMMYFUNCTION("SPLIT(C1078,"" "")"),"Tsao,")</f>
        <v>Tsao,</v>
      </c>
      <c r="E1078" s="22" t="str">
        <f>IFERROR(__xludf.DUMMYFUNCTION("""COMPUTED_VALUE"""),"William")</f>
        <v>William</v>
      </c>
      <c r="F1078" s="22" t="str">
        <f>IFERROR(__xludf.DUMMYFUNCTION("""COMPUTED_VALUE"""),"Ming")</f>
        <v>Ming</v>
      </c>
      <c r="G1078" s="22" t="str">
        <f>IFERROR(__xludf.DUMMYFUNCTION("""COMPUTED_VALUE"""),"Tzong
6435")</f>
        <v>Tzong
6435</v>
      </c>
      <c r="H1078" s="22" t="str">
        <f>IFERROR(__xludf.DUMMYFUNCTION("""COMPUTED_VALUE"""),"Riverview")</f>
        <v>Riverview</v>
      </c>
      <c r="I1078" s="22" t="str">
        <f>IFERROR(__xludf.DUMMYFUNCTION("""COMPUTED_VALUE"""),"Lane
Dallas,")</f>
        <v>Lane
Dallas,</v>
      </c>
      <c r="J1078" s="22" t="str">
        <f>IFERROR(__xludf.DUMMYFUNCTION("""COMPUTED_VALUE"""),"TX")</f>
        <v>TX</v>
      </c>
      <c r="K1078" s="22">
        <f>IFERROR(__xludf.DUMMYFUNCTION("""COMPUTED_VALUE"""),75248.0)</f>
        <v>75248</v>
      </c>
      <c r="L1078" s="22"/>
      <c r="M1078" s="22"/>
      <c r="N1078" s="22"/>
      <c r="O1078" s="22"/>
      <c r="P1078" s="22"/>
      <c r="Q1078" s="22"/>
      <c r="R1078" s="22"/>
      <c r="S1078" s="22"/>
      <c r="T1078" s="22"/>
      <c r="U1078" s="24" t="str">
        <f>IFERROR(__xludf.DUMMYFUNCTION("SPLIT(E1078,""01234567890"")"),"William")</f>
        <v>William</v>
      </c>
      <c r="V1078" s="24" t="str">
        <f>IFERROR(__xludf.DUMMYFUNCTION("SPLIT(D1078,"","")"),"Tsao")</f>
        <v>Tsao</v>
      </c>
      <c r="W1078" s="25" t="str">
        <f t="shared" si="1"/>
        <v>WILLIAM TSAO</v>
      </c>
      <c r="X1078" s="22"/>
      <c r="Y1078" s="22"/>
      <c r="Z1078" s="25" t="str">
        <f>IFERROR(__xludf.DUMMYFUNCTION("SPLIT(C1078,""
"")"),"Tsao, William Ming Tzong")</f>
        <v>Tsao, William Ming Tzong</v>
      </c>
      <c r="AA1078" s="22" t="str">
        <f>IFERROR(__xludf.DUMMYFUNCTION("""COMPUTED_VALUE"""),"6435 Riverview Lane")</f>
        <v>6435 Riverview Lane</v>
      </c>
      <c r="AB1078" s="22" t="str">
        <f>IFERROR(__xludf.DUMMYFUNCTION("""COMPUTED_VALUE"""),"Dallas, TX 75248")</f>
        <v>Dallas, TX 75248</v>
      </c>
      <c r="AC1078" s="31" t="s">
        <v>2463</v>
      </c>
      <c r="AD1078" s="22"/>
      <c r="AE1078" s="22"/>
      <c r="AF1078" s="22"/>
      <c r="AG1078" s="22" t="s">
        <v>60</v>
      </c>
      <c r="AH1078" s="54">
        <v>2482.0</v>
      </c>
      <c r="AI1078" s="22" t="s">
        <v>68</v>
      </c>
      <c r="AJ1078" s="27">
        <v>250.0</v>
      </c>
      <c r="AK1078" s="31" t="s">
        <v>31</v>
      </c>
      <c r="AL1078" s="28">
        <v>44925.0</v>
      </c>
      <c r="AM1078" s="29">
        <v>44938.558541666665</v>
      </c>
      <c r="AN1078" s="30">
        <v>2.0</v>
      </c>
      <c r="AO1078" s="22"/>
      <c r="AP1078" s="22"/>
      <c r="AQ1078" s="22"/>
      <c r="AR1078" s="22"/>
      <c r="AS1078" s="22"/>
      <c r="AT1078" s="70"/>
      <c r="AU1078" s="22"/>
      <c r="AV1078" s="57"/>
      <c r="AW1078" s="57"/>
      <c r="AX1078" s="70"/>
      <c r="AY1078" s="29"/>
      <c r="AZ1078" s="30"/>
      <c r="CU1078" s="55"/>
      <c r="CV1078" s="55"/>
      <c r="CW1078" s="55"/>
      <c r="CX1078" s="55"/>
      <c r="CY1078" s="55"/>
      <c r="CZ1078" s="55"/>
      <c r="DA1078" s="82"/>
      <c r="DB1078" s="55"/>
      <c r="DC1078" s="55"/>
      <c r="DD1078" s="55"/>
      <c r="DE1078" s="55"/>
      <c r="DF1078" s="55"/>
      <c r="DG1078" s="55"/>
      <c r="DH1078" s="55"/>
      <c r="DI1078" s="55"/>
      <c r="DJ1078" s="55"/>
      <c r="DK1078" s="55"/>
      <c r="DL1078" s="55"/>
      <c r="DM1078" s="55"/>
      <c r="DN1078" s="55"/>
      <c r="DO1078" s="55"/>
      <c r="DP1078" s="55"/>
      <c r="DQ1078" s="55"/>
      <c r="DR1078" s="55"/>
      <c r="DS1078" s="55"/>
      <c r="DT1078" s="55"/>
      <c r="DU1078" s="55"/>
      <c r="DV1078" s="55"/>
      <c r="DW1078" s="55"/>
    </row>
    <row r="1079">
      <c r="A1079" s="40" t="s">
        <v>55</v>
      </c>
      <c r="B1079" s="41" t="s">
        <v>56</v>
      </c>
      <c r="C1079" s="31" t="s">
        <v>2464</v>
      </c>
      <c r="D1079" s="25" t="str">
        <f>IFERROR(__xludf.DUMMYFUNCTION("SPLIT(C1079,"" "")"),"Epstein,")</f>
        <v>Epstein,</v>
      </c>
      <c r="E1079" s="40" t="str">
        <f>IFERROR(__xludf.DUMMYFUNCTION("""COMPUTED_VALUE"""),"Dia
6")</f>
        <v>Dia
6</v>
      </c>
      <c r="F1079" s="40" t="str">
        <f>IFERROR(__xludf.DUMMYFUNCTION("""COMPUTED_VALUE"""),"Ryddington")</f>
        <v>Ryddington</v>
      </c>
      <c r="G1079" s="40" t="str">
        <f>IFERROR(__xludf.DUMMYFUNCTION("""COMPUTED_VALUE"""),"Place
Dallas,")</f>
        <v>Place
Dallas,</v>
      </c>
      <c r="H1079" s="40" t="str">
        <f>IFERROR(__xludf.DUMMYFUNCTION("""COMPUTED_VALUE"""),"TX")</f>
        <v>TX</v>
      </c>
      <c r="I1079" s="40">
        <f>IFERROR(__xludf.DUMMYFUNCTION("""COMPUTED_VALUE"""),75230.0)</f>
        <v>75230</v>
      </c>
      <c r="J1079" s="40"/>
      <c r="K1079" s="40"/>
      <c r="L1079" s="40"/>
      <c r="M1079" s="40"/>
      <c r="N1079" s="40"/>
      <c r="O1079" s="40"/>
      <c r="P1079" s="40"/>
      <c r="Q1079" s="40"/>
      <c r="R1079" s="40"/>
      <c r="S1079" s="40"/>
      <c r="T1079" s="40"/>
      <c r="U1079" s="24" t="str">
        <f>IFERROR(__xludf.DUMMYFUNCTION("SPLIT(E1079,""01234567890"")"),"Dia
")</f>
        <v>Dia
</v>
      </c>
      <c r="V1079" s="24" t="str">
        <f>IFERROR(__xludf.DUMMYFUNCTION("SPLIT(D1079,"","")"),"Epstein")</f>
        <v>Epstein</v>
      </c>
      <c r="W1079" s="25" t="str">
        <f t="shared" si="1"/>
        <v>DIA
 EPSTEIN</v>
      </c>
      <c r="X1079" s="40"/>
      <c r="Y1079" s="40"/>
      <c r="Z1079" s="25" t="str">
        <f>IFERROR(__xludf.DUMMYFUNCTION("SPLIT(C1079,""
"")"),"Epstein, Dia")</f>
        <v>Epstein, Dia</v>
      </c>
      <c r="AA1079" s="40" t="str">
        <f>IFERROR(__xludf.DUMMYFUNCTION("""COMPUTED_VALUE"""),"6 Ryddington Place")</f>
        <v>6 Ryddington Place</v>
      </c>
      <c r="AB1079" s="40" t="str">
        <f>IFERROR(__xludf.DUMMYFUNCTION("""COMPUTED_VALUE"""),"Dallas, TX 75230")</f>
        <v>Dallas, TX 75230</v>
      </c>
      <c r="AC1079" s="31" t="s">
        <v>2465</v>
      </c>
      <c r="AD1079" s="40"/>
      <c r="AE1079" s="40"/>
      <c r="AF1079" s="40"/>
      <c r="AG1079" s="40" t="s">
        <v>60</v>
      </c>
      <c r="AH1079" s="42">
        <v>2482.0</v>
      </c>
      <c r="AI1079" s="40" t="s">
        <v>68</v>
      </c>
      <c r="AJ1079" s="27">
        <v>500.0</v>
      </c>
      <c r="AK1079" s="31" t="s">
        <v>31</v>
      </c>
      <c r="AL1079" s="43">
        <v>44925.0</v>
      </c>
      <c r="AM1079" s="44">
        <v>44938.558541666665</v>
      </c>
      <c r="AN1079" s="30">
        <v>2.0</v>
      </c>
      <c r="AO1079" s="40"/>
      <c r="AP1079" s="40"/>
      <c r="AQ1079" s="40"/>
      <c r="AR1079" s="40"/>
      <c r="AS1079" s="40"/>
      <c r="AT1079" s="47"/>
      <c r="AU1079" s="40"/>
      <c r="AV1079" s="46"/>
      <c r="AW1079" s="46"/>
      <c r="AX1079" s="47"/>
      <c r="AY1079" s="44"/>
      <c r="AZ1079" s="30"/>
      <c r="CU1079" s="55"/>
      <c r="CV1079" s="55"/>
      <c r="CW1079" s="55"/>
      <c r="CX1079" s="55"/>
      <c r="CY1079" s="55"/>
      <c r="CZ1079" s="55"/>
      <c r="DA1079" s="82"/>
      <c r="DB1079" s="55"/>
      <c r="DC1079" s="55"/>
      <c r="DD1079" s="55"/>
      <c r="DE1079" s="55"/>
      <c r="DF1079" s="55"/>
      <c r="DG1079" s="55"/>
      <c r="DH1079" s="55"/>
      <c r="DI1079" s="55"/>
      <c r="DJ1079" s="55"/>
      <c r="DK1079" s="55"/>
      <c r="DL1079" s="55"/>
      <c r="DM1079" s="55"/>
      <c r="DN1079" s="55"/>
      <c r="DO1079" s="55"/>
      <c r="DP1079" s="55"/>
      <c r="DQ1079" s="55"/>
      <c r="DR1079" s="55"/>
      <c r="DS1079" s="55"/>
      <c r="DT1079" s="55"/>
      <c r="DU1079" s="55"/>
      <c r="DV1079" s="55"/>
      <c r="DW1079" s="55"/>
    </row>
    <row r="1080">
      <c r="A1080" s="23" t="s">
        <v>64</v>
      </c>
      <c r="B1080" s="23" t="s">
        <v>56</v>
      </c>
      <c r="C1080" s="31" t="s">
        <v>2466</v>
      </c>
      <c r="D1080" s="25" t="str">
        <f>IFERROR(__xludf.DUMMYFUNCTION("SPLIT(C1080,"" "")"),"Forbes,")</f>
        <v>Forbes,</v>
      </c>
      <c r="E1080" s="22" t="str">
        <f>IFERROR(__xludf.DUMMYFUNCTION("""COMPUTED_VALUE"""),"Jeff
10159")</f>
        <v>Jeff
10159</v>
      </c>
      <c r="F1080" s="22" t="str">
        <f>IFERROR(__xludf.DUMMYFUNCTION("""COMPUTED_VALUE"""),"Coveridge")</f>
        <v>Coveridge</v>
      </c>
      <c r="G1080" s="22" t="str">
        <f>IFERROR(__xludf.DUMMYFUNCTION("""COMPUTED_VALUE"""),"Drive
Dallas,")</f>
        <v>Drive
Dallas,</v>
      </c>
      <c r="H1080" s="22" t="str">
        <f>IFERROR(__xludf.DUMMYFUNCTION("""COMPUTED_VALUE"""),"TX")</f>
        <v>TX</v>
      </c>
      <c r="I1080" s="22">
        <f>IFERROR(__xludf.DUMMYFUNCTION("""COMPUTED_VALUE"""),75238.0)</f>
        <v>75238</v>
      </c>
      <c r="J1080" s="22"/>
      <c r="K1080" s="22"/>
      <c r="L1080" s="22"/>
      <c r="M1080" s="22"/>
      <c r="N1080" s="22"/>
      <c r="O1080" s="22"/>
      <c r="P1080" s="22"/>
      <c r="Q1080" s="22"/>
      <c r="R1080" s="22"/>
      <c r="S1080" s="22"/>
      <c r="T1080" s="22"/>
      <c r="U1080" s="24" t="str">
        <f>IFERROR(__xludf.DUMMYFUNCTION("SPLIT(E1080,""01234567890"")"),"Jeff
")</f>
        <v>Jeff
</v>
      </c>
      <c r="V1080" s="24" t="str">
        <f>IFERROR(__xludf.DUMMYFUNCTION("SPLIT(D1080,"","")"),"Forbes")</f>
        <v>Forbes</v>
      </c>
      <c r="W1080" s="25" t="str">
        <f t="shared" si="1"/>
        <v>JEFF
 FORBES</v>
      </c>
      <c r="X1080" s="22"/>
      <c r="Y1080" s="22"/>
      <c r="Z1080" s="25" t="str">
        <f>IFERROR(__xludf.DUMMYFUNCTION("SPLIT(C1080,""
"")"),"Forbes, Jeff")</f>
        <v>Forbes, Jeff</v>
      </c>
      <c r="AA1080" s="22" t="str">
        <f>IFERROR(__xludf.DUMMYFUNCTION("""COMPUTED_VALUE"""),"10159 Coveridge Drive")</f>
        <v>10159 Coveridge Drive</v>
      </c>
      <c r="AB1080" s="22" t="str">
        <f>IFERROR(__xludf.DUMMYFUNCTION("""COMPUTED_VALUE"""),"Dallas, TX 75238")</f>
        <v>Dallas, TX 75238</v>
      </c>
      <c r="AC1080" s="31" t="s">
        <v>2467</v>
      </c>
      <c r="AD1080" s="22"/>
      <c r="AE1080" s="22"/>
      <c r="AF1080" s="22"/>
      <c r="AG1080" s="22" t="s">
        <v>60</v>
      </c>
      <c r="AH1080" s="54">
        <v>2482.0</v>
      </c>
      <c r="AI1080" s="22" t="s">
        <v>68</v>
      </c>
      <c r="AJ1080" s="27">
        <v>500.0</v>
      </c>
      <c r="AK1080" s="31" t="s">
        <v>31</v>
      </c>
      <c r="AL1080" s="28">
        <v>44925.0</v>
      </c>
      <c r="AM1080" s="29">
        <v>44938.558541666665</v>
      </c>
      <c r="AN1080" s="30">
        <v>2.0</v>
      </c>
      <c r="AO1080" s="22"/>
      <c r="AP1080" s="22"/>
      <c r="AQ1080" s="22"/>
      <c r="AR1080" s="22"/>
      <c r="AS1080" s="22"/>
      <c r="AT1080" s="70"/>
      <c r="AU1080" s="22"/>
      <c r="AV1080" s="57"/>
      <c r="AW1080" s="57"/>
      <c r="AX1080" s="70"/>
      <c r="AY1080" s="29"/>
      <c r="AZ1080" s="30"/>
      <c r="CU1080" s="55"/>
      <c r="CV1080" s="55"/>
      <c r="CW1080" s="55"/>
      <c r="CX1080" s="55"/>
      <c r="CY1080" s="55"/>
      <c r="CZ1080" s="55"/>
      <c r="DA1080" s="82"/>
      <c r="DB1080" s="55"/>
      <c r="DC1080" s="55"/>
      <c r="DD1080" s="55"/>
      <c r="DE1080" s="55"/>
      <c r="DF1080" s="55"/>
      <c r="DG1080" s="55"/>
      <c r="DH1080" s="55"/>
      <c r="DI1080" s="55"/>
      <c r="DJ1080" s="55"/>
      <c r="DK1080" s="55"/>
      <c r="DL1080" s="55"/>
      <c r="DM1080" s="55"/>
      <c r="DN1080" s="55"/>
      <c r="DO1080" s="55"/>
      <c r="DP1080" s="55"/>
      <c r="DQ1080" s="55"/>
      <c r="DR1080" s="55"/>
      <c r="DS1080" s="55"/>
      <c r="DT1080" s="55"/>
      <c r="DU1080" s="55"/>
      <c r="DV1080" s="55"/>
      <c r="DW1080" s="55"/>
    </row>
    <row r="1081">
      <c r="A1081" s="40" t="s">
        <v>55</v>
      </c>
      <c r="B1081" s="41" t="s">
        <v>56</v>
      </c>
      <c r="C1081" s="31" t="s">
        <v>2468</v>
      </c>
      <c r="D1081" s="25" t="str">
        <f>IFERROR(__xludf.DUMMYFUNCTION("SPLIT(C1081,"" "")"),"Stack,")</f>
        <v>Stack,</v>
      </c>
      <c r="E1081" s="40" t="str">
        <f>IFERROR(__xludf.DUMMYFUNCTION("""COMPUTED_VALUE"""),"Carter
7304")</f>
        <v>Carter
7304</v>
      </c>
      <c r="F1081" s="40" t="str">
        <f>IFERROR(__xludf.DUMMYFUNCTION("""COMPUTED_VALUE"""),"Malabar")</f>
        <v>Malabar</v>
      </c>
      <c r="G1081" s="40" t="str">
        <f>IFERROR(__xludf.DUMMYFUNCTION("""COMPUTED_VALUE"""),"Ln
Dallas,")</f>
        <v>Ln
Dallas,</v>
      </c>
      <c r="H1081" s="40" t="str">
        <f>IFERROR(__xludf.DUMMYFUNCTION("""COMPUTED_VALUE"""),"TX")</f>
        <v>TX</v>
      </c>
      <c r="I1081" s="40">
        <f>IFERROR(__xludf.DUMMYFUNCTION("""COMPUTED_VALUE"""),75230.0)</f>
        <v>75230</v>
      </c>
      <c r="J1081" s="40"/>
      <c r="K1081" s="40"/>
      <c r="L1081" s="40"/>
      <c r="M1081" s="40"/>
      <c r="N1081" s="40"/>
      <c r="O1081" s="40"/>
      <c r="P1081" s="40"/>
      <c r="Q1081" s="40"/>
      <c r="R1081" s="40"/>
      <c r="S1081" s="40"/>
      <c r="T1081" s="40"/>
      <c r="U1081" s="24" t="str">
        <f>IFERROR(__xludf.DUMMYFUNCTION("SPLIT(E1081,""01234567890"")"),"Carter
")</f>
        <v>Carter
</v>
      </c>
      <c r="V1081" s="24" t="str">
        <f>IFERROR(__xludf.DUMMYFUNCTION("SPLIT(D1081,"","")"),"Stack")</f>
        <v>Stack</v>
      </c>
      <c r="W1081" s="25" t="str">
        <f t="shared" si="1"/>
        <v>CARTER
 STACK</v>
      </c>
      <c r="X1081" s="40"/>
      <c r="Y1081" s="40"/>
      <c r="Z1081" s="25" t="str">
        <f>IFERROR(__xludf.DUMMYFUNCTION("SPLIT(C1081,""
"")"),"Stack, Carter")</f>
        <v>Stack, Carter</v>
      </c>
      <c r="AA1081" s="40" t="str">
        <f>IFERROR(__xludf.DUMMYFUNCTION("""COMPUTED_VALUE"""),"7304 Malabar Ln")</f>
        <v>7304 Malabar Ln</v>
      </c>
      <c r="AB1081" s="40" t="str">
        <f>IFERROR(__xludf.DUMMYFUNCTION("""COMPUTED_VALUE"""),"Dallas, TX 75230")</f>
        <v>Dallas, TX 75230</v>
      </c>
      <c r="AC1081" s="31" t="s">
        <v>2469</v>
      </c>
      <c r="AD1081" s="40"/>
      <c r="AE1081" s="40"/>
      <c r="AF1081" s="40"/>
      <c r="AG1081" s="40" t="s">
        <v>60</v>
      </c>
      <c r="AH1081" s="42">
        <v>2482.0</v>
      </c>
      <c r="AI1081" s="40" t="s">
        <v>68</v>
      </c>
      <c r="AJ1081" s="27">
        <v>500.0</v>
      </c>
      <c r="AK1081" s="31" t="s">
        <v>31</v>
      </c>
      <c r="AL1081" s="43">
        <v>44925.0</v>
      </c>
      <c r="AM1081" s="44">
        <v>44938.558541666665</v>
      </c>
      <c r="AN1081" s="30">
        <v>2.0</v>
      </c>
      <c r="AO1081" s="40"/>
      <c r="AP1081" s="40"/>
      <c r="AQ1081" s="40"/>
      <c r="AR1081" s="40"/>
      <c r="AS1081" s="40"/>
      <c r="AT1081" s="47"/>
      <c r="AU1081" s="40"/>
      <c r="AV1081" s="46"/>
      <c r="AW1081" s="46"/>
      <c r="AX1081" s="47"/>
      <c r="AY1081" s="44"/>
      <c r="AZ1081" s="30"/>
      <c r="CU1081" s="55"/>
      <c r="CV1081" s="55"/>
      <c r="CW1081" s="55"/>
      <c r="CX1081" s="55"/>
      <c r="CY1081" s="55"/>
      <c r="CZ1081" s="55"/>
      <c r="DA1081" s="82"/>
      <c r="DB1081" s="55"/>
      <c r="DC1081" s="55"/>
      <c r="DD1081" s="55"/>
      <c r="DE1081" s="55"/>
      <c r="DF1081" s="55"/>
      <c r="DG1081" s="55"/>
      <c r="DH1081" s="55"/>
      <c r="DI1081" s="55"/>
      <c r="DJ1081" s="55"/>
      <c r="DK1081" s="55"/>
      <c r="DL1081" s="55"/>
      <c r="DM1081" s="55"/>
      <c r="DN1081" s="55"/>
      <c r="DO1081" s="55"/>
      <c r="DP1081" s="55"/>
      <c r="DQ1081" s="55"/>
      <c r="DR1081" s="55"/>
      <c r="DS1081" s="55"/>
      <c r="DT1081" s="55"/>
      <c r="DU1081" s="55"/>
      <c r="DV1081" s="55"/>
      <c r="DW1081" s="55"/>
    </row>
    <row r="1082">
      <c r="A1082" s="23" t="s">
        <v>64</v>
      </c>
      <c r="B1082" s="23" t="s">
        <v>56</v>
      </c>
      <c r="C1082" s="31" t="s">
        <v>2470</v>
      </c>
      <c r="D1082" s="25" t="str">
        <f>IFERROR(__xludf.DUMMYFUNCTION("SPLIT(C1082,"" "")"),"Krakow,")</f>
        <v>Krakow,</v>
      </c>
      <c r="E1082" s="22" t="str">
        <f>IFERROR(__xludf.DUMMYFUNCTION("""COMPUTED_VALUE"""),"Robert
4258")</f>
        <v>Robert
4258</v>
      </c>
      <c r="F1082" s="22" t="str">
        <f>IFERROR(__xludf.DUMMYFUNCTION("""COMPUTED_VALUE"""),"Shorecrest")</f>
        <v>Shorecrest</v>
      </c>
      <c r="G1082" s="22" t="str">
        <f>IFERROR(__xludf.DUMMYFUNCTION("""COMPUTED_VALUE"""),"Drive
Dallas,")</f>
        <v>Drive
Dallas,</v>
      </c>
      <c r="H1082" s="22" t="str">
        <f>IFERROR(__xludf.DUMMYFUNCTION("""COMPUTED_VALUE"""),"TX")</f>
        <v>TX</v>
      </c>
      <c r="I1082" s="22">
        <f>IFERROR(__xludf.DUMMYFUNCTION("""COMPUTED_VALUE"""),75209.0)</f>
        <v>75209</v>
      </c>
      <c r="J1082" s="22"/>
      <c r="K1082" s="22"/>
      <c r="L1082" s="22"/>
      <c r="M1082" s="22"/>
      <c r="N1082" s="22"/>
      <c r="O1082" s="22"/>
      <c r="P1082" s="22"/>
      <c r="Q1082" s="22"/>
      <c r="R1082" s="22"/>
      <c r="S1082" s="22"/>
      <c r="T1082" s="22"/>
      <c r="U1082" s="24" t="str">
        <f>IFERROR(__xludf.DUMMYFUNCTION("SPLIT(E1082,""01234567890"")"),"Robert
")</f>
        <v>Robert
</v>
      </c>
      <c r="V1082" s="24" t="str">
        <f>IFERROR(__xludf.DUMMYFUNCTION("SPLIT(D1082,"","")"),"Krakow")</f>
        <v>Krakow</v>
      </c>
      <c r="W1082" s="25" t="str">
        <f t="shared" si="1"/>
        <v>ROBERT
 KRAKOW</v>
      </c>
      <c r="X1082" s="22"/>
      <c r="Y1082" s="22"/>
      <c r="Z1082" s="25" t="str">
        <f>IFERROR(__xludf.DUMMYFUNCTION("SPLIT(C1082,""
"")"),"Krakow, Robert")</f>
        <v>Krakow, Robert</v>
      </c>
      <c r="AA1082" s="22" t="str">
        <f>IFERROR(__xludf.DUMMYFUNCTION("""COMPUTED_VALUE"""),"4258 Shorecrest Drive")</f>
        <v>4258 Shorecrest Drive</v>
      </c>
      <c r="AB1082" s="22" t="str">
        <f>IFERROR(__xludf.DUMMYFUNCTION("""COMPUTED_VALUE"""),"Dallas, TX 75209")</f>
        <v>Dallas, TX 75209</v>
      </c>
      <c r="AC1082" s="31" t="s">
        <v>2471</v>
      </c>
      <c r="AD1082" s="22"/>
      <c r="AE1082" s="22"/>
      <c r="AF1082" s="22"/>
      <c r="AG1082" s="22" t="s">
        <v>60</v>
      </c>
      <c r="AH1082" s="54">
        <v>2482.0</v>
      </c>
      <c r="AI1082" s="22" t="s">
        <v>68</v>
      </c>
      <c r="AJ1082" s="27">
        <v>100.0</v>
      </c>
      <c r="AK1082" s="31" t="s">
        <v>31</v>
      </c>
      <c r="AL1082" s="28">
        <v>44925.0</v>
      </c>
      <c r="AM1082" s="29">
        <v>44938.558541666665</v>
      </c>
      <c r="AN1082" s="30">
        <v>2.0</v>
      </c>
      <c r="AO1082" s="22"/>
      <c r="AP1082" s="22"/>
      <c r="AQ1082" s="22"/>
      <c r="AR1082" s="22"/>
      <c r="AS1082" s="22"/>
      <c r="AT1082" s="70"/>
      <c r="AU1082" s="22"/>
      <c r="AV1082" s="57"/>
      <c r="AW1082" s="57"/>
      <c r="AX1082" s="70"/>
      <c r="AY1082" s="29"/>
      <c r="AZ1082" s="30"/>
      <c r="CU1082" s="55"/>
      <c r="CV1082" s="55"/>
      <c r="CW1082" s="55"/>
      <c r="CX1082" s="55"/>
      <c r="CY1082" s="55"/>
      <c r="CZ1082" s="55"/>
      <c r="DA1082" s="82"/>
      <c r="DB1082" s="55"/>
      <c r="DC1082" s="55"/>
      <c r="DD1082" s="55"/>
      <c r="DE1082" s="55"/>
      <c r="DF1082" s="55"/>
      <c r="DG1082" s="55"/>
      <c r="DH1082" s="55"/>
      <c r="DI1082" s="55"/>
      <c r="DJ1082" s="55"/>
      <c r="DK1082" s="55"/>
      <c r="DL1082" s="55"/>
      <c r="DM1082" s="55"/>
      <c r="DN1082" s="55"/>
      <c r="DO1082" s="55"/>
      <c r="DP1082" s="55"/>
      <c r="DQ1082" s="55"/>
      <c r="DR1082" s="55"/>
      <c r="DS1082" s="55"/>
      <c r="DT1082" s="55"/>
      <c r="DU1082" s="55"/>
      <c r="DV1082" s="55"/>
      <c r="DW1082" s="55"/>
    </row>
    <row r="1083">
      <c r="A1083" s="40" t="s">
        <v>55</v>
      </c>
      <c r="B1083" s="41" t="s">
        <v>56</v>
      </c>
      <c r="C1083" s="31" t="s">
        <v>2472</v>
      </c>
      <c r="D1083" s="25" t="str">
        <f>IFERROR(__xludf.DUMMYFUNCTION("SPLIT(C1083,"" "")"),"Loomis,")</f>
        <v>Loomis,</v>
      </c>
      <c r="E1083" s="40" t="str">
        <f>IFERROR(__xludf.DUMMYFUNCTION("""COMPUTED_VALUE"""),"Jo
6857")</f>
        <v>Jo
6857</v>
      </c>
      <c r="F1083" s="40" t="str">
        <f>IFERROR(__xludf.DUMMYFUNCTION("""COMPUTED_VALUE"""),"Greenwich")</f>
        <v>Greenwich</v>
      </c>
      <c r="G1083" s="40" t="str">
        <f>IFERROR(__xludf.DUMMYFUNCTION("""COMPUTED_VALUE"""),"Lane
Dallas,")</f>
        <v>Lane
Dallas,</v>
      </c>
      <c r="H1083" s="40" t="str">
        <f>IFERROR(__xludf.DUMMYFUNCTION("""COMPUTED_VALUE"""),"TX")</f>
        <v>TX</v>
      </c>
      <c r="I1083" s="40">
        <f>IFERROR(__xludf.DUMMYFUNCTION("""COMPUTED_VALUE"""),75230.0)</f>
        <v>75230</v>
      </c>
      <c r="J1083" s="40"/>
      <c r="K1083" s="40"/>
      <c r="L1083" s="40"/>
      <c r="M1083" s="40"/>
      <c r="N1083" s="40"/>
      <c r="O1083" s="40"/>
      <c r="P1083" s="40"/>
      <c r="Q1083" s="40"/>
      <c r="R1083" s="40"/>
      <c r="S1083" s="40"/>
      <c r="T1083" s="40"/>
      <c r="U1083" s="24" t="str">
        <f>IFERROR(__xludf.DUMMYFUNCTION("SPLIT(E1083,""01234567890"")"),"Jo
")</f>
        <v>Jo
</v>
      </c>
      <c r="V1083" s="24" t="str">
        <f>IFERROR(__xludf.DUMMYFUNCTION("SPLIT(D1083,"","")"),"Loomis")</f>
        <v>Loomis</v>
      </c>
      <c r="W1083" s="25" t="str">
        <f t="shared" si="1"/>
        <v>JO
 LOOMIS</v>
      </c>
      <c r="X1083" s="40"/>
      <c r="Y1083" s="40"/>
      <c r="Z1083" s="25" t="str">
        <f>IFERROR(__xludf.DUMMYFUNCTION("SPLIT(C1083,""
"")"),"Loomis, Jo")</f>
        <v>Loomis, Jo</v>
      </c>
      <c r="AA1083" s="40" t="str">
        <f>IFERROR(__xludf.DUMMYFUNCTION("""COMPUTED_VALUE"""),"6857 Greenwich Lane")</f>
        <v>6857 Greenwich Lane</v>
      </c>
      <c r="AB1083" s="40" t="str">
        <f>IFERROR(__xludf.DUMMYFUNCTION("""COMPUTED_VALUE"""),"Dallas, TX 75230")</f>
        <v>Dallas, TX 75230</v>
      </c>
      <c r="AC1083" s="31" t="s">
        <v>2473</v>
      </c>
      <c r="AD1083" s="40"/>
      <c r="AE1083" s="40"/>
      <c r="AF1083" s="40"/>
      <c r="AG1083" s="40" t="s">
        <v>60</v>
      </c>
      <c r="AH1083" s="42">
        <v>2482.0</v>
      </c>
      <c r="AI1083" s="40" t="s">
        <v>68</v>
      </c>
      <c r="AJ1083" s="27">
        <v>25.0</v>
      </c>
      <c r="AK1083" s="31" t="s">
        <v>31</v>
      </c>
      <c r="AL1083" s="43">
        <v>44925.0</v>
      </c>
      <c r="AM1083" s="44">
        <v>44938.558541666665</v>
      </c>
      <c r="AN1083" s="30">
        <v>2.0</v>
      </c>
      <c r="AO1083" s="40"/>
      <c r="AP1083" s="40"/>
      <c r="AQ1083" s="40"/>
      <c r="AR1083" s="40"/>
      <c r="AS1083" s="40"/>
      <c r="AT1083" s="47"/>
      <c r="AU1083" s="40"/>
      <c r="AV1083" s="46"/>
      <c r="AW1083" s="46"/>
      <c r="AX1083" s="47"/>
      <c r="AY1083" s="44"/>
      <c r="AZ1083" s="30"/>
      <c r="CU1083" s="55"/>
      <c r="CV1083" s="55"/>
      <c r="CW1083" s="55"/>
      <c r="CX1083" s="55"/>
      <c r="CY1083" s="55"/>
      <c r="CZ1083" s="55"/>
      <c r="DA1083" s="82"/>
      <c r="DB1083" s="55"/>
      <c r="DC1083" s="55"/>
      <c r="DD1083" s="55"/>
      <c r="DE1083" s="55"/>
      <c r="DF1083" s="55"/>
      <c r="DG1083" s="55"/>
      <c r="DH1083" s="55"/>
      <c r="DI1083" s="55"/>
      <c r="DJ1083" s="55"/>
      <c r="DK1083" s="55"/>
      <c r="DL1083" s="55"/>
      <c r="DM1083" s="55"/>
      <c r="DN1083" s="55"/>
      <c r="DO1083" s="55"/>
      <c r="DP1083" s="55"/>
      <c r="DQ1083" s="55"/>
      <c r="DR1083" s="55"/>
      <c r="DS1083" s="55"/>
      <c r="DT1083" s="55"/>
      <c r="DU1083" s="55"/>
      <c r="DV1083" s="55"/>
      <c r="DW1083" s="55"/>
    </row>
    <row r="1084">
      <c r="A1084" s="23" t="s">
        <v>64</v>
      </c>
      <c r="B1084" s="23" t="s">
        <v>56</v>
      </c>
      <c r="C1084" s="31" t="s">
        <v>2474</v>
      </c>
      <c r="D1084" s="25" t="str">
        <f>IFERROR(__xludf.DUMMYFUNCTION("SPLIT(C1084,"" "")"),"Feldman,")</f>
        <v>Feldman,</v>
      </c>
      <c r="E1084" s="22" t="str">
        <f>IFERROR(__xludf.DUMMYFUNCTION("""COMPUTED_VALUE"""),"Cynthia
5358")</f>
        <v>Cynthia
5358</v>
      </c>
      <c r="F1084" s="22" t="str">
        <f>IFERROR(__xludf.DUMMYFUNCTION("""COMPUTED_VALUE"""),"Meaders")</f>
        <v>Meaders</v>
      </c>
      <c r="G1084" s="22" t="str">
        <f>IFERROR(__xludf.DUMMYFUNCTION("""COMPUTED_VALUE"""),"Ln
Dallas,")</f>
        <v>Ln
Dallas,</v>
      </c>
      <c r="H1084" s="22" t="str">
        <f>IFERROR(__xludf.DUMMYFUNCTION("""COMPUTED_VALUE"""),"TX")</f>
        <v>TX</v>
      </c>
      <c r="I1084" s="22">
        <f>IFERROR(__xludf.DUMMYFUNCTION("""COMPUTED_VALUE"""),75229.0)</f>
        <v>75229</v>
      </c>
      <c r="J1084" s="22"/>
      <c r="K1084" s="22"/>
      <c r="L1084" s="22"/>
      <c r="M1084" s="22"/>
      <c r="N1084" s="22"/>
      <c r="O1084" s="22"/>
      <c r="P1084" s="22"/>
      <c r="Q1084" s="22"/>
      <c r="R1084" s="22"/>
      <c r="S1084" s="22"/>
      <c r="T1084" s="22"/>
      <c r="U1084" s="24" t="str">
        <f>IFERROR(__xludf.DUMMYFUNCTION("SPLIT(E1084,""01234567890"")"),"Cynthia
")</f>
        <v>Cynthia
</v>
      </c>
      <c r="V1084" s="24" t="str">
        <f>IFERROR(__xludf.DUMMYFUNCTION("SPLIT(D1084,"","")"),"Feldman")</f>
        <v>Feldman</v>
      </c>
      <c r="W1084" s="25" t="str">
        <f t="shared" si="1"/>
        <v>CYNTHIA
 FELDMAN</v>
      </c>
      <c r="X1084" s="22"/>
      <c r="Y1084" s="22"/>
      <c r="Z1084" s="25" t="str">
        <f>IFERROR(__xludf.DUMMYFUNCTION("SPLIT(C1084,""
"")"),"Feldman, Cynthia")</f>
        <v>Feldman, Cynthia</v>
      </c>
      <c r="AA1084" s="22" t="str">
        <f>IFERROR(__xludf.DUMMYFUNCTION("""COMPUTED_VALUE"""),"5358 Meaders Ln")</f>
        <v>5358 Meaders Ln</v>
      </c>
      <c r="AB1084" s="22" t="str">
        <f>IFERROR(__xludf.DUMMYFUNCTION("""COMPUTED_VALUE"""),"Dallas, TX 75229")</f>
        <v>Dallas, TX 75229</v>
      </c>
      <c r="AC1084" s="31" t="s">
        <v>2475</v>
      </c>
      <c r="AD1084" s="22"/>
      <c r="AE1084" s="22"/>
      <c r="AF1084" s="22"/>
      <c r="AG1084" s="22" t="s">
        <v>60</v>
      </c>
      <c r="AH1084" s="54">
        <v>2482.0</v>
      </c>
      <c r="AI1084" s="22" t="s">
        <v>68</v>
      </c>
      <c r="AJ1084" s="27">
        <v>1000.0</v>
      </c>
      <c r="AK1084" s="31" t="s">
        <v>31</v>
      </c>
      <c r="AL1084" s="28">
        <v>44925.0</v>
      </c>
      <c r="AM1084" s="29">
        <v>44938.558541666665</v>
      </c>
      <c r="AN1084" s="30">
        <v>2.0</v>
      </c>
      <c r="AO1084" s="22"/>
      <c r="AP1084" s="22"/>
      <c r="AQ1084" s="22"/>
      <c r="AR1084" s="22"/>
      <c r="AS1084" s="22"/>
      <c r="AT1084" s="70"/>
      <c r="AU1084" s="22"/>
      <c r="AV1084" s="57"/>
      <c r="AW1084" s="57"/>
      <c r="AX1084" s="70"/>
      <c r="AY1084" s="29"/>
      <c r="AZ1084" s="30"/>
      <c r="CU1084" s="55"/>
      <c r="CV1084" s="55"/>
      <c r="CW1084" s="55"/>
      <c r="CX1084" s="55"/>
      <c r="CY1084" s="55"/>
      <c r="CZ1084" s="55"/>
      <c r="DA1084" s="82"/>
      <c r="DB1084" s="55"/>
      <c r="DC1084" s="55"/>
      <c r="DD1084" s="55"/>
      <c r="DE1084" s="55"/>
      <c r="DF1084" s="55"/>
      <c r="DG1084" s="55"/>
      <c r="DH1084" s="55"/>
      <c r="DI1084" s="55"/>
      <c r="DJ1084" s="55"/>
      <c r="DK1084" s="55"/>
      <c r="DL1084" s="55"/>
      <c r="DM1084" s="55"/>
      <c r="DN1084" s="55"/>
      <c r="DO1084" s="55"/>
      <c r="DP1084" s="55"/>
      <c r="DQ1084" s="55"/>
      <c r="DR1084" s="55"/>
      <c r="DS1084" s="55"/>
      <c r="DT1084" s="55"/>
      <c r="DU1084" s="55"/>
      <c r="DV1084" s="55"/>
      <c r="DW1084" s="55"/>
    </row>
    <row r="1085">
      <c r="A1085" s="40" t="s">
        <v>55</v>
      </c>
      <c r="B1085" s="41" t="s">
        <v>56</v>
      </c>
      <c r="C1085" s="31" t="s">
        <v>2476</v>
      </c>
      <c r="D1085" s="25" t="str">
        <f>IFERROR(__xludf.DUMMYFUNCTION("SPLIT(C1085,"" "")"),"Baird,")</f>
        <v>Baird,</v>
      </c>
      <c r="E1085" s="40" t="str">
        <f>IFERROR(__xludf.DUMMYFUNCTION("""COMPUTED_VALUE"""),"Jerry
6918")</f>
        <v>Jerry
6918</v>
      </c>
      <c r="F1085" s="40" t="str">
        <f>IFERROR(__xludf.DUMMYFUNCTION("""COMPUTED_VALUE"""),"Lloyd")</f>
        <v>Lloyd</v>
      </c>
      <c r="G1085" s="40" t="str">
        <f>IFERROR(__xludf.DUMMYFUNCTION("""COMPUTED_VALUE"""),"Valley")</f>
        <v>Valley</v>
      </c>
      <c r="H1085" s="40" t="str">
        <f>IFERROR(__xludf.DUMMYFUNCTION("""COMPUTED_VALUE"""),"Ln
Dallas,")</f>
        <v>Ln
Dallas,</v>
      </c>
      <c r="I1085" s="40" t="str">
        <f>IFERROR(__xludf.DUMMYFUNCTION("""COMPUTED_VALUE"""),"TX")</f>
        <v>TX</v>
      </c>
      <c r="J1085" s="40">
        <f>IFERROR(__xludf.DUMMYFUNCTION("""COMPUTED_VALUE"""),75230.0)</f>
        <v>75230</v>
      </c>
      <c r="K1085" s="40"/>
      <c r="L1085" s="40"/>
      <c r="M1085" s="40"/>
      <c r="N1085" s="40"/>
      <c r="O1085" s="40"/>
      <c r="P1085" s="40"/>
      <c r="Q1085" s="40"/>
      <c r="R1085" s="40"/>
      <c r="S1085" s="40"/>
      <c r="T1085" s="40"/>
      <c r="U1085" s="24" t="str">
        <f>IFERROR(__xludf.DUMMYFUNCTION("SPLIT(E1085,""01234567890"")"),"Jerry
")</f>
        <v>Jerry
</v>
      </c>
      <c r="V1085" s="24" t="str">
        <f>IFERROR(__xludf.DUMMYFUNCTION("SPLIT(D1085,"","")"),"Baird")</f>
        <v>Baird</v>
      </c>
      <c r="W1085" s="25" t="str">
        <f t="shared" si="1"/>
        <v>JERRY
 BAIRD</v>
      </c>
      <c r="X1085" s="40"/>
      <c r="Y1085" s="40"/>
      <c r="Z1085" s="25" t="str">
        <f>IFERROR(__xludf.DUMMYFUNCTION("SPLIT(C1085,""
"")"),"Baird, Jerry")</f>
        <v>Baird, Jerry</v>
      </c>
      <c r="AA1085" s="40" t="str">
        <f>IFERROR(__xludf.DUMMYFUNCTION("""COMPUTED_VALUE"""),"6918 Lloyd Valley Ln")</f>
        <v>6918 Lloyd Valley Ln</v>
      </c>
      <c r="AB1085" s="40" t="str">
        <f>IFERROR(__xludf.DUMMYFUNCTION("""COMPUTED_VALUE"""),"Dallas, TX 75230")</f>
        <v>Dallas, TX 75230</v>
      </c>
      <c r="AC1085" s="31" t="s">
        <v>2477</v>
      </c>
      <c r="AD1085" s="40"/>
      <c r="AE1085" s="40"/>
      <c r="AF1085" s="40"/>
      <c r="AG1085" s="40" t="s">
        <v>60</v>
      </c>
      <c r="AH1085" s="42">
        <v>2482.0</v>
      </c>
      <c r="AI1085" s="40" t="s">
        <v>68</v>
      </c>
      <c r="AJ1085" s="27">
        <v>250.0</v>
      </c>
      <c r="AK1085" s="31" t="s">
        <v>31</v>
      </c>
      <c r="AL1085" s="43">
        <v>44925.0</v>
      </c>
      <c r="AM1085" s="44">
        <v>44938.558541666665</v>
      </c>
      <c r="AN1085" s="30">
        <v>2.0</v>
      </c>
      <c r="AO1085" s="40"/>
      <c r="AP1085" s="40"/>
      <c r="AQ1085" s="40"/>
      <c r="AR1085" s="40"/>
      <c r="AS1085" s="40"/>
      <c r="AT1085" s="47"/>
      <c r="AU1085" s="40"/>
      <c r="AV1085" s="46"/>
      <c r="AW1085" s="46"/>
      <c r="AX1085" s="47"/>
      <c r="AY1085" s="44"/>
      <c r="AZ1085" s="30"/>
      <c r="CU1085" s="55"/>
      <c r="CV1085" s="55"/>
      <c r="CW1085" s="55"/>
      <c r="CX1085" s="55"/>
      <c r="CY1085" s="55"/>
      <c r="CZ1085" s="55"/>
      <c r="DA1085" s="82"/>
      <c r="DB1085" s="55"/>
      <c r="DC1085" s="55"/>
      <c r="DD1085" s="55"/>
      <c r="DE1085" s="55"/>
      <c r="DF1085" s="55"/>
      <c r="DG1085" s="55"/>
      <c r="DH1085" s="55"/>
      <c r="DI1085" s="55"/>
      <c r="DJ1085" s="55"/>
      <c r="DK1085" s="55"/>
      <c r="DL1085" s="55"/>
      <c r="DM1085" s="55"/>
      <c r="DN1085" s="55"/>
      <c r="DO1085" s="55"/>
      <c r="DP1085" s="55"/>
      <c r="DQ1085" s="55"/>
      <c r="DR1085" s="55"/>
      <c r="DS1085" s="55"/>
      <c r="DT1085" s="55"/>
      <c r="DU1085" s="55"/>
      <c r="DV1085" s="55"/>
      <c r="DW1085" s="55"/>
    </row>
    <row r="1086">
      <c r="A1086" s="23" t="s">
        <v>64</v>
      </c>
      <c r="B1086" s="23" t="s">
        <v>56</v>
      </c>
      <c r="C1086" s="31" t="s">
        <v>2478</v>
      </c>
      <c r="D1086" s="25" t="str">
        <f>IFERROR(__xludf.DUMMYFUNCTION("SPLIT(C1086,"" "")"),"Nicklaus")</f>
        <v>Nicklaus</v>
      </c>
      <c r="E1086" s="22" t="str">
        <f>IFERROR(__xludf.DUMMYFUNCTION("""COMPUTED_VALUE"""),"Sabin,")</f>
        <v>Sabin,</v>
      </c>
      <c r="F1086" s="22" t="str">
        <f>IFERROR(__xludf.DUMMYFUNCTION("""COMPUTED_VALUE"""),"Patricia
12606")</f>
        <v>Patricia
12606</v>
      </c>
      <c r="G1086" s="22" t="str">
        <f>IFERROR(__xludf.DUMMYFUNCTION("""COMPUTED_VALUE"""),"Breckenridge")</f>
        <v>Breckenridge</v>
      </c>
      <c r="H1086" s="22" t="str">
        <f>IFERROR(__xludf.DUMMYFUNCTION("""COMPUTED_VALUE"""),"Drive
Dallas,")</f>
        <v>Drive
Dallas,</v>
      </c>
      <c r="I1086" s="22" t="str">
        <f>IFERROR(__xludf.DUMMYFUNCTION("""COMPUTED_VALUE"""),"TX")</f>
        <v>TX</v>
      </c>
      <c r="J1086" s="22">
        <f>IFERROR(__xludf.DUMMYFUNCTION("""COMPUTED_VALUE"""),75230.0)</f>
        <v>75230</v>
      </c>
      <c r="K1086" s="22"/>
      <c r="L1086" s="22"/>
      <c r="M1086" s="22"/>
      <c r="N1086" s="22"/>
      <c r="O1086" s="22"/>
      <c r="P1086" s="22"/>
      <c r="Q1086" s="22"/>
      <c r="R1086" s="22"/>
      <c r="S1086" s="22"/>
      <c r="T1086" s="22"/>
      <c r="U1086" s="24" t="str">
        <f>IFERROR(__xludf.DUMMYFUNCTION("SPLIT(E1086,""01234567890"")"),"Sabin,")</f>
        <v>Sabin,</v>
      </c>
      <c r="V1086" s="24" t="str">
        <f>IFERROR(__xludf.DUMMYFUNCTION("SPLIT(D1086,"","")"),"Nicklaus")</f>
        <v>Nicklaus</v>
      </c>
      <c r="W1086" s="25" t="str">
        <f t="shared" si="1"/>
        <v>SABIN, NICKLAUS</v>
      </c>
      <c r="X1086" s="22"/>
      <c r="Y1086" s="22"/>
      <c r="Z1086" s="25" t="str">
        <f>IFERROR(__xludf.DUMMYFUNCTION("SPLIT(C1086,""
"")"),"Nicklaus Sabin, Patricia")</f>
        <v>Nicklaus Sabin, Patricia</v>
      </c>
      <c r="AA1086" s="22" t="str">
        <f>IFERROR(__xludf.DUMMYFUNCTION("""COMPUTED_VALUE"""),"12606 Breckenridge Drive")</f>
        <v>12606 Breckenridge Drive</v>
      </c>
      <c r="AB1086" s="22" t="str">
        <f>IFERROR(__xludf.DUMMYFUNCTION("""COMPUTED_VALUE"""),"Dallas, TX 75230")</f>
        <v>Dallas, TX 75230</v>
      </c>
      <c r="AC1086" s="31" t="s">
        <v>2479</v>
      </c>
      <c r="AD1086" s="22"/>
      <c r="AE1086" s="22"/>
      <c r="AF1086" s="22"/>
      <c r="AG1086" s="22" t="s">
        <v>60</v>
      </c>
      <c r="AH1086" s="54">
        <v>2482.0</v>
      </c>
      <c r="AI1086" s="22" t="s">
        <v>68</v>
      </c>
      <c r="AJ1086" s="27">
        <v>50.0</v>
      </c>
      <c r="AK1086" s="31" t="s">
        <v>31</v>
      </c>
      <c r="AL1086" s="28">
        <v>44925.0</v>
      </c>
      <c r="AM1086" s="29">
        <v>44938.558541666665</v>
      </c>
      <c r="AN1086" s="30">
        <v>2.0</v>
      </c>
      <c r="AO1086" s="22"/>
      <c r="AP1086" s="22"/>
      <c r="AQ1086" s="22"/>
      <c r="AR1086" s="22"/>
      <c r="AS1086" s="22"/>
      <c r="AT1086" s="70"/>
      <c r="AU1086" s="22"/>
      <c r="AV1086" s="57"/>
      <c r="AW1086" s="57"/>
      <c r="AX1086" s="70"/>
      <c r="AY1086" s="29"/>
      <c r="AZ1086" s="30"/>
      <c r="CU1086" s="55"/>
      <c r="CV1086" s="55"/>
      <c r="CW1086" s="55"/>
      <c r="CX1086" s="55"/>
      <c r="CY1086" s="55"/>
      <c r="CZ1086" s="55"/>
      <c r="DA1086" s="82"/>
      <c r="DB1086" s="55"/>
      <c r="DC1086" s="55"/>
      <c r="DD1086" s="55"/>
      <c r="DE1086" s="55"/>
      <c r="DF1086" s="55"/>
      <c r="DG1086" s="55"/>
      <c r="DH1086" s="55"/>
      <c r="DI1086" s="55"/>
      <c r="DJ1086" s="55"/>
      <c r="DK1086" s="55"/>
      <c r="DL1086" s="55"/>
      <c r="DM1086" s="55"/>
      <c r="DN1086" s="55"/>
      <c r="DO1086" s="55"/>
      <c r="DP1086" s="55"/>
      <c r="DQ1086" s="55"/>
      <c r="DR1086" s="55"/>
      <c r="DS1086" s="55"/>
      <c r="DT1086" s="55"/>
      <c r="DU1086" s="55"/>
      <c r="DV1086" s="55"/>
      <c r="DW1086" s="55"/>
    </row>
    <row r="1087">
      <c r="A1087" s="40" t="s">
        <v>55</v>
      </c>
      <c r="B1087" s="41" t="s">
        <v>56</v>
      </c>
      <c r="C1087" s="31" t="s">
        <v>2480</v>
      </c>
      <c r="D1087" s="25" t="str">
        <f>IFERROR(__xludf.DUMMYFUNCTION("SPLIT(C1087,"" "")"),"Heller,")</f>
        <v>Heller,</v>
      </c>
      <c r="E1087" s="40" t="str">
        <f>IFERROR(__xludf.DUMMYFUNCTION("""COMPUTED_VALUE"""),"Stephen
6740")</f>
        <v>Stephen
6740</v>
      </c>
      <c r="F1087" s="40" t="str">
        <f>IFERROR(__xludf.DUMMYFUNCTION("""COMPUTED_VALUE"""),"Harvest")</f>
        <v>Harvest</v>
      </c>
      <c r="G1087" s="40" t="str">
        <f>IFERROR(__xludf.DUMMYFUNCTION("""COMPUTED_VALUE"""),"Glen")</f>
        <v>Glen</v>
      </c>
      <c r="H1087" s="40" t="str">
        <f>IFERROR(__xludf.DUMMYFUNCTION("""COMPUTED_VALUE"""),"Dr
Dallas,")</f>
        <v>Dr
Dallas,</v>
      </c>
      <c r="I1087" s="40" t="str">
        <f>IFERROR(__xludf.DUMMYFUNCTION("""COMPUTED_VALUE"""),"TX")</f>
        <v>TX</v>
      </c>
      <c r="J1087" s="40">
        <f>IFERROR(__xludf.DUMMYFUNCTION("""COMPUTED_VALUE"""),75248.0)</f>
        <v>75248</v>
      </c>
      <c r="K1087" s="40"/>
      <c r="L1087" s="40"/>
      <c r="M1087" s="40"/>
      <c r="N1087" s="40"/>
      <c r="O1087" s="40"/>
      <c r="P1087" s="40"/>
      <c r="Q1087" s="40"/>
      <c r="R1087" s="40"/>
      <c r="S1087" s="40"/>
      <c r="T1087" s="40"/>
      <c r="U1087" s="24" t="str">
        <f>IFERROR(__xludf.DUMMYFUNCTION("SPLIT(E1087,""01234567890"")"),"Stephen
")</f>
        <v>Stephen
</v>
      </c>
      <c r="V1087" s="24" t="str">
        <f>IFERROR(__xludf.DUMMYFUNCTION("SPLIT(D1087,"","")"),"Heller")</f>
        <v>Heller</v>
      </c>
      <c r="W1087" s="25" t="str">
        <f t="shared" si="1"/>
        <v>STEPHEN
 HELLER</v>
      </c>
      <c r="X1087" s="40"/>
      <c r="Y1087" s="40"/>
      <c r="Z1087" s="25" t="str">
        <f>IFERROR(__xludf.DUMMYFUNCTION("SPLIT(C1087,""
"")"),"Heller, Stephen")</f>
        <v>Heller, Stephen</v>
      </c>
      <c r="AA1087" s="40" t="str">
        <f>IFERROR(__xludf.DUMMYFUNCTION("""COMPUTED_VALUE"""),"6740 Harvest Glen Dr")</f>
        <v>6740 Harvest Glen Dr</v>
      </c>
      <c r="AB1087" s="40" t="str">
        <f>IFERROR(__xludf.DUMMYFUNCTION("""COMPUTED_VALUE"""),"Dallas, TX 75248")</f>
        <v>Dallas, TX 75248</v>
      </c>
      <c r="AC1087" s="31" t="s">
        <v>2481</v>
      </c>
      <c r="AD1087" s="40"/>
      <c r="AE1087" s="40"/>
      <c r="AF1087" s="40"/>
      <c r="AG1087" s="40" t="s">
        <v>60</v>
      </c>
      <c r="AH1087" s="42">
        <v>2482.0</v>
      </c>
      <c r="AI1087" s="40" t="s">
        <v>68</v>
      </c>
      <c r="AJ1087" s="27">
        <v>50.0</v>
      </c>
      <c r="AK1087" s="31" t="s">
        <v>31</v>
      </c>
      <c r="AL1087" s="43">
        <v>44925.0</v>
      </c>
      <c r="AM1087" s="44">
        <v>44938.558541666665</v>
      </c>
      <c r="AN1087" s="30">
        <v>2.0</v>
      </c>
      <c r="AO1087" s="40"/>
      <c r="AP1087" s="40"/>
      <c r="AQ1087" s="40"/>
      <c r="AR1087" s="40"/>
      <c r="AS1087" s="40"/>
      <c r="AT1087" s="47"/>
      <c r="AU1087" s="40"/>
      <c r="AV1087" s="46"/>
      <c r="AW1087" s="46"/>
      <c r="AX1087" s="47"/>
      <c r="AY1087" s="44"/>
      <c r="AZ1087" s="30"/>
      <c r="CU1087" s="55"/>
      <c r="CV1087" s="55"/>
      <c r="CW1087" s="55"/>
      <c r="CX1087" s="55"/>
      <c r="CY1087" s="55"/>
      <c r="CZ1087" s="55"/>
      <c r="DA1087" s="82"/>
      <c r="DB1087" s="55"/>
      <c r="DC1087" s="55"/>
      <c r="DD1087" s="55"/>
      <c r="DE1087" s="55"/>
      <c r="DF1087" s="55"/>
      <c r="DG1087" s="55"/>
      <c r="DH1087" s="55"/>
      <c r="DI1087" s="55"/>
      <c r="DJ1087" s="55"/>
      <c r="DK1087" s="55"/>
      <c r="DL1087" s="55"/>
      <c r="DM1087" s="55"/>
      <c r="DN1087" s="55"/>
      <c r="DO1087" s="55"/>
      <c r="DP1087" s="55"/>
      <c r="DQ1087" s="55"/>
      <c r="DR1087" s="55"/>
      <c r="DS1087" s="55"/>
      <c r="DT1087" s="55"/>
      <c r="DU1087" s="55"/>
      <c r="DV1087" s="55"/>
      <c r="DW1087" s="55"/>
    </row>
    <row r="1088">
      <c r="A1088" s="23" t="s">
        <v>64</v>
      </c>
      <c r="B1088" s="23" t="s">
        <v>56</v>
      </c>
      <c r="C1088" s="31" t="s">
        <v>2482</v>
      </c>
      <c r="D1088" s="25" t="str">
        <f>IFERROR(__xludf.DUMMYFUNCTION("SPLIT(C1088,"" "")"),"Rutchik,")</f>
        <v>Rutchik,</v>
      </c>
      <c r="E1088" s="22" t="str">
        <f>IFERROR(__xludf.DUMMYFUNCTION("""COMPUTED_VALUE"""),"Morris
5200")</f>
        <v>Morris
5200</v>
      </c>
      <c r="F1088" s="22" t="str">
        <f>IFERROR(__xludf.DUMMYFUNCTION("""COMPUTED_VALUE"""),"Keller")</f>
        <v>Keller</v>
      </c>
      <c r="G1088" s="22" t="str">
        <f>IFERROR(__xludf.DUMMYFUNCTION("""COMPUTED_VALUE"""),"Springs")</f>
        <v>Springs</v>
      </c>
      <c r="H1088" s="22" t="str">
        <f>IFERROR(__xludf.DUMMYFUNCTION("""COMPUTED_VALUE"""),"Road
Dallas,")</f>
        <v>Road
Dallas,</v>
      </c>
      <c r="I1088" s="22" t="str">
        <f>IFERROR(__xludf.DUMMYFUNCTION("""COMPUTED_VALUE"""),"TX")</f>
        <v>TX</v>
      </c>
      <c r="J1088" s="22">
        <f>IFERROR(__xludf.DUMMYFUNCTION("""COMPUTED_VALUE"""),75248.0)</f>
        <v>75248</v>
      </c>
      <c r="K1088" s="22"/>
      <c r="L1088" s="22"/>
      <c r="M1088" s="22"/>
      <c r="N1088" s="22"/>
      <c r="O1088" s="22"/>
      <c r="P1088" s="22"/>
      <c r="Q1088" s="22"/>
      <c r="R1088" s="22"/>
      <c r="S1088" s="22"/>
      <c r="T1088" s="22"/>
      <c r="U1088" s="24" t="str">
        <f>IFERROR(__xludf.DUMMYFUNCTION("SPLIT(E1088,""01234567890"")"),"Morris
")</f>
        <v>Morris
</v>
      </c>
      <c r="V1088" s="24" t="str">
        <f>IFERROR(__xludf.DUMMYFUNCTION("SPLIT(D1088,"","")"),"Rutchik")</f>
        <v>Rutchik</v>
      </c>
      <c r="W1088" s="25" t="str">
        <f t="shared" si="1"/>
        <v>MORRIS
 RUTCHIK</v>
      </c>
      <c r="X1088" s="22"/>
      <c r="Y1088" s="22"/>
      <c r="Z1088" s="25" t="str">
        <f>IFERROR(__xludf.DUMMYFUNCTION("SPLIT(C1088,""
"")"),"Rutchik, Morris")</f>
        <v>Rutchik, Morris</v>
      </c>
      <c r="AA1088" s="22" t="str">
        <f>IFERROR(__xludf.DUMMYFUNCTION("""COMPUTED_VALUE"""),"5200 Keller Springs Road")</f>
        <v>5200 Keller Springs Road</v>
      </c>
      <c r="AB1088" s="22" t="str">
        <f>IFERROR(__xludf.DUMMYFUNCTION("""COMPUTED_VALUE"""),"Dallas, TX 75248")</f>
        <v>Dallas, TX 75248</v>
      </c>
      <c r="AC1088" s="31" t="s">
        <v>2483</v>
      </c>
      <c r="AD1088" s="22"/>
      <c r="AE1088" s="22"/>
      <c r="AF1088" s="22"/>
      <c r="AG1088" s="22" t="s">
        <v>60</v>
      </c>
      <c r="AH1088" s="54">
        <v>2482.0</v>
      </c>
      <c r="AI1088" s="22" t="s">
        <v>68</v>
      </c>
      <c r="AJ1088" s="27">
        <v>100.0</v>
      </c>
      <c r="AK1088" s="31" t="s">
        <v>31</v>
      </c>
      <c r="AL1088" s="28">
        <v>44925.0</v>
      </c>
      <c r="AM1088" s="29">
        <v>44938.558541666665</v>
      </c>
      <c r="AN1088" s="30">
        <v>2.0</v>
      </c>
      <c r="AO1088" s="22"/>
      <c r="AP1088" s="22"/>
      <c r="AQ1088" s="22"/>
      <c r="AR1088" s="22"/>
      <c r="AS1088" s="22"/>
      <c r="AT1088" s="70"/>
      <c r="AU1088" s="22"/>
      <c r="AV1088" s="57"/>
      <c r="AW1088" s="57"/>
      <c r="AX1088" s="70"/>
      <c r="AY1088" s="29"/>
      <c r="AZ1088" s="30"/>
      <c r="CU1088" s="55"/>
      <c r="CV1088" s="55"/>
      <c r="CW1088" s="55"/>
      <c r="CX1088" s="55"/>
      <c r="CY1088" s="55"/>
      <c r="CZ1088" s="55"/>
      <c r="DA1088" s="82"/>
      <c r="DB1088" s="55"/>
      <c r="DC1088" s="55"/>
      <c r="DD1088" s="55"/>
      <c r="DE1088" s="55"/>
      <c r="DF1088" s="55"/>
      <c r="DG1088" s="55"/>
      <c r="DH1088" s="55"/>
      <c r="DI1088" s="55"/>
      <c r="DJ1088" s="55"/>
      <c r="DK1088" s="55"/>
      <c r="DL1088" s="55"/>
      <c r="DM1088" s="55"/>
      <c r="DN1088" s="55"/>
      <c r="DO1088" s="55"/>
      <c r="DP1088" s="55"/>
      <c r="DQ1088" s="55"/>
      <c r="DR1088" s="55"/>
      <c r="DS1088" s="55"/>
      <c r="DT1088" s="55"/>
      <c r="DU1088" s="55"/>
      <c r="DV1088" s="55"/>
      <c r="DW1088" s="55"/>
    </row>
    <row r="1089">
      <c r="A1089" s="40" t="s">
        <v>55</v>
      </c>
      <c r="B1089" s="41" t="s">
        <v>56</v>
      </c>
      <c r="C1089" s="31" t="s">
        <v>2484</v>
      </c>
      <c r="D1089" s="25" t="str">
        <f>IFERROR(__xludf.DUMMYFUNCTION("SPLIT(C1089,"" "")"),"Wilkofsky,")</f>
        <v>Wilkofsky,</v>
      </c>
      <c r="E1089" s="40" t="str">
        <f>IFERROR(__xludf.DUMMYFUNCTION("""COMPUTED_VALUE"""),"Susan
11651")</f>
        <v>Susan
11651</v>
      </c>
      <c r="F1089" s="40" t="str">
        <f>IFERROR(__xludf.DUMMYFUNCTION("""COMPUTED_VALUE"""),"Hillcrest")</f>
        <v>Hillcrest</v>
      </c>
      <c r="G1089" s="40" t="str">
        <f>IFERROR(__xludf.DUMMYFUNCTION("""COMPUTED_VALUE"""),"Rd
Dallas,")</f>
        <v>Rd
Dallas,</v>
      </c>
      <c r="H1089" s="40" t="str">
        <f>IFERROR(__xludf.DUMMYFUNCTION("""COMPUTED_VALUE"""),"TX")</f>
        <v>TX</v>
      </c>
      <c r="I1089" s="40">
        <f>IFERROR(__xludf.DUMMYFUNCTION("""COMPUTED_VALUE"""),75230.0)</f>
        <v>75230</v>
      </c>
      <c r="J1089" s="40"/>
      <c r="K1089" s="40"/>
      <c r="L1089" s="40"/>
      <c r="M1089" s="40"/>
      <c r="N1089" s="40"/>
      <c r="O1089" s="40"/>
      <c r="P1089" s="40"/>
      <c r="Q1089" s="40"/>
      <c r="R1089" s="40"/>
      <c r="S1089" s="40"/>
      <c r="T1089" s="40"/>
      <c r="U1089" s="24" t="str">
        <f>IFERROR(__xludf.DUMMYFUNCTION("SPLIT(E1089,""01234567890"")"),"Susan
")</f>
        <v>Susan
</v>
      </c>
      <c r="V1089" s="24" t="str">
        <f>IFERROR(__xludf.DUMMYFUNCTION("SPLIT(D1089,"","")"),"Wilkofsky")</f>
        <v>Wilkofsky</v>
      </c>
      <c r="W1089" s="25" t="str">
        <f t="shared" si="1"/>
        <v>SUSAN
 WILKOFSKY</v>
      </c>
      <c r="X1089" s="40"/>
      <c r="Y1089" s="40"/>
      <c r="Z1089" s="25" t="str">
        <f>IFERROR(__xludf.DUMMYFUNCTION("SPLIT(C1089,""
"")"),"Wilkofsky, Susan")</f>
        <v>Wilkofsky, Susan</v>
      </c>
      <c r="AA1089" s="40" t="str">
        <f>IFERROR(__xludf.DUMMYFUNCTION("""COMPUTED_VALUE"""),"11651 Hillcrest Rd")</f>
        <v>11651 Hillcrest Rd</v>
      </c>
      <c r="AB1089" s="40" t="str">
        <f>IFERROR(__xludf.DUMMYFUNCTION("""COMPUTED_VALUE"""),"Dallas, TX 75230")</f>
        <v>Dallas, TX 75230</v>
      </c>
      <c r="AC1089" s="31" t="s">
        <v>2485</v>
      </c>
      <c r="AD1089" s="40"/>
      <c r="AE1089" s="40"/>
      <c r="AF1089" s="40"/>
      <c r="AG1089" s="40" t="s">
        <v>60</v>
      </c>
      <c r="AH1089" s="42">
        <v>2482.0</v>
      </c>
      <c r="AI1089" s="40" t="s">
        <v>68</v>
      </c>
      <c r="AJ1089" s="27">
        <v>50.0</v>
      </c>
      <c r="AK1089" s="31" t="s">
        <v>31</v>
      </c>
      <c r="AL1089" s="43">
        <v>44925.0</v>
      </c>
      <c r="AM1089" s="44">
        <v>44938.558541666665</v>
      </c>
      <c r="AN1089" s="30">
        <v>2.0</v>
      </c>
      <c r="AO1089" s="40"/>
      <c r="AP1089" s="40"/>
      <c r="AQ1089" s="40"/>
      <c r="AR1089" s="40"/>
      <c r="AS1089" s="40"/>
      <c r="AT1089" s="47"/>
      <c r="AU1089" s="40"/>
      <c r="AV1089" s="46"/>
      <c r="AW1089" s="46"/>
      <c r="AX1089" s="47"/>
      <c r="AY1089" s="44"/>
      <c r="AZ1089" s="30"/>
      <c r="CU1089" s="55"/>
      <c r="CV1089" s="55"/>
      <c r="CW1089" s="55"/>
      <c r="CX1089" s="55"/>
      <c r="CY1089" s="55"/>
      <c r="CZ1089" s="55"/>
      <c r="DA1089" s="82"/>
      <c r="DB1089" s="55"/>
      <c r="DC1089" s="55"/>
      <c r="DD1089" s="55"/>
      <c r="DE1089" s="55"/>
      <c r="DF1089" s="55"/>
      <c r="DG1089" s="55"/>
      <c r="DH1089" s="55"/>
      <c r="DI1089" s="55"/>
      <c r="DJ1089" s="55"/>
      <c r="DK1089" s="55"/>
      <c r="DL1089" s="55"/>
      <c r="DM1089" s="55"/>
      <c r="DN1089" s="55"/>
      <c r="DO1089" s="55"/>
      <c r="DP1089" s="55"/>
      <c r="DQ1089" s="55"/>
      <c r="DR1089" s="55"/>
      <c r="DS1089" s="55"/>
      <c r="DT1089" s="55"/>
      <c r="DU1089" s="55"/>
      <c r="DV1089" s="55"/>
      <c r="DW1089" s="55"/>
    </row>
    <row r="1090">
      <c r="A1090" s="23" t="s">
        <v>64</v>
      </c>
      <c r="B1090" s="23" t="s">
        <v>56</v>
      </c>
      <c r="C1090" s="31" t="s">
        <v>2486</v>
      </c>
      <c r="D1090" s="25" t="str">
        <f>IFERROR(__xludf.DUMMYFUNCTION("SPLIT(C1090,"" "")"),"Radunsky,")</f>
        <v>Radunsky,</v>
      </c>
      <c r="E1090" s="22" t="str">
        <f>IFERROR(__xludf.DUMMYFUNCTION("""COMPUTED_VALUE"""),"Barbara
12015")</f>
        <v>Barbara
12015</v>
      </c>
      <c r="F1090" s="22" t="str">
        <f>IFERROR(__xludf.DUMMYFUNCTION("""COMPUTED_VALUE"""),"Excelsior")</f>
        <v>Excelsior</v>
      </c>
      <c r="G1090" s="22" t="str">
        <f>IFERROR(__xludf.DUMMYFUNCTION("""COMPUTED_VALUE"""),"Way
Dallas,")</f>
        <v>Way
Dallas,</v>
      </c>
      <c r="H1090" s="22" t="str">
        <f>IFERROR(__xludf.DUMMYFUNCTION("""COMPUTED_VALUE"""),"TX")</f>
        <v>TX</v>
      </c>
      <c r="I1090" s="22">
        <f>IFERROR(__xludf.DUMMYFUNCTION("""COMPUTED_VALUE"""),75230.0)</f>
        <v>75230</v>
      </c>
      <c r="J1090" s="22"/>
      <c r="K1090" s="22"/>
      <c r="L1090" s="22"/>
      <c r="M1090" s="22"/>
      <c r="N1090" s="22"/>
      <c r="O1090" s="22"/>
      <c r="P1090" s="22"/>
      <c r="Q1090" s="22"/>
      <c r="R1090" s="22"/>
      <c r="S1090" s="22"/>
      <c r="T1090" s="22"/>
      <c r="U1090" s="24" t="str">
        <f>IFERROR(__xludf.DUMMYFUNCTION("SPLIT(E1090,""01234567890"")"),"Barbara
")</f>
        <v>Barbara
</v>
      </c>
      <c r="V1090" s="24" t="str">
        <f>IFERROR(__xludf.DUMMYFUNCTION("SPLIT(D1090,"","")"),"Radunsky")</f>
        <v>Radunsky</v>
      </c>
      <c r="W1090" s="25" t="str">
        <f t="shared" si="1"/>
        <v>BARBARA
 RADUNSKY</v>
      </c>
      <c r="X1090" s="22"/>
      <c r="Y1090" s="22"/>
      <c r="Z1090" s="25" t="str">
        <f>IFERROR(__xludf.DUMMYFUNCTION("SPLIT(C1090,""
"")"),"Radunsky, Barbara")</f>
        <v>Radunsky, Barbara</v>
      </c>
      <c r="AA1090" s="22" t="str">
        <f>IFERROR(__xludf.DUMMYFUNCTION("""COMPUTED_VALUE"""),"12015 Excelsior Way")</f>
        <v>12015 Excelsior Way</v>
      </c>
      <c r="AB1090" s="22" t="str">
        <f>IFERROR(__xludf.DUMMYFUNCTION("""COMPUTED_VALUE"""),"Dallas, TX 75230")</f>
        <v>Dallas, TX 75230</v>
      </c>
      <c r="AC1090" s="31" t="s">
        <v>2487</v>
      </c>
      <c r="AD1090" s="22"/>
      <c r="AE1090" s="22"/>
      <c r="AF1090" s="22"/>
      <c r="AG1090" s="22" t="s">
        <v>60</v>
      </c>
      <c r="AH1090" s="54">
        <v>2482.0</v>
      </c>
      <c r="AI1090" s="22" t="s">
        <v>68</v>
      </c>
      <c r="AJ1090" s="27">
        <v>500.0</v>
      </c>
      <c r="AK1090" s="31" t="s">
        <v>31</v>
      </c>
      <c r="AL1090" s="28">
        <v>44925.0</v>
      </c>
      <c r="AM1090" s="29">
        <v>44938.558541666665</v>
      </c>
      <c r="AN1090" s="30">
        <v>2.0</v>
      </c>
      <c r="AO1090" s="22"/>
      <c r="AP1090" s="22"/>
      <c r="AQ1090" s="22"/>
      <c r="AR1090" s="22"/>
      <c r="AS1090" s="22"/>
      <c r="AT1090" s="70"/>
      <c r="AU1090" s="22"/>
      <c r="AV1090" s="57"/>
      <c r="AW1090" s="57"/>
      <c r="AX1090" s="70"/>
      <c r="AY1090" s="29"/>
      <c r="AZ1090" s="30"/>
      <c r="CU1090" s="55"/>
      <c r="CV1090" s="55"/>
      <c r="CW1090" s="55"/>
      <c r="CX1090" s="55"/>
      <c r="CY1090" s="55"/>
      <c r="CZ1090" s="55"/>
      <c r="DA1090" s="82"/>
      <c r="DB1090" s="55"/>
      <c r="DC1090" s="55"/>
      <c r="DD1090" s="55"/>
      <c r="DE1090" s="55"/>
      <c r="DF1090" s="55"/>
      <c r="DG1090" s="55"/>
      <c r="DH1090" s="55"/>
      <c r="DI1090" s="55"/>
      <c r="DJ1090" s="55"/>
      <c r="DK1090" s="55"/>
      <c r="DL1090" s="55"/>
      <c r="DM1090" s="55"/>
      <c r="DN1090" s="55"/>
      <c r="DO1090" s="55"/>
      <c r="DP1090" s="55"/>
      <c r="DQ1090" s="55"/>
      <c r="DR1090" s="55"/>
      <c r="DS1090" s="55"/>
      <c r="DT1090" s="55"/>
      <c r="DU1090" s="55"/>
      <c r="DV1090" s="55"/>
      <c r="DW1090" s="55"/>
    </row>
    <row r="1091">
      <c r="A1091" s="40" t="s">
        <v>55</v>
      </c>
      <c r="B1091" s="41" t="s">
        <v>56</v>
      </c>
      <c r="C1091" s="31" t="s">
        <v>2488</v>
      </c>
      <c r="D1091" s="25" t="str">
        <f>IFERROR(__xludf.DUMMYFUNCTION("SPLIT(C1091,"" "")"),"Swartzbaugh,")</f>
        <v>Swartzbaugh,</v>
      </c>
      <c r="E1091" s="40" t="str">
        <f>IFERROR(__xludf.DUMMYFUNCTION("""COMPUTED_VALUE"""),"Nathan
7716")</f>
        <v>Nathan
7716</v>
      </c>
      <c r="F1091" s="40" t="str">
        <f>IFERROR(__xludf.DUMMYFUNCTION("""COMPUTED_VALUE"""),"Royal")</f>
        <v>Royal</v>
      </c>
      <c r="G1091" s="40" t="str">
        <f>IFERROR(__xludf.DUMMYFUNCTION("""COMPUTED_VALUE"""),"Ln
Dallas,")</f>
        <v>Ln
Dallas,</v>
      </c>
      <c r="H1091" s="40" t="str">
        <f>IFERROR(__xludf.DUMMYFUNCTION("""COMPUTED_VALUE"""),"TX")</f>
        <v>TX</v>
      </c>
      <c r="I1091" s="40">
        <f>IFERROR(__xludf.DUMMYFUNCTION("""COMPUTED_VALUE"""),75230.0)</f>
        <v>75230</v>
      </c>
      <c r="J1091" s="40"/>
      <c r="K1091" s="40"/>
      <c r="L1091" s="40"/>
      <c r="M1091" s="40"/>
      <c r="N1091" s="40"/>
      <c r="O1091" s="40"/>
      <c r="P1091" s="40"/>
      <c r="Q1091" s="40"/>
      <c r="R1091" s="40"/>
      <c r="S1091" s="40"/>
      <c r="T1091" s="40"/>
      <c r="U1091" s="24" t="str">
        <f>IFERROR(__xludf.DUMMYFUNCTION("SPLIT(E1091,""01234567890"")"),"Nathan
")</f>
        <v>Nathan
</v>
      </c>
      <c r="V1091" s="24" t="str">
        <f>IFERROR(__xludf.DUMMYFUNCTION("SPLIT(D1091,"","")"),"Swartzbaugh")</f>
        <v>Swartzbaugh</v>
      </c>
      <c r="W1091" s="25" t="str">
        <f t="shared" si="1"/>
        <v>NATHAN
 SWARTZBAUGH</v>
      </c>
      <c r="X1091" s="40"/>
      <c r="Y1091" s="40"/>
      <c r="Z1091" s="25" t="str">
        <f>IFERROR(__xludf.DUMMYFUNCTION("SPLIT(C1091,""
"")"),"Swartzbaugh, Nathan")</f>
        <v>Swartzbaugh, Nathan</v>
      </c>
      <c r="AA1091" s="40" t="str">
        <f>IFERROR(__xludf.DUMMYFUNCTION("""COMPUTED_VALUE"""),"7716 Royal Ln")</f>
        <v>7716 Royal Ln</v>
      </c>
      <c r="AB1091" s="40" t="str">
        <f>IFERROR(__xludf.DUMMYFUNCTION("""COMPUTED_VALUE"""),"Dallas, TX 75230")</f>
        <v>Dallas, TX 75230</v>
      </c>
      <c r="AC1091" s="31" t="s">
        <v>2489</v>
      </c>
      <c r="AD1091" s="40"/>
      <c r="AE1091" s="40"/>
      <c r="AF1091" s="40"/>
      <c r="AG1091" s="40" t="s">
        <v>60</v>
      </c>
      <c r="AH1091" s="42">
        <v>2482.0</v>
      </c>
      <c r="AI1091" s="40" t="s">
        <v>68</v>
      </c>
      <c r="AJ1091" s="27">
        <v>25.0</v>
      </c>
      <c r="AK1091" s="31" t="s">
        <v>31</v>
      </c>
      <c r="AL1091" s="43">
        <v>44925.0</v>
      </c>
      <c r="AM1091" s="44">
        <v>44938.558541666665</v>
      </c>
      <c r="AN1091" s="30">
        <v>2.0</v>
      </c>
      <c r="AO1091" s="40"/>
      <c r="AP1091" s="40"/>
      <c r="AQ1091" s="40"/>
      <c r="AR1091" s="40"/>
      <c r="AS1091" s="40"/>
      <c r="AT1091" s="47"/>
      <c r="AU1091" s="40"/>
      <c r="AV1091" s="46"/>
      <c r="AW1091" s="46"/>
      <c r="AX1091" s="47"/>
      <c r="AY1091" s="44"/>
      <c r="AZ1091" s="30"/>
      <c r="CU1091" s="55"/>
      <c r="CV1091" s="55"/>
      <c r="CW1091" s="55"/>
      <c r="CX1091" s="55"/>
      <c r="CY1091" s="55"/>
      <c r="CZ1091" s="55"/>
      <c r="DA1091" s="82"/>
      <c r="DB1091" s="55"/>
      <c r="DC1091" s="55"/>
      <c r="DD1091" s="55"/>
      <c r="DE1091" s="55"/>
      <c r="DF1091" s="55"/>
      <c r="DG1091" s="55"/>
      <c r="DH1091" s="55"/>
      <c r="DI1091" s="55"/>
      <c r="DJ1091" s="55"/>
      <c r="DK1091" s="55"/>
      <c r="DL1091" s="55"/>
      <c r="DM1091" s="55"/>
      <c r="DN1091" s="55"/>
      <c r="DO1091" s="55"/>
      <c r="DP1091" s="55"/>
      <c r="DQ1091" s="55"/>
      <c r="DR1091" s="55"/>
      <c r="DS1091" s="55"/>
      <c r="DT1091" s="55"/>
      <c r="DU1091" s="55"/>
      <c r="DV1091" s="55"/>
      <c r="DW1091" s="55"/>
    </row>
    <row r="1092">
      <c r="A1092" s="23" t="s">
        <v>64</v>
      </c>
      <c r="B1092" s="23" t="s">
        <v>56</v>
      </c>
      <c r="C1092" s="31" t="s">
        <v>2490</v>
      </c>
      <c r="D1092" s="25" t="str">
        <f>IFERROR(__xludf.DUMMYFUNCTION("SPLIT(C1092,"" "")"),"Erback,")</f>
        <v>Erback,</v>
      </c>
      <c r="E1092" s="22" t="str">
        <f>IFERROR(__xludf.DUMMYFUNCTION("""COMPUTED_VALUE"""),"Elaine
7731")</f>
        <v>Elaine
7731</v>
      </c>
      <c r="F1092" s="22" t="str">
        <f>IFERROR(__xludf.DUMMYFUNCTION("""COMPUTED_VALUE"""),"Royal")</f>
        <v>Royal</v>
      </c>
      <c r="G1092" s="22" t="str">
        <f>IFERROR(__xludf.DUMMYFUNCTION("""COMPUTED_VALUE"""),"Lane
Dallas,")</f>
        <v>Lane
Dallas,</v>
      </c>
      <c r="H1092" s="22" t="str">
        <f>IFERROR(__xludf.DUMMYFUNCTION("""COMPUTED_VALUE"""),"TX")</f>
        <v>TX</v>
      </c>
      <c r="I1092" s="22">
        <f>IFERROR(__xludf.DUMMYFUNCTION("""COMPUTED_VALUE"""),75230.0)</f>
        <v>75230</v>
      </c>
      <c r="J1092" s="22"/>
      <c r="K1092" s="22"/>
      <c r="L1092" s="22"/>
      <c r="M1092" s="22"/>
      <c r="N1092" s="22"/>
      <c r="O1092" s="22"/>
      <c r="P1092" s="22"/>
      <c r="Q1092" s="22"/>
      <c r="R1092" s="22"/>
      <c r="S1092" s="22"/>
      <c r="T1092" s="22"/>
      <c r="U1092" s="24" t="str">
        <f>IFERROR(__xludf.DUMMYFUNCTION("SPLIT(E1092,""01234567890"")"),"Elaine
")</f>
        <v>Elaine
</v>
      </c>
      <c r="V1092" s="24" t="str">
        <f>IFERROR(__xludf.DUMMYFUNCTION("SPLIT(D1092,"","")"),"Erback")</f>
        <v>Erback</v>
      </c>
      <c r="W1092" s="25" t="str">
        <f t="shared" si="1"/>
        <v>ELAINE
 ERBACK</v>
      </c>
      <c r="X1092" s="22"/>
      <c r="Y1092" s="22"/>
      <c r="Z1092" s="25" t="str">
        <f>IFERROR(__xludf.DUMMYFUNCTION("SPLIT(C1092,""
"")"),"Erback, Elaine")</f>
        <v>Erback, Elaine</v>
      </c>
      <c r="AA1092" s="22" t="str">
        <f>IFERROR(__xludf.DUMMYFUNCTION("""COMPUTED_VALUE"""),"7731 Royal Lane")</f>
        <v>7731 Royal Lane</v>
      </c>
      <c r="AB1092" s="22" t="str">
        <f>IFERROR(__xludf.DUMMYFUNCTION("""COMPUTED_VALUE"""),"Dallas, TX 75230")</f>
        <v>Dallas, TX 75230</v>
      </c>
      <c r="AC1092" s="31" t="s">
        <v>2491</v>
      </c>
      <c r="AD1092" s="22"/>
      <c r="AE1092" s="22"/>
      <c r="AF1092" s="22"/>
      <c r="AG1092" s="22" t="s">
        <v>60</v>
      </c>
      <c r="AH1092" s="54">
        <v>2482.0</v>
      </c>
      <c r="AI1092" s="22" t="s">
        <v>68</v>
      </c>
      <c r="AJ1092" s="27">
        <v>100.0</v>
      </c>
      <c r="AK1092" s="31" t="s">
        <v>31</v>
      </c>
      <c r="AL1092" s="28">
        <v>44925.0</v>
      </c>
      <c r="AM1092" s="29">
        <v>44938.558541666665</v>
      </c>
      <c r="AN1092" s="30">
        <v>2.0</v>
      </c>
      <c r="AO1092" s="22"/>
      <c r="AP1092" s="22"/>
      <c r="AQ1092" s="22"/>
      <c r="AR1092" s="22"/>
      <c r="AS1092" s="22"/>
      <c r="AT1092" s="70"/>
      <c r="AU1092" s="22"/>
      <c r="AV1092" s="57"/>
      <c r="AW1092" s="57"/>
      <c r="AX1092" s="70"/>
      <c r="AY1092" s="29"/>
      <c r="AZ1092" s="30"/>
      <c r="CU1092" s="55"/>
      <c r="CV1092" s="55"/>
      <c r="CW1092" s="55"/>
      <c r="CX1092" s="55"/>
      <c r="CY1092" s="55"/>
      <c r="CZ1092" s="55"/>
      <c r="DA1092" s="82"/>
      <c r="DB1092" s="55"/>
      <c r="DC1092" s="55"/>
      <c r="DD1092" s="55"/>
      <c r="DE1092" s="55"/>
      <c r="DF1092" s="55"/>
      <c r="DG1092" s="55"/>
      <c r="DH1092" s="55"/>
      <c r="DI1092" s="55"/>
      <c r="DJ1092" s="55"/>
      <c r="DK1092" s="55"/>
      <c r="DL1092" s="55"/>
      <c r="DM1092" s="55"/>
      <c r="DN1092" s="55"/>
      <c r="DO1092" s="55"/>
      <c r="DP1092" s="55"/>
      <c r="DQ1092" s="55"/>
      <c r="DR1092" s="55"/>
      <c r="DS1092" s="55"/>
      <c r="DT1092" s="55"/>
      <c r="DU1092" s="55"/>
      <c r="DV1092" s="55"/>
      <c r="DW1092" s="55"/>
    </row>
    <row r="1093">
      <c r="A1093" s="40" t="s">
        <v>55</v>
      </c>
      <c r="B1093" s="41" t="s">
        <v>56</v>
      </c>
      <c r="C1093" s="31" t="s">
        <v>333</v>
      </c>
      <c r="D1093" s="25" t="str">
        <f>IFERROR(__xludf.DUMMYFUNCTION("SPLIT(C1093,"" "")"),"Bazaldua,")</f>
        <v>Bazaldua,</v>
      </c>
      <c r="E1093" s="40" t="str">
        <f>IFERROR(__xludf.DUMMYFUNCTION("""COMPUTED_VALUE"""),"Adam
6926")</f>
        <v>Adam
6926</v>
      </c>
      <c r="F1093" s="40" t="str">
        <f>IFERROR(__xludf.DUMMYFUNCTION("""COMPUTED_VALUE"""),"Belteau")</f>
        <v>Belteau</v>
      </c>
      <c r="G1093" s="40" t="str">
        <f>IFERROR(__xludf.DUMMYFUNCTION("""COMPUTED_VALUE"""),"Lane
Dallas,")</f>
        <v>Lane
Dallas,</v>
      </c>
      <c r="H1093" s="40" t="str">
        <f>IFERROR(__xludf.DUMMYFUNCTION("""COMPUTED_VALUE"""),"TX")</f>
        <v>TX</v>
      </c>
      <c r="I1093" s="40">
        <f>IFERROR(__xludf.DUMMYFUNCTION("""COMPUTED_VALUE"""),75227.0)</f>
        <v>75227</v>
      </c>
      <c r="J1093" s="40"/>
      <c r="K1093" s="40"/>
      <c r="L1093" s="40"/>
      <c r="M1093" s="40"/>
      <c r="N1093" s="40"/>
      <c r="O1093" s="40"/>
      <c r="P1093" s="40"/>
      <c r="Q1093" s="40"/>
      <c r="R1093" s="40"/>
      <c r="S1093" s="40"/>
      <c r="T1093" s="40"/>
      <c r="U1093" s="24" t="str">
        <f>IFERROR(__xludf.DUMMYFUNCTION("SPLIT(E1093,""01234567890"")"),"Adam
")</f>
        <v>Adam
</v>
      </c>
      <c r="V1093" s="24" t="str">
        <f>IFERROR(__xludf.DUMMYFUNCTION("SPLIT(D1093,"","")"),"Bazaldua")</f>
        <v>Bazaldua</v>
      </c>
      <c r="W1093" s="25" t="str">
        <f t="shared" si="1"/>
        <v>ADAM
 BAZALDUA</v>
      </c>
      <c r="X1093" s="40"/>
      <c r="Y1093" s="40"/>
      <c r="Z1093" s="25" t="str">
        <f>IFERROR(__xludf.DUMMYFUNCTION("SPLIT(C1093,""
"")"),"Bazaldua, Adam")</f>
        <v>Bazaldua, Adam</v>
      </c>
      <c r="AA1093" s="40" t="str">
        <f>IFERROR(__xludf.DUMMYFUNCTION("""COMPUTED_VALUE"""),"6926 Belteau Lane")</f>
        <v>6926 Belteau Lane</v>
      </c>
      <c r="AB1093" s="40" t="str">
        <f>IFERROR(__xludf.DUMMYFUNCTION("""COMPUTED_VALUE"""),"Dallas, TX 75227")</f>
        <v>Dallas, TX 75227</v>
      </c>
      <c r="AC1093" s="31" t="s">
        <v>335</v>
      </c>
      <c r="AD1093" s="40"/>
      <c r="AE1093" s="40"/>
      <c r="AF1093" s="40"/>
      <c r="AG1093" s="40" t="s">
        <v>60</v>
      </c>
      <c r="AH1093" s="42">
        <v>2482.0</v>
      </c>
      <c r="AI1093" s="40" t="s">
        <v>68</v>
      </c>
      <c r="AJ1093" s="27">
        <v>50.0</v>
      </c>
      <c r="AK1093" s="31" t="s">
        <v>31</v>
      </c>
      <c r="AL1093" s="43">
        <v>44925.0</v>
      </c>
      <c r="AM1093" s="44">
        <v>44938.558541666665</v>
      </c>
      <c r="AN1093" s="30">
        <v>2.0</v>
      </c>
      <c r="AO1093" s="40"/>
      <c r="AP1093" s="40"/>
      <c r="AQ1093" s="40"/>
      <c r="AR1093" s="40"/>
      <c r="AS1093" s="40"/>
      <c r="AT1093" s="47"/>
      <c r="AU1093" s="40"/>
      <c r="AV1093" s="46"/>
      <c r="AW1093" s="46"/>
      <c r="AX1093" s="47"/>
      <c r="AY1093" s="44"/>
      <c r="AZ1093" s="30"/>
      <c r="CU1093" s="55"/>
      <c r="CV1093" s="55"/>
      <c r="CW1093" s="55"/>
      <c r="CX1093" s="55"/>
      <c r="CY1093" s="55"/>
      <c r="CZ1093" s="55"/>
      <c r="DA1093" s="82"/>
      <c r="DB1093" s="55"/>
      <c r="DC1093" s="55"/>
      <c r="DD1093" s="55"/>
      <c r="DE1093" s="55"/>
      <c r="DF1093" s="55"/>
      <c r="DG1093" s="55"/>
      <c r="DH1093" s="55"/>
      <c r="DI1093" s="55"/>
      <c r="DJ1093" s="55"/>
      <c r="DK1093" s="55"/>
      <c r="DL1093" s="55"/>
      <c r="DM1093" s="55"/>
      <c r="DN1093" s="55"/>
      <c r="DO1093" s="55"/>
      <c r="DP1093" s="55"/>
      <c r="DQ1093" s="55"/>
      <c r="DR1093" s="55"/>
      <c r="DS1093" s="55"/>
      <c r="DT1093" s="55"/>
      <c r="DU1093" s="55"/>
      <c r="DV1093" s="55"/>
      <c r="DW1093" s="55"/>
    </row>
    <row r="1094">
      <c r="A1094" s="23" t="s">
        <v>64</v>
      </c>
      <c r="B1094" s="23" t="s">
        <v>56</v>
      </c>
      <c r="C1094" s="31" t="s">
        <v>2492</v>
      </c>
      <c r="D1094" s="25" t="str">
        <f>IFERROR(__xludf.DUMMYFUNCTION("SPLIT(C1094,"" "")"),"Ohayon,")</f>
        <v>Ohayon,</v>
      </c>
      <c r="E1094" s="22" t="str">
        <f>IFERROR(__xludf.DUMMYFUNCTION("""COMPUTED_VALUE"""),"Jacques
6246")</f>
        <v>Jacques
6246</v>
      </c>
      <c r="F1094" s="22" t="str">
        <f>IFERROR(__xludf.DUMMYFUNCTION("""COMPUTED_VALUE"""),"Dykes")</f>
        <v>Dykes</v>
      </c>
      <c r="G1094" s="22" t="str">
        <f>IFERROR(__xludf.DUMMYFUNCTION("""COMPUTED_VALUE"""),"Way
dallas,")</f>
        <v>Way
dallas,</v>
      </c>
      <c r="H1094" s="22" t="str">
        <f>IFERROR(__xludf.DUMMYFUNCTION("""COMPUTED_VALUE"""),"TX")</f>
        <v>TX</v>
      </c>
      <c r="I1094" s="22">
        <f>IFERROR(__xludf.DUMMYFUNCTION("""COMPUTED_VALUE"""),75230.0)</f>
        <v>75230</v>
      </c>
      <c r="J1094" s="22"/>
      <c r="K1094" s="22"/>
      <c r="L1094" s="22"/>
      <c r="M1094" s="22"/>
      <c r="N1094" s="22"/>
      <c r="O1094" s="22"/>
      <c r="P1094" s="22"/>
      <c r="Q1094" s="22"/>
      <c r="R1094" s="22"/>
      <c r="S1094" s="22"/>
      <c r="T1094" s="22"/>
      <c r="U1094" s="24" t="str">
        <f>IFERROR(__xludf.DUMMYFUNCTION("SPLIT(E1094,""01234567890"")"),"Jacques
")</f>
        <v>Jacques
</v>
      </c>
      <c r="V1094" s="24" t="str">
        <f>IFERROR(__xludf.DUMMYFUNCTION("SPLIT(D1094,"","")"),"Ohayon")</f>
        <v>Ohayon</v>
      </c>
      <c r="W1094" s="25" t="str">
        <f t="shared" si="1"/>
        <v>JACQUES
 OHAYON</v>
      </c>
      <c r="X1094" s="22"/>
      <c r="Y1094" s="22"/>
      <c r="Z1094" s="25" t="str">
        <f>IFERROR(__xludf.DUMMYFUNCTION("SPLIT(C1094,""
"")"),"Ohayon, Jacques")</f>
        <v>Ohayon, Jacques</v>
      </c>
      <c r="AA1094" s="22" t="str">
        <f>IFERROR(__xludf.DUMMYFUNCTION("""COMPUTED_VALUE"""),"6246 Dykes Way")</f>
        <v>6246 Dykes Way</v>
      </c>
      <c r="AB1094" s="22" t="str">
        <f>IFERROR(__xludf.DUMMYFUNCTION("""COMPUTED_VALUE"""),"dallas, TX 75230")</f>
        <v>dallas, TX 75230</v>
      </c>
      <c r="AC1094" s="31" t="s">
        <v>2493</v>
      </c>
      <c r="AD1094" s="22"/>
      <c r="AE1094" s="22"/>
      <c r="AF1094" s="22"/>
      <c r="AG1094" s="22" t="s">
        <v>60</v>
      </c>
      <c r="AH1094" s="54">
        <v>2482.0</v>
      </c>
      <c r="AI1094" s="22" t="s">
        <v>68</v>
      </c>
      <c r="AJ1094" s="27">
        <v>500.0</v>
      </c>
      <c r="AK1094" s="31" t="s">
        <v>31</v>
      </c>
      <c r="AL1094" s="28">
        <v>44925.0</v>
      </c>
      <c r="AM1094" s="29">
        <v>44938.558541666665</v>
      </c>
      <c r="AN1094" s="30">
        <v>2.0</v>
      </c>
      <c r="AO1094" s="22"/>
      <c r="AP1094" s="22"/>
      <c r="AQ1094" s="22"/>
      <c r="AR1094" s="22"/>
      <c r="AS1094" s="22"/>
      <c r="AT1094" s="70"/>
      <c r="AU1094" s="22"/>
      <c r="AV1094" s="57"/>
      <c r="AW1094" s="57"/>
      <c r="AX1094" s="70"/>
      <c r="AY1094" s="29"/>
      <c r="AZ1094" s="30"/>
      <c r="CU1094" s="55"/>
      <c r="CV1094" s="55"/>
      <c r="CW1094" s="55"/>
      <c r="CX1094" s="55"/>
      <c r="CY1094" s="55"/>
      <c r="CZ1094" s="55"/>
      <c r="DA1094" s="82"/>
      <c r="DB1094" s="55"/>
      <c r="DC1094" s="55"/>
      <c r="DD1094" s="55"/>
      <c r="DE1094" s="55"/>
      <c r="DF1094" s="55"/>
      <c r="DG1094" s="55"/>
      <c r="DH1094" s="55"/>
      <c r="DI1094" s="55"/>
      <c r="DJ1094" s="55"/>
      <c r="DK1094" s="55"/>
      <c r="DL1094" s="55"/>
      <c r="DM1094" s="55"/>
      <c r="DN1094" s="55"/>
      <c r="DO1094" s="55"/>
      <c r="DP1094" s="55"/>
      <c r="DQ1094" s="55"/>
      <c r="DR1094" s="55"/>
      <c r="DS1094" s="55"/>
      <c r="DT1094" s="55"/>
      <c r="DU1094" s="55"/>
      <c r="DV1094" s="55"/>
      <c r="DW1094" s="55"/>
    </row>
    <row r="1095">
      <c r="A1095" s="40" t="s">
        <v>55</v>
      </c>
      <c r="B1095" s="41" t="s">
        <v>56</v>
      </c>
      <c r="C1095" s="31" t="s">
        <v>2494</v>
      </c>
      <c r="D1095" s="25" t="str">
        <f>IFERROR(__xludf.DUMMYFUNCTION("SPLIT(C1095,"" "")"),"Rothschild,")</f>
        <v>Rothschild,</v>
      </c>
      <c r="E1095" s="40" t="str">
        <f>IFERROR(__xludf.DUMMYFUNCTION("""COMPUTED_VALUE"""),"Barry
6915")</f>
        <v>Barry
6915</v>
      </c>
      <c r="F1095" s="40" t="str">
        <f>IFERROR(__xludf.DUMMYFUNCTION("""COMPUTED_VALUE"""),"Currin")</f>
        <v>Currin</v>
      </c>
      <c r="G1095" s="40" t="str">
        <f>IFERROR(__xludf.DUMMYFUNCTION("""COMPUTED_VALUE"""),"Drive
Dallas,")</f>
        <v>Drive
Dallas,</v>
      </c>
      <c r="H1095" s="40" t="str">
        <f>IFERROR(__xludf.DUMMYFUNCTION("""COMPUTED_VALUE"""),"TX")</f>
        <v>TX</v>
      </c>
      <c r="I1095" s="40">
        <f>IFERROR(__xludf.DUMMYFUNCTION("""COMPUTED_VALUE"""),75230.0)</f>
        <v>75230</v>
      </c>
      <c r="J1095" s="40"/>
      <c r="K1095" s="40"/>
      <c r="L1095" s="40"/>
      <c r="M1095" s="40"/>
      <c r="N1095" s="40"/>
      <c r="O1095" s="40"/>
      <c r="P1095" s="40"/>
      <c r="Q1095" s="40"/>
      <c r="R1095" s="40"/>
      <c r="S1095" s="40"/>
      <c r="T1095" s="40"/>
      <c r="U1095" s="24" t="str">
        <f>IFERROR(__xludf.DUMMYFUNCTION("SPLIT(E1095,""01234567890"")"),"Barry
")</f>
        <v>Barry
</v>
      </c>
      <c r="V1095" s="24" t="str">
        <f>IFERROR(__xludf.DUMMYFUNCTION("SPLIT(D1095,"","")"),"Rothschild")</f>
        <v>Rothschild</v>
      </c>
      <c r="W1095" s="25" t="str">
        <f t="shared" si="1"/>
        <v>BARRY
 ROTHSCHILD</v>
      </c>
      <c r="X1095" s="40"/>
      <c r="Y1095" s="40"/>
      <c r="Z1095" s="25" t="str">
        <f>IFERROR(__xludf.DUMMYFUNCTION("SPLIT(C1095,""
"")"),"Rothschild, Barry")</f>
        <v>Rothschild, Barry</v>
      </c>
      <c r="AA1095" s="40" t="str">
        <f>IFERROR(__xludf.DUMMYFUNCTION("""COMPUTED_VALUE"""),"6915 Currin Drive")</f>
        <v>6915 Currin Drive</v>
      </c>
      <c r="AB1095" s="40" t="str">
        <f>IFERROR(__xludf.DUMMYFUNCTION("""COMPUTED_VALUE"""),"Dallas, TX 75230")</f>
        <v>Dallas, TX 75230</v>
      </c>
      <c r="AC1095" s="31" t="s">
        <v>2495</v>
      </c>
      <c r="AD1095" s="40"/>
      <c r="AE1095" s="40"/>
      <c r="AF1095" s="40"/>
      <c r="AG1095" s="40" t="s">
        <v>60</v>
      </c>
      <c r="AH1095" s="42">
        <v>2482.0</v>
      </c>
      <c r="AI1095" s="40" t="s">
        <v>68</v>
      </c>
      <c r="AJ1095" s="27">
        <v>300.0</v>
      </c>
      <c r="AK1095" s="31" t="s">
        <v>31</v>
      </c>
      <c r="AL1095" s="43">
        <v>44925.0</v>
      </c>
      <c r="AM1095" s="44">
        <v>44938.558541666665</v>
      </c>
      <c r="AN1095" s="30">
        <v>2.0</v>
      </c>
      <c r="AO1095" s="40"/>
      <c r="AP1095" s="40"/>
      <c r="AQ1095" s="40"/>
      <c r="AR1095" s="40"/>
      <c r="AS1095" s="40"/>
      <c r="AT1095" s="47"/>
      <c r="AU1095" s="40"/>
      <c r="AV1095" s="46"/>
      <c r="AW1095" s="46"/>
      <c r="AX1095" s="47"/>
      <c r="AY1095" s="44"/>
      <c r="AZ1095" s="30"/>
      <c r="CU1095" s="55"/>
      <c r="CV1095" s="55"/>
      <c r="CW1095" s="55"/>
      <c r="CX1095" s="55"/>
      <c r="CY1095" s="55"/>
      <c r="CZ1095" s="55"/>
      <c r="DA1095" s="82"/>
      <c r="DB1095" s="55"/>
      <c r="DC1095" s="55"/>
      <c r="DD1095" s="55"/>
      <c r="DE1095" s="55"/>
      <c r="DF1095" s="55"/>
      <c r="DG1095" s="55"/>
      <c r="DH1095" s="55"/>
      <c r="DI1095" s="55"/>
      <c r="DJ1095" s="55"/>
      <c r="DK1095" s="55"/>
      <c r="DL1095" s="55"/>
      <c r="DM1095" s="55"/>
      <c r="DN1095" s="55"/>
      <c r="DO1095" s="55"/>
      <c r="DP1095" s="55"/>
      <c r="DQ1095" s="55"/>
      <c r="DR1095" s="55"/>
      <c r="DS1095" s="55"/>
      <c r="DT1095" s="55"/>
      <c r="DU1095" s="55"/>
      <c r="DV1095" s="55"/>
      <c r="DW1095" s="55"/>
    </row>
    <row r="1096">
      <c r="A1096" s="23" t="s">
        <v>64</v>
      </c>
      <c r="B1096" s="23" t="s">
        <v>56</v>
      </c>
      <c r="C1096" s="31" t="s">
        <v>2496</v>
      </c>
      <c r="D1096" s="25" t="str">
        <f>IFERROR(__xludf.DUMMYFUNCTION("SPLIT(C1096,"" "")"),"Smith,")</f>
        <v>Smith,</v>
      </c>
      <c r="E1096" s="22" t="str">
        <f>IFERROR(__xludf.DUMMYFUNCTION("""COMPUTED_VALUE"""),"Suzanne
3210")</f>
        <v>Suzanne
3210</v>
      </c>
      <c r="F1096" s="22" t="str">
        <f>IFERROR(__xludf.DUMMYFUNCTION("""COMPUTED_VALUE"""),"Carlisle")</f>
        <v>Carlisle</v>
      </c>
      <c r="G1096" s="22" t="str">
        <f>IFERROR(__xludf.DUMMYFUNCTION("""COMPUTED_VALUE"""),"Street
Dallas,")</f>
        <v>Street
Dallas,</v>
      </c>
      <c r="H1096" s="22" t="str">
        <f>IFERROR(__xludf.DUMMYFUNCTION("""COMPUTED_VALUE"""),"TX")</f>
        <v>TX</v>
      </c>
      <c r="I1096" s="22">
        <f>IFERROR(__xludf.DUMMYFUNCTION("""COMPUTED_VALUE"""),75204.0)</f>
        <v>75204</v>
      </c>
      <c r="J1096" s="22"/>
      <c r="K1096" s="22"/>
      <c r="L1096" s="22"/>
      <c r="M1096" s="22"/>
      <c r="N1096" s="22"/>
      <c r="O1096" s="22"/>
      <c r="P1096" s="22"/>
      <c r="Q1096" s="22"/>
      <c r="R1096" s="22"/>
      <c r="S1096" s="22"/>
      <c r="T1096" s="22"/>
      <c r="U1096" s="24" t="str">
        <f>IFERROR(__xludf.DUMMYFUNCTION("SPLIT(E1096,""01234567890"")"),"Suzanne
")</f>
        <v>Suzanne
</v>
      </c>
      <c r="V1096" s="24" t="str">
        <f>IFERROR(__xludf.DUMMYFUNCTION("SPLIT(D1096,"","")"),"Smith")</f>
        <v>Smith</v>
      </c>
      <c r="W1096" s="25" t="str">
        <f t="shared" si="1"/>
        <v>SUZANNE
 SMITH</v>
      </c>
      <c r="X1096" s="22"/>
      <c r="Y1096" s="22"/>
      <c r="Z1096" s="25" t="str">
        <f>IFERROR(__xludf.DUMMYFUNCTION("SPLIT(C1096,""
"")"),"Smith, Suzanne")</f>
        <v>Smith, Suzanne</v>
      </c>
      <c r="AA1096" s="22" t="str">
        <f>IFERROR(__xludf.DUMMYFUNCTION("""COMPUTED_VALUE"""),"3210 Carlisle Street")</f>
        <v>3210 Carlisle Street</v>
      </c>
      <c r="AB1096" s="22" t="str">
        <f>IFERROR(__xludf.DUMMYFUNCTION("""COMPUTED_VALUE"""),"Dallas, TX 75204")</f>
        <v>Dallas, TX 75204</v>
      </c>
      <c r="AC1096" s="31" t="s">
        <v>1405</v>
      </c>
      <c r="AD1096" s="22"/>
      <c r="AE1096" s="22"/>
      <c r="AF1096" s="22"/>
      <c r="AG1096" s="22" t="s">
        <v>60</v>
      </c>
      <c r="AH1096" s="54">
        <v>2482.0</v>
      </c>
      <c r="AI1096" s="22" t="s">
        <v>68</v>
      </c>
      <c r="AJ1096" s="27">
        <v>250.0</v>
      </c>
      <c r="AK1096" s="31" t="s">
        <v>31</v>
      </c>
      <c r="AL1096" s="28">
        <v>44925.0</v>
      </c>
      <c r="AM1096" s="29">
        <v>44938.558541666665</v>
      </c>
      <c r="AN1096" s="30">
        <v>2.0</v>
      </c>
      <c r="AO1096" s="22"/>
      <c r="AP1096" s="22"/>
      <c r="AQ1096" s="22"/>
      <c r="AR1096" s="22"/>
      <c r="AS1096" s="22"/>
      <c r="AT1096" s="70"/>
      <c r="AU1096" s="22"/>
      <c r="AV1096" s="57"/>
      <c r="AW1096" s="57"/>
      <c r="AX1096" s="70"/>
      <c r="AY1096" s="29"/>
      <c r="AZ1096" s="30"/>
      <c r="CU1096" s="55"/>
      <c r="CV1096" s="55"/>
      <c r="CW1096" s="55"/>
      <c r="CX1096" s="55"/>
      <c r="CY1096" s="55"/>
      <c r="CZ1096" s="55"/>
      <c r="DA1096" s="82"/>
      <c r="DB1096" s="55"/>
      <c r="DC1096" s="55"/>
      <c r="DD1096" s="55"/>
      <c r="DE1096" s="55"/>
      <c r="DF1096" s="55"/>
      <c r="DG1096" s="55"/>
      <c r="DH1096" s="55"/>
      <c r="DI1096" s="55"/>
      <c r="DJ1096" s="55"/>
      <c r="DK1096" s="55"/>
      <c r="DL1096" s="55"/>
      <c r="DM1096" s="55"/>
      <c r="DN1096" s="55"/>
      <c r="DO1096" s="55"/>
      <c r="DP1096" s="55"/>
      <c r="DQ1096" s="55"/>
      <c r="DR1096" s="55"/>
      <c r="DS1096" s="55"/>
      <c r="DT1096" s="55"/>
      <c r="DU1096" s="55"/>
      <c r="DV1096" s="55"/>
      <c r="DW1096" s="55"/>
    </row>
    <row r="1097">
      <c r="A1097" s="40" t="s">
        <v>55</v>
      </c>
      <c r="B1097" s="41" t="s">
        <v>56</v>
      </c>
      <c r="C1097" s="31" t="s">
        <v>271</v>
      </c>
      <c r="D1097" s="25" t="str">
        <f>IFERROR(__xludf.DUMMYFUNCTION("SPLIT(C1097,"" "")"),"Bach,")</f>
        <v>Bach,</v>
      </c>
      <c r="E1097" s="40" t="str">
        <f>IFERROR(__xludf.DUMMYFUNCTION("""COMPUTED_VALUE"""),"Matthew
15746")</f>
        <v>Matthew
15746</v>
      </c>
      <c r="F1097" s="40" t="str">
        <f>IFERROR(__xludf.DUMMYFUNCTION("""COMPUTED_VALUE"""),"Covewood")</f>
        <v>Covewood</v>
      </c>
      <c r="G1097" s="40" t="str">
        <f>IFERROR(__xludf.DUMMYFUNCTION("""COMPUTED_VALUE"""),"Cir
Dallas,")</f>
        <v>Cir
Dallas,</v>
      </c>
      <c r="H1097" s="40" t="str">
        <f>IFERROR(__xludf.DUMMYFUNCTION("""COMPUTED_VALUE"""),"TX")</f>
        <v>TX</v>
      </c>
      <c r="I1097" s="40">
        <f>IFERROR(__xludf.DUMMYFUNCTION("""COMPUTED_VALUE"""),75248.0)</f>
        <v>75248</v>
      </c>
      <c r="J1097" s="40"/>
      <c r="K1097" s="40"/>
      <c r="L1097" s="40"/>
      <c r="M1097" s="40"/>
      <c r="N1097" s="40"/>
      <c r="O1097" s="40"/>
      <c r="P1097" s="40"/>
      <c r="Q1097" s="40"/>
      <c r="R1097" s="40"/>
      <c r="S1097" s="40"/>
      <c r="T1097" s="40"/>
      <c r="U1097" s="24" t="str">
        <f>IFERROR(__xludf.DUMMYFUNCTION("SPLIT(E1097,""01234567890"")"),"Matthew
")</f>
        <v>Matthew
</v>
      </c>
      <c r="V1097" s="24" t="str">
        <f>IFERROR(__xludf.DUMMYFUNCTION("SPLIT(D1097,"","")"),"Bach")</f>
        <v>Bach</v>
      </c>
      <c r="W1097" s="25" t="str">
        <f t="shared" si="1"/>
        <v>MATTHEW
 BACH</v>
      </c>
      <c r="X1097" s="40"/>
      <c r="Y1097" s="40"/>
      <c r="Z1097" s="25" t="str">
        <f>IFERROR(__xludf.DUMMYFUNCTION("SPLIT(C1097,""
"")"),"Bach, Matthew")</f>
        <v>Bach, Matthew</v>
      </c>
      <c r="AA1097" s="40" t="str">
        <f>IFERROR(__xludf.DUMMYFUNCTION("""COMPUTED_VALUE"""),"15746 Covewood Cir")</f>
        <v>15746 Covewood Cir</v>
      </c>
      <c r="AB1097" s="40" t="str">
        <f>IFERROR(__xludf.DUMMYFUNCTION("""COMPUTED_VALUE"""),"Dallas, TX 75248")</f>
        <v>Dallas, TX 75248</v>
      </c>
      <c r="AC1097" s="31" t="s">
        <v>273</v>
      </c>
      <c r="AD1097" s="40"/>
      <c r="AE1097" s="40"/>
      <c r="AF1097" s="40"/>
      <c r="AG1097" s="40" t="s">
        <v>60</v>
      </c>
      <c r="AH1097" s="42">
        <v>2482.0</v>
      </c>
      <c r="AI1097" s="40" t="s">
        <v>68</v>
      </c>
      <c r="AJ1097" s="27">
        <v>50.0</v>
      </c>
      <c r="AK1097" s="31" t="s">
        <v>31</v>
      </c>
      <c r="AL1097" s="43">
        <v>44924.0</v>
      </c>
      <c r="AM1097" s="44">
        <v>44938.558541666665</v>
      </c>
      <c r="AN1097" s="30">
        <v>2.0</v>
      </c>
      <c r="AO1097" s="40"/>
      <c r="AP1097" s="40"/>
      <c r="AQ1097" s="40"/>
      <c r="AR1097" s="40"/>
      <c r="AS1097" s="40"/>
      <c r="AT1097" s="47"/>
      <c r="AU1097" s="40"/>
      <c r="AV1097" s="46"/>
      <c r="AW1097" s="46"/>
      <c r="AX1097" s="47"/>
      <c r="AY1097" s="44"/>
      <c r="AZ1097" s="30"/>
      <c r="CU1097" s="55"/>
      <c r="CV1097" s="55"/>
      <c r="CW1097" s="55"/>
      <c r="CX1097" s="55"/>
      <c r="CY1097" s="55"/>
      <c r="CZ1097" s="55"/>
      <c r="DA1097" s="82"/>
      <c r="DB1097" s="55"/>
      <c r="DC1097" s="55"/>
      <c r="DD1097" s="55"/>
      <c r="DE1097" s="55"/>
      <c r="DF1097" s="55"/>
      <c r="DG1097" s="55"/>
      <c r="DH1097" s="55"/>
      <c r="DI1097" s="55"/>
      <c r="DJ1097" s="55"/>
      <c r="DK1097" s="55"/>
      <c r="DL1097" s="55"/>
      <c r="DM1097" s="55"/>
      <c r="DN1097" s="55"/>
      <c r="DO1097" s="55"/>
      <c r="DP1097" s="55"/>
      <c r="DQ1097" s="55"/>
      <c r="DR1097" s="55"/>
      <c r="DS1097" s="55"/>
      <c r="DT1097" s="55"/>
      <c r="DU1097" s="55"/>
      <c r="DV1097" s="55"/>
      <c r="DW1097" s="55"/>
    </row>
    <row r="1098">
      <c r="A1098" s="23" t="s">
        <v>64</v>
      </c>
      <c r="B1098" s="23" t="s">
        <v>56</v>
      </c>
      <c r="C1098" s="31" t="s">
        <v>2497</v>
      </c>
      <c r="D1098" s="25" t="str">
        <f>IFERROR(__xludf.DUMMYFUNCTION("SPLIT(C1098,"" "")"),"Nayeb,")</f>
        <v>Nayeb,</v>
      </c>
      <c r="E1098" s="22" t="str">
        <f>IFERROR(__xludf.DUMMYFUNCTION("""COMPUTED_VALUE"""),"Farhad
10515")</f>
        <v>Farhad
10515</v>
      </c>
      <c r="F1098" s="22" t="str">
        <f>IFERROR(__xludf.DUMMYFUNCTION("""COMPUTED_VALUE"""),"Lennox")</f>
        <v>Lennox</v>
      </c>
      <c r="G1098" s="22" t="str">
        <f>IFERROR(__xludf.DUMMYFUNCTION("""COMPUTED_VALUE"""),"Ln
Dallas,")</f>
        <v>Ln
Dallas,</v>
      </c>
      <c r="H1098" s="22" t="str">
        <f>IFERROR(__xludf.DUMMYFUNCTION("""COMPUTED_VALUE"""),"TX")</f>
        <v>TX</v>
      </c>
      <c r="I1098" s="22">
        <f>IFERROR(__xludf.DUMMYFUNCTION("""COMPUTED_VALUE"""),75229.0)</f>
        <v>75229</v>
      </c>
      <c r="J1098" s="22"/>
      <c r="K1098" s="22"/>
      <c r="L1098" s="22"/>
      <c r="M1098" s="22"/>
      <c r="N1098" s="22"/>
      <c r="O1098" s="22"/>
      <c r="P1098" s="22"/>
      <c r="Q1098" s="22"/>
      <c r="R1098" s="22"/>
      <c r="S1098" s="22"/>
      <c r="T1098" s="22"/>
      <c r="U1098" s="24" t="str">
        <f>IFERROR(__xludf.DUMMYFUNCTION("SPLIT(E1098,""01234567890"")"),"Farhad
")</f>
        <v>Farhad
</v>
      </c>
      <c r="V1098" s="24" t="str">
        <f>IFERROR(__xludf.DUMMYFUNCTION("SPLIT(D1098,"","")"),"Nayeb")</f>
        <v>Nayeb</v>
      </c>
      <c r="W1098" s="25" t="str">
        <f t="shared" si="1"/>
        <v>FARHAD
 NAYEB</v>
      </c>
      <c r="X1098" s="22"/>
      <c r="Y1098" s="22"/>
      <c r="Z1098" s="25" t="str">
        <f>IFERROR(__xludf.DUMMYFUNCTION("SPLIT(C1098,""
"")"),"Nayeb, Farhad")</f>
        <v>Nayeb, Farhad</v>
      </c>
      <c r="AA1098" s="22" t="str">
        <f>IFERROR(__xludf.DUMMYFUNCTION("""COMPUTED_VALUE"""),"10515 Lennox Ln")</f>
        <v>10515 Lennox Ln</v>
      </c>
      <c r="AB1098" s="22" t="str">
        <f>IFERROR(__xludf.DUMMYFUNCTION("""COMPUTED_VALUE"""),"Dallas, TX 75229")</f>
        <v>Dallas, TX 75229</v>
      </c>
      <c r="AC1098" s="31" t="s">
        <v>2498</v>
      </c>
      <c r="AD1098" s="22"/>
      <c r="AE1098" s="22"/>
      <c r="AF1098" s="22"/>
      <c r="AG1098" s="22" t="s">
        <v>60</v>
      </c>
      <c r="AH1098" s="54">
        <v>2482.0</v>
      </c>
      <c r="AI1098" s="22" t="s">
        <v>68</v>
      </c>
      <c r="AJ1098" s="27">
        <v>500.0</v>
      </c>
      <c r="AK1098" s="31" t="s">
        <v>31</v>
      </c>
      <c r="AL1098" s="28">
        <v>44924.0</v>
      </c>
      <c r="AM1098" s="29">
        <v>44938.558541666665</v>
      </c>
      <c r="AN1098" s="30">
        <v>2.0</v>
      </c>
      <c r="AO1098" s="22"/>
      <c r="AP1098" s="22"/>
      <c r="AQ1098" s="22"/>
      <c r="AR1098" s="22"/>
      <c r="AS1098" s="22"/>
      <c r="AT1098" s="70"/>
      <c r="AU1098" s="22"/>
      <c r="AV1098" s="57"/>
      <c r="AW1098" s="57"/>
      <c r="AX1098" s="70"/>
      <c r="AY1098" s="29"/>
      <c r="AZ1098" s="30"/>
      <c r="CU1098" s="55"/>
      <c r="CV1098" s="55"/>
      <c r="CW1098" s="55"/>
      <c r="CX1098" s="55"/>
      <c r="CY1098" s="55"/>
      <c r="CZ1098" s="55"/>
      <c r="DA1098" s="82"/>
      <c r="DB1098" s="55"/>
      <c r="DC1098" s="55"/>
      <c r="DD1098" s="55"/>
      <c r="DE1098" s="55"/>
      <c r="DF1098" s="55"/>
      <c r="DG1098" s="55"/>
      <c r="DH1098" s="55"/>
      <c r="DI1098" s="55"/>
      <c r="DJ1098" s="55"/>
      <c r="DK1098" s="55"/>
      <c r="DL1098" s="55"/>
      <c r="DM1098" s="55"/>
      <c r="DN1098" s="55"/>
      <c r="DO1098" s="55"/>
      <c r="DP1098" s="55"/>
      <c r="DQ1098" s="55"/>
      <c r="DR1098" s="55"/>
      <c r="DS1098" s="55"/>
      <c r="DT1098" s="55"/>
      <c r="DU1098" s="55"/>
      <c r="DV1098" s="55"/>
      <c r="DW1098" s="55"/>
    </row>
    <row r="1099">
      <c r="A1099" s="40" t="s">
        <v>55</v>
      </c>
      <c r="B1099" s="41" t="s">
        <v>56</v>
      </c>
      <c r="C1099" s="31" t="s">
        <v>2499</v>
      </c>
      <c r="D1099" s="25" t="str">
        <f>IFERROR(__xludf.DUMMYFUNCTION("SPLIT(C1099,"" "")"),"Kittleson,")</f>
        <v>Kittleson,</v>
      </c>
      <c r="E1099" s="40" t="str">
        <f>IFERROR(__xludf.DUMMYFUNCTION("""COMPUTED_VALUE"""),"Terry
7051")</f>
        <v>Terry
7051</v>
      </c>
      <c r="F1099" s="40" t="str">
        <f>IFERROR(__xludf.DUMMYFUNCTION("""COMPUTED_VALUE"""),"Orchid")</f>
        <v>Orchid</v>
      </c>
      <c r="G1099" s="40" t="str">
        <f>IFERROR(__xludf.DUMMYFUNCTION("""COMPUTED_VALUE"""),"Lane
Dallas,")</f>
        <v>Lane
Dallas,</v>
      </c>
      <c r="H1099" s="40" t="str">
        <f>IFERROR(__xludf.DUMMYFUNCTION("""COMPUTED_VALUE"""),"TX")</f>
        <v>TX</v>
      </c>
      <c r="I1099" s="40">
        <f>IFERROR(__xludf.DUMMYFUNCTION("""COMPUTED_VALUE"""),75230.0)</f>
        <v>75230</v>
      </c>
      <c r="J1099" s="40"/>
      <c r="K1099" s="40"/>
      <c r="L1099" s="40"/>
      <c r="M1099" s="40"/>
      <c r="N1099" s="40"/>
      <c r="O1099" s="40"/>
      <c r="P1099" s="40"/>
      <c r="Q1099" s="40"/>
      <c r="R1099" s="40"/>
      <c r="S1099" s="40"/>
      <c r="T1099" s="40"/>
      <c r="U1099" s="24" t="str">
        <f>IFERROR(__xludf.DUMMYFUNCTION("SPLIT(E1099,""01234567890"")"),"Terry
")</f>
        <v>Terry
</v>
      </c>
      <c r="V1099" s="24" t="str">
        <f>IFERROR(__xludf.DUMMYFUNCTION("SPLIT(D1099,"","")"),"Kittleson")</f>
        <v>Kittleson</v>
      </c>
      <c r="W1099" s="25" t="str">
        <f t="shared" si="1"/>
        <v>TERRY
 KITTLESON</v>
      </c>
      <c r="X1099" s="40"/>
      <c r="Y1099" s="40"/>
      <c r="Z1099" s="25" t="str">
        <f>IFERROR(__xludf.DUMMYFUNCTION("SPLIT(C1099,""
"")"),"Kittleson, Terry")</f>
        <v>Kittleson, Terry</v>
      </c>
      <c r="AA1099" s="40" t="str">
        <f>IFERROR(__xludf.DUMMYFUNCTION("""COMPUTED_VALUE"""),"7051 Orchid Lane")</f>
        <v>7051 Orchid Lane</v>
      </c>
      <c r="AB1099" s="40" t="str">
        <f>IFERROR(__xludf.DUMMYFUNCTION("""COMPUTED_VALUE"""),"Dallas, TX 75230")</f>
        <v>Dallas, TX 75230</v>
      </c>
      <c r="AC1099" s="31" t="s">
        <v>2500</v>
      </c>
      <c r="AD1099" s="40"/>
      <c r="AE1099" s="40"/>
      <c r="AF1099" s="40"/>
      <c r="AG1099" s="40" t="s">
        <v>60</v>
      </c>
      <c r="AH1099" s="42">
        <v>2482.0</v>
      </c>
      <c r="AI1099" s="40" t="s">
        <v>68</v>
      </c>
      <c r="AJ1099" s="27">
        <v>500.0</v>
      </c>
      <c r="AK1099" s="31" t="s">
        <v>31</v>
      </c>
      <c r="AL1099" s="43">
        <v>44924.0</v>
      </c>
      <c r="AM1099" s="44">
        <v>44938.558541666665</v>
      </c>
      <c r="AN1099" s="30">
        <v>2.0</v>
      </c>
      <c r="AO1099" s="40"/>
      <c r="AP1099" s="40"/>
      <c r="AQ1099" s="40"/>
      <c r="AR1099" s="40"/>
      <c r="AS1099" s="40"/>
      <c r="AT1099" s="47"/>
      <c r="AU1099" s="40"/>
      <c r="AV1099" s="46"/>
      <c r="AW1099" s="46"/>
      <c r="AX1099" s="47"/>
      <c r="AY1099" s="44"/>
      <c r="AZ1099" s="30"/>
      <c r="CU1099" s="55"/>
      <c r="CV1099" s="55"/>
      <c r="CW1099" s="55"/>
      <c r="CX1099" s="55"/>
      <c r="CY1099" s="55"/>
      <c r="CZ1099" s="55"/>
      <c r="DA1099" s="82"/>
      <c r="DB1099" s="55"/>
      <c r="DC1099" s="55"/>
      <c r="DD1099" s="55"/>
      <c r="DE1099" s="55"/>
      <c r="DF1099" s="55"/>
      <c r="DG1099" s="55"/>
      <c r="DH1099" s="55"/>
      <c r="DI1099" s="55"/>
      <c r="DJ1099" s="55"/>
      <c r="DK1099" s="55"/>
      <c r="DL1099" s="55"/>
      <c r="DM1099" s="55"/>
      <c r="DN1099" s="55"/>
      <c r="DO1099" s="55"/>
      <c r="DP1099" s="55"/>
      <c r="DQ1099" s="55"/>
      <c r="DR1099" s="55"/>
      <c r="DS1099" s="55"/>
      <c r="DT1099" s="55"/>
      <c r="DU1099" s="55"/>
      <c r="DV1099" s="55"/>
      <c r="DW1099" s="55"/>
    </row>
    <row r="1100">
      <c r="A1100" s="23" t="s">
        <v>64</v>
      </c>
      <c r="B1100" s="23" t="s">
        <v>56</v>
      </c>
      <c r="C1100" s="31" t="s">
        <v>2501</v>
      </c>
      <c r="D1100" s="25" t="str">
        <f>IFERROR(__xludf.DUMMYFUNCTION("SPLIT(C1100,"" "")"),"Mersky,")</f>
        <v>Mersky,</v>
      </c>
      <c r="E1100" s="22" t="str">
        <f>IFERROR(__xludf.DUMMYFUNCTION("""COMPUTED_VALUE"""),"Charles
7406")</f>
        <v>Charles
7406</v>
      </c>
      <c r="F1100" s="22" t="str">
        <f>IFERROR(__xludf.DUMMYFUNCTION("""COMPUTED_VALUE"""),"Midbury")</f>
        <v>Midbury</v>
      </c>
      <c r="G1100" s="22" t="str">
        <f>IFERROR(__xludf.DUMMYFUNCTION("""COMPUTED_VALUE"""),"Drive
Dallas,")</f>
        <v>Drive
Dallas,</v>
      </c>
      <c r="H1100" s="22" t="str">
        <f>IFERROR(__xludf.DUMMYFUNCTION("""COMPUTED_VALUE"""),"TX")</f>
        <v>TX</v>
      </c>
      <c r="I1100" s="22">
        <f>IFERROR(__xludf.DUMMYFUNCTION("""COMPUTED_VALUE"""),75230.0)</f>
        <v>75230</v>
      </c>
      <c r="J1100" s="22"/>
      <c r="K1100" s="22"/>
      <c r="L1100" s="22"/>
      <c r="M1100" s="22"/>
      <c r="N1100" s="22"/>
      <c r="O1100" s="22"/>
      <c r="P1100" s="22"/>
      <c r="Q1100" s="22"/>
      <c r="R1100" s="22"/>
      <c r="S1100" s="22"/>
      <c r="T1100" s="22"/>
      <c r="U1100" s="24" t="str">
        <f>IFERROR(__xludf.DUMMYFUNCTION("SPLIT(E1100,""01234567890"")"),"Charles
")</f>
        <v>Charles
</v>
      </c>
      <c r="V1100" s="24" t="str">
        <f>IFERROR(__xludf.DUMMYFUNCTION("SPLIT(D1100,"","")"),"Mersky")</f>
        <v>Mersky</v>
      </c>
      <c r="W1100" s="25" t="str">
        <f t="shared" si="1"/>
        <v>CHARLES
 MERSKY</v>
      </c>
      <c r="X1100" s="22"/>
      <c r="Y1100" s="22"/>
      <c r="Z1100" s="25" t="str">
        <f>IFERROR(__xludf.DUMMYFUNCTION("SPLIT(C1100,""
"")"),"Mersky, Charles")</f>
        <v>Mersky, Charles</v>
      </c>
      <c r="AA1100" s="22" t="str">
        <f>IFERROR(__xludf.DUMMYFUNCTION("""COMPUTED_VALUE"""),"7406 Midbury Drive")</f>
        <v>7406 Midbury Drive</v>
      </c>
      <c r="AB1100" s="22" t="str">
        <f>IFERROR(__xludf.DUMMYFUNCTION("""COMPUTED_VALUE"""),"Dallas, TX 75230")</f>
        <v>Dallas, TX 75230</v>
      </c>
      <c r="AC1100" s="31" t="s">
        <v>2502</v>
      </c>
      <c r="AD1100" s="22"/>
      <c r="AE1100" s="22"/>
      <c r="AF1100" s="22"/>
      <c r="AG1100" s="22" t="s">
        <v>60</v>
      </c>
      <c r="AH1100" s="54">
        <v>2482.0</v>
      </c>
      <c r="AI1100" s="22" t="s">
        <v>68</v>
      </c>
      <c r="AJ1100" s="27">
        <v>100.0</v>
      </c>
      <c r="AK1100" s="31" t="s">
        <v>31</v>
      </c>
      <c r="AL1100" s="28">
        <v>44924.0</v>
      </c>
      <c r="AM1100" s="29">
        <v>44938.558541666665</v>
      </c>
      <c r="AN1100" s="30">
        <v>2.0</v>
      </c>
      <c r="AO1100" s="22"/>
      <c r="AP1100" s="22"/>
      <c r="AQ1100" s="22"/>
      <c r="AR1100" s="22"/>
      <c r="AS1100" s="22"/>
      <c r="AT1100" s="70"/>
      <c r="AU1100" s="22"/>
      <c r="AV1100" s="57"/>
      <c r="AW1100" s="57"/>
      <c r="AX1100" s="70"/>
      <c r="AY1100" s="29"/>
      <c r="AZ1100" s="30"/>
      <c r="CU1100" s="55"/>
      <c r="CV1100" s="55"/>
      <c r="CW1100" s="55"/>
      <c r="CX1100" s="55"/>
      <c r="CY1100" s="55"/>
      <c r="CZ1100" s="55"/>
      <c r="DA1100" s="82"/>
      <c r="DB1100" s="55"/>
      <c r="DC1100" s="55"/>
      <c r="DD1100" s="55"/>
      <c r="DE1100" s="55"/>
      <c r="DF1100" s="55"/>
      <c r="DG1100" s="55"/>
      <c r="DH1100" s="55"/>
      <c r="DI1100" s="55"/>
      <c r="DJ1100" s="55"/>
      <c r="DK1100" s="55"/>
      <c r="DL1100" s="55"/>
      <c r="DM1100" s="55"/>
      <c r="DN1100" s="55"/>
      <c r="DO1100" s="55"/>
      <c r="DP1100" s="55"/>
      <c r="DQ1100" s="55"/>
      <c r="DR1100" s="55"/>
      <c r="DS1100" s="55"/>
      <c r="DT1100" s="55"/>
      <c r="DU1100" s="55"/>
      <c r="DV1100" s="55"/>
      <c r="DW1100" s="55"/>
    </row>
    <row r="1101">
      <c r="A1101" s="40" t="s">
        <v>55</v>
      </c>
      <c r="B1101" s="41" t="s">
        <v>56</v>
      </c>
      <c r="C1101" s="31" t="s">
        <v>2503</v>
      </c>
      <c r="D1101" s="25" t="str">
        <f>IFERROR(__xludf.DUMMYFUNCTION("SPLIT(C1101,"" "")"),"Ginsburg,")</f>
        <v>Ginsburg,</v>
      </c>
      <c r="E1101" s="40" t="str">
        <f>IFERROR(__xludf.DUMMYFUNCTION("""COMPUTED_VALUE"""),"Lawrence
6911")</f>
        <v>Lawrence
6911</v>
      </c>
      <c r="F1101" s="40" t="str">
        <f>IFERROR(__xludf.DUMMYFUNCTION("""COMPUTED_VALUE"""),"Oak")</f>
        <v>Oak</v>
      </c>
      <c r="G1101" s="40" t="str">
        <f>IFERROR(__xludf.DUMMYFUNCTION("""COMPUTED_VALUE"""),"Manor")</f>
        <v>Manor</v>
      </c>
      <c r="H1101" s="40" t="str">
        <f>IFERROR(__xludf.DUMMYFUNCTION("""COMPUTED_VALUE"""),"Drive
Dallas,")</f>
        <v>Drive
Dallas,</v>
      </c>
      <c r="I1101" s="40" t="str">
        <f>IFERROR(__xludf.DUMMYFUNCTION("""COMPUTED_VALUE"""),"TX")</f>
        <v>TX</v>
      </c>
      <c r="J1101" s="40">
        <f>IFERROR(__xludf.DUMMYFUNCTION("""COMPUTED_VALUE"""),75230.0)</f>
        <v>75230</v>
      </c>
      <c r="K1101" s="40"/>
      <c r="L1101" s="40"/>
      <c r="M1101" s="40"/>
      <c r="N1101" s="40"/>
      <c r="O1101" s="40"/>
      <c r="P1101" s="40"/>
      <c r="Q1101" s="40"/>
      <c r="R1101" s="40"/>
      <c r="S1101" s="40"/>
      <c r="T1101" s="40"/>
      <c r="U1101" s="24" t="str">
        <f>IFERROR(__xludf.DUMMYFUNCTION("SPLIT(E1101,""01234567890"")"),"Lawrence
")</f>
        <v>Lawrence
</v>
      </c>
      <c r="V1101" s="24" t="str">
        <f>IFERROR(__xludf.DUMMYFUNCTION("SPLIT(D1101,"","")"),"Ginsburg")</f>
        <v>Ginsburg</v>
      </c>
      <c r="W1101" s="25" t="str">
        <f t="shared" si="1"/>
        <v>LAWRENCE
 GINSBURG</v>
      </c>
      <c r="X1101" s="40"/>
      <c r="Y1101" s="40"/>
      <c r="Z1101" s="25" t="str">
        <f>IFERROR(__xludf.DUMMYFUNCTION("SPLIT(C1101,""
"")"),"Ginsburg, Lawrence")</f>
        <v>Ginsburg, Lawrence</v>
      </c>
      <c r="AA1101" s="40" t="str">
        <f>IFERROR(__xludf.DUMMYFUNCTION("""COMPUTED_VALUE"""),"6911 Oak Manor Drive")</f>
        <v>6911 Oak Manor Drive</v>
      </c>
      <c r="AB1101" s="40" t="str">
        <f>IFERROR(__xludf.DUMMYFUNCTION("""COMPUTED_VALUE"""),"Dallas, TX 75230")</f>
        <v>Dallas, TX 75230</v>
      </c>
      <c r="AC1101" s="31" t="s">
        <v>2504</v>
      </c>
      <c r="AD1101" s="40"/>
      <c r="AE1101" s="40"/>
      <c r="AF1101" s="40"/>
      <c r="AG1101" s="40" t="s">
        <v>60</v>
      </c>
      <c r="AH1101" s="42">
        <v>2482.0</v>
      </c>
      <c r="AI1101" s="40" t="s">
        <v>68</v>
      </c>
      <c r="AJ1101" s="27">
        <v>250.0</v>
      </c>
      <c r="AK1101" s="31" t="s">
        <v>31</v>
      </c>
      <c r="AL1101" s="43">
        <v>44924.0</v>
      </c>
      <c r="AM1101" s="44">
        <v>44938.558541666665</v>
      </c>
      <c r="AN1101" s="30">
        <v>2.0</v>
      </c>
      <c r="AO1101" s="40"/>
      <c r="AP1101" s="40"/>
      <c r="AQ1101" s="40"/>
      <c r="AR1101" s="40"/>
      <c r="AS1101" s="40"/>
      <c r="AT1101" s="47"/>
      <c r="AU1101" s="40"/>
      <c r="AV1101" s="46"/>
      <c r="AW1101" s="46"/>
      <c r="AX1101" s="47"/>
      <c r="AY1101" s="44"/>
      <c r="AZ1101" s="30"/>
      <c r="CU1101" s="55"/>
      <c r="CV1101" s="55"/>
      <c r="CW1101" s="55"/>
      <c r="CX1101" s="55"/>
      <c r="CY1101" s="55"/>
      <c r="CZ1101" s="55"/>
      <c r="DA1101" s="82"/>
      <c r="DB1101" s="55"/>
      <c r="DC1101" s="55"/>
      <c r="DD1101" s="55"/>
      <c r="DE1101" s="55"/>
      <c r="DF1101" s="55"/>
      <c r="DG1101" s="55"/>
      <c r="DH1101" s="55"/>
      <c r="DI1101" s="55"/>
      <c r="DJ1101" s="55"/>
      <c r="DK1101" s="55"/>
      <c r="DL1101" s="55"/>
      <c r="DM1101" s="55"/>
      <c r="DN1101" s="55"/>
      <c r="DO1101" s="55"/>
      <c r="DP1101" s="55"/>
      <c r="DQ1101" s="55"/>
      <c r="DR1101" s="55"/>
      <c r="DS1101" s="55"/>
      <c r="DT1101" s="55"/>
      <c r="DU1101" s="55"/>
      <c r="DV1101" s="55"/>
      <c r="DW1101" s="55"/>
    </row>
    <row r="1102">
      <c r="A1102" s="23" t="s">
        <v>64</v>
      </c>
      <c r="B1102" s="23" t="s">
        <v>56</v>
      </c>
      <c r="C1102" s="31" t="s">
        <v>2505</v>
      </c>
      <c r="D1102" s="25" t="str">
        <f>IFERROR(__xludf.DUMMYFUNCTION("SPLIT(C1102,"" "")"),"Mizrahi,")</f>
        <v>Mizrahi,</v>
      </c>
      <c r="E1102" s="22" t="str">
        <f>IFERROR(__xludf.DUMMYFUNCTION("""COMPUTED_VALUE"""),"Jennifer
1306")</f>
        <v>Jennifer
1306</v>
      </c>
      <c r="F1102" s="22" t="str">
        <f>IFERROR(__xludf.DUMMYFUNCTION("""COMPUTED_VALUE"""),"Beachview")</f>
        <v>Beachview</v>
      </c>
      <c r="G1102" s="22" t="str">
        <f>IFERROR(__xludf.DUMMYFUNCTION("""COMPUTED_VALUE"""),"Rd
Annapolis,")</f>
        <v>Rd
Annapolis,</v>
      </c>
      <c r="H1102" s="22" t="str">
        <f>IFERROR(__xludf.DUMMYFUNCTION("""COMPUTED_VALUE"""),"MD")</f>
        <v>MD</v>
      </c>
      <c r="I1102" s="22">
        <f>IFERROR(__xludf.DUMMYFUNCTION("""COMPUTED_VALUE"""),21403.0)</f>
        <v>21403</v>
      </c>
      <c r="J1102" s="22"/>
      <c r="K1102" s="22"/>
      <c r="L1102" s="22"/>
      <c r="M1102" s="22"/>
      <c r="N1102" s="22"/>
      <c r="O1102" s="22"/>
      <c r="P1102" s="22"/>
      <c r="Q1102" s="22"/>
      <c r="R1102" s="22"/>
      <c r="S1102" s="22"/>
      <c r="T1102" s="22"/>
      <c r="U1102" s="24" t="str">
        <f>IFERROR(__xludf.DUMMYFUNCTION("SPLIT(E1102,""01234567890"")"),"Jennifer
")</f>
        <v>Jennifer
</v>
      </c>
      <c r="V1102" s="24" t="str">
        <f>IFERROR(__xludf.DUMMYFUNCTION("SPLIT(D1102,"","")"),"Mizrahi")</f>
        <v>Mizrahi</v>
      </c>
      <c r="W1102" s="25" t="str">
        <f t="shared" si="1"/>
        <v>JENNIFER
 MIZRAHI</v>
      </c>
      <c r="X1102" s="22"/>
      <c r="Y1102" s="22"/>
      <c r="Z1102" s="25" t="str">
        <f>IFERROR(__xludf.DUMMYFUNCTION("SPLIT(C1102,""
"")"),"Mizrahi, Jennifer")</f>
        <v>Mizrahi, Jennifer</v>
      </c>
      <c r="AA1102" s="22" t="str">
        <f>IFERROR(__xludf.DUMMYFUNCTION("""COMPUTED_VALUE"""),"1306 Beachview Rd")</f>
        <v>1306 Beachview Rd</v>
      </c>
      <c r="AB1102" s="22" t="str">
        <f>IFERROR(__xludf.DUMMYFUNCTION("""COMPUTED_VALUE"""),"Annapolis, MD 21403")</f>
        <v>Annapolis, MD 21403</v>
      </c>
      <c r="AC1102" s="31" t="s">
        <v>2506</v>
      </c>
      <c r="AD1102" s="22"/>
      <c r="AE1102" s="22"/>
      <c r="AF1102" s="22"/>
      <c r="AG1102" s="22" t="s">
        <v>60</v>
      </c>
      <c r="AH1102" s="54">
        <v>2482.0</v>
      </c>
      <c r="AI1102" s="22" t="s">
        <v>68</v>
      </c>
      <c r="AJ1102" s="27">
        <v>360.0</v>
      </c>
      <c r="AK1102" s="31" t="s">
        <v>31</v>
      </c>
      <c r="AL1102" s="28">
        <v>44924.0</v>
      </c>
      <c r="AM1102" s="29">
        <v>44938.558541666665</v>
      </c>
      <c r="AN1102" s="30">
        <v>2.0</v>
      </c>
      <c r="AO1102" s="22"/>
      <c r="AP1102" s="22"/>
      <c r="AQ1102" s="22"/>
      <c r="AR1102" s="22"/>
      <c r="AS1102" s="22"/>
      <c r="AT1102" s="70"/>
      <c r="AU1102" s="22"/>
      <c r="AV1102" s="57"/>
      <c r="AW1102" s="57"/>
      <c r="AX1102" s="70"/>
      <c r="AY1102" s="29"/>
      <c r="AZ1102" s="30"/>
      <c r="CU1102" s="55"/>
      <c r="CV1102" s="55"/>
      <c r="CW1102" s="55"/>
      <c r="CX1102" s="55"/>
      <c r="CY1102" s="55"/>
      <c r="CZ1102" s="55"/>
      <c r="DA1102" s="82"/>
      <c r="DB1102" s="55"/>
      <c r="DC1102" s="55"/>
      <c r="DD1102" s="55"/>
      <c r="DE1102" s="55"/>
      <c r="DF1102" s="55"/>
      <c r="DG1102" s="55"/>
      <c r="DH1102" s="55"/>
      <c r="DI1102" s="55"/>
      <c r="DJ1102" s="55"/>
      <c r="DK1102" s="55"/>
      <c r="DL1102" s="55"/>
      <c r="DM1102" s="55"/>
      <c r="DN1102" s="55"/>
      <c r="DO1102" s="55"/>
      <c r="DP1102" s="55"/>
      <c r="DQ1102" s="55"/>
      <c r="DR1102" s="55"/>
      <c r="DS1102" s="55"/>
      <c r="DT1102" s="55"/>
      <c r="DU1102" s="55"/>
      <c r="DV1102" s="55"/>
      <c r="DW1102" s="55"/>
    </row>
    <row r="1103">
      <c r="A1103" s="40" t="s">
        <v>55</v>
      </c>
      <c r="B1103" s="41" t="s">
        <v>56</v>
      </c>
      <c r="C1103" s="31" t="s">
        <v>2507</v>
      </c>
      <c r="D1103" s="25" t="str">
        <f>IFERROR(__xludf.DUMMYFUNCTION("SPLIT(C1103,"" "")"),"Lee,")</f>
        <v>Lee,</v>
      </c>
      <c r="E1103" s="40" t="str">
        <f>IFERROR(__xludf.DUMMYFUNCTION("""COMPUTED_VALUE"""),"Carl
12045")</f>
        <v>Carl
12045</v>
      </c>
      <c r="F1103" s="40" t="str">
        <f>IFERROR(__xludf.DUMMYFUNCTION("""COMPUTED_VALUE"""),"Edgestone")</f>
        <v>Edgestone</v>
      </c>
      <c r="G1103" s="40" t="str">
        <f>IFERROR(__xludf.DUMMYFUNCTION("""COMPUTED_VALUE"""),"Road
Dallas,")</f>
        <v>Road
Dallas,</v>
      </c>
      <c r="H1103" s="40" t="str">
        <f>IFERROR(__xludf.DUMMYFUNCTION("""COMPUTED_VALUE"""),"TX")</f>
        <v>TX</v>
      </c>
      <c r="I1103" s="40">
        <f>IFERROR(__xludf.DUMMYFUNCTION("""COMPUTED_VALUE"""),75230.0)</f>
        <v>75230</v>
      </c>
      <c r="J1103" s="40"/>
      <c r="K1103" s="40"/>
      <c r="L1103" s="40"/>
      <c r="M1103" s="40"/>
      <c r="N1103" s="40"/>
      <c r="O1103" s="40"/>
      <c r="P1103" s="40"/>
      <c r="Q1103" s="40"/>
      <c r="R1103" s="40"/>
      <c r="S1103" s="40"/>
      <c r="T1103" s="40"/>
      <c r="U1103" s="24" t="str">
        <f>IFERROR(__xludf.DUMMYFUNCTION("SPLIT(E1103,""01234567890"")"),"Carl
")</f>
        <v>Carl
</v>
      </c>
      <c r="V1103" s="24" t="str">
        <f>IFERROR(__xludf.DUMMYFUNCTION("SPLIT(D1103,"","")"),"Lee")</f>
        <v>Lee</v>
      </c>
      <c r="W1103" s="25" t="str">
        <f t="shared" si="1"/>
        <v>CARL
 LEE</v>
      </c>
      <c r="X1103" s="40"/>
      <c r="Y1103" s="40"/>
      <c r="Z1103" s="25" t="str">
        <f>IFERROR(__xludf.DUMMYFUNCTION("SPLIT(C1103,""
"")"),"Lee, Carl")</f>
        <v>Lee, Carl</v>
      </c>
      <c r="AA1103" s="40" t="str">
        <f>IFERROR(__xludf.DUMMYFUNCTION("""COMPUTED_VALUE"""),"12045 Edgestone Road")</f>
        <v>12045 Edgestone Road</v>
      </c>
      <c r="AB1103" s="40" t="str">
        <f>IFERROR(__xludf.DUMMYFUNCTION("""COMPUTED_VALUE"""),"Dallas, TX 75230")</f>
        <v>Dallas, TX 75230</v>
      </c>
      <c r="AC1103" s="31" t="s">
        <v>2508</v>
      </c>
      <c r="AD1103" s="40"/>
      <c r="AE1103" s="40"/>
      <c r="AF1103" s="40"/>
      <c r="AG1103" s="40" t="s">
        <v>60</v>
      </c>
      <c r="AH1103" s="42">
        <v>2482.0</v>
      </c>
      <c r="AI1103" s="40" t="s">
        <v>68</v>
      </c>
      <c r="AJ1103" s="27">
        <v>100.0</v>
      </c>
      <c r="AK1103" s="31" t="s">
        <v>31</v>
      </c>
      <c r="AL1103" s="43">
        <v>44924.0</v>
      </c>
      <c r="AM1103" s="44">
        <v>44938.558541666665</v>
      </c>
      <c r="AN1103" s="30">
        <v>2.0</v>
      </c>
      <c r="AO1103" s="40"/>
      <c r="AP1103" s="40"/>
      <c r="AQ1103" s="40"/>
      <c r="AR1103" s="40"/>
      <c r="AS1103" s="40"/>
      <c r="AT1103" s="47"/>
      <c r="AU1103" s="40"/>
      <c r="AV1103" s="46"/>
      <c r="AW1103" s="46"/>
      <c r="AX1103" s="47"/>
      <c r="AY1103" s="44"/>
      <c r="AZ1103" s="30"/>
      <c r="CU1103" s="55"/>
      <c r="CV1103" s="55"/>
      <c r="CW1103" s="55"/>
      <c r="CX1103" s="55"/>
      <c r="CY1103" s="55"/>
      <c r="CZ1103" s="55"/>
      <c r="DA1103" s="82"/>
      <c r="DB1103" s="55"/>
      <c r="DC1103" s="55"/>
      <c r="DD1103" s="55"/>
      <c r="DE1103" s="55"/>
      <c r="DF1103" s="55"/>
      <c r="DG1103" s="55"/>
      <c r="DH1103" s="55"/>
      <c r="DI1103" s="55"/>
      <c r="DJ1103" s="55"/>
      <c r="DK1103" s="55"/>
      <c r="DL1103" s="55"/>
      <c r="DM1103" s="55"/>
      <c r="DN1103" s="55"/>
      <c r="DO1103" s="55"/>
      <c r="DP1103" s="55"/>
      <c r="DQ1103" s="55"/>
      <c r="DR1103" s="55"/>
      <c r="DS1103" s="55"/>
      <c r="DT1103" s="55"/>
      <c r="DU1103" s="55"/>
      <c r="DV1103" s="55"/>
      <c r="DW1103" s="55"/>
    </row>
    <row r="1104">
      <c r="A1104" s="23" t="s">
        <v>64</v>
      </c>
      <c r="B1104" s="23" t="s">
        <v>56</v>
      </c>
      <c r="C1104" s="31" t="s">
        <v>2509</v>
      </c>
      <c r="D1104" s="25" t="str">
        <f>IFERROR(__xludf.DUMMYFUNCTION("SPLIT(C1104,"" "")"),"Hebley,")</f>
        <v>Hebley,</v>
      </c>
      <c r="E1104" s="22" t="str">
        <f>IFERROR(__xludf.DUMMYFUNCTION("""COMPUTED_VALUE"""),"Sandi
12304")</f>
        <v>Sandi
12304</v>
      </c>
      <c r="F1104" s="22" t="str">
        <f>IFERROR(__xludf.DUMMYFUNCTION("""COMPUTED_VALUE"""),"Shiremont")</f>
        <v>Shiremont</v>
      </c>
      <c r="G1104" s="22" t="str">
        <f>IFERROR(__xludf.DUMMYFUNCTION("""COMPUTED_VALUE"""),"Drive
Dallas,")</f>
        <v>Drive
Dallas,</v>
      </c>
      <c r="H1104" s="22" t="str">
        <f>IFERROR(__xludf.DUMMYFUNCTION("""COMPUTED_VALUE"""),"TX")</f>
        <v>TX</v>
      </c>
      <c r="I1104" s="22">
        <f>IFERROR(__xludf.DUMMYFUNCTION("""COMPUTED_VALUE"""),75230.0)</f>
        <v>75230</v>
      </c>
      <c r="J1104" s="22"/>
      <c r="K1104" s="22"/>
      <c r="L1104" s="22"/>
      <c r="M1104" s="22"/>
      <c r="N1104" s="22"/>
      <c r="O1104" s="22"/>
      <c r="P1104" s="22"/>
      <c r="Q1104" s="22"/>
      <c r="R1104" s="22"/>
      <c r="S1104" s="22"/>
      <c r="T1104" s="22"/>
      <c r="U1104" s="24" t="str">
        <f>IFERROR(__xludf.DUMMYFUNCTION("SPLIT(E1104,""01234567890"")"),"Sandi
")</f>
        <v>Sandi
</v>
      </c>
      <c r="V1104" s="24" t="str">
        <f>IFERROR(__xludf.DUMMYFUNCTION("SPLIT(D1104,"","")"),"Hebley")</f>
        <v>Hebley</v>
      </c>
      <c r="W1104" s="25" t="str">
        <f t="shared" si="1"/>
        <v>SANDI
 HEBLEY</v>
      </c>
      <c r="X1104" s="22"/>
      <c r="Y1104" s="22"/>
      <c r="Z1104" s="25" t="str">
        <f>IFERROR(__xludf.DUMMYFUNCTION("SPLIT(C1104,""
"")"),"Hebley, Sandi")</f>
        <v>Hebley, Sandi</v>
      </c>
      <c r="AA1104" s="22" t="str">
        <f>IFERROR(__xludf.DUMMYFUNCTION("""COMPUTED_VALUE"""),"12304 Shiremont Drive")</f>
        <v>12304 Shiremont Drive</v>
      </c>
      <c r="AB1104" s="22" t="str">
        <f>IFERROR(__xludf.DUMMYFUNCTION("""COMPUTED_VALUE"""),"Dallas, TX 75230")</f>
        <v>Dallas, TX 75230</v>
      </c>
      <c r="AC1104" s="31" t="s">
        <v>2510</v>
      </c>
      <c r="AD1104" s="22"/>
      <c r="AE1104" s="22"/>
      <c r="AF1104" s="22"/>
      <c r="AG1104" s="22" t="s">
        <v>60</v>
      </c>
      <c r="AH1104" s="54">
        <v>2482.0</v>
      </c>
      <c r="AI1104" s="22" t="s">
        <v>68</v>
      </c>
      <c r="AJ1104" s="27">
        <v>25.0</v>
      </c>
      <c r="AK1104" s="31" t="s">
        <v>31</v>
      </c>
      <c r="AL1104" s="28">
        <v>44924.0</v>
      </c>
      <c r="AM1104" s="29">
        <v>44938.558541666665</v>
      </c>
      <c r="AN1104" s="30">
        <v>2.0</v>
      </c>
      <c r="AO1104" s="22"/>
      <c r="AP1104" s="22"/>
      <c r="AQ1104" s="22"/>
      <c r="AR1104" s="22"/>
      <c r="AS1104" s="22"/>
      <c r="AT1104" s="70"/>
      <c r="AU1104" s="22"/>
      <c r="AV1104" s="57"/>
      <c r="AW1104" s="57"/>
      <c r="AX1104" s="70"/>
      <c r="AY1104" s="29"/>
      <c r="AZ1104" s="30"/>
      <c r="CU1104" s="55"/>
      <c r="CV1104" s="55"/>
      <c r="CW1104" s="55"/>
      <c r="CX1104" s="55"/>
      <c r="CY1104" s="55"/>
      <c r="CZ1104" s="55"/>
      <c r="DA1104" s="82"/>
      <c r="DB1104" s="55"/>
      <c r="DC1104" s="55"/>
      <c r="DD1104" s="55"/>
      <c r="DE1104" s="55"/>
      <c r="DF1104" s="55"/>
      <c r="DG1104" s="55"/>
      <c r="DH1104" s="55"/>
      <c r="DI1104" s="55"/>
      <c r="DJ1104" s="55"/>
      <c r="DK1104" s="55"/>
      <c r="DL1104" s="55"/>
      <c r="DM1104" s="55"/>
      <c r="DN1104" s="55"/>
      <c r="DO1104" s="55"/>
      <c r="DP1104" s="55"/>
      <c r="DQ1104" s="55"/>
      <c r="DR1104" s="55"/>
      <c r="DS1104" s="55"/>
      <c r="DT1104" s="55"/>
      <c r="DU1104" s="55"/>
      <c r="DV1104" s="55"/>
      <c r="DW1104" s="55"/>
    </row>
    <row r="1105">
      <c r="A1105" s="40" t="s">
        <v>55</v>
      </c>
      <c r="B1105" s="41" t="s">
        <v>56</v>
      </c>
      <c r="C1105" s="31" t="s">
        <v>2511</v>
      </c>
      <c r="D1105" s="25" t="str">
        <f>IFERROR(__xludf.DUMMYFUNCTION("SPLIT(C1105,"" "")"),"Milstein,")</f>
        <v>Milstein,</v>
      </c>
      <c r="E1105" s="40" t="str">
        <f>IFERROR(__xludf.DUMMYFUNCTION("""COMPUTED_VALUE"""),"Robert
6440")</f>
        <v>Robert
6440</v>
      </c>
      <c r="F1105" s="40" t="str">
        <f>IFERROR(__xludf.DUMMYFUNCTION("""COMPUTED_VALUE"""),"Preston")</f>
        <v>Preston</v>
      </c>
      <c r="G1105" s="40" t="str">
        <f>IFERROR(__xludf.DUMMYFUNCTION("""COMPUTED_VALUE"""),"Crest")</f>
        <v>Crest</v>
      </c>
      <c r="H1105" s="40" t="str">
        <f>IFERROR(__xludf.DUMMYFUNCTION("""COMPUTED_VALUE"""),"Lane
Dallas,")</f>
        <v>Lane
Dallas,</v>
      </c>
      <c r="I1105" s="40" t="str">
        <f>IFERROR(__xludf.DUMMYFUNCTION("""COMPUTED_VALUE"""),"TX")</f>
        <v>TX</v>
      </c>
      <c r="J1105" s="40">
        <f>IFERROR(__xludf.DUMMYFUNCTION("""COMPUTED_VALUE"""),75230.0)</f>
        <v>75230</v>
      </c>
      <c r="K1105" s="40"/>
      <c r="L1105" s="40"/>
      <c r="M1105" s="40"/>
      <c r="N1105" s="40"/>
      <c r="O1105" s="40"/>
      <c r="P1105" s="40"/>
      <c r="Q1105" s="40"/>
      <c r="R1105" s="40"/>
      <c r="S1105" s="40"/>
      <c r="T1105" s="40"/>
      <c r="U1105" s="24" t="str">
        <f>IFERROR(__xludf.DUMMYFUNCTION("SPLIT(E1105,""01234567890"")"),"Robert
")</f>
        <v>Robert
</v>
      </c>
      <c r="V1105" s="24" t="str">
        <f>IFERROR(__xludf.DUMMYFUNCTION("SPLIT(D1105,"","")"),"Milstein")</f>
        <v>Milstein</v>
      </c>
      <c r="W1105" s="25" t="str">
        <f t="shared" si="1"/>
        <v>ROBERT
 MILSTEIN</v>
      </c>
      <c r="X1105" s="40"/>
      <c r="Y1105" s="40"/>
      <c r="Z1105" s="25" t="str">
        <f>IFERROR(__xludf.DUMMYFUNCTION("SPLIT(C1105,""
"")"),"Milstein, Robert")</f>
        <v>Milstein, Robert</v>
      </c>
      <c r="AA1105" s="40" t="str">
        <f>IFERROR(__xludf.DUMMYFUNCTION("""COMPUTED_VALUE"""),"6440 Preston Crest Lane")</f>
        <v>6440 Preston Crest Lane</v>
      </c>
      <c r="AB1105" s="40" t="str">
        <f>IFERROR(__xludf.DUMMYFUNCTION("""COMPUTED_VALUE"""),"Dallas, TX 75230")</f>
        <v>Dallas, TX 75230</v>
      </c>
      <c r="AC1105" s="31" t="s">
        <v>2512</v>
      </c>
      <c r="AD1105" s="40"/>
      <c r="AE1105" s="40"/>
      <c r="AF1105" s="40"/>
      <c r="AG1105" s="40" t="s">
        <v>60</v>
      </c>
      <c r="AH1105" s="42">
        <v>2482.0</v>
      </c>
      <c r="AI1105" s="40" t="s">
        <v>68</v>
      </c>
      <c r="AJ1105" s="27">
        <v>500.0</v>
      </c>
      <c r="AK1105" s="31" t="s">
        <v>31</v>
      </c>
      <c r="AL1105" s="43">
        <v>44924.0</v>
      </c>
      <c r="AM1105" s="44">
        <v>44938.558541666665</v>
      </c>
      <c r="AN1105" s="30">
        <v>2.0</v>
      </c>
      <c r="AO1105" s="40"/>
      <c r="AP1105" s="40"/>
      <c r="AQ1105" s="40"/>
      <c r="AR1105" s="40"/>
      <c r="AS1105" s="40"/>
      <c r="AT1105" s="47"/>
      <c r="AU1105" s="40"/>
      <c r="AV1105" s="46"/>
      <c r="AW1105" s="46"/>
      <c r="AX1105" s="47"/>
      <c r="AY1105" s="44"/>
      <c r="AZ1105" s="30"/>
      <c r="CU1105" s="55"/>
      <c r="CV1105" s="55"/>
      <c r="CW1105" s="55"/>
      <c r="CX1105" s="55"/>
      <c r="CY1105" s="55"/>
      <c r="CZ1105" s="55"/>
      <c r="DA1105" s="82"/>
      <c r="DB1105" s="55"/>
      <c r="DC1105" s="55"/>
      <c r="DD1105" s="55"/>
      <c r="DE1105" s="55"/>
      <c r="DF1105" s="55"/>
      <c r="DG1105" s="55"/>
      <c r="DH1105" s="55"/>
      <c r="DI1105" s="55"/>
      <c r="DJ1105" s="55"/>
      <c r="DK1105" s="55"/>
      <c r="DL1105" s="55"/>
      <c r="DM1105" s="55"/>
      <c r="DN1105" s="55"/>
      <c r="DO1105" s="55"/>
      <c r="DP1105" s="55"/>
      <c r="DQ1105" s="55"/>
      <c r="DR1105" s="55"/>
      <c r="DS1105" s="55"/>
      <c r="DT1105" s="55"/>
      <c r="DU1105" s="55"/>
      <c r="DV1105" s="55"/>
      <c r="DW1105" s="55"/>
    </row>
    <row r="1106">
      <c r="A1106" s="23" t="s">
        <v>64</v>
      </c>
      <c r="B1106" s="23" t="s">
        <v>56</v>
      </c>
      <c r="C1106" s="31" t="s">
        <v>2513</v>
      </c>
      <c r="D1106" s="25" t="str">
        <f>IFERROR(__xludf.DUMMYFUNCTION("SPLIT(C1106,"" "")"),"Jonas,")</f>
        <v>Jonas,</v>
      </c>
      <c r="E1106" s="22" t="str">
        <f>IFERROR(__xludf.DUMMYFUNCTION("""COMPUTED_VALUE"""),"Hylton
4615")</f>
        <v>Hylton
4615</v>
      </c>
      <c r="F1106" s="22" t="str">
        <f>IFERROR(__xludf.DUMMYFUNCTION("""COMPUTED_VALUE"""),"Briar")</f>
        <v>Briar</v>
      </c>
      <c r="G1106" s="22" t="str">
        <f>IFERROR(__xludf.DUMMYFUNCTION("""COMPUTED_VALUE"""),"Oaks")</f>
        <v>Oaks</v>
      </c>
      <c r="H1106" s="22" t="str">
        <f>IFERROR(__xludf.DUMMYFUNCTION("""COMPUTED_VALUE"""),"Circle
Dallas,")</f>
        <v>Circle
Dallas,</v>
      </c>
      <c r="I1106" s="22" t="str">
        <f>IFERROR(__xludf.DUMMYFUNCTION("""COMPUTED_VALUE"""),"TX")</f>
        <v>TX</v>
      </c>
      <c r="J1106" s="22">
        <f>IFERROR(__xludf.DUMMYFUNCTION("""COMPUTED_VALUE"""),75287.0)</f>
        <v>75287</v>
      </c>
      <c r="K1106" s="22"/>
      <c r="L1106" s="22"/>
      <c r="M1106" s="22"/>
      <c r="N1106" s="22"/>
      <c r="O1106" s="22"/>
      <c r="P1106" s="22"/>
      <c r="Q1106" s="22"/>
      <c r="R1106" s="22"/>
      <c r="S1106" s="22"/>
      <c r="T1106" s="22"/>
      <c r="U1106" s="24" t="str">
        <f>IFERROR(__xludf.DUMMYFUNCTION("SPLIT(E1106,""01234567890"")"),"Hylton
")</f>
        <v>Hylton
</v>
      </c>
      <c r="V1106" s="24" t="str">
        <f>IFERROR(__xludf.DUMMYFUNCTION("SPLIT(D1106,"","")"),"Jonas")</f>
        <v>Jonas</v>
      </c>
      <c r="W1106" s="25" t="str">
        <f t="shared" si="1"/>
        <v>HYLTON
 JONAS</v>
      </c>
      <c r="X1106" s="22"/>
      <c r="Y1106" s="22"/>
      <c r="Z1106" s="25" t="str">
        <f>IFERROR(__xludf.DUMMYFUNCTION("SPLIT(C1106,""
"")"),"Jonas, Hylton")</f>
        <v>Jonas, Hylton</v>
      </c>
      <c r="AA1106" s="22" t="str">
        <f>IFERROR(__xludf.DUMMYFUNCTION("""COMPUTED_VALUE"""),"4615 Briar Oaks Circle")</f>
        <v>4615 Briar Oaks Circle</v>
      </c>
      <c r="AB1106" s="22" t="str">
        <f>IFERROR(__xludf.DUMMYFUNCTION("""COMPUTED_VALUE"""),"Dallas, TX 75287")</f>
        <v>Dallas, TX 75287</v>
      </c>
      <c r="AC1106" s="31" t="s">
        <v>2514</v>
      </c>
      <c r="AD1106" s="22"/>
      <c r="AE1106" s="22"/>
      <c r="AF1106" s="22"/>
      <c r="AG1106" s="22" t="s">
        <v>60</v>
      </c>
      <c r="AH1106" s="54">
        <v>2482.0</v>
      </c>
      <c r="AI1106" s="22" t="s">
        <v>68</v>
      </c>
      <c r="AJ1106" s="27">
        <v>100.0</v>
      </c>
      <c r="AK1106" s="31" t="s">
        <v>31</v>
      </c>
      <c r="AL1106" s="28">
        <v>44924.0</v>
      </c>
      <c r="AM1106" s="29">
        <v>44938.558541666665</v>
      </c>
      <c r="AN1106" s="30">
        <v>2.0</v>
      </c>
      <c r="AO1106" s="22"/>
      <c r="AP1106" s="22"/>
      <c r="AQ1106" s="22"/>
      <c r="AR1106" s="22"/>
      <c r="AS1106" s="22"/>
      <c r="AT1106" s="70"/>
      <c r="AU1106" s="22"/>
      <c r="AV1106" s="57"/>
      <c r="AW1106" s="57"/>
      <c r="AX1106" s="70"/>
      <c r="AY1106" s="29"/>
      <c r="AZ1106" s="30"/>
      <c r="CU1106" s="55"/>
      <c r="CV1106" s="55"/>
      <c r="CW1106" s="55"/>
      <c r="CX1106" s="55"/>
      <c r="CY1106" s="55"/>
      <c r="CZ1106" s="55"/>
      <c r="DA1106" s="82"/>
      <c r="DB1106" s="55"/>
      <c r="DC1106" s="55"/>
      <c r="DD1106" s="55"/>
      <c r="DE1106" s="55"/>
      <c r="DF1106" s="55"/>
      <c r="DG1106" s="55"/>
      <c r="DH1106" s="55"/>
      <c r="DI1106" s="55"/>
      <c r="DJ1106" s="55"/>
      <c r="DK1106" s="55"/>
      <c r="DL1106" s="55"/>
      <c r="DM1106" s="55"/>
      <c r="DN1106" s="55"/>
      <c r="DO1106" s="55"/>
      <c r="DP1106" s="55"/>
      <c r="DQ1106" s="55"/>
      <c r="DR1106" s="55"/>
      <c r="DS1106" s="55"/>
      <c r="DT1106" s="55"/>
      <c r="DU1106" s="55"/>
      <c r="DV1106" s="55"/>
      <c r="DW1106" s="55"/>
    </row>
    <row r="1107">
      <c r="A1107" s="40" t="s">
        <v>55</v>
      </c>
      <c r="B1107" s="41" t="s">
        <v>56</v>
      </c>
      <c r="C1107" s="31" t="s">
        <v>363</v>
      </c>
      <c r="D1107" s="25" t="str">
        <f>IFERROR(__xludf.DUMMYFUNCTION("SPLIT(C1107,"" "")"),"Bell,")</f>
        <v>Bell,</v>
      </c>
      <c r="E1107" s="40" t="str">
        <f>IFERROR(__xludf.DUMMYFUNCTION("""COMPUTED_VALUE"""),"David
8350")</f>
        <v>David
8350</v>
      </c>
      <c r="F1107" s="40" t="str">
        <f>IFERROR(__xludf.DUMMYFUNCTION("""COMPUTED_VALUE"""),"Meadow")</f>
        <v>Meadow</v>
      </c>
      <c r="G1107" s="40" t="str">
        <f>IFERROR(__xludf.DUMMYFUNCTION("""COMPUTED_VALUE"""),"Road
Dallas,")</f>
        <v>Road
Dallas,</v>
      </c>
      <c r="H1107" s="40" t="str">
        <f>IFERROR(__xludf.DUMMYFUNCTION("""COMPUTED_VALUE"""),"TX")</f>
        <v>TX</v>
      </c>
      <c r="I1107" s="40">
        <f>IFERROR(__xludf.DUMMYFUNCTION("""COMPUTED_VALUE"""),75231.0)</f>
        <v>75231</v>
      </c>
      <c r="J1107" s="40"/>
      <c r="K1107" s="40"/>
      <c r="L1107" s="40"/>
      <c r="M1107" s="40"/>
      <c r="N1107" s="40"/>
      <c r="O1107" s="40"/>
      <c r="P1107" s="40"/>
      <c r="Q1107" s="40"/>
      <c r="R1107" s="40"/>
      <c r="S1107" s="40"/>
      <c r="T1107" s="40"/>
      <c r="U1107" s="24" t="str">
        <f>IFERROR(__xludf.DUMMYFUNCTION("SPLIT(E1107,""01234567890"")"),"David
")</f>
        <v>David
</v>
      </c>
      <c r="V1107" s="24" t="str">
        <f>IFERROR(__xludf.DUMMYFUNCTION("SPLIT(D1107,"","")"),"Bell")</f>
        <v>Bell</v>
      </c>
      <c r="W1107" s="25" t="str">
        <f t="shared" si="1"/>
        <v>DAVID
 BELL</v>
      </c>
      <c r="X1107" s="40"/>
      <c r="Y1107" s="40"/>
      <c r="Z1107" s="25" t="str">
        <f>IFERROR(__xludf.DUMMYFUNCTION("SPLIT(C1107,""
"")"),"Bell, David")</f>
        <v>Bell, David</v>
      </c>
      <c r="AA1107" s="40" t="str">
        <f>IFERROR(__xludf.DUMMYFUNCTION("""COMPUTED_VALUE"""),"8350 Meadow Road")</f>
        <v>8350 Meadow Road</v>
      </c>
      <c r="AB1107" s="40" t="str">
        <f>IFERROR(__xludf.DUMMYFUNCTION("""COMPUTED_VALUE"""),"Dallas, TX 75231")</f>
        <v>Dallas, TX 75231</v>
      </c>
      <c r="AC1107" s="31" t="s">
        <v>365</v>
      </c>
      <c r="AD1107" s="40"/>
      <c r="AE1107" s="40"/>
      <c r="AF1107" s="40"/>
      <c r="AG1107" s="40" t="s">
        <v>60</v>
      </c>
      <c r="AH1107" s="42">
        <v>2482.0</v>
      </c>
      <c r="AI1107" s="40" t="s">
        <v>68</v>
      </c>
      <c r="AJ1107" s="27">
        <v>180.0</v>
      </c>
      <c r="AK1107" s="31" t="s">
        <v>31</v>
      </c>
      <c r="AL1107" s="43">
        <v>44924.0</v>
      </c>
      <c r="AM1107" s="44">
        <v>44938.558541666665</v>
      </c>
      <c r="AN1107" s="30">
        <v>2.0</v>
      </c>
      <c r="AO1107" s="40"/>
      <c r="AP1107" s="40"/>
      <c r="AQ1107" s="40"/>
      <c r="AR1107" s="40"/>
      <c r="AS1107" s="40"/>
      <c r="AT1107" s="47"/>
      <c r="AU1107" s="40"/>
      <c r="AV1107" s="46"/>
      <c r="AW1107" s="46"/>
      <c r="AX1107" s="47"/>
      <c r="AY1107" s="44"/>
      <c r="AZ1107" s="30"/>
      <c r="CU1107" s="55"/>
      <c r="CV1107" s="55"/>
      <c r="CW1107" s="55"/>
      <c r="CX1107" s="55"/>
      <c r="CY1107" s="55"/>
      <c r="CZ1107" s="55"/>
      <c r="DA1107" s="82"/>
      <c r="DB1107" s="55"/>
      <c r="DC1107" s="55"/>
      <c r="DD1107" s="55"/>
      <c r="DE1107" s="55"/>
      <c r="DF1107" s="55"/>
      <c r="DG1107" s="55"/>
      <c r="DH1107" s="55"/>
      <c r="DI1107" s="55"/>
      <c r="DJ1107" s="55"/>
      <c r="DK1107" s="55"/>
      <c r="DL1107" s="55"/>
      <c r="DM1107" s="55"/>
      <c r="DN1107" s="55"/>
      <c r="DO1107" s="55"/>
      <c r="DP1107" s="55"/>
      <c r="DQ1107" s="55"/>
      <c r="DR1107" s="55"/>
      <c r="DS1107" s="55"/>
      <c r="DT1107" s="55"/>
      <c r="DU1107" s="55"/>
      <c r="DV1107" s="55"/>
      <c r="DW1107" s="55"/>
    </row>
    <row r="1108">
      <c r="A1108" s="23" t="s">
        <v>64</v>
      </c>
      <c r="B1108" s="23" t="s">
        <v>56</v>
      </c>
      <c r="C1108" s="31" t="s">
        <v>133</v>
      </c>
      <c r="D1108" s="25" t="str">
        <f>IFERROR(__xludf.DUMMYFUNCTION("SPLIT(C1108,"" "")"),"Aisner,")</f>
        <v>Aisner,</v>
      </c>
      <c r="E1108" s="22" t="str">
        <f>IFERROR(__xludf.DUMMYFUNCTION("""COMPUTED_VALUE"""),"Robert
27")</f>
        <v>Robert
27</v>
      </c>
      <c r="F1108" s="22" t="str">
        <f>IFERROR(__xludf.DUMMYFUNCTION("""COMPUTED_VALUE"""),"Edge")</f>
        <v>Edge</v>
      </c>
      <c r="G1108" s="22" t="str">
        <f>IFERROR(__xludf.DUMMYFUNCTION("""COMPUTED_VALUE"""),"Hill")</f>
        <v>Hill</v>
      </c>
      <c r="H1108" s="22" t="str">
        <f>IFERROR(__xludf.DUMMYFUNCTION("""COMPUTED_VALUE"""),"Drive
Dallas,")</f>
        <v>Drive
Dallas,</v>
      </c>
      <c r="I1108" s="22" t="str">
        <f>IFERROR(__xludf.DUMMYFUNCTION("""COMPUTED_VALUE"""),"TX")</f>
        <v>TX</v>
      </c>
      <c r="J1108" s="22">
        <f>IFERROR(__xludf.DUMMYFUNCTION("""COMPUTED_VALUE"""),75248.0)</f>
        <v>75248</v>
      </c>
      <c r="K1108" s="22"/>
      <c r="L1108" s="22"/>
      <c r="M1108" s="22"/>
      <c r="N1108" s="22"/>
      <c r="O1108" s="22"/>
      <c r="P1108" s="22"/>
      <c r="Q1108" s="22"/>
      <c r="R1108" s="22"/>
      <c r="S1108" s="22"/>
      <c r="T1108" s="22"/>
      <c r="U1108" s="24" t="str">
        <f>IFERROR(__xludf.DUMMYFUNCTION("SPLIT(E1108,""01234567890"")"),"Robert
")</f>
        <v>Robert
</v>
      </c>
      <c r="V1108" s="24" t="str">
        <f>IFERROR(__xludf.DUMMYFUNCTION("SPLIT(D1108,"","")"),"Aisner")</f>
        <v>Aisner</v>
      </c>
      <c r="W1108" s="25" t="str">
        <f t="shared" si="1"/>
        <v>ROBERT
 AISNER</v>
      </c>
      <c r="X1108" s="22"/>
      <c r="Y1108" s="22"/>
      <c r="Z1108" s="25" t="str">
        <f>IFERROR(__xludf.DUMMYFUNCTION("SPLIT(C1108,""
"")"),"Aisner, Robert")</f>
        <v>Aisner, Robert</v>
      </c>
      <c r="AA1108" s="22" t="str">
        <f>IFERROR(__xludf.DUMMYFUNCTION("""COMPUTED_VALUE"""),"27 Edge Hill Drive")</f>
        <v>27 Edge Hill Drive</v>
      </c>
      <c r="AB1108" s="22" t="str">
        <f>IFERROR(__xludf.DUMMYFUNCTION("""COMPUTED_VALUE"""),"Dallas, TX 75248")</f>
        <v>Dallas, TX 75248</v>
      </c>
      <c r="AC1108" s="31" t="s">
        <v>135</v>
      </c>
      <c r="AD1108" s="22"/>
      <c r="AE1108" s="22"/>
      <c r="AF1108" s="22"/>
      <c r="AG1108" s="22" t="s">
        <v>60</v>
      </c>
      <c r="AH1108" s="54">
        <v>2482.0</v>
      </c>
      <c r="AI1108" s="22" t="s">
        <v>68</v>
      </c>
      <c r="AJ1108" s="27">
        <v>100.0</v>
      </c>
      <c r="AK1108" s="31" t="s">
        <v>31</v>
      </c>
      <c r="AL1108" s="28">
        <v>44921.0</v>
      </c>
      <c r="AM1108" s="29">
        <v>44938.558541666665</v>
      </c>
      <c r="AN1108" s="30">
        <v>2.0</v>
      </c>
      <c r="AO1108" s="22"/>
      <c r="AP1108" s="22"/>
      <c r="AQ1108" s="22"/>
      <c r="AR1108" s="22"/>
      <c r="AS1108" s="22"/>
      <c r="AT1108" s="70"/>
      <c r="AU1108" s="22"/>
      <c r="AV1108" s="57"/>
      <c r="AW1108" s="57"/>
      <c r="AX1108" s="70"/>
      <c r="AY1108" s="29"/>
      <c r="AZ1108" s="30"/>
      <c r="CU1108" s="55"/>
      <c r="CV1108" s="55"/>
      <c r="CW1108" s="55"/>
      <c r="CX1108" s="55"/>
      <c r="CY1108" s="55"/>
      <c r="CZ1108" s="55"/>
      <c r="DA1108" s="82"/>
      <c r="DB1108" s="55"/>
      <c r="DC1108" s="55"/>
      <c r="DD1108" s="55"/>
      <c r="DE1108" s="55"/>
      <c r="DF1108" s="55"/>
      <c r="DG1108" s="55"/>
      <c r="DH1108" s="55"/>
      <c r="DI1108" s="55"/>
      <c r="DJ1108" s="55"/>
      <c r="DK1108" s="55"/>
      <c r="DL1108" s="55"/>
      <c r="DM1108" s="55"/>
      <c r="DN1108" s="55"/>
      <c r="DO1108" s="55"/>
      <c r="DP1108" s="55"/>
      <c r="DQ1108" s="55"/>
      <c r="DR1108" s="55"/>
      <c r="DS1108" s="55"/>
      <c r="DT1108" s="55"/>
      <c r="DU1108" s="55"/>
      <c r="DV1108" s="55"/>
      <c r="DW1108" s="55"/>
    </row>
    <row r="1109">
      <c r="A1109" s="40" t="s">
        <v>55</v>
      </c>
      <c r="B1109" s="41" t="s">
        <v>56</v>
      </c>
      <c r="C1109" s="31" t="s">
        <v>2515</v>
      </c>
      <c r="D1109" s="25" t="str">
        <f>IFERROR(__xludf.DUMMYFUNCTION("SPLIT(C1109,"" "")"),"Duplantis,")</f>
        <v>Duplantis,</v>
      </c>
      <c r="E1109" s="40" t="str">
        <f>IFERROR(__xludf.DUMMYFUNCTION("""COMPUTED_VALUE"""),"Kandi
5202")</f>
        <v>Kandi
5202</v>
      </c>
      <c r="F1109" s="40" t="str">
        <f>IFERROR(__xludf.DUMMYFUNCTION("""COMPUTED_VALUE"""),"Harbor")</f>
        <v>Harbor</v>
      </c>
      <c r="G1109" s="40" t="str">
        <f>IFERROR(__xludf.DUMMYFUNCTION("""COMPUTED_VALUE"""),"Town")</f>
        <v>Town</v>
      </c>
      <c r="H1109" s="40" t="str">
        <f>IFERROR(__xludf.DUMMYFUNCTION("""COMPUTED_VALUE"""),"Dr
Dallas,")</f>
        <v>Dr
Dallas,</v>
      </c>
      <c r="I1109" s="40" t="str">
        <f>IFERROR(__xludf.DUMMYFUNCTION("""COMPUTED_VALUE"""),"TX")</f>
        <v>TX</v>
      </c>
      <c r="J1109" s="40">
        <f>IFERROR(__xludf.DUMMYFUNCTION("""COMPUTED_VALUE"""),75287.0)</f>
        <v>75287</v>
      </c>
      <c r="K1109" s="40"/>
      <c r="L1109" s="40"/>
      <c r="M1109" s="40"/>
      <c r="N1109" s="40"/>
      <c r="O1109" s="40"/>
      <c r="P1109" s="40"/>
      <c r="Q1109" s="40"/>
      <c r="R1109" s="40"/>
      <c r="S1109" s="40"/>
      <c r="T1109" s="40"/>
      <c r="U1109" s="24" t="str">
        <f>IFERROR(__xludf.DUMMYFUNCTION("SPLIT(E1109,""01234567890"")"),"Kandi
")</f>
        <v>Kandi
</v>
      </c>
      <c r="V1109" s="24" t="str">
        <f>IFERROR(__xludf.DUMMYFUNCTION("SPLIT(D1109,"","")"),"Duplantis")</f>
        <v>Duplantis</v>
      </c>
      <c r="W1109" s="25" t="str">
        <f t="shared" si="1"/>
        <v>KANDI
 DUPLANTIS</v>
      </c>
      <c r="X1109" s="40"/>
      <c r="Y1109" s="40"/>
      <c r="Z1109" s="25" t="str">
        <f>IFERROR(__xludf.DUMMYFUNCTION("SPLIT(C1109,""
"")"),"Duplantis, Kandi")</f>
        <v>Duplantis, Kandi</v>
      </c>
      <c r="AA1109" s="40" t="str">
        <f>IFERROR(__xludf.DUMMYFUNCTION("""COMPUTED_VALUE"""),"5202 Harbor Town Dr")</f>
        <v>5202 Harbor Town Dr</v>
      </c>
      <c r="AB1109" s="40" t="str">
        <f>IFERROR(__xludf.DUMMYFUNCTION("""COMPUTED_VALUE"""),"Dallas, TX 75287")</f>
        <v>Dallas, TX 75287</v>
      </c>
      <c r="AC1109" s="31" t="s">
        <v>2516</v>
      </c>
      <c r="AD1109" s="40"/>
      <c r="AE1109" s="40"/>
      <c r="AF1109" s="40"/>
      <c r="AG1109" s="40" t="s">
        <v>60</v>
      </c>
      <c r="AH1109" s="42">
        <v>2482.0</v>
      </c>
      <c r="AI1109" s="40" t="s">
        <v>68</v>
      </c>
      <c r="AJ1109" s="27">
        <v>100.0</v>
      </c>
      <c r="AK1109" s="31" t="s">
        <v>31</v>
      </c>
      <c r="AL1109" s="43">
        <v>44918.0</v>
      </c>
      <c r="AM1109" s="44">
        <v>44938.558541666665</v>
      </c>
      <c r="AN1109" s="30">
        <v>2.0</v>
      </c>
      <c r="AO1109" s="40"/>
      <c r="AP1109" s="40"/>
      <c r="AQ1109" s="40"/>
      <c r="AR1109" s="40"/>
      <c r="AS1109" s="40"/>
      <c r="AT1109" s="47"/>
      <c r="AU1109" s="40"/>
      <c r="AV1109" s="46"/>
      <c r="AW1109" s="46"/>
      <c r="AX1109" s="47"/>
      <c r="AY1109" s="44"/>
      <c r="AZ1109" s="30"/>
      <c r="CU1109" s="55"/>
      <c r="CV1109" s="55"/>
      <c r="CW1109" s="55"/>
      <c r="CX1109" s="55"/>
      <c r="CY1109" s="55"/>
      <c r="CZ1109" s="55"/>
      <c r="DA1109" s="82"/>
      <c r="DB1109" s="55"/>
      <c r="DC1109" s="55"/>
      <c r="DD1109" s="55"/>
      <c r="DE1109" s="55"/>
      <c r="DF1109" s="55"/>
      <c r="DG1109" s="55"/>
      <c r="DH1109" s="55"/>
      <c r="DI1109" s="55"/>
      <c r="DJ1109" s="55"/>
      <c r="DK1109" s="55"/>
      <c r="DL1109" s="55"/>
      <c r="DM1109" s="55"/>
      <c r="DN1109" s="55"/>
      <c r="DO1109" s="55"/>
      <c r="DP1109" s="55"/>
      <c r="DQ1109" s="55"/>
      <c r="DR1109" s="55"/>
      <c r="DS1109" s="55"/>
      <c r="DT1109" s="55"/>
      <c r="DU1109" s="55"/>
      <c r="DV1109" s="55"/>
      <c r="DW1109" s="55"/>
    </row>
    <row r="1110">
      <c r="A1110" s="23" t="s">
        <v>64</v>
      </c>
      <c r="B1110" s="23" t="s">
        <v>56</v>
      </c>
      <c r="C1110" s="31" t="s">
        <v>2517</v>
      </c>
      <c r="D1110" s="25" t="str">
        <f>IFERROR(__xludf.DUMMYFUNCTION("SPLIT(C1110,"" "")"),"Jordan,")</f>
        <v>Jordan,</v>
      </c>
      <c r="E1110" s="22" t="str">
        <f>IFERROR(__xludf.DUMMYFUNCTION("""COMPUTED_VALUE"""),"Cris
4843")</f>
        <v>Cris
4843</v>
      </c>
      <c r="F1110" s="22" t="str">
        <f>IFERROR(__xludf.DUMMYFUNCTION("""COMPUTED_VALUE"""),"Junius")</f>
        <v>Junius</v>
      </c>
      <c r="G1110" s="22" t="str">
        <f>IFERROR(__xludf.DUMMYFUNCTION("""COMPUTED_VALUE"""),"Street
Dallas,")</f>
        <v>Street
Dallas,</v>
      </c>
      <c r="H1110" s="22" t="str">
        <f>IFERROR(__xludf.DUMMYFUNCTION("""COMPUTED_VALUE"""),"TX")</f>
        <v>TX</v>
      </c>
      <c r="I1110" s="22">
        <f>IFERROR(__xludf.DUMMYFUNCTION("""COMPUTED_VALUE"""),75246.0)</f>
        <v>75246</v>
      </c>
      <c r="J1110" s="22"/>
      <c r="K1110" s="22"/>
      <c r="L1110" s="22"/>
      <c r="M1110" s="22"/>
      <c r="N1110" s="22"/>
      <c r="O1110" s="22"/>
      <c r="P1110" s="22"/>
      <c r="Q1110" s="22"/>
      <c r="R1110" s="22"/>
      <c r="S1110" s="22"/>
      <c r="T1110" s="22"/>
      <c r="U1110" s="24" t="str">
        <f>IFERROR(__xludf.DUMMYFUNCTION("SPLIT(E1110,""01234567890"")"),"Cris
")</f>
        <v>Cris
</v>
      </c>
      <c r="V1110" s="24" t="str">
        <f>IFERROR(__xludf.DUMMYFUNCTION("SPLIT(D1110,"","")"),"Jordan")</f>
        <v>Jordan</v>
      </c>
      <c r="W1110" s="25" t="str">
        <f t="shared" si="1"/>
        <v>CRIS
 JORDAN</v>
      </c>
      <c r="X1110" s="22"/>
      <c r="Y1110" s="22"/>
      <c r="Z1110" s="25" t="str">
        <f>IFERROR(__xludf.DUMMYFUNCTION("SPLIT(C1110,""
"")"),"Jordan, Cris")</f>
        <v>Jordan, Cris</v>
      </c>
      <c r="AA1110" s="22" t="str">
        <f>IFERROR(__xludf.DUMMYFUNCTION("""COMPUTED_VALUE"""),"4843 Junius Street")</f>
        <v>4843 Junius Street</v>
      </c>
      <c r="AB1110" s="22" t="str">
        <f>IFERROR(__xludf.DUMMYFUNCTION("""COMPUTED_VALUE"""),"Dallas, TX 75246")</f>
        <v>Dallas, TX 75246</v>
      </c>
      <c r="AC1110" s="31" t="s">
        <v>2518</v>
      </c>
      <c r="AD1110" s="22"/>
      <c r="AE1110" s="22"/>
      <c r="AF1110" s="22"/>
      <c r="AG1110" s="22" t="s">
        <v>60</v>
      </c>
      <c r="AH1110" s="54">
        <v>2482.0</v>
      </c>
      <c r="AI1110" s="22" t="s">
        <v>68</v>
      </c>
      <c r="AJ1110" s="27">
        <v>100.0</v>
      </c>
      <c r="AK1110" s="31" t="s">
        <v>31</v>
      </c>
      <c r="AL1110" s="28">
        <v>44916.0</v>
      </c>
      <c r="AM1110" s="29">
        <v>44938.558541666665</v>
      </c>
      <c r="AN1110" s="30">
        <v>2.0</v>
      </c>
      <c r="AO1110" s="22"/>
      <c r="AP1110" s="22"/>
      <c r="AQ1110" s="22"/>
      <c r="AR1110" s="22"/>
      <c r="AS1110" s="22"/>
      <c r="AT1110" s="70"/>
      <c r="AU1110" s="22"/>
      <c r="AV1110" s="57"/>
      <c r="AW1110" s="57"/>
      <c r="AX1110" s="70"/>
      <c r="AY1110" s="29"/>
      <c r="AZ1110" s="30"/>
      <c r="CU1110" s="55"/>
      <c r="CV1110" s="55"/>
      <c r="CW1110" s="55"/>
      <c r="CX1110" s="55"/>
      <c r="CY1110" s="55"/>
      <c r="CZ1110" s="55"/>
      <c r="DA1110" s="82"/>
      <c r="DB1110" s="55"/>
      <c r="DC1110" s="55"/>
      <c r="DD1110" s="55"/>
      <c r="DE1110" s="55"/>
      <c r="DF1110" s="55"/>
      <c r="DG1110" s="55"/>
      <c r="DH1110" s="55"/>
      <c r="DI1110" s="55"/>
      <c r="DJ1110" s="55"/>
      <c r="DK1110" s="55"/>
      <c r="DL1110" s="55"/>
      <c r="DM1110" s="55"/>
      <c r="DN1110" s="55"/>
      <c r="DO1110" s="55"/>
      <c r="DP1110" s="55"/>
      <c r="DQ1110" s="55"/>
      <c r="DR1110" s="55"/>
      <c r="DS1110" s="55"/>
      <c r="DT1110" s="55"/>
      <c r="DU1110" s="55"/>
      <c r="DV1110" s="55"/>
      <c r="DW1110" s="55"/>
    </row>
    <row r="1111">
      <c r="A1111" s="40" t="s">
        <v>55</v>
      </c>
      <c r="B1111" s="41" t="s">
        <v>56</v>
      </c>
      <c r="C1111" s="31" t="s">
        <v>2519</v>
      </c>
      <c r="D1111" s="25" t="str">
        <f>IFERROR(__xludf.DUMMYFUNCTION("SPLIT(C1111,"" "")"),"Chafetz,")</f>
        <v>Chafetz,</v>
      </c>
      <c r="E1111" s="40" t="str">
        <f>IFERROR(__xludf.DUMMYFUNCTION("""COMPUTED_VALUE"""),"Paul
12006")</f>
        <v>Paul
12006</v>
      </c>
      <c r="F1111" s="40" t="str">
        <f>IFERROR(__xludf.DUMMYFUNCTION("""COMPUTED_VALUE"""),"De")</f>
        <v>De</v>
      </c>
      <c r="G1111" s="40" t="str">
        <f>IFERROR(__xludf.DUMMYFUNCTION("""COMPUTED_VALUE"""),"Or
Dallas,")</f>
        <v>Or
Dallas,</v>
      </c>
      <c r="H1111" s="40" t="str">
        <f>IFERROR(__xludf.DUMMYFUNCTION("""COMPUTED_VALUE"""),"TX")</f>
        <v>TX</v>
      </c>
      <c r="I1111" s="40">
        <f>IFERROR(__xludf.DUMMYFUNCTION("""COMPUTED_VALUE"""),75230.0)</f>
        <v>75230</v>
      </c>
      <c r="J1111" s="40"/>
      <c r="K1111" s="40"/>
      <c r="L1111" s="40"/>
      <c r="M1111" s="40"/>
      <c r="N1111" s="40"/>
      <c r="O1111" s="40"/>
      <c r="P1111" s="40"/>
      <c r="Q1111" s="40"/>
      <c r="R1111" s="40"/>
      <c r="S1111" s="40"/>
      <c r="T1111" s="40"/>
      <c r="U1111" s="24" t="str">
        <f>IFERROR(__xludf.DUMMYFUNCTION("SPLIT(E1111,""01234567890"")"),"Paul
")</f>
        <v>Paul
</v>
      </c>
      <c r="V1111" s="24" t="str">
        <f>IFERROR(__xludf.DUMMYFUNCTION("SPLIT(D1111,"","")"),"Chafetz")</f>
        <v>Chafetz</v>
      </c>
      <c r="W1111" s="25" t="str">
        <f t="shared" si="1"/>
        <v>PAUL
 CHAFETZ</v>
      </c>
      <c r="X1111" s="40"/>
      <c r="Y1111" s="40"/>
      <c r="Z1111" s="25" t="str">
        <f>IFERROR(__xludf.DUMMYFUNCTION("SPLIT(C1111,""
"")"),"Chafetz, Paul")</f>
        <v>Chafetz, Paul</v>
      </c>
      <c r="AA1111" s="40" t="str">
        <f>IFERROR(__xludf.DUMMYFUNCTION("""COMPUTED_VALUE"""),"12006 De Or")</f>
        <v>12006 De Or</v>
      </c>
      <c r="AB1111" s="40" t="str">
        <f>IFERROR(__xludf.DUMMYFUNCTION("""COMPUTED_VALUE"""),"Dallas, TX 75230")</f>
        <v>Dallas, TX 75230</v>
      </c>
      <c r="AC1111" s="31" t="s">
        <v>2520</v>
      </c>
      <c r="AD1111" s="40"/>
      <c r="AE1111" s="40"/>
      <c r="AF1111" s="40"/>
      <c r="AG1111" s="40" t="s">
        <v>60</v>
      </c>
      <c r="AH1111" s="42">
        <v>2482.0</v>
      </c>
      <c r="AI1111" s="40" t="s">
        <v>68</v>
      </c>
      <c r="AJ1111" s="27">
        <v>100.0</v>
      </c>
      <c r="AK1111" s="31" t="s">
        <v>31</v>
      </c>
      <c r="AL1111" s="43">
        <v>44915.0</v>
      </c>
      <c r="AM1111" s="44">
        <v>44938.558541666665</v>
      </c>
      <c r="AN1111" s="30">
        <v>2.0</v>
      </c>
      <c r="AO1111" s="40"/>
      <c r="AP1111" s="40"/>
      <c r="AQ1111" s="40"/>
      <c r="AR1111" s="40"/>
      <c r="AS1111" s="40"/>
      <c r="AT1111" s="47"/>
      <c r="AU1111" s="40"/>
      <c r="AV1111" s="46"/>
      <c r="AW1111" s="46"/>
      <c r="AX1111" s="47"/>
      <c r="AY1111" s="44"/>
      <c r="AZ1111" s="30"/>
      <c r="CU1111" s="55"/>
      <c r="CV1111" s="55"/>
      <c r="CW1111" s="55"/>
      <c r="CX1111" s="55"/>
      <c r="CY1111" s="55"/>
      <c r="CZ1111" s="55"/>
      <c r="DA1111" s="82"/>
      <c r="DB1111" s="55"/>
      <c r="DC1111" s="55"/>
      <c r="DD1111" s="55"/>
      <c r="DE1111" s="55"/>
      <c r="DF1111" s="55"/>
      <c r="DG1111" s="55"/>
      <c r="DH1111" s="55"/>
      <c r="DI1111" s="55"/>
      <c r="DJ1111" s="55"/>
      <c r="DK1111" s="55"/>
      <c r="DL1111" s="55"/>
      <c r="DM1111" s="55"/>
      <c r="DN1111" s="55"/>
      <c r="DO1111" s="55"/>
      <c r="DP1111" s="55"/>
      <c r="DQ1111" s="55"/>
      <c r="DR1111" s="55"/>
      <c r="DS1111" s="55"/>
      <c r="DT1111" s="55"/>
      <c r="DU1111" s="55"/>
      <c r="DV1111" s="55"/>
      <c r="DW1111" s="55"/>
    </row>
    <row r="1112">
      <c r="A1112" s="23" t="s">
        <v>64</v>
      </c>
      <c r="B1112" s="23" t="s">
        <v>56</v>
      </c>
      <c r="C1112" s="31" t="s">
        <v>2521</v>
      </c>
      <c r="D1112" s="25" t="str">
        <f>IFERROR(__xludf.DUMMYFUNCTION("SPLIT(C1112,"" "")"),"Palmer,")</f>
        <v>Palmer,</v>
      </c>
      <c r="E1112" s="22" t="str">
        <f>IFERROR(__xludf.DUMMYFUNCTION("""COMPUTED_VALUE"""),"Wendy
7715")</f>
        <v>Wendy
7715</v>
      </c>
      <c r="F1112" s="22" t="str">
        <f>IFERROR(__xludf.DUMMYFUNCTION("""COMPUTED_VALUE"""),"Midbury")</f>
        <v>Midbury</v>
      </c>
      <c r="G1112" s="22" t="str">
        <f>IFERROR(__xludf.DUMMYFUNCTION("""COMPUTED_VALUE"""),"Drive
Dallas,")</f>
        <v>Drive
Dallas,</v>
      </c>
      <c r="H1112" s="22" t="str">
        <f>IFERROR(__xludf.DUMMYFUNCTION("""COMPUTED_VALUE"""),"TX")</f>
        <v>TX</v>
      </c>
      <c r="I1112" s="22">
        <f>IFERROR(__xludf.DUMMYFUNCTION("""COMPUTED_VALUE"""),75230.0)</f>
        <v>75230</v>
      </c>
      <c r="J1112" s="22"/>
      <c r="K1112" s="22"/>
      <c r="L1112" s="22"/>
      <c r="M1112" s="22"/>
      <c r="N1112" s="22"/>
      <c r="O1112" s="22"/>
      <c r="P1112" s="22"/>
      <c r="Q1112" s="22"/>
      <c r="R1112" s="22"/>
      <c r="S1112" s="22"/>
      <c r="T1112" s="22"/>
      <c r="U1112" s="24" t="str">
        <f>IFERROR(__xludf.DUMMYFUNCTION("SPLIT(E1112,""01234567890"")"),"Wendy
")</f>
        <v>Wendy
</v>
      </c>
      <c r="V1112" s="24" t="str">
        <f>IFERROR(__xludf.DUMMYFUNCTION("SPLIT(D1112,"","")"),"Palmer")</f>
        <v>Palmer</v>
      </c>
      <c r="W1112" s="25" t="str">
        <f t="shared" si="1"/>
        <v>WENDY
 PALMER</v>
      </c>
      <c r="X1112" s="22"/>
      <c r="Y1112" s="22"/>
      <c r="Z1112" s="25" t="str">
        <f>IFERROR(__xludf.DUMMYFUNCTION("SPLIT(C1112,""
"")"),"Palmer, Wendy")</f>
        <v>Palmer, Wendy</v>
      </c>
      <c r="AA1112" s="22" t="str">
        <f>IFERROR(__xludf.DUMMYFUNCTION("""COMPUTED_VALUE"""),"7715 Midbury Drive")</f>
        <v>7715 Midbury Drive</v>
      </c>
      <c r="AB1112" s="22" t="str">
        <f>IFERROR(__xludf.DUMMYFUNCTION("""COMPUTED_VALUE"""),"Dallas, TX 75230")</f>
        <v>Dallas, TX 75230</v>
      </c>
      <c r="AC1112" s="31" t="s">
        <v>2522</v>
      </c>
      <c r="AD1112" s="22"/>
      <c r="AE1112" s="22"/>
      <c r="AF1112" s="22"/>
      <c r="AG1112" s="22" t="s">
        <v>60</v>
      </c>
      <c r="AH1112" s="54">
        <v>2482.0</v>
      </c>
      <c r="AI1112" s="22" t="s">
        <v>68</v>
      </c>
      <c r="AJ1112" s="27">
        <v>100.0</v>
      </c>
      <c r="AK1112" s="31" t="s">
        <v>31</v>
      </c>
      <c r="AL1112" s="28">
        <v>44914.0</v>
      </c>
      <c r="AM1112" s="29">
        <v>44938.558541666665</v>
      </c>
      <c r="AN1112" s="30">
        <v>2.0</v>
      </c>
      <c r="AO1112" s="22"/>
      <c r="AP1112" s="22"/>
      <c r="AQ1112" s="22"/>
      <c r="AR1112" s="22"/>
      <c r="AS1112" s="22"/>
      <c r="AT1112" s="70"/>
      <c r="AU1112" s="22"/>
      <c r="AV1112" s="57"/>
      <c r="AW1112" s="57"/>
      <c r="AX1112" s="70"/>
      <c r="AY1112" s="29"/>
      <c r="AZ1112" s="30"/>
      <c r="CU1112" s="55"/>
      <c r="CV1112" s="55"/>
      <c r="CW1112" s="55"/>
      <c r="CX1112" s="55"/>
      <c r="CY1112" s="55"/>
      <c r="CZ1112" s="55"/>
      <c r="DA1112" s="82"/>
      <c r="DB1112" s="55"/>
      <c r="DC1112" s="55"/>
      <c r="DD1112" s="55"/>
      <c r="DE1112" s="55"/>
      <c r="DF1112" s="55"/>
      <c r="DG1112" s="55"/>
      <c r="DH1112" s="55"/>
      <c r="DI1112" s="55"/>
      <c r="DJ1112" s="55"/>
      <c r="DK1112" s="55"/>
      <c r="DL1112" s="55"/>
      <c r="DM1112" s="55"/>
      <c r="DN1112" s="55"/>
      <c r="DO1112" s="55"/>
      <c r="DP1112" s="55"/>
      <c r="DQ1112" s="55"/>
      <c r="DR1112" s="55"/>
      <c r="DS1112" s="55"/>
      <c r="DT1112" s="55"/>
      <c r="DU1112" s="55"/>
      <c r="DV1112" s="55"/>
      <c r="DW1112" s="55"/>
    </row>
    <row r="1113">
      <c r="A1113" s="40" t="s">
        <v>55</v>
      </c>
      <c r="B1113" s="41" t="s">
        <v>56</v>
      </c>
      <c r="C1113" s="31" t="s">
        <v>2523</v>
      </c>
      <c r="D1113" s="25" t="str">
        <f>IFERROR(__xludf.DUMMYFUNCTION("SPLIT(C1113,"" "")"),"Fried,")</f>
        <v>Fried,</v>
      </c>
      <c r="E1113" s="40" t="str">
        <f>IFERROR(__xludf.DUMMYFUNCTION("""COMPUTED_VALUE"""),"Randall
6263")</f>
        <v>Randall
6263</v>
      </c>
      <c r="F1113" s="40" t="str">
        <f>IFERROR(__xludf.DUMMYFUNCTION("""COMPUTED_VALUE"""),"Prestoncrest")</f>
        <v>Prestoncrest</v>
      </c>
      <c r="G1113" s="40" t="str">
        <f>IFERROR(__xludf.DUMMYFUNCTION("""COMPUTED_VALUE"""),"Ln
Dallas,")</f>
        <v>Ln
Dallas,</v>
      </c>
      <c r="H1113" s="40" t="str">
        <f>IFERROR(__xludf.DUMMYFUNCTION("""COMPUTED_VALUE"""),"TX")</f>
        <v>TX</v>
      </c>
      <c r="I1113" s="40">
        <f>IFERROR(__xludf.DUMMYFUNCTION("""COMPUTED_VALUE"""),75230.0)</f>
        <v>75230</v>
      </c>
      <c r="J1113" s="40"/>
      <c r="K1113" s="40"/>
      <c r="L1113" s="40"/>
      <c r="M1113" s="40"/>
      <c r="N1113" s="40"/>
      <c r="O1113" s="40"/>
      <c r="P1113" s="40"/>
      <c r="Q1113" s="40"/>
      <c r="R1113" s="40"/>
      <c r="S1113" s="40"/>
      <c r="T1113" s="40"/>
      <c r="U1113" s="24" t="str">
        <f>IFERROR(__xludf.DUMMYFUNCTION("SPLIT(E1113,""01234567890"")"),"Randall
")</f>
        <v>Randall
</v>
      </c>
      <c r="V1113" s="24" t="str">
        <f>IFERROR(__xludf.DUMMYFUNCTION("SPLIT(D1113,"","")"),"Fried")</f>
        <v>Fried</v>
      </c>
      <c r="W1113" s="25" t="str">
        <f t="shared" si="1"/>
        <v>RANDALL
 FRIED</v>
      </c>
      <c r="X1113" s="40"/>
      <c r="Y1113" s="40"/>
      <c r="Z1113" s="25" t="str">
        <f>IFERROR(__xludf.DUMMYFUNCTION("SPLIT(C1113,""
"")"),"Fried, Randall")</f>
        <v>Fried, Randall</v>
      </c>
      <c r="AA1113" s="40" t="str">
        <f>IFERROR(__xludf.DUMMYFUNCTION("""COMPUTED_VALUE"""),"6263 Prestoncrest Ln")</f>
        <v>6263 Prestoncrest Ln</v>
      </c>
      <c r="AB1113" s="40" t="str">
        <f>IFERROR(__xludf.DUMMYFUNCTION("""COMPUTED_VALUE"""),"Dallas, TX 75230")</f>
        <v>Dallas, TX 75230</v>
      </c>
      <c r="AC1113" s="31" t="s">
        <v>2524</v>
      </c>
      <c r="AD1113" s="40"/>
      <c r="AE1113" s="40"/>
      <c r="AF1113" s="40"/>
      <c r="AG1113" s="40" t="s">
        <v>60</v>
      </c>
      <c r="AH1113" s="42">
        <v>2482.0</v>
      </c>
      <c r="AI1113" s="40" t="s">
        <v>68</v>
      </c>
      <c r="AJ1113" s="27">
        <v>18.0</v>
      </c>
      <c r="AK1113" s="31" t="s">
        <v>31</v>
      </c>
      <c r="AL1113" s="43">
        <v>44913.0</v>
      </c>
      <c r="AM1113" s="44">
        <v>44938.558541666665</v>
      </c>
      <c r="AN1113" s="30">
        <v>2.0</v>
      </c>
      <c r="AO1113" s="40"/>
      <c r="AP1113" s="40"/>
      <c r="AQ1113" s="40"/>
      <c r="AR1113" s="40"/>
      <c r="AS1113" s="40"/>
      <c r="AT1113" s="47"/>
      <c r="AU1113" s="40"/>
      <c r="AV1113" s="46"/>
      <c r="AW1113" s="46"/>
      <c r="AX1113" s="47"/>
      <c r="AY1113" s="44"/>
      <c r="AZ1113" s="30"/>
      <c r="CU1113" s="55"/>
      <c r="CV1113" s="55"/>
      <c r="CW1113" s="55"/>
      <c r="CX1113" s="55"/>
      <c r="CY1113" s="55"/>
      <c r="CZ1113" s="55"/>
      <c r="DA1113" s="82"/>
      <c r="DB1113" s="55"/>
      <c r="DC1113" s="55"/>
      <c r="DD1113" s="55"/>
      <c r="DE1113" s="55"/>
      <c r="DF1113" s="55"/>
      <c r="DG1113" s="55"/>
      <c r="DH1113" s="55"/>
      <c r="DI1113" s="55"/>
      <c r="DJ1113" s="55"/>
      <c r="DK1113" s="55"/>
      <c r="DL1113" s="55"/>
      <c r="DM1113" s="55"/>
      <c r="DN1113" s="55"/>
      <c r="DO1113" s="55"/>
      <c r="DP1113" s="55"/>
      <c r="DQ1113" s="55"/>
      <c r="DR1113" s="55"/>
      <c r="DS1113" s="55"/>
      <c r="DT1113" s="55"/>
      <c r="DU1113" s="55"/>
      <c r="DV1113" s="55"/>
      <c r="DW1113" s="55"/>
    </row>
    <row r="1114">
      <c r="A1114" s="23" t="s">
        <v>64</v>
      </c>
      <c r="B1114" s="23" t="s">
        <v>56</v>
      </c>
      <c r="C1114" s="31" t="s">
        <v>2525</v>
      </c>
      <c r="D1114" s="25" t="str">
        <f>IFERROR(__xludf.DUMMYFUNCTION("SPLIT(C1114,"" "")"),"Cohen,")</f>
        <v>Cohen,</v>
      </c>
      <c r="E1114" s="22" t="str">
        <f>IFERROR(__xludf.DUMMYFUNCTION("""COMPUTED_VALUE"""),"Howard
13209")</f>
        <v>Howard
13209</v>
      </c>
      <c r="F1114" s="22" t="str">
        <f>IFERROR(__xludf.DUMMYFUNCTION("""COMPUTED_VALUE"""),"Roaring")</f>
        <v>Roaring</v>
      </c>
      <c r="G1114" s="22" t="str">
        <f>IFERROR(__xludf.DUMMYFUNCTION("""COMPUTED_VALUE"""),"Springs")</f>
        <v>Springs</v>
      </c>
      <c r="H1114" s="22" t="str">
        <f>IFERROR(__xludf.DUMMYFUNCTION("""COMPUTED_VALUE"""),"Lane
Dallas,")</f>
        <v>Lane
Dallas,</v>
      </c>
      <c r="I1114" s="22" t="str">
        <f>IFERROR(__xludf.DUMMYFUNCTION("""COMPUTED_VALUE"""),"TX")</f>
        <v>TX</v>
      </c>
      <c r="J1114" s="22">
        <f>IFERROR(__xludf.DUMMYFUNCTION("""COMPUTED_VALUE"""),75240.0)</f>
        <v>75240</v>
      </c>
      <c r="K1114" s="22"/>
      <c r="L1114" s="22"/>
      <c r="M1114" s="22"/>
      <c r="N1114" s="22"/>
      <c r="O1114" s="22"/>
      <c r="P1114" s="22"/>
      <c r="Q1114" s="22"/>
      <c r="R1114" s="22"/>
      <c r="S1114" s="22"/>
      <c r="T1114" s="22"/>
      <c r="U1114" s="24" t="str">
        <f>IFERROR(__xludf.DUMMYFUNCTION("SPLIT(E1114,""01234567890"")"),"Howard
")</f>
        <v>Howard
</v>
      </c>
      <c r="V1114" s="24" t="str">
        <f>IFERROR(__xludf.DUMMYFUNCTION("SPLIT(D1114,"","")"),"Cohen")</f>
        <v>Cohen</v>
      </c>
      <c r="W1114" s="25" t="str">
        <f t="shared" si="1"/>
        <v>HOWARD
 COHEN</v>
      </c>
      <c r="X1114" s="22"/>
      <c r="Y1114" s="22"/>
      <c r="Z1114" s="25" t="str">
        <f>IFERROR(__xludf.DUMMYFUNCTION("SPLIT(C1114,""
"")"),"Cohen, Howard")</f>
        <v>Cohen, Howard</v>
      </c>
      <c r="AA1114" s="22" t="str">
        <f>IFERROR(__xludf.DUMMYFUNCTION("""COMPUTED_VALUE"""),"13209 Roaring Springs Lane")</f>
        <v>13209 Roaring Springs Lane</v>
      </c>
      <c r="AB1114" s="22" t="str">
        <f>IFERROR(__xludf.DUMMYFUNCTION("""COMPUTED_VALUE"""),"Dallas, TX 75240")</f>
        <v>Dallas, TX 75240</v>
      </c>
      <c r="AC1114" s="31" t="s">
        <v>2526</v>
      </c>
      <c r="AD1114" s="22"/>
      <c r="AE1114" s="22"/>
      <c r="AF1114" s="22"/>
      <c r="AG1114" s="22" t="s">
        <v>60</v>
      </c>
      <c r="AH1114" s="54">
        <v>2482.0</v>
      </c>
      <c r="AI1114" s="22" t="s">
        <v>68</v>
      </c>
      <c r="AJ1114" s="27">
        <v>100.0</v>
      </c>
      <c r="AK1114" s="31" t="s">
        <v>31</v>
      </c>
      <c r="AL1114" s="28">
        <v>44913.0</v>
      </c>
      <c r="AM1114" s="29">
        <v>44938.558541666665</v>
      </c>
      <c r="AN1114" s="30">
        <v>2.0</v>
      </c>
      <c r="AO1114" s="22"/>
      <c r="AP1114" s="22"/>
      <c r="AQ1114" s="22"/>
      <c r="AR1114" s="22"/>
      <c r="AS1114" s="22"/>
      <c r="AT1114" s="70"/>
      <c r="AU1114" s="22"/>
      <c r="AV1114" s="57"/>
      <c r="AW1114" s="57"/>
      <c r="AX1114" s="70"/>
      <c r="AY1114" s="29"/>
      <c r="AZ1114" s="30"/>
      <c r="CU1114" s="55"/>
      <c r="CV1114" s="55"/>
      <c r="CW1114" s="55"/>
      <c r="CX1114" s="55"/>
      <c r="CY1114" s="55"/>
      <c r="CZ1114" s="55"/>
      <c r="DA1114" s="82"/>
      <c r="DB1114" s="55"/>
      <c r="DC1114" s="55"/>
      <c r="DD1114" s="55"/>
      <c r="DE1114" s="55"/>
      <c r="DF1114" s="55"/>
      <c r="DG1114" s="55"/>
      <c r="DH1114" s="55"/>
      <c r="DI1114" s="55"/>
      <c r="DJ1114" s="55"/>
      <c r="DK1114" s="55"/>
      <c r="DL1114" s="55"/>
      <c r="DM1114" s="55"/>
      <c r="DN1114" s="55"/>
      <c r="DO1114" s="55"/>
      <c r="DP1114" s="55"/>
      <c r="DQ1114" s="55"/>
      <c r="DR1114" s="55"/>
      <c r="DS1114" s="55"/>
      <c r="DT1114" s="55"/>
      <c r="DU1114" s="55"/>
      <c r="DV1114" s="55"/>
      <c r="DW1114" s="55"/>
    </row>
    <row r="1115">
      <c r="A1115" s="40" t="s">
        <v>55</v>
      </c>
      <c r="B1115" s="41" t="s">
        <v>56</v>
      </c>
      <c r="C1115" s="31" t="s">
        <v>2527</v>
      </c>
      <c r="D1115" s="25" t="str">
        <f>IFERROR(__xludf.DUMMYFUNCTION("SPLIT(C1115,"" "")"),"Fritts,")</f>
        <v>Fritts,</v>
      </c>
      <c r="E1115" s="40" t="str">
        <f>IFERROR(__xludf.DUMMYFUNCTION("""COMPUTED_VALUE"""),"Jeff
14108")</f>
        <v>Jeff
14108</v>
      </c>
      <c r="F1115" s="40" t="str">
        <f>IFERROR(__xludf.DUMMYFUNCTION("""COMPUTED_VALUE"""),"Regency")</f>
        <v>Regency</v>
      </c>
      <c r="G1115" s="40" t="str">
        <f>IFERROR(__xludf.DUMMYFUNCTION("""COMPUTED_VALUE"""),"Place
Dallas,")</f>
        <v>Place
Dallas,</v>
      </c>
      <c r="H1115" s="40" t="str">
        <f>IFERROR(__xludf.DUMMYFUNCTION("""COMPUTED_VALUE"""),"TX")</f>
        <v>TX</v>
      </c>
      <c r="I1115" s="40">
        <f>IFERROR(__xludf.DUMMYFUNCTION("""COMPUTED_VALUE"""),75254.0)</f>
        <v>75254</v>
      </c>
      <c r="J1115" s="40"/>
      <c r="K1115" s="40"/>
      <c r="L1115" s="40"/>
      <c r="M1115" s="40"/>
      <c r="N1115" s="40"/>
      <c r="O1115" s="40"/>
      <c r="P1115" s="40"/>
      <c r="Q1115" s="40"/>
      <c r="R1115" s="40"/>
      <c r="S1115" s="40"/>
      <c r="T1115" s="40"/>
      <c r="U1115" s="24" t="str">
        <f>IFERROR(__xludf.DUMMYFUNCTION("SPLIT(E1115,""01234567890"")"),"Jeff
")</f>
        <v>Jeff
</v>
      </c>
      <c r="V1115" s="24" t="str">
        <f>IFERROR(__xludf.DUMMYFUNCTION("SPLIT(D1115,"","")"),"Fritts")</f>
        <v>Fritts</v>
      </c>
      <c r="W1115" s="25" t="str">
        <f t="shared" si="1"/>
        <v>JEFF
 FRITTS</v>
      </c>
      <c r="X1115" s="40"/>
      <c r="Y1115" s="40"/>
      <c r="Z1115" s="25" t="str">
        <f>IFERROR(__xludf.DUMMYFUNCTION("SPLIT(C1115,""
"")"),"Fritts, Jeff")</f>
        <v>Fritts, Jeff</v>
      </c>
      <c r="AA1115" s="40" t="str">
        <f>IFERROR(__xludf.DUMMYFUNCTION("""COMPUTED_VALUE"""),"14108 Regency Place")</f>
        <v>14108 Regency Place</v>
      </c>
      <c r="AB1115" s="40" t="str">
        <f>IFERROR(__xludf.DUMMYFUNCTION("""COMPUTED_VALUE"""),"Dallas, TX 75254")</f>
        <v>Dallas, TX 75254</v>
      </c>
      <c r="AC1115" s="31" t="s">
        <v>2528</v>
      </c>
      <c r="AD1115" s="40"/>
      <c r="AE1115" s="40"/>
      <c r="AF1115" s="40"/>
      <c r="AG1115" s="40" t="s">
        <v>60</v>
      </c>
      <c r="AH1115" s="42">
        <v>2482.0</v>
      </c>
      <c r="AI1115" s="40" t="s">
        <v>68</v>
      </c>
      <c r="AJ1115" s="27">
        <v>100.0</v>
      </c>
      <c r="AK1115" s="31" t="s">
        <v>31</v>
      </c>
      <c r="AL1115" s="43">
        <v>44913.0</v>
      </c>
      <c r="AM1115" s="44">
        <v>44938.558541666665</v>
      </c>
      <c r="AN1115" s="30">
        <v>2.0</v>
      </c>
      <c r="AO1115" s="40"/>
      <c r="AP1115" s="40"/>
      <c r="AQ1115" s="40"/>
      <c r="AR1115" s="40"/>
      <c r="AS1115" s="40"/>
      <c r="AT1115" s="47"/>
      <c r="AU1115" s="40"/>
      <c r="AV1115" s="46"/>
      <c r="AW1115" s="46"/>
      <c r="AX1115" s="47"/>
      <c r="AY1115" s="44"/>
      <c r="AZ1115" s="30"/>
      <c r="CU1115" s="55"/>
      <c r="CV1115" s="55"/>
      <c r="CW1115" s="55"/>
      <c r="CX1115" s="55"/>
      <c r="CY1115" s="55"/>
      <c r="CZ1115" s="55"/>
      <c r="DA1115" s="82"/>
      <c r="DB1115" s="55"/>
      <c r="DC1115" s="55"/>
      <c r="DD1115" s="55"/>
      <c r="DE1115" s="55"/>
      <c r="DF1115" s="55"/>
      <c r="DG1115" s="55"/>
      <c r="DH1115" s="55"/>
      <c r="DI1115" s="55"/>
      <c r="DJ1115" s="55"/>
      <c r="DK1115" s="55"/>
      <c r="DL1115" s="55"/>
      <c r="DM1115" s="55"/>
      <c r="DN1115" s="55"/>
      <c r="DO1115" s="55"/>
      <c r="DP1115" s="55"/>
      <c r="DQ1115" s="55"/>
      <c r="DR1115" s="55"/>
      <c r="DS1115" s="55"/>
      <c r="DT1115" s="55"/>
      <c r="DU1115" s="55"/>
      <c r="DV1115" s="55"/>
      <c r="DW1115" s="55"/>
    </row>
    <row r="1116">
      <c r="A1116" s="23" t="s">
        <v>64</v>
      </c>
      <c r="B1116" s="23" t="s">
        <v>56</v>
      </c>
      <c r="C1116" s="31" t="s">
        <v>2529</v>
      </c>
      <c r="D1116" s="25" t="str">
        <f>IFERROR(__xludf.DUMMYFUNCTION("SPLIT(C1116,"" "")"),"Gallant,")</f>
        <v>Gallant,</v>
      </c>
      <c r="E1116" s="22" t="str">
        <f>IFERROR(__xludf.DUMMYFUNCTION("""COMPUTED_VALUE"""),"Ann
7231")</f>
        <v>Ann
7231</v>
      </c>
      <c r="F1116" s="22" t="str">
        <f>IFERROR(__xludf.DUMMYFUNCTION("""COMPUTED_VALUE"""),"Northaven")</f>
        <v>Northaven</v>
      </c>
      <c r="G1116" s="22" t="str">
        <f>IFERROR(__xludf.DUMMYFUNCTION("""COMPUTED_VALUE"""),"Road
Dallas,")</f>
        <v>Road
Dallas,</v>
      </c>
      <c r="H1116" s="22" t="str">
        <f>IFERROR(__xludf.DUMMYFUNCTION("""COMPUTED_VALUE"""),"TX")</f>
        <v>TX</v>
      </c>
      <c r="I1116" s="22">
        <f>IFERROR(__xludf.DUMMYFUNCTION("""COMPUTED_VALUE"""),75230.0)</f>
        <v>75230</v>
      </c>
      <c r="J1116" s="22"/>
      <c r="K1116" s="22"/>
      <c r="L1116" s="22"/>
      <c r="M1116" s="22"/>
      <c r="N1116" s="22"/>
      <c r="O1116" s="22"/>
      <c r="P1116" s="22"/>
      <c r="Q1116" s="22"/>
      <c r="R1116" s="22"/>
      <c r="S1116" s="22"/>
      <c r="T1116" s="22"/>
      <c r="U1116" s="24" t="str">
        <f>IFERROR(__xludf.DUMMYFUNCTION("SPLIT(E1116,""01234567890"")"),"Ann
")</f>
        <v>Ann
</v>
      </c>
      <c r="V1116" s="24" t="str">
        <f>IFERROR(__xludf.DUMMYFUNCTION("SPLIT(D1116,"","")"),"Gallant")</f>
        <v>Gallant</v>
      </c>
      <c r="W1116" s="25" t="str">
        <f t="shared" si="1"/>
        <v>ANN
 GALLANT</v>
      </c>
      <c r="X1116" s="22"/>
      <c r="Y1116" s="22"/>
      <c r="Z1116" s="25" t="str">
        <f>IFERROR(__xludf.DUMMYFUNCTION("SPLIT(C1116,""
"")"),"Gallant, Ann")</f>
        <v>Gallant, Ann</v>
      </c>
      <c r="AA1116" s="22" t="str">
        <f>IFERROR(__xludf.DUMMYFUNCTION("""COMPUTED_VALUE"""),"7231 Northaven Road")</f>
        <v>7231 Northaven Road</v>
      </c>
      <c r="AB1116" s="22" t="str">
        <f>IFERROR(__xludf.DUMMYFUNCTION("""COMPUTED_VALUE"""),"Dallas, TX 75230")</f>
        <v>Dallas, TX 75230</v>
      </c>
      <c r="AC1116" s="31" t="s">
        <v>2530</v>
      </c>
      <c r="AD1116" s="22"/>
      <c r="AE1116" s="22"/>
      <c r="AF1116" s="22"/>
      <c r="AG1116" s="22" t="s">
        <v>60</v>
      </c>
      <c r="AH1116" s="54">
        <v>2482.0</v>
      </c>
      <c r="AI1116" s="22" t="s">
        <v>68</v>
      </c>
      <c r="AJ1116" s="27">
        <v>500.0</v>
      </c>
      <c r="AK1116" s="31" t="s">
        <v>31</v>
      </c>
      <c r="AL1116" s="28">
        <v>44912.0</v>
      </c>
      <c r="AM1116" s="29">
        <v>44938.558541666665</v>
      </c>
      <c r="AN1116" s="30">
        <v>2.0</v>
      </c>
      <c r="AO1116" s="22"/>
      <c r="AP1116" s="22"/>
      <c r="AQ1116" s="22"/>
      <c r="AR1116" s="22"/>
      <c r="AS1116" s="22"/>
      <c r="AT1116" s="70"/>
      <c r="AU1116" s="22"/>
      <c r="AV1116" s="57"/>
      <c r="AW1116" s="57"/>
      <c r="AX1116" s="70"/>
      <c r="AY1116" s="29"/>
      <c r="AZ1116" s="30"/>
      <c r="CU1116" s="55"/>
      <c r="CV1116" s="55"/>
      <c r="CW1116" s="55"/>
      <c r="CX1116" s="55"/>
      <c r="CY1116" s="55"/>
      <c r="CZ1116" s="55"/>
      <c r="DA1116" s="82"/>
      <c r="DB1116" s="55"/>
      <c r="DC1116" s="55"/>
      <c r="DD1116" s="55"/>
      <c r="DE1116" s="55"/>
      <c r="DF1116" s="55"/>
      <c r="DG1116" s="55"/>
      <c r="DH1116" s="55"/>
      <c r="DI1116" s="55"/>
      <c r="DJ1116" s="55"/>
      <c r="DK1116" s="55"/>
      <c r="DL1116" s="55"/>
      <c r="DM1116" s="55"/>
      <c r="DN1116" s="55"/>
      <c r="DO1116" s="55"/>
      <c r="DP1116" s="55"/>
      <c r="DQ1116" s="55"/>
      <c r="DR1116" s="55"/>
      <c r="DS1116" s="55"/>
      <c r="DT1116" s="55"/>
      <c r="DU1116" s="55"/>
      <c r="DV1116" s="55"/>
      <c r="DW1116" s="55"/>
    </row>
    <row r="1117">
      <c r="A1117" s="40" t="s">
        <v>55</v>
      </c>
      <c r="B1117" s="41" t="s">
        <v>56</v>
      </c>
      <c r="C1117" s="31" t="s">
        <v>2531</v>
      </c>
      <c r="D1117" s="25" t="str">
        <f>IFERROR(__xludf.DUMMYFUNCTION("SPLIT(C1117,"" "")"),"Sims,")</f>
        <v>Sims,</v>
      </c>
      <c r="E1117" s="40" t="str">
        <f>IFERROR(__xludf.DUMMYFUNCTION("""COMPUTED_VALUE"""),"Mike
6121")</f>
        <v>Mike
6121</v>
      </c>
      <c r="F1117" s="40" t="str">
        <f>IFERROR(__xludf.DUMMYFUNCTION("""COMPUTED_VALUE"""),"Lavendale")</f>
        <v>Lavendale</v>
      </c>
      <c r="G1117" s="40" t="str">
        <f>IFERROR(__xludf.DUMMYFUNCTION("""COMPUTED_VALUE"""),"Ave
Dallas,")</f>
        <v>Ave
Dallas,</v>
      </c>
      <c r="H1117" s="40" t="str">
        <f>IFERROR(__xludf.DUMMYFUNCTION("""COMPUTED_VALUE"""),"TX")</f>
        <v>TX</v>
      </c>
      <c r="I1117" s="40">
        <f>IFERROR(__xludf.DUMMYFUNCTION("""COMPUTED_VALUE"""),75230.0)</f>
        <v>75230</v>
      </c>
      <c r="J1117" s="40"/>
      <c r="K1117" s="40"/>
      <c r="L1117" s="40"/>
      <c r="M1117" s="40"/>
      <c r="N1117" s="40"/>
      <c r="O1117" s="40"/>
      <c r="P1117" s="40"/>
      <c r="Q1117" s="40"/>
      <c r="R1117" s="40"/>
      <c r="S1117" s="40"/>
      <c r="T1117" s="40"/>
      <c r="U1117" s="24" t="str">
        <f>IFERROR(__xludf.DUMMYFUNCTION("SPLIT(E1117,""01234567890"")"),"Mike
")</f>
        <v>Mike
</v>
      </c>
      <c r="V1117" s="24" t="str">
        <f>IFERROR(__xludf.DUMMYFUNCTION("SPLIT(D1117,"","")"),"Sims")</f>
        <v>Sims</v>
      </c>
      <c r="W1117" s="25" t="str">
        <f t="shared" si="1"/>
        <v>MIKE
 SIMS</v>
      </c>
      <c r="X1117" s="40"/>
      <c r="Y1117" s="40"/>
      <c r="Z1117" s="25" t="str">
        <f>IFERROR(__xludf.DUMMYFUNCTION("SPLIT(C1117,""
"")"),"Sims, Mike")</f>
        <v>Sims, Mike</v>
      </c>
      <c r="AA1117" s="40" t="str">
        <f>IFERROR(__xludf.DUMMYFUNCTION("""COMPUTED_VALUE"""),"6121 Lavendale Ave")</f>
        <v>6121 Lavendale Ave</v>
      </c>
      <c r="AB1117" s="40" t="str">
        <f>IFERROR(__xludf.DUMMYFUNCTION("""COMPUTED_VALUE"""),"Dallas, TX 75230")</f>
        <v>Dallas, TX 75230</v>
      </c>
      <c r="AC1117" s="31" t="s">
        <v>2532</v>
      </c>
      <c r="AD1117" s="40"/>
      <c r="AE1117" s="40"/>
      <c r="AF1117" s="40"/>
      <c r="AG1117" s="40" t="s">
        <v>60</v>
      </c>
      <c r="AH1117" s="42">
        <v>2482.0</v>
      </c>
      <c r="AI1117" s="40" t="s">
        <v>68</v>
      </c>
      <c r="AJ1117" s="27">
        <v>500.0</v>
      </c>
      <c r="AK1117" s="31" t="s">
        <v>31</v>
      </c>
      <c r="AL1117" s="43">
        <v>44912.0</v>
      </c>
      <c r="AM1117" s="44">
        <v>44938.558541666665</v>
      </c>
      <c r="AN1117" s="30">
        <v>2.0</v>
      </c>
      <c r="AO1117" s="40"/>
      <c r="AP1117" s="40"/>
      <c r="AQ1117" s="40"/>
      <c r="AR1117" s="40"/>
      <c r="AS1117" s="40"/>
      <c r="AT1117" s="47"/>
      <c r="AU1117" s="40"/>
      <c r="AV1117" s="46"/>
      <c r="AW1117" s="46"/>
      <c r="AX1117" s="47"/>
      <c r="AY1117" s="44"/>
      <c r="AZ1117" s="30"/>
      <c r="CU1117" s="55"/>
      <c r="CV1117" s="55"/>
      <c r="CW1117" s="55"/>
      <c r="CX1117" s="55"/>
      <c r="CY1117" s="55"/>
      <c r="CZ1117" s="55"/>
      <c r="DA1117" s="82"/>
      <c r="DB1117" s="55"/>
      <c r="DC1117" s="55"/>
      <c r="DD1117" s="55"/>
      <c r="DE1117" s="55"/>
      <c r="DF1117" s="55"/>
      <c r="DG1117" s="55"/>
      <c r="DH1117" s="55"/>
      <c r="DI1117" s="55"/>
      <c r="DJ1117" s="55"/>
      <c r="DK1117" s="55"/>
      <c r="DL1117" s="55"/>
      <c r="DM1117" s="55"/>
      <c r="DN1117" s="55"/>
      <c r="DO1117" s="55"/>
      <c r="DP1117" s="55"/>
      <c r="DQ1117" s="55"/>
      <c r="DR1117" s="55"/>
      <c r="DS1117" s="55"/>
      <c r="DT1117" s="55"/>
      <c r="DU1117" s="55"/>
      <c r="DV1117" s="55"/>
      <c r="DW1117" s="55"/>
    </row>
    <row r="1118">
      <c r="A1118" s="23" t="s">
        <v>64</v>
      </c>
      <c r="B1118" s="23" t="s">
        <v>56</v>
      </c>
      <c r="C1118" s="31" t="s">
        <v>2533</v>
      </c>
      <c r="D1118" s="25" t="str">
        <f>IFERROR(__xludf.DUMMYFUNCTION("SPLIT(C1118,"" "")"),"Weber,")</f>
        <v>Weber,</v>
      </c>
      <c r="E1118" s="22" t="str">
        <f>IFERROR(__xludf.DUMMYFUNCTION("""COMPUTED_VALUE"""),"Angela
6007")</f>
        <v>Angela
6007</v>
      </c>
      <c r="F1118" s="22" t="str">
        <f>IFERROR(__xludf.DUMMYFUNCTION("""COMPUTED_VALUE"""),"Meadow")</f>
        <v>Meadow</v>
      </c>
      <c r="G1118" s="22" t="str">
        <f>IFERROR(__xludf.DUMMYFUNCTION("""COMPUTED_VALUE"""),"Crest")</f>
        <v>Crest</v>
      </c>
      <c r="H1118" s="22" t="str">
        <f>IFERROR(__xludf.DUMMYFUNCTION("""COMPUTED_VALUE"""),"Drive
Dallas,")</f>
        <v>Drive
Dallas,</v>
      </c>
      <c r="I1118" s="22" t="str">
        <f>IFERROR(__xludf.DUMMYFUNCTION("""COMPUTED_VALUE"""),"TX")</f>
        <v>TX</v>
      </c>
      <c r="J1118" s="22">
        <f>IFERROR(__xludf.DUMMYFUNCTION("""COMPUTED_VALUE"""),75230.0)</f>
        <v>75230</v>
      </c>
      <c r="K1118" s="22"/>
      <c r="L1118" s="22"/>
      <c r="M1118" s="22"/>
      <c r="N1118" s="22"/>
      <c r="O1118" s="22"/>
      <c r="P1118" s="22"/>
      <c r="Q1118" s="22"/>
      <c r="R1118" s="22"/>
      <c r="S1118" s="22"/>
      <c r="T1118" s="22"/>
      <c r="U1118" s="24" t="str">
        <f>IFERROR(__xludf.DUMMYFUNCTION("SPLIT(E1118,""01234567890"")"),"Angela
")</f>
        <v>Angela
</v>
      </c>
      <c r="V1118" s="24" t="str">
        <f>IFERROR(__xludf.DUMMYFUNCTION("SPLIT(D1118,"","")"),"Weber")</f>
        <v>Weber</v>
      </c>
      <c r="W1118" s="25" t="str">
        <f t="shared" si="1"/>
        <v>ANGELA
 WEBER</v>
      </c>
      <c r="X1118" s="22"/>
      <c r="Y1118" s="22"/>
      <c r="Z1118" s="25" t="str">
        <f>IFERROR(__xludf.DUMMYFUNCTION("SPLIT(C1118,""
"")"),"Weber, Angela")</f>
        <v>Weber, Angela</v>
      </c>
      <c r="AA1118" s="22" t="str">
        <f>IFERROR(__xludf.DUMMYFUNCTION("""COMPUTED_VALUE"""),"6007 Meadow Crest Drive")</f>
        <v>6007 Meadow Crest Drive</v>
      </c>
      <c r="AB1118" s="22" t="str">
        <f>IFERROR(__xludf.DUMMYFUNCTION("""COMPUTED_VALUE"""),"Dallas, TX 75230")</f>
        <v>Dallas, TX 75230</v>
      </c>
      <c r="AC1118" s="31" t="s">
        <v>2534</v>
      </c>
      <c r="AD1118" s="22"/>
      <c r="AE1118" s="22"/>
      <c r="AF1118" s="22"/>
      <c r="AG1118" s="22" t="s">
        <v>60</v>
      </c>
      <c r="AH1118" s="54">
        <v>2482.0</v>
      </c>
      <c r="AI1118" s="22" t="s">
        <v>68</v>
      </c>
      <c r="AJ1118" s="27">
        <v>100.0</v>
      </c>
      <c r="AK1118" s="31" t="s">
        <v>31</v>
      </c>
      <c r="AL1118" s="28">
        <v>44912.0</v>
      </c>
      <c r="AM1118" s="29">
        <v>44938.558541666665</v>
      </c>
      <c r="AN1118" s="30">
        <v>2.0</v>
      </c>
      <c r="AO1118" s="22"/>
      <c r="AP1118" s="22"/>
      <c r="AQ1118" s="22"/>
      <c r="AR1118" s="22"/>
      <c r="AS1118" s="22"/>
      <c r="AT1118" s="70"/>
      <c r="AU1118" s="22"/>
      <c r="AV1118" s="57"/>
      <c r="AW1118" s="57"/>
      <c r="AX1118" s="70"/>
      <c r="AY1118" s="29"/>
      <c r="AZ1118" s="30"/>
      <c r="CU1118" s="55"/>
      <c r="CV1118" s="55"/>
      <c r="CW1118" s="55"/>
      <c r="CX1118" s="55"/>
      <c r="CY1118" s="55"/>
      <c r="CZ1118" s="55"/>
      <c r="DA1118" s="82"/>
      <c r="DB1118" s="55"/>
      <c r="DC1118" s="55"/>
      <c r="DD1118" s="55"/>
      <c r="DE1118" s="55"/>
      <c r="DF1118" s="55"/>
      <c r="DG1118" s="55"/>
      <c r="DH1118" s="55"/>
      <c r="DI1118" s="55"/>
      <c r="DJ1118" s="55"/>
      <c r="DK1118" s="55"/>
      <c r="DL1118" s="55"/>
      <c r="DM1118" s="55"/>
      <c r="DN1118" s="55"/>
      <c r="DO1118" s="55"/>
      <c r="DP1118" s="55"/>
      <c r="DQ1118" s="55"/>
      <c r="DR1118" s="55"/>
      <c r="DS1118" s="55"/>
      <c r="DT1118" s="55"/>
      <c r="DU1118" s="55"/>
      <c r="DV1118" s="55"/>
      <c r="DW1118" s="55"/>
    </row>
    <row r="1119">
      <c r="A1119" s="40" t="s">
        <v>55</v>
      </c>
      <c r="B1119" s="41" t="s">
        <v>56</v>
      </c>
      <c r="C1119" s="31" t="s">
        <v>2535</v>
      </c>
      <c r="D1119" s="25" t="str">
        <f>IFERROR(__xludf.DUMMYFUNCTION("SPLIT(C1119,"" "")"),"Pogson,")</f>
        <v>Pogson,</v>
      </c>
      <c r="E1119" s="40" t="str">
        <f>IFERROR(__xludf.DUMMYFUNCTION("""COMPUTED_VALUE"""),"Anne
12112")</f>
        <v>Anne
12112</v>
      </c>
      <c r="F1119" s="40" t="str">
        <f>IFERROR(__xludf.DUMMYFUNCTION("""COMPUTED_VALUE"""),"Talmay")</f>
        <v>Talmay</v>
      </c>
      <c r="G1119" s="40" t="str">
        <f>IFERROR(__xludf.DUMMYFUNCTION("""COMPUTED_VALUE"""),"Drive
Dallas,")</f>
        <v>Drive
Dallas,</v>
      </c>
      <c r="H1119" s="40" t="str">
        <f>IFERROR(__xludf.DUMMYFUNCTION("""COMPUTED_VALUE"""),"TX")</f>
        <v>TX</v>
      </c>
      <c r="I1119" s="40">
        <f>IFERROR(__xludf.DUMMYFUNCTION("""COMPUTED_VALUE"""),75230.0)</f>
        <v>75230</v>
      </c>
      <c r="J1119" s="40"/>
      <c r="K1119" s="40"/>
      <c r="L1119" s="40"/>
      <c r="M1119" s="40"/>
      <c r="N1119" s="40"/>
      <c r="O1119" s="40"/>
      <c r="P1119" s="40"/>
      <c r="Q1119" s="40"/>
      <c r="R1119" s="40"/>
      <c r="S1119" s="40"/>
      <c r="T1119" s="40"/>
      <c r="U1119" s="24" t="str">
        <f>IFERROR(__xludf.DUMMYFUNCTION("SPLIT(E1119,""01234567890"")"),"Anne
")</f>
        <v>Anne
</v>
      </c>
      <c r="V1119" s="24" t="str">
        <f>IFERROR(__xludf.DUMMYFUNCTION("SPLIT(D1119,"","")"),"Pogson")</f>
        <v>Pogson</v>
      </c>
      <c r="W1119" s="25" t="str">
        <f t="shared" si="1"/>
        <v>ANNE
 POGSON</v>
      </c>
      <c r="X1119" s="40"/>
      <c r="Y1119" s="40"/>
      <c r="Z1119" s="25" t="str">
        <f>IFERROR(__xludf.DUMMYFUNCTION("SPLIT(C1119,""
"")"),"Pogson, Anne")</f>
        <v>Pogson, Anne</v>
      </c>
      <c r="AA1119" s="40" t="str">
        <f>IFERROR(__xludf.DUMMYFUNCTION("""COMPUTED_VALUE"""),"12112 Talmay Drive")</f>
        <v>12112 Talmay Drive</v>
      </c>
      <c r="AB1119" s="40" t="str">
        <f>IFERROR(__xludf.DUMMYFUNCTION("""COMPUTED_VALUE"""),"Dallas, TX 75230")</f>
        <v>Dallas, TX 75230</v>
      </c>
      <c r="AC1119" s="31" t="s">
        <v>2536</v>
      </c>
      <c r="AD1119" s="40"/>
      <c r="AE1119" s="40"/>
      <c r="AF1119" s="40"/>
      <c r="AG1119" s="40" t="s">
        <v>60</v>
      </c>
      <c r="AH1119" s="42">
        <v>2482.0</v>
      </c>
      <c r="AI1119" s="40" t="s">
        <v>68</v>
      </c>
      <c r="AJ1119" s="27">
        <v>50.0</v>
      </c>
      <c r="AK1119" s="31" t="s">
        <v>31</v>
      </c>
      <c r="AL1119" s="43">
        <v>44912.0</v>
      </c>
      <c r="AM1119" s="44">
        <v>44938.558541666665</v>
      </c>
      <c r="AN1119" s="30">
        <v>2.0</v>
      </c>
      <c r="AO1119" s="40"/>
      <c r="AP1119" s="40"/>
      <c r="AQ1119" s="40"/>
      <c r="AR1119" s="40"/>
      <c r="AS1119" s="40"/>
      <c r="AT1119" s="47"/>
      <c r="AU1119" s="40"/>
      <c r="AV1119" s="46"/>
      <c r="AW1119" s="46"/>
      <c r="AX1119" s="47"/>
      <c r="AY1119" s="44"/>
      <c r="AZ1119" s="30"/>
      <c r="CU1119" s="55"/>
      <c r="CV1119" s="55"/>
      <c r="CW1119" s="55"/>
      <c r="CX1119" s="55"/>
      <c r="CY1119" s="55"/>
      <c r="CZ1119" s="55"/>
      <c r="DA1119" s="82"/>
      <c r="DB1119" s="55"/>
      <c r="DC1119" s="55"/>
      <c r="DD1119" s="55"/>
      <c r="DE1119" s="55"/>
      <c r="DF1119" s="55"/>
      <c r="DG1119" s="55"/>
      <c r="DH1119" s="55"/>
      <c r="DI1119" s="55"/>
      <c r="DJ1119" s="55"/>
      <c r="DK1119" s="55"/>
      <c r="DL1119" s="55"/>
      <c r="DM1119" s="55"/>
      <c r="DN1119" s="55"/>
      <c r="DO1119" s="55"/>
      <c r="DP1119" s="55"/>
      <c r="DQ1119" s="55"/>
      <c r="DR1119" s="55"/>
      <c r="DS1119" s="55"/>
      <c r="DT1119" s="55"/>
      <c r="DU1119" s="55"/>
      <c r="DV1119" s="55"/>
      <c r="DW1119" s="55"/>
    </row>
    <row r="1120">
      <c r="A1120" s="23" t="s">
        <v>64</v>
      </c>
      <c r="B1120" s="23" t="s">
        <v>56</v>
      </c>
      <c r="C1120" s="31" t="s">
        <v>2537</v>
      </c>
      <c r="D1120" s="25" t="str">
        <f>IFERROR(__xludf.DUMMYFUNCTION("SPLIT(C1120,"" "")"),"Leibs,")</f>
        <v>Leibs,</v>
      </c>
      <c r="E1120" s="22" t="str">
        <f>IFERROR(__xludf.DUMMYFUNCTION("""COMPUTED_VALUE"""),"Arlene
11607")</f>
        <v>Arlene
11607</v>
      </c>
      <c r="F1120" s="22" t="str">
        <f>IFERROR(__xludf.DUMMYFUNCTION("""COMPUTED_VALUE"""),"St")</f>
        <v>St</v>
      </c>
      <c r="G1120" s="22" t="str">
        <f>IFERROR(__xludf.DUMMYFUNCTION("""COMPUTED_VALUE"""),"Michaels")</f>
        <v>Michaels</v>
      </c>
      <c r="H1120" s="22" t="str">
        <f>IFERROR(__xludf.DUMMYFUNCTION("""COMPUTED_VALUE"""),"Dr
Dallas,")</f>
        <v>Dr
Dallas,</v>
      </c>
      <c r="I1120" s="22" t="str">
        <f>IFERROR(__xludf.DUMMYFUNCTION("""COMPUTED_VALUE"""),"TX")</f>
        <v>TX</v>
      </c>
      <c r="J1120" s="22">
        <f>IFERROR(__xludf.DUMMYFUNCTION("""COMPUTED_VALUE"""),75035.0)</f>
        <v>75035</v>
      </c>
      <c r="K1120" s="22"/>
      <c r="L1120" s="22"/>
      <c r="M1120" s="22"/>
      <c r="N1120" s="22"/>
      <c r="O1120" s="22"/>
      <c r="P1120" s="22"/>
      <c r="Q1120" s="22"/>
      <c r="R1120" s="22"/>
      <c r="S1120" s="22"/>
      <c r="T1120" s="22"/>
      <c r="U1120" s="24" t="str">
        <f>IFERROR(__xludf.DUMMYFUNCTION("SPLIT(E1120,""01234567890"")"),"Arlene
")</f>
        <v>Arlene
</v>
      </c>
      <c r="V1120" s="24" t="str">
        <f>IFERROR(__xludf.DUMMYFUNCTION("SPLIT(D1120,"","")"),"Leibs")</f>
        <v>Leibs</v>
      </c>
      <c r="W1120" s="25" t="str">
        <f t="shared" si="1"/>
        <v>ARLENE
 LEIBS</v>
      </c>
      <c r="X1120" s="22"/>
      <c r="Y1120" s="22"/>
      <c r="Z1120" s="25" t="str">
        <f>IFERROR(__xludf.DUMMYFUNCTION("SPLIT(C1120,""
"")"),"Leibs, Arlene")</f>
        <v>Leibs, Arlene</v>
      </c>
      <c r="AA1120" s="22" t="str">
        <f>IFERROR(__xludf.DUMMYFUNCTION("""COMPUTED_VALUE"""),"11607 St Michaels Dr")</f>
        <v>11607 St Michaels Dr</v>
      </c>
      <c r="AB1120" s="22" t="str">
        <f>IFERROR(__xludf.DUMMYFUNCTION("""COMPUTED_VALUE"""),"Dallas, TX 75035")</f>
        <v>Dallas, TX 75035</v>
      </c>
      <c r="AC1120" s="31" t="s">
        <v>2538</v>
      </c>
      <c r="AD1120" s="22"/>
      <c r="AE1120" s="22"/>
      <c r="AF1120" s="22"/>
      <c r="AG1120" s="22" t="s">
        <v>60</v>
      </c>
      <c r="AH1120" s="54">
        <v>2482.0</v>
      </c>
      <c r="AI1120" s="22" t="s">
        <v>68</v>
      </c>
      <c r="AJ1120" s="27">
        <v>25.0</v>
      </c>
      <c r="AK1120" s="31" t="s">
        <v>31</v>
      </c>
      <c r="AL1120" s="28">
        <v>44912.0</v>
      </c>
      <c r="AM1120" s="29">
        <v>44938.558541666665</v>
      </c>
      <c r="AN1120" s="30">
        <v>2.0</v>
      </c>
      <c r="AO1120" s="22"/>
      <c r="AP1120" s="22"/>
      <c r="AQ1120" s="22"/>
      <c r="AR1120" s="22"/>
      <c r="AS1120" s="22"/>
      <c r="AT1120" s="70"/>
      <c r="AU1120" s="22"/>
      <c r="AV1120" s="57"/>
      <c r="AW1120" s="57"/>
      <c r="AX1120" s="70"/>
      <c r="AY1120" s="29"/>
      <c r="AZ1120" s="30"/>
      <c r="CU1120" s="55"/>
      <c r="CV1120" s="55"/>
      <c r="CW1120" s="55"/>
      <c r="CX1120" s="55"/>
      <c r="CY1120" s="55"/>
      <c r="CZ1120" s="55"/>
      <c r="DA1120" s="82"/>
      <c r="DB1120" s="55"/>
      <c r="DC1120" s="55"/>
      <c r="DD1120" s="55"/>
      <c r="DE1120" s="55"/>
      <c r="DF1120" s="55"/>
      <c r="DG1120" s="55"/>
      <c r="DH1120" s="55"/>
      <c r="DI1120" s="55"/>
      <c r="DJ1120" s="55"/>
      <c r="DK1120" s="55"/>
      <c r="DL1120" s="55"/>
      <c r="DM1120" s="55"/>
      <c r="DN1120" s="55"/>
      <c r="DO1120" s="55"/>
      <c r="DP1120" s="55"/>
      <c r="DQ1120" s="55"/>
      <c r="DR1120" s="55"/>
      <c r="DS1120" s="55"/>
      <c r="DT1120" s="55"/>
      <c r="DU1120" s="55"/>
      <c r="DV1120" s="55"/>
      <c r="DW1120" s="55"/>
    </row>
    <row r="1121">
      <c r="A1121" s="40" t="s">
        <v>55</v>
      </c>
      <c r="B1121" s="41" t="s">
        <v>56</v>
      </c>
      <c r="C1121" s="31" t="s">
        <v>2539</v>
      </c>
      <c r="D1121" s="25" t="str">
        <f>IFERROR(__xludf.DUMMYFUNCTION("SPLIT(C1121,"" "")"),"Meltzer,")</f>
        <v>Meltzer,</v>
      </c>
      <c r="E1121" s="40" t="str">
        <f>IFERROR(__xludf.DUMMYFUNCTION("""COMPUTED_VALUE"""),"Hedy
13345")</f>
        <v>Hedy
13345</v>
      </c>
      <c r="F1121" s="40" t="str">
        <f>IFERROR(__xludf.DUMMYFUNCTION("""COMPUTED_VALUE"""),"Peyton")</f>
        <v>Peyton</v>
      </c>
      <c r="G1121" s="40" t="str">
        <f>IFERROR(__xludf.DUMMYFUNCTION("""COMPUTED_VALUE"""),"Drive
Dallas,")</f>
        <v>Drive
Dallas,</v>
      </c>
      <c r="H1121" s="40" t="str">
        <f>IFERROR(__xludf.DUMMYFUNCTION("""COMPUTED_VALUE"""),"TX")</f>
        <v>TX</v>
      </c>
      <c r="I1121" s="40">
        <f>IFERROR(__xludf.DUMMYFUNCTION("""COMPUTED_VALUE"""),75240.0)</f>
        <v>75240</v>
      </c>
      <c r="J1121" s="40"/>
      <c r="K1121" s="40"/>
      <c r="L1121" s="40"/>
      <c r="M1121" s="40"/>
      <c r="N1121" s="40"/>
      <c r="O1121" s="40"/>
      <c r="P1121" s="40"/>
      <c r="Q1121" s="40"/>
      <c r="R1121" s="40"/>
      <c r="S1121" s="40"/>
      <c r="T1121" s="40"/>
      <c r="U1121" s="24" t="str">
        <f>IFERROR(__xludf.DUMMYFUNCTION("SPLIT(E1121,""01234567890"")"),"Hedy
")</f>
        <v>Hedy
</v>
      </c>
      <c r="V1121" s="24" t="str">
        <f>IFERROR(__xludf.DUMMYFUNCTION("SPLIT(D1121,"","")"),"Meltzer")</f>
        <v>Meltzer</v>
      </c>
      <c r="W1121" s="25" t="str">
        <f t="shared" si="1"/>
        <v>HEDY
 MELTZER</v>
      </c>
      <c r="X1121" s="40"/>
      <c r="Y1121" s="40"/>
      <c r="Z1121" s="25" t="str">
        <f>IFERROR(__xludf.DUMMYFUNCTION("SPLIT(C1121,""
"")"),"Meltzer, Hedy")</f>
        <v>Meltzer, Hedy</v>
      </c>
      <c r="AA1121" s="40" t="str">
        <f>IFERROR(__xludf.DUMMYFUNCTION("""COMPUTED_VALUE"""),"13345 Peyton Drive")</f>
        <v>13345 Peyton Drive</v>
      </c>
      <c r="AB1121" s="40" t="str">
        <f>IFERROR(__xludf.DUMMYFUNCTION("""COMPUTED_VALUE"""),"Dallas, TX 75240")</f>
        <v>Dallas, TX 75240</v>
      </c>
      <c r="AC1121" s="31" t="s">
        <v>2540</v>
      </c>
      <c r="AD1121" s="40"/>
      <c r="AE1121" s="40"/>
      <c r="AF1121" s="40"/>
      <c r="AG1121" s="40" t="s">
        <v>60</v>
      </c>
      <c r="AH1121" s="42">
        <v>2482.0</v>
      </c>
      <c r="AI1121" s="40" t="s">
        <v>68</v>
      </c>
      <c r="AJ1121" s="27">
        <v>25.0</v>
      </c>
      <c r="AK1121" s="31" t="s">
        <v>31</v>
      </c>
      <c r="AL1121" s="43">
        <v>44911.0</v>
      </c>
      <c r="AM1121" s="44">
        <v>44938.558541666665</v>
      </c>
      <c r="AN1121" s="30">
        <v>2.0</v>
      </c>
      <c r="AO1121" s="40"/>
      <c r="AP1121" s="40"/>
      <c r="AQ1121" s="40"/>
      <c r="AR1121" s="40"/>
      <c r="AS1121" s="40"/>
      <c r="AT1121" s="47"/>
      <c r="AU1121" s="40"/>
      <c r="AV1121" s="46"/>
      <c r="AW1121" s="46"/>
      <c r="AX1121" s="47"/>
      <c r="AY1121" s="44"/>
      <c r="AZ1121" s="30"/>
      <c r="CU1121" s="55"/>
      <c r="CV1121" s="55"/>
      <c r="CW1121" s="55"/>
      <c r="CX1121" s="55"/>
      <c r="CY1121" s="55"/>
      <c r="CZ1121" s="55"/>
      <c r="DA1121" s="82"/>
      <c r="DB1121" s="55"/>
      <c r="DC1121" s="55"/>
      <c r="DD1121" s="55"/>
      <c r="DE1121" s="55"/>
      <c r="DF1121" s="55"/>
      <c r="DG1121" s="55"/>
      <c r="DH1121" s="55"/>
      <c r="DI1121" s="55"/>
      <c r="DJ1121" s="55"/>
      <c r="DK1121" s="55"/>
      <c r="DL1121" s="55"/>
      <c r="DM1121" s="55"/>
      <c r="DN1121" s="55"/>
      <c r="DO1121" s="55"/>
      <c r="DP1121" s="55"/>
      <c r="DQ1121" s="55"/>
      <c r="DR1121" s="55"/>
      <c r="DS1121" s="55"/>
      <c r="DT1121" s="55"/>
      <c r="DU1121" s="55"/>
      <c r="DV1121" s="55"/>
      <c r="DW1121" s="55"/>
    </row>
    <row r="1122">
      <c r="A1122" s="23" t="s">
        <v>64</v>
      </c>
      <c r="B1122" s="23" t="s">
        <v>56</v>
      </c>
      <c r="C1122" s="31" t="s">
        <v>2541</v>
      </c>
      <c r="D1122" s="25" t="str">
        <f>IFERROR(__xludf.DUMMYFUNCTION("SPLIT(C1122,"" "")"),"Romaner,")</f>
        <v>Romaner,</v>
      </c>
      <c r="E1122" s="22" t="str">
        <f>IFERROR(__xludf.DUMMYFUNCTION("""COMPUTED_VALUE"""),"Carla
2902")</f>
        <v>Carla
2902</v>
      </c>
      <c r="F1122" s="22" t="str">
        <f>IFERROR(__xludf.DUMMYFUNCTION("""COMPUTED_VALUE"""),"Victoria")</f>
        <v>Victoria</v>
      </c>
      <c r="G1122" s="22" t="str">
        <f>IFERROR(__xludf.DUMMYFUNCTION("""COMPUTED_VALUE"""),"Circle
Coconut")</f>
        <v>Circle
Coconut</v>
      </c>
      <c r="H1122" s="22" t="str">
        <f>IFERROR(__xludf.DUMMYFUNCTION("""COMPUTED_VALUE"""),"Creek,")</f>
        <v>Creek,</v>
      </c>
      <c r="I1122" s="22" t="str">
        <f>IFERROR(__xludf.DUMMYFUNCTION("""COMPUTED_VALUE"""),"FL")</f>
        <v>FL</v>
      </c>
      <c r="J1122" s="22">
        <f>IFERROR(__xludf.DUMMYFUNCTION("""COMPUTED_VALUE"""),33066.0)</f>
        <v>33066</v>
      </c>
      <c r="K1122" s="22"/>
      <c r="L1122" s="22"/>
      <c r="M1122" s="22"/>
      <c r="N1122" s="22"/>
      <c r="O1122" s="22"/>
      <c r="P1122" s="22"/>
      <c r="Q1122" s="22"/>
      <c r="R1122" s="22"/>
      <c r="S1122" s="22"/>
      <c r="T1122" s="22"/>
      <c r="U1122" s="24" t="str">
        <f>IFERROR(__xludf.DUMMYFUNCTION("SPLIT(E1122,""01234567890"")"),"Carla
")</f>
        <v>Carla
</v>
      </c>
      <c r="V1122" s="24" t="str">
        <f>IFERROR(__xludf.DUMMYFUNCTION("SPLIT(D1122,"","")"),"Romaner")</f>
        <v>Romaner</v>
      </c>
      <c r="W1122" s="25" t="str">
        <f t="shared" si="1"/>
        <v>CARLA
 ROMANER</v>
      </c>
      <c r="X1122" s="22"/>
      <c r="Y1122" s="22"/>
      <c r="Z1122" s="25" t="str">
        <f>IFERROR(__xludf.DUMMYFUNCTION("SPLIT(C1122,""
"")"),"Romaner, Carla")</f>
        <v>Romaner, Carla</v>
      </c>
      <c r="AA1122" s="22" t="str">
        <f>IFERROR(__xludf.DUMMYFUNCTION("""COMPUTED_VALUE"""),"2902 Victoria Circle")</f>
        <v>2902 Victoria Circle</v>
      </c>
      <c r="AB1122" s="22" t="str">
        <f>IFERROR(__xludf.DUMMYFUNCTION("""COMPUTED_VALUE"""),"Coconut Creek, FL 33066")</f>
        <v>Coconut Creek, FL 33066</v>
      </c>
      <c r="AC1122" s="31" t="s">
        <v>2542</v>
      </c>
      <c r="AD1122" s="22"/>
      <c r="AE1122" s="22"/>
      <c r="AF1122" s="22"/>
      <c r="AG1122" s="22" t="s">
        <v>60</v>
      </c>
      <c r="AH1122" s="54">
        <v>2482.0</v>
      </c>
      <c r="AI1122" s="22" t="s">
        <v>68</v>
      </c>
      <c r="AJ1122" s="27">
        <v>100.0</v>
      </c>
      <c r="AK1122" s="31" t="s">
        <v>31</v>
      </c>
      <c r="AL1122" s="28">
        <v>44911.0</v>
      </c>
      <c r="AM1122" s="29">
        <v>44938.558541666665</v>
      </c>
      <c r="AN1122" s="30">
        <v>2.0</v>
      </c>
      <c r="AO1122" s="22"/>
      <c r="AP1122" s="22"/>
      <c r="AQ1122" s="22"/>
      <c r="AR1122" s="22"/>
      <c r="AS1122" s="22"/>
      <c r="AT1122" s="70"/>
      <c r="AU1122" s="22"/>
      <c r="AV1122" s="57"/>
      <c r="AW1122" s="57"/>
      <c r="AX1122" s="70"/>
      <c r="AY1122" s="29"/>
      <c r="AZ1122" s="30"/>
      <c r="CU1122" s="55"/>
      <c r="CV1122" s="55"/>
      <c r="CW1122" s="55"/>
      <c r="CX1122" s="55"/>
      <c r="CY1122" s="55"/>
      <c r="CZ1122" s="55"/>
      <c r="DA1122" s="82"/>
      <c r="DB1122" s="55"/>
      <c r="DC1122" s="55"/>
      <c r="DD1122" s="55"/>
      <c r="DE1122" s="55"/>
      <c r="DF1122" s="55"/>
      <c r="DG1122" s="55"/>
      <c r="DH1122" s="55"/>
      <c r="DI1122" s="55"/>
      <c r="DJ1122" s="55"/>
      <c r="DK1122" s="55"/>
      <c r="DL1122" s="55"/>
      <c r="DM1122" s="55"/>
      <c r="DN1122" s="55"/>
      <c r="DO1122" s="55"/>
      <c r="DP1122" s="55"/>
      <c r="DQ1122" s="55"/>
      <c r="DR1122" s="55"/>
      <c r="DS1122" s="55"/>
      <c r="DT1122" s="55"/>
      <c r="DU1122" s="55"/>
      <c r="DV1122" s="55"/>
      <c r="DW1122" s="55"/>
    </row>
    <row r="1123">
      <c r="A1123" s="40" t="s">
        <v>55</v>
      </c>
      <c r="B1123" s="41" t="s">
        <v>56</v>
      </c>
      <c r="C1123" s="31" t="s">
        <v>2454</v>
      </c>
      <c r="D1123" s="25" t="str">
        <f>IFERROR(__xludf.DUMMYFUNCTION("SPLIT(C1123,"" "")"),"Whitman")</f>
        <v>Whitman</v>
      </c>
      <c r="E1123" s="40" t="str">
        <f>IFERROR(__xludf.DUMMYFUNCTION("""COMPUTED_VALUE"""),"Bobbitt,")</f>
        <v>Bobbitt,</v>
      </c>
      <c r="F1123" s="40" t="str">
        <f>IFERROR(__xludf.DUMMYFUNCTION("""COMPUTED_VALUE"""),"Jeanne
4500")</f>
        <v>Jeanne
4500</v>
      </c>
      <c r="G1123" s="40" t="str">
        <f>IFERROR(__xludf.DUMMYFUNCTION("""COMPUTED_VALUE"""),"Roland")</f>
        <v>Roland</v>
      </c>
      <c r="H1123" s="40" t="str">
        <f>IFERROR(__xludf.DUMMYFUNCTION("""COMPUTED_VALUE"""),"Ave
Dallas,")</f>
        <v>Ave
Dallas,</v>
      </c>
      <c r="I1123" s="40" t="str">
        <f>IFERROR(__xludf.DUMMYFUNCTION("""COMPUTED_VALUE"""),"TX")</f>
        <v>TX</v>
      </c>
      <c r="J1123" s="40">
        <f>IFERROR(__xludf.DUMMYFUNCTION("""COMPUTED_VALUE"""),75219.0)</f>
        <v>75219</v>
      </c>
      <c r="K1123" s="40"/>
      <c r="L1123" s="40"/>
      <c r="M1123" s="40"/>
      <c r="N1123" s="40"/>
      <c r="O1123" s="40"/>
      <c r="P1123" s="40"/>
      <c r="Q1123" s="40"/>
      <c r="R1123" s="40"/>
      <c r="S1123" s="40"/>
      <c r="T1123" s="40"/>
      <c r="U1123" s="24" t="str">
        <f>IFERROR(__xludf.DUMMYFUNCTION("SPLIT(E1123,""01234567890"")"),"Bobbitt,")</f>
        <v>Bobbitt,</v>
      </c>
      <c r="V1123" s="24" t="str">
        <f>IFERROR(__xludf.DUMMYFUNCTION("SPLIT(D1123,"","")"),"Whitman")</f>
        <v>Whitman</v>
      </c>
      <c r="W1123" s="25" t="str">
        <f t="shared" si="1"/>
        <v>BOBBITT, WHITMAN</v>
      </c>
      <c r="X1123" s="40"/>
      <c r="Y1123" s="40"/>
      <c r="Z1123" s="25" t="str">
        <f>IFERROR(__xludf.DUMMYFUNCTION("SPLIT(C1123,""
"")"),"Whitman Bobbitt, Jeanne")</f>
        <v>Whitman Bobbitt, Jeanne</v>
      </c>
      <c r="AA1123" s="40" t="str">
        <f>IFERROR(__xludf.DUMMYFUNCTION("""COMPUTED_VALUE"""),"4500 Roland Ave")</f>
        <v>4500 Roland Ave</v>
      </c>
      <c r="AB1123" s="40" t="str">
        <f>IFERROR(__xludf.DUMMYFUNCTION("""COMPUTED_VALUE"""),"Dallas, TX 75219")</f>
        <v>Dallas, TX 75219</v>
      </c>
      <c r="AC1123" s="31" t="s">
        <v>2455</v>
      </c>
      <c r="AD1123" s="40"/>
      <c r="AE1123" s="40"/>
      <c r="AF1123" s="40"/>
      <c r="AG1123" s="40" t="s">
        <v>60</v>
      </c>
      <c r="AH1123" s="42">
        <v>2482.0</v>
      </c>
      <c r="AI1123" s="40" t="s">
        <v>68</v>
      </c>
      <c r="AJ1123" s="27">
        <v>250.0</v>
      </c>
      <c r="AK1123" s="31" t="s">
        <v>31</v>
      </c>
      <c r="AL1123" s="43">
        <v>44910.0</v>
      </c>
      <c r="AM1123" s="44">
        <v>44938.558541666665</v>
      </c>
      <c r="AN1123" s="30">
        <v>2.0</v>
      </c>
      <c r="AO1123" s="40"/>
      <c r="AP1123" s="40"/>
      <c r="AQ1123" s="40"/>
      <c r="AR1123" s="40"/>
      <c r="AS1123" s="40"/>
      <c r="AT1123" s="47"/>
      <c r="AU1123" s="40"/>
      <c r="AV1123" s="46"/>
      <c r="AW1123" s="46"/>
      <c r="AX1123" s="47"/>
      <c r="AY1123" s="44"/>
      <c r="AZ1123" s="30"/>
      <c r="CU1123" s="55"/>
      <c r="CV1123" s="55"/>
      <c r="CW1123" s="55"/>
      <c r="CX1123" s="55"/>
      <c r="CY1123" s="55"/>
      <c r="CZ1123" s="55"/>
      <c r="DA1123" s="82"/>
      <c r="DB1123" s="55"/>
      <c r="DC1123" s="55"/>
      <c r="DD1123" s="55"/>
      <c r="DE1123" s="55"/>
      <c r="DF1123" s="55"/>
      <c r="DG1123" s="55"/>
      <c r="DH1123" s="55"/>
      <c r="DI1123" s="55"/>
      <c r="DJ1123" s="55"/>
      <c r="DK1123" s="55"/>
      <c r="DL1123" s="55"/>
      <c r="DM1123" s="55"/>
      <c r="DN1123" s="55"/>
      <c r="DO1123" s="55"/>
      <c r="DP1123" s="55"/>
      <c r="DQ1123" s="55"/>
      <c r="DR1123" s="55"/>
      <c r="DS1123" s="55"/>
      <c r="DT1123" s="55"/>
      <c r="DU1123" s="55"/>
      <c r="DV1123" s="55"/>
      <c r="DW1123" s="55"/>
    </row>
    <row r="1124">
      <c r="A1124" s="23" t="s">
        <v>64</v>
      </c>
      <c r="B1124" s="23" t="s">
        <v>56</v>
      </c>
      <c r="C1124" s="31" t="s">
        <v>2543</v>
      </c>
      <c r="D1124" s="25" t="str">
        <f>IFERROR(__xludf.DUMMYFUNCTION("SPLIT(C1124,"" "")"),"Radoff,")</f>
        <v>Radoff,</v>
      </c>
      <c r="E1124" s="22" t="str">
        <f>IFERROR(__xludf.DUMMYFUNCTION("""COMPUTED_VALUE"""),"Michael
16814")</f>
        <v>Michael
16814</v>
      </c>
      <c r="F1124" s="22" t="str">
        <f>IFERROR(__xludf.DUMMYFUNCTION("""COMPUTED_VALUE"""),"Thomas")</f>
        <v>Thomas</v>
      </c>
      <c r="G1124" s="22" t="str">
        <f>IFERROR(__xludf.DUMMYFUNCTION("""COMPUTED_VALUE"""),"Chapel")</f>
        <v>Chapel</v>
      </c>
      <c r="H1124" s="22" t="str">
        <f>IFERROR(__xludf.DUMMYFUNCTION("""COMPUTED_VALUE"""),"Drive
Dallas,")</f>
        <v>Drive
Dallas,</v>
      </c>
      <c r="I1124" s="22" t="str">
        <f>IFERROR(__xludf.DUMMYFUNCTION("""COMPUTED_VALUE"""),"TX")</f>
        <v>TX</v>
      </c>
      <c r="J1124" s="22">
        <f>IFERROR(__xludf.DUMMYFUNCTION("""COMPUTED_VALUE"""),75248.0)</f>
        <v>75248</v>
      </c>
      <c r="K1124" s="22"/>
      <c r="L1124" s="22"/>
      <c r="M1124" s="22"/>
      <c r="N1124" s="22"/>
      <c r="O1124" s="22"/>
      <c r="P1124" s="22"/>
      <c r="Q1124" s="22"/>
      <c r="R1124" s="22"/>
      <c r="S1124" s="22"/>
      <c r="T1124" s="22"/>
      <c r="U1124" s="24" t="str">
        <f>IFERROR(__xludf.DUMMYFUNCTION("SPLIT(E1124,""01234567890"")"),"Michael
")</f>
        <v>Michael
</v>
      </c>
      <c r="V1124" s="24" t="str">
        <f>IFERROR(__xludf.DUMMYFUNCTION("SPLIT(D1124,"","")"),"Radoff")</f>
        <v>Radoff</v>
      </c>
      <c r="W1124" s="25" t="str">
        <f t="shared" si="1"/>
        <v>MICHAEL
 RADOFF</v>
      </c>
      <c r="X1124" s="22"/>
      <c r="Y1124" s="22"/>
      <c r="Z1124" s="25" t="str">
        <f>IFERROR(__xludf.DUMMYFUNCTION("SPLIT(C1124,""
"")"),"Radoff, Michael")</f>
        <v>Radoff, Michael</v>
      </c>
      <c r="AA1124" s="22" t="str">
        <f>IFERROR(__xludf.DUMMYFUNCTION("""COMPUTED_VALUE"""),"16814 Thomas Chapel Drive")</f>
        <v>16814 Thomas Chapel Drive</v>
      </c>
      <c r="AB1124" s="22" t="str">
        <f>IFERROR(__xludf.DUMMYFUNCTION("""COMPUTED_VALUE"""),"Dallas, TX 75248")</f>
        <v>Dallas, TX 75248</v>
      </c>
      <c r="AC1124" s="31" t="s">
        <v>2544</v>
      </c>
      <c r="AD1124" s="22"/>
      <c r="AE1124" s="22"/>
      <c r="AF1124" s="22"/>
      <c r="AG1124" s="22" t="s">
        <v>60</v>
      </c>
      <c r="AH1124" s="54">
        <v>2482.0</v>
      </c>
      <c r="AI1124" s="22" t="s">
        <v>68</v>
      </c>
      <c r="AJ1124" s="27">
        <v>100.0</v>
      </c>
      <c r="AK1124" s="31" t="s">
        <v>31</v>
      </c>
      <c r="AL1124" s="28">
        <v>44910.0</v>
      </c>
      <c r="AM1124" s="29">
        <v>44938.558541666665</v>
      </c>
      <c r="AN1124" s="30">
        <v>2.0</v>
      </c>
      <c r="AO1124" s="22"/>
      <c r="AP1124" s="22"/>
      <c r="AQ1124" s="22"/>
      <c r="AR1124" s="22"/>
      <c r="AS1124" s="22"/>
      <c r="AT1124" s="70"/>
      <c r="AU1124" s="22"/>
      <c r="AV1124" s="57"/>
      <c r="AW1124" s="57"/>
      <c r="AX1124" s="70"/>
      <c r="AY1124" s="29"/>
      <c r="AZ1124" s="30"/>
      <c r="CU1124" s="55"/>
      <c r="CV1124" s="55"/>
      <c r="CW1124" s="55"/>
      <c r="CX1124" s="55"/>
      <c r="CY1124" s="55"/>
      <c r="CZ1124" s="55"/>
      <c r="DA1124" s="82"/>
      <c r="DB1124" s="55"/>
      <c r="DC1124" s="55"/>
      <c r="DD1124" s="55"/>
      <c r="DE1124" s="55"/>
      <c r="DF1124" s="55"/>
      <c r="DG1124" s="55"/>
      <c r="DH1124" s="55"/>
      <c r="DI1124" s="55"/>
      <c r="DJ1124" s="55"/>
      <c r="DK1124" s="55"/>
      <c r="DL1124" s="55"/>
      <c r="DM1124" s="55"/>
      <c r="DN1124" s="55"/>
      <c r="DO1124" s="55"/>
      <c r="DP1124" s="55"/>
      <c r="DQ1124" s="55"/>
      <c r="DR1124" s="55"/>
      <c r="DS1124" s="55"/>
      <c r="DT1124" s="55"/>
      <c r="DU1124" s="55"/>
      <c r="DV1124" s="55"/>
      <c r="DW1124" s="55"/>
    </row>
    <row r="1125">
      <c r="A1125" s="40" t="s">
        <v>55</v>
      </c>
      <c r="B1125" s="41" t="s">
        <v>56</v>
      </c>
      <c r="C1125" s="31" t="s">
        <v>2545</v>
      </c>
      <c r="D1125" s="25" t="str">
        <f>IFERROR(__xludf.DUMMYFUNCTION("SPLIT(C1125,"" "")"),"Raffkind,")</f>
        <v>Raffkind,</v>
      </c>
      <c r="E1125" s="40" t="str">
        <f>IFERROR(__xludf.DUMMYFUNCTION("""COMPUTED_VALUE"""),"Eliot
6527")</f>
        <v>Eliot
6527</v>
      </c>
      <c r="F1125" s="40" t="str">
        <f>IFERROR(__xludf.DUMMYFUNCTION("""COMPUTED_VALUE"""),"Westgate")</f>
        <v>Westgate</v>
      </c>
      <c r="G1125" s="40" t="str">
        <f>IFERROR(__xludf.DUMMYFUNCTION("""COMPUTED_VALUE"""),"Drive
Dallas,")</f>
        <v>Drive
Dallas,</v>
      </c>
      <c r="H1125" s="40" t="str">
        <f>IFERROR(__xludf.DUMMYFUNCTION("""COMPUTED_VALUE"""),"TX")</f>
        <v>TX</v>
      </c>
      <c r="I1125" s="40">
        <f>IFERROR(__xludf.DUMMYFUNCTION("""COMPUTED_VALUE"""),75254.0)</f>
        <v>75254</v>
      </c>
      <c r="J1125" s="40"/>
      <c r="K1125" s="40"/>
      <c r="L1125" s="40"/>
      <c r="M1125" s="40"/>
      <c r="N1125" s="40"/>
      <c r="O1125" s="40"/>
      <c r="P1125" s="40"/>
      <c r="Q1125" s="40"/>
      <c r="R1125" s="40"/>
      <c r="S1125" s="40"/>
      <c r="T1125" s="40"/>
      <c r="U1125" s="24" t="str">
        <f>IFERROR(__xludf.DUMMYFUNCTION("SPLIT(E1125,""01234567890"")"),"Eliot
")</f>
        <v>Eliot
</v>
      </c>
      <c r="V1125" s="24" t="str">
        <f>IFERROR(__xludf.DUMMYFUNCTION("SPLIT(D1125,"","")"),"Raffkind")</f>
        <v>Raffkind</v>
      </c>
      <c r="W1125" s="25" t="str">
        <f t="shared" si="1"/>
        <v>ELIOT
 RAFFKIND</v>
      </c>
      <c r="X1125" s="40"/>
      <c r="Y1125" s="40"/>
      <c r="Z1125" s="25" t="str">
        <f>IFERROR(__xludf.DUMMYFUNCTION("SPLIT(C1125,""
"")"),"Raffkind, Eliot")</f>
        <v>Raffkind, Eliot</v>
      </c>
      <c r="AA1125" s="40" t="str">
        <f>IFERROR(__xludf.DUMMYFUNCTION("""COMPUTED_VALUE"""),"6527 Westgate Drive")</f>
        <v>6527 Westgate Drive</v>
      </c>
      <c r="AB1125" s="40" t="str">
        <f>IFERROR(__xludf.DUMMYFUNCTION("""COMPUTED_VALUE"""),"Dallas, TX 75254")</f>
        <v>Dallas, TX 75254</v>
      </c>
      <c r="AC1125" s="31" t="s">
        <v>2546</v>
      </c>
      <c r="AD1125" s="40"/>
      <c r="AE1125" s="40"/>
      <c r="AF1125" s="40"/>
      <c r="AG1125" s="40" t="s">
        <v>60</v>
      </c>
      <c r="AH1125" s="42">
        <v>2482.0</v>
      </c>
      <c r="AI1125" s="40" t="s">
        <v>68</v>
      </c>
      <c r="AJ1125" s="27">
        <v>1000.0</v>
      </c>
      <c r="AK1125" s="31" t="s">
        <v>31</v>
      </c>
      <c r="AL1125" s="43">
        <v>44910.0</v>
      </c>
      <c r="AM1125" s="44">
        <v>44938.558541666665</v>
      </c>
      <c r="AN1125" s="30">
        <v>2.0</v>
      </c>
      <c r="AO1125" s="40"/>
      <c r="AP1125" s="40"/>
      <c r="AQ1125" s="40"/>
      <c r="AR1125" s="40"/>
      <c r="AS1125" s="40"/>
      <c r="AT1125" s="47"/>
      <c r="AU1125" s="40"/>
      <c r="AV1125" s="46"/>
      <c r="AW1125" s="46"/>
      <c r="AX1125" s="47"/>
      <c r="AY1125" s="44"/>
      <c r="AZ1125" s="30"/>
      <c r="CU1125" s="55"/>
      <c r="CV1125" s="55"/>
      <c r="CW1125" s="55"/>
      <c r="CX1125" s="55"/>
      <c r="CY1125" s="55"/>
      <c r="CZ1125" s="55"/>
      <c r="DA1125" s="82"/>
      <c r="DB1125" s="55"/>
      <c r="DC1125" s="55"/>
      <c r="DD1125" s="55"/>
      <c r="DE1125" s="55"/>
      <c r="DF1125" s="55"/>
      <c r="DG1125" s="55"/>
      <c r="DH1125" s="55"/>
      <c r="DI1125" s="55"/>
      <c r="DJ1125" s="55"/>
      <c r="DK1125" s="55"/>
      <c r="DL1125" s="55"/>
      <c r="DM1125" s="55"/>
      <c r="DN1125" s="55"/>
      <c r="DO1125" s="55"/>
      <c r="DP1125" s="55"/>
      <c r="DQ1125" s="55"/>
      <c r="DR1125" s="55"/>
      <c r="DS1125" s="55"/>
      <c r="DT1125" s="55"/>
      <c r="DU1125" s="55"/>
      <c r="DV1125" s="55"/>
      <c r="DW1125" s="55"/>
    </row>
    <row r="1126">
      <c r="A1126" s="23" t="s">
        <v>64</v>
      </c>
      <c r="B1126" s="23" t="s">
        <v>56</v>
      </c>
      <c r="C1126" s="31" t="s">
        <v>2547</v>
      </c>
      <c r="D1126" s="25" t="str">
        <f>IFERROR(__xludf.DUMMYFUNCTION("SPLIT(C1126,"" "")"),"Brown,")</f>
        <v>Brown,</v>
      </c>
      <c r="E1126" s="22" t="str">
        <f>IFERROR(__xludf.DUMMYFUNCTION("""COMPUTED_VALUE"""),"Ike
909")</f>
        <v>Ike
909</v>
      </c>
      <c r="F1126" s="22" t="str">
        <f>IFERROR(__xludf.DUMMYFUNCTION("""COMPUTED_VALUE"""),"Lake")</f>
        <v>Lake</v>
      </c>
      <c r="G1126" s="22" t="str">
        <f>IFERROR(__xludf.DUMMYFUNCTION("""COMPUTED_VALUE"""),"Carolyn")</f>
        <v>Carolyn</v>
      </c>
      <c r="H1126" s="22" t="str">
        <f>IFERROR(__xludf.DUMMYFUNCTION("""COMPUTED_VALUE"""),"Parkway
Irving,")</f>
        <v>Parkway
Irving,</v>
      </c>
      <c r="I1126" s="22" t="str">
        <f>IFERROR(__xludf.DUMMYFUNCTION("""COMPUTED_VALUE"""),"TX")</f>
        <v>TX</v>
      </c>
      <c r="J1126" s="22">
        <f>IFERROR(__xludf.DUMMYFUNCTION("""COMPUTED_VALUE"""),75039.0)</f>
        <v>75039</v>
      </c>
      <c r="K1126" s="22"/>
      <c r="L1126" s="22"/>
      <c r="M1126" s="22"/>
      <c r="N1126" s="22"/>
      <c r="O1126" s="22"/>
      <c r="P1126" s="22"/>
      <c r="Q1126" s="22"/>
      <c r="R1126" s="22"/>
      <c r="S1126" s="22"/>
      <c r="T1126" s="22"/>
      <c r="U1126" s="24" t="str">
        <f>IFERROR(__xludf.DUMMYFUNCTION("SPLIT(E1126,""01234567890"")"),"Ike
")</f>
        <v>Ike
</v>
      </c>
      <c r="V1126" s="24" t="str">
        <f>IFERROR(__xludf.DUMMYFUNCTION("SPLIT(D1126,"","")"),"Brown")</f>
        <v>Brown</v>
      </c>
      <c r="W1126" s="25" t="str">
        <f t="shared" si="1"/>
        <v>IKE
 BROWN</v>
      </c>
      <c r="X1126" s="22"/>
      <c r="Y1126" s="22"/>
      <c r="Z1126" s="25" t="str">
        <f>IFERROR(__xludf.DUMMYFUNCTION("SPLIT(C1126,""
"")"),"Brown, Ike")</f>
        <v>Brown, Ike</v>
      </c>
      <c r="AA1126" s="22" t="str">
        <f>IFERROR(__xludf.DUMMYFUNCTION("""COMPUTED_VALUE"""),"909 Lake Carolyn Parkway")</f>
        <v>909 Lake Carolyn Parkway</v>
      </c>
      <c r="AB1126" s="22" t="str">
        <f>IFERROR(__xludf.DUMMYFUNCTION("""COMPUTED_VALUE"""),"Irving, TX 75039")</f>
        <v>Irving, TX 75039</v>
      </c>
      <c r="AC1126" s="31" t="s">
        <v>2548</v>
      </c>
      <c r="AD1126" s="22"/>
      <c r="AE1126" s="22"/>
      <c r="AF1126" s="22"/>
      <c r="AG1126" s="22" t="s">
        <v>60</v>
      </c>
      <c r="AH1126" s="54">
        <v>2482.0</v>
      </c>
      <c r="AI1126" s="22" t="s">
        <v>68</v>
      </c>
      <c r="AJ1126" s="27">
        <v>500.0</v>
      </c>
      <c r="AK1126" s="31" t="s">
        <v>31</v>
      </c>
      <c r="AL1126" s="28">
        <v>44910.0</v>
      </c>
      <c r="AM1126" s="29">
        <v>44938.558541666665</v>
      </c>
      <c r="AN1126" s="30">
        <v>2.0</v>
      </c>
      <c r="AO1126" s="22"/>
      <c r="AP1126" s="22"/>
      <c r="AQ1126" s="22"/>
      <c r="AR1126" s="22"/>
      <c r="AS1126" s="22"/>
      <c r="AT1126" s="70"/>
      <c r="AU1126" s="22"/>
      <c r="AV1126" s="57"/>
      <c r="AW1126" s="57"/>
      <c r="AX1126" s="70"/>
      <c r="AY1126" s="29"/>
      <c r="AZ1126" s="30"/>
      <c r="CU1126" s="55"/>
      <c r="CV1126" s="55"/>
      <c r="CW1126" s="55"/>
      <c r="CX1126" s="55"/>
      <c r="CY1126" s="55"/>
      <c r="CZ1126" s="55"/>
      <c r="DA1126" s="82"/>
      <c r="DB1126" s="55"/>
      <c r="DC1126" s="55"/>
      <c r="DD1126" s="55"/>
      <c r="DE1126" s="55"/>
      <c r="DF1126" s="55"/>
      <c r="DG1126" s="55"/>
      <c r="DH1126" s="55"/>
      <c r="DI1126" s="55"/>
      <c r="DJ1126" s="55"/>
      <c r="DK1126" s="55"/>
      <c r="DL1126" s="55"/>
      <c r="DM1126" s="55"/>
      <c r="DN1126" s="55"/>
      <c r="DO1126" s="55"/>
      <c r="DP1126" s="55"/>
      <c r="DQ1126" s="55"/>
      <c r="DR1126" s="55"/>
      <c r="DS1126" s="55"/>
      <c r="DT1126" s="55"/>
      <c r="DU1126" s="55"/>
      <c r="DV1126" s="55"/>
      <c r="DW1126" s="55"/>
    </row>
    <row r="1127">
      <c r="A1127" s="40" t="s">
        <v>55</v>
      </c>
      <c r="B1127" s="41" t="s">
        <v>56</v>
      </c>
      <c r="C1127" s="31" t="s">
        <v>2549</v>
      </c>
      <c r="D1127" s="25" t="str">
        <f>IFERROR(__xludf.DUMMYFUNCTION("SPLIT(C1127,"" "")"),"Scofield,")</f>
        <v>Scofield,</v>
      </c>
      <c r="E1127" s="40" t="str">
        <f>IFERROR(__xludf.DUMMYFUNCTION("""COMPUTED_VALUE"""),"Paula
21")</f>
        <v>Paula
21</v>
      </c>
      <c r="F1127" s="40" t="str">
        <f>IFERROR(__xludf.DUMMYFUNCTION("""COMPUTED_VALUE"""),"Ashton")</f>
        <v>Ashton</v>
      </c>
      <c r="G1127" s="40" t="str">
        <f>IFERROR(__xludf.DUMMYFUNCTION("""COMPUTED_VALUE"""),"Court
Dallas,")</f>
        <v>Court
Dallas,</v>
      </c>
      <c r="H1127" s="40" t="str">
        <f>IFERROR(__xludf.DUMMYFUNCTION("""COMPUTED_VALUE"""),"TX")</f>
        <v>TX</v>
      </c>
      <c r="I1127" s="40">
        <f>IFERROR(__xludf.DUMMYFUNCTION("""COMPUTED_VALUE"""),75230.0)</f>
        <v>75230</v>
      </c>
      <c r="J1127" s="40"/>
      <c r="K1127" s="40"/>
      <c r="L1127" s="40"/>
      <c r="M1127" s="40"/>
      <c r="N1127" s="40"/>
      <c r="O1127" s="40"/>
      <c r="P1127" s="40"/>
      <c r="Q1127" s="40"/>
      <c r="R1127" s="40"/>
      <c r="S1127" s="40"/>
      <c r="T1127" s="40"/>
      <c r="U1127" s="24" t="str">
        <f>IFERROR(__xludf.DUMMYFUNCTION("SPLIT(E1127,""01234567890"")"),"Paula
")</f>
        <v>Paula
</v>
      </c>
      <c r="V1127" s="24" t="str">
        <f>IFERROR(__xludf.DUMMYFUNCTION("SPLIT(D1127,"","")"),"Scofield")</f>
        <v>Scofield</v>
      </c>
      <c r="W1127" s="25" t="str">
        <f t="shared" si="1"/>
        <v>PAULA
 SCOFIELD</v>
      </c>
      <c r="X1127" s="40"/>
      <c r="Y1127" s="40"/>
      <c r="Z1127" s="25" t="str">
        <f>IFERROR(__xludf.DUMMYFUNCTION("SPLIT(C1127,""
"")"),"Scofield, Paula")</f>
        <v>Scofield, Paula</v>
      </c>
      <c r="AA1127" s="40" t="str">
        <f>IFERROR(__xludf.DUMMYFUNCTION("""COMPUTED_VALUE"""),"21 Ashton Court")</f>
        <v>21 Ashton Court</v>
      </c>
      <c r="AB1127" s="40" t="str">
        <f>IFERROR(__xludf.DUMMYFUNCTION("""COMPUTED_VALUE"""),"Dallas, TX 75230")</f>
        <v>Dallas, TX 75230</v>
      </c>
      <c r="AC1127" s="31" t="s">
        <v>2550</v>
      </c>
      <c r="AD1127" s="40"/>
      <c r="AE1127" s="40"/>
      <c r="AF1127" s="40"/>
      <c r="AG1127" s="40" t="s">
        <v>60</v>
      </c>
      <c r="AH1127" s="42">
        <v>2482.0</v>
      </c>
      <c r="AI1127" s="40" t="s">
        <v>68</v>
      </c>
      <c r="AJ1127" s="27">
        <v>100.0</v>
      </c>
      <c r="AK1127" s="31" t="s">
        <v>31</v>
      </c>
      <c r="AL1127" s="43">
        <v>44910.0</v>
      </c>
      <c r="AM1127" s="44">
        <v>44938.558541666665</v>
      </c>
      <c r="AN1127" s="30">
        <v>2.0</v>
      </c>
      <c r="AO1127" s="40"/>
      <c r="AP1127" s="40"/>
      <c r="AQ1127" s="40"/>
      <c r="AR1127" s="40"/>
      <c r="AS1127" s="40"/>
      <c r="AT1127" s="47"/>
      <c r="AU1127" s="40"/>
      <c r="AV1127" s="46"/>
      <c r="AW1127" s="46"/>
      <c r="AX1127" s="47"/>
      <c r="AY1127" s="44"/>
      <c r="AZ1127" s="30"/>
      <c r="CU1127" s="55"/>
      <c r="CV1127" s="55"/>
      <c r="CW1127" s="55"/>
      <c r="CX1127" s="55"/>
      <c r="CY1127" s="55"/>
      <c r="CZ1127" s="55"/>
      <c r="DA1127" s="82"/>
      <c r="DB1127" s="55"/>
      <c r="DC1127" s="55"/>
      <c r="DD1127" s="55"/>
      <c r="DE1127" s="55"/>
      <c r="DF1127" s="55"/>
      <c r="DG1127" s="55"/>
      <c r="DH1127" s="55"/>
      <c r="DI1127" s="55"/>
      <c r="DJ1127" s="55"/>
      <c r="DK1127" s="55"/>
      <c r="DL1127" s="55"/>
      <c r="DM1127" s="55"/>
      <c r="DN1127" s="55"/>
      <c r="DO1127" s="55"/>
      <c r="DP1127" s="55"/>
      <c r="DQ1127" s="55"/>
      <c r="DR1127" s="55"/>
      <c r="DS1127" s="55"/>
      <c r="DT1127" s="55"/>
      <c r="DU1127" s="55"/>
      <c r="DV1127" s="55"/>
      <c r="DW1127" s="55"/>
    </row>
    <row r="1128">
      <c r="A1128" s="23" t="s">
        <v>64</v>
      </c>
      <c r="B1128" s="23" t="s">
        <v>56</v>
      </c>
      <c r="C1128" s="31" t="s">
        <v>2551</v>
      </c>
      <c r="D1128" s="25" t="str">
        <f>IFERROR(__xludf.DUMMYFUNCTION("SPLIT(C1128,"" "")"),"Willard,")</f>
        <v>Willard,</v>
      </c>
      <c r="E1128" s="22" t="str">
        <f>IFERROR(__xludf.DUMMYFUNCTION("""COMPUTED_VALUE"""),"Carolyn
7132")</f>
        <v>Carolyn
7132</v>
      </c>
      <c r="F1128" s="22" t="str">
        <f>IFERROR(__xludf.DUMMYFUNCTION("""COMPUTED_VALUE"""),"Helsem")</f>
        <v>Helsem</v>
      </c>
      <c r="G1128" s="22" t="str">
        <f>IFERROR(__xludf.DUMMYFUNCTION("""COMPUTED_VALUE"""),"Bend")</f>
        <v>Bend</v>
      </c>
      <c r="H1128" s="22" t="str">
        <f>IFERROR(__xludf.DUMMYFUNCTION("""COMPUTED_VALUE"""),"Circle
Dallas,")</f>
        <v>Circle
Dallas,</v>
      </c>
      <c r="I1128" s="22" t="str">
        <f>IFERROR(__xludf.DUMMYFUNCTION("""COMPUTED_VALUE"""),"TX")</f>
        <v>TX</v>
      </c>
      <c r="J1128" s="22">
        <f>IFERROR(__xludf.DUMMYFUNCTION("""COMPUTED_VALUE"""),75230.0)</f>
        <v>75230</v>
      </c>
      <c r="K1128" s="22"/>
      <c r="L1128" s="22"/>
      <c r="M1128" s="22"/>
      <c r="N1128" s="22"/>
      <c r="O1128" s="22"/>
      <c r="P1128" s="22"/>
      <c r="Q1128" s="22"/>
      <c r="R1128" s="22"/>
      <c r="S1128" s="22"/>
      <c r="T1128" s="22"/>
      <c r="U1128" s="24" t="str">
        <f>IFERROR(__xludf.DUMMYFUNCTION("SPLIT(E1128,""01234567890"")"),"Carolyn
")</f>
        <v>Carolyn
</v>
      </c>
      <c r="V1128" s="24" t="str">
        <f>IFERROR(__xludf.DUMMYFUNCTION("SPLIT(D1128,"","")"),"Willard")</f>
        <v>Willard</v>
      </c>
      <c r="W1128" s="25" t="str">
        <f t="shared" si="1"/>
        <v>CAROLYN
 WILLARD</v>
      </c>
      <c r="X1128" s="22"/>
      <c r="Y1128" s="22"/>
      <c r="Z1128" s="25" t="str">
        <f>IFERROR(__xludf.DUMMYFUNCTION("SPLIT(C1128,""
"")"),"Willard, Carolyn")</f>
        <v>Willard, Carolyn</v>
      </c>
      <c r="AA1128" s="22" t="str">
        <f>IFERROR(__xludf.DUMMYFUNCTION("""COMPUTED_VALUE"""),"7132 Helsem Bend Circle")</f>
        <v>7132 Helsem Bend Circle</v>
      </c>
      <c r="AB1128" s="22" t="str">
        <f>IFERROR(__xludf.DUMMYFUNCTION("""COMPUTED_VALUE"""),"Dallas, TX 75230")</f>
        <v>Dallas, TX 75230</v>
      </c>
      <c r="AC1128" s="31" t="s">
        <v>2552</v>
      </c>
      <c r="AD1128" s="22"/>
      <c r="AE1128" s="22"/>
      <c r="AF1128" s="22"/>
      <c r="AG1128" s="22" t="s">
        <v>60</v>
      </c>
      <c r="AH1128" s="54">
        <v>2482.0</v>
      </c>
      <c r="AI1128" s="22" t="s">
        <v>68</v>
      </c>
      <c r="AJ1128" s="27">
        <v>100.0</v>
      </c>
      <c r="AK1128" s="31" t="s">
        <v>31</v>
      </c>
      <c r="AL1128" s="28">
        <v>44910.0</v>
      </c>
      <c r="AM1128" s="29">
        <v>44938.558541666665</v>
      </c>
      <c r="AN1128" s="30">
        <v>2.0</v>
      </c>
      <c r="AO1128" s="22"/>
      <c r="AP1128" s="22"/>
      <c r="AQ1128" s="22"/>
      <c r="AR1128" s="22"/>
      <c r="AS1128" s="22"/>
      <c r="AT1128" s="70"/>
      <c r="AU1128" s="22"/>
      <c r="AV1128" s="57"/>
      <c r="AW1128" s="57"/>
      <c r="AX1128" s="70"/>
      <c r="AY1128" s="29"/>
      <c r="AZ1128" s="30"/>
      <c r="CU1128" s="55"/>
      <c r="CV1128" s="55"/>
      <c r="CW1128" s="55"/>
      <c r="CX1128" s="55"/>
      <c r="CY1128" s="55"/>
      <c r="CZ1128" s="55"/>
      <c r="DA1128" s="82"/>
      <c r="DB1128" s="55"/>
      <c r="DC1128" s="55"/>
      <c r="DD1128" s="55"/>
      <c r="DE1128" s="55"/>
      <c r="DF1128" s="55"/>
      <c r="DG1128" s="55"/>
      <c r="DH1128" s="55"/>
      <c r="DI1128" s="55"/>
      <c r="DJ1128" s="55"/>
      <c r="DK1128" s="55"/>
      <c r="DL1128" s="55"/>
      <c r="DM1128" s="55"/>
      <c r="DN1128" s="55"/>
      <c r="DO1128" s="55"/>
      <c r="DP1128" s="55"/>
      <c r="DQ1128" s="55"/>
      <c r="DR1128" s="55"/>
      <c r="DS1128" s="55"/>
      <c r="DT1128" s="55"/>
      <c r="DU1128" s="55"/>
      <c r="DV1128" s="55"/>
      <c r="DW1128" s="55"/>
    </row>
    <row r="1129">
      <c r="A1129" s="40" t="s">
        <v>55</v>
      </c>
      <c r="B1129" s="41" t="s">
        <v>56</v>
      </c>
      <c r="C1129" s="31" t="s">
        <v>2553</v>
      </c>
      <c r="D1129" s="25" t="str">
        <f>IFERROR(__xludf.DUMMYFUNCTION("SPLIT(C1129,"" "")"),"Glazer,")</f>
        <v>Glazer,</v>
      </c>
      <c r="E1129" s="40" t="str">
        <f>IFERROR(__xludf.DUMMYFUNCTION("""COMPUTED_VALUE"""),"Barbara
5665")</f>
        <v>Barbara
5665</v>
      </c>
      <c r="F1129" s="40" t="str">
        <f>IFERROR(__xludf.DUMMYFUNCTION("""COMPUTED_VALUE"""),"Arapaho")</f>
        <v>Arapaho</v>
      </c>
      <c r="G1129" s="40" t="str">
        <f>IFERROR(__xludf.DUMMYFUNCTION("""COMPUTED_VALUE"""),"Rd
Dallas,")</f>
        <v>Rd
Dallas,</v>
      </c>
      <c r="H1129" s="40" t="str">
        <f>IFERROR(__xludf.DUMMYFUNCTION("""COMPUTED_VALUE"""),"TX")</f>
        <v>TX</v>
      </c>
      <c r="I1129" s="40">
        <f>IFERROR(__xludf.DUMMYFUNCTION("""COMPUTED_VALUE"""),75248.0)</f>
        <v>75248</v>
      </c>
      <c r="J1129" s="40"/>
      <c r="K1129" s="40"/>
      <c r="L1129" s="40"/>
      <c r="M1129" s="40"/>
      <c r="N1129" s="40"/>
      <c r="O1129" s="40"/>
      <c r="P1129" s="40"/>
      <c r="Q1129" s="40"/>
      <c r="R1129" s="40"/>
      <c r="S1129" s="40"/>
      <c r="T1129" s="40"/>
      <c r="U1129" s="24" t="str">
        <f>IFERROR(__xludf.DUMMYFUNCTION("SPLIT(E1129,""01234567890"")"),"Barbara
")</f>
        <v>Barbara
</v>
      </c>
      <c r="V1129" s="24" t="str">
        <f>IFERROR(__xludf.DUMMYFUNCTION("SPLIT(D1129,"","")"),"Glazer")</f>
        <v>Glazer</v>
      </c>
      <c r="W1129" s="25" t="str">
        <f t="shared" si="1"/>
        <v>BARBARA
 GLAZER</v>
      </c>
      <c r="X1129" s="40"/>
      <c r="Y1129" s="40"/>
      <c r="Z1129" s="25" t="str">
        <f>IFERROR(__xludf.DUMMYFUNCTION("SPLIT(C1129,""
"")"),"Glazer, Barbara")</f>
        <v>Glazer, Barbara</v>
      </c>
      <c r="AA1129" s="40" t="str">
        <f>IFERROR(__xludf.DUMMYFUNCTION("""COMPUTED_VALUE"""),"5665 Arapaho Rd")</f>
        <v>5665 Arapaho Rd</v>
      </c>
      <c r="AB1129" s="40" t="str">
        <f>IFERROR(__xludf.DUMMYFUNCTION("""COMPUTED_VALUE"""),"Dallas, TX 75248")</f>
        <v>Dallas, TX 75248</v>
      </c>
      <c r="AC1129" s="31" t="s">
        <v>2554</v>
      </c>
      <c r="AD1129" s="40"/>
      <c r="AE1129" s="40"/>
      <c r="AF1129" s="40"/>
      <c r="AG1129" s="40" t="s">
        <v>60</v>
      </c>
      <c r="AH1129" s="42">
        <v>2482.0</v>
      </c>
      <c r="AI1129" s="40" t="s">
        <v>68</v>
      </c>
      <c r="AJ1129" s="27">
        <v>100.0</v>
      </c>
      <c r="AK1129" s="31" t="s">
        <v>31</v>
      </c>
      <c r="AL1129" s="43">
        <v>44910.0</v>
      </c>
      <c r="AM1129" s="44">
        <v>44938.558541666665</v>
      </c>
      <c r="AN1129" s="30">
        <v>2.0</v>
      </c>
      <c r="AO1129" s="40"/>
      <c r="AP1129" s="40"/>
      <c r="AQ1129" s="40"/>
      <c r="AR1129" s="40"/>
      <c r="AS1129" s="40"/>
      <c r="AT1129" s="47"/>
      <c r="AU1129" s="40"/>
      <c r="AV1129" s="46"/>
      <c r="AW1129" s="46"/>
      <c r="AX1129" s="47"/>
      <c r="AY1129" s="44"/>
      <c r="AZ1129" s="30"/>
      <c r="CU1129" s="55"/>
      <c r="CV1129" s="55"/>
      <c r="CW1129" s="55"/>
      <c r="CX1129" s="55"/>
      <c r="CY1129" s="55"/>
      <c r="CZ1129" s="55"/>
      <c r="DA1129" s="82"/>
      <c r="DB1129" s="55"/>
      <c r="DC1129" s="55"/>
      <c r="DD1129" s="55"/>
      <c r="DE1129" s="55"/>
      <c r="DF1129" s="55"/>
      <c r="DG1129" s="55"/>
      <c r="DH1129" s="55"/>
      <c r="DI1129" s="55"/>
      <c r="DJ1129" s="55"/>
      <c r="DK1129" s="55"/>
      <c r="DL1129" s="55"/>
      <c r="DM1129" s="55"/>
      <c r="DN1129" s="55"/>
      <c r="DO1129" s="55"/>
      <c r="DP1129" s="55"/>
      <c r="DQ1129" s="55"/>
      <c r="DR1129" s="55"/>
      <c r="DS1129" s="55"/>
      <c r="DT1129" s="55"/>
      <c r="DU1129" s="55"/>
      <c r="DV1129" s="55"/>
      <c r="DW1129" s="55"/>
    </row>
    <row r="1130">
      <c r="A1130" s="23" t="s">
        <v>64</v>
      </c>
      <c r="B1130" s="23" t="s">
        <v>56</v>
      </c>
      <c r="C1130" s="31" t="s">
        <v>2555</v>
      </c>
      <c r="D1130" s="25" t="str">
        <f>IFERROR(__xludf.DUMMYFUNCTION("SPLIT(C1130,"" "")"),"Suffness,")</f>
        <v>Suffness,</v>
      </c>
      <c r="E1130" s="22" t="str">
        <f>IFERROR(__xludf.DUMMYFUNCTION("""COMPUTED_VALUE"""),"Dorit
6961")</f>
        <v>Dorit
6961</v>
      </c>
      <c r="F1130" s="22" t="str">
        <f>IFERROR(__xludf.DUMMYFUNCTION("""COMPUTED_VALUE"""),"Brookshire")</f>
        <v>Brookshire</v>
      </c>
      <c r="G1130" s="22" t="str">
        <f>IFERROR(__xludf.DUMMYFUNCTION("""COMPUTED_VALUE"""),"Dr
Dallas,")</f>
        <v>Dr
Dallas,</v>
      </c>
      <c r="H1130" s="22" t="str">
        <f>IFERROR(__xludf.DUMMYFUNCTION("""COMPUTED_VALUE"""),"TX")</f>
        <v>TX</v>
      </c>
      <c r="I1130" s="22">
        <f>IFERROR(__xludf.DUMMYFUNCTION("""COMPUTED_VALUE"""),75230.0)</f>
        <v>75230</v>
      </c>
      <c r="J1130" s="22"/>
      <c r="K1130" s="22"/>
      <c r="L1130" s="22"/>
      <c r="M1130" s="22"/>
      <c r="N1130" s="22"/>
      <c r="O1130" s="22"/>
      <c r="P1130" s="22"/>
      <c r="Q1130" s="22"/>
      <c r="R1130" s="22"/>
      <c r="S1130" s="22"/>
      <c r="T1130" s="22"/>
      <c r="U1130" s="24" t="str">
        <f>IFERROR(__xludf.DUMMYFUNCTION("SPLIT(E1130,""01234567890"")"),"Dorit
")</f>
        <v>Dorit
</v>
      </c>
      <c r="V1130" s="24" t="str">
        <f>IFERROR(__xludf.DUMMYFUNCTION("SPLIT(D1130,"","")"),"Suffness")</f>
        <v>Suffness</v>
      </c>
      <c r="W1130" s="25" t="str">
        <f t="shared" si="1"/>
        <v>DORIT
 SUFFNESS</v>
      </c>
      <c r="X1130" s="22"/>
      <c r="Y1130" s="22"/>
      <c r="Z1130" s="25" t="str">
        <f>IFERROR(__xludf.DUMMYFUNCTION("SPLIT(C1130,""
"")"),"Suffness, Dorit")</f>
        <v>Suffness, Dorit</v>
      </c>
      <c r="AA1130" s="22" t="str">
        <f>IFERROR(__xludf.DUMMYFUNCTION("""COMPUTED_VALUE"""),"6961 Brookshire Dr")</f>
        <v>6961 Brookshire Dr</v>
      </c>
      <c r="AB1130" s="22" t="str">
        <f>IFERROR(__xludf.DUMMYFUNCTION("""COMPUTED_VALUE"""),"Dallas, TX 75230")</f>
        <v>Dallas, TX 75230</v>
      </c>
      <c r="AC1130" s="31" t="s">
        <v>2556</v>
      </c>
      <c r="AD1130" s="22"/>
      <c r="AE1130" s="22"/>
      <c r="AF1130" s="22"/>
      <c r="AG1130" s="22" t="s">
        <v>60</v>
      </c>
      <c r="AH1130" s="54">
        <v>2482.0</v>
      </c>
      <c r="AI1130" s="22" t="s">
        <v>68</v>
      </c>
      <c r="AJ1130" s="27">
        <v>50.0</v>
      </c>
      <c r="AK1130" s="31" t="s">
        <v>31</v>
      </c>
      <c r="AL1130" s="28">
        <v>44910.0</v>
      </c>
      <c r="AM1130" s="29">
        <v>44938.558541666665</v>
      </c>
      <c r="AN1130" s="30">
        <v>2.0</v>
      </c>
      <c r="AO1130" s="22"/>
      <c r="AP1130" s="22"/>
      <c r="AQ1130" s="22"/>
      <c r="AR1130" s="22"/>
      <c r="AS1130" s="22"/>
      <c r="AT1130" s="70"/>
      <c r="AU1130" s="22"/>
      <c r="AV1130" s="57"/>
      <c r="AW1130" s="57"/>
      <c r="AX1130" s="70"/>
      <c r="AY1130" s="29"/>
      <c r="AZ1130" s="30"/>
      <c r="CU1130" s="55"/>
      <c r="CV1130" s="55"/>
      <c r="CW1130" s="55"/>
      <c r="CX1130" s="55"/>
      <c r="CY1130" s="55"/>
      <c r="CZ1130" s="55"/>
      <c r="DA1130" s="82"/>
      <c r="DB1130" s="55"/>
      <c r="DC1130" s="55"/>
      <c r="DD1130" s="55"/>
      <c r="DE1130" s="55"/>
      <c r="DF1130" s="55"/>
      <c r="DG1130" s="55"/>
      <c r="DH1130" s="55"/>
      <c r="DI1130" s="55"/>
      <c r="DJ1130" s="55"/>
      <c r="DK1130" s="55"/>
      <c r="DL1130" s="55"/>
      <c r="DM1130" s="55"/>
      <c r="DN1130" s="55"/>
      <c r="DO1130" s="55"/>
      <c r="DP1130" s="55"/>
      <c r="DQ1130" s="55"/>
      <c r="DR1130" s="55"/>
      <c r="DS1130" s="55"/>
      <c r="DT1130" s="55"/>
      <c r="DU1130" s="55"/>
      <c r="DV1130" s="55"/>
      <c r="DW1130" s="55"/>
    </row>
    <row r="1131">
      <c r="A1131" s="40" t="s">
        <v>55</v>
      </c>
      <c r="B1131" s="41" t="s">
        <v>56</v>
      </c>
      <c r="C1131" s="31" t="s">
        <v>2557</v>
      </c>
      <c r="D1131" s="25" t="str">
        <f>IFERROR(__xludf.DUMMYFUNCTION("SPLIT(C1131,"" "")"),"Suttle,")</f>
        <v>Suttle,</v>
      </c>
      <c r="E1131" s="40" t="str">
        <f>IFERROR(__xludf.DUMMYFUNCTION("""COMPUTED_VALUE"""),"Karen
12526")</f>
        <v>Karen
12526</v>
      </c>
      <c r="F1131" s="40" t="str">
        <f>IFERROR(__xludf.DUMMYFUNCTION("""COMPUTED_VALUE"""),"Sunlight")</f>
        <v>Sunlight</v>
      </c>
      <c r="G1131" s="40" t="str">
        <f>IFERROR(__xludf.DUMMYFUNCTION("""COMPUTED_VALUE"""),"Drive
Dallas,")</f>
        <v>Drive
Dallas,</v>
      </c>
      <c r="H1131" s="40" t="str">
        <f>IFERROR(__xludf.DUMMYFUNCTION("""COMPUTED_VALUE"""),"TX")</f>
        <v>TX</v>
      </c>
      <c r="I1131" s="40">
        <f>IFERROR(__xludf.DUMMYFUNCTION("""COMPUTED_VALUE"""),75230.0)</f>
        <v>75230</v>
      </c>
      <c r="J1131" s="40"/>
      <c r="K1131" s="40"/>
      <c r="L1131" s="40"/>
      <c r="M1131" s="40"/>
      <c r="N1131" s="40"/>
      <c r="O1131" s="40"/>
      <c r="P1131" s="40"/>
      <c r="Q1131" s="40"/>
      <c r="R1131" s="40"/>
      <c r="S1131" s="40"/>
      <c r="T1131" s="40"/>
      <c r="U1131" s="24" t="str">
        <f>IFERROR(__xludf.DUMMYFUNCTION("SPLIT(E1131,""01234567890"")"),"Karen
")</f>
        <v>Karen
</v>
      </c>
      <c r="V1131" s="24" t="str">
        <f>IFERROR(__xludf.DUMMYFUNCTION("SPLIT(D1131,"","")"),"Suttle")</f>
        <v>Suttle</v>
      </c>
      <c r="W1131" s="25" t="str">
        <f t="shared" si="1"/>
        <v>KAREN
 SUTTLE</v>
      </c>
      <c r="X1131" s="40"/>
      <c r="Y1131" s="40"/>
      <c r="Z1131" s="25" t="str">
        <f>IFERROR(__xludf.DUMMYFUNCTION("SPLIT(C1131,""
"")"),"Suttle, Karen")</f>
        <v>Suttle, Karen</v>
      </c>
      <c r="AA1131" s="40" t="str">
        <f>IFERROR(__xludf.DUMMYFUNCTION("""COMPUTED_VALUE"""),"12526 Sunlight Drive")</f>
        <v>12526 Sunlight Drive</v>
      </c>
      <c r="AB1131" s="40" t="str">
        <f>IFERROR(__xludf.DUMMYFUNCTION("""COMPUTED_VALUE"""),"Dallas, TX 75230")</f>
        <v>Dallas, TX 75230</v>
      </c>
      <c r="AC1131" s="31" t="s">
        <v>2558</v>
      </c>
      <c r="AD1131" s="40"/>
      <c r="AE1131" s="40"/>
      <c r="AF1131" s="40"/>
      <c r="AG1131" s="40" t="s">
        <v>60</v>
      </c>
      <c r="AH1131" s="42">
        <v>2482.0</v>
      </c>
      <c r="AI1131" s="40" t="s">
        <v>68</v>
      </c>
      <c r="AJ1131" s="27">
        <v>100.0</v>
      </c>
      <c r="AK1131" s="31" t="s">
        <v>31</v>
      </c>
      <c r="AL1131" s="43">
        <v>44909.0</v>
      </c>
      <c r="AM1131" s="44">
        <v>44938.558541666665</v>
      </c>
      <c r="AN1131" s="30">
        <v>2.0</v>
      </c>
      <c r="AO1131" s="40"/>
      <c r="AP1131" s="40"/>
      <c r="AQ1131" s="40"/>
      <c r="AR1131" s="40"/>
      <c r="AS1131" s="40"/>
      <c r="AT1131" s="47"/>
      <c r="AU1131" s="40"/>
      <c r="AV1131" s="46"/>
      <c r="AW1131" s="46"/>
      <c r="AX1131" s="47"/>
      <c r="AY1131" s="44"/>
      <c r="AZ1131" s="30"/>
      <c r="CU1131" s="55"/>
      <c r="CV1131" s="55"/>
      <c r="CW1131" s="55"/>
      <c r="CX1131" s="55"/>
      <c r="CY1131" s="55"/>
      <c r="CZ1131" s="55"/>
      <c r="DA1131" s="82"/>
      <c r="DB1131" s="55"/>
      <c r="DC1131" s="55"/>
      <c r="DD1131" s="55"/>
      <c r="DE1131" s="55"/>
      <c r="DF1131" s="55"/>
      <c r="DG1131" s="55"/>
      <c r="DH1131" s="55"/>
      <c r="DI1131" s="55"/>
      <c r="DJ1131" s="55"/>
      <c r="DK1131" s="55"/>
      <c r="DL1131" s="55"/>
      <c r="DM1131" s="55"/>
      <c r="DN1131" s="55"/>
      <c r="DO1131" s="55"/>
      <c r="DP1131" s="55"/>
      <c r="DQ1131" s="55"/>
      <c r="DR1131" s="55"/>
      <c r="DS1131" s="55"/>
      <c r="DT1131" s="55"/>
      <c r="DU1131" s="55"/>
      <c r="DV1131" s="55"/>
      <c r="DW1131" s="55"/>
    </row>
    <row r="1132">
      <c r="A1132" s="23" t="s">
        <v>64</v>
      </c>
      <c r="B1132" s="23" t="s">
        <v>56</v>
      </c>
      <c r="C1132" s="31" t="s">
        <v>2559</v>
      </c>
      <c r="D1132" s="25" t="str">
        <f>IFERROR(__xludf.DUMMYFUNCTION("SPLIT(C1132,"" "")"),"Epstein,")</f>
        <v>Epstein,</v>
      </c>
      <c r="E1132" s="22" t="str">
        <f>IFERROR(__xludf.DUMMYFUNCTION("""COMPUTED_VALUE"""),"Bentzi
6107")</f>
        <v>Bentzi
6107</v>
      </c>
      <c r="F1132" s="22" t="str">
        <f>IFERROR(__xludf.DUMMYFUNCTION("""COMPUTED_VALUE"""),"Prestoncrest")</f>
        <v>Prestoncrest</v>
      </c>
      <c r="G1132" s="22" t="str">
        <f>IFERROR(__xludf.DUMMYFUNCTION("""COMPUTED_VALUE"""),"Ln
Dallas,")</f>
        <v>Ln
Dallas,</v>
      </c>
      <c r="H1132" s="22" t="str">
        <f>IFERROR(__xludf.DUMMYFUNCTION("""COMPUTED_VALUE"""),"TX")</f>
        <v>TX</v>
      </c>
      <c r="I1132" s="22">
        <f>IFERROR(__xludf.DUMMYFUNCTION("""COMPUTED_VALUE"""),75230.0)</f>
        <v>75230</v>
      </c>
      <c r="J1132" s="22"/>
      <c r="K1132" s="22"/>
      <c r="L1132" s="22"/>
      <c r="M1132" s="22"/>
      <c r="N1132" s="22"/>
      <c r="O1132" s="22"/>
      <c r="P1132" s="22"/>
      <c r="Q1132" s="22"/>
      <c r="R1132" s="22"/>
      <c r="S1132" s="22"/>
      <c r="T1132" s="22"/>
      <c r="U1132" s="24" t="str">
        <f>IFERROR(__xludf.DUMMYFUNCTION("SPLIT(E1132,""01234567890"")"),"Bentzi
")</f>
        <v>Bentzi
</v>
      </c>
      <c r="V1132" s="24" t="str">
        <f>IFERROR(__xludf.DUMMYFUNCTION("SPLIT(D1132,"","")"),"Epstein")</f>
        <v>Epstein</v>
      </c>
      <c r="W1132" s="25" t="str">
        <f t="shared" si="1"/>
        <v>BENTZI
 EPSTEIN</v>
      </c>
      <c r="X1132" s="22"/>
      <c r="Y1132" s="22"/>
      <c r="Z1132" s="25" t="str">
        <f>IFERROR(__xludf.DUMMYFUNCTION("SPLIT(C1132,""
"")"),"Epstein, Bentzi")</f>
        <v>Epstein, Bentzi</v>
      </c>
      <c r="AA1132" s="22" t="str">
        <f>IFERROR(__xludf.DUMMYFUNCTION("""COMPUTED_VALUE"""),"6107 Prestoncrest Ln")</f>
        <v>6107 Prestoncrest Ln</v>
      </c>
      <c r="AB1132" s="22" t="str">
        <f>IFERROR(__xludf.DUMMYFUNCTION("""COMPUTED_VALUE"""),"Dallas, TX 75230")</f>
        <v>Dallas, TX 75230</v>
      </c>
      <c r="AC1132" s="31" t="s">
        <v>2560</v>
      </c>
      <c r="AD1132" s="22"/>
      <c r="AE1132" s="22"/>
      <c r="AF1132" s="22"/>
      <c r="AG1132" s="22" t="s">
        <v>60</v>
      </c>
      <c r="AH1132" s="54">
        <v>2482.0</v>
      </c>
      <c r="AI1132" s="22" t="s">
        <v>68</v>
      </c>
      <c r="AJ1132" s="27">
        <v>18.0</v>
      </c>
      <c r="AK1132" s="31" t="s">
        <v>31</v>
      </c>
      <c r="AL1132" s="28">
        <v>44909.0</v>
      </c>
      <c r="AM1132" s="29">
        <v>44938.558541666665</v>
      </c>
      <c r="AN1132" s="30">
        <v>2.0</v>
      </c>
      <c r="AO1132" s="22"/>
      <c r="AP1132" s="22"/>
      <c r="AQ1132" s="22"/>
      <c r="AR1132" s="22"/>
      <c r="AS1132" s="22"/>
      <c r="AT1132" s="70"/>
      <c r="AU1132" s="22"/>
      <c r="AV1132" s="57"/>
      <c r="AW1132" s="57"/>
      <c r="AX1132" s="70"/>
      <c r="AY1132" s="29"/>
      <c r="AZ1132" s="30"/>
      <c r="CU1132" s="55"/>
      <c r="CV1132" s="55"/>
      <c r="CW1132" s="55"/>
      <c r="CX1132" s="55"/>
      <c r="CY1132" s="55"/>
      <c r="CZ1132" s="55"/>
      <c r="DA1132" s="82"/>
      <c r="DB1132" s="55"/>
      <c r="DC1132" s="55"/>
      <c r="DD1132" s="55"/>
      <c r="DE1132" s="55"/>
      <c r="DF1132" s="55"/>
      <c r="DG1132" s="55"/>
      <c r="DH1132" s="55"/>
      <c r="DI1132" s="55"/>
      <c r="DJ1132" s="55"/>
      <c r="DK1132" s="55"/>
      <c r="DL1132" s="55"/>
      <c r="DM1132" s="55"/>
      <c r="DN1132" s="55"/>
      <c r="DO1132" s="55"/>
      <c r="DP1132" s="55"/>
      <c r="DQ1132" s="55"/>
      <c r="DR1132" s="55"/>
      <c r="DS1132" s="55"/>
      <c r="DT1132" s="55"/>
      <c r="DU1132" s="55"/>
      <c r="DV1132" s="55"/>
      <c r="DW1132" s="55"/>
    </row>
    <row r="1133">
      <c r="A1133" s="40" t="s">
        <v>55</v>
      </c>
      <c r="B1133" s="41" t="s">
        <v>56</v>
      </c>
      <c r="C1133" s="31" t="s">
        <v>2561</v>
      </c>
      <c r="D1133" s="25" t="str">
        <f>IFERROR(__xludf.DUMMYFUNCTION("SPLIT(C1133,"" "")"),"Marcum,")</f>
        <v>Marcum,</v>
      </c>
      <c r="E1133" s="40" t="str">
        <f>IFERROR(__xludf.DUMMYFUNCTION("""COMPUTED_VALUE"""),"Janet
7714")</f>
        <v>Janet
7714</v>
      </c>
      <c r="F1133" s="40" t="str">
        <f>IFERROR(__xludf.DUMMYFUNCTION("""COMPUTED_VALUE"""),"Maplecrest")</f>
        <v>Maplecrest</v>
      </c>
      <c r="G1133" s="40" t="str">
        <f>IFERROR(__xludf.DUMMYFUNCTION("""COMPUTED_VALUE"""),"Drive
Dallas,")</f>
        <v>Drive
Dallas,</v>
      </c>
      <c r="H1133" s="40" t="str">
        <f>IFERROR(__xludf.DUMMYFUNCTION("""COMPUTED_VALUE"""),"TX")</f>
        <v>TX</v>
      </c>
      <c r="I1133" s="40">
        <f>IFERROR(__xludf.DUMMYFUNCTION("""COMPUTED_VALUE"""),75254.0)</f>
        <v>75254</v>
      </c>
      <c r="J1133" s="40"/>
      <c r="K1133" s="40"/>
      <c r="L1133" s="40"/>
      <c r="M1133" s="40"/>
      <c r="N1133" s="40"/>
      <c r="O1133" s="40"/>
      <c r="P1133" s="40"/>
      <c r="Q1133" s="40"/>
      <c r="R1133" s="40"/>
      <c r="S1133" s="40"/>
      <c r="T1133" s="40"/>
      <c r="U1133" s="24" t="str">
        <f>IFERROR(__xludf.DUMMYFUNCTION("SPLIT(E1133,""01234567890"")"),"Janet
")</f>
        <v>Janet
</v>
      </c>
      <c r="V1133" s="24" t="str">
        <f>IFERROR(__xludf.DUMMYFUNCTION("SPLIT(D1133,"","")"),"Marcum")</f>
        <v>Marcum</v>
      </c>
      <c r="W1133" s="25" t="str">
        <f t="shared" si="1"/>
        <v>JANET
 MARCUM</v>
      </c>
      <c r="X1133" s="40"/>
      <c r="Y1133" s="40"/>
      <c r="Z1133" s="25" t="str">
        <f>IFERROR(__xludf.DUMMYFUNCTION("SPLIT(C1133,""
"")"),"Marcum, Janet")</f>
        <v>Marcum, Janet</v>
      </c>
      <c r="AA1133" s="40" t="str">
        <f>IFERROR(__xludf.DUMMYFUNCTION("""COMPUTED_VALUE"""),"7714 Maplecrest Drive")</f>
        <v>7714 Maplecrest Drive</v>
      </c>
      <c r="AB1133" s="40" t="str">
        <f>IFERROR(__xludf.DUMMYFUNCTION("""COMPUTED_VALUE"""),"Dallas, TX 75254")</f>
        <v>Dallas, TX 75254</v>
      </c>
      <c r="AC1133" s="31" t="s">
        <v>2562</v>
      </c>
      <c r="AD1133" s="40"/>
      <c r="AE1133" s="40"/>
      <c r="AF1133" s="40"/>
      <c r="AG1133" s="40" t="s">
        <v>60</v>
      </c>
      <c r="AH1133" s="42">
        <v>2482.0</v>
      </c>
      <c r="AI1133" s="40" t="s">
        <v>68</v>
      </c>
      <c r="AJ1133" s="27">
        <v>50.0</v>
      </c>
      <c r="AK1133" s="31" t="s">
        <v>31</v>
      </c>
      <c r="AL1133" s="43">
        <v>44909.0</v>
      </c>
      <c r="AM1133" s="44">
        <v>44938.558541666665</v>
      </c>
      <c r="AN1133" s="30">
        <v>2.0</v>
      </c>
      <c r="AO1133" s="40"/>
      <c r="AP1133" s="40"/>
      <c r="AQ1133" s="40"/>
      <c r="AR1133" s="40"/>
      <c r="AS1133" s="40"/>
      <c r="AT1133" s="47"/>
      <c r="AU1133" s="40"/>
      <c r="AV1133" s="46"/>
      <c r="AW1133" s="46"/>
      <c r="AX1133" s="47"/>
      <c r="AY1133" s="44"/>
      <c r="AZ1133" s="30"/>
      <c r="CU1133" s="55"/>
      <c r="CV1133" s="55"/>
      <c r="CW1133" s="55"/>
      <c r="CX1133" s="55"/>
      <c r="CY1133" s="55"/>
      <c r="CZ1133" s="55"/>
      <c r="DA1133" s="82"/>
      <c r="DB1133" s="55"/>
      <c r="DC1133" s="55"/>
      <c r="DD1133" s="55"/>
      <c r="DE1133" s="55"/>
      <c r="DF1133" s="55"/>
      <c r="DG1133" s="55"/>
      <c r="DH1133" s="55"/>
      <c r="DI1133" s="55"/>
      <c r="DJ1133" s="55"/>
      <c r="DK1133" s="55"/>
      <c r="DL1133" s="55"/>
      <c r="DM1133" s="55"/>
      <c r="DN1133" s="55"/>
      <c r="DO1133" s="55"/>
      <c r="DP1133" s="55"/>
      <c r="DQ1133" s="55"/>
      <c r="DR1133" s="55"/>
      <c r="DS1133" s="55"/>
      <c r="DT1133" s="55"/>
      <c r="DU1133" s="55"/>
      <c r="DV1133" s="55"/>
      <c r="DW1133" s="55"/>
    </row>
    <row r="1134">
      <c r="A1134" s="23" t="s">
        <v>64</v>
      </c>
      <c r="B1134" s="23" t="s">
        <v>56</v>
      </c>
      <c r="C1134" s="31" t="s">
        <v>2509</v>
      </c>
      <c r="D1134" s="25" t="str">
        <f>IFERROR(__xludf.DUMMYFUNCTION("SPLIT(C1134,"" "")"),"Hebley,")</f>
        <v>Hebley,</v>
      </c>
      <c r="E1134" s="22" t="str">
        <f>IFERROR(__xludf.DUMMYFUNCTION("""COMPUTED_VALUE"""),"Sandi
12304")</f>
        <v>Sandi
12304</v>
      </c>
      <c r="F1134" s="22" t="str">
        <f>IFERROR(__xludf.DUMMYFUNCTION("""COMPUTED_VALUE"""),"Shiremont")</f>
        <v>Shiremont</v>
      </c>
      <c r="G1134" s="22" t="str">
        <f>IFERROR(__xludf.DUMMYFUNCTION("""COMPUTED_VALUE"""),"Drive
Dallas,")</f>
        <v>Drive
Dallas,</v>
      </c>
      <c r="H1134" s="22" t="str">
        <f>IFERROR(__xludf.DUMMYFUNCTION("""COMPUTED_VALUE"""),"TX")</f>
        <v>TX</v>
      </c>
      <c r="I1134" s="22">
        <f>IFERROR(__xludf.DUMMYFUNCTION("""COMPUTED_VALUE"""),75230.0)</f>
        <v>75230</v>
      </c>
      <c r="J1134" s="22"/>
      <c r="K1134" s="22"/>
      <c r="L1134" s="22"/>
      <c r="M1134" s="22"/>
      <c r="N1134" s="22"/>
      <c r="O1134" s="22"/>
      <c r="P1134" s="22"/>
      <c r="Q1134" s="22"/>
      <c r="R1134" s="22"/>
      <c r="S1134" s="22"/>
      <c r="T1134" s="22"/>
      <c r="U1134" s="24" t="str">
        <f>IFERROR(__xludf.DUMMYFUNCTION("SPLIT(E1134,""01234567890"")"),"Sandi
")</f>
        <v>Sandi
</v>
      </c>
      <c r="V1134" s="24" t="str">
        <f>IFERROR(__xludf.DUMMYFUNCTION("SPLIT(D1134,"","")"),"Hebley")</f>
        <v>Hebley</v>
      </c>
      <c r="W1134" s="25" t="str">
        <f t="shared" si="1"/>
        <v>SANDI
 HEBLEY</v>
      </c>
      <c r="X1134" s="22"/>
      <c r="Y1134" s="22"/>
      <c r="Z1134" s="25" t="str">
        <f>IFERROR(__xludf.DUMMYFUNCTION("SPLIT(C1134,""
"")"),"Hebley, Sandi")</f>
        <v>Hebley, Sandi</v>
      </c>
      <c r="AA1134" s="22" t="str">
        <f>IFERROR(__xludf.DUMMYFUNCTION("""COMPUTED_VALUE"""),"12304 Shiremont Drive")</f>
        <v>12304 Shiremont Drive</v>
      </c>
      <c r="AB1134" s="22" t="str">
        <f>IFERROR(__xludf.DUMMYFUNCTION("""COMPUTED_VALUE"""),"Dallas, TX 75230")</f>
        <v>Dallas, TX 75230</v>
      </c>
      <c r="AC1134" s="31" t="s">
        <v>2510</v>
      </c>
      <c r="AD1134" s="22"/>
      <c r="AE1134" s="22"/>
      <c r="AF1134" s="22"/>
      <c r="AG1134" s="22" t="s">
        <v>60</v>
      </c>
      <c r="AH1134" s="54">
        <v>2482.0</v>
      </c>
      <c r="AI1134" s="22" t="s">
        <v>68</v>
      </c>
      <c r="AJ1134" s="27">
        <v>25.0</v>
      </c>
      <c r="AK1134" s="31" t="s">
        <v>31</v>
      </c>
      <c r="AL1134" s="28">
        <v>44909.0</v>
      </c>
      <c r="AM1134" s="29">
        <v>44938.558541666665</v>
      </c>
      <c r="AN1134" s="30">
        <v>2.0</v>
      </c>
      <c r="AO1134" s="22"/>
      <c r="AP1134" s="22"/>
      <c r="AQ1134" s="22"/>
      <c r="AR1134" s="22"/>
      <c r="AS1134" s="22"/>
      <c r="AT1134" s="70"/>
      <c r="AU1134" s="22"/>
      <c r="AV1134" s="57"/>
      <c r="AW1134" s="57"/>
      <c r="AX1134" s="70"/>
      <c r="AY1134" s="29"/>
      <c r="AZ1134" s="30"/>
      <c r="CU1134" s="55"/>
      <c r="CV1134" s="55"/>
      <c r="CW1134" s="55"/>
      <c r="CX1134" s="55"/>
      <c r="CY1134" s="55"/>
      <c r="CZ1134" s="55"/>
      <c r="DA1134" s="82"/>
      <c r="DB1134" s="55"/>
      <c r="DC1134" s="55"/>
      <c r="DD1134" s="55"/>
      <c r="DE1134" s="55"/>
      <c r="DF1134" s="55"/>
      <c r="DG1134" s="55"/>
      <c r="DH1134" s="55"/>
      <c r="DI1134" s="55"/>
      <c r="DJ1134" s="55"/>
      <c r="DK1134" s="55"/>
      <c r="DL1134" s="55"/>
      <c r="DM1134" s="55"/>
      <c r="DN1134" s="55"/>
      <c r="DO1134" s="55"/>
      <c r="DP1134" s="55"/>
      <c r="DQ1134" s="55"/>
      <c r="DR1134" s="55"/>
      <c r="DS1134" s="55"/>
      <c r="DT1134" s="55"/>
      <c r="DU1134" s="55"/>
      <c r="DV1134" s="55"/>
      <c r="DW1134" s="55"/>
    </row>
    <row r="1135">
      <c r="A1135" s="40" t="s">
        <v>55</v>
      </c>
      <c r="B1135" s="41" t="s">
        <v>56</v>
      </c>
      <c r="C1135" s="31" t="s">
        <v>2563</v>
      </c>
      <c r="D1135" s="25" t="str">
        <f>IFERROR(__xludf.DUMMYFUNCTION("SPLIT(C1135,"" "")"),"Steinberg,")</f>
        <v>Steinberg,</v>
      </c>
      <c r="E1135" s="40" t="str">
        <f>IFERROR(__xludf.DUMMYFUNCTION("""COMPUTED_VALUE"""),"Jeffrey
6130")</f>
        <v>Jeffrey
6130</v>
      </c>
      <c r="F1135" s="40" t="str">
        <f>IFERROR(__xludf.DUMMYFUNCTION("""COMPUTED_VALUE"""),"Preston")</f>
        <v>Preston</v>
      </c>
      <c r="G1135" s="40" t="str">
        <f>IFERROR(__xludf.DUMMYFUNCTION("""COMPUTED_VALUE"""),"Haven")</f>
        <v>Haven</v>
      </c>
      <c r="H1135" s="40" t="str">
        <f>IFERROR(__xludf.DUMMYFUNCTION("""COMPUTED_VALUE"""),"Dr
Dallas,")</f>
        <v>Dr
Dallas,</v>
      </c>
      <c r="I1135" s="40" t="str">
        <f>IFERROR(__xludf.DUMMYFUNCTION("""COMPUTED_VALUE"""),"TX")</f>
        <v>TX</v>
      </c>
      <c r="J1135" s="40">
        <f>IFERROR(__xludf.DUMMYFUNCTION("""COMPUTED_VALUE"""),75230.0)</f>
        <v>75230</v>
      </c>
      <c r="K1135" s="40"/>
      <c r="L1135" s="40"/>
      <c r="M1135" s="40"/>
      <c r="N1135" s="40"/>
      <c r="O1135" s="40"/>
      <c r="P1135" s="40"/>
      <c r="Q1135" s="40"/>
      <c r="R1135" s="40"/>
      <c r="S1135" s="40"/>
      <c r="T1135" s="40"/>
      <c r="U1135" s="24" t="str">
        <f>IFERROR(__xludf.DUMMYFUNCTION("SPLIT(E1135,""01234567890"")"),"Jeffrey
")</f>
        <v>Jeffrey
</v>
      </c>
      <c r="V1135" s="24" t="str">
        <f>IFERROR(__xludf.DUMMYFUNCTION("SPLIT(D1135,"","")"),"Steinberg")</f>
        <v>Steinberg</v>
      </c>
      <c r="W1135" s="25" t="str">
        <f t="shared" si="1"/>
        <v>JEFFREY
 STEINBERG</v>
      </c>
      <c r="X1135" s="40"/>
      <c r="Y1135" s="40"/>
      <c r="Z1135" s="25" t="str">
        <f>IFERROR(__xludf.DUMMYFUNCTION("SPLIT(C1135,""
"")"),"Steinberg, Jeffrey")</f>
        <v>Steinberg, Jeffrey</v>
      </c>
      <c r="AA1135" s="40" t="str">
        <f>IFERROR(__xludf.DUMMYFUNCTION("""COMPUTED_VALUE"""),"6130 Preston Haven Dr")</f>
        <v>6130 Preston Haven Dr</v>
      </c>
      <c r="AB1135" s="40" t="str">
        <f>IFERROR(__xludf.DUMMYFUNCTION("""COMPUTED_VALUE"""),"Dallas, TX 75230")</f>
        <v>Dallas, TX 75230</v>
      </c>
      <c r="AC1135" s="31" t="s">
        <v>2564</v>
      </c>
      <c r="AD1135" s="40"/>
      <c r="AE1135" s="40"/>
      <c r="AF1135" s="40"/>
      <c r="AG1135" s="40" t="s">
        <v>60</v>
      </c>
      <c r="AH1135" s="42">
        <v>2482.0</v>
      </c>
      <c r="AI1135" s="40" t="s">
        <v>68</v>
      </c>
      <c r="AJ1135" s="27">
        <v>25.0</v>
      </c>
      <c r="AK1135" s="31" t="s">
        <v>31</v>
      </c>
      <c r="AL1135" s="43">
        <v>44909.0</v>
      </c>
      <c r="AM1135" s="44">
        <v>44938.558541666665</v>
      </c>
      <c r="AN1135" s="30">
        <v>2.0</v>
      </c>
      <c r="AO1135" s="40"/>
      <c r="AP1135" s="40"/>
      <c r="AQ1135" s="40"/>
      <c r="AR1135" s="40"/>
      <c r="AS1135" s="40"/>
      <c r="AT1135" s="47"/>
      <c r="AU1135" s="40"/>
      <c r="AV1135" s="46"/>
      <c r="AW1135" s="46"/>
      <c r="AX1135" s="47"/>
      <c r="AY1135" s="44"/>
      <c r="AZ1135" s="30"/>
      <c r="CU1135" s="55"/>
      <c r="CV1135" s="55"/>
      <c r="CW1135" s="55"/>
      <c r="CX1135" s="55"/>
      <c r="CY1135" s="55"/>
      <c r="CZ1135" s="55"/>
      <c r="DA1135" s="82"/>
      <c r="DB1135" s="55"/>
      <c r="DC1135" s="55"/>
      <c r="DD1135" s="55"/>
      <c r="DE1135" s="55"/>
      <c r="DF1135" s="55"/>
      <c r="DG1135" s="55"/>
      <c r="DH1135" s="55"/>
      <c r="DI1135" s="55"/>
      <c r="DJ1135" s="55"/>
      <c r="DK1135" s="55"/>
      <c r="DL1135" s="55"/>
      <c r="DM1135" s="55"/>
      <c r="DN1135" s="55"/>
      <c r="DO1135" s="55"/>
      <c r="DP1135" s="55"/>
      <c r="DQ1135" s="55"/>
      <c r="DR1135" s="55"/>
      <c r="DS1135" s="55"/>
      <c r="DT1135" s="55"/>
      <c r="DU1135" s="55"/>
      <c r="DV1135" s="55"/>
      <c r="DW1135" s="55"/>
    </row>
    <row r="1136">
      <c r="A1136" s="23" t="s">
        <v>64</v>
      </c>
      <c r="B1136" s="23" t="s">
        <v>56</v>
      </c>
      <c r="C1136" s="31" t="s">
        <v>2565</v>
      </c>
      <c r="D1136" s="25" t="str">
        <f>IFERROR(__xludf.DUMMYFUNCTION("SPLIT(C1136,"" "")"),"Friedman,")</f>
        <v>Friedman,</v>
      </c>
      <c r="E1136" s="22" t="str">
        <f>IFERROR(__xludf.DUMMYFUNCTION("""COMPUTED_VALUE"""),"Colin
5200")</f>
        <v>Colin
5200</v>
      </c>
      <c r="F1136" s="22" t="str">
        <f>IFERROR(__xludf.DUMMYFUNCTION("""COMPUTED_VALUE"""),"Keller")</f>
        <v>Keller</v>
      </c>
      <c r="G1136" s="22" t="str">
        <f>IFERROR(__xludf.DUMMYFUNCTION("""COMPUTED_VALUE"""),"Springs")</f>
        <v>Springs</v>
      </c>
      <c r="H1136" s="22" t="str">
        <f>IFERROR(__xludf.DUMMYFUNCTION("""COMPUTED_VALUE"""),"Road
Dallas,")</f>
        <v>Road
Dallas,</v>
      </c>
      <c r="I1136" s="22" t="str">
        <f>IFERROR(__xludf.DUMMYFUNCTION("""COMPUTED_VALUE"""),"TX")</f>
        <v>TX</v>
      </c>
      <c r="J1136" s="22">
        <f>IFERROR(__xludf.DUMMYFUNCTION("""COMPUTED_VALUE"""),75248.0)</f>
        <v>75248</v>
      </c>
      <c r="K1136" s="22"/>
      <c r="L1136" s="22"/>
      <c r="M1136" s="22"/>
      <c r="N1136" s="22"/>
      <c r="O1136" s="22"/>
      <c r="P1136" s="22"/>
      <c r="Q1136" s="22"/>
      <c r="R1136" s="22"/>
      <c r="S1136" s="22"/>
      <c r="T1136" s="22"/>
      <c r="U1136" s="24" t="str">
        <f>IFERROR(__xludf.DUMMYFUNCTION("SPLIT(E1136,""01234567890"")"),"Colin
")</f>
        <v>Colin
</v>
      </c>
      <c r="V1136" s="24" t="str">
        <f>IFERROR(__xludf.DUMMYFUNCTION("SPLIT(D1136,"","")"),"Friedman")</f>
        <v>Friedman</v>
      </c>
      <c r="W1136" s="25" t="str">
        <f t="shared" si="1"/>
        <v>COLIN
 FRIEDMAN</v>
      </c>
      <c r="X1136" s="22"/>
      <c r="Y1136" s="22"/>
      <c r="Z1136" s="25" t="str">
        <f>IFERROR(__xludf.DUMMYFUNCTION("SPLIT(C1136,""
"")"),"Friedman, Colin")</f>
        <v>Friedman, Colin</v>
      </c>
      <c r="AA1136" s="22" t="str">
        <f>IFERROR(__xludf.DUMMYFUNCTION("""COMPUTED_VALUE"""),"5200 Keller Springs Road")</f>
        <v>5200 Keller Springs Road</v>
      </c>
      <c r="AB1136" s="22" t="str">
        <f>IFERROR(__xludf.DUMMYFUNCTION("""COMPUTED_VALUE"""),"Dallas, TX 75248")</f>
        <v>Dallas, TX 75248</v>
      </c>
      <c r="AC1136" s="31" t="s">
        <v>2566</v>
      </c>
      <c r="AD1136" s="22"/>
      <c r="AE1136" s="22"/>
      <c r="AF1136" s="22"/>
      <c r="AG1136" s="22" t="s">
        <v>60</v>
      </c>
      <c r="AH1136" s="54">
        <v>2482.0</v>
      </c>
      <c r="AI1136" s="22" t="s">
        <v>68</v>
      </c>
      <c r="AJ1136" s="27">
        <v>15.0</v>
      </c>
      <c r="AK1136" s="31" t="s">
        <v>31</v>
      </c>
      <c r="AL1136" s="28">
        <v>44909.0</v>
      </c>
      <c r="AM1136" s="29">
        <v>44938.558541666665</v>
      </c>
      <c r="AN1136" s="30">
        <v>2.0</v>
      </c>
      <c r="AO1136" s="22"/>
      <c r="AP1136" s="22"/>
      <c r="AQ1136" s="22"/>
      <c r="AR1136" s="22"/>
      <c r="AS1136" s="22"/>
      <c r="AT1136" s="70"/>
      <c r="AU1136" s="22"/>
      <c r="AV1136" s="57"/>
      <c r="AW1136" s="57"/>
      <c r="AX1136" s="70"/>
      <c r="AY1136" s="29"/>
      <c r="AZ1136" s="30"/>
      <c r="CU1136" s="55"/>
      <c r="CV1136" s="55"/>
      <c r="CW1136" s="55"/>
      <c r="CX1136" s="55"/>
      <c r="CY1136" s="55"/>
      <c r="CZ1136" s="55"/>
      <c r="DA1136" s="82"/>
      <c r="DB1136" s="55"/>
      <c r="DC1136" s="55"/>
      <c r="DD1136" s="55"/>
      <c r="DE1136" s="55"/>
      <c r="DF1136" s="55"/>
      <c r="DG1136" s="55"/>
      <c r="DH1136" s="55"/>
      <c r="DI1136" s="55"/>
      <c r="DJ1136" s="55"/>
      <c r="DK1136" s="55"/>
      <c r="DL1136" s="55"/>
      <c r="DM1136" s="55"/>
      <c r="DN1136" s="55"/>
      <c r="DO1136" s="55"/>
      <c r="DP1136" s="55"/>
      <c r="DQ1136" s="55"/>
      <c r="DR1136" s="55"/>
      <c r="DS1136" s="55"/>
      <c r="DT1136" s="55"/>
      <c r="DU1136" s="55"/>
      <c r="DV1136" s="55"/>
      <c r="DW1136" s="55"/>
    </row>
    <row r="1137">
      <c r="A1137" s="40" t="s">
        <v>55</v>
      </c>
      <c r="B1137" s="41" t="s">
        <v>56</v>
      </c>
      <c r="C1137" s="31" t="s">
        <v>2567</v>
      </c>
      <c r="D1137" s="25" t="str">
        <f>IFERROR(__xludf.DUMMYFUNCTION("SPLIT(C1137,"" "")"),"Arbetter,")</f>
        <v>Arbetter,</v>
      </c>
      <c r="E1137" s="40" t="str">
        <f>IFERROR(__xludf.DUMMYFUNCTION("""COMPUTED_VALUE"""),"Fonda
4140")</f>
        <v>Fonda
4140</v>
      </c>
      <c r="F1137" s="40" t="str">
        <f>IFERROR(__xludf.DUMMYFUNCTION("""COMPUTED_VALUE"""),"Rainsong
Dallas,")</f>
        <v>Rainsong
Dallas,</v>
      </c>
      <c r="G1137" s="40" t="str">
        <f>IFERROR(__xludf.DUMMYFUNCTION("""COMPUTED_VALUE"""),"TX")</f>
        <v>TX</v>
      </c>
      <c r="H1137" s="40">
        <f>IFERROR(__xludf.DUMMYFUNCTION("""COMPUTED_VALUE"""),75287.0)</f>
        <v>75287</v>
      </c>
      <c r="I1137" s="40"/>
      <c r="J1137" s="40"/>
      <c r="K1137" s="40"/>
      <c r="L1137" s="40"/>
      <c r="M1137" s="40"/>
      <c r="N1137" s="40"/>
      <c r="O1137" s="40"/>
      <c r="P1137" s="40"/>
      <c r="Q1137" s="40"/>
      <c r="R1137" s="40"/>
      <c r="S1137" s="40"/>
      <c r="T1137" s="40"/>
      <c r="U1137" s="24" t="str">
        <f>IFERROR(__xludf.DUMMYFUNCTION("SPLIT(E1137,""01234567890"")"),"Fonda
")</f>
        <v>Fonda
</v>
      </c>
      <c r="V1137" s="24" t="str">
        <f>IFERROR(__xludf.DUMMYFUNCTION("SPLIT(D1137,"","")"),"Arbetter")</f>
        <v>Arbetter</v>
      </c>
      <c r="W1137" s="25" t="str">
        <f t="shared" si="1"/>
        <v>FONDA
 ARBETTER</v>
      </c>
      <c r="X1137" s="40"/>
      <c r="Y1137" s="40"/>
      <c r="Z1137" s="25" t="str">
        <f>IFERROR(__xludf.DUMMYFUNCTION("SPLIT(C1137,""
"")"),"Arbetter, Fonda")</f>
        <v>Arbetter, Fonda</v>
      </c>
      <c r="AA1137" s="40" t="str">
        <f>IFERROR(__xludf.DUMMYFUNCTION("""COMPUTED_VALUE"""),"4140 Rainsong")</f>
        <v>4140 Rainsong</v>
      </c>
      <c r="AB1137" s="40" t="str">
        <f>IFERROR(__xludf.DUMMYFUNCTION("""COMPUTED_VALUE"""),"Dallas, TX 75287")</f>
        <v>Dallas, TX 75287</v>
      </c>
      <c r="AC1137" s="31" t="s">
        <v>2568</v>
      </c>
      <c r="AD1137" s="40"/>
      <c r="AE1137" s="40"/>
      <c r="AF1137" s="40"/>
      <c r="AG1137" s="40" t="s">
        <v>60</v>
      </c>
      <c r="AH1137" s="42">
        <v>2482.0</v>
      </c>
      <c r="AI1137" s="40" t="s">
        <v>68</v>
      </c>
      <c r="AJ1137" s="27">
        <v>150.0</v>
      </c>
      <c r="AK1137" s="31" t="s">
        <v>31</v>
      </c>
      <c r="AL1137" s="43">
        <v>44909.0</v>
      </c>
      <c r="AM1137" s="44">
        <v>44938.558541666665</v>
      </c>
      <c r="AN1137" s="30">
        <v>2.0</v>
      </c>
      <c r="AO1137" s="40"/>
      <c r="AP1137" s="40"/>
      <c r="AQ1137" s="40"/>
      <c r="AR1137" s="40"/>
      <c r="AS1137" s="40"/>
      <c r="AT1137" s="47"/>
      <c r="AU1137" s="40"/>
      <c r="AV1137" s="46"/>
      <c r="AW1137" s="46"/>
      <c r="AX1137" s="47"/>
      <c r="AY1137" s="44"/>
      <c r="AZ1137" s="30"/>
      <c r="CU1137" s="55"/>
      <c r="CV1137" s="55"/>
      <c r="CW1137" s="55"/>
      <c r="CX1137" s="55"/>
      <c r="CY1137" s="55"/>
      <c r="CZ1137" s="55"/>
      <c r="DA1137" s="82"/>
      <c r="DB1137" s="55"/>
      <c r="DC1137" s="55"/>
      <c r="DD1137" s="55"/>
      <c r="DE1137" s="55"/>
      <c r="DF1137" s="55"/>
      <c r="DG1137" s="55"/>
      <c r="DH1137" s="55"/>
      <c r="DI1137" s="55"/>
      <c r="DJ1137" s="55"/>
      <c r="DK1137" s="55"/>
      <c r="DL1137" s="55"/>
      <c r="DM1137" s="55"/>
      <c r="DN1137" s="55"/>
      <c r="DO1137" s="55"/>
      <c r="DP1137" s="55"/>
      <c r="DQ1137" s="55"/>
      <c r="DR1137" s="55"/>
      <c r="DS1137" s="55"/>
      <c r="DT1137" s="55"/>
      <c r="DU1137" s="55"/>
      <c r="DV1137" s="55"/>
      <c r="DW1137" s="55"/>
    </row>
    <row r="1138">
      <c r="A1138" s="23" t="s">
        <v>64</v>
      </c>
      <c r="B1138" s="23" t="s">
        <v>56</v>
      </c>
      <c r="C1138" s="31" t="s">
        <v>2569</v>
      </c>
      <c r="D1138" s="25" t="str">
        <f>IFERROR(__xludf.DUMMYFUNCTION("SPLIT(C1138,"" "")"),"Pulley,")</f>
        <v>Pulley,</v>
      </c>
      <c r="E1138" s="22" t="str">
        <f>IFERROR(__xludf.DUMMYFUNCTION("""COMPUTED_VALUE"""),"Tegwin
11435")</f>
        <v>Tegwin
11435</v>
      </c>
      <c r="F1138" s="22" t="str">
        <f>IFERROR(__xludf.DUMMYFUNCTION("""COMPUTED_VALUE"""),"Hillcrest")</f>
        <v>Hillcrest</v>
      </c>
      <c r="G1138" s="22" t="str">
        <f>IFERROR(__xludf.DUMMYFUNCTION("""COMPUTED_VALUE"""),"Road
Dallas,")</f>
        <v>Road
Dallas,</v>
      </c>
      <c r="H1138" s="22" t="str">
        <f>IFERROR(__xludf.DUMMYFUNCTION("""COMPUTED_VALUE"""),"TX")</f>
        <v>TX</v>
      </c>
      <c r="I1138" s="22">
        <f>IFERROR(__xludf.DUMMYFUNCTION("""COMPUTED_VALUE"""),75230.0)</f>
        <v>75230</v>
      </c>
      <c r="J1138" s="22"/>
      <c r="K1138" s="22"/>
      <c r="L1138" s="22"/>
      <c r="M1138" s="22"/>
      <c r="N1138" s="22"/>
      <c r="O1138" s="22"/>
      <c r="P1138" s="22"/>
      <c r="Q1138" s="22"/>
      <c r="R1138" s="22"/>
      <c r="S1138" s="22"/>
      <c r="T1138" s="22"/>
      <c r="U1138" s="24" t="str">
        <f>IFERROR(__xludf.DUMMYFUNCTION("SPLIT(E1138,""01234567890"")"),"Tegwin
")</f>
        <v>Tegwin
</v>
      </c>
      <c r="V1138" s="24" t="str">
        <f>IFERROR(__xludf.DUMMYFUNCTION("SPLIT(D1138,"","")"),"Pulley")</f>
        <v>Pulley</v>
      </c>
      <c r="W1138" s="25" t="str">
        <f t="shared" si="1"/>
        <v>TEGWIN
 PULLEY</v>
      </c>
      <c r="X1138" s="22"/>
      <c r="Y1138" s="22"/>
      <c r="Z1138" s="25" t="str">
        <f>IFERROR(__xludf.DUMMYFUNCTION("SPLIT(C1138,""
"")"),"Pulley, Tegwin")</f>
        <v>Pulley, Tegwin</v>
      </c>
      <c r="AA1138" s="22" t="str">
        <f>IFERROR(__xludf.DUMMYFUNCTION("""COMPUTED_VALUE"""),"11435 Hillcrest Road")</f>
        <v>11435 Hillcrest Road</v>
      </c>
      <c r="AB1138" s="22" t="str">
        <f>IFERROR(__xludf.DUMMYFUNCTION("""COMPUTED_VALUE"""),"Dallas, TX 75230")</f>
        <v>Dallas, TX 75230</v>
      </c>
      <c r="AC1138" s="31" t="s">
        <v>2570</v>
      </c>
      <c r="AD1138" s="22"/>
      <c r="AE1138" s="22"/>
      <c r="AF1138" s="22"/>
      <c r="AG1138" s="22" t="s">
        <v>60</v>
      </c>
      <c r="AH1138" s="54">
        <v>2482.0</v>
      </c>
      <c r="AI1138" s="22" t="s">
        <v>68</v>
      </c>
      <c r="AJ1138" s="27">
        <v>250.0</v>
      </c>
      <c r="AK1138" s="31" t="s">
        <v>31</v>
      </c>
      <c r="AL1138" s="28">
        <v>44909.0</v>
      </c>
      <c r="AM1138" s="29">
        <v>44938.558541666665</v>
      </c>
      <c r="AN1138" s="30">
        <v>2.0</v>
      </c>
      <c r="AO1138" s="22"/>
      <c r="AP1138" s="22"/>
      <c r="AQ1138" s="22"/>
      <c r="AR1138" s="22"/>
      <c r="AS1138" s="22"/>
      <c r="AT1138" s="70"/>
      <c r="AU1138" s="22"/>
      <c r="AV1138" s="57"/>
      <c r="AW1138" s="57"/>
      <c r="AX1138" s="70"/>
      <c r="AY1138" s="29"/>
      <c r="AZ1138" s="30"/>
      <c r="CU1138" s="55"/>
      <c r="CV1138" s="55"/>
      <c r="CW1138" s="55"/>
      <c r="CX1138" s="55"/>
      <c r="CY1138" s="55"/>
      <c r="CZ1138" s="55"/>
      <c r="DA1138" s="82"/>
      <c r="DB1138" s="55"/>
      <c r="DC1138" s="55"/>
      <c r="DD1138" s="55"/>
      <c r="DE1138" s="55"/>
      <c r="DF1138" s="55"/>
      <c r="DG1138" s="55"/>
      <c r="DH1138" s="55"/>
      <c r="DI1138" s="55"/>
      <c r="DJ1138" s="55"/>
      <c r="DK1138" s="55"/>
      <c r="DL1138" s="55"/>
      <c r="DM1138" s="55"/>
      <c r="DN1138" s="55"/>
      <c r="DO1138" s="55"/>
      <c r="DP1138" s="55"/>
      <c r="DQ1138" s="55"/>
      <c r="DR1138" s="55"/>
      <c r="DS1138" s="55"/>
      <c r="DT1138" s="55"/>
      <c r="DU1138" s="55"/>
      <c r="DV1138" s="55"/>
      <c r="DW1138" s="55"/>
    </row>
    <row r="1139">
      <c r="A1139" s="40" t="s">
        <v>55</v>
      </c>
      <c r="B1139" s="41" t="s">
        <v>56</v>
      </c>
      <c r="C1139" s="31" t="s">
        <v>2571</v>
      </c>
      <c r="D1139" s="25" t="str">
        <f>IFERROR(__xludf.DUMMYFUNCTION("SPLIT(C1139,"" "")"),"Sample,")</f>
        <v>Sample,</v>
      </c>
      <c r="E1139" s="40" t="str">
        <f>IFERROR(__xludf.DUMMYFUNCTION("""COMPUTED_VALUE"""),"Susan
11731")</f>
        <v>Susan
11731</v>
      </c>
      <c r="F1139" s="40" t="str">
        <f>IFERROR(__xludf.DUMMYFUNCTION("""COMPUTED_VALUE"""),"Saint")</f>
        <v>Saint</v>
      </c>
      <c r="G1139" s="40" t="str">
        <f>IFERROR(__xludf.DUMMYFUNCTION("""COMPUTED_VALUE"""),"Michaels")</f>
        <v>Michaels</v>
      </c>
      <c r="H1139" s="40" t="str">
        <f>IFERROR(__xludf.DUMMYFUNCTION("""COMPUTED_VALUE"""),"Dr
Dallas,")</f>
        <v>Dr
Dallas,</v>
      </c>
      <c r="I1139" s="40" t="str">
        <f>IFERROR(__xludf.DUMMYFUNCTION("""COMPUTED_VALUE"""),"TX")</f>
        <v>TX</v>
      </c>
      <c r="J1139" s="40">
        <f>IFERROR(__xludf.DUMMYFUNCTION("""COMPUTED_VALUE"""),75230.0)</f>
        <v>75230</v>
      </c>
      <c r="K1139" s="40"/>
      <c r="L1139" s="40"/>
      <c r="M1139" s="40"/>
      <c r="N1139" s="40"/>
      <c r="O1139" s="40"/>
      <c r="P1139" s="40"/>
      <c r="Q1139" s="40"/>
      <c r="R1139" s="40"/>
      <c r="S1139" s="40"/>
      <c r="T1139" s="40"/>
      <c r="U1139" s="24" t="str">
        <f>IFERROR(__xludf.DUMMYFUNCTION("SPLIT(E1139,""01234567890"")"),"Susan
")</f>
        <v>Susan
</v>
      </c>
      <c r="V1139" s="24" t="str">
        <f>IFERROR(__xludf.DUMMYFUNCTION("SPLIT(D1139,"","")"),"Sample")</f>
        <v>Sample</v>
      </c>
      <c r="W1139" s="25" t="str">
        <f t="shared" si="1"/>
        <v>SUSAN
 SAMPLE</v>
      </c>
      <c r="X1139" s="40"/>
      <c r="Y1139" s="40"/>
      <c r="Z1139" s="25" t="str">
        <f>IFERROR(__xludf.DUMMYFUNCTION("SPLIT(C1139,""
"")"),"Sample, Susan")</f>
        <v>Sample, Susan</v>
      </c>
      <c r="AA1139" s="40" t="str">
        <f>IFERROR(__xludf.DUMMYFUNCTION("""COMPUTED_VALUE"""),"11731 Saint Michaels Dr")</f>
        <v>11731 Saint Michaels Dr</v>
      </c>
      <c r="AB1139" s="40" t="str">
        <f>IFERROR(__xludf.DUMMYFUNCTION("""COMPUTED_VALUE"""),"Dallas, TX 75230")</f>
        <v>Dallas, TX 75230</v>
      </c>
      <c r="AC1139" s="31" t="s">
        <v>2572</v>
      </c>
      <c r="AD1139" s="40"/>
      <c r="AE1139" s="40"/>
      <c r="AF1139" s="40"/>
      <c r="AG1139" s="40" t="s">
        <v>60</v>
      </c>
      <c r="AH1139" s="42">
        <v>2482.0</v>
      </c>
      <c r="AI1139" s="40" t="s">
        <v>68</v>
      </c>
      <c r="AJ1139" s="27">
        <v>100.0</v>
      </c>
      <c r="AK1139" s="31" t="s">
        <v>31</v>
      </c>
      <c r="AL1139" s="43">
        <v>44909.0</v>
      </c>
      <c r="AM1139" s="44">
        <v>44938.558541666665</v>
      </c>
      <c r="AN1139" s="30">
        <v>2.0</v>
      </c>
      <c r="AO1139" s="40"/>
      <c r="AP1139" s="40"/>
      <c r="AQ1139" s="40"/>
      <c r="AR1139" s="40"/>
      <c r="AS1139" s="40"/>
      <c r="AT1139" s="47"/>
      <c r="AU1139" s="40"/>
      <c r="AV1139" s="46"/>
      <c r="AW1139" s="46"/>
      <c r="AX1139" s="47"/>
      <c r="AY1139" s="44"/>
      <c r="AZ1139" s="30"/>
      <c r="CU1139" s="55"/>
      <c r="CV1139" s="55"/>
      <c r="CW1139" s="55"/>
      <c r="CX1139" s="55"/>
      <c r="CY1139" s="55"/>
      <c r="CZ1139" s="55"/>
      <c r="DA1139" s="82"/>
      <c r="DB1139" s="55"/>
      <c r="DC1139" s="55"/>
      <c r="DD1139" s="55"/>
      <c r="DE1139" s="55"/>
      <c r="DF1139" s="55"/>
      <c r="DG1139" s="55"/>
      <c r="DH1139" s="55"/>
      <c r="DI1139" s="55"/>
      <c r="DJ1139" s="55"/>
      <c r="DK1139" s="55"/>
      <c r="DL1139" s="55"/>
      <c r="DM1139" s="55"/>
      <c r="DN1139" s="55"/>
      <c r="DO1139" s="55"/>
      <c r="DP1139" s="55"/>
      <c r="DQ1139" s="55"/>
      <c r="DR1139" s="55"/>
      <c r="DS1139" s="55"/>
      <c r="DT1139" s="55"/>
      <c r="DU1139" s="55"/>
      <c r="DV1139" s="55"/>
      <c r="DW1139" s="55"/>
    </row>
    <row r="1140">
      <c r="A1140" s="23" t="s">
        <v>64</v>
      </c>
      <c r="B1140" s="23" t="s">
        <v>56</v>
      </c>
      <c r="C1140" s="31" t="s">
        <v>2573</v>
      </c>
      <c r="D1140" s="25" t="str">
        <f>IFERROR(__xludf.DUMMYFUNCTION("SPLIT(C1140,"" "")"),"Sahuc,")</f>
        <v>Sahuc,</v>
      </c>
      <c r="E1140" s="22" t="str">
        <f>IFERROR(__xludf.DUMMYFUNCTION("""COMPUTED_VALUE"""),"Philip
10828")</f>
        <v>Philip
10828</v>
      </c>
      <c r="F1140" s="22" t="str">
        <f>IFERROR(__xludf.DUMMYFUNCTION("""COMPUTED_VALUE"""),"Pagewood")</f>
        <v>Pagewood</v>
      </c>
      <c r="G1140" s="22" t="str">
        <f>IFERROR(__xludf.DUMMYFUNCTION("""COMPUTED_VALUE"""),"Dr
Dallas,")</f>
        <v>Dr
Dallas,</v>
      </c>
      <c r="H1140" s="22" t="str">
        <f>IFERROR(__xludf.DUMMYFUNCTION("""COMPUTED_VALUE"""),"TX")</f>
        <v>TX</v>
      </c>
      <c r="I1140" s="22">
        <f>IFERROR(__xludf.DUMMYFUNCTION("""COMPUTED_VALUE"""),75230.0)</f>
        <v>75230</v>
      </c>
      <c r="J1140" s="22"/>
      <c r="K1140" s="22"/>
      <c r="L1140" s="22"/>
      <c r="M1140" s="22"/>
      <c r="N1140" s="22"/>
      <c r="O1140" s="22"/>
      <c r="P1140" s="22"/>
      <c r="Q1140" s="22"/>
      <c r="R1140" s="22"/>
      <c r="S1140" s="22"/>
      <c r="T1140" s="22"/>
      <c r="U1140" s="24" t="str">
        <f>IFERROR(__xludf.DUMMYFUNCTION("SPLIT(E1140,""01234567890"")"),"Philip
")</f>
        <v>Philip
</v>
      </c>
      <c r="V1140" s="24" t="str">
        <f>IFERROR(__xludf.DUMMYFUNCTION("SPLIT(D1140,"","")"),"Sahuc")</f>
        <v>Sahuc</v>
      </c>
      <c r="W1140" s="25" t="str">
        <f t="shared" si="1"/>
        <v>PHILIP
 SAHUC</v>
      </c>
      <c r="X1140" s="22"/>
      <c r="Y1140" s="22"/>
      <c r="Z1140" s="25" t="str">
        <f>IFERROR(__xludf.DUMMYFUNCTION("SPLIT(C1140,""
"")"),"Sahuc, Philip")</f>
        <v>Sahuc, Philip</v>
      </c>
      <c r="AA1140" s="22" t="str">
        <f>IFERROR(__xludf.DUMMYFUNCTION("""COMPUTED_VALUE"""),"10828 Pagewood Dr")</f>
        <v>10828 Pagewood Dr</v>
      </c>
      <c r="AB1140" s="22" t="str">
        <f>IFERROR(__xludf.DUMMYFUNCTION("""COMPUTED_VALUE"""),"Dallas, TX 75230")</f>
        <v>Dallas, TX 75230</v>
      </c>
      <c r="AC1140" s="31" t="s">
        <v>2574</v>
      </c>
      <c r="AD1140" s="22"/>
      <c r="AE1140" s="22"/>
      <c r="AF1140" s="22"/>
      <c r="AG1140" s="22" t="s">
        <v>60</v>
      </c>
      <c r="AH1140" s="54">
        <v>2482.0</v>
      </c>
      <c r="AI1140" s="22" t="s">
        <v>68</v>
      </c>
      <c r="AJ1140" s="27">
        <v>100.0</v>
      </c>
      <c r="AK1140" s="31" t="s">
        <v>31</v>
      </c>
      <c r="AL1140" s="28">
        <v>44909.0</v>
      </c>
      <c r="AM1140" s="29">
        <v>44938.558541666665</v>
      </c>
      <c r="AN1140" s="30">
        <v>2.0</v>
      </c>
      <c r="AO1140" s="22"/>
      <c r="AP1140" s="22"/>
      <c r="AQ1140" s="22"/>
      <c r="AR1140" s="22"/>
      <c r="AS1140" s="22"/>
      <c r="AT1140" s="70"/>
      <c r="AU1140" s="22"/>
      <c r="AV1140" s="57"/>
      <c r="AW1140" s="57"/>
      <c r="AX1140" s="70"/>
      <c r="AY1140" s="29"/>
      <c r="AZ1140" s="30"/>
      <c r="CU1140" s="55"/>
      <c r="CV1140" s="55"/>
      <c r="CW1140" s="55"/>
      <c r="CX1140" s="55"/>
      <c r="CY1140" s="55"/>
      <c r="CZ1140" s="55"/>
      <c r="DA1140" s="82"/>
      <c r="DB1140" s="55"/>
      <c r="DC1140" s="55"/>
      <c r="DD1140" s="55"/>
      <c r="DE1140" s="55"/>
      <c r="DF1140" s="55"/>
      <c r="DG1140" s="55"/>
      <c r="DH1140" s="55"/>
      <c r="DI1140" s="55"/>
      <c r="DJ1140" s="55"/>
      <c r="DK1140" s="55"/>
      <c r="DL1140" s="55"/>
      <c r="DM1140" s="55"/>
      <c r="DN1140" s="55"/>
      <c r="DO1140" s="55"/>
      <c r="DP1140" s="55"/>
      <c r="DQ1140" s="55"/>
      <c r="DR1140" s="55"/>
      <c r="DS1140" s="55"/>
      <c r="DT1140" s="55"/>
      <c r="DU1140" s="55"/>
      <c r="DV1140" s="55"/>
      <c r="DW1140" s="55"/>
    </row>
    <row r="1141">
      <c r="A1141" s="40" t="s">
        <v>55</v>
      </c>
      <c r="B1141" s="41" t="s">
        <v>56</v>
      </c>
      <c r="C1141" s="31" t="s">
        <v>2575</v>
      </c>
      <c r="D1141" s="25" t="str">
        <f>IFERROR(__xludf.DUMMYFUNCTION("SPLIT(C1141,"" "")"),"Worden,")</f>
        <v>Worden,</v>
      </c>
      <c r="E1141" s="40" t="str">
        <f>IFERROR(__xludf.DUMMYFUNCTION("""COMPUTED_VALUE"""),"Lawrence
2019")</f>
        <v>Lawrence
2019</v>
      </c>
      <c r="F1141" s="40" t="str">
        <f>IFERROR(__xludf.DUMMYFUNCTION("""COMPUTED_VALUE"""),"Old")</f>
        <v>Old</v>
      </c>
      <c r="G1141" s="40" t="str">
        <f>IFERROR(__xludf.DUMMYFUNCTION("""COMPUTED_VALUE"""),"Orchard")</f>
        <v>Orchard</v>
      </c>
      <c r="H1141" s="40" t="str">
        <f>IFERROR(__xludf.DUMMYFUNCTION("""COMPUTED_VALUE"""),"Dr
Dallas,")</f>
        <v>Dr
Dallas,</v>
      </c>
      <c r="I1141" s="40" t="str">
        <f>IFERROR(__xludf.DUMMYFUNCTION("""COMPUTED_VALUE"""),"TX")</f>
        <v>TX</v>
      </c>
      <c r="J1141" s="40">
        <f>IFERROR(__xludf.DUMMYFUNCTION("""COMPUTED_VALUE"""),75208.0)</f>
        <v>75208</v>
      </c>
      <c r="K1141" s="40"/>
      <c r="L1141" s="40"/>
      <c r="M1141" s="40"/>
      <c r="N1141" s="40"/>
      <c r="O1141" s="40"/>
      <c r="P1141" s="40"/>
      <c r="Q1141" s="40"/>
      <c r="R1141" s="40"/>
      <c r="S1141" s="40"/>
      <c r="T1141" s="40"/>
      <c r="U1141" s="24" t="str">
        <f>IFERROR(__xludf.DUMMYFUNCTION("SPLIT(E1141,""01234567890"")"),"Lawrence
")</f>
        <v>Lawrence
</v>
      </c>
      <c r="V1141" s="24" t="str">
        <f>IFERROR(__xludf.DUMMYFUNCTION("SPLIT(D1141,"","")"),"Worden")</f>
        <v>Worden</v>
      </c>
      <c r="W1141" s="25" t="str">
        <f t="shared" si="1"/>
        <v>LAWRENCE
 WORDEN</v>
      </c>
      <c r="X1141" s="40"/>
      <c r="Y1141" s="40"/>
      <c r="Z1141" s="25" t="str">
        <f>IFERROR(__xludf.DUMMYFUNCTION("SPLIT(C1141,""
"")"),"Worden, Lawrence")</f>
        <v>Worden, Lawrence</v>
      </c>
      <c r="AA1141" s="40" t="str">
        <f>IFERROR(__xludf.DUMMYFUNCTION("""COMPUTED_VALUE"""),"2019 Old Orchard Dr")</f>
        <v>2019 Old Orchard Dr</v>
      </c>
      <c r="AB1141" s="40" t="str">
        <f>IFERROR(__xludf.DUMMYFUNCTION("""COMPUTED_VALUE"""),"Dallas, TX 75208")</f>
        <v>Dallas, TX 75208</v>
      </c>
      <c r="AC1141" s="31" t="s">
        <v>2576</v>
      </c>
      <c r="AD1141" s="40"/>
      <c r="AE1141" s="40"/>
      <c r="AF1141" s="40"/>
      <c r="AG1141" s="40" t="s">
        <v>60</v>
      </c>
      <c r="AH1141" s="42">
        <v>2482.0</v>
      </c>
      <c r="AI1141" s="40" t="s">
        <v>68</v>
      </c>
      <c r="AJ1141" s="27">
        <v>100.0</v>
      </c>
      <c r="AK1141" s="31" t="s">
        <v>31</v>
      </c>
      <c r="AL1141" s="43">
        <v>44909.0</v>
      </c>
      <c r="AM1141" s="44">
        <v>44938.558541666665</v>
      </c>
      <c r="AN1141" s="30">
        <v>2.0</v>
      </c>
      <c r="AO1141" s="40"/>
      <c r="AP1141" s="40"/>
      <c r="AQ1141" s="40"/>
      <c r="AR1141" s="40"/>
      <c r="AS1141" s="40"/>
      <c r="AT1141" s="47"/>
      <c r="AU1141" s="40"/>
      <c r="AV1141" s="46"/>
      <c r="AW1141" s="46"/>
      <c r="AX1141" s="47"/>
      <c r="AY1141" s="44"/>
      <c r="AZ1141" s="30"/>
      <c r="CU1141" s="55"/>
      <c r="CV1141" s="55"/>
      <c r="CW1141" s="55"/>
      <c r="CX1141" s="55"/>
      <c r="CY1141" s="55"/>
      <c r="CZ1141" s="55"/>
      <c r="DA1141" s="82"/>
      <c r="DB1141" s="55"/>
      <c r="DC1141" s="55"/>
      <c r="DD1141" s="55"/>
      <c r="DE1141" s="55"/>
      <c r="DF1141" s="55"/>
      <c r="DG1141" s="55"/>
      <c r="DH1141" s="55"/>
      <c r="DI1141" s="55"/>
      <c r="DJ1141" s="55"/>
      <c r="DK1141" s="55"/>
      <c r="DL1141" s="55"/>
      <c r="DM1141" s="55"/>
      <c r="DN1141" s="55"/>
      <c r="DO1141" s="55"/>
      <c r="DP1141" s="55"/>
      <c r="DQ1141" s="55"/>
      <c r="DR1141" s="55"/>
      <c r="DS1141" s="55"/>
      <c r="DT1141" s="55"/>
      <c r="DU1141" s="55"/>
      <c r="DV1141" s="55"/>
      <c r="DW1141" s="55"/>
    </row>
    <row r="1142">
      <c r="A1142" s="23" t="s">
        <v>64</v>
      </c>
      <c r="B1142" s="23" t="s">
        <v>56</v>
      </c>
      <c r="C1142" s="31" t="s">
        <v>2577</v>
      </c>
      <c r="D1142" s="25" t="str">
        <f>IFERROR(__xludf.DUMMYFUNCTION("SPLIT(C1142,"" "")"),"Redifer,")</f>
        <v>Redifer,</v>
      </c>
      <c r="E1142" s="22" t="str">
        <f>IFERROR(__xludf.DUMMYFUNCTION("""COMPUTED_VALUE"""),"Patricia
14105")</f>
        <v>Patricia
14105</v>
      </c>
      <c r="F1142" s="22" t="str">
        <f>IFERROR(__xludf.DUMMYFUNCTION("""COMPUTED_VALUE"""),"Regency")</f>
        <v>Regency</v>
      </c>
      <c r="G1142" s="22" t="str">
        <f>IFERROR(__xludf.DUMMYFUNCTION("""COMPUTED_VALUE"""),"Place
Dallas,")</f>
        <v>Place
Dallas,</v>
      </c>
      <c r="H1142" s="22" t="str">
        <f>IFERROR(__xludf.DUMMYFUNCTION("""COMPUTED_VALUE"""),"TX")</f>
        <v>TX</v>
      </c>
      <c r="I1142" s="22">
        <f>IFERROR(__xludf.DUMMYFUNCTION("""COMPUTED_VALUE"""),75254.0)</f>
        <v>75254</v>
      </c>
      <c r="J1142" s="22"/>
      <c r="K1142" s="22"/>
      <c r="L1142" s="22"/>
      <c r="M1142" s="22"/>
      <c r="N1142" s="22"/>
      <c r="O1142" s="22"/>
      <c r="P1142" s="22"/>
      <c r="Q1142" s="22"/>
      <c r="R1142" s="22"/>
      <c r="S1142" s="22"/>
      <c r="T1142" s="22"/>
      <c r="U1142" s="24" t="str">
        <f>IFERROR(__xludf.DUMMYFUNCTION("SPLIT(E1142,""01234567890"")"),"Patricia
")</f>
        <v>Patricia
</v>
      </c>
      <c r="V1142" s="24" t="str">
        <f>IFERROR(__xludf.DUMMYFUNCTION("SPLIT(D1142,"","")"),"Redifer")</f>
        <v>Redifer</v>
      </c>
      <c r="W1142" s="25" t="str">
        <f t="shared" si="1"/>
        <v>PATRICIA
 REDIFER</v>
      </c>
      <c r="X1142" s="22"/>
      <c r="Y1142" s="22"/>
      <c r="Z1142" s="25" t="str">
        <f>IFERROR(__xludf.DUMMYFUNCTION("SPLIT(C1142,""
"")"),"Redifer, Patricia")</f>
        <v>Redifer, Patricia</v>
      </c>
      <c r="AA1142" s="22" t="str">
        <f>IFERROR(__xludf.DUMMYFUNCTION("""COMPUTED_VALUE"""),"14105 Regency Place")</f>
        <v>14105 Regency Place</v>
      </c>
      <c r="AB1142" s="22" t="str">
        <f>IFERROR(__xludf.DUMMYFUNCTION("""COMPUTED_VALUE"""),"Dallas, TX 75254")</f>
        <v>Dallas, TX 75254</v>
      </c>
      <c r="AC1142" s="31" t="s">
        <v>2578</v>
      </c>
      <c r="AD1142" s="22"/>
      <c r="AE1142" s="22"/>
      <c r="AF1142" s="22"/>
      <c r="AG1142" s="22" t="s">
        <v>60</v>
      </c>
      <c r="AH1142" s="54">
        <v>2482.0</v>
      </c>
      <c r="AI1142" s="22" t="s">
        <v>68</v>
      </c>
      <c r="AJ1142" s="27">
        <v>50.0</v>
      </c>
      <c r="AK1142" s="31" t="s">
        <v>31</v>
      </c>
      <c r="AL1142" s="28">
        <v>44909.0</v>
      </c>
      <c r="AM1142" s="29">
        <v>44938.558541666665</v>
      </c>
      <c r="AN1142" s="30">
        <v>2.0</v>
      </c>
      <c r="AO1142" s="22"/>
      <c r="AP1142" s="22"/>
      <c r="AQ1142" s="22"/>
      <c r="AR1142" s="22"/>
      <c r="AS1142" s="22"/>
      <c r="AT1142" s="70"/>
      <c r="AU1142" s="22"/>
      <c r="AV1142" s="57"/>
      <c r="AW1142" s="57"/>
      <c r="AX1142" s="70"/>
      <c r="AY1142" s="29"/>
      <c r="AZ1142" s="30"/>
      <c r="CU1142" s="55"/>
      <c r="CV1142" s="55"/>
      <c r="CW1142" s="55"/>
      <c r="CX1142" s="55"/>
      <c r="CY1142" s="55"/>
      <c r="CZ1142" s="55"/>
      <c r="DA1142" s="82"/>
      <c r="DB1142" s="55"/>
      <c r="DC1142" s="55"/>
      <c r="DD1142" s="55"/>
      <c r="DE1142" s="55"/>
      <c r="DF1142" s="55"/>
      <c r="DG1142" s="55"/>
      <c r="DH1142" s="55"/>
      <c r="DI1142" s="55"/>
      <c r="DJ1142" s="55"/>
      <c r="DK1142" s="55"/>
      <c r="DL1142" s="55"/>
      <c r="DM1142" s="55"/>
      <c r="DN1142" s="55"/>
      <c r="DO1142" s="55"/>
      <c r="DP1142" s="55"/>
      <c r="DQ1142" s="55"/>
      <c r="DR1142" s="55"/>
      <c r="DS1142" s="55"/>
      <c r="DT1142" s="55"/>
      <c r="DU1142" s="55"/>
      <c r="DV1142" s="55"/>
      <c r="DW1142" s="55"/>
    </row>
    <row r="1143">
      <c r="A1143" s="40" t="s">
        <v>55</v>
      </c>
      <c r="B1143" s="41" t="s">
        <v>56</v>
      </c>
      <c r="C1143" s="31" t="s">
        <v>2579</v>
      </c>
      <c r="D1143" s="25" t="str">
        <f>IFERROR(__xludf.DUMMYFUNCTION("SPLIT(C1143,"" "")"),"Magadini,")</f>
        <v>Magadini,</v>
      </c>
      <c r="E1143" s="40" t="str">
        <f>IFERROR(__xludf.DUMMYFUNCTION("""COMPUTED_VALUE"""),"Tricy
11417")</f>
        <v>Tricy
11417</v>
      </c>
      <c r="F1143" s="40" t="str">
        <f>IFERROR(__xludf.DUMMYFUNCTION("""COMPUTED_VALUE"""),"Saint")</f>
        <v>Saint</v>
      </c>
      <c r="G1143" s="40" t="str">
        <f>IFERROR(__xludf.DUMMYFUNCTION("""COMPUTED_VALUE"""),"Michaels")</f>
        <v>Michaels</v>
      </c>
      <c r="H1143" s="40" t="str">
        <f>IFERROR(__xludf.DUMMYFUNCTION("""COMPUTED_VALUE"""),"Drive
Dallas,")</f>
        <v>Drive
Dallas,</v>
      </c>
      <c r="I1143" s="40" t="str">
        <f>IFERROR(__xludf.DUMMYFUNCTION("""COMPUTED_VALUE"""),"TX")</f>
        <v>TX</v>
      </c>
      <c r="J1143" s="40">
        <f>IFERROR(__xludf.DUMMYFUNCTION("""COMPUTED_VALUE"""),75230.0)</f>
        <v>75230</v>
      </c>
      <c r="K1143" s="40"/>
      <c r="L1143" s="40"/>
      <c r="M1143" s="40"/>
      <c r="N1143" s="40"/>
      <c r="O1143" s="40"/>
      <c r="P1143" s="40"/>
      <c r="Q1143" s="40"/>
      <c r="R1143" s="40"/>
      <c r="S1143" s="40"/>
      <c r="T1143" s="40"/>
      <c r="U1143" s="24" t="str">
        <f>IFERROR(__xludf.DUMMYFUNCTION("SPLIT(E1143,""01234567890"")"),"Tricy
")</f>
        <v>Tricy
</v>
      </c>
      <c r="V1143" s="24" t="str">
        <f>IFERROR(__xludf.DUMMYFUNCTION("SPLIT(D1143,"","")"),"Magadini")</f>
        <v>Magadini</v>
      </c>
      <c r="W1143" s="25" t="str">
        <f t="shared" si="1"/>
        <v>TRICY
 MAGADINI</v>
      </c>
      <c r="X1143" s="40"/>
      <c r="Y1143" s="40"/>
      <c r="Z1143" s="25" t="str">
        <f>IFERROR(__xludf.DUMMYFUNCTION("SPLIT(C1143,""
"")"),"Magadini, Tricy")</f>
        <v>Magadini, Tricy</v>
      </c>
      <c r="AA1143" s="40" t="str">
        <f>IFERROR(__xludf.DUMMYFUNCTION("""COMPUTED_VALUE"""),"11417 Saint Michaels Drive")</f>
        <v>11417 Saint Michaels Drive</v>
      </c>
      <c r="AB1143" s="40" t="str">
        <f>IFERROR(__xludf.DUMMYFUNCTION("""COMPUTED_VALUE"""),"Dallas, TX 75230")</f>
        <v>Dallas, TX 75230</v>
      </c>
      <c r="AC1143" s="31" t="s">
        <v>2580</v>
      </c>
      <c r="AD1143" s="40"/>
      <c r="AE1143" s="40"/>
      <c r="AF1143" s="40"/>
      <c r="AG1143" s="40" t="s">
        <v>60</v>
      </c>
      <c r="AH1143" s="42">
        <v>2482.0</v>
      </c>
      <c r="AI1143" s="40" t="s">
        <v>68</v>
      </c>
      <c r="AJ1143" s="27">
        <v>100.0</v>
      </c>
      <c r="AK1143" s="31" t="s">
        <v>31</v>
      </c>
      <c r="AL1143" s="43">
        <v>44909.0</v>
      </c>
      <c r="AM1143" s="44">
        <v>44938.558541666665</v>
      </c>
      <c r="AN1143" s="30">
        <v>2.0</v>
      </c>
      <c r="AO1143" s="40"/>
      <c r="AP1143" s="40"/>
      <c r="AQ1143" s="40"/>
      <c r="AR1143" s="40"/>
      <c r="AS1143" s="40"/>
      <c r="AT1143" s="47"/>
      <c r="AU1143" s="40"/>
      <c r="AV1143" s="46"/>
      <c r="AW1143" s="46"/>
      <c r="AX1143" s="47"/>
      <c r="AY1143" s="44"/>
      <c r="AZ1143" s="30"/>
      <c r="CU1143" s="55"/>
      <c r="CV1143" s="55"/>
      <c r="CW1143" s="55"/>
      <c r="CX1143" s="55"/>
      <c r="CY1143" s="55"/>
      <c r="CZ1143" s="55"/>
      <c r="DA1143" s="82"/>
      <c r="DB1143" s="55"/>
      <c r="DC1143" s="55"/>
      <c r="DD1143" s="55"/>
      <c r="DE1143" s="55"/>
      <c r="DF1143" s="55"/>
      <c r="DG1143" s="55"/>
      <c r="DH1143" s="55"/>
      <c r="DI1143" s="55"/>
      <c r="DJ1143" s="55"/>
      <c r="DK1143" s="55"/>
      <c r="DL1143" s="55"/>
      <c r="DM1143" s="55"/>
      <c r="DN1143" s="55"/>
      <c r="DO1143" s="55"/>
      <c r="DP1143" s="55"/>
      <c r="DQ1143" s="55"/>
      <c r="DR1143" s="55"/>
      <c r="DS1143" s="55"/>
      <c r="DT1143" s="55"/>
      <c r="DU1143" s="55"/>
      <c r="DV1143" s="55"/>
      <c r="DW1143" s="55"/>
    </row>
    <row r="1144">
      <c r="A1144" s="23" t="s">
        <v>64</v>
      </c>
      <c r="B1144" s="23" t="s">
        <v>56</v>
      </c>
      <c r="C1144" s="31" t="s">
        <v>2581</v>
      </c>
      <c r="D1144" s="25" t="str">
        <f>IFERROR(__xludf.DUMMYFUNCTION("SPLIT(C1144,"" "")"),"Cohen,")</f>
        <v>Cohen,</v>
      </c>
      <c r="E1144" s="22" t="str">
        <f>IFERROR(__xludf.DUMMYFUNCTION("""COMPUTED_VALUE"""),"Arbe
13105")</f>
        <v>Arbe
13105</v>
      </c>
      <c r="F1144" s="22" t="str">
        <f>IFERROR(__xludf.DUMMYFUNCTION("""COMPUTED_VALUE"""),"Roaring")</f>
        <v>Roaring</v>
      </c>
      <c r="G1144" s="22" t="str">
        <f>IFERROR(__xludf.DUMMYFUNCTION("""COMPUTED_VALUE"""),"Springs")</f>
        <v>Springs</v>
      </c>
      <c r="H1144" s="22" t="str">
        <f>IFERROR(__xludf.DUMMYFUNCTION("""COMPUTED_VALUE"""),"Lane
Dallas,")</f>
        <v>Lane
Dallas,</v>
      </c>
      <c r="I1144" s="22" t="str">
        <f>IFERROR(__xludf.DUMMYFUNCTION("""COMPUTED_VALUE"""),"TX")</f>
        <v>TX</v>
      </c>
      <c r="J1144" s="22">
        <f>IFERROR(__xludf.DUMMYFUNCTION("""COMPUTED_VALUE"""),75240.0)</f>
        <v>75240</v>
      </c>
      <c r="K1144" s="22"/>
      <c r="L1144" s="22"/>
      <c r="M1144" s="22"/>
      <c r="N1144" s="22"/>
      <c r="O1144" s="22"/>
      <c r="P1144" s="22"/>
      <c r="Q1144" s="22"/>
      <c r="R1144" s="22"/>
      <c r="S1144" s="22"/>
      <c r="T1144" s="22"/>
      <c r="U1144" s="24" t="str">
        <f>IFERROR(__xludf.DUMMYFUNCTION("SPLIT(E1144,""01234567890"")"),"Arbe
")</f>
        <v>Arbe
</v>
      </c>
      <c r="V1144" s="24" t="str">
        <f>IFERROR(__xludf.DUMMYFUNCTION("SPLIT(D1144,"","")"),"Cohen")</f>
        <v>Cohen</v>
      </c>
      <c r="W1144" s="25" t="str">
        <f t="shared" si="1"/>
        <v>ARBE
 COHEN</v>
      </c>
      <c r="X1144" s="22"/>
      <c r="Y1144" s="22"/>
      <c r="Z1144" s="25" t="str">
        <f>IFERROR(__xludf.DUMMYFUNCTION("SPLIT(C1144,""
"")"),"Cohen, Arbe")</f>
        <v>Cohen, Arbe</v>
      </c>
      <c r="AA1144" s="22" t="str">
        <f>IFERROR(__xludf.DUMMYFUNCTION("""COMPUTED_VALUE"""),"13105 Roaring Springs Lane")</f>
        <v>13105 Roaring Springs Lane</v>
      </c>
      <c r="AB1144" s="22" t="str">
        <f>IFERROR(__xludf.DUMMYFUNCTION("""COMPUTED_VALUE"""),"Dallas, TX 75240")</f>
        <v>Dallas, TX 75240</v>
      </c>
      <c r="AC1144" s="31" t="s">
        <v>2582</v>
      </c>
      <c r="AD1144" s="22"/>
      <c r="AE1144" s="22"/>
      <c r="AF1144" s="22"/>
      <c r="AG1144" s="22" t="s">
        <v>60</v>
      </c>
      <c r="AH1144" s="54">
        <v>2482.0</v>
      </c>
      <c r="AI1144" s="22" t="s">
        <v>68</v>
      </c>
      <c r="AJ1144" s="27">
        <v>100.0</v>
      </c>
      <c r="AK1144" s="31" t="s">
        <v>31</v>
      </c>
      <c r="AL1144" s="28">
        <v>44894.0</v>
      </c>
      <c r="AM1144" s="29">
        <v>44938.558541666665</v>
      </c>
      <c r="AN1144" s="30">
        <v>2.0</v>
      </c>
      <c r="AO1144" s="22"/>
      <c r="AP1144" s="22"/>
      <c r="AQ1144" s="22"/>
      <c r="AR1144" s="22"/>
      <c r="AS1144" s="22"/>
      <c r="AT1144" s="70"/>
      <c r="AU1144" s="22"/>
      <c r="AV1144" s="57"/>
      <c r="AW1144" s="57"/>
      <c r="AX1144" s="70"/>
      <c r="AY1144" s="29"/>
      <c r="AZ1144" s="30"/>
      <c r="CU1144" s="55"/>
      <c r="CV1144" s="55"/>
      <c r="CW1144" s="55"/>
      <c r="CX1144" s="55"/>
      <c r="CY1144" s="55"/>
      <c r="CZ1144" s="55"/>
      <c r="DA1144" s="82"/>
      <c r="DB1144" s="55"/>
      <c r="DC1144" s="55"/>
      <c r="DD1144" s="55"/>
      <c r="DE1144" s="55"/>
      <c r="DF1144" s="55"/>
      <c r="DG1144" s="55"/>
      <c r="DH1144" s="55"/>
      <c r="DI1144" s="55"/>
      <c r="DJ1144" s="55"/>
      <c r="DK1144" s="55"/>
      <c r="DL1144" s="55"/>
      <c r="DM1144" s="55"/>
      <c r="DN1144" s="55"/>
      <c r="DO1144" s="55"/>
      <c r="DP1144" s="55"/>
      <c r="DQ1144" s="55"/>
      <c r="DR1144" s="55"/>
      <c r="DS1144" s="55"/>
      <c r="DT1144" s="55"/>
      <c r="DU1144" s="55"/>
      <c r="DV1144" s="55"/>
      <c r="DW1144" s="55"/>
    </row>
    <row r="1145">
      <c r="A1145" s="40" t="s">
        <v>55</v>
      </c>
      <c r="B1145" s="41" t="s">
        <v>56</v>
      </c>
      <c r="C1145" s="31" t="s">
        <v>2583</v>
      </c>
      <c r="D1145" s="25" t="str">
        <f>IFERROR(__xludf.DUMMYFUNCTION("SPLIT(C1145,"" "")"),"Johnson,")</f>
        <v>Johnson,</v>
      </c>
      <c r="E1145" s="40" t="str">
        <f>IFERROR(__xludf.DUMMYFUNCTION("""COMPUTED_VALUE"""),"Willis
1001")</f>
        <v>Willis
1001</v>
      </c>
      <c r="F1145" s="40" t="str">
        <f>IFERROR(__xludf.DUMMYFUNCTION("""COMPUTED_VALUE"""),"Belleview
Dallas,")</f>
        <v>Belleview
Dallas,</v>
      </c>
      <c r="G1145" s="40" t="str">
        <f>IFERROR(__xludf.DUMMYFUNCTION("""COMPUTED_VALUE"""),"TX")</f>
        <v>TX</v>
      </c>
      <c r="H1145" s="40">
        <f>IFERROR(__xludf.DUMMYFUNCTION("""COMPUTED_VALUE"""),75215.0)</f>
        <v>75215</v>
      </c>
      <c r="I1145" s="40"/>
      <c r="J1145" s="40"/>
      <c r="K1145" s="40"/>
      <c r="L1145" s="40"/>
      <c r="M1145" s="40"/>
      <c r="N1145" s="40"/>
      <c r="O1145" s="40"/>
      <c r="P1145" s="40"/>
      <c r="Q1145" s="40"/>
      <c r="R1145" s="40"/>
      <c r="S1145" s="40"/>
      <c r="T1145" s="40"/>
      <c r="U1145" s="24" t="str">
        <f>IFERROR(__xludf.DUMMYFUNCTION("SPLIT(E1145,""01234567890"")"),"Willis
")</f>
        <v>Willis
</v>
      </c>
      <c r="V1145" s="24" t="str">
        <f>IFERROR(__xludf.DUMMYFUNCTION("SPLIT(D1145,"","")"),"Johnson")</f>
        <v>Johnson</v>
      </c>
      <c r="W1145" s="25" t="str">
        <f t="shared" si="1"/>
        <v>WILLIS
 JOHNSON</v>
      </c>
      <c r="X1145" s="40"/>
      <c r="Y1145" s="40"/>
      <c r="Z1145" s="25" t="str">
        <f>IFERROR(__xludf.DUMMYFUNCTION("SPLIT(C1145,""
"")"),"Johnson, Willis")</f>
        <v>Johnson, Willis</v>
      </c>
      <c r="AA1145" s="40" t="str">
        <f>IFERROR(__xludf.DUMMYFUNCTION("""COMPUTED_VALUE"""),"1001 Belleview")</f>
        <v>1001 Belleview</v>
      </c>
      <c r="AB1145" s="40" t="str">
        <f>IFERROR(__xludf.DUMMYFUNCTION("""COMPUTED_VALUE"""),"Dallas, TX 75215")</f>
        <v>Dallas, TX 75215</v>
      </c>
      <c r="AC1145" s="31" t="s">
        <v>1476</v>
      </c>
      <c r="AD1145" s="40"/>
      <c r="AE1145" s="40"/>
      <c r="AF1145" s="40"/>
      <c r="AG1145" s="40" t="s">
        <v>60</v>
      </c>
      <c r="AH1145" s="42">
        <v>2482.0</v>
      </c>
      <c r="AI1145" s="40" t="s">
        <v>68</v>
      </c>
      <c r="AJ1145" s="27">
        <v>500.0</v>
      </c>
      <c r="AK1145" s="31" t="s">
        <v>31</v>
      </c>
      <c r="AL1145" s="43">
        <v>44887.0</v>
      </c>
      <c r="AM1145" s="44">
        <v>44938.558541666665</v>
      </c>
      <c r="AN1145" s="30">
        <v>2.0</v>
      </c>
      <c r="AO1145" s="40"/>
      <c r="AP1145" s="40"/>
      <c r="AQ1145" s="40"/>
      <c r="AR1145" s="40"/>
      <c r="AS1145" s="40"/>
      <c r="AT1145" s="47"/>
      <c r="AU1145" s="40"/>
      <c r="AV1145" s="46"/>
      <c r="AW1145" s="46"/>
      <c r="AX1145" s="47"/>
      <c r="AY1145" s="44"/>
      <c r="AZ1145" s="30"/>
      <c r="CU1145" s="55"/>
      <c r="CV1145" s="55"/>
      <c r="CW1145" s="55"/>
      <c r="CX1145" s="55"/>
      <c r="CY1145" s="55"/>
      <c r="CZ1145" s="55"/>
      <c r="DA1145" s="82"/>
      <c r="DB1145" s="55"/>
      <c r="DC1145" s="55"/>
      <c r="DD1145" s="55"/>
      <c r="DE1145" s="55"/>
      <c r="DF1145" s="55"/>
      <c r="DG1145" s="55"/>
      <c r="DH1145" s="55"/>
      <c r="DI1145" s="55"/>
      <c r="DJ1145" s="55"/>
      <c r="DK1145" s="55"/>
      <c r="DL1145" s="55"/>
      <c r="DM1145" s="55"/>
      <c r="DN1145" s="55"/>
      <c r="DO1145" s="55"/>
      <c r="DP1145" s="55"/>
      <c r="DQ1145" s="55"/>
      <c r="DR1145" s="55"/>
      <c r="DS1145" s="55"/>
      <c r="DT1145" s="55"/>
      <c r="DU1145" s="55"/>
      <c r="DV1145" s="55"/>
      <c r="DW1145" s="55"/>
    </row>
    <row r="1146">
      <c r="A1146" s="23" t="s">
        <v>64</v>
      </c>
      <c r="B1146" s="23" t="s">
        <v>56</v>
      </c>
      <c r="C1146" s="31" t="s">
        <v>2584</v>
      </c>
      <c r="D1146" s="25" t="str">
        <f>IFERROR(__xludf.DUMMYFUNCTION("SPLIT(C1146,"" "")"),"Kofoed,")</f>
        <v>Kofoed,</v>
      </c>
      <c r="E1146" s="22" t="str">
        <f>IFERROR(__xludf.DUMMYFUNCTION("""COMPUTED_VALUE"""),"Peter
7122")</f>
        <v>Peter
7122</v>
      </c>
      <c r="F1146" s="22" t="str">
        <f>IFERROR(__xludf.DUMMYFUNCTION("""COMPUTED_VALUE"""),"Brookshire")</f>
        <v>Brookshire</v>
      </c>
      <c r="G1146" s="22" t="str">
        <f>IFERROR(__xludf.DUMMYFUNCTION("""COMPUTED_VALUE"""),"Circle
Dallas,")</f>
        <v>Circle
Dallas,</v>
      </c>
      <c r="H1146" s="22" t="str">
        <f>IFERROR(__xludf.DUMMYFUNCTION("""COMPUTED_VALUE"""),"TX")</f>
        <v>TX</v>
      </c>
      <c r="I1146" s="22">
        <f>IFERROR(__xludf.DUMMYFUNCTION("""COMPUTED_VALUE"""),75230.0)</f>
        <v>75230</v>
      </c>
      <c r="J1146" s="22"/>
      <c r="K1146" s="22"/>
      <c r="L1146" s="22"/>
      <c r="M1146" s="22"/>
      <c r="N1146" s="22"/>
      <c r="O1146" s="22"/>
      <c r="P1146" s="22"/>
      <c r="Q1146" s="22"/>
      <c r="R1146" s="22"/>
      <c r="S1146" s="22"/>
      <c r="T1146" s="22"/>
      <c r="U1146" s="24" t="str">
        <f>IFERROR(__xludf.DUMMYFUNCTION("SPLIT(E1146,""01234567890"")"),"Peter
")</f>
        <v>Peter
</v>
      </c>
      <c r="V1146" s="24" t="str">
        <f>IFERROR(__xludf.DUMMYFUNCTION("SPLIT(D1146,"","")"),"Kofoed")</f>
        <v>Kofoed</v>
      </c>
      <c r="W1146" s="25" t="str">
        <f t="shared" si="1"/>
        <v>PETER
 KOFOED</v>
      </c>
      <c r="X1146" s="22"/>
      <c r="Y1146" s="22"/>
      <c r="Z1146" s="25" t="str">
        <f>IFERROR(__xludf.DUMMYFUNCTION("SPLIT(C1146,""
"")"),"Kofoed, Peter")</f>
        <v>Kofoed, Peter</v>
      </c>
      <c r="AA1146" s="22" t="str">
        <f>IFERROR(__xludf.DUMMYFUNCTION("""COMPUTED_VALUE"""),"7122 Brookshire Circle")</f>
        <v>7122 Brookshire Circle</v>
      </c>
      <c r="AB1146" s="22" t="str">
        <f>IFERROR(__xludf.DUMMYFUNCTION("""COMPUTED_VALUE"""),"Dallas, TX 75230")</f>
        <v>Dallas, TX 75230</v>
      </c>
      <c r="AC1146" s="31" t="s">
        <v>2585</v>
      </c>
      <c r="AD1146" s="22"/>
      <c r="AE1146" s="22"/>
      <c r="AF1146" s="22"/>
      <c r="AG1146" s="22" t="s">
        <v>60</v>
      </c>
      <c r="AH1146" s="54">
        <v>2482.0</v>
      </c>
      <c r="AI1146" s="22" t="s">
        <v>68</v>
      </c>
      <c r="AJ1146" s="27">
        <v>350.0</v>
      </c>
      <c r="AK1146" s="31" t="s">
        <v>31</v>
      </c>
      <c r="AL1146" s="28">
        <v>44870.0</v>
      </c>
      <c r="AM1146" s="29">
        <v>44938.558541666665</v>
      </c>
      <c r="AN1146" s="30">
        <v>2.0</v>
      </c>
      <c r="AO1146" s="22"/>
      <c r="AP1146" s="22"/>
      <c r="AQ1146" s="22"/>
      <c r="AR1146" s="22"/>
      <c r="AS1146" s="22"/>
      <c r="AT1146" s="70"/>
      <c r="AU1146" s="22"/>
      <c r="AV1146" s="57"/>
      <c r="AW1146" s="57"/>
      <c r="AX1146" s="70"/>
      <c r="AY1146" s="29"/>
      <c r="AZ1146" s="30"/>
      <c r="CU1146" s="55"/>
      <c r="CV1146" s="55"/>
      <c r="CW1146" s="55"/>
      <c r="CX1146" s="55"/>
      <c r="CY1146" s="55"/>
      <c r="CZ1146" s="55"/>
      <c r="DA1146" s="82"/>
      <c r="DB1146" s="55"/>
      <c r="DC1146" s="55"/>
      <c r="DD1146" s="55"/>
      <c r="DE1146" s="55"/>
      <c r="DF1146" s="55"/>
      <c r="DG1146" s="55"/>
      <c r="DH1146" s="55"/>
      <c r="DI1146" s="55"/>
      <c r="DJ1146" s="55"/>
      <c r="DK1146" s="55"/>
      <c r="DL1146" s="55"/>
      <c r="DM1146" s="55"/>
      <c r="DN1146" s="55"/>
      <c r="DO1146" s="55"/>
      <c r="DP1146" s="55"/>
      <c r="DQ1146" s="55"/>
      <c r="DR1146" s="55"/>
      <c r="DS1146" s="55"/>
      <c r="DT1146" s="55"/>
      <c r="DU1146" s="55"/>
      <c r="DV1146" s="55"/>
      <c r="DW1146" s="55"/>
    </row>
    <row r="1147">
      <c r="A1147" s="40" t="s">
        <v>55</v>
      </c>
      <c r="B1147" s="41" t="s">
        <v>56</v>
      </c>
      <c r="C1147" s="31" t="s">
        <v>2586</v>
      </c>
      <c r="D1147" s="25" t="str">
        <f>IFERROR(__xludf.DUMMYFUNCTION("SPLIT(C1147,"" "")"),"Zale,")</f>
        <v>Zale,</v>
      </c>
      <c r="E1147" s="40" t="str">
        <f>IFERROR(__xludf.DUMMYFUNCTION("""COMPUTED_VALUE"""),"Donald
26")</f>
        <v>Donald
26</v>
      </c>
      <c r="F1147" s="40" t="str">
        <f>IFERROR(__xludf.DUMMYFUNCTION("""COMPUTED_VALUE"""),"Stonecourt")</f>
        <v>Stonecourt</v>
      </c>
      <c r="G1147" s="40" t="str">
        <f>IFERROR(__xludf.DUMMYFUNCTION("""COMPUTED_VALUE"""),"Drive
Dallas,")</f>
        <v>Drive
Dallas,</v>
      </c>
      <c r="H1147" s="40" t="str">
        <f>IFERROR(__xludf.DUMMYFUNCTION("""COMPUTED_VALUE"""),"TX")</f>
        <v>TX</v>
      </c>
      <c r="I1147" s="40">
        <f>IFERROR(__xludf.DUMMYFUNCTION("""COMPUTED_VALUE"""),75225.0)</f>
        <v>75225</v>
      </c>
      <c r="J1147" s="40"/>
      <c r="K1147" s="40"/>
      <c r="L1147" s="40"/>
      <c r="M1147" s="40"/>
      <c r="N1147" s="40"/>
      <c r="O1147" s="40"/>
      <c r="P1147" s="40"/>
      <c r="Q1147" s="40"/>
      <c r="R1147" s="40"/>
      <c r="S1147" s="40"/>
      <c r="T1147" s="40"/>
      <c r="U1147" s="24" t="str">
        <f>IFERROR(__xludf.DUMMYFUNCTION("SPLIT(E1147,""01234567890"")"),"Donald
")</f>
        <v>Donald
</v>
      </c>
      <c r="V1147" s="24" t="str">
        <f>IFERROR(__xludf.DUMMYFUNCTION("SPLIT(D1147,"","")"),"Zale")</f>
        <v>Zale</v>
      </c>
      <c r="W1147" s="25" t="str">
        <f t="shared" si="1"/>
        <v>DONALD
 ZALE</v>
      </c>
      <c r="X1147" s="40"/>
      <c r="Y1147" s="40"/>
      <c r="Z1147" s="25" t="str">
        <f>IFERROR(__xludf.DUMMYFUNCTION("SPLIT(C1147,""
"")"),"Zale, Donald")</f>
        <v>Zale, Donald</v>
      </c>
      <c r="AA1147" s="40" t="str">
        <f>IFERROR(__xludf.DUMMYFUNCTION("""COMPUTED_VALUE"""),"26 Stonecourt Drive")</f>
        <v>26 Stonecourt Drive</v>
      </c>
      <c r="AB1147" s="40" t="str">
        <f>IFERROR(__xludf.DUMMYFUNCTION("""COMPUTED_VALUE"""),"Dallas, TX 75225")</f>
        <v>Dallas, TX 75225</v>
      </c>
      <c r="AC1147" s="31" t="s">
        <v>2587</v>
      </c>
      <c r="AD1147" s="40"/>
      <c r="AE1147" s="40"/>
      <c r="AF1147" s="40"/>
      <c r="AG1147" s="40" t="s">
        <v>60</v>
      </c>
      <c r="AH1147" s="42">
        <v>2482.0</v>
      </c>
      <c r="AI1147" s="40" t="s">
        <v>68</v>
      </c>
      <c r="AJ1147" s="27">
        <v>1000.0</v>
      </c>
      <c r="AK1147" s="31" t="s">
        <v>31</v>
      </c>
      <c r="AL1147" s="43">
        <v>44816.0</v>
      </c>
      <c r="AM1147" s="44">
        <v>44938.558541666665</v>
      </c>
      <c r="AN1147" s="30">
        <v>2.0</v>
      </c>
      <c r="AO1147" s="40"/>
      <c r="AP1147" s="40"/>
      <c r="AQ1147" s="40"/>
      <c r="AR1147" s="40"/>
      <c r="AS1147" s="40"/>
      <c r="AT1147" s="47"/>
      <c r="AU1147" s="40"/>
      <c r="AV1147" s="46"/>
      <c r="AW1147" s="46"/>
      <c r="AX1147" s="47"/>
      <c r="AY1147" s="44"/>
      <c r="AZ1147" s="30"/>
      <c r="CU1147" s="55"/>
      <c r="CV1147" s="55"/>
      <c r="CW1147" s="55"/>
      <c r="CX1147" s="55"/>
      <c r="CY1147" s="55"/>
      <c r="CZ1147" s="55"/>
      <c r="DA1147" s="82"/>
      <c r="DB1147" s="55"/>
      <c r="DC1147" s="55"/>
      <c r="DD1147" s="55"/>
      <c r="DE1147" s="55"/>
      <c r="DF1147" s="55"/>
      <c r="DG1147" s="55"/>
      <c r="DH1147" s="55"/>
      <c r="DI1147" s="55"/>
      <c r="DJ1147" s="55"/>
      <c r="DK1147" s="55"/>
      <c r="DL1147" s="55"/>
      <c r="DM1147" s="55"/>
      <c r="DN1147" s="55"/>
      <c r="DO1147" s="55"/>
      <c r="DP1147" s="55"/>
      <c r="DQ1147" s="55"/>
      <c r="DR1147" s="55"/>
      <c r="DS1147" s="55"/>
      <c r="DT1147" s="55"/>
      <c r="DU1147" s="55"/>
      <c r="DV1147" s="55"/>
      <c r="DW1147" s="55"/>
    </row>
    <row r="1148">
      <c r="A1148" s="23" t="s">
        <v>64</v>
      </c>
      <c r="B1148" s="23" t="s">
        <v>56</v>
      </c>
      <c r="C1148" s="31" t="s">
        <v>477</v>
      </c>
      <c r="D1148" s="25" t="str">
        <f>IFERROR(__xludf.DUMMYFUNCTION("SPLIT(C1148,"" "")"),"Bobbitt,")</f>
        <v>Bobbitt,</v>
      </c>
      <c r="E1148" s="22" t="str">
        <f>IFERROR(__xludf.DUMMYFUNCTION("""COMPUTED_VALUE"""),"Jeanne
4500")</f>
        <v>Jeanne
4500</v>
      </c>
      <c r="F1148" s="22" t="str">
        <f>IFERROR(__xludf.DUMMYFUNCTION("""COMPUTED_VALUE"""),"Roland")</f>
        <v>Roland</v>
      </c>
      <c r="G1148" s="22" t="str">
        <f>IFERROR(__xludf.DUMMYFUNCTION("""COMPUTED_VALUE"""),"Avenue
Dallas,")</f>
        <v>Avenue
Dallas,</v>
      </c>
      <c r="H1148" s="22" t="str">
        <f>IFERROR(__xludf.DUMMYFUNCTION("""COMPUTED_VALUE"""),"TX")</f>
        <v>TX</v>
      </c>
      <c r="I1148" s="22">
        <f>IFERROR(__xludf.DUMMYFUNCTION("""COMPUTED_VALUE"""),75219.0)</f>
        <v>75219</v>
      </c>
      <c r="J1148" s="22"/>
      <c r="K1148" s="22"/>
      <c r="L1148" s="22"/>
      <c r="M1148" s="22"/>
      <c r="N1148" s="22"/>
      <c r="O1148" s="22"/>
      <c r="P1148" s="22"/>
      <c r="Q1148" s="22"/>
      <c r="R1148" s="22"/>
      <c r="S1148" s="22"/>
      <c r="T1148" s="22"/>
      <c r="U1148" s="24" t="str">
        <f>IFERROR(__xludf.DUMMYFUNCTION("SPLIT(E1148,""01234567890"")"),"Jeanne
")</f>
        <v>Jeanne
</v>
      </c>
      <c r="V1148" s="24" t="str">
        <f>IFERROR(__xludf.DUMMYFUNCTION("SPLIT(D1148,"","")"),"Bobbitt")</f>
        <v>Bobbitt</v>
      </c>
      <c r="W1148" s="25" t="str">
        <f t="shared" si="1"/>
        <v>JEANNE
 BOBBITT</v>
      </c>
      <c r="X1148" s="22"/>
      <c r="Y1148" s="22"/>
      <c r="Z1148" s="25" t="str">
        <f>IFERROR(__xludf.DUMMYFUNCTION("SPLIT(C1148,""
"")"),"Bobbitt, Jeanne")</f>
        <v>Bobbitt, Jeanne</v>
      </c>
      <c r="AA1148" s="22" t="str">
        <f>IFERROR(__xludf.DUMMYFUNCTION("""COMPUTED_VALUE"""),"4500 Roland Avenue")</f>
        <v>4500 Roland Avenue</v>
      </c>
      <c r="AB1148" s="22" t="str">
        <f>IFERROR(__xludf.DUMMYFUNCTION("""COMPUTED_VALUE"""),"Dallas, TX 75219")</f>
        <v>Dallas, TX 75219</v>
      </c>
      <c r="AC1148" s="31" t="s">
        <v>479</v>
      </c>
      <c r="AD1148" s="22"/>
      <c r="AE1148" s="22"/>
      <c r="AF1148" s="22"/>
      <c r="AG1148" s="22" t="s">
        <v>60</v>
      </c>
      <c r="AH1148" s="54">
        <v>2482.0</v>
      </c>
      <c r="AI1148" s="22" t="s">
        <v>68</v>
      </c>
      <c r="AJ1148" s="27">
        <v>250.0</v>
      </c>
      <c r="AK1148" s="31" t="s">
        <v>31</v>
      </c>
      <c r="AL1148" s="28">
        <v>44812.0</v>
      </c>
      <c r="AM1148" s="29">
        <v>44938.558541666665</v>
      </c>
      <c r="AN1148" s="30">
        <v>2.0</v>
      </c>
      <c r="AO1148" s="22"/>
      <c r="AP1148" s="22"/>
      <c r="AQ1148" s="22"/>
      <c r="AR1148" s="22"/>
      <c r="AS1148" s="22"/>
      <c r="AT1148" s="70"/>
      <c r="AU1148" s="22"/>
      <c r="AV1148" s="57"/>
      <c r="AW1148" s="57"/>
      <c r="AX1148" s="70"/>
      <c r="AY1148" s="29"/>
      <c r="AZ1148" s="30"/>
      <c r="CU1148" s="55"/>
      <c r="CV1148" s="55"/>
      <c r="CW1148" s="55"/>
      <c r="CX1148" s="55"/>
      <c r="CY1148" s="55"/>
      <c r="CZ1148" s="55"/>
      <c r="DA1148" s="82"/>
      <c r="DB1148" s="55"/>
      <c r="DC1148" s="55"/>
      <c r="DD1148" s="55"/>
      <c r="DE1148" s="55"/>
      <c r="DF1148" s="55"/>
      <c r="DG1148" s="55"/>
      <c r="DH1148" s="55"/>
      <c r="DI1148" s="55"/>
      <c r="DJ1148" s="55"/>
      <c r="DK1148" s="55"/>
      <c r="DL1148" s="55"/>
      <c r="DM1148" s="55"/>
      <c r="DN1148" s="55"/>
      <c r="DO1148" s="55"/>
      <c r="DP1148" s="55"/>
      <c r="DQ1148" s="55"/>
      <c r="DR1148" s="55"/>
      <c r="DS1148" s="55"/>
      <c r="DT1148" s="55"/>
      <c r="DU1148" s="55"/>
      <c r="DV1148" s="55"/>
      <c r="DW1148" s="55"/>
    </row>
    <row r="1149">
      <c r="A1149" s="40" t="s">
        <v>55</v>
      </c>
      <c r="B1149" s="41" t="s">
        <v>56</v>
      </c>
      <c r="C1149" s="31" t="s">
        <v>2588</v>
      </c>
      <c r="D1149" s="25" t="str">
        <f>IFERROR(__xludf.DUMMYFUNCTION("SPLIT(C1149,"" "")"),"West,")</f>
        <v>West,</v>
      </c>
      <c r="E1149" s="40" t="str">
        <f>IFERROR(__xludf.DUMMYFUNCTION("""COMPUTED_VALUE"""),"Chad
3606")</f>
        <v>Chad
3606</v>
      </c>
      <c r="F1149" s="40" t="str">
        <f>IFERROR(__xludf.DUMMYFUNCTION("""COMPUTED_VALUE"""),"S")</f>
        <v>S</v>
      </c>
      <c r="G1149" s="40" t="str">
        <f>IFERROR(__xludf.DUMMYFUNCTION("""COMPUTED_VALUE"""),"Tyler")</f>
        <v>Tyler</v>
      </c>
      <c r="H1149" s="40" t="str">
        <f>IFERROR(__xludf.DUMMYFUNCTION("""COMPUTED_VALUE"""),"Street
Dallas,")</f>
        <v>Street
Dallas,</v>
      </c>
      <c r="I1149" s="40" t="str">
        <f>IFERROR(__xludf.DUMMYFUNCTION("""COMPUTED_VALUE"""),"TX")</f>
        <v>TX</v>
      </c>
      <c r="J1149" s="40">
        <f>IFERROR(__xludf.DUMMYFUNCTION("""COMPUTED_VALUE"""),75224.0)</f>
        <v>75224</v>
      </c>
      <c r="K1149" s="40"/>
      <c r="L1149" s="40"/>
      <c r="M1149" s="40"/>
      <c r="N1149" s="40"/>
      <c r="O1149" s="40"/>
      <c r="P1149" s="40"/>
      <c r="Q1149" s="40"/>
      <c r="R1149" s="40"/>
      <c r="S1149" s="40"/>
      <c r="T1149" s="40"/>
      <c r="U1149" s="24" t="str">
        <f>IFERROR(__xludf.DUMMYFUNCTION("SPLIT(E1149,""01234567890"")"),"Chad
")</f>
        <v>Chad
</v>
      </c>
      <c r="V1149" s="24" t="str">
        <f>IFERROR(__xludf.DUMMYFUNCTION("SPLIT(D1149,"","")"),"West")</f>
        <v>West</v>
      </c>
      <c r="W1149" s="25" t="str">
        <f t="shared" si="1"/>
        <v>CHAD
 WEST</v>
      </c>
      <c r="X1149" s="40"/>
      <c r="Y1149" s="40"/>
      <c r="Z1149" s="25" t="str">
        <f>IFERROR(__xludf.DUMMYFUNCTION("SPLIT(C1149,""
"")"),"West, Chad")</f>
        <v>West, Chad</v>
      </c>
      <c r="AA1149" s="40" t="str">
        <f>IFERROR(__xludf.DUMMYFUNCTION("""COMPUTED_VALUE"""),"3606 S Tyler Street")</f>
        <v>3606 S Tyler Street</v>
      </c>
      <c r="AB1149" s="40" t="str">
        <f>IFERROR(__xludf.DUMMYFUNCTION("""COMPUTED_VALUE"""),"Dallas, TX 75224")</f>
        <v>Dallas, TX 75224</v>
      </c>
      <c r="AC1149" s="31" t="s">
        <v>2589</v>
      </c>
      <c r="AD1149" s="40"/>
      <c r="AE1149" s="40"/>
      <c r="AF1149" s="40"/>
      <c r="AG1149" s="40" t="s">
        <v>60</v>
      </c>
      <c r="AH1149" s="42">
        <v>2482.0</v>
      </c>
      <c r="AI1149" s="40" t="s">
        <v>68</v>
      </c>
      <c r="AJ1149" s="27">
        <v>250.0</v>
      </c>
      <c r="AK1149" s="31" t="s">
        <v>31</v>
      </c>
      <c r="AL1149" s="43">
        <v>44812.0</v>
      </c>
      <c r="AM1149" s="44">
        <v>44938.558541666665</v>
      </c>
      <c r="AN1149" s="30">
        <v>2.0</v>
      </c>
      <c r="AO1149" s="40"/>
      <c r="AP1149" s="40"/>
      <c r="AQ1149" s="40"/>
      <c r="AR1149" s="40"/>
      <c r="AS1149" s="40"/>
      <c r="AT1149" s="47"/>
      <c r="AU1149" s="40"/>
      <c r="AV1149" s="46"/>
      <c r="AW1149" s="46"/>
      <c r="AX1149" s="47"/>
      <c r="AY1149" s="44"/>
      <c r="AZ1149" s="30"/>
      <c r="CU1149" s="55"/>
      <c r="CV1149" s="55"/>
      <c r="CW1149" s="55"/>
      <c r="CX1149" s="55"/>
      <c r="CY1149" s="55"/>
      <c r="CZ1149" s="55"/>
      <c r="DA1149" s="82"/>
      <c r="DB1149" s="55"/>
      <c r="DC1149" s="55"/>
      <c r="DD1149" s="55"/>
      <c r="DE1149" s="55"/>
      <c r="DF1149" s="55"/>
      <c r="DG1149" s="55"/>
      <c r="DH1149" s="55"/>
      <c r="DI1149" s="55"/>
      <c r="DJ1149" s="55"/>
      <c r="DK1149" s="55"/>
      <c r="DL1149" s="55"/>
      <c r="DM1149" s="55"/>
      <c r="DN1149" s="55"/>
      <c r="DO1149" s="55"/>
      <c r="DP1149" s="55"/>
      <c r="DQ1149" s="55"/>
      <c r="DR1149" s="55"/>
      <c r="DS1149" s="55"/>
      <c r="DT1149" s="55"/>
      <c r="DU1149" s="55"/>
      <c r="DV1149" s="55"/>
      <c r="DW1149" s="55"/>
    </row>
    <row r="1150">
      <c r="A1150" s="23" t="s">
        <v>64</v>
      </c>
      <c r="B1150" s="23" t="s">
        <v>56</v>
      </c>
      <c r="C1150" s="31" t="s">
        <v>2590</v>
      </c>
      <c r="D1150" s="25" t="str">
        <f>IFERROR(__xludf.DUMMYFUNCTION("SPLIT(C1150,"" "")"),"Friedland,")</f>
        <v>Friedland,</v>
      </c>
      <c r="E1150" s="22" t="str">
        <f>IFERROR(__xludf.DUMMYFUNCTION("""COMPUTED_VALUE"""),"Ellen
519")</f>
        <v>Ellen
519</v>
      </c>
      <c r="F1150" s="22" t="str">
        <f>IFERROR(__xludf.DUMMYFUNCTION("""COMPUTED_VALUE"""),"Westbourne")</f>
        <v>Westbourne</v>
      </c>
      <c r="G1150" s="22" t="str">
        <f>IFERROR(__xludf.DUMMYFUNCTION("""COMPUTED_VALUE"""),"Dr
West")</f>
        <v>Dr
West</v>
      </c>
      <c r="H1150" s="22" t="str">
        <f>IFERROR(__xludf.DUMMYFUNCTION("""COMPUTED_VALUE"""),"Hollywood,")</f>
        <v>Hollywood,</v>
      </c>
      <c r="I1150" s="22" t="str">
        <f>IFERROR(__xludf.DUMMYFUNCTION("""COMPUTED_VALUE"""),"CA")</f>
        <v>CA</v>
      </c>
      <c r="J1150" s="22">
        <f>IFERROR(__xludf.DUMMYFUNCTION("""COMPUTED_VALUE"""),90048.0)</f>
        <v>90048</v>
      </c>
      <c r="K1150" s="22"/>
      <c r="L1150" s="22"/>
      <c r="M1150" s="22"/>
      <c r="N1150" s="22"/>
      <c r="O1150" s="22"/>
      <c r="P1150" s="22"/>
      <c r="Q1150" s="22"/>
      <c r="R1150" s="22"/>
      <c r="S1150" s="22"/>
      <c r="T1150" s="22"/>
      <c r="U1150" s="24" t="str">
        <f>IFERROR(__xludf.DUMMYFUNCTION("SPLIT(E1150,""01234567890"")"),"Ellen
")</f>
        <v>Ellen
</v>
      </c>
      <c r="V1150" s="24" t="str">
        <f>IFERROR(__xludf.DUMMYFUNCTION("SPLIT(D1150,"","")"),"Friedland")</f>
        <v>Friedland</v>
      </c>
      <c r="W1150" s="25" t="str">
        <f t="shared" si="1"/>
        <v>ELLEN
 FRIEDLAND</v>
      </c>
      <c r="X1150" s="22"/>
      <c r="Y1150" s="22"/>
      <c r="Z1150" s="25" t="str">
        <f>IFERROR(__xludf.DUMMYFUNCTION("SPLIT(C1150,""
"")"),"Friedland, Ellen")</f>
        <v>Friedland, Ellen</v>
      </c>
      <c r="AA1150" s="22" t="str">
        <f>IFERROR(__xludf.DUMMYFUNCTION("""COMPUTED_VALUE"""),"519 Westbourne Dr")</f>
        <v>519 Westbourne Dr</v>
      </c>
      <c r="AB1150" s="22" t="str">
        <f>IFERROR(__xludf.DUMMYFUNCTION("""COMPUTED_VALUE"""),"West Hollywood, CA 90048")</f>
        <v>West Hollywood, CA 90048</v>
      </c>
      <c r="AC1150" s="31" t="s">
        <v>2591</v>
      </c>
      <c r="AD1150" s="22"/>
      <c r="AE1150" s="22"/>
      <c r="AF1150" s="22"/>
      <c r="AG1150" s="22" t="s">
        <v>60</v>
      </c>
      <c r="AH1150" s="54">
        <v>2482.0</v>
      </c>
      <c r="AI1150" s="22" t="s">
        <v>68</v>
      </c>
      <c r="AJ1150" s="27">
        <v>500.0</v>
      </c>
      <c r="AK1150" s="31" t="s">
        <v>31</v>
      </c>
      <c r="AL1150" s="28">
        <v>44808.0</v>
      </c>
      <c r="AM1150" s="29">
        <v>44938.558541666665</v>
      </c>
      <c r="AN1150" s="30">
        <v>2.0</v>
      </c>
      <c r="AO1150" s="22"/>
      <c r="AP1150" s="22"/>
      <c r="AQ1150" s="22"/>
      <c r="AR1150" s="22"/>
      <c r="AS1150" s="22"/>
      <c r="AT1150" s="70"/>
      <c r="AU1150" s="22"/>
      <c r="AV1150" s="57"/>
      <c r="AW1150" s="57"/>
      <c r="AX1150" s="70"/>
      <c r="AY1150" s="29"/>
      <c r="AZ1150" s="30"/>
      <c r="CU1150" s="55"/>
      <c r="CV1150" s="55"/>
      <c r="CW1150" s="55"/>
      <c r="CX1150" s="55"/>
      <c r="CY1150" s="55"/>
      <c r="CZ1150" s="55"/>
      <c r="DA1150" s="82"/>
      <c r="DB1150" s="55"/>
      <c r="DC1150" s="55"/>
      <c r="DD1150" s="55"/>
      <c r="DE1150" s="55"/>
      <c r="DF1150" s="55"/>
      <c r="DG1150" s="55"/>
      <c r="DH1150" s="55"/>
      <c r="DI1150" s="55"/>
      <c r="DJ1150" s="55"/>
      <c r="DK1150" s="55"/>
      <c r="DL1150" s="55"/>
      <c r="DM1150" s="55"/>
      <c r="DN1150" s="55"/>
      <c r="DO1150" s="55"/>
      <c r="DP1150" s="55"/>
      <c r="DQ1150" s="55"/>
      <c r="DR1150" s="55"/>
      <c r="DS1150" s="55"/>
      <c r="DT1150" s="55"/>
      <c r="DU1150" s="55"/>
      <c r="DV1150" s="55"/>
      <c r="DW1150" s="55"/>
    </row>
    <row r="1151">
      <c r="A1151" s="40" t="s">
        <v>55</v>
      </c>
      <c r="B1151" s="41" t="s">
        <v>56</v>
      </c>
      <c r="C1151" s="31" t="s">
        <v>2569</v>
      </c>
      <c r="D1151" s="25" t="str">
        <f>IFERROR(__xludf.DUMMYFUNCTION("SPLIT(C1151,"" "")"),"Pulley,")</f>
        <v>Pulley,</v>
      </c>
      <c r="E1151" s="40" t="str">
        <f>IFERROR(__xludf.DUMMYFUNCTION("""COMPUTED_VALUE"""),"Tegwin
11435")</f>
        <v>Tegwin
11435</v>
      </c>
      <c r="F1151" s="40" t="str">
        <f>IFERROR(__xludf.DUMMYFUNCTION("""COMPUTED_VALUE"""),"Hillcrest")</f>
        <v>Hillcrest</v>
      </c>
      <c r="G1151" s="40" t="str">
        <f>IFERROR(__xludf.DUMMYFUNCTION("""COMPUTED_VALUE"""),"Road
Dallas,")</f>
        <v>Road
Dallas,</v>
      </c>
      <c r="H1151" s="40" t="str">
        <f>IFERROR(__xludf.DUMMYFUNCTION("""COMPUTED_VALUE"""),"TX")</f>
        <v>TX</v>
      </c>
      <c r="I1151" s="40">
        <f>IFERROR(__xludf.DUMMYFUNCTION("""COMPUTED_VALUE"""),75230.0)</f>
        <v>75230</v>
      </c>
      <c r="J1151" s="40"/>
      <c r="K1151" s="40"/>
      <c r="L1151" s="40"/>
      <c r="M1151" s="40"/>
      <c r="N1151" s="40"/>
      <c r="O1151" s="40"/>
      <c r="P1151" s="40"/>
      <c r="Q1151" s="40"/>
      <c r="R1151" s="40"/>
      <c r="S1151" s="40"/>
      <c r="T1151" s="40"/>
      <c r="U1151" s="24" t="str">
        <f>IFERROR(__xludf.DUMMYFUNCTION("SPLIT(E1151,""01234567890"")"),"Tegwin
")</f>
        <v>Tegwin
</v>
      </c>
      <c r="V1151" s="24" t="str">
        <f>IFERROR(__xludf.DUMMYFUNCTION("SPLIT(D1151,"","")"),"Pulley")</f>
        <v>Pulley</v>
      </c>
      <c r="W1151" s="25" t="str">
        <f t="shared" si="1"/>
        <v>TEGWIN
 PULLEY</v>
      </c>
      <c r="X1151" s="40"/>
      <c r="Y1151" s="40"/>
      <c r="Z1151" s="25" t="str">
        <f>IFERROR(__xludf.DUMMYFUNCTION("SPLIT(C1151,""
"")"),"Pulley, Tegwin")</f>
        <v>Pulley, Tegwin</v>
      </c>
      <c r="AA1151" s="40" t="str">
        <f>IFERROR(__xludf.DUMMYFUNCTION("""COMPUTED_VALUE"""),"11435 Hillcrest Road")</f>
        <v>11435 Hillcrest Road</v>
      </c>
      <c r="AB1151" s="40" t="str">
        <f>IFERROR(__xludf.DUMMYFUNCTION("""COMPUTED_VALUE"""),"Dallas, TX 75230")</f>
        <v>Dallas, TX 75230</v>
      </c>
      <c r="AC1151" s="31" t="s">
        <v>2570</v>
      </c>
      <c r="AD1151" s="40"/>
      <c r="AE1151" s="40"/>
      <c r="AF1151" s="40"/>
      <c r="AG1151" s="40" t="s">
        <v>60</v>
      </c>
      <c r="AH1151" s="42">
        <v>2482.0</v>
      </c>
      <c r="AI1151" s="40" t="s">
        <v>68</v>
      </c>
      <c r="AJ1151" s="27">
        <v>250.0</v>
      </c>
      <c r="AK1151" s="31" t="s">
        <v>31</v>
      </c>
      <c r="AL1151" s="43">
        <v>44806.0</v>
      </c>
      <c r="AM1151" s="44">
        <v>44938.558541666665</v>
      </c>
      <c r="AN1151" s="30">
        <v>2.0</v>
      </c>
      <c r="AO1151" s="40"/>
      <c r="AP1151" s="40"/>
      <c r="AQ1151" s="40"/>
      <c r="AR1151" s="40"/>
      <c r="AS1151" s="40"/>
      <c r="AT1151" s="47"/>
      <c r="AU1151" s="40"/>
      <c r="AV1151" s="46"/>
      <c r="AW1151" s="46"/>
      <c r="AX1151" s="47"/>
      <c r="AY1151" s="44"/>
      <c r="AZ1151" s="30"/>
      <c r="CU1151" s="55"/>
      <c r="CV1151" s="55"/>
      <c r="CW1151" s="55"/>
      <c r="CX1151" s="55"/>
      <c r="CY1151" s="55"/>
      <c r="CZ1151" s="55"/>
      <c r="DA1151" s="82"/>
      <c r="DB1151" s="55"/>
      <c r="DC1151" s="55"/>
      <c r="DD1151" s="55"/>
      <c r="DE1151" s="55"/>
      <c r="DF1151" s="55"/>
      <c r="DG1151" s="55"/>
      <c r="DH1151" s="55"/>
      <c r="DI1151" s="55"/>
      <c r="DJ1151" s="55"/>
      <c r="DK1151" s="55"/>
      <c r="DL1151" s="55"/>
      <c r="DM1151" s="55"/>
      <c r="DN1151" s="55"/>
      <c r="DO1151" s="55"/>
      <c r="DP1151" s="55"/>
      <c r="DQ1151" s="55"/>
      <c r="DR1151" s="55"/>
      <c r="DS1151" s="55"/>
      <c r="DT1151" s="55"/>
      <c r="DU1151" s="55"/>
      <c r="DV1151" s="55"/>
      <c r="DW1151" s="55"/>
    </row>
    <row r="1152">
      <c r="A1152" s="23" t="s">
        <v>64</v>
      </c>
      <c r="B1152" s="23" t="s">
        <v>56</v>
      </c>
      <c r="C1152" s="31" t="s">
        <v>2592</v>
      </c>
      <c r="D1152" s="25" t="str">
        <f>IFERROR(__xludf.DUMMYFUNCTION("SPLIT(C1152,"" "")"),"Goldberg,")</f>
        <v>Goldberg,</v>
      </c>
      <c r="E1152" s="22" t="str">
        <f>IFERROR(__xludf.DUMMYFUNCTION("""COMPUTED_VALUE"""),"Marshal
7215")</f>
        <v>Marshal
7215</v>
      </c>
      <c r="F1152" s="22" t="str">
        <f>IFERROR(__xludf.DUMMYFUNCTION("""COMPUTED_VALUE"""),"S")</f>
        <v>S</v>
      </c>
      <c r="G1152" s="22" t="str">
        <f>IFERROR(__xludf.DUMMYFUNCTION("""COMPUTED_VALUE"""),"Janmar")</f>
        <v>Janmar</v>
      </c>
      <c r="H1152" s="22" t="str">
        <f>IFERROR(__xludf.DUMMYFUNCTION("""COMPUTED_VALUE"""),"Dr
Dallas,")</f>
        <v>Dr
Dallas,</v>
      </c>
      <c r="I1152" s="22" t="str">
        <f>IFERROR(__xludf.DUMMYFUNCTION("""COMPUTED_VALUE"""),"TX")</f>
        <v>TX</v>
      </c>
      <c r="J1152" s="22">
        <f>IFERROR(__xludf.DUMMYFUNCTION("""COMPUTED_VALUE"""),75339.0)</f>
        <v>75339</v>
      </c>
      <c r="K1152" s="22"/>
      <c r="L1152" s="22"/>
      <c r="M1152" s="22"/>
      <c r="N1152" s="22"/>
      <c r="O1152" s="22"/>
      <c r="P1152" s="22"/>
      <c r="Q1152" s="22"/>
      <c r="R1152" s="22"/>
      <c r="S1152" s="22"/>
      <c r="T1152" s="22"/>
      <c r="U1152" s="24" t="str">
        <f>IFERROR(__xludf.DUMMYFUNCTION("SPLIT(E1152,""01234567890"")"),"Marshal
")</f>
        <v>Marshal
</v>
      </c>
      <c r="V1152" s="24" t="str">
        <f>IFERROR(__xludf.DUMMYFUNCTION("SPLIT(D1152,"","")"),"Goldberg")</f>
        <v>Goldberg</v>
      </c>
      <c r="W1152" s="25" t="str">
        <f t="shared" si="1"/>
        <v>MARSHAL
 GOLDBERG</v>
      </c>
      <c r="X1152" s="22"/>
      <c r="Y1152" s="22"/>
      <c r="Z1152" s="25" t="str">
        <f>IFERROR(__xludf.DUMMYFUNCTION("SPLIT(C1152,""
"")"),"Goldberg, Marshal")</f>
        <v>Goldberg, Marshal</v>
      </c>
      <c r="AA1152" s="22" t="str">
        <f>IFERROR(__xludf.DUMMYFUNCTION("""COMPUTED_VALUE"""),"7215 S Janmar Dr")</f>
        <v>7215 S Janmar Dr</v>
      </c>
      <c r="AB1152" s="22" t="str">
        <f>IFERROR(__xludf.DUMMYFUNCTION("""COMPUTED_VALUE"""),"Dallas, TX 75339")</f>
        <v>Dallas, TX 75339</v>
      </c>
      <c r="AC1152" s="31" t="s">
        <v>2593</v>
      </c>
      <c r="AD1152" s="22"/>
      <c r="AE1152" s="22"/>
      <c r="AF1152" s="22"/>
      <c r="AG1152" s="22" t="s">
        <v>60</v>
      </c>
      <c r="AH1152" s="54">
        <v>2482.0</v>
      </c>
      <c r="AI1152" s="22" t="s">
        <v>68</v>
      </c>
      <c r="AJ1152" s="27">
        <v>100.0</v>
      </c>
      <c r="AK1152" s="31" t="s">
        <v>31</v>
      </c>
      <c r="AL1152" s="28">
        <v>44805.0</v>
      </c>
      <c r="AM1152" s="29">
        <v>44938.558541666665</v>
      </c>
      <c r="AN1152" s="30">
        <v>2.0</v>
      </c>
      <c r="AO1152" s="22"/>
      <c r="AP1152" s="22"/>
      <c r="AQ1152" s="22"/>
      <c r="AR1152" s="22"/>
      <c r="AS1152" s="22"/>
      <c r="AT1152" s="70"/>
      <c r="AU1152" s="22"/>
      <c r="AV1152" s="57"/>
      <c r="AW1152" s="57"/>
      <c r="AX1152" s="70"/>
      <c r="AY1152" s="29"/>
      <c r="AZ1152" s="30"/>
      <c r="CU1152" s="55"/>
      <c r="CV1152" s="55"/>
      <c r="CW1152" s="55"/>
      <c r="CX1152" s="55"/>
      <c r="CY1152" s="55"/>
      <c r="CZ1152" s="55"/>
      <c r="DA1152" s="82"/>
      <c r="DB1152" s="55"/>
      <c r="DC1152" s="55"/>
      <c r="DD1152" s="55"/>
      <c r="DE1152" s="55"/>
      <c r="DF1152" s="55"/>
      <c r="DG1152" s="55"/>
      <c r="DH1152" s="55"/>
      <c r="DI1152" s="55"/>
      <c r="DJ1152" s="55"/>
      <c r="DK1152" s="55"/>
      <c r="DL1152" s="55"/>
      <c r="DM1152" s="55"/>
      <c r="DN1152" s="55"/>
      <c r="DO1152" s="55"/>
      <c r="DP1152" s="55"/>
      <c r="DQ1152" s="55"/>
      <c r="DR1152" s="55"/>
      <c r="DS1152" s="55"/>
      <c r="DT1152" s="55"/>
      <c r="DU1152" s="55"/>
      <c r="DV1152" s="55"/>
      <c r="DW1152" s="55"/>
    </row>
    <row r="1153">
      <c r="A1153" s="40" t="s">
        <v>55</v>
      </c>
      <c r="B1153" s="41" t="s">
        <v>56</v>
      </c>
      <c r="C1153" s="31" t="s">
        <v>2594</v>
      </c>
      <c r="D1153" s="25" t="str">
        <f>IFERROR(__xludf.DUMMYFUNCTION("SPLIT(C1153,"" "")"),"Weiner,")</f>
        <v>Weiner,</v>
      </c>
      <c r="E1153" s="40" t="str">
        <f>IFERROR(__xludf.DUMMYFUNCTION("""COMPUTED_VALUE"""),"Harvey
6101")</f>
        <v>Harvey
6101</v>
      </c>
      <c r="F1153" s="40" t="str">
        <f>IFERROR(__xludf.DUMMYFUNCTION("""COMPUTED_VALUE"""),"Ohio")</f>
        <v>Ohio</v>
      </c>
      <c r="G1153" s="40" t="str">
        <f>IFERROR(__xludf.DUMMYFUNCTION("""COMPUTED_VALUE"""),"Drive
Plano,")</f>
        <v>Drive
Plano,</v>
      </c>
      <c r="H1153" s="40" t="str">
        <f>IFERROR(__xludf.DUMMYFUNCTION("""COMPUTED_VALUE"""),"TX")</f>
        <v>TX</v>
      </c>
      <c r="I1153" s="40">
        <f>IFERROR(__xludf.DUMMYFUNCTION("""COMPUTED_VALUE"""),75024.0)</f>
        <v>75024</v>
      </c>
      <c r="J1153" s="40"/>
      <c r="K1153" s="40"/>
      <c r="L1153" s="40"/>
      <c r="M1153" s="40"/>
      <c r="N1153" s="40"/>
      <c r="O1153" s="40"/>
      <c r="P1153" s="40"/>
      <c r="Q1153" s="40"/>
      <c r="R1153" s="40"/>
      <c r="S1153" s="40"/>
      <c r="T1153" s="40"/>
      <c r="U1153" s="24" t="str">
        <f>IFERROR(__xludf.DUMMYFUNCTION("SPLIT(E1153,""01234567890"")"),"Harvey
")</f>
        <v>Harvey
</v>
      </c>
      <c r="V1153" s="24" t="str">
        <f>IFERROR(__xludf.DUMMYFUNCTION("SPLIT(D1153,"","")"),"Weiner")</f>
        <v>Weiner</v>
      </c>
      <c r="W1153" s="25" t="str">
        <f t="shared" si="1"/>
        <v>HARVEY
 WEINER</v>
      </c>
      <c r="X1153" s="40"/>
      <c r="Y1153" s="40"/>
      <c r="Z1153" s="25" t="str">
        <f>IFERROR(__xludf.DUMMYFUNCTION("SPLIT(C1153,""
"")"),"Weiner, Harvey")</f>
        <v>Weiner, Harvey</v>
      </c>
      <c r="AA1153" s="40" t="str">
        <f>IFERROR(__xludf.DUMMYFUNCTION("""COMPUTED_VALUE"""),"6101 Ohio Drive")</f>
        <v>6101 Ohio Drive</v>
      </c>
      <c r="AB1153" s="40" t="str">
        <f>IFERROR(__xludf.DUMMYFUNCTION("""COMPUTED_VALUE"""),"Plano, TX 75024")</f>
        <v>Plano, TX 75024</v>
      </c>
      <c r="AC1153" s="31" t="s">
        <v>2595</v>
      </c>
      <c r="AD1153" s="40"/>
      <c r="AE1153" s="40"/>
      <c r="AF1153" s="40"/>
      <c r="AG1153" s="40" t="s">
        <v>60</v>
      </c>
      <c r="AH1153" s="42">
        <v>2482.0</v>
      </c>
      <c r="AI1153" s="40" t="s">
        <v>68</v>
      </c>
      <c r="AJ1153" s="27">
        <v>118.0</v>
      </c>
      <c r="AK1153" s="31" t="s">
        <v>31</v>
      </c>
      <c r="AL1153" s="43">
        <v>44805.0</v>
      </c>
      <c r="AM1153" s="44">
        <v>44938.558541666665</v>
      </c>
      <c r="AN1153" s="30">
        <v>2.0</v>
      </c>
      <c r="AO1153" s="40"/>
      <c r="AP1153" s="40"/>
      <c r="AQ1153" s="40"/>
      <c r="AR1153" s="40"/>
      <c r="AS1153" s="40"/>
      <c r="AT1153" s="47"/>
      <c r="AU1153" s="40"/>
      <c r="AV1153" s="46"/>
      <c r="AW1153" s="46"/>
      <c r="AX1153" s="47"/>
      <c r="AY1153" s="44"/>
      <c r="AZ1153" s="30"/>
      <c r="CU1153" s="55"/>
      <c r="CV1153" s="55"/>
      <c r="CW1153" s="55"/>
      <c r="CX1153" s="55"/>
      <c r="CY1153" s="55"/>
      <c r="CZ1153" s="55"/>
      <c r="DA1153" s="82"/>
      <c r="DB1153" s="55"/>
      <c r="DC1153" s="55"/>
      <c r="DD1153" s="55"/>
      <c r="DE1153" s="55"/>
      <c r="DF1153" s="55"/>
      <c r="DG1153" s="55"/>
      <c r="DH1153" s="55"/>
      <c r="DI1153" s="55"/>
      <c r="DJ1153" s="55"/>
      <c r="DK1153" s="55"/>
      <c r="DL1153" s="55"/>
      <c r="DM1153" s="55"/>
      <c r="DN1153" s="55"/>
      <c r="DO1153" s="55"/>
      <c r="DP1153" s="55"/>
      <c r="DQ1153" s="55"/>
      <c r="DR1153" s="55"/>
      <c r="DS1153" s="55"/>
      <c r="DT1153" s="55"/>
      <c r="DU1153" s="55"/>
      <c r="DV1153" s="55"/>
      <c r="DW1153" s="55"/>
    </row>
    <row r="1154">
      <c r="A1154" s="23" t="s">
        <v>64</v>
      </c>
      <c r="B1154" s="23" t="s">
        <v>56</v>
      </c>
      <c r="C1154" s="31" t="s">
        <v>2596</v>
      </c>
      <c r="D1154" s="25" t="str">
        <f>IFERROR(__xludf.DUMMYFUNCTION("SPLIT(C1154,"" "")"),"Cheirif,")</f>
        <v>Cheirif,</v>
      </c>
      <c r="E1154" s="22" t="str">
        <f>IFERROR(__xludf.DUMMYFUNCTION("""COMPUTED_VALUE"""),"Heidy
6027")</f>
        <v>Heidy
6027</v>
      </c>
      <c r="F1154" s="22" t="str">
        <f>IFERROR(__xludf.DUMMYFUNCTION("""COMPUTED_VALUE"""),"Shetland")</f>
        <v>Shetland</v>
      </c>
      <c r="G1154" s="22" t="str">
        <f>IFERROR(__xludf.DUMMYFUNCTION("""COMPUTED_VALUE"""),"Drive
Dallas,")</f>
        <v>Drive
Dallas,</v>
      </c>
      <c r="H1154" s="22" t="str">
        <f>IFERROR(__xludf.DUMMYFUNCTION("""COMPUTED_VALUE"""),"TX")</f>
        <v>TX</v>
      </c>
      <c r="I1154" s="22">
        <f>IFERROR(__xludf.DUMMYFUNCTION("""COMPUTED_VALUE"""),75230.0)</f>
        <v>75230</v>
      </c>
      <c r="J1154" s="22"/>
      <c r="K1154" s="22"/>
      <c r="L1154" s="22"/>
      <c r="M1154" s="22"/>
      <c r="N1154" s="22"/>
      <c r="O1154" s="22"/>
      <c r="P1154" s="22"/>
      <c r="Q1154" s="22"/>
      <c r="R1154" s="22"/>
      <c r="S1154" s="22"/>
      <c r="T1154" s="22"/>
      <c r="U1154" s="24" t="str">
        <f>IFERROR(__xludf.DUMMYFUNCTION("SPLIT(E1154,""01234567890"")"),"Heidy
")</f>
        <v>Heidy
</v>
      </c>
      <c r="V1154" s="24" t="str">
        <f>IFERROR(__xludf.DUMMYFUNCTION("SPLIT(D1154,"","")"),"Cheirif")</f>
        <v>Cheirif</v>
      </c>
      <c r="W1154" s="25" t="str">
        <f t="shared" si="1"/>
        <v>HEIDY
 CHEIRIF</v>
      </c>
      <c r="X1154" s="22"/>
      <c r="Y1154" s="22"/>
      <c r="Z1154" s="25" t="str">
        <f>IFERROR(__xludf.DUMMYFUNCTION("SPLIT(C1154,""
"")"),"Cheirif, Heidy")</f>
        <v>Cheirif, Heidy</v>
      </c>
      <c r="AA1154" s="22" t="str">
        <f>IFERROR(__xludf.DUMMYFUNCTION("""COMPUTED_VALUE"""),"6027 Shetland Drive")</f>
        <v>6027 Shetland Drive</v>
      </c>
      <c r="AB1154" s="22" t="str">
        <f>IFERROR(__xludf.DUMMYFUNCTION("""COMPUTED_VALUE"""),"Dallas, TX 75230")</f>
        <v>Dallas, TX 75230</v>
      </c>
      <c r="AC1154" s="31" t="s">
        <v>2597</v>
      </c>
      <c r="AD1154" s="22"/>
      <c r="AE1154" s="22"/>
      <c r="AF1154" s="22"/>
      <c r="AG1154" s="22" t="s">
        <v>60</v>
      </c>
      <c r="AH1154" s="54">
        <v>2482.0</v>
      </c>
      <c r="AI1154" s="22" t="s">
        <v>68</v>
      </c>
      <c r="AJ1154" s="27">
        <v>25.0</v>
      </c>
      <c r="AK1154" s="31" t="s">
        <v>31</v>
      </c>
      <c r="AL1154" s="28">
        <v>44805.0</v>
      </c>
      <c r="AM1154" s="29">
        <v>44938.558541666665</v>
      </c>
      <c r="AN1154" s="30">
        <v>2.0</v>
      </c>
      <c r="AO1154" s="22"/>
      <c r="AP1154" s="22"/>
      <c r="AQ1154" s="22"/>
      <c r="AR1154" s="22"/>
      <c r="AS1154" s="22"/>
      <c r="AT1154" s="70"/>
      <c r="AU1154" s="22"/>
      <c r="AV1154" s="57"/>
      <c r="AW1154" s="57"/>
      <c r="AX1154" s="70"/>
      <c r="AY1154" s="29"/>
      <c r="AZ1154" s="30"/>
      <c r="CU1154" s="55"/>
      <c r="CV1154" s="55"/>
      <c r="CW1154" s="55"/>
      <c r="CX1154" s="55"/>
      <c r="CY1154" s="55"/>
      <c r="CZ1154" s="55"/>
      <c r="DA1154" s="82"/>
      <c r="DB1154" s="55"/>
      <c r="DC1154" s="55"/>
      <c r="DD1154" s="55"/>
      <c r="DE1154" s="55"/>
      <c r="DF1154" s="55"/>
      <c r="DG1154" s="55"/>
      <c r="DH1154" s="55"/>
      <c r="DI1154" s="55"/>
      <c r="DJ1154" s="55"/>
      <c r="DK1154" s="55"/>
      <c r="DL1154" s="55"/>
      <c r="DM1154" s="55"/>
      <c r="DN1154" s="55"/>
      <c r="DO1154" s="55"/>
      <c r="DP1154" s="55"/>
      <c r="DQ1154" s="55"/>
      <c r="DR1154" s="55"/>
      <c r="DS1154" s="55"/>
      <c r="DT1154" s="55"/>
      <c r="DU1154" s="55"/>
      <c r="DV1154" s="55"/>
      <c r="DW1154" s="55"/>
    </row>
    <row r="1155">
      <c r="A1155" s="40" t="s">
        <v>55</v>
      </c>
      <c r="B1155" s="41" t="s">
        <v>56</v>
      </c>
      <c r="C1155" s="31" t="s">
        <v>2598</v>
      </c>
      <c r="D1155" s="25" t="str">
        <f>IFERROR(__xludf.DUMMYFUNCTION("SPLIT(C1155,"" "")"),"Steinbrecher,")</f>
        <v>Steinbrecher,</v>
      </c>
      <c r="E1155" s="40" t="str">
        <f>IFERROR(__xludf.DUMMYFUNCTION("""COMPUTED_VALUE"""),"Janyce
7452")</f>
        <v>Janyce
7452</v>
      </c>
      <c r="F1155" s="40" t="str">
        <f>IFERROR(__xludf.DUMMYFUNCTION("""COMPUTED_VALUE"""),"Malabar")</f>
        <v>Malabar</v>
      </c>
      <c r="G1155" s="40" t="str">
        <f>IFERROR(__xludf.DUMMYFUNCTION("""COMPUTED_VALUE"""),"Lane
Dallas,")</f>
        <v>Lane
Dallas,</v>
      </c>
      <c r="H1155" s="40" t="str">
        <f>IFERROR(__xludf.DUMMYFUNCTION("""COMPUTED_VALUE"""),"TX")</f>
        <v>TX</v>
      </c>
      <c r="I1155" s="40">
        <f>IFERROR(__xludf.DUMMYFUNCTION("""COMPUTED_VALUE"""),75230.0)</f>
        <v>75230</v>
      </c>
      <c r="J1155" s="40"/>
      <c r="K1155" s="40"/>
      <c r="L1155" s="40"/>
      <c r="M1155" s="40"/>
      <c r="N1155" s="40"/>
      <c r="O1155" s="40"/>
      <c r="P1155" s="40"/>
      <c r="Q1155" s="40"/>
      <c r="R1155" s="40"/>
      <c r="S1155" s="40"/>
      <c r="T1155" s="40"/>
      <c r="U1155" s="24" t="str">
        <f>IFERROR(__xludf.DUMMYFUNCTION("SPLIT(E1155,""01234567890"")"),"Janyce
")</f>
        <v>Janyce
</v>
      </c>
      <c r="V1155" s="24" t="str">
        <f>IFERROR(__xludf.DUMMYFUNCTION("SPLIT(D1155,"","")"),"Steinbrecher")</f>
        <v>Steinbrecher</v>
      </c>
      <c r="W1155" s="25" t="str">
        <f t="shared" si="1"/>
        <v>JANYCE
 STEINBRECHER</v>
      </c>
      <c r="X1155" s="40"/>
      <c r="Y1155" s="40"/>
      <c r="Z1155" s="25" t="str">
        <f>IFERROR(__xludf.DUMMYFUNCTION("SPLIT(C1155,""
"")"),"Steinbrecher, Janyce")</f>
        <v>Steinbrecher, Janyce</v>
      </c>
      <c r="AA1155" s="40" t="str">
        <f>IFERROR(__xludf.DUMMYFUNCTION("""COMPUTED_VALUE"""),"7452 Malabar Lane")</f>
        <v>7452 Malabar Lane</v>
      </c>
      <c r="AB1155" s="40" t="str">
        <f>IFERROR(__xludf.DUMMYFUNCTION("""COMPUTED_VALUE"""),"Dallas, TX 75230")</f>
        <v>Dallas, TX 75230</v>
      </c>
      <c r="AC1155" s="31" t="s">
        <v>2599</v>
      </c>
      <c r="AD1155" s="40"/>
      <c r="AE1155" s="40"/>
      <c r="AF1155" s="40"/>
      <c r="AG1155" s="40" t="s">
        <v>60</v>
      </c>
      <c r="AH1155" s="42">
        <v>2482.0</v>
      </c>
      <c r="AI1155" s="40" t="s">
        <v>68</v>
      </c>
      <c r="AJ1155" s="27">
        <v>1000.0</v>
      </c>
      <c r="AK1155" s="31" t="s">
        <v>31</v>
      </c>
      <c r="AL1155" s="43">
        <v>44804.0</v>
      </c>
      <c r="AM1155" s="44">
        <v>44938.558541666665</v>
      </c>
      <c r="AN1155" s="30">
        <v>2.0</v>
      </c>
      <c r="AO1155" s="40"/>
      <c r="AP1155" s="40"/>
      <c r="AQ1155" s="40"/>
      <c r="AR1155" s="40"/>
      <c r="AS1155" s="40"/>
      <c r="AT1155" s="47"/>
      <c r="AU1155" s="40"/>
      <c r="AV1155" s="46"/>
      <c r="AW1155" s="46"/>
      <c r="AX1155" s="47"/>
      <c r="AY1155" s="44"/>
      <c r="AZ1155" s="30"/>
      <c r="CU1155" s="55"/>
      <c r="CV1155" s="55"/>
      <c r="CW1155" s="55"/>
      <c r="CX1155" s="55"/>
      <c r="CY1155" s="55"/>
      <c r="CZ1155" s="55"/>
      <c r="DA1155" s="82"/>
      <c r="DB1155" s="55"/>
      <c r="DC1155" s="55"/>
      <c r="DD1155" s="55"/>
      <c r="DE1155" s="55"/>
      <c r="DF1155" s="55"/>
      <c r="DG1155" s="55"/>
      <c r="DH1155" s="55"/>
      <c r="DI1155" s="55"/>
      <c r="DJ1155" s="55"/>
      <c r="DK1155" s="55"/>
      <c r="DL1155" s="55"/>
      <c r="DM1155" s="55"/>
      <c r="DN1155" s="55"/>
      <c r="DO1155" s="55"/>
      <c r="DP1155" s="55"/>
      <c r="DQ1155" s="55"/>
      <c r="DR1155" s="55"/>
      <c r="DS1155" s="55"/>
      <c r="DT1155" s="55"/>
      <c r="DU1155" s="55"/>
      <c r="DV1155" s="55"/>
      <c r="DW1155" s="55"/>
    </row>
    <row r="1156">
      <c r="A1156" s="23" t="s">
        <v>64</v>
      </c>
      <c r="B1156" s="23" t="s">
        <v>56</v>
      </c>
      <c r="C1156" s="31" t="s">
        <v>2600</v>
      </c>
      <c r="D1156" s="25" t="str">
        <f>IFERROR(__xludf.DUMMYFUNCTION("SPLIT(C1156,"" "")"),"Hampton,")</f>
        <v>Hampton,</v>
      </c>
      <c r="E1156" s="22" t="str">
        <f>IFERROR(__xludf.DUMMYFUNCTION("""COMPUTED_VALUE"""),"Joanna
5408")</f>
        <v>Joanna
5408</v>
      </c>
      <c r="F1156" s="22" t="str">
        <f>IFERROR(__xludf.DUMMYFUNCTION("""COMPUTED_VALUE"""),"Swiss")</f>
        <v>Swiss</v>
      </c>
      <c r="G1156" s="22" t="str">
        <f>IFERROR(__xludf.DUMMYFUNCTION("""COMPUTED_VALUE"""),"Avenue
Dallas,")</f>
        <v>Avenue
Dallas,</v>
      </c>
      <c r="H1156" s="22" t="str">
        <f>IFERROR(__xludf.DUMMYFUNCTION("""COMPUTED_VALUE"""),"TX")</f>
        <v>TX</v>
      </c>
      <c r="I1156" s="22">
        <f>IFERROR(__xludf.DUMMYFUNCTION("""COMPUTED_VALUE"""),75214.0)</f>
        <v>75214</v>
      </c>
      <c r="J1156" s="22"/>
      <c r="K1156" s="22"/>
      <c r="L1156" s="22"/>
      <c r="M1156" s="22"/>
      <c r="N1156" s="22"/>
      <c r="O1156" s="22"/>
      <c r="P1156" s="22"/>
      <c r="Q1156" s="22"/>
      <c r="R1156" s="22"/>
      <c r="S1156" s="22"/>
      <c r="T1156" s="22"/>
      <c r="U1156" s="24" t="str">
        <f>IFERROR(__xludf.DUMMYFUNCTION("SPLIT(E1156,""01234567890"")"),"Joanna
")</f>
        <v>Joanna
</v>
      </c>
      <c r="V1156" s="24" t="str">
        <f>IFERROR(__xludf.DUMMYFUNCTION("SPLIT(D1156,"","")"),"Hampton")</f>
        <v>Hampton</v>
      </c>
      <c r="W1156" s="25" t="str">
        <f t="shared" si="1"/>
        <v>JOANNA
 HAMPTON</v>
      </c>
      <c r="X1156" s="22"/>
      <c r="Y1156" s="22"/>
      <c r="Z1156" s="25" t="str">
        <f>IFERROR(__xludf.DUMMYFUNCTION("SPLIT(C1156,""
"")"),"Hampton, Joanna")</f>
        <v>Hampton, Joanna</v>
      </c>
      <c r="AA1156" s="22" t="str">
        <f>IFERROR(__xludf.DUMMYFUNCTION("""COMPUTED_VALUE"""),"5408 Swiss Avenue")</f>
        <v>5408 Swiss Avenue</v>
      </c>
      <c r="AB1156" s="22" t="str">
        <f>IFERROR(__xludf.DUMMYFUNCTION("""COMPUTED_VALUE"""),"Dallas, TX 75214")</f>
        <v>Dallas, TX 75214</v>
      </c>
      <c r="AC1156" s="31" t="s">
        <v>2601</v>
      </c>
      <c r="AD1156" s="22"/>
      <c r="AE1156" s="22"/>
      <c r="AF1156" s="22"/>
      <c r="AG1156" s="22" t="s">
        <v>60</v>
      </c>
      <c r="AH1156" s="54">
        <v>2482.0</v>
      </c>
      <c r="AI1156" s="22" t="s">
        <v>68</v>
      </c>
      <c r="AJ1156" s="27">
        <v>250.0</v>
      </c>
      <c r="AK1156" s="31" t="s">
        <v>31</v>
      </c>
      <c r="AL1156" s="28">
        <v>44804.0</v>
      </c>
      <c r="AM1156" s="29">
        <v>44938.558541666665</v>
      </c>
      <c r="AN1156" s="30">
        <v>2.0</v>
      </c>
      <c r="AO1156" s="22"/>
      <c r="AP1156" s="22"/>
      <c r="AQ1156" s="22"/>
      <c r="AR1156" s="22"/>
      <c r="AS1156" s="22"/>
      <c r="AT1156" s="70"/>
      <c r="AU1156" s="22"/>
      <c r="AV1156" s="57"/>
      <c r="AW1156" s="57"/>
      <c r="AX1156" s="70"/>
      <c r="AY1156" s="29"/>
      <c r="AZ1156" s="30"/>
      <c r="CU1156" s="55"/>
      <c r="CV1156" s="55"/>
      <c r="CW1156" s="55"/>
      <c r="CX1156" s="55"/>
      <c r="CY1156" s="55"/>
      <c r="CZ1156" s="55"/>
      <c r="DA1156" s="82"/>
      <c r="DB1156" s="55"/>
      <c r="DC1156" s="55"/>
      <c r="DD1156" s="55"/>
      <c r="DE1156" s="55"/>
      <c r="DF1156" s="55"/>
      <c r="DG1156" s="55"/>
      <c r="DH1156" s="55"/>
      <c r="DI1156" s="55"/>
      <c r="DJ1156" s="55"/>
      <c r="DK1156" s="55"/>
      <c r="DL1156" s="55"/>
      <c r="DM1156" s="55"/>
      <c r="DN1156" s="55"/>
      <c r="DO1156" s="55"/>
      <c r="DP1156" s="55"/>
      <c r="DQ1156" s="55"/>
      <c r="DR1156" s="55"/>
      <c r="DS1156" s="55"/>
      <c r="DT1156" s="55"/>
      <c r="DU1156" s="55"/>
      <c r="DV1156" s="55"/>
      <c r="DW1156" s="55"/>
    </row>
    <row r="1157">
      <c r="A1157" s="40" t="s">
        <v>55</v>
      </c>
      <c r="B1157" s="41" t="s">
        <v>56</v>
      </c>
      <c r="C1157" s="31" t="s">
        <v>2602</v>
      </c>
      <c r="D1157" s="25" t="str">
        <f>IFERROR(__xludf.DUMMYFUNCTION("SPLIT(C1157,"" "")"),"Seymour,")</f>
        <v>Seymour,</v>
      </c>
      <c r="E1157" s="40" t="str">
        <f>IFERROR(__xludf.DUMMYFUNCTION("""COMPUTED_VALUE"""),"Jeffrey
7806")</f>
        <v>Jeffrey
7806</v>
      </c>
      <c r="F1157" s="40" t="str">
        <f>IFERROR(__xludf.DUMMYFUNCTION("""COMPUTED_VALUE"""),"Yamini")</f>
        <v>Yamini</v>
      </c>
      <c r="G1157" s="40" t="str">
        <f>IFERROR(__xludf.DUMMYFUNCTION("""COMPUTED_VALUE"""),"Dr
Dallas,")</f>
        <v>Dr
Dallas,</v>
      </c>
      <c r="H1157" s="40" t="str">
        <f>IFERROR(__xludf.DUMMYFUNCTION("""COMPUTED_VALUE"""),"TX")</f>
        <v>TX</v>
      </c>
      <c r="I1157" s="40">
        <f>IFERROR(__xludf.DUMMYFUNCTION("""COMPUTED_VALUE"""),75230.0)</f>
        <v>75230</v>
      </c>
      <c r="J1157" s="40"/>
      <c r="K1157" s="40"/>
      <c r="L1157" s="40"/>
      <c r="M1157" s="40"/>
      <c r="N1157" s="40"/>
      <c r="O1157" s="40"/>
      <c r="P1157" s="40"/>
      <c r="Q1157" s="40"/>
      <c r="R1157" s="40"/>
      <c r="S1157" s="40"/>
      <c r="T1157" s="40"/>
      <c r="U1157" s="24" t="str">
        <f>IFERROR(__xludf.DUMMYFUNCTION("SPLIT(E1157,""01234567890"")"),"Jeffrey
")</f>
        <v>Jeffrey
</v>
      </c>
      <c r="V1157" s="24" t="str">
        <f>IFERROR(__xludf.DUMMYFUNCTION("SPLIT(D1157,"","")"),"Seymour")</f>
        <v>Seymour</v>
      </c>
      <c r="W1157" s="25" t="str">
        <f t="shared" si="1"/>
        <v>JEFFREY
 SEYMOUR</v>
      </c>
      <c r="X1157" s="40"/>
      <c r="Y1157" s="40"/>
      <c r="Z1157" s="25" t="str">
        <f>IFERROR(__xludf.DUMMYFUNCTION("SPLIT(C1157,""
"")"),"Seymour, Jeffrey")</f>
        <v>Seymour, Jeffrey</v>
      </c>
      <c r="AA1157" s="40" t="str">
        <f>IFERROR(__xludf.DUMMYFUNCTION("""COMPUTED_VALUE"""),"7806 Yamini Dr")</f>
        <v>7806 Yamini Dr</v>
      </c>
      <c r="AB1157" s="40" t="str">
        <f>IFERROR(__xludf.DUMMYFUNCTION("""COMPUTED_VALUE"""),"Dallas, TX 75230")</f>
        <v>Dallas, TX 75230</v>
      </c>
      <c r="AC1157" s="31" t="s">
        <v>2603</v>
      </c>
      <c r="AD1157" s="40"/>
      <c r="AE1157" s="40"/>
      <c r="AF1157" s="40"/>
      <c r="AG1157" s="40" t="s">
        <v>60</v>
      </c>
      <c r="AH1157" s="42">
        <v>2482.0</v>
      </c>
      <c r="AI1157" s="40" t="s">
        <v>68</v>
      </c>
      <c r="AJ1157" s="27">
        <v>100.0</v>
      </c>
      <c r="AK1157" s="31" t="s">
        <v>31</v>
      </c>
      <c r="AL1157" s="43">
        <v>44804.0</v>
      </c>
      <c r="AM1157" s="44">
        <v>44938.558541666665</v>
      </c>
      <c r="AN1157" s="30">
        <v>2.0</v>
      </c>
      <c r="AO1157" s="40"/>
      <c r="AP1157" s="40"/>
      <c r="AQ1157" s="40"/>
      <c r="AR1157" s="40"/>
      <c r="AS1157" s="40"/>
      <c r="AT1157" s="47"/>
      <c r="AU1157" s="40"/>
      <c r="AV1157" s="46"/>
      <c r="AW1157" s="46"/>
      <c r="AX1157" s="47"/>
      <c r="AY1157" s="44"/>
      <c r="AZ1157" s="30"/>
      <c r="CU1157" s="55"/>
      <c r="CV1157" s="55"/>
      <c r="CW1157" s="55"/>
      <c r="CX1157" s="55"/>
      <c r="CY1157" s="55"/>
      <c r="CZ1157" s="55"/>
      <c r="DA1157" s="82"/>
      <c r="DB1157" s="55"/>
      <c r="DC1157" s="55"/>
      <c r="DD1157" s="55"/>
      <c r="DE1157" s="55"/>
      <c r="DF1157" s="55"/>
      <c r="DG1157" s="55"/>
      <c r="DH1157" s="55"/>
      <c r="DI1157" s="55"/>
      <c r="DJ1157" s="55"/>
      <c r="DK1157" s="55"/>
      <c r="DL1157" s="55"/>
      <c r="DM1157" s="55"/>
      <c r="DN1157" s="55"/>
      <c r="DO1157" s="55"/>
      <c r="DP1157" s="55"/>
      <c r="DQ1157" s="55"/>
      <c r="DR1157" s="55"/>
      <c r="DS1157" s="55"/>
      <c r="DT1157" s="55"/>
      <c r="DU1157" s="55"/>
      <c r="DV1157" s="55"/>
      <c r="DW1157" s="55"/>
    </row>
    <row r="1158">
      <c r="A1158" s="23" t="s">
        <v>64</v>
      </c>
      <c r="B1158" s="23" t="s">
        <v>56</v>
      </c>
      <c r="C1158" s="31" t="s">
        <v>2604</v>
      </c>
      <c r="D1158" s="25" t="str">
        <f>IFERROR(__xludf.DUMMYFUNCTION("SPLIT(C1158,"" "")"),"Chafetz,")</f>
        <v>Chafetz,</v>
      </c>
      <c r="E1158" s="22" t="str">
        <f>IFERROR(__xludf.DUMMYFUNCTION("""COMPUTED_VALUE"""),"Paul
12255")</f>
        <v>Paul
12255</v>
      </c>
      <c r="F1158" s="22" t="str">
        <f>IFERROR(__xludf.DUMMYFUNCTION("""COMPUTED_VALUE"""),"Montego")</f>
        <v>Montego</v>
      </c>
      <c r="G1158" s="22" t="str">
        <f>IFERROR(__xludf.DUMMYFUNCTION("""COMPUTED_VALUE"""),"Plaza
Dallas,")</f>
        <v>Plaza
Dallas,</v>
      </c>
      <c r="H1158" s="22" t="str">
        <f>IFERROR(__xludf.DUMMYFUNCTION("""COMPUTED_VALUE"""),"TX")</f>
        <v>TX</v>
      </c>
      <c r="I1158" s="22">
        <f>IFERROR(__xludf.DUMMYFUNCTION("""COMPUTED_VALUE"""),75230.0)</f>
        <v>75230</v>
      </c>
      <c r="J1158" s="22"/>
      <c r="K1158" s="22"/>
      <c r="L1158" s="22"/>
      <c r="M1158" s="22"/>
      <c r="N1158" s="22"/>
      <c r="O1158" s="22"/>
      <c r="P1158" s="22"/>
      <c r="Q1158" s="22"/>
      <c r="R1158" s="22"/>
      <c r="S1158" s="22"/>
      <c r="T1158" s="22"/>
      <c r="U1158" s="24" t="str">
        <f>IFERROR(__xludf.DUMMYFUNCTION("SPLIT(E1158,""01234567890"")"),"Paul
")</f>
        <v>Paul
</v>
      </c>
      <c r="V1158" s="24" t="str">
        <f>IFERROR(__xludf.DUMMYFUNCTION("SPLIT(D1158,"","")"),"Chafetz")</f>
        <v>Chafetz</v>
      </c>
      <c r="W1158" s="25" t="str">
        <f t="shared" si="1"/>
        <v>PAUL
 CHAFETZ</v>
      </c>
      <c r="X1158" s="22"/>
      <c r="Y1158" s="22"/>
      <c r="Z1158" s="25" t="str">
        <f>IFERROR(__xludf.DUMMYFUNCTION("SPLIT(C1158,""
"")"),"Chafetz, Paul")</f>
        <v>Chafetz, Paul</v>
      </c>
      <c r="AA1158" s="22" t="str">
        <f>IFERROR(__xludf.DUMMYFUNCTION("""COMPUTED_VALUE"""),"12255 Montego Plaza")</f>
        <v>12255 Montego Plaza</v>
      </c>
      <c r="AB1158" s="22" t="str">
        <f>IFERROR(__xludf.DUMMYFUNCTION("""COMPUTED_VALUE"""),"Dallas, TX 75230")</f>
        <v>Dallas, TX 75230</v>
      </c>
      <c r="AC1158" s="31" t="s">
        <v>2520</v>
      </c>
      <c r="AD1158" s="22"/>
      <c r="AE1158" s="22"/>
      <c r="AF1158" s="22"/>
      <c r="AG1158" s="22" t="s">
        <v>60</v>
      </c>
      <c r="AH1158" s="54">
        <v>2482.0</v>
      </c>
      <c r="AI1158" s="22" t="s">
        <v>68</v>
      </c>
      <c r="AJ1158" s="27">
        <v>100.0</v>
      </c>
      <c r="AK1158" s="31" t="s">
        <v>31</v>
      </c>
      <c r="AL1158" s="28">
        <v>44804.0</v>
      </c>
      <c r="AM1158" s="29">
        <v>44938.558541666665</v>
      </c>
      <c r="AN1158" s="30">
        <v>2.0</v>
      </c>
      <c r="AO1158" s="22"/>
      <c r="AP1158" s="22"/>
      <c r="AQ1158" s="22"/>
      <c r="AR1158" s="22"/>
      <c r="AS1158" s="22"/>
      <c r="AT1158" s="70"/>
      <c r="AU1158" s="22"/>
      <c r="AV1158" s="57"/>
      <c r="AW1158" s="57"/>
      <c r="AX1158" s="70"/>
      <c r="AY1158" s="29"/>
      <c r="AZ1158" s="30"/>
      <c r="CU1158" s="55"/>
      <c r="CV1158" s="55"/>
      <c r="CW1158" s="55"/>
      <c r="CX1158" s="55"/>
      <c r="CY1158" s="55"/>
      <c r="CZ1158" s="55"/>
      <c r="DA1158" s="82"/>
      <c r="DB1158" s="55"/>
      <c r="DC1158" s="55"/>
      <c r="DD1158" s="55"/>
      <c r="DE1158" s="55"/>
      <c r="DF1158" s="55"/>
      <c r="DG1158" s="55"/>
      <c r="DH1158" s="55"/>
      <c r="DI1158" s="55"/>
      <c r="DJ1158" s="55"/>
      <c r="DK1158" s="55"/>
      <c r="DL1158" s="55"/>
      <c r="DM1158" s="55"/>
      <c r="DN1158" s="55"/>
      <c r="DO1158" s="55"/>
      <c r="DP1158" s="55"/>
      <c r="DQ1158" s="55"/>
      <c r="DR1158" s="55"/>
      <c r="DS1158" s="55"/>
      <c r="DT1158" s="55"/>
      <c r="DU1158" s="55"/>
      <c r="DV1158" s="55"/>
      <c r="DW1158" s="55"/>
    </row>
    <row r="1159">
      <c r="A1159" s="40" t="s">
        <v>55</v>
      </c>
      <c r="B1159" s="41" t="s">
        <v>56</v>
      </c>
      <c r="C1159" s="31" t="s">
        <v>2605</v>
      </c>
      <c r="D1159" s="25" t="str">
        <f>IFERROR(__xludf.DUMMYFUNCTION("SPLIT(C1159,"" "")"),"Waldman,")</f>
        <v>Waldman,</v>
      </c>
      <c r="E1159" s="40" t="str">
        <f>IFERROR(__xludf.DUMMYFUNCTION("""COMPUTED_VALUE"""),"Helen
17005")</f>
        <v>Helen
17005</v>
      </c>
      <c r="F1159" s="40" t="str">
        <f>IFERROR(__xludf.DUMMYFUNCTION("""COMPUTED_VALUE"""),"Preston")</f>
        <v>Preston</v>
      </c>
      <c r="G1159" s="40" t="str">
        <f>IFERROR(__xludf.DUMMYFUNCTION("""COMPUTED_VALUE"""),"Bend")</f>
        <v>Bend</v>
      </c>
      <c r="H1159" s="40" t="str">
        <f>IFERROR(__xludf.DUMMYFUNCTION("""COMPUTED_VALUE"""),"Drive
Dallas,")</f>
        <v>Drive
Dallas,</v>
      </c>
      <c r="I1159" s="40" t="str">
        <f>IFERROR(__xludf.DUMMYFUNCTION("""COMPUTED_VALUE"""),"TX")</f>
        <v>TX</v>
      </c>
      <c r="J1159" s="40">
        <f>IFERROR(__xludf.DUMMYFUNCTION("""COMPUTED_VALUE"""),75248.0)</f>
        <v>75248</v>
      </c>
      <c r="K1159" s="40"/>
      <c r="L1159" s="40"/>
      <c r="M1159" s="40"/>
      <c r="N1159" s="40"/>
      <c r="O1159" s="40"/>
      <c r="P1159" s="40"/>
      <c r="Q1159" s="40"/>
      <c r="R1159" s="40"/>
      <c r="S1159" s="40"/>
      <c r="T1159" s="40"/>
      <c r="U1159" s="24" t="str">
        <f>IFERROR(__xludf.DUMMYFUNCTION("SPLIT(E1159,""01234567890"")"),"Helen
")</f>
        <v>Helen
</v>
      </c>
      <c r="V1159" s="24" t="str">
        <f>IFERROR(__xludf.DUMMYFUNCTION("SPLIT(D1159,"","")"),"Waldman")</f>
        <v>Waldman</v>
      </c>
      <c r="W1159" s="25" t="str">
        <f t="shared" si="1"/>
        <v>HELEN
 WALDMAN</v>
      </c>
      <c r="X1159" s="40"/>
      <c r="Y1159" s="40"/>
      <c r="Z1159" s="25" t="str">
        <f>IFERROR(__xludf.DUMMYFUNCTION("SPLIT(C1159,""
"")"),"Waldman, Helen")</f>
        <v>Waldman, Helen</v>
      </c>
      <c r="AA1159" s="40" t="str">
        <f>IFERROR(__xludf.DUMMYFUNCTION("""COMPUTED_VALUE"""),"17005 Preston Bend Drive")</f>
        <v>17005 Preston Bend Drive</v>
      </c>
      <c r="AB1159" s="40" t="str">
        <f>IFERROR(__xludf.DUMMYFUNCTION("""COMPUTED_VALUE"""),"Dallas, TX 75248")</f>
        <v>Dallas, TX 75248</v>
      </c>
      <c r="AC1159" s="31" t="s">
        <v>2606</v>
      </c>
      <c r="AD1159" s="40"/>
      <c r="AE1159" s="40"/>
      <c r="AF1159" s="40"/>
      <c r="AG1159" s="40" t="s">
        <v>60</v>
      </c>
      <c r="AH1159" s="42">
        <v>2482.0</v>
      </c>
      <c r="AI1159" s="40" t="s">
        <v>68</v>
      </c>
      <c r="AJ1159" s="27">
        <v>500.0</v>
      </c>
      <c r="AK1159" s="31" t="s">
        <v>31</v>
      </c>
      <c r="AL1159" s="43">
        <v>44798.0</v>
      </c>
      <c r="AM1159" s="44">
        <v>44938.558541666665</v>
      </c>
      <c r="AN1159" s="30">
        <v>2.0</v>
      </c>
      <c r="AO1159" s="40"/>
      <c r="AP1159" s="40"/>
      <c r="AQ1159" s="40"/>
      <c r="AR1159" s="40"/>
      <c r="AS1159" s="40"/>
      <c r="AT1159" s="47"/>
      <c r="AU1159" s="40"/>
      <c r="AV1159" s="46"/>
      <c r="AW1159" s="46"/>
      <c r="AX1159" s="47"/>
      <c r="AY1159" s="44"/>
      <c r="AZ1159" s="30"/>
      <c r="CU1159" s="55"/>
      <c r="CV1159" s="55"/>
      <c r="CW1159" s="55"/>
      <c r="CX1159" s="55"/>
      <c r="CY1159" s="55"/>
      <c r="CZ1159" s="55"/>
      <c r="DA1159" s="82"/>
      <c r="DB1159" s="55"/>
      <c r="DC1159" s="55"/>
      <c r="DD1159" s="55"/>
      <c r="DE1159" s="55"/>
      <c r="DF1159" s="55"/>
      <c r="DG1159" s="55"/>
      <c r="DH1159" s="55"/>
      <c r="DI1159" s="55"/>
      <c r="DJ1159" s="55"/>
      <c r="DK1159" s="55"/>
      <c r="DL1159" s="55"/>
      <c r="DM1159" s="55"/>
      <c r="DN1159" s="55"/>
      <c r="DO1159" s="55"/>
      <c r="DP1159" s="55"/>
      <c r="DQ1159" s="55"/>
      <c r="DR1159" s="55"/>
      <c r="DS1159" s="55"/>
      <c r="DT1159" s="55"/>
      <c r="DU1159" s="55"/>
      <c r="DV1159" s="55"/>
      <c r="DW1159" s="55"/>
    </row>
    <row r="1160">
      <c r="A1160" s="23" t="s">
        <v>64</v>
      </c>
      <c r="B1160" s="23" t="s">
        <v>56</v>
      </c>
      <c r="C1160" s="31" t="s">
        <v>2607</v>
      </c>
      <c r="D1160" s="25" t="str">
        <f>IFERROR(__xludf.DUMMYFUNCTION("SPLIT(C1160,"" "")"),"Schwarz,")</f>
        <v>Schwarz,</v>
      </c>
      <c r="E1160" s="22" t="str">
        <f>IFERROR(__xludf.DUMMYFUNCTION("""COMPUTED_VALUE"""),"Janice
12107")</f>
        <v>Janice
12107</v>
      </c>
      <c r="F1160" s="22" t="str">
        <f>IFERROR(__xludf.DUMMYFUNCTION("""COMPUTED_VALUE"""),"Prestonridge")</f>
        <v>Prestonridge</v>
      </c>
      <c r="G1160" s="22" t="str">
        <f>IFERROR(__xludf.DUMMYFUNCTION("""COMPUTED_VALUE"""),"Road
Dallas,")</f>
        <v>Road
Dallas,</v>
      </c>
      <c r="H1160" s="22" t="str">
        <f>IFERROR(__xludf.DUMMYFUNCTION("""COMPUTED_VALUE"""),"TX")</f>
        <v>TX</v>
      </c>
      <c r="I1160" s="22">
        <f>IFERROR(__xludf.DUMMYFUNCTION("""COMPUTED_VALUE"""),75230.0)</f>
        <v>75230</v>
      </c>
      <c r="J1160" s="22"/>
      <c r="K1160" s="22"/>
      <c r="L1160" s="22"/>
      <c r="M1160" s="22"/>
      <c r="N1160" s="22"/>
      <c r="O1160" s="22"/>
      <c r="P1160" s="22"/>
      <c r="Q1160" s="22"/>
      <c r="R1160" s="22"/>
      <c r="S1160" s="22"/>
      <c r="T1160" s="22"/>
      <c r="U1160" s="24" t="str">
        <f>IFERROR(__xludf.DUMMYFUNCTION("SPLIT(E1160,""01234567890"")"),"Janice
")</f>
        <v>Janice
</v>
      </c>
      <c r="V1160" s="24" t="str">
        <f>IFERROR(__xludf.DUMMYFUNCTION("SPLIT(D1160,"","")"),"Schwarz")</f>
        <v>Schwarz</v>
      </c>
      <c r="W1160" s="25" t="str">
        <f t="shared" si="1"/>
        <v>JANICE
 SCHWARZ</v>
      </c>
      <c r="X1160" s="22"/>
      <c r="Y1160" s="22"/>
      <c r="Z1160" s="25" t="str">
        <f>IFERROR(__xludf.DUMMYFUNCTION("SPLIT(C1160,""
"")"),"Schwarz, Janice")</f>
        <v>Schwarz, Janice</v>
      </c>
      <c r="AA1160" s="22" t="str">
        <f>IFERROR(__xludf.DUMMYFUNCTION("""COMPUTED_VALUE"""),"12107 Prestonridge Road")</f>
        <v>12107 Prestonridge Road</v>
      </c>
      <c r="AB1160" s="22" t="str">
        <f>IFERROR(__xludf.DUMMYFUNCTION("""COMPUTED_VALUE"""),"Dallas, TX 75230")</f>
        <v>Dallas, TX 75230</v>
      </c>
      <c r="AC1160" s="31" t="s">
        <v>2608</v>
      </c>
      <c r="AD1160" s="22"/>
      <c r="AE1160" s="22"/>
      <c r="AF1160" s="22"/>
      <c r="AG1160" s="22" t="s">
        <v>60</v>
      </c>
      <c r="AH1160" s="54">
        <v>2482.0</v>
      </c>
      <c r="AI1160" s="22" t="s">
        <v>68</v>
      </c>
      <c r="AJ1160" s="27">
        <v>100.0</v>
      </c>
      <c r="AK1160" s="31" t="s">
        <v>31</v>
      </c>
      <c r="AL1160" s="28">
        <v>44796.0</v>
      </c>
      <c r="AM1160" s="29">
        <v>44938.558541666665</v>
      </c>
      <c r="AN1160" s="30">
        <v>2.0</v>
      </c>
      <c r="AO1160" s="22"/>
      <c r="AP1160" s="22"/>
      <c r="AQ1160" s="22"/>
      <c r="AR1160" s="22"/>
      <c r="AS1160" s="22"/>
      <c r="AT1160" s="70"/>
      <c r="AU1160" s="22"/>
      <c r="AV1160" s="57"/>
      <c r="AW1160" s="57"/>
      <c r="AX1160" s="70"/>
      <c r="AY1160" s="29"/>
      <c r="AZ1160" s="30"/>
      <c r="CU1160" s="55"/>
      <c r="CV1160" s="55"/>
      <c r="CW1160" s="55"/>
      <c r="CX1160" s="55"/>
      <c r="CY1160" s="55"/>
      <c r="CZ1160" s="55"/>
      <c r="DA1160" s="82"/>
      <c r="DB1160" s="55"/>
      <c r="DC1160" s="55"/>
      <c r="DD1160" s="55"/>
      <c r="DE1160" s="55"/>
      <c r="DF1160" s="55"/>
      <c r="DG1160" s="55"/>
      <c r="DH1160" s="55"/>
      <c r="DI1160" s="55"/>
      <c r="DJ1160" s="55"/>
      <c r="DK1160" s="55"/>
      <c r="DL1160" s="55"/>
      <c r="DM1160" s="55"/>
      <c r="DN1160" s="55"/>
      <c r="DO1160" s="55"/>
      <c r="DP1160" s="55"/>
      <c r="DQ1160" s="55"/>
      <c r="DR1160" s="55"/>
      <c r="DS1160" s="55"/>
      <c r="DT1160" s="55"/>
      <c r="DU1160" s="55"/>
      <c r="DV1160" s="55"/>
      <c r="DW1160" s="55"/>
    </row>
    <row r="1161">
      <c r="A1161" s="40" t="s">
        <v>55</v>
      </c>
      <c r="B1161" s="41" t="s">
        <v>56</v>
      </c>
      <c r="C1161" s="31" t="s">
        <v>2609</v>
      </c>
      <c r="D1161" s="25" t="str">
        <f>IFERROR(__xludf.DUMMYFUNCTION("SPLIT(C1161,"" "")"),"Steinfield,")</f>
        <v>Steinfield,</v>
      </c>
      <c r="E1161" s="40" t="str">
        <f>IFERROR(__xludf.DUMMYFUNCTION("""COMPUTED_VALUE"""),"David
11603")</f>
        <v>David
11603</v>
      </c>
      <c r="F1161" s="40" t="str">
        <f>IFERROR(__xludf.DUMMYFUNCTION("""COMPUTED_VALUE"""),"High")</f>
        <v>High</v>
      </c>
      <c r="G1161" s="40" t="str">
        <f>IFERROR(__xludf.DUMMYFUNCTION("""COMPUTED_VALUE"""),"Forest")</f>
        <v>Forest</v>
      </c>
      <c r="H1161" s="40" t="str">
        <f>IFERROR(__xludf.DUMMYFUNCTION("""COMPUTED_VALUE"""),"Drive
Dallas,")</f>
        <v>Drive
Dallas,</v>
      </c>
      <c r="I1161" s="40" t="str">
        <f>IFERROR(__xludf.DUMMYFUNCTION("""COMPUTED_VALUE"""),"TX")</f>
        <v>TX</v>
      </c>
      <c r="J1161" s="40">
        <f>IFERROR(__xludf.DUMMYFUNCTION("""COMPUTED_VALUE"""),75230.0)</f>
        <v>75230</v>
      </c>
      <c r="K1161" s="40"/>
      <c r="L1161" s="40"/>
      <c r="M1161" s="40"/>
      <c r="N1161" s="40"/>
      <c r="O1161" s="40"/>
      <c r="P1161" s="40"/>
      <c r="Q1161" s="40"/>
      <c r="R1161" s="40"/>
      <c r="S1161" s="40"/>
      <c r="T1161" s="40"/>
      <c r="U1161" s="24" t="str">
        <f>IFERROR(__xludf.DUMMYFUNCTION("SPLIT(E1161,""01234567890"")"),"David
")</f>
        <v>David
</v>
      </c>
      <c r="V1161" s="24" t="str">
        <f>IFERROR(__xludf.DUMMYFUNCTION("SPLIT(D1161,"","")"),"Steinfield")</f>
        <v>Steinfield</v>
      </c>
      <c r="W1161" s="25" t="str">
        <f t="shared" si="1"/>
        <v>DAVID
 STEINFIELD</v>
      </c>
      <c r="X1161" s="40"/>
      <c r="Y1161" s="40"/>
      <c r="Z1161" s="25" t="str">
        <f>IFERROR(__xludf.DUMMYFUNCTION("SPLIT(C1161,""
"")"),"Steinfield, David")</f>
        <v>Steinfield, David</v>
      </c>
      <c r="AA1161" s="40" t="str">
        <f>IFERROR(__xludf.DUMMYFUNCTION("""COMPUTED_VALUE"""),"11603 High Forest Drive")</f>
        <v>11603 High Forest Drive</v>
      </c>
      <c r="AB1161" s="40" t="str">
        <f>IFERROR(__xludf.DUMMYFUNCTION("""COMPUTED_VALUE"""),"Dallas, TX 75230")</f>
        <v>Dallas, TX 75230</v>
      </c>
      <c r="AC1161" s="31" t="s">
        <v>2610</v>
      </c>
      <c r="AD1161" s="40"/>
      <c r="AE1161" s="40"/>
      <c r="AF1161" s="40"/>
      <c r="AG1161" s="40" t="s">
        <v>60</v>
      </c>
      <c r="AH1161" s="42">
        <v>2482.0</v>
      </c>
      <c r="AI1161" s="40" t="s">
        <v>68</v>
      </c>
      <c r="AJ1161" s="27">
        <v>500.0</v>
      </c>
      <c r="AK1161" s="31" t="s">
        <v>31</v>
      </c>
      <c r="AL1161" s="43">
        <v>44792.0</v>
      </c>
      <c r="AM1161" s="44">
        <v>44938.558541666665</v>
      </c>
      <c r="AN1161" s="30">
        <v>2.0</v>
      </c>
      <c r="AO1161" s="40"/>
      <c r="AP1161" s="40"/>
      <c r="AQ1161" s="40"/>
      <c r="AR1161" s="40"/>
      <c r="AS1161" s="40"/>
      <c r="AT1161" s="47"/>
      <c r="AU1161" s="40"/>
      <c r="AV1161" s="46"/>
      <c r="AW1161" s="46"/>
      <c r="AX1161" s="47"/>
      <c r="AY1161" s="44"/>
      <c r="AZ1161" s="30"/>
      <c r="CU1161" s="55"/>
      <c r="CV1161" s="55"/>
      <c r="CW1161" s="55"/>
      <c r="CX1161" s="55"/>
      <c r="CY1161" s="55"/>
      <c r="CZ1161" s="55"/>
      <c r="DA1161" s="82"/>
      <c r="DB1161" s="55"/>
      <c r="DC1161" s="55"/>
      <c r="DD1161" s="55"/>
      <c r="DE1161" s="55"/>
      <c r="DF1161" s="55"/>
      <c r="DG1161" s="55"/>
      <c r="DH1161" s="55"/>
      <c r="DI1161" s="55"/>
      <c r="DJ1161" s="55"/>
      <c r="DK1161" s="55"/>
      <c r="DL1161" s="55"/>
      <c r="DM1161" s="55"/>
      <c r="DN1161" s="55"/>
      <c r="DO1161" s="55"/>
      <c r="DP1161" s="55"/>
      <c r="DQ1161" s="55"/>
      <c r="DR1161" s="55"/>
      <c r="DS1161" s="55"/>
      <c r="DT1161" s="55"/>
      <c r="DU1161" s="55"/>
      <c r="DV1161" s="55"/>
      <c r="DW1161" s="55"/>
    </row>
    <row r="1162">
      <c r="A1162" s="23" t="s">
        <v>64</v>
      </c>
      <c r="B1162" s="23" t="s">
        <v>56</v>
      </c>
      <c r="C1162" s="31" t="s">
        <v>2611</v>
      </c>
      <c r="D1162" s="25" t="str">
        <f>IFERROR(__xludf.DUMMYFUNCTION("SPLIT(C1162,"" "")"),"Rosenberg,")</f>
        <v>Rosenberg,</v>
      </c>
      <c r="E1162" s="22" t="str">
        <f>IFERROR(__xludf.DUMMYFUNCTION("""COMPUTED_VALUE"""),"Steven
12036")</f>
        <v>Steven
12036</v>
      </c>
      <c r="F1162" s="22" t="str">
        <f>IFERROR(__xludf.DUMMYFUNCTION("""COMPUTED_VALUE"""),"Arbargee")</f>
        <v>Arbargee</v>
      </c>
      <c r="G1162" s="22" t="str">
        <f>IFERROR(__xludf.DUMMYFUNCTION("""COMPUTED_VALUE"""),"Cir
DALLAS,")</f>
        <v>Cir
DALLAS,</v>
      </c>
      <c r="H1162" s="22" t="str">
        <f>IFERROR(__xludf.DUMMYFUNCTION("""COMPUTED_VALUE"""),"TX")</f>
        <v>TX</v>
      </c>
      <c r="I1162" s="22">
        <f>IFERROR(__xludf.DUMMYFUNCTION("""COMPUTED_VALUE"""),75230.0)</f>
        <v>75230</v>
      </c>
      <c r="J1162" s="22"/>
      <c r="K1162" s="22"/>
      <c r="L1162" s="22"/>
      <c r="M1162" s="22"/>
      <c r="N1162" s="22"/>
      <c r="O1162" s="22"/>
      <c r="P1162" s="22"/>
      <c r="Q1162" s="22"/>
      <c r="R1162" s="22"/>
      <c r="S1162" s="22"/>
      <c r="T1162" s="22"/>
      <c r="U1162" s="24" t="str">
        <f>IFERROR(__xludf.DUMMYFUNCTION("SPLIT(E1162,""01234567890"")"),"Steven
")</f>
        <v>Steven
</v>
      </c>
      <c r="V1162" s="24" t="str">
        <f>IFERROR(__xludf.DUMMYFUNCTION("SPLIT(D1162,"","")"),"Rosenberg")</f>
        <v>Rosenberg</v>
      </c>
      <c r="W1162" s="25" t="str">
        <f t="shared" si="1"/>
        <v>STEVEN
 ROSENBERG</v>
      </c>
      <c r="X1162" s="22"/>
      <c r="Y1162" s="22"/>
      <c r="Z1162" s="25" t="str">
        <f>IFERROR(__xludf.DUMMYFUNCTION("SPLIT(C1162,""
"")"),"Rosenberg, Steven")</f>
        <v>Rosenberg, Steven</v>
      </c>
      <c r="AA1162" s="22" t="str">
        <f>IFERROR(__xludf.DUMMYFUNCTION("""COMPUTED_VALUE"""),"12036 Arbargee Cir")</f>
        <v>12036 Arbargee Cir</v>
      </c>
      <c r="AB1162" s="22" t="str">
        <f>IFERROR(__xludf.DUMMYFUNCTION("""COMPUTED_VALUE"""),"DALLAS, TX 75230")</f>
        <v>DALLAS, TX 75230</v>
      </c>
      <c r="AC1162" s="31" t="s">
        <v>2612</v>
      </c>
      <c r="AD1162" s="22"/>
      <c r="AE1162" s="22"/>
      <c r="AF1162" s="22"/>
      <c r="AG1162" s="22" t="s">
        <v>60</v>
      </c>
      <c r="AH1162" s="54">
        <v>2482.0</v>
      </c>
      <c r="AI1162" s="22" t="s">
        <v>68</v>
      </c>
      <c r="AJ1162" s="27">
        <v>500.0</v>
      </c>
      <c r="AK1162" s="31" t="s">
        <v>31</v>
      </c>
      <c r="AL1162" s="28">
        <v>44792.0</v>
      </c>
      <c r="AM1162" s="29">
        <v>44938.558541666665</v>
      </c>
      <c r="AN1162" s="30">
        <v>2.0</v>
      </c>
      <c r="AO1162" s="22"/>
      <c r="AP1162" s="22"/>
      <c r="AQ1162" s="22"/>
      <c r="AR1162" s="22"/>
      <c r="AS1162" s="22"/>
      <c r="AT1162" s="70"/>
      <c r="AU1162" s="22"/>
      <c r="AV1162" s="57"/>
      <c r="AW1162" s="57"/>
      <c r="AX1162" s="70"/>
      <c r="AY1162" s="29"/>
      <c r="AZ1162" s="30"/>
      <c r="CU1162" s="55"/>
      <c r="CV1162" s="55"/>
      <c r="CW1162" s="55"/>
      <c r="CX1162" s="55"/>
      <c r="CY1162" s="55"/>
      <c r="CZ1162" s="55"/>
      <c r="DA1162" s="82"/>
      <c r="DB1162" s="55"/>
      <c r="DC1162" s="55"/>
      <c r="DD1162" s="55"/>
      <c r="DE1162" s="55"/>
      <c r="DF1162" s="55"/>
      <c r="DG1162" s="55"/>
      <c r="DH1162" s="55"/>
      <c r="DI1162" s="55"/>
      <c r="DJ1162" s="55"/>
      <c r="DK1162" s="55"/>
      <c r="DL1162" s="55"/>
      <c r="DM1162" s="55"/>
      <c r="DN1162" s="55"/>
      <c r="DO1162" s="55"/>
      <c r="DP1162" s="55"/>
      <c r="DQ1162" s="55"/>
      <c r="DR1162" s="55"/>
      <c r="DS1162" s="55"/>
      <c r="DT1162" s="55"/>
      <c r="DU1162" s="55"/>
      <c r="DV1162" s="55"/>
      <c r="DW1162" s="55"/>
    </row>
    <row r="1163">
      <c r="A1163" s="40" t="s">
        <v>55</v>
      </c>
      <c r="B1163" s="41" t="s">
        <v>56</v>
      </c>
      <c r="C1163" s="31" t="s">
        <v>2613</v>
      </c>
      <c r="D1163" s="25" t="str">
        <f>IFERROR(__xludf.DUMMYFUNCTION("SPLIT(C1163,"" "")"),"Presby,")</f>
        <v>Presby,</v>
      </c>
      <c r="E1163" s="40" t="str">
        <f>IFERROR(__xludf.DUMMYFUNCTION("""COMPUTED_VALUE"""),"Ellen
8210")</f>
        <v>Ellen
8210</v>
      </c>
      <c r="F1163" s="40" t="str">
        <f>IFERROR(__xludf.DUMMYFUNCTION("""COMPUTED_VALUE"""),"Vitex")</f>
        <v>Vitex</v>
      </c>
      <c r="G1163" s="40" t="str">
        <f>IFERROR(__xludf.DUMMYFUNCTION("""COMPUTED_VALUE"""),"Ave
Dallas,")</f>
        <v>Ave
Dallas,</v>
      </c>
      <c r="H1163" s="40" t="str">
        <f>IFERROR(__xludf.DUMMYFUNCTION("""COMPUTED_VALUE"""),"TX")</f>
        <v>TX</v>
      </c>
      <c r="I1163" s="40">
        <f>IFERROR(__xludf.DUMMYFUNCTION("""COMPUTED_VALUE"""),75252.0)</f>
        <v>75252</v>
      </c>
      <c r="J1163" s="40"/>
      <c r="K1163" s="40"/>
      <c r="L1163" s="40"/>
      <c r="M1163" s="40"/>
      <c r="N1163" s="40"/>
      <c r="O1163" s="40"/>
      <c r="P1163" s="40"/>
      <c r="Q1163" s="40"/>
      <c r="R1163" s="40"/>
      <c r="S1163" s="40"/>
      <c r="T1163" s="40"/>
      <c r="U1163" s="24" t="str">
        <f>IFERROR(__xludf.DUMMYFUNCTION("SPLIT(E1163,""01234567890"")"),"Ellen
")</f>
        <v>Ellen
</v>
      </c>
      <c r="V1163" s="24" t="str">
        <f>IFERROR(__xludf.DUMMYFUNCTION("SPLIT(D1163,"","")"),"Presby")</f>
        <v>Presby</v>
      </c>
      <c r="W1163" s="25" t="str">
        <f t="shared" si="1"/>
        <v>ELLEN
 PRESBY</v>
      </c>
      <c r="X1163" s="40"/>
      <c r="Y1163" s="40"/>
      <c r="Z1163" s="25" t="str">
        <f>IFERROR(__xludf.DUMMYFUNCTION("SPLIT(C1163,""
"")"),"Presby, Ellen")</f>
        <v>Presby, Ellen</v>
      </c>
      <c r="AA1163" s="40" t="str">
        <f>IFERROR(__xludf.DUMMYFUNCTION("""COMPUTED_VALUE"""),"8210 Vitex Ave")</f>
        <v>8210 Vitex Ave</v>
      </c>
      <c r="AB1163" s="40" t="str">
        <f>IFERROR(__xludf.DUMMYFUNCTION("""COMPUTED_VALUE"""),"Dallas, TX 75252")</f>
        <v>Dallas, TX 75252</v>
      </c>
      <c r="AC1163" s="31" t="s">
        <v>2614</v>
      </c>
      <c r="AD1163" s="40"/>
      <c r="AE1163" s="40"/>
      <c r="AF1163" s="40"/>
      <c r="AG1163" s="40" t="s">
        <v>60</v>
      </c>
      <c r="AH1163" s="42">
        <v>2482.0</v>
      </c>
      <c r="AI1163" s="40" t="s">
        <v>68</v>
      </c>
      <c r="AJ1163" s="27">
        <v>500.0</v>
      </c>
      <c r="AK1163" s="31" t="s">
        <v>31</v>
      </c>
      <c r="AL1163" s="43">
        <v>44790.0</v>
      </c>
      <c r="AM1163" s="44">
        <v>44938.558541666665</v>
      </c>
      <c r="AN1163" s="30">
        <v>2.0</v>
      </c>
      <c r="AO1163" s="40"/>
      <c r="AP1163" s="40"/>
      <c r="AQ1163" s="40"/>
      <c r="AR1163" s="40"/>
      <c r="AS1163" s="40"/>
      <c r="AT1163" s="47"/>
      <c r="AU1163" s="40"/>
      <c r="AV1163" s="46"/>
      <c r="AW1163" s="46"/>
      <c r="AX1163" s="47"/>
      <c r="AY1163" s="44"/>
      <c r="AZ1163" s="30"/>
      <c r="CU1163" s="55"/>
      <c r="CV1163" s="55"/>
      <c r="CW1163" s="55"/>
      <c r="CX1163" s="55"/>
      <c r="CY1163" s="55"/>
      <c r="CZ1163" s="55"/>
      <c r="DA1163" s="82"/>
      <c r="DB1163" s="55"/>
      <c r="DC1163" s="55"/>
      <c r="DD1163" s="55"/>
      <c r="DE1163" s="55"/>
      <c r="DF1163" s="55"/>
      <c r="DG1163" s="55"/>
      <c r="DH1163" s="55"/>
      <c r="DI1163" s="55"/>
      <c r="DJ1163" s="55"/>
      <c r="DK1163" s="55"/>
      <c r="DL1163" s="55"/>
      <c r="DM1163" s="55"/>
      <c r="DN1163" s="55"/>
      <c r="DO1163" s="55"/>
      <c r="DP1163" s="55"/>
      <c r="DQ1163" s="55"/>
      <c r="DR1163" s="55"/>
      <c r="DS1163" s="55"/>
      <c r="DT1163" s="55"/>
      <c r="DU1163" s="55"/>
      <c r="DV1163" s="55"/>
      <c r="DW1163" s="55"/>
    </row>
    <row r="1164">
      <c r="A1164" s="23" t="s">
        <v>64</v>
      </c>
      <c r="B1164" s="23" t="s">
        <v>56</v>
      </c>
      <c r="C1164" s="31" t="s">
        <v>2615</v>
      </c>
      <c r="D1164" s="25" t="str">
        <f>IFERROR(__xludf.DUMMYFUNCTION("SPLIT(C1164,"" "")"),"Cheatham,")</f>
        <v>Cheatham,</v>
      </c>
      <c r="E1164" s="22" t="str">
        <f>IFERROR(__xludf.DUMMYFUNCTION("""COMPUTED_VALUE"""),"Diane
PO")</f>
        <v>Diane
PO</v>
      </c>
      <c r="F1164" s="22" t="str">
        <f>IFERROR(__xludf.DUMMYFUNCTION("""COMPUTED_VALUE"""),"Box")</f>
        <v>Box</v>
      </c>
      <c r="G1164" s="22" t="str">
        <f>IFERROR(__xludf.DUMMYFUNCTION("""COMPUTED_VALUE"""),"191166
Dallas,")</f>
        <v>191166
Dallas,</v>
      </c>
      <c r="H1164" s="22" t="str">
        <f>IFERROR(__xludf.DUMMYFUNCTION("""COMPUTED_VALUE"""),"TX")</f>
        <v>TX</v>
      </c>
      <c r="I1164" s="22">
        <f>IFERROR(__xludf.DUMMYFUNCTION("""COMPUTED_VALUE"""),75219.0)</f>
        <v>75219</v>
      </c>
      <c r="J1164" s="22"/>
      <c r="K1164" s="22"/>
      <c r="L1164" s="22"/>
      <c r="M1164" s="22"/>
      <c r="N1164" s="22"/>
      <c r="O1164" s="22"/>
      <c r="P1164" s="22"/>
      <c r="Q1164" s="22"/>
      <c r="R1164" s="22"/>
      <c r="S1164" s="22"/>
      <c r="T1164" s="22"/>
      <c r="U1164" s="24" t="str">
        <f>IFERROR(__xludf.DUMMYFUNCTION("SPLIT(E1164,""01234567890"")"),"Diane
PO")</f>
        <v>Diane
PO</v>
      </c>
      <c r="V1164" s="24" t="str">
        <f>IFERROR(__xludf.DUMMYFUNCTION("SPLIT(D1164,"","")"),"Cheatham")</f>
        <v>Cheatham</v>
      </c>
      <c r="W1164" s="25" t="str">
        <f t="shared" si="1"/>
        <v>DIANE
PO CHEATHAM</v>
      </c>
      <c r="X1164" s="22"/>
      <c r="Y1164" s="22"/>
      <c r="Z1164" s="25" t="str">
        <f>IFERROR(__xludf.DUMMYFUNCTION("SPLIT(C1164,""
"")"),"Cheatham, Diane")</f>
        <v>Cheatham, Diane</v>
      </c>
      <c r="AA1164" s="22" t="str">
        <f>IFERROR(__xludf.DUMMYFUNCTION("""COMPUTED_VALUE"""),"PO Box 191166")</f>
        <v>PO Box 191166</v>
      </c>
      <c r="AB1164" s="22" t="str">
        <f>IFERROR(__xludf.DUMMYFUNCTION("""COMPUTED_VALUE"""),"Dallas, TX 75219")</f>
        <v>Dallas, TX 75219</v>
      </c>
      <c r="AC1164" s="31" t="s">
        <v>2616</v>
      </c>
      <c r="AD1164" s="22"/>
      <c r="AE1164" s="22"/>
      <c r="AF1164" s="22"/>
      <c r="AG1164" s="22" t="s">
        <v>60</v>
      </c>
      <c r="AH1164" s="54">
        <v>2482.0</v>
      </c>
      <c r="AI1164" s="22" t="s">
        <v>68</v>
      </c>
      <c r="AJ1164" s="27">
        <v>1000.0</v>
      </c>
      <c r="AK1164" s="31" t="s">
        <v>31</v>
      </c>
      <c r="AL1164" s="28">
        <v>44789.0</v>
      </c>
      <c r="AM1164" s="29">
        <v>44938.558541666665</v>
      </c>
      <c r="AN1164" s="30">
        <v>2.0</v>
      </c>
      <c r="AO1164" s="22"/>
      <c r="AP1164" s="22"/>
      <c r="AQ1164" s="22"/>
      <c r="AR1164" s="22"/>
      <c r="AS1164" s="22"/>
      <c r="AT1164" s="70"/>
      <c r="AU1164" s="22"/>
      <c r="AV1164" s="57"/>
      <c r="AW1164" s="57"/>
      <c r="AX1164" s="70"/>
      <c r="AY1164" s="29"/>
      <c r="AZ1164" s="30"/>
      <c r="CU1164" s="55"/>
      <c r="CV1164" s="55"/>
      <c r="CW1164" s="55"/>
      <c r="CX1164" s="55"/>
      <c r="CY1164" s="55"/>
      <c r="CZ1164" s="55"/>
      <c r="DA1164" s="82"/>
      <c r="DB1164" s="55"/>
      <c r="DC1164" s="55"/>
      <c r="DD1164" s="55"/>
      <c r="DE1164" s="55"/>
      <c r="DF1164" s="55"/>
      <c r="DG1164" s="55"/>
      <c r="DH1164" s="55"/>
      <c r="DI1164" s="55"/>
      <c r="DJ1164" s="55"/>
      <c r="DK1164" s="55"/>
      <c r="DL1164" s="55"/>
      <c r="DM1164" s="55"/>
      <c r="DN1164" s="55"/>
      <c r="DO1164" s="55"/>
      <c r="DP1164" s="55"/>
      <c r="DQ1164" s="55"/>
      <c r="DR1164" s="55"/>
      <c r="DS1164" s="55"/>
      <c r="DT1164" s="55"/>
      <c r="DU1164" s="55"/>
      <c r="DV1164" s="55"/>
      <c r="DW1164" s="55"/>
    </row>
    <row r="1165">
      <c r="A1165" s="40" t="s">
        <v>55</v>
      </c>
      <c r="B1165" s="41" t="s">
        <v>56</v>
      </c>
      <c r="C1165" s="31" t="s">
        <v>2617</v>
      </c>
      <c r="D1165" s="25" t="str">
        <f>IFERROR(__xludf.DUMMYFUNCTION("SPLIT(C1165,"" "")"),"Hodes,")</f>
        <v>Hodes,</v>
      </c>
      <c r="E1165" s="40" t="str">
        <f>IFERROR(__xludf.DUMMYFUNCTION("""COMPUTED_VALUE"""),"Daniel
19")</f>
        <v>Daniel
19</v>
      </c>
      <c r="F1165" s="40" t="str">
        <f>IFERROR(__xludf.DUMMYFUNCTION("""COMPUTED_VALUE"""),"North")</f>
        <v>North</v>
      </c>
      <c r="G1165" s="40" t="str">
        <f>IFERROR(__xludf.DUMMYFUNCTION("""COMPUTED_VALUE"""),"Vista")</f>
        <v>Vista</v>
      </c>
      <c r="H1165" s="40" t="str">
        <f>IFERROR(__xludf.DUMMYFUNCTION("""COMPUTED_VALUE"""),"De")</f>
        <v>De</v>
      </c>
      <c r="I1165" s="40" t="str">
        <f>IFERROR(__xludf.DUMMYFUNCTION("""COMPUTED_VALUE"""),"Catalina
Laguna")</f>
        <v>Catalina
Laguna</v>
      </c>
      <c r="J1165" s="40" t="str">
        <f>IFERROR(__xludf.DUMMYFUNCTION("""COMPUTED_VALUE"""),"Beach,")</f>
        <v>Beach,</v>
      </c>
      <c r="K1165" s="40" t="str">
        <f>IFERROR(__xludf.DUMMYFUNCTION("""COMPUTED_VALUE"""),"CA")</f>
        <v>CA</v>
      </c>
      <c r="L1165" s="40">
        <f>IFERROR(__xludf.DUMMYFUNCTION("""COMPUTED_VALUE"""),92651.0)</f>
        <v>92651</v>
      </c>
      <c r="M1165" s="40"/>
      <c r="N1165" s="40"/>
      <c r="O1165" s="40"/>
      <c r="P1165" s="40"/>
      <c r="Q1165" s="40"/>
      <c r="R1165" s="40"/>
      <c r="S1165" s="40"/>
      <c r="T1165" s="40"/>
      <c r="U1165" s="24" t="str">
        <f>IFERROR(__xludf.DUMMYFUNCTION("SPLIT(E1165,""01234567890"")"),"Daniel
")</f>
        <v>Daniel
</v>
      </c>
      <c r="V1165" s="24" t="str">
        <f>IFERROR(__xludf.DUMMYFUNCTION("SPLIT(D1165,"","")"),"Hodes")</f>
        <v>Hodes</v>
      </c>
      <c r="W1165" s="25" t="str">
        <f t="shared" si="1"/>
        <v>DANIEL
 HODES</v>
      </c>
      <c r="X1165" s="40"/>
      <c r="Y1165" s="40"/>
      <c r="Z1165" s="25" t="str">
        <f>IFERROR(__xludf.DUMMYFUNCTION("SPLIT(C1165,""
"")"),"Hodes, Daniel")</f>
        <v>Hodes, Daniel</v>
      </c>
      <c r="AA1165" s="40" t="str">
        <f>IFERROR(__xludf.DUMMYFUNCTION("""COMPUTED_VALUE"""),"19 North Vista De Catalina")</f>
        <v>19 North Vista De Catalina</v>
      </c>
      <c r="AB1165" s="40" t="str">
        <f>IFERROR(__xludf.DUMMYFUNCTION("""COMPUTED_VALUE"""),"Laguna Beach, CA 92651")</f>
        <v>Laguna Beach, CA 92651</v>
      </c>
      <c r="AC1165" s="31" t="s">
        <v>2618</v>
      </c>
      <c r="AD1165" s="40"/>
      <c r="AE1165" s="40"/>
      <c r="AF1165" s="40"/>
      <c r="AG1165" s="40" t="s">
        <v>60</v>
      </c>
      <c r="AH1165" s="42">
        <v>2482.0</v>
      </c>
      <c r="AI1165" s="40" t="s">
        <v>68</v>
      </c>
      <c r="AJ1165" s="27">
        <v>1000.0</v>
      </c>
      <c r="AK1165" s="31" t="s">
        <v>31</v>
      </c>
      <c r="AL1165" s="43">
        <v>44785.0</v>
      </c>
      <c r="AM1165" s="44">
        <v>44938.558541666665</v>
      </c>
      <c r="AN1165" s="30">
        <v>2.0</v>
      </c>
      <c r="AO1165" s="40"/>
      <c r="AP1165" s="40"/>
      <c r="AQ1165" s="40"/>
      <c r="AR1165" s="40"/>
      <c r="AS1165" s="40"/>
      <c r="AT1165" s="47"/>
      <c r="AU1165" s="40"/>
      <c r="AV1165" s="46"/>
      <c r="AW1165" s="46"/>
      <c r="AX1165" s="47"/>
      <c r="AY1165" s="44"/>
      <c r="AZ1165" s="30"/>
      <c r="CU1165" s="55"/>
      <c r="CV1165" s="55"/>
      <c r="CW1165" s="55"/>
      <c r="CX1165" s="55"/>
      <c r="CY1165" s="55"/>
      <c r="CZ1165" s="55"/>
      <c r="DA1165" s="82"/>
      <c r="DB1165" s="55"/>
      <c r="DC1165" s="55"/>
      <c r="DD1165" s="55"/>
      <c r="DE1165" s="55"/>
      <c r="DF1165" s="55"/>
      <c r="DG1165" s="55"/>
      <c r="DH1165" s="55"/>
      <c r="DI1165" s="55"/>
      <c r="DJ1165" s="55"/>
      <c r="DK1165" s="55"/>
      <c r="DL1165" s="55"/>
      <c r="DM1165" s="55"/>
      <c r="DN1165" s="55"/>
      <c r="DO1165" s="55"/>
      <c r="DP1165" s="55"/>
      <c r="DQ1165" s="55"/>
      <c r="DR1165" s="55"/>
      <c r="DS1165" s="55"/>
      <c r="DT1165" s="55"/>
      <c r="DU1165" s="55"/>
      <c r="DV1165" s="55"/>
      <c r="DW1165" s="55"/>
    </row>
    <row r="1166">
      <c r="A1166" s="23" t="s">
        <v>64</v>
      </c>
      <c r="B1166" s="23" t="s">
        <v>56</v>
      </c>
      <c r="C1166" s="31" t="s">
        <v>2619</v>
      </c>
      <c r="D1166" s="25" t="str">
        <f>IFERROR(__xludf.DUMMYFUNCTION("SPLIT(C1166,"" "")"),"Schenkel,")</f>
        <v>Schenkel,</v>
      </c>
      <c r="E1166" s="22" t="str">
        <f>IFERROR(__xludf.DUMMYFUNCTION("""COMPUTED_VALUE"""),"Peter
614")</f>
        <v>Peter
614</v>
      </c>
      <c r="F1166" s="22" t="str">
        <f>IFERROR(__xludf.DUMMYFUNCTION("""COMPUTED_VALUE"""),"North")</f>
        <v>North</v>
      </c>
      <c r="G1166" s="22" t="str">
        <f>IFERROR(__xludf.DUMMYFUNCTION("""COMPUTED_VALUE"""),"Bishop")</f>
        <v>Bishop</v>
      </c>
      <c r="H1166" s="22" t="str">
        <f>IFERROR(__xludf.DUMMYFUNCTION("""COMPUTED_VALUE"""),"Avenue
Dallas,")</f>
        <v>Avenue
Dallas,</v>
      </c>
      <c r="I1166" s="22" t="str">
        <f>IFERROR(__xludf.DUMMYFUNCTION("""COMPUTED_VALUE"""),"TX")</f>
        <v>TX</v>
      </c>
      <c r="J1166" s="22">
        <f>IFERROR(__xludf.DUMMYFUNCTION("""COMPUTED_VALUE"""),75208.0)</f>
        <v>75208</v>
      </c>
      <c r="K1166" s="22"/>
      <c r="L1166" s="22"/>
      <c r="M1166" s="22"/>
      <c r="N1166" s="22"/>
      <c r="O1166" s="22"/>
      <c r="P1166" s="22"/>
      <c r="Q1166" s="22"/>
      <c r="R1166" s="22"/>
      <c r="S1166" s="22"/>
      <c r="T1166" s="22"/>
      <c r="U1166" s="24" t="str">
        <f>IFERROR(__xludf.DUMMYFUNCTION("SPLIT(E1166,""01234567890"")"),"Peter
")</f>
        <v>Peter
</v>
      </c>
      <c r="V1166" s="24" t="str">
        <f>IFERROR(__xludf.DUMMYFUNCTION("SPLIT(D1166,"","")"),"Schenkel")</f>
        <v>Schenkel</v>
      </c>
      <c r="W1166" s="25" t="str">
        <f t="shared" si="1"/>
        <v>PETER
 SCHENKEL</v>
      </c>
      <c r="X1166" s="22"/>
      <c r="Y1166" s="22"/>
      <c r="Z1166" s="25" t="str">
        <f>IFERROR(__xludf.DUMMYFUNCTION("SPLIT(C1166,""
"")"),"Schenkel, Peter")</f>
        <v>Schenkel, Peter</v>
      </c>
      <c r="AA1166" s="22" t="str">
        <f>IFERROR(__xludf.DUMMYFUNCTION("""COMPUTED_VALUE"""),"614 North Bishop Avenue")</f>
        <v>614 North Bishop Avenue</v>
      </c>
      <c r="AB1166" s="22" t="str">
        <f>IFERROR(__xludf.DUMMYFUNCTION("""COMPUTED_VALUE"""),"Dallas, TX 75208")</f>
        <v>Dallas, TX 75208</v>
      </c>
      <c r="AC1166" s="31" t="s">
        <v>2620</v>
      </c>
      <c r="AD1166" s="22"/>
      <c r="AE1166" s="22"/>
      <c r="AF1166" s="22"/>
      <c r="AG1166" s="22" t="s">
        <v>60</v>
      </c>
      <c r="AH1166" s="54">
        <v>2482.0</v>
      </c>
      <c r="AI1166" s="22" t="s">
        <v>68</v>
      </c>
      <c r="AJ1166" s="27">
        <v>500.0</v>
      </c>
      <c r="AK1166" s="31" t="s">
        <v>31</v>
      </c>
      <c r="AL1166" s="28">
        <v>44785.0</v>
      </c>
      <c r="AM1166" s="29">
        <v>44938.558541666665</v>
      </c>
      <c r="AN1166" s="30">
        <v>2.0</v>
      </c>
      <c r="AO1166" s="22"/>
      <c r="AP1166" s="22"/>
      <c r="AQ1166" s="22"/>
      <c r="AR1166" s="22"/>
      <c r="AS1166" s="22"/>
      <c r="AT1166" s="70"/>
      <c r="AU1166" s="22"/>
      <c r="AV1166" s="57"/>
      <c r="AW1166" s="57"/>
      <c r="AX1166" s="70"/>
      <c r="AY1166" s="29"/>
      <c r="AZ1166" s="30"/>
      <c r="CU1166" s="55"/>
      <c r="CV1166" s="55"/>
      <c r="CW1166" s="55"/>
      <c r="CX1166" s="55"/>
      <c r="CY1166" s="55"/>
      <c r="CZ1166" s="55"/>
      <c r="DA1166" s="82"/>
      <c r="DB1166" s="55"/>
      <c r="DC1166" s="55"/>
      <c r="DD1166" s="55"/>
      <c r="DE1166" s="55"/>
      <c r="DF1166" s="55"/>
      <c r="DG1166" s="55"/>
      <c r="DH1166" s="55"/>
      <c r="DI1166" s="55"/>
      <c r="DJ1166" s="55"/>
      <c r="DK1166" s="55"/>
      <c r="DL1166" s="55"/>
      <c r="DM1166" s="55"/>
      <c r="DN1166" s="55"/>
      <c r="DO1166" s="55"/>
      <c r="DP1166" s="55"/>
      <c r="DQ1166" s="55"/>
      <c r="DR1166" s="55"/>
      <c r="DS1166" s="55"/>
      <c r="DT1166" s="55"/>
      <c r="DU1166" s="55"/>
      <c r="DV1166" s="55"/>
      <c r="DW1166" s="55"/>
    </row>
    <row r="1167">
      <c r="A1167" s="40" t="s">
        <v>55</v>
      </c>
      <c r="B1167" s="41" t="s">
        <v>56</v>
      </c>
      <c r="C1167" s="31" t="s">
        <v>2621</v>
      </c>
      <c r="D1167" s="25" t="str">
        <f>IFERROR(__xludf.DUMMYFUNCTION("SPLIT(C1167,"" "")"),"Lyle,")</f>
        <v>Lyle,</v>
      </c>
      <c r="E1167" s="40" t="str">
        <f>IFERROR(__xludf.DUMMYFUNCTION("""COMPUTED_VALUE"""),"Bobby
34")</f>
        <v>Bobby
34</v>
      </c>
      <c r="F1167" s="40" t="str">
        <f>IFERROR(__xludf.DUMMYFUNCTION("""COMPUTED_VALUE"""),"Masland")</f>
        <v>Masland</v>
      </c>
      <c r="G1167" s="40" t="str">
        <f>IFERROR(__xludf.DUMMYFUNCTION("""COMPUTED_VALUE"""),"Circle
Dallas,")</f>
        <v>Circle
Dallas,</v>
      </c>
      <c r="H1167" s="40" t="str">
        <f>IFERROR(__xludf.DUMMYFUNCTION("""COMPUTED_VALUE"""),"TX")</f>
        <v>TX</v>
      </c>
      <c r="I1167" s="40">
        <f>IFERROR(__xludf.DUMMYFUNCTION("""COMPUTED_VALUE"""),75230.0)</f>
        <v>75230</v>
      </c>
      <c r="J1167" s="40"/>
      <c r="K1167" s="40"/>
      <c r="L1167" s="40"/>
      <c r="M1167" s="40"/>
      <c r="N1167" s="40"/>
      <c r="O1167" s="40"/>
      <c r="P1167" s="40"/>
      <c r="Q1167" s="40"/>
      <c r="R1167" s="40"/>
      <c r="S1167" s="40"/>
      <c r="T1167" s="40"/>
      <c r="U1167" s="24" t="str">
        <f>IFERROR(__xludf.DUMMYFUNCTION("SPLIT(E1167,""01234567890"")"),"Bobby
")</f>
        <v>Bobby
</v>
      </c>
      <c r="V1167" s="24" t="str">
        <f>IFERROR(__xludf.DUMMYFUNCTION("SPLIT(D1167,"","")"),"Lyle")</f>
        <v>Lyle</v>
      </c>
      <c r="W1167" s="25" t="str">
        <f t="shared" si="1"/>
        <v>BOBBY
 LYLE</v>
      </c>
      <c r="X1167" s="40"/>
      <c r="Y1167" s="40"/>
      <c r="Z1167" s="25" t="str">
        <f>IFERROR(__xludf.DUMMYFUNCTION("SPLIT(C1167,""
"")"),"Lyle, Bobby")</f>
        <v>Lyle, Bobby</v>
      </c>
      <c r="AA1167" s="40" t="str">
        <f>IFERROR(__xludf.DUMMYFUNCTION("""COMPUTED_VALUE"""),"34 Masland Circle")</f>
        <v>34 Masland Circle</v>
      </c>
      <c r="AB1167" s="40" t="str">
        <f>IFERROR(__xludf.DUMMYFUNCTION("""COMPUTED_VALUE"""),"Dallas, TX 75230")</f>
        <v>Dallas, TX 75230</v>
      </c>
      <c r="AC1167" s="31" t="s">
        <v>2622</v>
      </c>
      <c r="AD1167" s="40"/>
      <c r="AE1167" s="40"/>
      <c r="AF1167" s="40"/>
      <c r="AG1167" s="40" t="s">
        <v>60</v>
      </c>
      <c r="AH1167" s="42">
        <v>2482.0</v>
      </c>
      <c r="AI1167" s="40" t="s">
        <v>68</v>
      </c>
      <c r="AJ1167" s="27">
        <v>1000.0</v>
      </c>
      <c r="AK1167" s="31" t="s">
        <v>31</v>
      </c>
      <c r="AL1167" s="43">
        <v>44784.0</v>
      </c>
      <c r="AM1167" s="44">
        <v>44938.558541666665</v>
      </c>
      <c r="AN1167" s="30">
        <v>2.0</v>
      </c>
      <c r="AO1167" s="40"/>
      <c r="AP1167" s="40"/>
      <c r="AQ1167" s="40"/>
      <c r="AR1167" s="40"/>
      <c r="AS1167" s="40"/>
      <c r="AT1167" s="47"/>
      <c r="AU1167" s="40"/>
      <c r="AV1167" s="46"/>
      <c r="AW1167" s="46"/>
      <c r="AX1167" s="47"/>
      <c r="AY1167" s="44"/>
      <c r="AZ1167" s="30"/>
      <c r="CU1167" s="55"/>
      <c r="CV1167" s="55"/>
      <c r="CW1167" s="55"/>
      <c r="CX1167" s="55"/>
      <c r="CY1167" s="55"/>
      <c r="CZ1167" s="55"/>
      <c r="DA1167" s="82"/>
      <c r="DB1167" s="55"/>
      <c r="DC1167" s="55"/>
      <c r="DD1167" s="55"/>
      <c r="DE1167" s="55"/>
      <c r="DF1167" s="55"/>
      <c r="DG1167" s="55"/>
      <c r="DH1167" s="55"/>
      <c r="DI1167" s="55"/>
      <c r="DJ1167" s="55"/>
      <c r="DK1167" s="55"/>
      <c r="DL1167" s="55"/>
      <c r="DM1167" s="55"/>
      <c r="DN1167" s="55"/>
      <c r="DO1167" s="55"/>
      <c r="DP1167" s="55"/>
      <c r="DQ1167" s="55"/>
      <c r="DR1167" s="55"/>
      <c r="DS1167" s="55"/>
      <c r="DT1167" s="55"/>
      <c r="DU1167" s="55"/>
      <c r="DV1167" s="55"/>
      <c r="DW1167" s="55"/>
    </row>
    <row r="1168">
      <c r="A1168" s="23" t="s">
        <v>64</v>
      </c>
      <c r="B1168" s="23" t="s">
        <v>56</v>
      </c>
      <c r="C1168" s="31" t="s">
        <v>2623</v>
      </c>
      <c r="D1168" s="25" t="str">
        <f>IFERROR(__xludf.DUMMYFUNCTION("SPLIT(C1168,"" "")"),"Kleinman,")</f>
        <v>Kleinman,</v>
      </c>
      <c r="E1168" s="22" t="str">
        <f>IFERROR(__xludf.DUMMYFUNCTION("""COMPUTED_VALUE"""),"Mark
6926")</f>
        <v>Mark
6926</v>
      </c>
      <c r="F1168" s="22" t="str">
        <f>IFERROR(__xludf.DUMMYFUNCTION("""COMPUTED_VALUE"""),"Midbury")</f>
        <v>Midbury</v>
      </c>
      <c r="G1168" s="22" t="str">
        <f>IFERROR(__xludf.DUMMYFUNCTION("""COMPUTED_VALUE"""),"Dr
Dallas,")</f>
        <v>Dr
Dallas,</v>
      </c>
      <c r="H1168" s="22" t="str">
        <f>IFERROR(__xludf.DUMMYFUNCTION("""COMPUTED_VALUE"""),"TX")</f>
        <v>TX</v>
      </c>
      <c r="I1168" s="22">
        <f>IFERROR(__xludf.DUMMYFUNCTION("""COMPUTED_VALUE"""),75230.0)</f>
        <v>75230</v>
      </c>
      <c r="J1168" s="22"/>
      <c r="K1168" s="22"/>
      <c r="L1168" s="22"/>
      <c r="M1168" s="22"/>
      <c r="N1168" s="22"/>
      <c r="O1168" s="22"/>
      <c r="P1168" s="22"/>
      <c r="Q1168" s="22"/>
      <c r="R1168" s="22"/>
      <c r="S1168" s="22"/>
      <c r="T1168" s="22"/>
      <c r="U1168" s="24" t="str">
        <f>IFERROR(__xludf.DUMMYFUNCTION("SPLIT(E1168,""01234567890"")"),"Mark
")</f>
        <v>Mark
</v>
      </c>
      <c r="V1168" s="24" t="str">
        <f>IFERROR(__xludf.DUMMYFUNCTION("SPLIT(D1168,"","")"),"Kleinman")</f>
        <v>Kleinman</v>
      </c>
      <c r="W1168" s="25" t="str">
        <f t="shared" si="1"/>
        <v>MARK
 KLEINMAN</v>
      </c>
      <c r="X1168" s="22"/>
      <c r="Y1168" s="22"/>
      <c r="Z1168" s="25" t="str">
        <f>IFERROR(__xludf.DUMMYFUNCTION("SPLIT(C1168,""
"")"),"Kleinman, Mark")</f>
        <v>Kleinman, Mark</v>
      </c>
      <c r="AA1168" s="22" t="str">
        <f>IFERROR(__xludf.DUMMYFUNCTION("""COMPUTED_VALUE"""),"6926 Midbury Dr")</f>
        <v>6926 Midbury Dr</v>
      </c>
      <c r="AB1168" s="22" t="str">
        <f>IFERROR(__xludf.DUMMYFUNCTION("""COMPUTED_VALUE"""),"Dallas, TX 75230")</f>
        <v>Dallas, TX 75230</v>
      </c>
      <c r="AC1168" s="31" t="s">
        <v>2624</v>
      </c>
      <c r="AD1168" s="22"/>
      <c r="AE1168" s="22"/>
      <c r="AF1168" s="22"/>
      <c r="AG1168" s="22" t="s">
        <v>60</v>
      </c>
      <c r="AH1168" s="54">
        <v>2482.0</v>
      </c>
      <c r="AI1168" s="22" t="s">
        <v>68</v>
      </c>
      <c r="AJ1168" s="27">
        <v>250.0</v>
      </c>
      <c r="AK1168" s="31" t="s">
        <v>31</v>
      </c>
      <c r="AL1168" s="28">
        <v>44784.0</v>
      </c>
      <c r="AM1168" s="29">
        <v>44938.558541666665</v>
      </c>
      <c r="AN1168" s="30">
        <v>2.0</v>
      </c>
      <c r="AO1168" s="22"/>
      <c r="AP1168" s="22"/>
      <c r="AQ1168" s="22"/>
      <c r="AR1168" s="22"/>
      <c r="AS1168" s="22"/>
      <c r="AT1168" s="70"/>
      <c r="AU1168" s="22"/>
      <c r="AV1168" s="57"/>
      <c r="AW1168" s="57"/>
      <c r="AX1168" s="70"/>
      <c r="AY1168" s="29"/>
      <c r="AZ1168" s="30"/>
      <c r="CU1168" s="55"/>
      <c r="CV1168" s="55"/>
      <c r="CW1168" s="55"/>
      <c r="CX1168" s="55"/>
      <c r="CY1168" s="55"/>
      <c r="CZ1168" s="55"/>
      <c r="DA1168" s="82"/>
      <c r="DB1168" s="55"/>
      <c r="DC1168" s="55"/>
      <c r="DD1168" s="55"/>
      <c r="DE1168" s="55"/>
      <c r="DF1168" s="55"/>
      <c r="DG1168" s="55"/>
      <c r="DH1168" s="55"/>
      <c r="DI1168" s="55"/>
      <c r="DJ1168" s="55"/>
      <c r="DK1168" s="55"/>
      <c r="DL1168" s="55"/>
      <c r="DM1168" s="55"/>
      <c r="DN1168" s="55"/>
      <c r="DO1168" s="55"/>
      <c r="DP1168" s="55"/>
      <c r="DQ1168" s="55"/>
      <c r="DR1168" s="55"/>
      <c r="DS1168" s="55"/>
      <c r="DT1168" s="55"/>
      <c r="DU1168" s="55"/>
      <c r="DV1168" s="55"/>
      <c r="DW1168" s="55"/>
    </row>
    <row r="1169">
      <c r="A1169" s="40" t="s">
        <v>55</v>
      </c>
      <c r="B1169" s="41" t="s">
        <v>56</v>
      </c>
      <c r="C1169" s="31" t="s">
        <v>2625</v>
      </c>
      <c r="D1169" s="25" t="str">
        <f>IFERROR(__xludf.DUMMYFUNCTION("SPLIT(C1169,"" "")"),"Hoppenstein,")</f>
        <v>Hoppenstein,</v>
      </c>
      <c r="E1169" s="40" t="str">
        <f>IFERROR(__xludf.DUMMYFUNCTION("""COMPUTED_VALUE"""),"Carole")</f>
        <v>Carole</v>
      </c>
      <c r="F1169" s="40" t="str">
        <f>IFERROR(__xludf.DUMMYFUNCTION("""COMPUTED_VALUE"""),"Ann
3831")</f>
        <v>Ann
3831</v>
      </c>
      <c r="G1169" s="40" t="str">
        <f>IFERROR(__xludf.DUMMYFUNCTION("""COMPUTED_VALUE"""),"Duchess")</f>
        <v>Duchess</v>
      </c>
      <c r="H1169" s="40" t="str">
        <f>IFERROR(__xludf.DUMMYFUNCTION("""COMPUTED_VALUE"""),"Trail
Dallas,")</f>
        <v>Trail
Dallas,</v>
      </c>
      <c r="I1169" s="40" t="str">
        <f>IFERROR(__xludf.DUMMYFUNCTION("""COMPUTED_VALUE"""),"TX")</f>
        <v>TX</v>
      </c>
      <c r="J1169" s="40">
        <f>IFERROR(__xludf.DUMMYFUNCTION("""COMPUTED_VALUE"""),75229.0)</f>
        <v>75229</v>
      </c>
      <c r="K1169" s="40"/>
      <c r="L1169" s="40"/>
      <c r="M1169" s="40"/>
      <c r="N1169" s="40"/>
      <c r="O1169" s="40"/>
      <c r="P1169" s="40"/>
      <c r="Q1169" s="40"/>
      <c r="R1169" s="40"/>
      <c r="S1169" s="40"/>
      <c r="T1169" s="40"/>
      <c r="U1169" s="24" t="str">
        <f>IFERROR(__xludf.DUMMYFUNCTION("SPLIT(E1169,""01234567890"")"),"Carole")</f>
        <v>Carole</v>
      </c>
      <c r="V1169" s="24" t="str">
        <f>IFERROR(__xludf.DUMMYFUNCTION("SPLIT(D1169,"","")"),"Hoppenstein")</f>
        <v>Hoppenstein</v>
      </c>
      <c r="W1169" s="25" t="str">
        <f t="shared" si="1"/>
        <v>CAROLE HOPPENSTEIN</v>
      </c>
      <c r="X1169" s="40"/>
      <c r="Y1169" s="40"/>
      <c r="Z1169" s="25" t="str">
        <f>IFERROR(__xludf.DUMMYFUNCTION("SPLIT(C1169,""
"")"),"Hoppenstein, Carole Ann")</f>
        <v>Hoppenstein, Carole Ann</v>
      </c>
      <c r="AA1169" s="40" t="str">
        <f>IFERROR(__xludf.DUMMYFUNCTION("""COMPUTED_VALUE"""),"3831 Duchess Trail")</f>
        <v>3831 Duchess Trail</v>
      </c>
      <c r="AB1169" s="40" t="str">
        <f>IFERROR(__xludf.DUMMYFUNCTION("""COMPUTED_VALUE"""),"Dallas, TX 75229")</f>
        <v>Dallas, TX 75229</v>
      </c>
      <c r="AC1169" s="31" t="s">
        <v>2626</v>
      </c>
      <c r="AD1169" s="40"/>
      <c r="AE1169" s="40"/>
      <c r="AF1169" s="40"/>
      <c r="AG1169" s="40" t="s">
        <v>60</v>
      </c>
      <c r="AH1169" s="42">
        <v>2482.0</v>
      </c>
      <c r="AI1169" s="40" t="s">
        <v>68</v>
      </c>
      <c r="AJ1169" s="27">
        <v>500.0</v>
      </c>
      <c r="AK1169" s="31" t="s">
        <v>31</v>
      </c>
      <c r="AL1169" s="43">
        <v>44783.0</v>
      </c>
      <c r="AM1169" s="44">
        <v>44938.558541666665</v>
      </c>
      <c r="AN1169" s="30">
        <v>2.0</v>
      </c>
      <c r="AO1169" s="40"/>
      <c r="AP1169" s="40"/>
      <c r="AQ1169" s="40"/>
      <c r="AR1169" s="40"/>
      <c r="AS1169" s="40"/>
      <c r="AT1169" s="47"/>
      <c r="AU1169" s="40"/>
      <c r="AV1169" s="46"/>
      <c r="AW1169" s="46"/>
      <c r="AX1169" s="47"/>
      <c r="AY1169" s="44"/>
      <c r="AZ1169" s="30"/>
      <c r="CU1169" s="55"/>
      <c r="CV1169" s="55"/>
      <c r="CW1169" s="55"/>
      <c r="CX1169" s="55"/>
      <c r="CY1169" s="55"/>
      <c r="CZ1169" s="55"/>
      <c r="DA1169" s="82"/>
      <c r="DB1169" s="55"/>
      <c r="DC1169" s="55"/>
      <c r="DD1169" s="55"/>
      <c r="DE1169" s="55"/>
      <c r="DF1169" s="55"/>
      <c r="DG1169" s="55"/>
      <c r="DH1169" s="55"/>
      <c r="DI1169" s="55"/>
      <c r="DJ1169" s="55"/>
      <c r="DK1169" s="55"/>
      <c r="DL1169" s="55"/>
      <c r="DM1169" s="55"/>
      <c r="DN1169" s="55"/>
      <c r="DO1169" s="55"/>
      <c r="DP1169" s="55"/>
      <c r="DQ1169" s="55"/>
      <c r="DR1169" s="55"/>
      <c r="DS1169" s="55"/>
      <c r="DT1169" s="55"/>
      <c r="DU1169" s="55"/>
      <c r="DV1169" s="55"/>
      <c r="DW1169" s="55"/>
    </row>
    <row r="1170">
      <c r="A1170" s="23" t="s">
        <v>64</v>
      </c>
      <c r="B1170" s="23" t="s">
        <v>56</v>
      </c>
      <c r="C1170" s="31" t="s">
        <v>428</v>
      </c>
      <c r="D1170" s="25" t="str">
        <f>IFERROR(__xludf.DUMMYFUNCTION("SPLIT(C1170,"" "")"),"Billingsley,")</f>
        <v>Billingsley,</v>
      </c>
      <c r="E1170" s="22" t="str">
        <f>IFERROR(__xludf.DUMMYFUNCTION("""COMPUTED_VALUE"""),"Lucy
1722")</f>
        <v>Lucy
1722</v>
      </c>
      <c r="F1170" s="22" t="str">
        <f>IFERROR(__xludf.DUMMYFUNCTION("""COMPUTED_VALUE"""),"Routh")</f>
        <v>Routh</v>
      </c>
      <c r="G1170" s="22" t="str">
        <f>IFERROR(__xludf.DUMMYFUNCTION("""COMPUTED_VALUE"""),"Street")</f>
        <v>Street</v>
      </c>
      <c r="H1170" s="22" t="str">
        <f>IFERROR(__xludf.DUMMYFUNCTION("""COMPUTED_VALUE"""),"Suite
Dallas,")</f>
        <v>Suite
Dallas,</v>
      </c>
      <c r="I1170" s="22" t="str">
        <f>IFERROR(__xludf.DUMMYFUNCTION("""COMPUTED_VALUE"""),"TX")</f>
        <v>TX</v>
      </c>
      <c r="J1170" s="22">
        <f>IFERROR(__xludf.DUMMYFUNCTION("""COMPUTED_VALUE"""),75201.0)</f>
        <v>75201</v>
      </c>
      <c r="K1170" s="22"/>
      <c r="L1170" s="22"/>
      <c r="M1170" s="22"/>
      <c r="N1170" s="22"/>
      <c r="O1170" s="22"/>
      <c r="P1170" s="22"/>
      <c r="Q1170" s="22"/>
      <c r="R1170" s="22"/>
      <c r="S1170" s="22"/>
      <c r="T1170" s="22"/>
      <c r="U1170" s="24" t="str">
        <f>IFERROR(__xludf.DUMMYFUNCTION("SPLIT(E1170,""01234567890"")"),"Lucy
")</f>
        <v>Lucy
</v>
      </c>
      <c r="V1170" s="24" t="str">
        <f>IFERROR(__xludf.DUMMYFUNCTION("SPLIT(D1170,"","")"),"Billingsley")</f>
        <v>Billingsley</v>
      </c>
      <c r="W1170" s="25" t="str">
        <f t="shared" si="1"/>
        <v>LUCY
 BILLINGSLEY</v>
      </c>
      <c r="X1170" s="22"/>
      <c r="Y1170" s="22"/>
      <c r="Z1170" s="25" t="str">
        <f>IFERROR(__xludf.DUMMYFUNCTION("SPLIT(C1170,""
"")"),"Billingsley, Lucy")</f>
        <v>Billingsley, Lucy</v>
      </c>
      <c r="AA1170" s="22" t="str">
        <f>IFERROR(__xludf.DUMMYFUNCTION("""COMPUTED_VALUE"""),"1722 Routh Street Suite")</f>
        <v>1722 Routh Street Suite</v>
      </c>
      <c r="AB1170" s="22" t="str">
        <f>IFERROR(__xludf.DUMMYFUNCTION("""COMPUTED_VALUE"""),"Dallas, TX 75201")</f>
        <v>Dallas, TX 75201</v>
      </c>
      <c r="AC1170" s="31" t="s">
        <v>425</v>
      </c>
      <c r="AD1170" s="22"/>
      <c r="AE1170" s="22"/>
      <c r="AF1170" s="22"/>
      <c r="AG1170" s="22" t="s">
        <v>60</v>
      </c>
      <c r="AH1170" s="54">
        <v>2482.0</v>
      </c>
      <c r="AI1170" s="22" t="s">
        <v>68</v>
      </c>
      <c r="AJ1170" s="27">
        <v>1000.0</v>
      </c>
      <c r="AK1170" s="31" t="s">
        <v>31</v>
      </c>
      <c r="AL1170" s="28">
        <v>44783.0</v>
      </c>
      <c r="AM1170" s="29">
        <v>44938.558541666665</v>
      </c>
      <c r="AN1170" s="30">
        <v>2.0</v>
      </c>
      <c r="AO1170" s="22"/>
      <c r="AP1170" s="22"/>
      <c r="AQ1170" s="22"/>
      <c r="AR1170" s="22"/>
      <c r="AS1170" s="22"/>
      <c r="AT1170" s="70"/>
      <c r="AU1170" s="22"/>
      <c r="AV1170" s="57"/>
      <c r="AW1170" s="57"/>
      <c r="AX1170" s="70"/>
      <c r="AY1170" s="29"/>
      <c r="AZ1170" s="30"/>
      <c r="CU1170" s="55"/>
      <c r="CV1170" s="55"/>
      <c r="CW1170" s="55"/>
      <c r="CX1170" s="55"/>
      <c r="CY1170" s="55"/>
      <c r="CZ1170" s="55"/>
      <c r="DA1170" s="82"/>
      <c r="DB1170" s="55"/>
      <c r="DC1170" s="55"/>
      <c r="DD1170" s="55"/>
      <c r="DE1170" s="55"/>
      <c r="DF1170" s="55"/>
      <c r="DG1170" s="55"/>
      <c r="DH1170" s="55"/>
      <c r="DI1170" s="55"/>
      <c r="DJ1170" s="55"/>
      <c r="DK1170" s="55"/>
      <c r="DL1170" s="55"/>
      <c r="DM1170" s="55"/>
      <c r="DN1170" s="55"/>
      <c r="DO1170" s="55"/>
      <c r="DP1170" s="55"/>
      <c r="DQ1170" s="55"/>
      <c r="DR1170" s="55"/>
      <c r="DS1170" s="55"/>
      <c r="DT1170" s="55"/>
      <c r="DU1170" s="55"/>
      <c r="DV1170" s="55"/>
      <c r="DW1170" s="55"/>
    </row>
    <row r="1171">
      <c r="A1171" s="40" t="s">
        <v>55</v>
      </c>
      <c r="B1171" s="41" t="s">
        <v>56</v>
      </c>
      <c r="C1171" s="31" t="s">
        <v>2627</v>
      </c>
      <c r="D1171" s="25" t="str">
        <f>IFERROR(__xludf.DUMMYFUNCTION("SPLIT(C1171,"" "")"),"Meyerson,")</f>
        <v>Meyerson,</v>
      </c>
      <c r="E1171" s="40" t="str">
        <f>IFERROR(__xludf.DUMMYFUNCTION("""COMPUTED_VALUE"""),"Morton
8604")</f>
        <v>Morton
8604</v>
      </c>
      <c r="F1171" s="40" t="str">
        <f>IFERROR(__xludf.DUMMYFUNCTION("""COMPUTED_VALUE"""),"Turtle")</f>
        <v>Turtle</v>
      </c>
      <c r="G1171" s="40" t="str">
        <f>IFERROR(__xludf.DUMMYFUNCTION("""COMPUTED_VALUE"""),"Creek")</f>
        <v>Creek</v>
      </c>
      <c r="H1171" s="40" t="str">
        <f>IFERROR(__xludf.DUMMYFUNCTION("""COMPUTED_VALUE"""),"Boulevard
Dallas,")</f>
        <v>Boulevard
Dallas,</v>
      </c>
      <c r="I1171" s="40" t="str">
        <f>IFERROR(__xludf.DUMMYFUNCTION("""COMPUTED_VALUE"""),"TX")</f>
        <v>TX</v>
      </c>
      <c r="J1171" s="40">
        <f>IFERROR(__xludf.DUMMYFUNCTION("""COMPUTED_VALUE"""),75225.0)</f>
        <v>75225</v>
      </c>
      <c r="K1171" s="40"/>
      <c r="L1171" s="40"/>
      <c r="M1171" s="40"/>
      <c r="N1171" s="40"/>
      <c r="O1171" s="40"/>
      <c r="P1171" s="40"/>
      <c r="Q1171" s="40"/>
      <c r="R1171" s="40"/>
      <c r="S1171" s="40"/>
      <c r="T1171" s="40"/>
      <c r="U1171" s="24" t="str">
        <f>IFERROR(__xludf.DUMMYFUNCTION("SPLIT(E1171,""01234567890"")"),"Morton
")</f>
        <v>Morton
</v>
      </c>
      <c r="V1171" s="24" t="str">
        <f>IFERROR(__xludf.DUMMYFUNCTION("SPLIT(D1171,"","")"),"Meyerson")</f>
        <v>Meyerson</v>
      </c>
      <c r="W1171" s="25" t="str">
        <f t="shared" si="1"/>
        <v>MORTON
 MEYERSON</v>
      </c>
      <c r="X1171" s="40"/>
      <c r="Y1171" s="40"/>
      <c r="Z1171" s="25" t="str">
        <f>IFERROR(__xludf.DUMMYFUNCTION("SPLIT(C1171,""
"")"),"Meyerson, Morton")</f>
        <v>Meyerson, Morton</v>
      </c>
      <c r="AA1171" s="40" t="str">
        <f>IFERROR(__xludf.DUMMYFUNCTION("""COMPUTED_VALUE"""),"8604 Turtle Creek Boulevard")</f>
        <v>8604 Turtle Creek Boulevard</v>
      </c>
      <c r="AB1171" s="40" t="str">
        <f>IFERROR(__xludf.DUMMYFUNCTION("""COMPUTED_VALUE"""),"Dallas, TX 75225")</f>
        <v>Dallas, TX 75225</v>
      </c>
      <c r="AC1171" s="31" t="s">
        <v>2628</v>
      </c>
      <c r="AD1171" s="40"/>
      <c r="AE1171" s="40"/>
      <c r="AF1171" s="40"/>
      <c r="AG1171" s="40" t="s">
        <v>60</v>
      </c>
      <c r="AH1171" s="42">
        <v>2482.0</v>
      </c>
      <c r="AI1171" s="40" t="s">
        <v>68</v>
      </c>
      <c r="AJ1171" s="27">
        <v>1000.0</v>
      </c>
      <c r="AK1171" s="31" t="s">
        <v>31</v>
      </c>
      <c r="AL1171" s="43">
        <v>44783.0</v>
      </c>
      <c r="AM1171" s="44">
        <v>44938.558541666665</v>
      </c>
      <c r="AN1171" s="30">
        <v>2.0</v>
      </c>
      <c r="AO1171" s="40"/>
      <c r="AP1171" s="40"/>
      <c r="AQ1171" s="40"/>
      <c r="AR1171" s="40"/>
      <c r="AS1171" s="40"/>
      <c r="AT1171" s="47"/>
      <c r="AU1171" s="40"/>
      <c r="AV1171" s="46"/>
      <c r="AW1171" s="46"/>
      <c r="AX1171" s="47"/>
      <c r="AY1171" s="44"/>
      <c r="AZ1171" s="30"/>
      <c r="CU1171" s="55"/>
      <c r="CV1171" s="55"/>
      <c r="CW1171" s="55"/>
      <c r="CX1171" s="55"/>
      <c r="CY1171" s="55"/>
      <c r="CZ1171" s="55"/>
      <c r="DA1171" s="82"/>
      <c r="DB1171" s="55"/>
      <c r="DC1171" s="55"/>
      <c r="DD1171" s="55"/>
      <c r="DE1171" s="55"/>
      <c r="DF1171" s="55"/>
      <c r="DG1171" s="55"/>
      <c r="DH1171" s="55"/>
      <c r="DI1171" s="55"/>
      <c r="DJ1171" s="55"/>
      <c r="DK1171" s="55"/>
      <c r="DL1171" s="55"/>
      <c r="DM1171" s="55"/>
      <c r="DN1171" s="55"/>
      <c r="DO1171" s="55"/>
      <c r="DP1171" s="55"/>
      <c r="DQ1171" s="55"/>
      <c r="DR1171" s="55"/>
      <c r="DS1171" s="55"/>
      <c r="DT1171" s="55"/>
      <c r="DU1171" s="55"/>
      <c r="DV1171" s="55"/>
      <c r="DW1171" s="55"/>
    </row>
    <row r="1172">
      <c r="A1172" s="23" t="s">
        <v>64</v>
      </c>
      <c r="B1172" s="23" t="s">
        <v>56</v>
      </c>
      <c r="C1172" s="31" t="s">
        <v>2629</v>
      </c>
      <c r="D1172" s="25" t="str">
        <f>IFERROR(__xludf.DUMMYFUNCTION("SPLIT(C1172,"" "")"),"Mackler,")</f>
        <v>Mackler,</v>
      </c>
      <c r="E1172" s="22" t="str">
        <f>IFERROR(__xludf.DUMMYFUNCTION("""COMPUTED_VALUE"""),"Scott
12123")</f>
        <v>Scott
12123</v>
      </c>
      <c r="F1172" s="22" t="str">
        <f>IFERROR(__xludf.DUMMYFUNCTION("""COMPUTED_VALUE"""),"Edgestone")</f>
        <v>Edgestone</v>
      </c>
      <c r="G1172" s="22" t="str">
        <f>IFERROR(__xludf.DUMMYFUNCTION("""COMPUTED_VALUE"""),"Rd
Dallas,")</f>
        <v>Rd
Dallas,</v>
      </c>
      <c r="H1172" s="22" t="str">
        <f>IFERROR(__xludf.DUMMYFUNCTION("""COMPUTED_VALUE"""),"TX")</f>
        <v>TX</v>
      </c>
      <c r="I1172" s="22">
        <f>IFERROR(__xludf.DUMMYFUNCTION("""COMPUTED_VALUE"""),75230.0)</f>
        <v>75230</v>
      </c>
      <c r="J1172" s="22"/>
      <c r="K1172" s="22"/>
      <c r="L1172" s="22"/>
      <c r="M1172" s="22"/>
      <c r="N1172" s="22"/>
      <c r="O1172" s="22"/>
      <c r="P1172" s="22"/>
      <c r="Q1172" s="22"/>
      <c r="R1172" s="22"/>
      <c r="S1172" s="22"/>
      <c r="T1172" s="22"/>
      <c r="U1172" s="24" t="str">
        <f>IFERROR(__xludf.DUMMYFUNCTION("SPLIT(E1172,""01234567890"")"),"Scott
")</f>
        <v>Scott
</v>
      </c>
      <c r="V1172" s="24" t="str">
        <f>IFERROR(__xludf.DUMMYFUNCTION("SPLIT(D1172,"","")"),"Mackler")</f>
        <v>Mackler</v>
      </c>
      <c r="W1172" s="25" t="str">
        <f t="shared" si="1"/>
        <v>SCOTT
 MACKLER</v>
      </c>
      <c r="X1172" s="22"/>
      <c r="Y1172" s="22"/>
      <c r="Z1172" s="25" t="str">
        <f>IFERROR(__xludf.DUMMYFUNCTION("SPLIT(C1172,""
"")"),"Mackler, Scott")</f>
        <v>Mackler, Scott</v>
      </c>
      <c r="AA1172" s="22" t="str">
        <f>IFERROR(__xludf.DUMMYFUNCTION("""COMPUTED_VALUE"""),"12123 Edgestone Rd")</f>
        <v>12123 Edgestone Rd</v>
      </c>
      <c r="AB1172" s="22" t="str">
        <f>IFERROR(__xludf.DUMMYFUNCTION("""COMPUTED_VALUE"""),"Dallas, TX 75230")</f>
        <v>Dallas, TX 75230</v>
      </c>
      <c r="AC1172" s="31" t="s">
        <v>2630</v>
      </c>
      <c r="AD1172" s="22"/>
      <c r="AE1172" s="22"/>
      <c r="AF1172" s="22"/>
      <c r="AG1172" s="22" t="s">
        <v>60</v>
      </c>
      <c r="AH1172" s="54">
        <v>2482.0</v>
      </c>
      <c r="AI1172" s="22" t="s">
        <v>68</v>
      </c>
      <c r="AJ1172" s="27">
        <v>100.0</v>
      </c>
      <c r="AK1172" s="31" t="s">
        <v>31</v>
      </c>
      <c r="AL1172" s="28">
        <v>44783.0</v>
      </c>
      <c r="AM1172" s="29">
        <v>44938.558541666665</v>
      </c>
      <c r="AN1172" s="30">
        <v>2.0</v>
      </c>
      <c r="AO1172" s="22"/>
      <c r="AP1172" s="22"/>
      <c r="AQ1172" s="22"/>
      <c r="AR1172" s="22"/>
      <c r="AS1172" s="22"/>
      <c r="AT1172" s="70"/>
      <c r="AU1172" s="22"/>
      <c r="AV1172" s="57"/>
      <c r="AW1172" s="57"/>
      <c r="AX1172" s="70"/>
      <c r="AY1172" s="29"/>
      <c r="AZ1172" s="30"/>
      <c r="CU1172" s="55"/>
      <c r="CV1172" s="55"/>
      <c r="CW1172" s="55"/>
      <c r="CX1172" s="55"/>
      <c r="CY1172" s="55"/>
      <c r="CZ1172" s="55"/>
      <c r="DA1172" s="82"/>
      <c r="DB1172" s="55"/>
      <c r="DC1172" s="55"/>
      <c r="DD1172" s="55"/>
      <c r="DE1172" s="55"/>
      <c r="DF1172" s="55"/>
      <c r="DG1172" s="55"/>
      <c r="DH1172" s="55"/>
      <c r="DI1172" s="55"/>
      <c r="DJ1172" s="55"/>
      <c r="DK1172" s="55"/>
      <c r="DL1172" s="55"/>
      <c r="DM1172" s="55"/>
      <c r="DN1172" s="55"/>
      <c r="DO1172" s="55"/>
      <c r="DP1172" s="55"/>
      <c r="DQ1172" s="55"/>
      <c r="DR1172" s="55"/>
      <c r="DS1172" s="55"/>
      <c r="DT1172" s="55"/>
      <c r="DU1172" s="55"/>
      <c r="DV1172" s="55"/>
      <c r="DW1172" s="55"/>
    </row>
    <row r="1173">
      <c r="A1173" s="40" t="s">
        <v>55</v>
      </c>
      <c r="B1173" s="41" t="s">
        <v>56</v>
      </c>
      <c r="C1173" s="31" t="s">
        <v>2631</v>
      </c>
      <c r="D1173" s="25" t="str">
        <f>IFERROR(__xludf.DUMMYFUNCTION("SPLIT(C1173,"" "")"),"Rabin,")</f>
        <v>Rabin,</v>
      </c>
      <c r="E1173" s="40" t="str">
        <f>IFERROR(__xludf.DUMMYFUNCTION("""COMPUTED_VALUE"""),"Stanley
24")</f>
        <v>Stanley
24</v>
      </c>
      <c r="F1173" s="40" t="str">
        <f>IFERROR(__xludf.DUMMYFUNCTION("""COMPUTED_VALUE"""),"Downs")</f>
        <v>Downs</v>
      </c>
      <c r="G1173" s="40" t="str">
        <f>IFERROR(__xludf.DUMMYFUNCTION("""COMPUTED_VALUE"""),"Lake")</f>
        <v>Lake</v>
      </c>
      <c r="H1173" s="40" t="str">
        <f>IFERROR(__xludf.DUMMYFUNCTION("""COMPUTED_VALUE"""),"Circle
Dallas,")</f>
        <v>Circle
Dallas,</v>
      </c>
      <c r="I1173" s="40" t="str">
        <f>IFERROR(__xludf.DUMMYFUNCTION("""COMPUTED_VALUE"""),"TX")</f>
        <v>TX</v>
      </c>
      <c r="J1173" s="40">
        <f>IFERROR(__xludf.DUMMYFUNCTION("""COMPUTED_VALUE"""),75230.0)</f>
        <v>75230</v>
      </c>
      <c r="K1173" s="40"/>
      <c r="L1173" s="40"/>
      <c r="M1173" s="40"/>
      <c r="N1173" s="40"/>
      <c r="O1173" s="40"/>
      <c r="P1173" s="40"/>
      <c r="Q1173" s="40"/>
      <c r="R1173" s="40"/>
      <c r="S1173" s="40"/>
      <c r="T1173" s="40"/>
      <c r="U1173" s="24" t="str">
        <f>IFERROR(__xludf.DUMMYFUNCTION("SPLIT(E1173,""01234567890"")"),"Stanley
")</f>
        <v>Stanley
</v>
      </c>
      <c r="V1173" s="24" t="str">
        <f>IFERROR(__xludf.DUMMYFUNCTION("SPLIT(D1173,"","")"),"Rabin")</f>
        <v>Rabin</v>
      </c>
      <c r="W1173" s="25" t="str">
        <f t="shared" si="1"/>
        <v>STANLEY
 RABIN</v>
      </c>
      <c r="X1173" s="40"/>
      <c r="Y1173" s="40"/>
      <c r="Z1173" s="25" t="str">
        <f>IFERROR(__xludf.DUMMYFUNCTION("SPLIT(C1173,""
"")"),"Rabin, Stanley")</f>
        <v>Rabin, Stanley</v>
      </c>
      <c r="AA1173" s="40" t="str">
        <f>IFERROR(__xludf.DUMMYFUNCTION("""COMPUTED_VALUE"""),"24 Downs Lake Circle")</f>
        <v>24 Downs Lake Circle</v>
      </c>
      <c r="AB1173" s="40" t="str">
        <f>IFERROR(__xludf.DUMMYFUNCTION("""COMPUTED_VALUE"""),"Dallas, TX 75230")</f>
        <v>Dallas, TX 75230</v>
      </c>
      <c r="AC1173" s="31" t="s">
        <v>2632</v>
      </c>
      <c r="AD1173" s="40"/>
      <c r="AE1173" s="40"/>
      <c r="AF1173" s="40"/>
      <c r="AG1173" s="40" t="s">
        <v>60</v>
      </c>
      <c r="AH1173" s="42">
        <v>2482.0</v>
      </c>
      <c r="AI1173" s="40" t="s">
        <v>68</v>
      </c>
      <c r="AJ1173" s="27">
        <v>1000.0</v>
      </c>
      <c r="AK1173" s="31" t="s">
        <v>31</v>
      </c>
      <c r="AL1173" s="43">
        <v>44783.0</v>
      </c>
      <c r="AM1173" s="44">
        <v>44938.558541666665</v>
      </c>
      <c r="AN1173" s="30">
        <v>2.0</v>
      </c>
      <c r="AO1173" s="40"/>
      <c r="AP1173" s="40"/>
      <c r="AQ1173" s="40"/>
      <c r="AR1173" s="40"/>
      <c r="AS1173" s="40"/>
      <c r="AT1173" s="47"/>
      <c r="AU1173" s="40"/>
      <c r="AV1173" s="46"/>
      <c r="AW1173" s="46"/>
      <c r="AX1173" s="47"/>
      <c r="AY1173" s="44"/>
      <c r="AZ1173" s="30"/>
      <c r="CU1173" s="55"/>
      <c r="CV1173" s="55"/>
      <c r="CW1173" s="55"/>
      <c r="CX1173" s="55"/>
      <c r="CY1173" s="55"/>
      <c r="CZ1173" s="55"/>
      <c r="DA1173" s="82"/>
      <c r="DB1173" s="55"/>
      <c r="DC1173" s="55"/>
      <c r="DD1173" s="55"/>
      <c r="DE1173" s="55"/>
      <c r="DF1173" s="55"/>
      <c r="DG1173" s="55"/>
      <c r="DH1173" s="55"/>
      <c r="DI1173" s="55"/>
      <c r="DJ1173" s="55"/>
      <c r="DK1173" s="55"/>
      <c r="DL1173" s="55"/>
      <c r="DM1173" s="55"/>
      <c r="DN1173" s="55"/>
      <c r="DO1173" s="55"/>
      <c r="DP1173" s="55"/>
      <c r="DQ1173" s="55"/>
      <c r="DR1173" s="55"/>
      <c r="DS1173" s="55"/>
      <c r="DT1173" s="55"/>
      <c r="DU1173" s="55"/>
      <c r="DV1173" s="55"/>
      <c r="DW1173" s="55"/>
    </row>
    <row r="1174">
      <c r="A1174" s="23" t="s">
        <v>64</v>
      </c>
      <c r="B1174" s="23" t="s">
        <v>56</v>
      </c>
      <c r="C1174" s="31" t="s">
        <v>2633</v>
      </c>
      <c r="D1174" s="25" t="str">
        <f>IFERROR(__xludf.DUMMYFUNCTION("SPLIT(C1174,"" "")"),"Polsky,")</f>
        <v>Polsky,</v>
      </c>
      <c r="E1174" s="22" t="str">
        <f>IFERROR(__xludf.DUMMYFUNCTION("""COMPUTED_VALUE"""),"Debra
15221")</f>
        <v>Debra
15221</v>
      </c>
      <c r="F1174" s="22" t="str">
        <f>IFERROR(__xludf.DUMMYFUNCTION("""COMPUTED_VALUE"""),"Berry")</f>
        <v>Berry</v>
      </c>
      <c r="G1174" s="22" t="str">
        <f>IFERROR(__xludf.DUMMYFUNCTION("""COMPUTED_VALUE"""),"Trail
Dallas,")</f>
        <v>Trail
Dallas,</v>
      </c>
      <c r="H1174" s="22" t="str">
        <f>IFERROR(__xludf.DUMMYFUNCTION("""COMPUTED_VALUE"""),"TX")</f>
        <v>TX</v>
      </c>
      <c r="I1174" s="22">
        <f>IFERROR(__xludf.DUMMYFUNCTION("""COMPUTED_VALUE"""),75248.0)</f>
        <v>75248</v>
      </c>
      <c r="J1174" s="22"/>
      <c r="K1174" s="22"/>
      <c r="L1174" s="22"/>
      <c r="M1174" s="22"/>
      <c r="N1174" s="22"/>
      <c r="O1174" s="22"/>
      <c r="P1174" s="22"/>
      <c r="Q1174" s="22"/>
      <c r="R1174" s="22"/>
      <c r="S1174" s="22"/>
      <c r="T1174" s="22"/>
      <c r="U1174" s="24" t="str">
        <f>IFERROR(__xludf.DUMMYFUNCTION("SPLIT(E1174,""01234567890"")"),"Debra
")</f>
        <v>Debra
</v>
      </c>
      <c r="V1174" s="24" t="str">
        <f>IFERROR(__xludf.DUMMYFUNCTION("SPLIT(D1174,"","")"),"Polsky")</f>
        <v>Polsky</v>
      </c>
      <c r="W1174" s="25" t="str">
        <f t="shared" si="1"/>
        <v>DEBRA
 POLSKY</v>
      </c>
      <c r="X1174" s="22"/>
      <c r="Y1174" s="22"/>
      <c r="Z1174" s="25" t="str">
        <f>IFERROR(__xludf.DUMMYFUNCTION("SPLIT(C1174,""
"")"),"Polsky, Debra")</f>
        <v>Polsky, Debra</v>
      </c>
      <c r="AA1174" s="22" t="str">
        <f>IFERROR(__xludf.DUMMYFUNCTION("""COMPUTED_VALUE"""),"15221 Berry Trail")</f>
        <v>15221 Berry Trail</v>
      </c>
      <c r="AB1174" s="22" t="str">
        <f>IFERROR(__xludf.DUMMYFUNCTION("""COMPUTED_VALUE"""),"Dallas, TX 75248")</f>
        <v>Dallas, TX 75248</v>
      </c>
      <c r="AC1174" s="31" t="s">
        <v>2634</v>
      </c>
      <c r="AD1174" s="22"/>
      <c r="AE1174" s="22"/>
      <c r="AF1174" s="22"/>
      <c r="AG1174" s="22" t="s">
        <v>60</v>
      </c>
      <c r="AH1174" s="54">
        <v>2482.0</v>
      </c>
      <c r="AI1174" s="22" t="s">
        <v>68</v>
      </c>
      <c r="AJ1174" s="27">
        <v>100.0</v>
      </c>
      <c r="AK1174" s="31" t="s">
        <v>31</v>
      </c>
      <c r="AL1174" s="28">
        <v>44783.0</v>
      </c>
      <c r="AM1174" s="29">
        <v>44938.558541666665</v>
      </c>
      <c r="AN1174" s="30">
        <v>2.0</v>
      </c>
      <c r="AO1174" s="22"/>
      <c r="AP1174" s="22"/>
      <c r="AQ1174" s="22"/>
      <c r="AR1174" s="22"/>
      <c r="AS1174" s="22"/>
      <c r="AT1174" s="70"/>
      <c r="AU1174" s="22"/>
      <c r="AV1174" s="57"/>
      <c r="AW1174" s="57"/>
      <c r="AX1174" s="70"/>
      <c r="AY1174" s="29"/>
      <c r="AZ1174" s="30"/>
      <c r="CU1174" s="55"/>
      <c r="CV1174" s="55"/>
      <c r="CW1174" s="55"/>
      <c r="CX1174" s="55"/>
      <c r="CY1174" s="55"/>
      <c r="CZ1174" s="55"/>
      <c r="DA1174" s="82"/>
      <c r="DB1174" s="55"/>
      <c r="DC1174" s="55"/>
      <c r="DD1174" s="55"/>
      <c r="DE1174" s="55"/>
      <c r="DF1174" s="55"/>
      <c r="DG1174" s="55"/>
      <c r="DH1174" s="55"/>
      <c r="DI1174" s="55"/>
      <c r="DJ1174" s="55"/>
      <c r="DK1174" s="55"/>
      <c r="DL1174" s="55"/>
      <c r="DM1174" s="55"/>
      <c r="DN1174" s="55"/>
      <c r="DO1174" s="55"/>
      <c r="DP1174" s="55"/>
      <c r="DQ1174" s="55"/>
      <c r="DR1174" s="55"/>
      <c r="DS1174" s="55"/>
      <c r="DT1174" s="55"/>
      <c r="DU1174" s="55"/>
      <c r="DV1174" s="55"/>
      <c r="DW1174" s="55"/>
    </row>
    <row r="1175">
      <c r="A1175" s="40" t="s">
        <v>55</v>
      </c>
      <c r="B1175" s="41" t="s">
        <v>56</v>
      </c>
      <c r="C1175" s="31" t="s">
        <v>2635</v>
      </c>
      <c r="D1175" s="25" t="str">
        <f>IFERROR(__xludf.DUMMYFUNCTION("SPLIT(C1175,"" "")"),"Kaseff,")</f>
        <v>Kaseff,</v>
      </c>
      <c r="E1175" s="40" t="str">
        <f>IFERROR(__xludf.DUMMYFUNCTION("""COMPUTED_VALUE"""),"Barry
6508")</f>
        <v>Barry
6508</v>
      </c>
      <c r="F1175" s="40" t="str">
        <f>IFERROR(__xludf.DUMMYFUNCTION("""COMPUTED_VALUE"""),"Overhill")</f>
        <v>Overhill</v>
      </c>
      <c r="G1175" s="40" t="str">
        <f>IFERROR(__xludf.DUMMYFUNCTION("""COMPUTED_VALUE"""),"Road
Mission")</f>
        <v>Road
Mission</v>
      </c>
      <c r="H1175" s="40" t="str">
        <f>IFERROR(__xludf.DUMMYFUNCTION("""COMPUTED_VALUE"""),"Hills,")</f>
        <v>Hills,</v>
      </c>
      <c r="I1175" s="40" t="str">
        <f>IFERROR(__xludf.DUMMYFUNCTION("""COMPUTED_VALUE"""),"KS")</f>
        <v>KS</v>
      </c>
      <c r="J1175" s="40">
        <f>IFERROR(__xludf.DUMMYFUNCTION("""COMPUTED_VALUE"""),66208.0)</f>
        <v>66208</v>
      </c>
      <c r="K1175" s="40"/>
      <c r="L1175" s="40"/>
      <c r="M1175" s="40"/>
      <c r="N1175" s="40"/>
      <c r="O1175" s="40"/>
      <c r="P1175" s="40"/>
      <c r="Q1175" s="40"/>
      <c r="R1175" s="40"/>
      <c r="S1175" s="40"/>
      <c r="T1175" s="40"/>
      <c r="U1175" s="24" t="str">
        <f>IFERROR(__xludf.DUMMYFUNCTION("SPLIT(E1175,""01234567890"")"),"Barry
")</f>
        <v>Barry
</v>
      </c>
      <c r="V1175" s="24" t="str">
        <f>IFERROR(__xludf.DUMMYFUNCTION("SPLIT(D1175,"","")"),"Kaseff")</f>
        <v>Kaseff</v>
      </c>
      <c r="W1175" s="25" t="str">
        <f t="shared" si="1"/>
        <v>BARRY
 KASEFF</v>
      </c>
      <c r="X1175" s="40"/>
      <c r="Y1175" s="40"/>
      <c r="Z1175" s="25" t="str">
        <f>IFERROR(__xludf.DUMMYFUNCTION("SPLIT(C1175,""
"")"),"Kaseff, Barry")</f>
        <v>Kaseff, Barry</v>
      </c>
      <c r="AA1175" s="40" t="str">
        <f>IFERROR(__xludf.DUMMYFUNCTION("""COMPUTED_VALUE"""),"6508 Overhill Road")</f>
        <v>6508 Overhill Road</v>
      </c>
      <c r="AB1175" s="40" t="str">
        <f>IFERROR(__xludf.DUMMYFUNCTION("""COMPUTED_VALUE"""),"Mission Hills, KS 66208")</f>
        <v>Mission Hills, KS 66208</v>
      </c>
      <c r="AC1175" s="31" t="s">
        <v>2636</v>
      </c>
      <c r="AD1175" s="40"/>
      <c r="AE1175" s="40"/>
      <c r="AF1175" s="40"/>
      <c r="AG1175" s="40" t="s">
        <v>60</v>
      </c>
      <c r="AH1175" s="42">
        <v>2482.0</v>
      </c>
      <c r="AI1175" s="40" t="s">
        <v>68</v>
      </c>
      <c r="AJ1175" s="27">
        <v>180.0</v>
      </c>
      <c r="AK1175" s="31" t="s">
        <v>31</v>
      </c>
      <c r="AL1175" s="43">
        <v>44783.0</v>
      </c>
      <c r="AM1175" s="44">
        <v>44938.558541666665</v>
      </c>
      <c r="AN1175" s="30">
        <v>2.0</v>
      </c>
      <c r="AO1175" s="40"/>
      <c r="AP1175" s="40"/>
      <c r="AQ1175" s="40"/>
      <c r="AR1175" s="40"/>
      <c r="AS1175" s="40"/>
      <c r="AT1175" s="47"/>
      <c r="AU1175" s="40"/>
      <c r="AV1175" s="46"/>
      <c r="AW1175" s="46"/>
      <c r="AX1175" s="47"/>
      <c r="AY1175" s="44"/>
      <c r="AZ1175" s="30"/>
      <c r="CU1175" s="55"/>
      <c r="CV1175" s="55"/>
      <c r="CW1175" s="55"/>
      <c r="CX1175" s="55"/>
      <c r="CY1175" s="55"/>
      <c r="CZ1175" s="55"/>
      <c r="DA1175" s="82"/>
      <c r="DB1175" s="55"/>
      <c r="DC1175" s="55"/>
      <c r="DD1175" s="55"/>
      <c r="DE1175" s="55"/>
      <c r="DF1175" s="55"/>
      <c r="DG1175" s="55"/>
      <c r="DH1175" s="55"/>
      <c r="DI1175" s="55"/>
      <c r="DJ1175" s="55"/>
      <c r="DK1175" s="55"/>
      <c r="DL1175" s="55"/>
      <c r="DM1175" s="55"/>
      <c r="DN1175" s="55"/>
      <c r="DO1175" s="55"/>
      <c r="DP1175" s="55"/>
      <c r="DQ1175" s="55"/>
      <c r="DR1175" s="55"/>
      <c r="DS1175" s="55"/>
      <c r="DT1175" s="55"/>
      <c r="DU1175" s="55"/>
      <c r="DV1175" s="55"/>
      <c r="DW1175" s="55"/>
    </row>
    <row r="1176">
      <c r="A1176" s="23" t="s">
        <v>64</v>
      </c>
      <c r="B1176" s="23" t="s">
        <v>56</v>
      </c>
      <c r="C1176" s="31" t="s">
        <v>2637</v>
      </c>
      <c r="D1176" s="25" t="str">
        <f>IFERROR(__xludf.DUMMYFUNCTION("SPLIT(C1176,"" "")"),"Houck,")</f>
        <v>Houck,</v>
      </c>
      <c r="E1176" s="22" t="str">
        <f>IFERROR(__xludf.DUMMYFUNCTION("""COMPUTED_VALUE"""),"Trish
1547")</f>
        <v>Trish
1547</v>
      </c>
      <c r="F1176" s="22" t="str">
        <f>IFERROR(__xludf.DUMMYFUNCTION("""COMPUTED_VALUE"""),"Cedar")</f>
        <v>Cedar</v>
      </c>
      <c r="G1176" s="22" t="str">
        <f>IFERROR(__xludf.DUMMYFUNCTION("""COMPUTED_VALUE"""),"Hill")</f>
        <v>Hill</v>
      </c>
      <c r="H1176" s="22" t="str">
        <f>IFERROR(__xludf.DUMMYFUNCTION("""COMPUTED_VALUE"""),"Ave
Dallas,")</f>
        <v>Ave
Dallas,</v>
      </c>
      <c r="I1176" s="22" t="str">
        <f>IFERROR(__xludf.DUMMYFUNCTION("""COMPUTED_VALUE"""),"TX")</f>
        <v>TX</v>
      </c>
      <c r="J1176" s="22">
        <f>IFERROR(__xludf.DUMMYFUNCTION("""COMPUTED_VALUE"""),75208.0)</f>
        <v>75208</v>
      </c>
      <c r="K1176" s="22"/>
      <c r="L1176" s="22"/>
      <c r="M1176" s="22"/>
      <c r="N1176" s="22"/>
      <c r="O1176" s="22"/>
      <c r="P1176" s="22"/>
      <c r="Q1176" s="22"/>
      <c r="R1176" s="22"/>
      <c r="S1176" s="22"/>
      <c r="T1176" s="22"/>
      <c r="U1176" s="24" t="str">
        <f>IFERROR(__xludf.DUMMYFUNCTION("SPLIT(E1176,""01234567890"")"),"Trish
")</f>
        <v>Trish
</v>
      </c>
      <c r="V1176" s="24" t="str">
        <f>IFERROR(__xludf.DUMMYFUNCTION("SPLIT(D1176,"","")"),"Houck")</f>
        <v>Houck</v>
      </c>
      <c r="W1176" s="25" t="str">
        <f t="shared" si="1"/>
        <v>TRISH
 HOUCK</v>
      </c>
      <c r="X1176" s="22"/>
      <c r="Y1176" s="22"/>
      <c r="Z1176" s="25" t="str">
        <f>IFERROR(__xludf.DUMMYFUNCTION("SPLIT(C1176,""
"")"),"Houck, Trish")</f>
        <v>Houck, Trish</v>
      </c>
      <c r="AA1176" s="22" t="str">
        <f>IFERROR(__xludf.DUMMYFUNCTION("""COMPUTED_VALUE"""),"1547 Cedar Hill Ave")</f>
        <v>1547 Cedar Hill Ave</v>
      </c>
      <c r="AB1176" s="22" t="str">
        <f>IFERROR(__xludf.DUMMYFUNCTION("""COMPUTED_VALUE"""),"Dallas, TX 75208")</f>
        <v>Dallas, TX 75208</v>
      </c>
      <c r="AC1176" s="31" t="s">
        <v>2638</v>
      </c>
      <c r="AD1176" s="22"/>
      <c r="AE1176" s="22"/>
      <c r="AF1176" s="22"/>
      <c r="AG1176" s="22" t="s">
        <v>60</v>
      </c>
      <c r="AH1176" s="54">
        <v>2482.0</v>
      </c>
      <c r="AI1176" s="22" t="s">
        <v>68</v>
      </c>
      <c r="AJ1176" s="27">
        <v>1000.0</v>
      </c>
      <c r="AK1176" s="31" t="s">
        <v>31</v>
      </c>
      <c r="AL1176" s="28">
        <v>44783.0</v>
      </c>
      <c r="AM1176" s="29">
        <v>44938.558541666665</v>
      </c>
      <c r="AN1176" s="30">
        <v>2.0</v>
      </c>
      <c r="AO1176" s="22"/>
      <c r="AP1176" s="22"/>
      <c r="AQ1176" s="22"/>
      <c r="AR1176" s="22"/>
      <c r="AS1176" s="22"/>
      <c r="AT1176" s="70"/>
      <c r="AU1176" s="22"/>
      <c r="AV1176" s="57"/>
      <c r="AW1176" s="57"/>
      <c r="AX1176" s="70"/>
      <c r="AY1176" s="29"/>
      <c r="AZ1176" s="30"/>
      <c r="CU1176" s="55"/>
      <c r="CV1176" s="55"/>
      <c r="CW1176" s="55"/>
      <c r="CX1176" s="55"/>
      <c r="CY1176" s="55"/>
      <c r="CZ1176" s="55"/>
      <c r="DA1176" s="82"/>
      <c r="DB1176" s="55"/>
      <c r="DC1176" s="55"/>
      <c r="DD1176" s="55"/>
      <c r="DE1176" s="55"/>
      <c r="DF1176" s="55"/>
      <c r="DG1176" s="55"/>
      <c r="DH1176" s="55"/>
      <c r="DI1176" s="55"/>
      <c r="DJ1176" s="55"/>
      <c r="DK1176" s="55"/>
      <c r="DL1176" s="55"/>
      <c r="DM1176" s="55"/>
      <c r="DN1176" s="55"/>
      <c r="DO1176" s="55"/>
      <c r="DP1176" s="55"/>
      <c r="DQ1176" s="55"/>
      <c r="DR1176" s="55"/>
      <c r="DS1176" s="55"/>
      <c r="DT1176" s="55"/>
      <c r="DU1176" s="55"/>
      <c r="DV1176" s="55"/>
      <c r="DW1176" s="55"/>
    </row>
    <row r="1177">
      <c r="A1177" s="40" t="s">
        <v>55</v>
      </c>
      <c r="B1177" s="41" t="s">
        <v>56</v>
      </c>
      <c r="C1177" s="31" t="s">
        <v>2639</v>
      </c>
      <c r="D1177" s="25" t="str">
        <f>IFERROR(__xludf.DUMMYFUNCTION("SPLIT(C1177,"" "")"),"Ward,")</f>
        <v>Ward,</v>
      </c>
      <c r="E1177" s="40" t="str">
        <f>IFERROR(__xludf.DUMMYFUNCTION("""COMPUTED_VALUE"""),"John
5020")</f>
        <v>John
5020</v>
      </c>
      <c r="F1177" s="40" t="str">
        <f>IFERROR(__xludf.DUMMYFUNCTION("""COMPUTED_VALUE"""),"Abbott")</f>
        <v>Abbott</v>
      </c>
      <c r="G1177" s="40" t="str">
        <f>IFERROR(__xludf.DUMMYFUNCTION("""COMPUTED_VALUE"""),"Avenue
Dallas,")</f>
        <v>Avenue
Dallas,</v>
      </c>
      <c r="H1177" s="40" t="str">
        <f>IFERROR(__xludf.DUMMYFUNCTION("""COMPUTED_VALUE"""),"TX")</f>
        <v>TX</v>
      </c>
      <c r="I1177" s="40">
        <f>IFERROR(__xludf.DUMMYFUNCTION("""COMPUTED_VALUE"""),75205.0)</f>
        <v>75205</v>
      </c>
      <c r="J1177" s="40"/>
      <c r="K1177" s="40"/>
      <c r="L1177" s="40"/>
      <c r="M1177" s="40"/>
      <c r="N1177" s="40"/>
      <c r="O1177" s="40"/>
      <c r="P1177" s="40"/>
      <c r="Q1177" s="40"/>
      <c r="R1177" s="40"/>
      <c r="S1177" s="40"/>
      <c r="T1177" s="40"/>
      <c r="U1177" s="24" t="str">
        <f>IFERROR(__xludf.DUMMYFUNCTION("SPLIT(E1177,""01234567890"")"),"John
")</f>
        <v>John
</v>
      </c>
      <c r="V1177" s="24" t="str">
        <f>IFERROR(__xludf.DUMMYFUNCTION("SPLIT(D1177,"","")"),"Ward")</f>
        <v>Ward</v>
      </c>
      <c r="W1177" s="25" t="str">
        <f t="shared" si="1"/>
        <v>JOHN
 WARD</v>
      </c>
      <c r="X1177" s="40"/>
      <c r="Y1177" s="40"/>
      <c r="Z1177" s="25" t="str">
        <f>IFERROR(__xludf.DUMMYFUNCTION("SPLIT(C1177,""
"")"),"Ward, John")</f>
        <v>Ward, John</v>
      </c>
      <c r="AA1177" s="40" t="str">
        <f>IFERROR(__xludf.DUMMYFUNCTION("""COMPUTED_VALUE"""),"5020 Abbott Avenue")</f>
        <v>5020 Abbott Avenue</v>
      </c>
      <c r="AB1177" s="40" t="str">
        <f>IFERROR(__xludf.DUMMYFUNCTION("""COMPUTED_VALUE"""),"Dallas, TX 75205")</f>
        <v>Dallas, TX 75205</v>
      </c>
      <c r="AC1177" s="31" t="s">
        <v>2640</v>
      </c>
      <c r="AD1177" s="40"/>
      <c r="AE1177" s="40"/>
      <c r="AF1177" s="40"/>
      <c r="AG1177" s="40" t="s">
        <v>60</v>
      </c>
      <c r="AH1177" s="42">
        <v>2482.0</v>
      </c>
      <c r="AI1177" s="40" t="s">
        <v>68</v>
      </c>
      <c r="AJ1177" s="27">
        <v>1000.0</v>
      </c>
      <c r="AK1177" s="31" t="s">
        <v>31</v>
      </c>
      <c r="AL1177" s="43">
        <v>44783.0</v>
      </c>
      <c r="AM1177" s="44">
        <v>44938.558541666665</v>
      </c>
      <c r="AN1177" s="30">
        <v>2.0</v>
      </c>
      <c r="AO1177" s="40"/>
      <c r="AP1177" s="40"/>
      <c r="AQ1177" s="40"/>
      <c r="AR1177" s="40"/>
      <c r="AS1177" s="40"/>
      <c r="AT1177" s="47"/>
      <c r="AU1177" s="40"/>
      <c r="AV1177" s="46"/>
      <c r="AW1177" s="46"/>
      <c r="AX1177" s="47"/>
      <c r="AY1177" s="44"/>
      <c r="AZ1177" s="30"/>
      <c r="CU1177" s="55"/>
      <c r="CV1177" s="55"/>
      <c r="CW1177" s="55"/>
      <c r="CX1177" s="55"/>
      <c r="CY1177" s="55"/>
      <c r="CZ1177" s="55"/>
      <c r="DA1177" s="82"/>
      <c r="DB1177" s="55"/>
      <c r="DC1177" s="55"/>
      <c r="DD1177" s="55"/>
      <c r="DE1177" s="55"/>
      <c r="DF1177" s="55"/>
      <c r="DG1177" s="55"/>
      <c r="DH1177" s="55"/>
      <c r="DI1177" s="55"/>
      <c r="DJ1177" s="55"/>
      <c r="DK1177" s="55"/>
      <c r="DL1177" s="55"/>
      <c r="DM1177" s="55"/>
      <c r="DN1177" s="55"/>
      <c r="DO1177" s="55"/>
      <c r="DP1177" s="55"/>
      <c r="DQ1177" s="55"/>
      <c r="DR1177" s="55"/>
      <c r="DS1177" s="55"/>
      <c r="DT1177" s="55"/>
      <c r="DU1177" s="55"/>
      <c r="DV1177" s="55"/>
      <c r="DW1177" s="55"/>
    </row>
    <row r="1178">
      <c r="A1178" s="23" t="s">
        <v>64</v>
      </c>
      <c r="B1178" s="23" t="s">
        <v>56</v>
      </c>
      <c r="C1178" s="31" t="s">
        <v>2122</v>
      </c>
      <c r="D1178" s="25" t="str">
        <f>IFERROR(__xludf.DUMMYFUNCTION("SPLIT(C1178,"" "")"),"Okon,")</f>
        <v>Okon,</v>
      </c>
      <c r="E1178" s="22" t="str">
        <f>IFERROR(__xludf.DUMMYFUNCTION("""COMPUTED_VALUE"""),"Louis
7219")</f>
        <v>Louis
7219</v>
      </c>
      <c r="F1178" s="22" t="str">
        <f>IFERROR(__xludf.DUMMYFUNCTION("""COMPUTED_VALUE"""),"Kenny")</f>
        <v>Kenny</v>
      </c>
      <c r="G1178" s="22" t="str">
        <f>IFERROR(__xludf.DUMMYFUNCTION("""COMPUTED_VALUE"""),"Lane
Dallas,")</f>
        <v>Lane
Dallas,</v>
      </c>
      <c r="H1178" s="22" t="str">
        <f>IFERROR(__xludf.DUMMYFUNCTION("""COMPUTED_VALUE"""),"TX")</f>
        <v>TX</v>
      </c>
      <c r="I1178" s="22">
        <f>IFERROR(__xludf.DUMMYFUNCTION("""COMPUTED_VALUE"""),75230.0)</f>
        <v>75230</v>
      </c>
      <c r="J1178" s="22"/>
      <c r="K1178" s="22"/>
      <c r="L1178" s="22"/>
      <c r="M1178" s="22"/>
      <c r="N1178" s="22"/>
      <c r="O1178" s="22"/>
      <c r="P1178" s="22"/>
      <c r="Q1178" s="22"/>
      <c r="R1178" s="22"/>
      <c r="S1178" s="22"/>
      <c r="T1178" s="22"/>
      <c r="U1178" s="24" t="str">
        <f>IFERROR(__xludf.DUMMYFUNCTION("SPLIT(E1178,""01234567890"")"),"Louis
")</f>
        <v>Louis
</v>
      </c>
      <c r="V1178" s="24" t="str">
        <f>IFERROR(__xludf.DUMMYFUNCTION("SPLIT(D1178,"","")"),"Okon")</f>
        <v>Okon</v>
      </c>
      <c r="W1178" s="25" t="str">
        <f t="shared" si="1"/>
        <v>LOUIS
 OKON</v>
      </c>
      <c r="X1178" s="22"/>
      <c r="Y1178" s="22"/>
      <c r="Z1178" s="25" t="str">
        <f>IFERROR(__xludf.DUMMYFUNCTION("SPLIT(C1178,""
"")"),"Okon, Louis")</f>
        <v>Okon, Louis</v>
      </c>
      <c r="AA1178" s="22" t="str">
        <f>IFERROR(__xludf.DUMMYFUNCTION("""COMPUTED_VALUE"""),"7219 Kenny Lane")</f>
        <v>7219 Kenny Lane</v>
      </c>
      <c r="AB1178" s="22" t="str">
        <f>IFERROR(__xludf.DUMMYFUNCTION("""COMPUTED_VALUE"""),"Dallas, TX 75230")</f>
        <v>Dallas, TX 75230</v>
      </c>
      <c r="AC1178" s="31" t="s">
        <v>2123</v>
      </c>
      <c r="AD1178" s="22"/>
      <c r="AE1178" s="22"/>
      <c r="AF1178" s="22"/>
      <c r="AG1178" s="22" t="s">
        <v>60</v>
      </c>
      <c r="AH1178" s="54">
        <v>2482.0</v>
      </c>
      <c r="AI1178" s="22" t="s">
        <v>68</v>
      </c>
      <c r="AJ1178" s="27">
        <v>1000.0</v>
      </c>
      <c r="AK1178" s="31" t="s">
        <v>31</v>
      </c>
      <c r="AL1178" s="28">
        <v>44782.0</v>
      </c>
      <c r="AM1178" s="29">
        <v>44938.558541666665</v>
      </c>
      <c r="AN1178" s="30">
        <v>2.0</v>
      </c>
      <c r="AO1178" s="22"/>
      <c r="AP1178" s="22"/>
      <c r="AQ1178" s="22"/>
      <c r="AR1178" s="22"/>
      <c r="AS1178" s="22"/>
      <c r="AT1178" s="70"/>
      <c r="AU1178" s="22"/>
      <c r="AV1178" s="57"/>
      <c r="AW1178" s="57"/>
      <c r="AX1178" s="70"/>
      <c r="AY1178" s="29"/>
      <c r="AZ1178" s="30"/>
      <c r="CU1178" s="55"/>
      <c r="CV1178" s="55"/>
      <c r="CW1178" s="55"/>
      <c r="CX1178" s="55"/>
      <c r="CY1178" s="55"/>
      <c r="CZ1178" s="55"/>
      <c r="DA1178" s="82"/>
      <c r="DB1178" s="55"/>
      <c r="DC1178" s="55"/>
      <c r="DD1178" s="55"/>
      <c r="DE1178" s="55"/>
      <c r="DF1178" s="55"/>
      <c r="DG1178" s="55"/>
      <c r="DH1178" s="55"/>
      <c r="DI1178" s="55"/>
      <c r="DJ1178" s="55"/>
      <c r="DK1178" s="55"/>
      <c r="DL1178" s="55"/>
      <c r="DM1178" s="55"/>
      <c r="DN1178" s="55"/>
      <c r="DO1178" s="55"/>
      <c r="DP1178" s="55"/>
      <c r="DQ1178" s="55"/>
      <c r="DR1178" s="55"/>
      <c r="DS1178" s="55"/>
      <c r="DT1178" s="55"/>
      <c r="DU1178" s="55"/>
      <c r="DV1178" s="55"/>
      <c r="DW1178" s="55"/>
    </row>
    <row r="1179">
      <c r="A1179" s="40" t="s">
        <v>55</v>
      </c>
      <c r="B1179" s="41" t="s">
        <v>56</v>
      </c>
      <c r="C1179" s="31" t="s">
        <v>2513</v>
      </c>
      <c r="D1179" s="25" t="str">
        <f>IFERROR(__xludf.DUMMYFUNCTION("SPLIT(C1179,"" "")"),"Jonas,")</f>
        <v>Jonas,</v>
      </c>
      <c r="E1179" s="40" t="str">
        <f>IFERROR(__xludf.DUMMYFUNCTION("""COMPUTED_VALUE"""),"Hylton
4615")</f>
        <v>Hylton
4615</v>
      </c>
      <c r="F1179" s="40" t="str">
        <f>IFERROR(__xludf.DUMMYFUNCTION("""COMPUTED_VALUE"""),"Briar")</f>
        <v>Briar</v>
      </c>
      <c r="G1179" s="40" t="str">
        <f>IFERROR(__xludf.DUMMYFUNCTION("""COMPUTED_VALUE"""),"Oaks")</f>
        <v>Oaks</v>
      </c>
      <c r="H1179" s="40" t="str">
        <f>IFERROR(__xludf.DUMMYFUNCTION("""COMPUTED_VALUE"""),"Circle
Dallas,")</f>
        <v>Circle
Dallas,</v>
      </c>
      <c r="I1179" s="40" t="str">
        <f>IFERROR(__xludf.DUMMYFUNCTION("""COMPUTED_VALUE"""),"TX")</f>
        <v>TX</v>
      </c>
      <c r="J1179" s="40">
        <f>IFERROR(__xludf.DUMMYFUNCTION("""COMPUTED_VALUE"""),75287.0)</f>
        <v>75287</v>
      </c>
      <c r="K1179" s="40"/>
      <c r="L1179" s="40"/>
      <c r="M1179" s="40"/>
      <c r="N1179" s="40"/>
      <c r="O1179" s="40"/>
      <c r="P1179" s="40"/>
      <c r="Q1179" s="40"/>
      <c r="R1179" s="40"/>
      <c r="S1179" s="40"/>
      <c r="T1179" s="40"/>
      <c r="U1179" s="24" t="str">
        <f>IFERROR(__xludf.DUMMYFUNCTION("SPLIT(E1179,""01234567890"")"),"Hylton
")</f>
        <v>Hylton
</v>
      </c>
      <c r="V1179" s="24" t="str">
        <f>IFERROR(__xludf.DUMMYFUNCTION("SPLIT(D1179,"","")"),"Jonas")</f>
        <v>Jonas</v>
      </c>
      <c r="W1179" s="25" t="str">
        <f t="shared" si="1"/>
        <v>HYLTON
 JONAS</v>
      </c>
      <c r="X1179" s="40"/>
      <c r="Y1179" s="40"/>
      <c r="Z1179" s="25" t="str">
        <f>IFERROR(__xludf.DUMMYFUNCTION("SPLIT(C1179,""
"")"),"Jonas, Hylton")</f>
        <v>Jonas, Hylton</v>
      </c>
      <c r="AA1179" s="40" t="str">
        <f>IFERROR(__xludf.DUMMYFUNCTION("""COMPUTED_VALUE"""),"4615 Briar Oaks Circle")</f>
        <v>4615 Briar Oaks Circle</v>
      </c>
      <c r="AB1179" s="40" t="str">
        <f>IFERROR(__xludf.DUMMYFUNCTION("""COMPUTED_VALUE"""),"Dallas, TX 75287")</f>
        <v>Dallas, TX 75287</v>
      </c>
      <c r="AC1179" s="31" t="s">
        <v>2514</v>
      </c>
      <c r="AD1179" s="40"/>
      <c r="AE1179" s="40"/>
      <c r="AF1179" s="40"/>
      <c r="AG1179" s="40" t="s">
        <v>60</v>
      </c>
      <c r="AH1179" s="42">
        <v>2482.0</v>
      </c>
      <c r="AI1179" s="40" t="s">
        <v>68</v>
      </c>
      <c r="AJ1179" s="27">
        <v>250.0</v>
      </c>
      <c r="AK1179" s="31" t="s">
        <v>31</v>
      </c>
      <c r="AL1179" s="43">
        <v>44782.0</v>
      </c>
      <c r="AM1179" s="44">
        <v>44938.558541666665</v>
      </c>
      <c r="AN1179" s="30">
        <v>2.0</v>
      </c>
      <c r="AO1179" s="40"/>
      <c r="AP1179" s="40"/>
      <c r="AQ1179" s="40"/>
      <c r="AR1179" s="40"/>
      <c r="AS1179" s="40"/>
      <c r="AT1179" s="47"/>
      <c r="AU1179" s="40"/>
      <c r="AV1179" s="46"/>
      <c r="AW1179" s="46"/>
      <c r="AX1179" s="47"/>
      <c r="AY1179" s="44"/>
      <c r="AZ1179" s="30"/>
      <c r="CU1179" s="55"/>
      <c r="CV1179" s="55"/>
      <c r="CW1179" s="55"/>
      <c r="CX1179" s="55"/>
      <c r="CY1179" s="55"/>
      <c r="CZ1179" s="55"/>
      <c r="DA1179" s="82"/>
      <c r="DB1179" s="55"/>
      <c r="DC1179" s="55"/>
      <c r="DD1179" s="55"/>
      <c r="DE1179" s="55"/>
      <c r="DF1179" s="55"/>
      <c r="DG1179" s="55"/>
      <c r="DH1179" s="55"/>
      <c r="DI1179" s="55"/>
      <c r="DJ1179" s="55"/>
      <c r="DK1179" s="55"/>
      <c r="DL1179" s="55"/>
      <c r="DM1179" s="55"/>
      <c r="DN1179" s="55"/>
      <c r="DO1179" s="55"/>
      <c r="DP1179" s="55"/>
      <c r="DQ1179" s="55"/>
      <c r="DR1179" s="55"/>
      <c r="DS1179" s="55"/>
      <c r="DT1179" s="55"/>
      <c r="DU1179" s="55"/>
      <c r="DV1179" s="55"/>
      <c r="DW1179" s="55"/>
    </row>
    <row r="1180">
      <c r="A1180" s="23" t="s">
        <v>64</v>
      </c>
      <c r="B1180" s="23" t="s">
        <v>56</v>
      </c>
      <c r="C1180" s="31" t="s">
        <v>2511</v>
      </c>
      <c r="D1180" s="25" t="str">
        <f>IFERROR(__xludf.DUMMYFUNCTION("SPLIT(C1180,"" "")"),"Milstein,")</f>
        <v>Milstein,</v>
      </c>
      <c r="E1180" s="22" t="str">
        <f>IFERROR(__xludf.DUMMYFUNCTION("""COMPUTED_VALUE"""),"Robert
6440")</f>
        <v>Robert
6440</v>
      </c>
      <c r="F1180" s="22" t="str">
        <f>IFERROR(__xludf.DUMMYFUNCTION("""COMPUTED_VALUE"""),"Preston")</f>
        <v>Preston</v>
      </c>
      <c r="G1180" s="22" t="str">
        <f>IFERROR(__xludf.DUMMYFUNCTION("""COMPUTED_VALUE"""),"Crest")</f>
        <v>Crest</v>
      </c>
      <c r="H1180" s="22" t="str">
        <f>IFERROR(__xludf.DUMMYFUNCTION("""COMPUTED_VALUE"""),"Lane
Dallas,")</f>
        <v>Lane
Dallas,</v>
      </c>
      <c r="I1180" s="22" t="str">
        <f>IFERROR(__xludf.DUMMYFUNCTION("""COMPUTED_VALUE"""),"TX")</f>
        <v>TX</v>
      </c>
      <c r="J1180" s="22">
        <f>IFERROR(__xludf.DUMMYFUNCTION("""COMPUTED_VALUE"""),75230.0)</f>
        <v>75230</v>
      </c>
      <c r="K1180" s="22"/>
      <c r="L1180" s="22"/>
      <c r="M1180" s="22"/>
      <c r="N1180" s="22"/>
      <c r="O1180" s="22"/>
      <c r="P1180" s="22"/>
      <c r="Q1180" s="22"/>
      <c r="R1180" s="22"/>
      <c r="S1180" s="22"/>
      <c r="T1180" s="22"/>
      <c r="U1180" s="24" t="str">
        <f>IFERROR(__xludf.DUMMYFUNCTION("SPLIT(E1180,""01234567890"")"),"Robert
")</f>
        <v>Robert
</v>
      </c>
      <c r="V1180" s="24" t="str">
        <f>IFERROR(__xludf.DUMMYFUNCTION("SPLIT(D1180,"","")"),"Milstein")</f>
        <v>Milstein</v>
      </c>
      <c r="W1180" s="25" t="str">
        <f t="shared" si="1"/>
        <v>ROBERT
 MILSTEIN</v>
      </c>
      <c r="X1180" s="22"/>
      <c r="Y1180" s="22"/>
      <c r="Z1180" s="25" t="str">
        <f>IFERROR(__xludf.DUMMYFUNCTION("SPLIT(C1180,""
"")"),"Milstein, Robert")</f>
        <v>Milstein, Robert</v>
      </c>
      <c r="AA1180" s="22" t="str">
        <f>IFERROR(__xludf.DUMMYFUNCTION("""COMPUTED_VALUE"""),"6440 Preston Crest Lane")</f>
        <v>6440 Preston Crest Lane</v>
      </c>
      <c r="AB1180" s="22" t="str">
        <f>IFERROR(__xludf.DUMMYFUNCTION("""COMPUTED_VALUE"""),"Dallas, TX 75230")</f>
        <v>Dallas, TX 75230</v>
      </c>
      <c r="AC1180" s="31" t="s">
        <v>2512</v>
      </c>
      <c r="AD1180" s="22"/>
      <c r="AE1180" s="22"/>
      <c r="AF1180" s="22"/>
      <c r="AG1180" s="22" t="s">
        <v>60</v>
      </c>
      <c r="AH1180" s="54">
        <v>2482.0</v>
      </c>
      <c r="AI1180" s="22" t="s">
        <v>68</v>
      </c>
      <c r="AJ1180" s="27">
        <v>500.0</v>
      </c>
      <c r="AK1180" s="31" t="s">
        <v>31</v>
      </c>
      <c r="AL1180" s="28">
        <v>44782.0</v>
      </c>
      <c r="AM1180" s="29">
        <v>44938.558541666665</v>
      </c>
      <c r="AN1180" s="30">
        <v>2.0</v>
      </c>
      <c r="AO1180" s="22"/>
      <c r="AP1180" s="22"/>
      <c r="AQ1180" s="22"/>
      <c r="AR1180" s="22"/>
      <c r="AS1180" s="22"/>
      <c r="AT1180" s="70"/>
      <c r="AU1180" s="22"/>
      <c r="AV1180" s="57"/>
      <c r="AW1180" s="57"/>
      <c r="AX1180" s="70"/>
      <c r="AY1180" s="29"/>
      <c r="AZ1180" s="30"/>
      <c r="CU1180" s="55"/>
      <c r="CV1180" s="55"/>
      <c r="CW1180" s="55"/>
      <c r="CX1180" s="55"/>
      <c r="CY1180" s="55"/>
      <c r="CZ1180" s="55"/>
      <c r="DA1180" s="82"/>
      <c r="DB1180" s="55"/>
      <c r="DC1180" s="55"/>
      <c r="DD1180" s="55"/>
      <c r="DE1180" s="55"/>
      <c r="DF1180" s="55"/>
      <c r="DG1180" s="55"/>
      <c r="DH1180" s="55"/>
      <c r="DI1180" s="55"/>
      <c r="DJ1180" s="55"/>
      <c r="DK1180" s="55"/>
      <c r="DL1180" s="55"/>
      <c r="DM1180" s="55"/>
      <c r="DN1180" s="55"/>
      <c r="DO1180" s="55"/>
      <c r="DP1180" s="55"/>
      <c r="DQ1180" s="55"/>
      <c r="DR1180" s="55"/>
      <c r="DS1180" s="55"/>
      <c r="DT1180" s="55"/>
      <c r="DU1180" s="55"/>
      <c r="DV1180" s="55"/>
      <c r="DW1180" s="55"/>
    </row>
    <row r="1181">
      <c r="A1181" s="40" t="s">
        <v>55</v>
      </c>
      <c r="B1181" s="41" t="s">
        <v>56</v>
      </c>
      <c r="C1181" s="31" t="s">
        <v>1143</v>
      </c>
      <c r="D1181" s="25" t="str">
        <f>IFERROR(__xludf.DUMMYFUNCTION("SPLIT(C1181,"" "")"),"Margolin,")</f>
        <v>Margolin,</v>
      </c>
      <c r="E1181" s="40" t="str">
        <f>IFERROR(__xludf.DUMMYFUNCTION("""COMPUTED_VALUE"""),"Ann
2828")</f>
        <v>Ann
2828</v>
      </c>
      <c r="F1181" s="40" t="str">
        <f>IFERROR(__xludf.DUMMYFUNCTION("""COMPUTED_VALUE"""),"Hood")</f>
        <v>Hood</v>
      </c>
      <c r="G1181" s="40" t="str">
        <f>IFERROR(__xludf.DUMMYFUNCTION("""COMPUTED_VALUE"""),"Street
Dallas,")</f>
        <v>Street
Dallas,</v>
      </c>
      <c r="H1181" s="40" t="str">
        <f>IFERROR(__xludf.DUMMYFUNCTION("""COMPUTED_VALUE"""),"TX")</f>
        <v>TX</v>
      </c>
      <c r="I1181" s="40">
        <f>IFERROR(__xludf.DUMMYFUNCTION("""COMPUTED_VALUE"""),75219.0)</f>
        <v>75219</v>
      </c>
      <c r="J1181" s="40"/>
      <c r="K1181" s="40"/>
      <c r="L1181" s="40"/>
      <c r="M1181" s="40"/>
      <c r="N1181" s="40"/>
      <c r="O1181" s="40"/>
      <c r="P1181" s="40"/>
      <c r="Q1181" s="40"/>
      <c r="R1181" s="40"/>
      <c r="S1181" s="40"/>
      <c r="T1181" s="40"/>
      <c r="U1181" s="24" t="str">
        <f>IFERROR(__xludf.DUMMYFUNCTION("SPLIT(E1181,""01234567890"")"),"Ann
")</f>
        <v>Ann
</v>
      </c>
      <c r="V1181" s="24" t="str">
        <f>IFERROR(__xludf.DUMMYFUNCTION("SPLIT(D1181,"","")"),"Margolin")</f>
        <v>Margolin</v>
      </c>
      <c r="W1181" s="25" t="str">
        <f t="shared" si="1"/>
        <v>ANN
 MARGOLIN</v>
      </c>
      <c r="X1181" s="40"/>
      <c r="Y1181" s="40"/>
      <c r="Z1181" s="25" t="str">
        <f>IFERROR(__xludf.DUMMYFUNCTION("SPLIT(C1181,""
"")"),"Margolin, Ann")</f>
        <v>Margolin, Ann</v>
      </c>
      <c r="AA1181" s="40" t="str">
        <f>IFERROR(__xludf.DUMMYFUNCTION("""COMPUTED_VALUE"""),"2828 Hood Street")</f>
        <v>2828 Hood Street</v>
      </c>
      <c r="AB1181" s="40" t="str">
        <f>IFERROR(__xludf.DUMMYFUNCTION("""COMPUTED_VALUE"""),"Dallas, TX 75219")</f>
        <v>Dallas, TX 75219</v>
      </c>
      <c r="AC1181" s="31" t="s">
        <v>1145</v>
      </c>
      <c r="AD1181" s="40"/>
      <c r="AE1181" s="40"/>
      <c r="AF1181" s="40"/>
      <c r="AG1181" s="40" t="s">
        <v>60</v>
      </c>
      <c r="AH1181" s="42">
        <v>2482.0</v>
      </c>
      <c r="AI1181" s="40" t="s">
        <v>68</v>
      </c>
      <c r="AJ1181" s="27">
        <v>1000.0</v>
      </c>
      <c r="AK1181" s="31" t="s">
        <v>31</v>
      </c>
      <c r="AL1181" s="43">
        <v>44782.0</v>
      </c>
      <c r="AM1181" s="44">
        <v>44938.558541666665</v>
      </c>
      <c r="AN1181" s="30">
        <v>2.0</v>
      </c>
      <c r="AO1181" s="40"/>
      <c r="AP1181" s="40"/>
      <c r="AQ1181" s="40"/>
      <c r="AR1181" s="40"/>
      <c r="AS1181" s="40"/>
      <c r="AT1181" s="47"/>
      <c r="AU1181" s="40"/>
      <c r="AV1181" s="46"/>
      <c r="AW1181" s="46"/>
      <c r="AX1181" s="47"/>
      <c r="AY1181" s="44"/>
      <c r="AZ1181" s="30"/>
      <c r="CU1181" s="55"/>
      <c r="CV1181" s="55"/>
      <c r="CW1181" s="55"/>
      <c r="CX1181" s="55"/>
      <c r="CY1181" s="55"/>
      <c r="CZ1181" s="55"/>
      <c r="DA1181" s="82"/>
      <c r="DB1181" s="55"/>
      <c r="DC1181" s="55"/>
      <c r="DD1181" s="55"/>
      <c r="DE1181" s="55"/>
      <c r="DF1181" s="55"/>
      <c r="DG1181" s="55"/>
      <c r="DH1181" s="55"/>
      <c r="DI1181" s="55"/>
      <c r="DJ1181" s="55"/>
      <c r="DK1181" s="55"/>
      <c r="DL1181" s="55"/>
      <c r="DM1181" s="55"/>
      <c r="DN1181" s="55"/>
      <c r="DO1181" s="55"/>
      <c r="DP1181" s="55"/>
      <c r="DQ1181" s="55"/>
      <c r="DR1181" s="55"/>
      <c r="DS1181" s="55"/>
      <c r="DT1181" s="55"/>
      <c r="DU1181" s="55"/>
      <c r="DV1181" s="55"/>
      <c r="DW1181" s="55"/>
    </row>
    <row r="1182">
      <c r="A1182" s="23" t="s">
        <v>64</v>
      </c>
      <c r="B1182" s="23" t="s">
        <v>56</v>
      </c>
      <c r="C1182" s="31" t="s">
        <v>2641</v>
      </c>
      <c r="D1182" s="25" t="str">
        <f>IFERROR(__xludf.DUMMYFUNCTION("SPLIT(C1182,"" "")"),"Rubin,")</f>
        <v>Rubin,</v>
      </c>
      <c r="E1182" s="22" t="str">
        <f>IFERROR(__xludf.DUMMYFUNCTION("""COMPUTED_VALUE"""),"Ron
150")</f>
        <v>Ron
150</v>
      </c>
      <c r="F1182" s="22" t="str">
        <f>IFERROR(__xludf.DUMMYFUNCTION("""COMPUTED_VALUE"""),"Carondelet")</f>
        <v>Carondelet</v>
      </c>
      <c r="G1182" s="22" t="str">
        <f>IFERROR(__xludf.DUMMYFUNCTION("""COMPUTED_VALUE"""),"Plaza
Clayton,")</f>
        <v>Plaza
Clayton,</v>
      </c>
      <c r="H1182" s="22" t="str">
        <f>IFERROR(__xludf.DUMMYFUNCTION("""COMPUTED_VALUE"""),"MO")</f>
        <v>MO</v>
      </c>
      <c r="I1182" s="22">
        <f>IFERROR(__xludf.DUMMYFUNCTION("""COMPUTED_VALUE"""),63105.0)</f>
        <v>63105</v>
      </c>
      <c r="J1182" s="22"/>
      <c r="K1182" s="22"/>
      <c r="L1182" s="22"/>
      <c r="M1182" s="22"/>
      <c r="N1182" s="22"/>
      <c r="O1182" s="22"/>
      <c r="P1182" s="22"/>
      <c r="Q1182" s="22"/>
      <c r="R1182" s="22"/>
      <c r="S1182" s="22"/>
      <c r="T1182" s="22"/>
      <c r="U1182" s="24" t="str">
        <f>IFERROR(__xludf.DUMMYFUNCTION("SPLIT(E1182,""01234567890"")"),"Ron
")</f>
        <v>Ron
</v>
      </c>
      <c r="V1182" s="24" t="str">
        <f>IFERROR(__xludf.DUMMYFUNCTION("SPLIT(D1182,"","")"),"Rubin")</f>
        <v>Rubin</v>
      </c>
      <c r="W1182" s="25" t="str">
        <f t="shared" si="1"/>
        <v>RON
 RUBIN</v>
      </c>
      <c r="X1182" s="22"/>
      <c r="Y1182" s="22"/>
      <c r="Z1182" s="25" t="str">
        <f>IFERROR(__xludf.DUMMYFUNCTION("SPLIT(C1182,""
"")"),"Rubin, Ron")</f>
        <v>Rubin, Ron</v>
      </c>
      <c r="AA1182" s="22" t="str">
        <f>IFERROR(__xludf.DUMMYFUNCTION("""COMPUTED_VALUE"""),"150 Carondelet Plaza")</f>
        <v>150 Carondelet Plaza</v>
      </c>
      <c r="AB1182" s="22" t="str">
        <f>IFERROR(__xludf.DUMMYFUNCTION("""COMPUTED_VALUE"""),"Clayton, MO 63105")</f>
        <v>Clayton, MO 63105</v>
      </c>
      <c r="AC1182" s="31" t="s">
        <v>2642</v>
      </c>
      <c r="AD1182" s="22"/>
      <c r="AE1182" s="22"/>
      <c r="AF1182" s="22"/>
      <c r="AG1182" s="22" t="s">
        <v>60</v>
      </c>
      <c r="AH1182" s="54">
        <v>2482.0</v>
      </c>
      <c r="AI1182" s="22" t="s">
        <v>68</v>
      </c>
      <c r="AJ1182" s="27">
        <v>1000.0</v>
      </c>
      <c r="AK1182" s="31" t="s">
        <v>31</v>
      </c>
      <c r="AL1182" s="28">
        <v>44782.0</v>
      </c>
      <c r="AM1182" s="29">
        <v>44938.558541666665</v>
      </c>
      <c r="AN1182" s="30">
        <v>2.0</v>
      </c>
      <c r="AO1182" s="22"/>
      <c r="AP1182" s="22"/>
      <c r="AQ1182" s="22"/>
      <c r="AR1182" s="22"/>
      <c r="AS1182" s="22"/>
      <c r="AT1182" s="70"/>
      <c r="AU1182" s="22"/>
      <c r="AV1182" s="57"/>
      <c r="AW1182" s="57"/>
      <c r="AX1182" s="70"/>
      <c r="AY1182" s="29"/>
      <c r="AZ1182" s="30"/>
      <c r="CU1182" s="55"/>
      <c r="CV1182" s="55"/>
      <c r="CW1182" s="55"/>
      <c r="CX1182" s="55"/>
      <c r="CY1182" s="55"/>
      <c r="CZ1182" s="55"/>
      <c r="DA1182" s="82"/>
      <c r="DB1182" s="55"/>
      <c r="DC1182" s="55"/>
      <c r="DD1182" s="55"/>
      <c r="DE1182" s="55"/>
      <c r="DF1182" s="55"/>
      <c r="DG1182" s="55"/>
      <c r="DH1182" s="55"/>
      <c r="DI1182" s="55"/>
      <c r="DJ1182" s="55"/>
      <c r="DK1182" s="55"/>
      <c r="DL1182" s="55"/>
      <c r="DM1182" s="55"/>
      <c r="DN1182" s="55"/>
      <c r="DO1182" s="55"/>
      <c r="DP1182" s="55"/>
      <c r="DQ1182" s="55"/>
      <c r="DR1182" s="55"/>
      <c r="DS1182" s="55"/>
      <c r="DT1182" s="55"/>
      <c r="DU1182" s="55"/>
      <c r="DV1182" s="55"/>
      <c r="DW1182" s="55"/>
    </row>
    <row r="1183">
      <c r="A1183" s="40" t="s">
        <v>55</v>
      </c>
      <c r="B1183" s="41" t="s">
        <v>56</v>
      </c>
      <c r="C1183" s="31" t="s">
        <v>2643</v>
      </c>
      <c r="D1183" s="25" t="str">
        <f>IFERROR(__xludf.DUMMYFUNCTION("SPLIT(C1183,"" "")"),"Hunt,")</f>
        <v>Hunt,</v>
      </c>
      <c r="E1183" s="40" t="str">
        <f>IFERROR(__xludf.DUMMYFUNCTION("""COMPUTED_VALUE"""),"Ray
1900")</f>
        <v>Ray
1900</v>
      </c>
      <c r="F1183" s="40" t="str">
        <f>IFERROR(__xludf.DUMMYFUNCTION("""COMPUTED_VALUE"""),"North")</f>
        <v>North</v>
      </c>
      <c r="G1183" s="40" t="str">
        <f>IFERROR(__xludf.DUMMYFUNCTION("""COMPUTED_VALUE"""),"Akard")</f>
        <v>Akard</v>
      </c>
      <c r="H1183" s="40" t="str">
        <f>IFERROR(__xludf.DUMMYFUNCTION("""COMPUTED_VALUE"""),"Street
Dallas,")</f>
        <v>Street
Dallas,</v>
      </c>
      <c r="I1183" s="40" t="str">
        <f>IFERROR(__xludf.DUMMYFUNCTION("""COMPUTED_VALUE"""),"TX")</f>
        <v>TX</v>
      </c>
      <c r="J1183" s="40">
        <f>IFERROR(__xludf.DUMMYFUNCTION("""COMPUTED_VALUE"""),75201.0)</f>
        <v>75201</v>
      </c>
      <c r="K1183" s="40"/>
      <c r="L1183" s="40"/>
      <c r="M1183" s="40"/>
      <c r="N1183" s="40"/>
      <c r="O1183" s="40"/>
      <c r="P1183" s="40"/>
      <c r="Q1183" s="40"/>
      <c r="R1183" s="40"/>
      <c r="S1183" s="40"/>
      <c r="T1183" s="40"/>
      <c r="U1183" s="24" t="str">
        <f>IFERROR(__xludf.DUMMYFUNCTION("SPLIT(E1183,""01234567890"")"),"Ray
")</f>
        <v>Ray
</v>
      </c>
      <c r="V1183" s="24" t="str">
        <f>IFERROR(__xludf.DUMMYFUNCTION("SPLIT(D1183,"","")"),"Hunt")</f>
        <v>Hunt</v>
      </c>
      <c r="W1183" s="25" t="str">
        <f t="shared" si="1"/>
        <v>RAY
 HUNT</v>
      </c>
      <c r="X1183" s="40"/>
      <c r="Y1183" s="40"/>
      <c r="Z1183" s="25" t="str">
        <f>IFERROR(__xludf.DUMMYFUNCTION("SPLIT(C1183,""
"")"),"Hunt, Ray")</f>
        <v>Hunt, Ray</v>
      </c>
      <c r="AA1183" s="40" t="str">
        <f>IFERROR(__xludf.DUMMYFUNCTION("""COMPUTED_VALUE"""),"1900 North Akard Street")</f>
        <v>1900 North Akard Street</v>
      </c>
      <c r="AB1183" s="40" t="str">
        <f>IFERROR(__xludf.DUMMYFUNCTION("""COMPUTED_VALUE"""),"Dallas, TX 75201")</f>
        <v>Dallas, TX 75201</v>
      </c>
      <c r="AC1183" s="31" t="s">
        <v>721</v>
      </c>
      <c r="AD1183" s="40"/>
      <c r="AE1183" s="40"/>
      <c r="AF1183" s="40"/>
      <c r="AG1183" s="40" t="s">
        <v>60</v>
      </c>
      <c r="AH1183" s="42">
        <v>2482.0</v>
      </c>
      <c r="AI1183" s="40" t="s">
        <v>68</v>
      </c>
      <c r="AJ1183" s="27">
        <v>1000.0</v>
      </c>
      <c r="AK1183" s="31" t="s">
        <v>31</v>
      </c>
      <c r="AL1183" s="43">
        <v>44743.0</v>
      </c>
      <c r="AM1183" s="44">
        <v>44938.558541666665</v>
      </c>
      <c r="AN1183" s="30">
        <v>2.0</v>
      </c>
      <c r="AO1183" s="40"/>
      <c r="AP1183" s="40"/>
      <c r="AQ1183" s="40"/>
      <c r="AR1183" s="40"/>
      <c r="AS1183" s="40"/>
      <c r="AT1183" s="47"/>
      <c r="AU1183" s="40"/>
      <c r="AV1183" s="46"/>
      <c r="AW1183" s="46"/>
      <c r="AX1183" s="47"/>
      <c r="AY1183" s="44"/>
      <c r="AZ1183" s="30"/>
      <c r="CU1183" s="55"/>
      <c r="CV1183" s="55"/>
      <c r="CW1183" s="55"/>
      <c r="CX1183" s="55"/>
      <c r="CY1183" s="55"/>
      <c r="CZ1183" s="55"/>
      <c r="DA1183" s="82"/>
      <c r="DB1183" s="55"/>
      <c r="DC1183" s="55"/>
      <c r="DD1183" s="55"/>
      <c r="DE1183" s="55"/>
      <c r="DF1183" s="55"/>
      <c r="DG1183" s="55"/>
      <c r="DH1183" s="55"/>
      <c r="DI1183" s="55"/>
      <c r="DJ1183" s="55"/>
      <c r="DK1183" s="55"/>
      <c r="DL1183" s="55"/>
      <c r="DM1183" s="55"/>
      <c r="DN1183" s="55"/>
      <c r="DO1183" s="55"/>
      <c r="DP1183" s="55"/>
      <c r="DQ1183" s="55"/>
      <c r="DR1183" s="55"/>
      <c r="DS1183" s="55"/>
      <c r="DT1183" s="55"/>
      <c r="DU1183" s="55"/>
      <c r="DV1183" s="55"/>
      <c r="DW1183" s="55"/>
    </row>
    <row r="1184">
      <c r="A1184" s="23" t="s">
        <v>64</v>
      </c>
      <c r="B1184" s="23" t="s">
        <v>56</v>
      </c>
      <c r="C1184" s="31" t="s">
        <v>2644</v>
      </c>
      <c r="D1184" s="25" t="str">
        <f>IFERROR(__xludf.DUMMYFUNCTION("SPLIT(C1184,"" "")"),"Hunt,")</f>
        <v>Hunt,</v>
      </c>
      <c r="E1184" s="22" t="str">
        <f>IFERROR(__xludf.DUMMYFUNCTION("""COMPUTED_VALUE"""),"Ray
1900")</f>
        <v>Ray
1900</v>
      </c>
      <c r="F1184" s="22" t="str">
        <f>IFERROR(__xludf.DUMMYFUNCTION("""COMPUTED_VALUE"""),"N.")</f>
        <v>N.</v>
      </c>
      <c r="G1184" s="22" t="str">
        <f>IFERROR(__xludf.DUMMYFUNCTION("""COMPUTED_VALUE"""),"Akard")</f>
        <v>Akard</v>
      </c>
      <c r="H1184" s="22" t="str">
        <f>IFERROR(__xludf.DUMMYFUNCTION("""COMPUTED_VALUE"""),"Street
Dallas,")</f>
        <v>Street
Dallas,</v>
      </c>
      <c r="I1184" s="22" t="str">
        <f>IFERROR(__xludf.DUMMYFUNCTION("""COMPUTED_VALUE"""),"TX")</f>
        <v>TX</v>
      </c>
      <c r="J1184" s="22">
        <f>IFERROR(__xludf.DUMMYFUNCTION("""COMPUTED_VALUE"""),75201.0)</f>
        <v>75201</v>
      </c>
      <c r="K1184" s="22"/>
      <c r="L1184" s="22"/>
      <c r="M1184" s="22"/>
      <c r="N1184" s="22"/>
      <c r="O1184" s="22"/>
      <c r="P1184" s="22"/>
      <c r="Q1184" s="22"/>
      <c r="R1184" s="22"/>
      <c r="S1184" s="22"/>
      <c r="T1184" s="22"/>
      <c r="U1184" s="24" t="str">
        <f>IFERROR(__xludf.DUMMYFUNCTION("SPLIT(E1184,""01234567890"")"),"Ray
")</f>
        <v>Ray
</v>
      </c>
      <c r="V1184" s="24" t="str">
        <f>IFERROR(__xludf.DUMMYFUNCTION("SPLIT(D1184,"","")"),"Hunt")</f>
        <v>Hunt</v>
      </c>
      <c r="W1184" s="25" t="str">
        <f t="shared" si="1"/>
        <v>RAY
 HUNT</v>
      </c>
      <c r="X1184" s="22"/>
      <c r="Y1184" s="22"/>
      <c r="Z1184" s="25" t="str">
        <f>IFERROR(__xludf.DUMMYFUNCTION("SPLIT(C1184,""
"")"),"Hunt, Ray")</f>
        <v>Hunt, Ray</v>
      </c>
      <c r="AA1184" s="22" t="str">
        <f>IFERROR(__xludf.DUMMYFUNCTION("""COMPUTED_VALUE"""),"1900 N. Akard Street")</f>
        <v>1900 N. Akard Street</v>
      </c>
      <c r="AB1184" s="22" t="str">
        <f>IFERROR(__xludf.DUMMYFUNCTION("""COMPUTED_VALUE"""),"Dallas, TX 75201")</f>
        <v>Dallas, TX 75201</v>
      </c>
      <c r="AC1184" s="31" t="s">
        <v>721</v>
      </c>
      <c r="AD1184" s="22"/>
      <c r="AE1184" s="22"/>
      <c r="AF1184" s="22"/>
      <c r="AG1184" s="22" t="s">
        <v>60</v>
      </c>
      <c r="AH1184" s="54">
        <v>2486.0</v>
      </c>
      <c r="AI1184" s="22" t="s">
        <v>68</v>
      </c>
      <c r="AJ1184" s="27">
        <v>1000.0</v>
      </c>
      <c r="AK1184" s="31" t="s">
        <v>24</v>
      </c>
      <c r="AL1184" s="28">
        <v>44748.0</v>
      </c>
      <c r="AM1184" s="29">
        <v>44942.42989583333</v>
      </c>
      <c r="AN1184" s="30">
        <v>2.0</v>
      </c>
      <c r="AO1184" s="22"/>
      <c r="AP1184" s="22"/>
      <c r="AQ1184" s="22"/>
      <c r="AR1184" s="22"/>
      <c r="AS1184" s="22"/>
      <c r="AT1184" s="70"/>
      <c r="AU1184" s="22"/>
      <c r="AV1184" s="57"/>
      <c r="AW1184" s="57"/>
      <c r="AX1184" s="70"/>
      <c r="AY1184" s="29"/>
      <c r="AZ1184" s="30"/>
      <c r="CU1184" s="55"/>
      <c r="CV1184" s="55"/>
      <c r="CW1184" s="55"/>
      <c r="CX1184" s="55"/>
      <c r="CY1184" s="55"/>
      <c r="CZ1184" s="55"/>
      <c r="DA1184" s="82"/>
      <c r="DB1184" s="55"/>
      <c r="DC1184" s="55"/>
      <c r="DD1184" s="55"/>
      <c r="DE1184" s="55"/>
      <c r="DF1184" s="55"/>
      <c r="DG1184" s="55"/>
      <c r="DH1184" s="55"/>
      <c r="DI1184" s="55"/>
      <c r="DJ1184" s="55"/>
      <c r="DK1184" s="55"/>
      <c r="DL1184" s="55"/>
      <c r="DM1184" s="55"/>
      <c r="DN1184" s="55"/>
      <c r="DO1184" s="55"/>
      <c r="DP1184" s="55"/>
      <c r="DQ1184" s="55"/>
      <c r="DR1184" s="55"/>
      <c r="DS1184" s="55"/>
      <c r="DT1184" s="55"/>
      <c r="DU1184" s="55"/>
      <c r="DV1184" s="55"/>
      <c r="DW1184" s="55"/>
    </row>
    <row r="1185">
      <c r="A1185" s="41" t="s">
        <v>64</v>
      </c>
      <c r="B1185" s="41" t="s">
        <v>56</v>
      </c>
      <c r="C1185" s="31" t="s">
        <v>448</v>
      </c>
      <c r="D1185" s="25" t="str">
        <f>IFERROR(__xludf.DUMMYFUNCTION("SPLIT(C1185,"" "")"),"Black,")</f>
        <v>Black,</v>
      </c>
      <c r="E1185" s="40" t="str">
        <f>IFERROR(__xludf.DUMMYFUNCTION("""COMPUTED_VALUE"""),"Jan")</f>
        <v>Jan</v>
      </c>
      <c r="F1185" s="40" t="str">
        <f>IFERROR(__xludf.DUMMYFUNCTION("""COMPUTED_VALUE"""),"Hart
4563")</f>
        <v>Hart
4563</v>
      </c>
      <c r="G1185" s="40" t="str">
        <f>IFERROR(__xludf.DUMMYFUNCTION("""COMPUTED_VALUE"""),"Isabella
Dallas,")</f>
        <v>Isabella
Dallas,</v>
      </c>
      <c r="H1185" s="40" t="str">
        <f>IFERROR(__xludf.DUMMYFUNCTION("""COMPUTED_VALUE"""),"TX")</f>
        <v>TX</v>
      </c>
      <c r="I1185" s="40">
        <f>IFERROR(__xludf.DUMMYFUNCTION("""COMPUTED_VALUE"""),75229.0)</f>
        <v>75229</v>
      </c>
      <c r="J1185" s="40"/>
      <c r="K1185" s="40"/>
      <c r="L1185" s="40"/>
      <c r="M1185" s="40"/>
      <c r="N1185" s="40"/>
      <c r="O1185" s="40"/>
      <c r="P1185" s="40"/>
      <c r="Q1185" s="40"/>
      <c r="R1185" s="40"/>
      <c r="S1185" s="40"/>
      <c r="T1185" s="40"/>
      <c r="U1185" s="24" t="str">
        <f>IFERROR(__xludf.DUMMYFUNCTION("SPLIT(E1185,""01234567890"")"),"Jan")</f>
        <v>Jan</v>
      </c>
      <c r="V1185" s="24" t="str">
        <f>IFERROR(__xludf.DUMMYFUNCTION("SPLIT(D1185,"","")"),"Black")</f>
        <v>Black</v>
      </c>
      <c r="W1185" s="25" t="str">
        <f t="shared" si="1"/>
        <v>JAN BLACK</v>
      </c>
      <c r="X1185" s="40"/>
      <c r="Y1185" s="40"/>
      <c r="Z1185" s="25" t="str">
        <f>IFERROR(__xludf.DUMMYFUNCTION("SPLIT(C1185,""
"")"),"Black, Jan Hart")</f>
        <v>Black, Jan Hart</v>
      </c>
      <c r="AA1185" s="40" t="str">
        <f>IFERROR(__xludf.DUMMYFUNCTION("""COMPUTED_VALUE"""),"4563 Isabella")</f>
        <v>4563 Isabella</v>
      </c>
      <c r="AB1185" s="40" t="str">
        <f>IFERROR(__xludf.DUMMYFUNCTION("""COMPUTED_VALUE"""),"Dallas, TX 75229")</f>
        <v>Dallas, TX 75229</v>
      </c>
      <c r="AC1185" s="31" t="s">
        <v>450</v>
      </c>
      <c r="AD1185" s="40"/>
      <c r="AE1185" s="40"/>
      <c r="AF1185" s="40"/>
      <c r="AG1185" s="40" t="s">
        <v>60</v>
      </c>
      <c r="AH1185" s="42">
        <v>2486.0</v>
      </c>
      <c r="AI1185" s="40" t="s">
        <v>68</v>
      </c>
      <c r="AJ1185" s="27">
        <v>100.0</v>
      </c>
      <c r="AK1185" s="31" t="s">
        <v>24</v>
      </c>
      <c r="AL1185" s="43">
        <v>44748.0</v>
      </c>
      <c r="AM1185" s="44">
        <v>44942.42989583333</v>
      </c>
      <c r="AN1185" s="30">
        <v>2.0</v>
      </c>
      <c r="AO1185" s="40"/>
      <c r="AP1185" s="40"/>
      <c r="AQ1185" s="40"/>
      <c r="AR1185" s="40"/>
      <c r="AS1185" s="40"/>
      <c r="AT1185" s="47"/>
      <c r="AU1185" s="40"/>
      <c r="AV1185" s="46"/>
      <c r="AW1185" s="46"/>
      <c r="AX1185" s="47"/>
      <c r="AY1185" s="44"/>
      <c r="AZ1185" s="30"/>
      <c r="CU1185" s="55"/>
      <c r="CV1185" s="55"/>
      <c r="CW1185" s="55"/>
      <c r="CX1185" s="55"/>
      <c r="CY1185" s="55"/>
      <c r="CZ1185" s="55"/>
      <c r="DA1185" s="82"/>
      <c r="DB1185" s="55"/>
      <c r="DC1185" s="55"/>
      <c r="DD1185" s="55"/>
      <c r="DE1185" s="55"/>
      <c r="DF1185" s="55"/>
      <c r="DG1185" s="55"/>
      <c r="DH1185" s="55"/>
      <c r="DI1185" s="55"/>
      <c r="DJ1185" s="55"/>
      <c r="DK1185" s="55"/>
      <c r="DL1185" s="55"/>
      <c r="DM1185" s="55"/>
      <c r="DN1185" s="55"/>
      <c r="DO1185" s="55"/>
      <c r="DP1185" s="55"/>
      <c r="DQ1185" s="55"/>
      <c r="DR1185" s="55"/>
      <c r="DS1185" s="55"/>
      <c r="DT1185" s="55"/>
      <c r="DU1185" s="55"/>
      <c r="DV1185" s="55"/>
      <c r="DW1185" s="55"/>
    </row>
    <row r="1186">
      <c r="A1186" s="23" t="s">
        <v>64</v>
      </c>
      <c r="B1186" s="23" t="s">
        <v>56</v>
      </c>
      <c r="C1186" s="31" t="s">
        <v>2645</v>
      </c>
      <c r="D1186" s="25" t="str">
        <f>IFERROR(__xludf.DUMMYFUNCTION("SPLIT(C1186,"" "")"),"Southwest")</f>
        <v>Southwest</v>
      </c>
      <c r="E1186" s="22" t="str">
        <f>IFERROR(__xludf.DUMMYFUNCTION("""COMPUTED_VALUE"""),"Airlines")</f>
        <v>Airlines</v>
      </c>
      <c r="F1186" s="22" t="str">
        <f>IFERROR(__xludf.DUMMYFUNCTION("""COMPUTED_VALUE"""),"Co.")</f>
        <v>Co.</v>
      </c>
      <c r="G1186" s="22" t="str">
        <f>IFERROR(__xludf.DUMMYFUNCTION("""COMPUTED_VALUE"""),"Freedom")</f>
        <v>Freedom</v>
      </c>
      <c r="H1186" s="22" t="str">
        <f>IFERROR(__xludf.DUMMYFUNCTION("""COMPUTED_VALUE"""),"Fund
PO")</f>
        <v>Fund
PO</v>
      </c>
      <c r="I1186" s="22" t="str">
        <f>IFERROR(__xludf.DUMMYFUNCTION("""COMPUTED_VALUE"""),"Box")</f>
        <v>Box</v>
      </c>
      <c r="J1186" s="22" t="str">
        <f>IFERROR(__xludf.DUMMYFUNCTION("""COMPUTED_VALUE"""),"36611
Dallas,")</f>
        <v>36611
Dallas,</v>
      </c>
      <c r="K1186" s="22" t="str">
        <f>IFERROR(__xludf.DUMMYFUNCTION("""COMPUTED_VALUE"""),"TX")</f>
        <v>TX</v>
      </c>
      <c r="L1186" s="22">
        <f>IFERROR(__xludf.DUMMYFUNCTION("""COMPUTED_VALUE"""),75235.0)</f>
        <v>75235</v>
      </c>
      <c r="M1186" s="22"/>
      <c r="N1186" s="22"/>
      <c r="O1186" s="22"/>
      <c r="P1186" s="22"/>
      <c r="Q1186" s="22"/>
      <c r="R1186" s="22"/>
      <c r="S1186" s="22"/>
      <c r="T1186" s="22"/>
      <c r="U1186" s="24" t="str">
        <f>IFERROR(__xludf.DUMMYFUNCTION("SPLIT(E1186,""01234567890"")"),"Airlines")</f>
        <v>Airlines</v>
      </c>
      <c r="V1186" s="24" t="str">
        <f>IFERROR(__xludf.DUMMYFUNCTION("SPLIT(D1186,"","")"),"Southwest")</f>
        <v>Southwest</v>
      </c>
      <c r="W1186" s="25" t="str">
        <f t="shared" si="1"/>
        <v>AIRLINES SOUTHWEST</v>
      </c>
      <c r="X1186" s="22"/>
      <c r="Y1186" s="22"/>
      <c r="Z1186" s="25" t="str">
        <f>IFERROR(__xludf.DUMMYFUNCTION("SPLIT(C1186,""
"")"),"Southwest Airlines Co. Freedom Fund")</f>
        <v>Southwest Airlines Co. Freedom Fund</v>
      </c>
      <c r="AA1186" s="22" t="str">
        <f>IFERROR(__xludf.DUMMYFUNCTION("""COMPUTED_VALUE"""),"PO Box 36611")</f>
        <v>PO Box 36611</v>
      </c>
      <c r="AB1186" s="22" t="str">
        <f>IFERROR(__xludf.DUMMYFUNCTION("""COMPUTED_VALUE"""),"Dallas, TX 75235")</f>
        <v>Dallas, TX 75235</v>
      </c>
      <c r="AC1186" s="31" t="s">
        <v>2646</v>
      </c>
      <c r="AD1186" s="22"/>
      <c r="AE1186" s="22"/>
      <c r="AF1186" s="22"/>
      <c r="AG1186" s="22" t="s">
        <v>60</v>
      </c>
      <c r="AH1186" s="54">
        <v>2486.0</v>
      </c>
      <c r="AI1186" s="22" t="s">
        <v>68</v>
      </c>
      <c r="AJ1186" s="27">
        <v>1500.0</v>
      </c>
      <c r="AK1186" s="31" t="s">
        <v>24</v>
      </c>
      <c r="AL1186" s="28">
        <v>44771.0</v>
      </c>
      <c r="AM1186" s="29">
        <v>44942.42989583333</v>
      </c>
      <c r="AN1186" s="30">
        <v>2.0</v>
      </c>
      <c r="AO1186" s="22"/>
      <c r="AP1186" s="22"/>
      <c r="AQ1186" s="22"/>
      <c r="AR1186" s="22"/>
      <c r="AS1186" s="22"/>
      <c r="AT1186" s="70"/>
      <c r="AU1186" s="22"/>
      <c r="AV1186" s="57"/>
      <c r="AW1186" s="57"/>
      <c r="AX1186" s="70"/>
      <c r="AY1186" s="29"/>
      <c r="AZ1186" s="30"/>
      <c r="CU1186" s="55"/>
      <c r="CV1186" s="55"/>
      <c r="CW1186" s="55"/>
      <c r="CX1186" s="55"/>
      <c r="CY1186" s="55"/>
      <c r="CZ1186" s="55"/>
      <c r="DA1186" s="82"/>
      <c r="DB1186" s="55"/>
      <c r="DC1186" s="55"/>
      <c r="DD1186" s="55"/>
      <c r="DE1186" s="55"/>
      <c r="DF1186" s="55"/>
      <c r="DG1186" s="55"/>
      <c r="DH1186" s="55"/>
      <c r="DI1186" s="55"/>
      <c r="DJ1186" s="55"/>
      <c r="DK1186" s="55"/>
      <c r="DL1186" s="55"/>
      <c r="DM1186" s="55"/>
      <c r="DN1186" s="55"/>
      <c r="DO1186" s="55"/>
      <c r="DP1186" s="55"/>
      <c r="DQ1186" s="55"/>
      <c r="DR1186" s="55"/>
      <c r="DS1186" s="55"/>
      <c r="DT1186" s="55"/>
      <c r="DU1186" s="55"/>
      <c r="DV1186" s="55"/>
      <c r="DW1186" s="55"/>
    </row>
    <row r="1187">
      <c r="A1187" s="41" t="s">
        <v>64</v>
      </c>
      <c r="B1187" s="41" t="s">
        <v>56</v>
      </c>
      <c r="C1187" s="31" t="s">
        <v>2647</v>
      </c>
      <c r="D1187" s="25" t="str">
        <f>IFERROR(__xludf.DUMMYFUNCTION("SPLIT(C1187,"" "")"),"HERMANN,")</f>
        <v>HERMANN,</v>
      </c>
      <c r="E1187" s="40" t="str">
        <f>IFERROR(__xludf.DUMMYFUNCTION("""COMPUTED_VALUE"""),"SCOTTY
405")</f>
        <v>SCOTTY
405</v>
      </c>
      <c r="F1187" s="40" t="str">
        <f>IFERROR(__xludf.DUMMYFUNCTION("""COMPUTED_VALUE"""),"Londonderry")</f>
        <v>Londonderry</v>
      </c>
      <c r="G1187" s="40" t="str">
        <f>IFERROR(__xludf.DUMMYFUNCTION("""COMPUTED_VALUE"""),"Suite")</f>
        <v>Suite</v>
      </c>
      <c r="H1187" s="40" t="str">
        <f>IFERROR(__xludf.DUMMYFUNCTION("""COMPUTED_VALUE"""),"106
WACO,")</f>
        <v>106
WACO,</v>
      </c>
      <c r="I1187" s="40" t="str">
        <f>IFERROR(__xludf.DUMMYFUNCTION("""COMPUTED_VALUE"""),"TX")</f>
        <v>TX</v>
      </c>
      <c r="J1187" s="40">
        <f>IFERROR(__xludf.DUMMYFUNCTION("""COMPUTED_VALUE"""),76712.0)</f>
        <v>76712</v>
      </c>
      <c r="K1187" s="40"/>
      <c r="L1187" s="40"/>
      <c r="M1187" s="40"/>
      <c r="N1187" s="40"/>
      <c r="O1187" s="40"/>
      <c r="P1187" s="40"/>
      <c r="Q1187" s="40"/>
      <c r="R1187" s="40"/>
      <c r="S1187" s="40"/>
      <c r="T1187" s="40"/>
      <c r="U1187" s="24" t="str">
        <f>IFERROR(__xludf.DUMMYFUNCTION("SPLIT(E1187,""01234567890"")"),"SCOTTY
")</f>
        <v>SCOTTY
</v>
      </c>
      <c r="V1187" s="24" t="str">
        <f>IFERROR(__xludf.DUMMYFUNCTION("SPLIT(D1187,"","")"),"HERMANN")</f>
        <v>HERMANN</v>
      </c>
      <c r="W1187" s="25" t="str">
        <f t="shared" si="1"/>
        <v>SCOTTY
 HERMANN</v>
      </c>
      <c r="X1187" s="40"/>
      <c r="Y1187" s="40"/>
      <c r="Z1187" s="25" t="str">
        <f>IFERROR(__xludf.DUMMYFUNCTION("SPLIT(C1187,""
"")"),"HERMANN, SCOTTY")</f>
        <v>HERMANN, SCOTTY</v>
      </c>
      <c r="AA1187" s="40" t="str">
        <f>IFERROR(__xludf.DUMMYFUNCTION("""COMPUTED_VALUE"""),"405 Londonderry Suite 106")</f>
        <v>405 Londonderry Suite 106</v>
      </c>
      <c r="AB1187" s="40" t="str">
        <f>IFERROR(__xludf.DUMMYFUNCTION("""COMPUTED_VALUE"""),"WACO, TX 76712")</f>
        <v>WACO, TX 76712</v>
      </c>
      <c r="AC1187" s="31" t="s">
        <v>2648</v>
      </c>
      <c r="AD1187" s="40"/>
      <c r="AE1187" s="40"/>
      <c r="AF1187" s="40"/>
      <c r="AG1187" s="40" t="s">
        <v>60</v>
      </c>
      <c r="AH1187" s="42">
        <v>2486.0</v>
      </c>
      <c r="AI1187" s="40" t="s">
        <v>68</v>
      </c>
      <c r="AJ1187" s="27">
        <v>250.0</v>
      </c>
      <c r="AK1187" s="31" t="s">
        <v>24</v>
      </c>
      <c r="AL1187" s="43">
        <v>44796.0</v>
      </c>
      <c r="AM1187" s="44">
        <v>44942.42989583333</v>
      </c>
      <c r="AN1187" s="30">
        <v>2.0</v>
      </c>
      <c r="AO1187" s="40"/>
      <c r="AP1187" s="40"/>
      <c r="AQ1187" s="40"/>
      <c r="AR1187" s="40"/>
      <c r="AS1187" s="40"/>
      <c r="AT1187" s="47"/>
      <c r="AU1187" s="40"/>
      <c r="AV1187" s="46"/>
      <c r="AW1187" s="46"/>
      <c r="AX1187" s="47"/>
      <c r="AY1187" s="44"/>
      <c r="AZ1187" s="30"/>
      <c r="CU1187" s="55"/>
      <c r="CV1187" s="55"/>
      <c r="CW1187" s="55"/>
      <c r="CX1187" s="55"/>
      <c r="CY1187" s="55"/>
      <c r="CZ1187" s="55"/>
      <c r="DA1187" s="82"/>
      <c r="DB1187" s="55"/>
      <c r="DC1187" s="55"/>
      <c r="DD1187" s="55"/>
      <c r="DE1187" s="55"/>
      <c r="DF1187" s="55"/>
      <c r="DG1187" s="55"/>
      <c r="DH1187" s="55"/>
      <c r="DI1187" s="55"/>
      <c r="DJ1187" s="55"/>
      <c r="DK1187" s="55"/>
      <c r="DL1187" s="55"/>
      <c r="DM1187" s="55"/>
      <c r="DN1187" s="55"/>
      <c r="DO1187" s="55"/>
      <c r="DP1187" s="55"/>
      <c r="DQ1187" s="55"/>
      <c r="DR1187" s="55"/>
      <c r="DS1187" s="55"/>
      <c r="DT1187" s="55"/>
      <c r="DU1187" s="55"/>
      <c r="DV1187" s="55"/>
      <c r="DW1187" s="55"/>
    </row>
    <row r="1188">
      <c r="A1188" s="23" t="s">
        <v>64</v>
      </c>
      <c r="B1188" s="23" t="s">
        <v>56</v>
      </c>
      <c r="C1188" s="31" t="s">
        <v>406</v>
      </c>
      <c r="D1188" s="25" t="str">
        <f>IFERROR(__xludf.DUMMYFUNCTION("SPLIT(C1188,"" "")"),"Beucler,")</f>
        <v>Beucler,</v>
      </c>
      <c r="E1188" s="22" t="str">
        <f>IFERROR(__xludf.DUMMYFUNCTION("""COMPUTED_VALUE"""),"Reid
6060")</f>
        <v>Reid
6060</v>
      </c>
      <c r="F1188" s="22" t="str">
        <f>IFERROR(__xludf.DUMMYFUNCTION("""COMPUTED_VALUE"""),"N")</f>
        <v>N</v>
      </c>
      <c r="G1188" s="22" t="str">
        <f>IFERROR(__xludf.DUMMYFUNCTION("""COMPUTED_VALUE"""),"Central")</f>
        <v>Central</v>
      </c>
      <c r="H1188" s="22" t="str">
        <f>IFERROR(__xludf.DUMMYFUNCTION("""COMPUTED_VALUE"""),"Expwy")</f>
        <v>Expwy</v>
      </c>
      <c r="I1188" s="22" t="str">
        <f>IFERROR(__xludf.DUMMYFUNCTION("""COMPUTED_VALUE"""),"Suite")</f>
        <v>Suite</v>
      </c>
      <c r="J1188" s="22" t="str">
        <f>IFERROR(__xludf.DUMMYFUNCTION("""COMPUTED_VALUE"""),"125
Dallas,")</f>
        <v>125
Dallas,</v>
      </c>
      <c r="K1188" s="22" t="str">
        <f>IFERROR(__xludf.DUMMYFUNCTION("""COMPUTED_VALUE"""),"TX")</f>
        <v>TX</v>
      </c>
      <c r="L1188" s="22">
        <f>IFERROR(__xludf.DUMMYFUNCTION("""COMPUTED_VALUE"""),75206.0)</f>
        <v>75206</v>
      </c>
      <c r="M1188" s="22"/>
      <c r="N1188" s="22"/>
      <c r="O1188" s="22"/>
      <c r="P1188" s="22"/>
      <c r="Q1188" s="22"/>
      <c r="R1188" s="22"/>
      <c r="S1188" s="22"/>
      <c r="T1188" s="22"/>
      <c r="U1188" s="24" t="str">
        <f>IFERROR(__xludf.DUMMYFUNCTION("SPLIT(E1188,""01234567890"")"),"Reid
")</f>
        <v>Reid
</v>
      </c>
      <c r="V1188" s="24" t="str">
        <f>IFERROR(__xludf.DUMMYFUNCTION("SPLIT(D1188,"","")"),"Beucler")</f>
        <v>Beucler</v>
      </c>
      <c r="W1188" s="25" t="str">
        <f t="shared" si="1"/>
        <v>REID
 BEUCLER</v>
      </c>
      <c r="X1188" s="22"/>
      <c r="Y1188" s="22"/>
      <c r="Z1188" s="25" t="str">
        <f>IFERROR(__xludf.DUMMYFUNCTION("SPLIT(C1188,""
"")"),"Beucler, Reid")</f>
        <v>Beucler, Reid</v>
      </c>
      <c r="AA1188" s="22" t="str">
        <f>IFERROR(__xludf.DUMMYFUNCTION("""COMPUTED_VALUE"""),"6060 N Central Expwy Suite 125")</f>
        <v>6060 N Central Expwy Suite 125</v>
      </c>
      <c r="AB1188" s="22" t="str">
        <f>IFERROR(__xludf.DUMMYFUNCTION("""COMPUTED_VALUE"""),"Dallas, TX 75206")</f>
        <v>Dallas, TX 75206</v>
      </c>
      <c r="AC1188" s="31" t="s">
        <v>408</v>
      </c>
      <c r="AD1188" s="22"/>
      <c r="AE1188" s="22"/>
      <c r="AF1188" s="22"/>
      <c r="AG1188" s="22" t="s">
        <v>60</v>
      </c>
      <c r="AH1188" s="54">
        <v>2486.0</v>
      </c>
      <c r="AI1188" s="22" t="s">
        <v>68</v>
      </c>
      <c r="AJ1188" s="27">
        <v>1000.0</v>
      </c>
      <c r="AK1188" s="31" t="s">
        <v>24</v>
      </c>
      <c r="AL1188" s="28">
        <v>44825.0</v>
      </c>
      <c r="AM1188" s="29">
        <v>44942.42989583333</v>
      </c>
      <c r="AN1188" s="30">
        <v>2.0</v>
      </c>
      <c r="AO1188" s="22"/>
      <c r="AP1188" s="22"/>
      <c r="AQ1188" s="22"/>
      <c r="AR1188" s="22"/>
      <c r="AS1188" s="22"/>
      <c r="AT1188" s="70"/>
      <c r="AU1188" s="22"/>
      <c r="AV1188" s="57"/>
      <c r="AW1188" s="57"/>
      <c r="AX1188" s="70"/>
      <c r="AY1188" s="29"/>
      <c r="AZ1188" s="30"/>
      <c r="CU1188" s="55"/>
      <c r="CV1188" s="55"/>
      <c r="CW1188" s="55"/>
      <c r="CX1188" s="55"/>
      <c r="CY1188" s="55"/>
      <c r="CZ1188" s="55"/>
      <c r="DA1188" s="82"/>
      <c r="DB1188" s="55"/>
      <c r="DC1188" s="55"/>
      <c r="DD1188" s="55"/>
      <c r="DE1188" s="55"/>
      <c r="DF1188" s="55"/>
      <c r="DG1188" s="55"/>
      <c r="DH1188" s="55"/>
      <c r="DI1188" s="55"/>
      <c r="DJ1188" s="55"/>
      <c r="DK1188" s="55"/>
      <c r="DL1188" s="55"/>
      <c r="DM1188" s="55"/>
      <c r="DN1188" s="55"/>
      <c r="DO1188" s="55"/>
      <c r="DP1188" s="55"/>
      <c r="DQ1188" s="55"/>
      <c r="DR1188" s="55"/>
      <c r="DS1188" s="55"/>
      <c r="DT1188" s="55"/>
      <c r="DU1188" s="55"/>
      <c r="DV1188" s="55"/>
      <c r="DW1188" s="55"/>
    </row>
    <row r="1189">
      <c r="A1189" s="41" t="s">
        <v>64</v>
      </c>
      <c r="B1189" s="41" t="s">
        <v>56</v>
      </c>
      <c r="C1189" s="31" t="s">
        <v>136</v>
      </c>
      <c r="D1189" s="25" t="str">
        <f>IFERROR(__xludf.DUMMYFUNCTION("SPLIT(C1189,"" "")"),"Alcantar,")</f>
        <v>Alcantar,</v>
      </c>
      <c r="E1189" s="40" t="str">
        <f>IFERROR(__xludf.DUMMYFUNCTION("""COMPUTED_VALUE"""),"Joe
7304")</f>
        <v>Joe
7304</v>
      </c>
      <c r="F1189" s="40" t="str">
        <f>IFERROR(__xludf.DUMMYFUNCTION("""COMPUTED_VALUE"""),"Lane")</f>
        <v>Lane</v>
      </c>
      <c r="G1189" s="40" t="str">
        <f>IFERROR(__xludf.DUMMYFUNCTION("""COMPUTED_VALUE"""),"Park")</f>
        <v>Park</v>
      </c>
      <c r="H1189" s="40" t="str">
        <f>IFERROR(__xludf.DUMMYFUNCTION("""COMPUTED_VALUE"""),"Court
Dallas,")</f>
        <v>Court
Dallas,</v>
      </c>
      <c r="I1189" s="40" t="str">
        <f>IFERROR(__xludf.DUMMYFUNCTION("""COMPUTED_VALUE"""),"TX")</f>
        <v>TX</v>
      </c>
      <c r="J1189" s="40">
        <f>IFERROR(__xludf.DUMMYFUNCTION("""COMPUTED_VALUE"""),75225.0)</f>
        <v>75225</v>
      </c>
      <c r="K1189" s="40"/>
      <c r="L1189" s="40"/>
      <c r="M1189" s="40"/>
      <c r="N1189" s="40"/>
      <c r="O1189" s="40"/>
      <c r="P1189" s="40"/>
      <c r="Q1189" s="40"/>
      <c r="R1189" s="40"/>
      <c r="S1189" s="40"/>
      <c r="T1189" s="40"/>
      <c r="U1189" s="24" t="str">
        <f>IFERROR(__xludf.DUMMYFUNCTION("SPLIT(E1189,""01234567890"")"),"Joe
")</f>
        <v>Joe
</v>
      </c>
      <c r="V1189" s="24" t="str">
        <f>IFERROR(__xludf.DUMMYFUNCTION("SPLIT(D1189,"","")"),"Alcantar")</f>
        <v>Alcantar</v>
      </c>
      <c r="W1189" s="25" t="str">
        <f t="shared" si="1"/>
        <v>JOE
 ALCANTAR</v>
      </c>
      <c r="X1189" s="40"/>
      <c r="Y1189" s="40"/>
      <c r="Z1189" s="25" t="str">
        <f>IFERROR(__xludf.DUMMYFUNCTION("SPLIT(C1189,""
"")"),"Alcantar, Joe")</f>
        <v>Alcantar, Joe</v>
      </c>
      <c r="AA1189" s="40" t="str">
        <f>IFERROR(__xludf.DUMMYFUNCTION("""COMPUTED_VALUE"""),"7304 Lane Park Court")</f>
        <v>7304 Lane Park Court</v>
      </c>
      <c r="AB1189" s="40" t="str">
        <f>IFERROR(__xludf.DUMMYFUNCTION("""COMPUTED_VALUE"""),"Dallas, TX 75225")</f>
        <v>Dallas, TX 75225</v>
      </c>
      <c r="AC1189" s="31" t="s">
        <v>138</v>
      </c>
      <c r="AD1189" s="40"/>
      <c r="AE1189" s="40"/>
      <c r="AF1189" s="40"/>
      <c r="AG1189" s="40" t="s">
        <v>60</v>
      </c>
      <c r="AH1189" s="42">
        <v>2486.0</v>
      </c>
      <c r="AI1189" s="40" t="s">
        <v>68</v>
      </c>
      <c r="AJ1189" s="27">
        <v>500.0</v>
      </c>
      <c r="AK1189" s="31" t="s">
        <v>24</v>
      </c>
      <c r="AL1189" s="43">
        <v>44844.0</v>
      </c>
      <c r="AM1189" s="44">
        <v>44942.42989583333</v>
      </c>
      <c r="AN1189" s="30">
        <v>2.0</v>
      </c>
      <c r="AO1189" s="40"/>
      <c r="AP1189" s="40"/>
      <c r="AQ1189" s="40"/>
      <c r="AR1189" s="40"/>
      <c r="AS1189" s="40"/>
      <c r="AT1189" s="47"/>
      <c r="AU1189" s="40"/>
      <c r="AV1189" s="46"/>
      <c r="AW1189" s="46"/>
      <c r="AX1189" s="47"/>
      <c r="AY1189" s="44"/>
      <c r="AZ1189" s="30"/>
      <c r="CU1189" s="55"/>
      <c r="CV1189" s="55"/>
      <c r="CW1189" s="55"/>
      <c r="CX1189" s="55"/>
      <c r="CY1189" s="55"/>
      <c r="CZ1189" s="55"/>
      <c r="DA1189" s="82"/>
      <c r="DB1189" s="55"/>
      <c r="DC1189" s="55"/>
      <c r="DD1189" s="55"/>
      <c r="DE1189" s="55"/>
      <c r="DF1189" s="55"/>
      <c r="DG1189" s="55"/>
      <c r="DH1189" s="55"/>
      <c r="DI1189" s="55"/>
      <c r="DJ1189" s="55"/>
      <c r="DK1189" s="55"/>
      <c r="DL1189" s="55"/>
      <c r="DM1189" s="55"/>
      <c r="DN1189" s="55"/>
      <c r="DO1189" s="55"/>
      <c r="DP1189" s="55"/>
      <c r="DQ1189" s="55"/>
      <c r="DR1189" s="55"/>
      <c r="DS1189" s="55"/>
      <c r="DT1189" s="55"/>
      <c r="DU1189" s="55"/>
      <c r="DV1189" s="55"/>
      <c r="DW1189" s="55"/>
    </row>
    <row r="1190">
      <c r="A1190" s="23" t="s">
        <v>64</v>
      </c>
      <c r="B1190" s="23" t="s">
        <v>56</v>
      </c>
      <c r="C1190" s="31" t="s">
        <v>2649</v>
      </c>
      <c r="D1190" s="25" t="str">
        <f>IFERROR(__xludf.DUMMYFUNCTION("SPLIT(C1190,"" "")"),"Pankey,")</f>
        <v>Pankey,</v>
      </c>
      <c r="E1190" s="22" t="str">
        <f>IFERROR(__xludf.DUMMYFUNCTION("""COMPUTED_VALUE"""),"Julie
3435")</f>
        <v>Julie
3435</v>
      </c>
      <c r="F1190" s="22" t="str">
        <f>IFERROR(__xludf.DUMMYFUNCTION("""COMPUTED_VALUE"""),"Wendy")</f>
        <v>Wendy</v>
      </c>
      <c r="G1190" s="22" t="str">
        <f>IFERROR(__xludf.DUMMYFUNCTION("""COMPUTED_VALUE"""),"Lane
Dallas,")</f>
        <v>Lane
Dallas,</v>
      </c>
      <c r="H1190" s="22" t="str">
        <f>IFERROR(__xludf.DUMMYFUNCTION("""COMPUTED_VALUE"""),"TX")</f>
        <v>TX</v>
      </c>
      <c r="I1190" s="22">
        <f>IFERROR(__xludf.DUMMYFUNCTION("""COMPUTED_VALUE"""),75214.0)</f>
        <v>75214</v>
      </c>
      <c r="J1190" s="22"/>
      <c r="K1190" s="22"/>
      <c r="L1190" s="22"/>
      <c r="M1190" s="22"/>
      <c r="N1190" s="22"/>
      <c r="O1190" s="22"/>
      <c r="P1190" s="22"/>
      <c r="Q1190" s="22"/>
      <c r="R1190" s="22"/>
      <c r="S1190" s="22"/>
      <c r="T1190" s="22"/>
      <c r="U1190" s="24" t="str">
        <f>IFERROR(__xludf.DUMMYFUNCTION("SPLIT(E1190,""01234567890"")"),"Julie
")</f>
        <v>Julie
</v>
      </c>
      <c r="V1190" s="24" t="str">
        <f>IFERROR(__xludf.DUMMYFUNCTION("SPLIT(D1190,"","")"),"Pankey")</f>
        <v>Pankey</v>
      </c>
      <c r="W1190" s="25" t="str">
        <f t="shared" si="1"/>
        <v>JULIE
 PANKEY</v>
      </c>
      <c r="X1190" s="22"/>
      <c r="Y1190" s="22"/>
      <c r="Z1190" s="25" t="str">
        <f>IFERROR(__xludf.DUMMYFUNCTION("SPLIT(C1190,""
"")"),"Pankey, Julie")</f>
        <v>Pankey, Julie</v>
      </c>
      <c r="AA1190" s="22" t="str">
        <f>IFERROR(__xludf.DUMMYFUNCTION("""COMPUTED_VALUE"""),"3435 Wendy Lane")</f>
        <v>3435 Wendy Lane</v>
      </c>
      <c r="AB1190" s="22" t="str">
        <f>IFERROR(__xludf.DUMMYFUNCTION("""COMPUTED_VALUE"""),"Dallas, TX 75214")</f>
        <v>Dallas, TX 75214</v>
      </c>
      <c r="AC1190" s="31" t="s">
        <v>2650</v>
      </c>
      <c r="AD1190" s="22"/>
      <c r="AE1190" s="22"/>
      <c r="AF1190" s="22"/>
      <c r="AG1190" s="22" t="s">
        <v>60</v>
      </c>
      <c r="AH1190" s="54">
        <v>2486.0</v>
      </c>
      <c r="AI1190" s="22" t="s">
        <v>68</v>
      </c>
      <c r="AJ1190" s="27">
        <v>1000.0</v>
      </c>
      <c r="AK1190" s="31" t="s">
        <v>24</v>
      </c>
      <c r="AL1190" s="28">
        <v>44846.0</v>
      </c>
      <c r="AM1190" s="29">
        <v>44942.42989583333</v>
      </c>
      <c r="AN1190" s="30">
        <v>2.0</v>
      </c>
      <c r="AO1190" s="22"/>
      <c r="AP1190" s="22"/>
      <c r="AQ1190" s="22"/>
      <c r="AR1190" s="22"/>
      <c r="AS1190" s="22"/>
      <c r="AT1190" s="70"/>
      <c r="AU1190" s="22"/>
      <c r="AV1190" s="57"/>
      <c r="AW1190" s="57"/>
      <c r="AX1190" s="70"/>
      <c r="AY1190" s="29"/>
      <c r="AZ1190" s="30"/>
      <c r="CU1190" s="55"/>
      <c r="CV1190" s="55"/>
      <c r="CW1190" s="55"/>
      <c r="CX1190" s="55"/>
      <c r="CY1190" s="55"/>
      <c r="CZ1190" s="55"/>
      <c r="DA1190" s="82"/>
      <c r="DB1190" s="55"/>
      <c r="DC1190" s="55"/>
      <c r="DD1190" s="55"/>
      <c r="DE1190" s="55"/>
      <c r="DF1190" s="55"/>
      <c r="DG1190" s="55"/>
      <c r="DH1190" s="55"/>
      <c r="DI1190" s="55"/>
      <c r="DJ1190" s="55"/>
      <c r="DK1190" s="55"/>
      <c r="DL1190" s="55"/>
      <c r="DM1190" s="55"/>
      <c r="DN1190" s="55"/>
      <c r="DO1190" s="55"/>
      <c r="DP1190" s="55"/>
      <c r="DQ1190" s="55"/>
      <c r="DR1190" s="55"/>
      <c r="DS1190" s="55"/>
      <c r="DT1190" s="55"/>
      <c r="DU1190" s="55"/>
      <c r="DV1190" s="55"/>
      <c r="DW1190" s="55"/>
    </row>
    <row r="1191">
      <c r="A1191" s="41" t="s">
        <v>64</v>
      </c>
      <c r="B1191" s="41" t="s">
        <v>56</v>
      </c>
      <c r="C1191" s="31" t="s">
        <v>430</v>
      </c>
      <c r="D1191" s="25" t="str">
        <f>IFERROR(__xludf.DUMMYFUNCTION("SPLIT(C1191,"" "")"),"Billingsley,")</f>
        <v>Billingsley,</v>
      </c>
      <c r="E1191" s="40" t="str">
        <f>IFERROR(__xludf.DUMMYFUNCTION("""COMPUTED_VALUE"""),"Lucy
1722")</f>
        <v>Lucy
1722</v>
      </c>
      <c r="F1191" s="40" t="str">
        <f>IFERROR(__xludf.DUMMYFUNCTION("""COMPUTED_VALUE"""),"Routh")</f>
        <v>Routh</v>
      </c>
      <c r="G1191" s="40" t="str">
        <f>IFERROR(__xludf.DUMMYFUNCTION("""COMPUTED_VALUE"""),"Street
Dallas,")</f>
        <v>Street
Dallas,</v>
      </c>
      <c r="H1191" s="40" t="str">
        <f>IFERROR(__xludf.DUMMYFUNCTION("""COMPUTED_VALUE"""),"TX")</f>
        <v>TX</v>
      </c>
      <c r="I1191" s="40">
        <f>IFERROR(__xludf.DUMMYFUNCTION("""COMPUTED_VALUE"""),75201.0)</f>
        <v>75201</v>
      </c>
      <c r="J1191" s="40"/>
      <c r="K1191" s="40"/>
      <c r="L1191" s="40"/>
      <c r="M1191" s="40"/>
      <c r="N1191" s="40"/>
      <c r="O1191" s="40"/>
      <c r="P1191" s="40"/>
      <c r="Q1191" s="40"/>
      <c r="R1191" s="40"/>
      <c r="S1191" s="40"/>
      <c r="T1191" s="40"/>
      <c r="U1191" s="24" t="str">
        <f>IFERROR(__xludf.DUMMYFUNCTION("SPLIT(E1191,""01234567890"")"),"Lucy
")</f>
        <v>Lucy
</v>
      </c>
      <c r="V1191" s="24" t="str">
        <f>IFERROR(__xludf.DUMMYFUNCTION("SPLIT(D1191,"","")"),"Billingsley")</f>
        <v>Billingsley</v>
      </c>
      <c r="W1191" s="25" t="str">
        <f t="shared" si="1"/>
        <v>LUCY
 BILLINGSLEY</v>
      </c>
      <c r="X1191" s="40"/>
      <c r="Y1191" s="40"/>
      <c r="Z1191" s="25" t="str">
        <f>IFERROR(__xludf.DUMMYFUNCTION("SPLIT(C1191,""
"")"),"Billingsley, Lucy")</f>
        <v>Billingsley, Lucy</v>
      </c>
      <c r="AA1191" s="40" t="str">
        <f>IFERROR(__xludf.DUMMYFUNCTION("""COMPUTED_VALUE"""),"1722 Routh Street")</f>
        <v>1722 Routh Street</v>
      </c>
      <c r="AB1191" s="40" t="str">
        <f>IFERROR(__xludf.DUMMYFUNCTION("""COMPUTED_VALUE"""),"Dallas, TX 75201")</f>
        <v>Dallas, TX 75201</v>
      </c>
      <c r="AC1191" s="31" t="s">
        <v>425</v>
      </c>
      <c r="AD1191" s="40"/>
      <c r="AE1191" s="40"/>
      <c r="AF1191" s="40"/>
      <c r="AG1191" s="40" t="s">
        <v>60</v>
      </c>
      <c r="AH1191" s="42">
        <v>2486.0</v>
      </c>
      <c r="AI1191" s="40" t="s">
        <v>68</v>
      </c>
      <c r="AJ1191" s="27">
        <v>500.0</v>
      </c>
      <c r="AK1191" s="31" t="s">
        <v>24</v>
      </c>
      <c r="AL1191" s="43">
        <v>44848.0</v>
      </c>
      <c r="AM1191" s="44">
        <v>44942.42989583333</v>
      </c>
      <c r="AN1191" s="30">
        <v>2.0</v>
      </c>
      <c r="AO1191" s="40"/>
      <c r="AP1191" s="40"/>
      <c r="AQ1191" s="40"/>
      <c r="AR1191" s="40"/>
      <c r="AS1191" s="40"/>
      <c r="AT1191" s="47"/>
      <c r="AU1191" s="40"/>
      <c r="AV1191" s="46"/>
      <c r="AW1191" s="46"/>
      <c r="AX1191" s="47"/>
      <c r="AY1191" s="44"/>
      <c r="AZ1191" s="30"/>
      <c r="CU1191" s="55"/>
      <c r="CV1191" s="55"/>
      <c r="CW1191" s="55"/>
      <c r="CX1191" s="55"/>
      <c r="CY1191" s="55"/>
      <c r="CZ1191" s="55"/>
      <c r="DA1191" s="82"/>
      <c r="DB1191" s="55"/>
      <c r="DC1191" s="55"/>
      <c r="DD1191" s="55"/>
      <c r="DE1191" s="55"/>
      <c r="DF1191" s="55"/>
      <c r="DG1191" s="55"/>
      <c r="DH1191" s="55"/>
      <c r="DI1191" s="55"/>
      <c r="DJ1191" s="55"/>
      <c r="DK1191" s="55"/>
      <c r="DL1191" s="55"/>
      <c r="DM1191" s="55"/>
      <c r="DN1191" s="55"/>
      <c r="DO1191" s="55"/>
      <c r="DP1191" s="55"/>
      <c r="DQ1191" s="55"/>
      <c r="DR1191" s="55"/>
      <c r="DS1191" s="55"/>
      <c r="DT1191" s="55"/>
      <c r="DU1191" s="55"/>
      <c r="DV1191" s="55"/>
      <c r="DW1191" s="55"/>
    </row>
    <row r="1192">
      <c r="A1192" s="23" t="s">
        <v>64</v>
      </c>
      <c r="B1192" s="23" t="s">
        <v>56</v>
      </c>
      <c r="C1192" s="31" t="s">
        <v>2651</v>
      </c>
      <c r="D1192" s="25" t="str">
        <f>IFERROR(__xludf.DUMMYFUNCTION("SPLIT(C1192,"" "")"),"Hurley,")</f>
        <v>Hurley,</v>
      </c>
      <c r="E1192" s="22" t="str">
        <f>IFERROR(__xludf.DUMMYFUNCTION("""COMPUTED_VALUE"""),"S.J.
2227")</f>
        <v>S.J.
2227</v>
      </c>
      <c r="F1192" s="22" t="str">
        <f>IFERROR(__xludf.DUMMYFUNCTION("""COMPUTED_VALUE"""),"Vantage")</f>
        <v>Vantage</v>
      </c>
      <c r="G1192" s="22" t="str">
        <f>IFERROR(__xludf.DUMMYFUNCTION("""COMPUTED_VALUE"""),"Street
Dallas,")</f>
        <v>Street
Dallas,</v>
      </c>
      <c r="H1192" s="22" t="str">
        <f>IFERROR(__xludf.DUMMYFUNCTION("""COMPUTED_VALUE"""),"TX")</f>
        <v>TX</v>
      </c>
      <c r="I1192" s="22">
        <f>IFERROR(__xludf.DUMMYFUNCTION("""COMPUTED_VALUE"""),75207.0)</f>
        <v>75207</v>
      </c>
      <c r="J1192" s="22"/>
      <c r="K1192" s="22"/>
      <c r="L1192" s="22"/>
      <c r="M1192" s="22"/>
      <c r="N1192" s="22"/>
      <c r="O1192" s="22"/>
      <c r="P1192" s="22"/>
      <c r="Q1192" s="22"/>
      <c r="R1192" s="22"/>
      <c r="S1192" s="22"/>
      <c r="T1192" s="22"/>
      <c r="U1192" s="24" t="str">
        <f>IFERROR(__xludf.DUMMYFUNCTION("SPLIT(E1192,""01234567890"")"),"S.J.
")</f>
        <v>S.J.
</v>
      </c>
      <c r="V1192" s="24" t="str">
        <f>IFERROR(__xludf.DUMMYFUNCTION("SPLIT(D1192,"","")"),"Hurley")</f>
        <v>Hurley</v>
      </c>
      <c r="W1192" s="25" t="str">
        <f t="shared" si="1"/>
        <v>S.J.
 HURLEY</v>
      </c>
      <c r="X1192" s="22"/>
      <c r="Y1192" s="22"/>
      <c r="Z1192" s="25" t="str">
        <f>IFERROR(__xludf.DUMMYFUNCTION("SPLIT(C1192,""
"")"),"Hurley, S.J.")</f>
        <v>Hurley, S.J.</v>
      </c>
      <c r="AA1192" s="22" t="str">
        <f>IFERROR(__xludf.DUMMYFUNCTION("""COMPUTED_VALUE"""),"2227 Vantage Street")</f>
        <v>2227 Vantage Street</v>
      </c>
      <c r="AB1192" s="22" t="str">
        <f>IFERROR(__xludf.DUMMYFUNCTION("""COMPUTED_VALUE"""),"Dallas, TX 75207")</f>
        <v>Dallas, TX 75207</v>
      </c>
      <c r="AC1192" s="31" t="s">
        <v>2652</v>
      </c>
      <c r="AD1192" s="22"/>
      <c r="AE1192" s="22"/>
      <c r="AF1192" s="22"/>
      <c r="AG1192" s="22" t="s">
        <v>60</v>
      </c>
      <c r="AH1192" s="54">
        <v>2486.0</v>
      </c>
      <c r="AI1192" s="22" t="s">
        <v>68</v>
      </c>
      <c r="AJ1192" s="27">
        <v>1000.0</v>
      </c>
      <c r="AK1192" s="31" t="s">
        <v>24</v>
      </c>
      <c r="AL1192" s="28">
        <v>44851.0</v>
      </c>
      <c r="AM1192" s="29">
        <v>44942.42989583333</v>
      </c>
      <c r="AN1192" s="30">
        <v>2.0</v>
      </c>
      <c r="AO1192" s="22"/>
      <c r="AP1192" s="22"/>
      <c r="AQ1192" s="22"/>
      <c r="AR1192" s="22"/>
      <c r="AS1192" s="22"/>
      <c r="AT1192" s="70"/>
      <c r="AU1192" s="22"/>
      <c r="AV1192" s="57"/>
      <c r="AW1192" s="57"/>
      <c r="AX1192" s="70"/>
      <c r="AY1192" s="29"/>
      <c r="AZ1192" s="30"/>
      <c r="CU1192" s="55"/>
      <c r="CV1192" s="55"/>
      <c r="CW1192" s="55"/>
      <c r="CX1192" s="55"/>
      <c r="CY1192" s="55"/>
      <c r="CZ1192" s="55"/>
      <c r="DA1192" s="82"/>
      <c r="DB1192" s="55"/>
      <c r="DC1192" s="55"/>
      <c r="DD1192" s="55"/>
      <c r="DE1192" s="55"/>
      <c r="DF1192" s="55"/>
      <c r="DG1192" s="55"/>
      <c r="DH1192" s="55"/>
      <c r="DI1192" s="55"/>
      <c r="DJ1192" s="55"/>
      <c r="DK1192" s="55"/>
      <c r="DL1192" s="55"/>
      <c r="DM1192" s="55"/>
      <c r="DN1192" s="55"/>
      <c r="DO1192" s="55"/>
      <c r="DP1192" s="55"/>
      <c r="DQ1192" s="55"/>
      <c r="DR1192" s="55"/>
      <c r="DS1192" s="55"/>
      <c r="DT1192" s="55"/>
      <c r="DU1192" s="55"/>
      <c r="DV1192" s="55"/>
      <c r="DW1192" s="55"/>
    </row>
    <row r="1193">
      <c r="A1193" s="41" t="s">
        <v>64</v>
      </c>
      <c r="B1193" s="41" t="s">
        <v>56</v>
      </c>
      <c r="C1193" s="31" t="s">
        <v>1304</v>
      </c>
      <c r="D1193" s="25" t="str">
        <f>IFERROR(__xludf.DUMMYFUNCTION("SPLIT(C1193,"" "")"),"Gatlin,")</f>
        <v>Gatlin,</v>
      </c>
      <c r="E1193" s="40" t="str">
        <f>IFERROR(__xludf.DUMMYFUNCTION("""COMPUTED_VALUE"""),"Paige
PO")</f>
        <v>Paige
PO</v>
      </c>
      <c r="F1193" s="40" t="str">
        <f>IFERROR(__xludf.DUMMYFUNCTION("""COMPUTED_VALUE"""),"Box")</f>
        <v>Box</v>
      </c>
      <c r="G1193" s="40" t="str">
        <f>IFERROR(__xludf.DUMMYFUNCTION("""COMPUTED_VALUE"""),"670865
Dallas,")</f>
        <v>670865
Dallas,</v>
      </c>
      <c r="H1193" s="40" t="str">
        <f>IFERROR(__xludf.DUMMYFUNCTION("""COMPUTED_VALUE"""),"TX")</f>
        <v>TX</v>
      </c>
      <c r="I1193" s="40">
        <f>IFERROR(__xludf.DUMMYFUNCTION("""COMPUTED_VALUE"""),75367.0)</f>
        <v>75367</v>
      </c>
      <c r="J1193" s="40"/>
      <c r="K1193" s="40"/>
      <c r="L1193" s="40"/>
      <c r="M1193" s="40"/>
      <c r="N1193" s="40"/>
      <c r="O1193" s="40"/>
      <c r="P1193" s="40"/>
      <c r="Q1193" s="40"/>
      <c r="R1193" s="40"/>
      <c r="S1193" s="40"/>
      <c r="T1193" s="40"/>
      <c r="U1193" s="24" t="str">
        <f>IFERROR(__xludf.DUMMYFUNCTION("SPLIT(E1193,""01234567890"")"),"Paige
PO")</f>
        <v>Paige
PO</v>
      </c>
      <c r="V1193" s="24" t="str">
        <f>IFERROR(__xludf.DUMMYFUNCTION("SPLIT(D1193,"","")"),"Gatlin")</f>
        <v>Gatlin</v>
      </c>
      <c r="W1193" s="25" t="str">
        <f t="shared" si="1"/>
        <v>PAIGE
PO GATLIN</v>
      </c>
      <c r="X1193" s="40"/>
      <c r="Y1193" s="40"/>
      <c r="Z1193" s="25" t="str">
        <f>IFERROR(__xludf.DUMMYFUNCTION("SPLIT(C1193,""
"")"),"Gatlin, Paige")</f>
        <v>Gatlin, Paige</v>
      </c>
      <c r="AA1193" s="40" t="str">
        <f>IFERROR(__xludf.DUMMYFUNCTION("""COMPUTED_VALUE"""),"PO Box 670865")</f>
        <v>PO Box 670865</v>
      </c>
      <c r="AB1193" s="40" t="str">
        <f>IFERROR(__xludf.DUMMYFUNCTION("""COMPUTED_VALUE"""),"Dallas, TX 75367")</f>
        <v>Dallas, TX 75367</v>
      </c>
      <c r="AC1193" s="31" t="s">
        <v>1306</v>
      </c>
      <c r="AD1193" s="40"/>
      <c r="AE1193" s="40"/>
      <c r="AF1193" s="40"/>
      <c r="AG1193" s="40" t="s">
        <v>60</v>
      </c>
      <c r="AH1193" s="42">
        <v>2486.0</v>
      </c>
      <c r="AI1193" s="40" t="s">
        <v>68</v>
      </c>
      <c r="AJ1193" s="27">
        <v>1000.0</v>
      </c>
      <c r="AK1193" s="31" t="s">
        <v>24</v>
      </c>
      <c r="AL1193" s="43">
        <v>44851.0</v>
      </c>
      <c r="AM1193" s="44">
        <v>44942.42989583333</v>
      </c>
      <c r="AN1193" s="30">
        <v>2.0</v>
      </c>
      <c r="AO1193" s="40"/>
      <c r="AP1193" s="40"/>
      <c r="AQ1193" s="40"/>
      <c r="AR1193" s="40"/>
      <c r="AS1193" s="40"/>
      <c r="AT1193" s="47"/>
      <c r="AU1193" s="40"/>
      <c r="AV1193" s="46"/>
      <c r="AW1193" s="46"/>
      <c r="AX1193" s="47"/>
      <c r="AY1193" s="44"/>
      <c r="AZ1193" s="30"/>
      <c r="CU1193" s="55"/>
      <c r="CV1193" s="55"/>
      <c r="CW1193" s="55"/>
      <c r="CX1193" s="55"/>
      <c r="CY1193" s="55"/>
      <c r="CZ1193" s="55"/>
      <c r="DA1193" s="82"/>
      <c r="DB1193" s="55"/>
      <c r="DC1193" s="55"/>
      <c r="DD1193" s="55"/>
      <c r="DE1193" s="55"/>
      <c r="DF1193" s="55"/>
      <c r="DG1193" s="55"/>
      <c r="DH1193" s="55"/>
      <c r="DI1193" s="55"/>
      <c r="DJ1193" s="55"/>
      <c r="DK1193" s="55"/>
      <c r="DL1193" s="55"/>
      <c r="DM1193" s="55"/>
      <c r="DN1193" s="55"/>
      <c r="DO1193" s="55"/>
      <c r="DP1193" s="55"/>
      <c r="DQ1193" s="55"/>
      <c r="DR1193" s="55"/>
      <c r="DS1193" s="55"/>
      <c r="DT1193" s="55"/>
      <c r="DU1193" s="55"/>
      <c r="DV1193" s="55"/>
      <c r="DW1193" s="55"/>
    </row>
    <row r="1194">
      <c r="A1194" s="23" t="s">
        <v>64</v>
      </c>
      <c r="B1194" s="23" t="s">
        <v>56</v>
      </c>
      <c r="C1194" s="31" t="s">
        <v>2653</v>
      </c>
      <c r="D1194" s="25" t="str">
        <f>IFERROR(__xludf.DUMMYFUNCTION("SPLIT(C1194,"" "")"),"Casto,")</f>
        <v>Casto,</v>
      </c>
      <c r="E1194" s="22" t="str">
        <f>IFERROR(__xludf.DUMMYFUNCTION("""COMPUTED_VALUE"""),"Larry
2500")</f>
        <v>Larry
2500</v>
      </c>
      <c r="F1194" s="22" t="str">
        <f>IFERROR(__xludf.DUMMYFUNCTION("""COMPUTED_VALUE"""),"McKinney")</f>
        <v>McKinney</v>
      </c>
      <c r="G1194" s="22" t="str">
        <f>IFERROR(__xludf.DUMMYFUNCTION("""COMPUTED_VALUE"""),"Ave
Dallas,")</f>
        <v>Ave
Dallas,</v>
      </c>
      <c r="H1194" s="22" t="str">
        <f>IFERROR(__xludf.DUMMYFUNCTION("""COMPUTED_VALUE"""),"TX")</f>
        <v>TX</v>
      </c>
      <c r="I1194" s="22">
        <f>IFERROR(__xludf.DUMMYFUNCTION("""COMPUTED_VALUE"""),75201.0)</f>
        <v>75201</v>
      </c>
      <c r="J1194" s="22"/>
      <c r="K1194" s="22"/>
      <c r="L1194" s="22"/>
      <c r="M1194" s="22"/>
      <c r="N1194" s="22"/>
      <c r="O1194" s="22"/>
      <c r="P1194" s="22"/>
      <c r="Q1194" s="22"/>
      <c r="R1194" s="22"/>
      <c r="S1194" s="22"/>
      <c r="T1194" s="22"/>
      <c r="U1194" s="24" t="str">
        <f>IFERROR(__xludf.DUMMYFUNCTION("SPLIT(E1194,""01234567890"")"),"Larry
")</f>
        <v>Larry
</v>
      </c>
      <c r="V1194" s="24" t="str">
        <f>IFERROR(__xludf.DUMMYFUNCTION("SPLIT(D1194,"","")"),"Casto")</f>
        <v>Casto</v>
      </c>
      <c r="W1194" s="25" t="str">
        <f t="shared" si="1"/>
        <v>LARRY
 CASTO</v>
      </c>
      <c r="X1194" s="22"/>
      <c r="Y1194" s="22"/>
      <c r="Z1194" s="25" t="str">
        <f>IFERROR(__xludf.DUMMYFUNCTION("SPLIT(C1194,""
"")"),"Casto, Larry")</f>
        <v>Casto, Larry</v>
      </c>
      <c r="AA1194" s="22" t="str">
        <f>IFERROR(__xludf.DUMMYFUNCTION("""COMPUTED_VALUE"""),"2500 McKinney Ave")</f>
        <v>2500 McKinney Ave</v>
      </c>
      <c r="AB1194" s="22" t="str">
        <f>IFERROR(__xludf.DUMMYFUNCTION("""COMPUTED_VALUE"""),"Dallas, TX 75201")</f>
        <v>Dallas, TX 75201</v>
      </c>
      <c r="AC1194" s="31" t="s">
        <v>2654</v>
      </c>
      <c r="AD1194" s="22"/>
      <c r="AE1194" s="22"/>
      <c r="AF1194" s="22"/>
      <c r="AG1194" s="22" t="s">
        <v>60</v>
      </c>
      <c r="AH1194" s="54">
        <v>2486.0</v>
      </c>
      <c r="AI1194" s="22" t="s">
        <v>68</v>
      </c>
      <c r="AJ1194" s="27">
        <v>250.0</v>
      </c>
      <c r="AK1194" s="31" t="s">
        <v>24</v>
      </c>
      <c r="AL1194" s="28">
        <v>44852.0</v>
      </c>
      <c r="AM1194" s="29">
        <v>44942.42989583333</v>
      </c>
      <c r="AN1194" s="30">
        <v>2.0</v>
      </c>
      <c r="AO1194" s="22"/>
      <c r="AP1194" s="22"/>
      <c r="AQ1194" s="22"/>
      <c r="AR1194" s="22"/>
      <c r="AS1194" s="22"/>
      <c r="AT1194" s="70"/>
      <c r="AU1194" s="22"/>
      <c r="AV1194" s="57"/>
      <c r="AW1194" s="57"/>
      <c r="AX1194" s="70"/>
      <c r="AY1194" s="29"/>
      <c r="AZ1194" s="30"/>
      <c r="CU1194" s="55"/>
      <c r="CV1194" s="55"/>
      <c r="CW1194" s="55"/>
      <c r="CX1194" s="55"/>
      <c r="CY1194" s="55"/>
      <c r="CZ1194" s="55"/>
      <c r="DA1194" s="82"/>
      <c r="DB1194" s="55"/>
      <c r="DC1194" s="55"/>
      <c r="DD1194" s="55"/>
      <c r="DE1194" s="55"/>
      <c r="DF1194" s="55"/>
      <c r="DG1194" s="55"/>
      <c r="DH1194" s="55"/>
      <c r="DI1194" s="55"/>
      <c r="DJ1194" s="55"/>
      <c r="DK1194" s="55"/>
      <c r="DL1194" s="55"/>
      <c r="DM1194" s="55"/>
      <c r="DN1194" s="55"/>
      <c r="DO1194" s="55"/>
      <c r="DP1194" s="55"/>
      <c r="DQ1194" s="55"/>
      <c r="DR1194" s="55"/>
      <c r="DS1194" s="55"/>
      <c r="DT1194" s="55"/>
      <c r="DU1194" s="55"/>
      <c r="DV1194" s="55"/>
      <c r="DW1194" s="55"/>
    </row>
    <row r="1195">
      <c r="A1195" s="41" t="s">
        <v>64</v>
      </c>
      <c r="B1195" s="41" t="s">
        <v>56</v>
      </c>
      <c r="C1195" s="31" t="s">
        <v>2655</v>
      </c>
      <c r="D1195" s="25" t="str">
        <f>IFERROR(__xludf.DUMMYFUNCTION("SPLIT(C1195,"" "")"),"Spellicy,")</f>
        <v>Spellicy,</v>
      </c>
      <c r="E1195" s="40" t="str">
        <f>IFERROR(__xludf.DUMMYFUNCTION("""COMPUTED_VALUE"""),"Courtney
7117")</f>
        <v>Courtney
7117</v>
      </c>
      <c r="F1195" s="40" t="str">
        <f>IFERROR(__xludf.DUMMYFUNCTION("""COMPUTED_VALUE"""),"Wake")</f>
        <v>Wake</v>
      </c>
      <c r="G1195" s="40" t="str">
        <f>IFERROR(__xludf.DUMMYFUNCTION("""COMPUTED_VALUE"""),"Forrest")</f>
        <v>Forrest</v>
      </c>
      <c r="H1195" s="40" t="str">
        <f>IFERROR(__xludf.DUMMYFUNCTION("""COMPUTED_VALUE"""),"Drive
Dallas,")</f>
        <v>Drive
Dallas,</v>
      </c>
      <c r="I1195" s="40" t="str">
        <f>IFERROR(__xludf.DUMMYFUNCTION("""COMPUTED_VALUE"""),"TX")</f>
        <v>TX</v>
      </c>
      <c r="J1195" s="40">
        <f>IFERROR(__xludf.DUMMYFUNCTION("""COMPUTED_VALUE"""),75214.0)</f>
        <v>75214</v>
      </c>
      <c r="K1195" s="40"/>
      <c r="L1195" s="40"/>
      <c r="M1195" s="40"/>
      <c r="N1195" s="40"/>
      <c r="O1195" s="40"/>
      <c r="P1195" s="40"/>
      <c r="Q1195" s="40"/>
      <c r="R1195" s="40"/>
      <c r="S1195" s="40"/>
      <c r="T1195" s="40"/>
      <c r="U1195" s="24" t="str">
        <f>IFERROR(__xludf.DUMMYFUNCTION("SPLIT(E1195,""01234567890"")"),"Courtney
")</f>
        <v>Courtney
</v>
      </c>
      <c r="V1195" s="24" t="str">
        <f>IFERROR(__xludf.DUMMYFUNCTION("SPLIT(D1195,"","")"),"Spellicy")</f>
        <v>Spellicy</v>
      </c>
      <c r="W1195" s="25" t="str">
        <f t="shared" si="1"/>
        <v>COURTNEY
 SPELLICY</v>
      </c>
      <c r="X1195" s="40"/>
      <c r="Y1195" s="40"/>
      <c r="Z1195" s="25" t="str">
        <f>IFERROR(__xludf.DUMMYFUNCTION("SPLIT(C1195,""
"")"),"Spellicy, Courtney")</f>
        <v>Spellicy, Courtney</v>
      </c>
      <c r="AA1195" s="40" t="str">
        <f>IFERROR(__xludf.DUMMYFUNCTION("""COMPUTED_VALUE"""),"7117 Wake Forrest Drive")</f>
        <v>7117 Wake Forrest Drive</v>
      </c>
      <c r="AB1195" s="40" t="str">
        <f>IFERROR(__xludf.DUMMYFUNCTION("""COMPUTED_VALUE"""),"Dallas, TX 75214")</f>
        <v>Dallas, TX 75214</v>
      </c>
      <c r="AC1195" s="31" t="s">
        <v>1685</v>
      </c>
      <c r="AD1195" s="40"/>
      <c r="AE1195" s="40"/>
      <c r="AF1195" s="40"/>
      <c r="AG1195" s="40" t="s">
        <v>60</v>
      </c>
      <c r="AH1195" s="42">
        <v>2486.0</v>
      </c>
      <c r="AI1195" s="40" t="s">
        <v>68</v>
      </c>
      <c r="AJ1195" s="27">
        <v>100.0</v>
      </c>
      <c r="AK1195" s="31" t="s">
        <v>24</v>
      </c>
      <c r="AL1195" s="43">
        <v>44852.0</v>
      </c>
      <c r="AM1195" s="44">
        <v>44942.42989583333</v>
      </c>
      <c r="AN1195" s="30">
        <v>2.0</v>
      </c>
      <c r="AO1195" s="40"/>
      <c r="AP1195" s="40"/>
      <c r="AQ1195" s="40"/>
      <c r="AR1195" s="40"/>
      <c r="AS1195" s="40"/>
      <c r="AT1195" s="47"/>
      <c r="AU1195" s="40"/>
      <c r="AV1195" s="46"/>
      <c r="AW1195" s="46"/>
      <c r="AX1195" s="47"/>
      <c r="AY1195" s="44"/>
      <c r="AZ1195" s="30"/>
      <c r="CU1195" s="55"/>
      <c r="CV1195" s="55"/>
      <c r="CW1195" s="55"/>
      <c r="CX1195" s="55"/>
      <c r="CY1195" s="55"/>
      <c r="CZ1195" s="55"/>
      <c r="DA1195" s="82"/>
      <c r="DB1195" s="55"/>
      <c r="DC1195" s="55"/>
      <c r="DD1195" s="55"/>
      <c r="DE1195" s="55"/>
      <c r="DF1195" s="55"/>
      <c r="DG1195" s="55"/>
      <c r="DH1195" s="55"/>
      <c r="DI1195" s="55"/>
      <c r="DJ1195" s="55"/>
      <c r="DK1195" s="55"/>
      <c r="DL1195" s="55"/>
      <c r="DM1195" s="55"/>
      <c r="DN1195" s="55"/>
      <c r="DO1195" s="55"/>
      <c r="DP1195" s="55"/>
      <c r="DQ1195" s="55"/>
      <c r="DR1195" s="55"/>
      <c r="DS1195" s="55"/>
      <c r="DT1195" s="55"/>
      <c r="DU1195" s="55"/>
      <c r="DV1195" s="55"/>
      <c r="DW1195" s="55"/>
    </row>
    <row r="1196">
      <c r="A1196" s="23" t="s">
        <v>64</v>
      </c>
      <c r="B1196" s="23" t="s">
        <v>56</v>
      </c>
      <c r="C1196" s="31" t="s">
        <v>2656</v>
      </c>
      <c r="D1196" s="25" t="str">
        <f>IFERROR(__xludf.DUMMYFUNCTION("SPLIT(C1196,"" "")"),"McCrary,")</f>
        <v>McCrary,</v>
      </c>
      <c r="E1196" s="22" t="str">
        <f>IFERROR(__xludf.DUMMYFUNCTION("""COMPUTED_VALUE"""),"Michael
1302")</f>
        <v>Michael
1302</v>
      </c>
      <c r="F1196" s="22" t="str">
        <f>IFERROR(__xludf.DUMMYFUNCTION("""COMPUTED_VALUE"""),"Bellaire")</f>
        <v>Bellaire</v>
      </c>
      <c r="G1196" s="22" t="str">
        <f>IFERROR(__xludf.DUMMYFUNCTION("""COMPUTED_VALUE"""),"Dr
Grapevine,")</f>
        <v>Dr
Grapevine,</v>
      </c>
      <c r="H1196" s="22" t="str">
        <f>IFERROR(__xludf.DUMMYFUNCTION("""COMPUTED_VALUE"""),"TX")</f>
        <v>TX</v>
      </c>
      <c r="I1196" s="22">
        <f>IFERROR(__xludf.DUMMYFUNCTION("""COMPUTED_VALUE"""),76051.0)</f>
        <v>76051</v>
      </c>
      <c r="J1196" s="22"/>
      <c r="K1196" s="22"/>
      <c r="L1196" s="22"/>
      <c r="M1196" s="22"/>
      <c r="N1196" s="22"/>
      <c r="O1196" s="22"/>
      <c r="P1196" s="22"/>
      <c r="Q1196" s="22"/>
      <c r="R1196" s="22"/>
      <c r="S1196" s="22"/>
      <c r="T1196" s="22"/>
      <c r="U1196" s="24" t="str">
        <f>IFERROR(__xludf.DUMMYFUNCTION("SPLIT(E1196,""01234567890"")"),"Michael
")</f>
        <v>Michael
</v>
      </c>
      <c r="V1196" s="24" t="str">
        <f>IFERROR(__xludf.DUMMYFUNCTION("SPLIT(D1196,"","")"),"McCrary")</f>
        <v>McCrary</v>
      </c>
      <c r="W1196" s="25" t="str">
        <f t="shared" si="1"/>
        <v>MICHAEL
 MCCRARY</v>
      </c>
      <c r="X1196" s="22"/>
      <c r="Y1196" s="22"/>
      <c r="Z1196" s="25" t="str">
        <f>IFERROR(__xludf.DUMMYFUNCTION("SPLIT(C1196,""
"")"),"McCrary, Michael")</f>
        <v>McCrary, Michael</v>
      </c>
      <c r="AA1196" s="22" t="str">
        <f>IFERROR(__xludf.DUMMYFUNCTION("""COMPUTED_VALUE"""),"1302 Bellaire Dr")</f>
        <v>1302 Bellaire Dr</v>
      </c>
      <c r="AB1196" s="22" t="str">
        <f>IFERROR(__xludf.DUMMYFUNCTION("""COMPUTED_VALUE"""),"Grapevine, TX 76051")</f>
        <v>Grapevine, TX 76051</v>
      </c>
      <c r="AC1196" s="31" t="s">
        <v>2657</v>
      </c>
      <c r="AD1196" s="22"/>
      <c r="AE1196" s="22"/>
      <c r="AF1196" s="22"/>
      <c r="AG1196" s="22" t="s">
        <v>60</v>
      </c>
      <c r="AH1196" s="54">
        <v>2486.0</v>
      </c>
      <c r="AI1196" s="22" t="s">
        <v>68</v>
      </c>
      <c r="AJ1196" s="27">
        <v>250.0</v>
      </c>
      <c r="AK1196" s="31" t="s">
        <v>24</v>
      </c>
      <c r="AL1196" s="28">
        <v>44852.0</v>
      </c>
      <c r="AM1196" s="29">
        <v>44942.42989583333</v>
      </c>
      <c r="AN1196" s="30">
        <v>2.0</v>
      </c>
      <c r="AO1196" s="22"/>
      <c r="AP1196" s="22"/>
      <c r="AQ1196" s="22"/>
      <c r="AR1196" s="22"/>
      <c r="AS1196" s="22"/>
      <c r="AT1196" s="70"/>
      <c r="AU1196" s="22"/>
      <c r="AV1196" s="57"/>
      <c r="AW1196" s="57"/>
      <c r="AX1196" s="70"/>
      <c r="AY1196" s="29"/>
      <c r="AZ1196" s="30"/>
      <c r="CU1196" s="55"/>
      <c r="CV1196" s="55"/>
      <c r="CW1196" s="55"/>
      <c r="CX1196" s="55"/>
      <c r="CY1196" s="55"/>
      <c r="CZ1196" s="55"/>
      <c r="DA1196" s="82"/>
      <c r="DB1196" s="55"/>
      <c r="DC1196" s="55"/>
      <c r="DD1196" s="55"/>
      <c r="DE1196" s="55"/>
      <c r="DF1196" s="55"/>
      <c r="DG1196" s="55"/>
      <c r="DH1196" s="55"/>
      <c r="DI1196" s="55"/>
      <c r="DJ1196" s="55"/>
      <c r="DK1196" s="55"/>
      <c r="DL1196" s="55"/>
      <c r="DM1196" s="55"/>
      <c r="DN1196" s="55"/>
      <c r="DO1196" s="55"/>
      <c r="DP1196" s="55"/>
      <c r="DQ1196" s="55"/>
      <c r="DR1196" s="55"/>
      <c r="DS1196" s="55"/>
      <c r="DT1196" s="55"/>
      <c r="DU1196" s="55"/>
      <c r="DV1196" s="55"/>
      <c r="DW1196" s="55"/>
    </row>
    <row r="1197">
      <c r="A1197" s="41" t="s">
        <v>64</v>
      </c>
      <c r="B1197" s="41" t="s">
        <v>56</v>
      </c>
      <c r="C1197" s="31" t="s">
        <v>80</v>
      </c>
      <c r="D1197" s="25" t="str">
        <f>IFERROR(__xludf.DUMMYFUNCTION("SPLIT(C1197,"" "")"),"Abtahi,")</f>
        <v>Abtahi,</v>
      </c>
      <c r="E1197" s="40" t="str">
        <f>IFERROR(__xludf.DUMMYFUNCTION("""COMPUTED_VALUE"""),"Robert
1126")</f>
        <v>Robert
1126</v>
      </c>
      <c r="F1197" s="40" t="str">
        <f>IFERROR(__xludf.DUMMYFUNCTION("""COMPUTED_VALUE"""),"North")</f>
        <v>North</v>
      </c>
      <c r="G1197" s="40" t="str">
        <f>IFERROR(__xludf.DUMMYFUNCTION("""COMPUTED_VALUE"""),"Zang")</f>
        <v>Zang</v>
      </c>
      <c r="H1197" s="40" t="str">
        <f>IFERROR(__xludf.DUMMYFUNCTION("""COMPUTED_VALUE"""),"Boulevard
Dallas,")</f>
        <v>Boulevard
Dallas,</v>
      </c>
      <c r="I1197" s="40" t="str">
        <f>IFERROR(__xludf.DUMMYFUNCTION("""COMPUTED_VALUE"""),"TX")</f>
        <v>TX</v>
      </c>
      <c r="J1197" s="40">
        <f>IFERROR(__xludf.DUMMYFUNCTION("""COMPUTED_VALUE"""),75203.0)</f>
        <v>75203</v>
      </c>
      <c r="K1197" s="40"/>
      <c r="L1197" s="40"/>
      <c r="M1197" s="40"/>
      <c r="N1197" s="40"/>
      <c r="O1197" s="40"/>
      <c r="P1197" s="40"/>
      <c r="Q1197" s="40"/>
      <c r="R1197" s="40"/>
      <c r="S1197" s="40"/>
      <c r="T1197" s="40"/>
      <c r="U1197" s="24" t="str">
        <f>IFERROR(__xludf.DUMMYFUNCTION("SPLIT(E1197,""01234567890"")"),"Robert
")</f>
        <v>Robert
</v>
      </c>
      <c r="V1197" s="24" t="str">
        <f>IFERROR(__xludf.DUMMYFUNCTION("SPLIT(D1197,"","")"),"Abtahi")</f>
        <v>Abtahi</v>
      </c>
      <c r="W1197" s="25" t="str">
        <f t="shared" si="1"/>
        <v>ROBERT
 ABTAHI</v>
      </c>
      <c r="X1197" s="40"/>
      <c r="Y1197" s="40"/>
      <c r="Z1197" s="25" t="str">
        <f>IFERROR(__xludf.DUMMYFUNCTION("SPLIT(C1197,""
"")"),"Abtahi, Robert")</f>
        <v>Abtahi, Robert</v>
      </c>
      <c r="AA1197" s="40" t="str">
        <f>IFERROR(__xludf.DUMMYFUNCTION("""COMPUTED_VALUE"""),"1126 North Zang Boulevard")</f>
        <v>1126 North Zang Boulevard</v>
      </c>
      <c r="AB1197" s="40" t="str">
        <f>IFERROR(__xludf.DUMMYFUNCTION("""COMPUTED_VALUE"""),"Dallas, TX 75203")</f>
        <v>Dallas, TX 75203</v>
      </c>
      <c r="AC1197" s="31" t="s">
        <v>77</v>
      </c>
      <c r="AD1197" s="40"/>
      <c r="AE1197" s="40"/>
      <c r="AF1197" s="40"/>
      <c r="AG1197" s="40" t="s">
        <v>60</v>
      </c>
      <c r="AH1197" s="42">
        <v>2486.0</v>
      </c>
      <c r="AI1197" s="40" t="s">
        <v>68</v>
      </c>
      <c r="AJ1197" s="27">
        <v>100.0</v>
      </c>
      <c r="AK1197" s="31" t="s">
        <v>24</v>
      </c>
      <c r="AL1197" s="43">
        <v>44852.0</v>
      </c>
      <c r="AM1197" s="44">
        <v>44942.42989583333</v>
      </c>
      <c r="AN1197" s="30">
        <v>2.0</v>
      </c>
      <c r="AO1197" s="40"/>
      <c r="AP1197" s="40"/>
      <c r="AQ1197" s="40"/>
      <c r="AR1197" s="40"/>
      <c r="AS1197" s="40"/>
      <c r="AT1197" s="47"/>
      <c r="AU1197" s="40"/>
      <c r="AV1197" s="46"/>
      <c r="AW1197" s="46"/>
      <c r="AX1197" s="47"/>
      <c r="AY1197" s="44"/>
      <c r="AZ1197" s="30"/>
      <c r="CU1197" s="55"/>
      <c r="CV1197" s="55"/>
      <c r="CW1197" s="55"/>
      <c r="CX1197" s="55"/>
      <c r="CY1197" s="55"/>
      <c r="CZ1197" s="55"/>
      <c r="DA1197" s="82"/>
      <c r="DB1197" s="55"/>
      <c r="DC1197" s="55"/>
      <c r="DD1197" s="55"/>
      <c r="DE1197" s="55"/>
      <c r="DF1197" s="55"/>
      <c r="DG1197" s="55"/>
      <c r="DH1197" s="55"/>
      <c r="DI1197" s="55"/>
      <c r="DJ1197" s="55"/>
      <c r="DK1197" s="55"/>
      <c r="DL1197" s="55"/>
      <c r="DM1197" s="55"/>
      <c r="DN1197" s="55"/>
      <c r="DO1197" s="55"/>
      <c r="DP1197" s="55"/>
      <c r="DQ1197" s="55"/>
      <c r="DR1197" s="55"/>
      <c r="DS1197" s="55"/>
      <c r="DT1197" s="55"/>
      <c r="DU1197" s="55"/>
      <c r="DV1197" s="55"/>
      <c r="DW1197" s="55"/>
    </row>
    <row r="1198">
      <c r="A1198" s="23" t="s">
        <v>64</v>
      </c>
      <c r="B1198" s="23" t="s">
        <v>56</v>
      </c>
      <c r="C1198" s="31" t="s">
        <v>2658</v>
      </c>
      <c r="D1198" s="25" t="str">
        <f>IFERROR(__xludf.DUMMYFUNCTION("SPLIT(C1198,"" "")"),"Byrne,")</f>
        <v>Byrne,</v>
      </c>
      <c r="E1198" s="22" t="str">
        <f>IFERROR(__xludf.DUMMYFUNCTION("""COMPUTED_VALUE"""),"J")</f>
        <v>J</v>
      </c>
      <c r="F1198" s="22" t="str">
        <f>IFERROR(__xludf.DUMMYFUNCTION("""COMPUTED_VALUE"""),"Tim
3720")</f>
        <v>Tim
3720</v>
      </c>
      <c r="G1198" s="22" t="str">
        <f>IFERROR(__xludf.DUMMYFUNCTION("""COMPUTED_VALUE"""),"Miramar")</f>
        <v>Miramar</v>
      </c>
      <c r="H1198" s="22" t="str">
        <f>IFERROR(__xludf.DUMMYFUNCTION("""COMPUTED_VALUE"""),"Ave
Dallas,")</f>
        <v>Ave
Dallas,</v>
      </c>
      <c r="I1198" s="22" t="str">
        <f>IFERROR(__xludf.DUMMYFUNCTION("""COMPUTED_VALUE"""),"TX")</f>
        <v>TX</v>
      </c>
      <c r="J1198" s="22">
        <f>IFERROR(__xludf.DUMMYFUNCTION("""COMPUTED_VALUE"""),75205.0)</f>
        <v>75205</v>
      </c>
      <c r="K1198" s="22"/>
      <c r="L1198" s="22"/>
      <c r="M1198" s="22"/>
      <c r="N1198" s="22"/>
      <c r="O1198" s="22"/>
      <c r="P1198" s="22"/>
      <c r="Q1198" s="22"/>
      <c r="R1198" s="22"/>
      <c r="S1198" s="22"/>
      <c r="T1198" s="22"/>
      <c r="U1198" s="24" t="str">
        <f>IFERROR(__xludf.DUMMYFUNCTION("SPLIT(E1198,""01234567890"")"),"J")</f>
        <v>J</v>
      </c>
      <c r="V1198" s="24" t="str">
        <f>IFERROR(__xludf.DUMMYFUNCTION("SPLIT(D1198,"","")"),"Byrne")</f>
        <v>Byrne</v>
      </c>
      <c r="W1198" s="25" t="str">
        <f t="shared" si="1"/>
        <v>J BYRNE</v>
      </c>
      <c r="X1198" s="22"/>
      <c r="Y1198" s="22"/>
      <c r="Z1198" s="25" t="str">
        <f>IFERROR(__xludf.DUMMYFUNCTION("SPLIT(C1198,""
"")"),"Byrne, J Tim")</f>
        <v>Byrne, J Tim</v>
      </c>
      <c r="AA1198" s="22" t="str">
        <f>IFERROR(__xludf.DUMMYFUNCTION("""COMPUTED_VALUE"""),"3720 Miramar Ave")</f>
        <v>3720 Miramar Ave</v>
      </c>
      <c r="AB1198" s="22" t="str">
        <f>IFERROR(__xludf.DUMMYFUNCTION("""COMPUTED_VALUE"""),"Dallas, TX 75205")</f>
        <v>Dallas, TX 75205</v>
      </c>
      <c r="AC1198" s="31" t="s">
        <v>2659</v>
      </c>
      <c r="AD1198" s="22"/>
      <c r="AE1198" s="22"/>
      <c r="AF1198" s="22"/>
      <c r="AG1198" s="22" t="s">
        <v>60</v>
      </c>
      <c r="AH1198" s="54">
        <v>2486.0</v>
      </c>
      <c r="AI1198" s="22" t="s">
        <v>68</v>
      </c>
      <c r="AJ1198" s="27">
        <v>5000.0</v>
      </c>
      <c r="AK1198" s="31" t="s">
        <v>24</v>
      </c>
      <c r="AL1198" s="28">
        <v>44852.0</v>
      </c>
      <c r="AM1198" s="29">
        <v>44942.42989583333</v>
      </c>
      <c r="AN1198" s="30">
        <v>2.0</v>
      </c>
      <c r="AO1198" s="22"/>
      <c r="AP1198" s="22"/>
      <c r="AQ1198" s="22"/>
      <c r="AR1198" s="22"/>
      <c r="AS1198" s="22"/>
      <c r="AT1198" s="70"/>
      <c r="AU1198" s="22"/>
      <c r="AV1198" s="57"/>
      <c r="AW1198" s="57"/>
      <c r="AX1198" s="70"/>
      <c r="AY1198" s="29"/>
      <c r="AZ1198" s="30"/>
      <c r="CU1198" s="55"/>
      <c r="CV1198" s="55"/>
      <c r="CW1198" s="55"/>
      <c r="CX1198" s="55"/>
      <c r="CY1198" s="55"/>
      <c r="CZ1198" s="55"/>
      <c r="DA1198" s="82"/>
      <c r="DB1198" s="55"/>
      <c r="DC1198" s="55"/>
      <c r="DD1198" s="55"/>
      <c r="DE1198" s="55"/>
      <c r="DF1198" s="55"/>
      <c r="DG1198" s="55"/>
      <c r="DH1198" s="55"/>
      <c r="DI1198" s="55"/>
      <c r="DJ1198" s="55"/>
      <c r="DK1198" s="55"/>
      <c r="DL1198" s="55"/>
      <c r="DM1198" s="55"/>
      <c r="DN1198" s="55"/>
      <c r="DO1198" s="55"/>
      <c r="DP1198" s="55"/>
      <c r="DQ1198" s="55"/>
      <c r="DR1198" s="55"/>
      <c r="DS1198" s="55"/>
      <c r="DT1198" s="55"/>
      <c r="DU1198" s="55"/>
      <c r="DV1198" s="55"/>
      <c r="DW1198" s="55"/>
    </row>
    <row r="1199">
      <c r="A1199" s="41" t="s">
        <v>64</v>
      </c>
      <c r="B1199" s="41" t="s">
        <v>56</v>
      </c>
      <c r="C1199" s="31" t="s">
        <v>2660</v>
      </c>
      <c r="D1199" s="25" t="str">
        <f>IFERROR(__xludf.DUMMYFUNCTION("SPLIT(C1199,"" "")"),"Courtwright,")</f>
        <v>Courtwright,</v>
      </c>
      <c r="E1199" s="40" t="str">
        <f>IFERROR(__xludf.DUMMYFUNCTION("""COMPUTED_VALUE"""),"Jeff
6785")</f>
        <v>Jeff
6785</v>
      </c>
      <c r="F1199" s="40" t="str">
        <f>IFERROR(__xludf.DUMMYFUNCTION("""COMPUTED_VALUE"""),"Avalon")</f>
        <v>Avalon</v>
      </c>
      <c r="G1199" s="40" t="str">
        <f>IFERROR(__xludf.DUMMYFUNCTION("""COMPUTED_VALUE"""),"Ave
Dallas,")</f>
        <v>Ave
Dallas,</v>
      </c>
      <c r="H1199" s="40" t="str">
        <f>IFERROR(__xludf.DUMMYFUNCTION("""COMPUTED_VALUE"""),"TX")</f>
        <v>TX</v>
      </c>
      <c r="I1199" s="40">
        <f>IFERROR(__xludf.DUMMYFUNCTION("""COMPUTED_VALUE"""),75214.0)</f>
        <v>75214</v>
      </c>
      <c r="J1199" s="40"/>
      <c r="K1199" s="40"/>
      <c r="L1199" s="40"/>
      <c r="M1199" s="40"/>
      <c r="N1199" s="40"/>
      <c r="O1199" s="40"/>
      <c r="P1199" s="40"/>
      <c r="Q1199" s="40"/>
      <c r="R1199" s="40"/>
      <c r="S1199" s="40"/>
      <c r="T1199" s="40"/>
      <c r="U1199" s="24" t="str">
        <f>IFERROR(__xludf.DUMMYFUNCTION("SPLIT(E1199,""01234567890"")"),"Jeff
")</f>
        <v>Jeff
</v>
      </c>
      <c r="V1199" s="24" t="str">
        <f>IFERROR(__xludf.DUMMYFUNCTION("SPLIT(D1199,"","")"),"Courtwright")</f>
        <v>Courtwright</v>
      </c>
      <c r="W1199" s="25" t="str">
        <f t="shared" si="1"/>
        <v>JEFF
 COURTWRIGHT</v>
      </c>
      <c r="X1199" s="40"/>
      <c r="Y1199" s="40"/>
      <c r="Z1199" s="25" t="str">
        <f>IFERROR(__xludf.DUMMYFUNCTION("SPLIT(C1199,""
"")"),"Courtwright, Jeff")</f>
        <v>Courtwright, Jeff</v>
      </c>
      <c r="AA1199" s="40" t="str">
        <f>IFERROR(__xludf.DUMMYFUNCTION("""COMPUTED_VALUE"""),"6785 Avalon Ave")</f>
        <v>6785 Avalon Ave</v>
      </c>
      <c r="AB1199" s="40" t="str">
        <f>IFERROR(__xludf.DUMMYFUNCTION("""COMPUTED_VALUE"""),"Dallas, TX 75214")</f>
        <v>Dallas, TX 75214</v>
      </c>
      <c r="AC1199" s="31" t="s">
        <v>2661</v>
      </c>
      <c r="AD1199" s="40"/>
      <c r="AE1199" s="40"/>
      <c r="AF1199" s="40"/>
      <c r="AG1199" s="40" t="s">
        <v>60</v>
      </c>
      <c r="AH1199" s="42">
        <v>2486.0</v>
      </c>
      <c r="AI1199" s="40" t="s">
        <v>68</v>
      </c>
      <c r="AJ1199" s="27">
        <v>2000.0</v>
      </c>
      <c r="AK1199" s="31" t="s">
        <v>24</v>
      </c>
      <c r="AL1199" s="43">
        <v>44852.0</v>
      </c>
      <c r="AM1199" s="44">
        <v>44942.42989583333</v>
      </c>
      <c r="AN1199" s="30">
        <v>2.0</v>
      </c>
      <c r="AO1199" s="40"/>
      <c r="AP1199" s="40"/>
      <c r="AQ1199" s="40"/>
      <c r="AR1199" s="40"/>
      <c r="AS1199" s="40"/>
      <c r="AT1199" s="47"/>
      <c r="AU1199" s="40"/>
      <c r="AV1199" s="46"/>
      <c r="AW1199" s="46"/>
      <c r="AX1199" s="47"/>
      <c r="AY1199" s="44"/>
      <c r="AZ1199" s="30"/>
      <c r="CU1199" s="55"/>
      <c r="CV1199" s="55"/>
      <c r="CW1199" s="55"/>
      <c r="CX1199" s="55"/>
      <c r="CY1199" s="55"/>
      <c r="CZ1199" s="55"/>
      <c r="DA1199" s="82"/>
      <c r="DB1199" s="55"/>
      <c r="DC1199" s="55"/>
      <c r="DD1199" s="55"/>
      <c r="DE1199" s="55"/>
      <c r="DF1199" s="55"/>
      <c r="DG1199" s="55"/>
      <c r="DH1199" s="55"/>
      <c r="DI1199" s="55"/>
      <c r="DJ1199" s="55"/>
      <c r="DK1199" s="55"/>
      <c r="DL1199" s="55"/>
      <c r="DM1199" s="55"/>
      <c r="DN1199" s="55"/>
      <c r="DO1199" s="55"/>
      <c r="DP1199" s="55"/>
      <c r="DQ1199" s="55"/>
      <c r="DR1199" s="55"/>
      <c r="DS1199" s="55"/>
      <c r="DT1199" s="55"/>
      <c r="DU1199" s="55"/>
      <c r="DV1199" s="55"/>
      <c r="DW1199" s="55"/>
    </row>
    <row r="1200">
      <c r="A1200" s="23" t="s">
        <v>64</v>
      </c>
      <c r="B1200" s="23" t="s">
        <v>56</v>
      </c>
      <c r="C1200" s="31" t="s">
        <v>2662</v>
      </c>
      <c r="D1200" s="25" t="str">
        <f>IFERROR(__xludf.DUMMYFUNCTION("SPLIT(C1200,"" "")"),"Halfmann,")</f>
        <v>Halfmann,</v>
      </c>
      <c r="E1200" s="22" t="str">
        <f>IFERROR(__xludf.DUMMYFUNCTION("""COMPUTED_VALUE"""),"Zoe
3565")</f>
        <v>Zoe
3565</v>
      </c>
      <c r="F1200" s="22" t="str">
        <f>IFERROR(__xludf.DUMMYFUNCTION("""COMPUTED_VALUE"""),"Waldorf
Dallas,")</f>
        <v>Waldorf
Dallas,</v>
      </c>
      <c r="G1200" s="22" t="str">
        <f>IFERROR(__xludf.DUMMYFUNCTION("""COMPUTED_VALUE"""),"TX")</f>
        <v>TX</v>
      </c>
      <c r="H1200" s="22">
        <f>IFERROR(__xludf.DUMMYFUNCTION("""COMPUTED_VALUE"""),75229.0)</f>
        <v>75229</v>
      </c>
      <c r="I1200" s="22"/>
      <c r="J1200" s="22"/>
      <c r="K1200" s="22"/>
      <c r="L1200" s="22"/>
      <c r="M1200" s="22"/>
      <c r="N1200" s="22"/>
      <c r="O1200" s="22"/>
      <c r="P1200" s="22"/>
      <c r="Q1200" s="22"/>
      <c r="R1200" s="22"/>
      <c r="S1200" s="22"/>
      <c r="T1200" s="22"/>
      <c r="U1200" s="24" t="str">
        <f>IFERROR(__xludf.DUMMYFUNCTION("SPLIT(E1200,""01234567890"")"),"Zoe
")</f>
        <v>Zoe
</v>
      </c>
      <c r="V1200" s="24" t="str">
        <f>IFERROR(__xludf.DUMMYFUNCTION("SPLIT(D1200,"","")"),"Halfmann")</f>
        <v>Halfmann</v>
      </c>
      <c r="W1200" s="25" t="str">
        <f t="shared" si="1"/>
        <v>ZOE
 HALFMANN</v>
      </c>
      <c r="X1200" s="22"/>
      <c r="Y1200" s="22"/>
      <c r="Z1200" s="25" t="str">
        <f>IFERROR(__xludf.DUMMYFUNCTION("SPLIT(C1200,""
"")"),"Halfmann, Zoe")</f>
        <v>Halfmann, Zoe</v>
      </c>
      <c r="AA1200" s="22" t="str">
        <f>IFERROR(__xludf.DUMMYFUNCTION("""COMPUTED_VALUE"""),"3565 Waldorf")</f>
        <v>3565 Waldorf</v>
      </c>
      <c r="AB1200" s="22" t="str">
        <f>IFERROR(__xludf.DUMMYFUNCTION("""COMPUTED_VALUE"""),"Dallas, TX 75229")</f>
        <v>Dallas, TX 75229</v>
      </c>
      <c r="AC1200" s="31" t="s">
        <v>2663</v>
      </c>
      <c r="AD1200" s="22"/>
      <c r="AE1200" s="22"/>
      <c r="AF1200" s="22"/>
      <c r="AG1200" s="22" t="s">
        <v>60</v>
      </c>
      <c r="AH1200" s="54">
        <v>2486.0</v>
      </c>
      <c r="AI1200" s="22" t="s">
        <v>68</v>
      </c>
      <c r="AJ1200" s="27">
        <v>100.0</v>
      </c>
      <c r="AK1200" s="31" t="s">
        <v>24</v>
      </c>
      <c r="AL1200" s="28">
        <v>44853.0</v>
      </c>
      <c r="AM1200" s="29">
        <v>44942.42989583333</v>
      </c>
      <c r="AN1200" s="30">
        <v>2.0</v>
      </c>
      <c r="AO1200" s="22"/>
      <c r="AP1200" s="22"/>
      <c r="AQ1200" s="22"/>
      <c r="AR1200" s="22"/>
      <c r="AS1200" s="22"/>
      <c r="AT1200" s="70"/>
      <c r="AU1200" s="22"/>
      <c r="AV1200" s="57"/>
      <c r="AW1200" s="57"/>
      <c r="AX1200" s="70"/>
      <c r="AY1200" s="29"/>
      <c r="AZ1200" s="30"/>
      <c r="CU1200" s="55"/>
      <c r="CV1200" s="55"/>
      <c r="CW1200" s="55"/>
      <c r="CX1200" s="55"/>
      <c r="CY1200" s="55"/>
      <c r="CZ1200" s="55"/>
      <c r="DA1200" s="82"/>
      <c r="DB1200" s="55"/>
      <c r="DC1200" s="55"/>
      <c r="DD1200" s="55"/>
      <c r="DE1200" s="55"/>
      <c r="DF1200" s="55"/>
      <c r="DG1200" s="55"/>
      <c r="DH1200" s="55"/>
      <c r="DI1200" s="55"/>
      <c r="DJ1200" s="55"/>
      <c r="DK1200" s="55"/>
      <c r="DL1200" s="55"/>
      <c r="DM1200" s="55"/>
      <c r="DN1200" s="55"/>
      <c r="DO1200" s="55"/>
      <c r="DP1200" s="55"/>
      <c r="DQ1200" s="55"/>
      <c r="DR1200" s="55"/>
      <c r="DS1200" s="55"/>
      <c r="DT1200" s="55"/>
      <c r="DU1200" s="55"/>
      <c r="DV1200" s="55"/>
      <c r="DW1200" s="55"/>
    </row>
    <row r="1201">
      <c r="A1201" s="41" t="s">
        <v>64</v>
      </c>
      <c r="B1201" s="41" t="s">
        <v>56</v>
      </c>
      <c r="C1201" s="31" t="s">
        <v>2664</v>
      </c>
      <c r="D1201" s="25" t="str">
        <f>IFERROR(__xludf.DUMMYFUNCTION("SPLIT(C1201,"" "")"),"Reed,")</f>
        <v>Reed,</v>
      </c>
      <c r="E1201" s="40" t="str">
        <f>IFERROR(__xludf.DUMMYFUNCTION("""COMPUTED_VALUE"""),"Holly
7123")</f>
        <v>Holly
7123</v>
      </c>
      <c r="F1201" s="40" t="str">
        <f>IFERROR(__xludf.DUMMYFUNCTION("""COMPUTED_VALUE"""),"La")</f>
        <v>La</v>
      </c>
      <c r="G1201" s="40" t="str">
        <f>IFERROR(__xludf.DUMMYFUNCTION("""COMPUTED_VALUE"""),"Vista
Dallas,")</f>
        <v>Vista
Dallas,</v>
      </c>
      <c r="H1201" s="40" t="str">
        <f>IFERROR(__xludf.DUMMYFUNCTION("""COMPUTED_VALUE"""),"TX")</f>
        <v>TX</v>
      </c>
      <c r="I1201" s="40">
        <f>IFERROR(__xludf.DUMMYFUNCTION("""COMPUTED_VALUE"""),75214.0)</f>
        <v>75214</v>
      </c>
      <c r="J1201" s="40"/>
      <c r="K1201" s="40"/>
      <c r="L1201" s="40"/>
      <c r="M1201" s="40"/>
      <c r="N1201" s="40"/>
      <c r="O1201" s="40"/>
      <c r="P1201" s="40"/>
      <c r="Q1201" s="40"/>
      <c r="R1201" s="40"/>
      <c r="S1201" s="40"/>
      <c r="T1201" s="40"/>
      <c r="U1201" s="24" t="str">
        <f>IFERROR(__xludf.DUMMYFUNCTION("SPLIT(E1201,""01234567890"")"),"Holly
")</f>
        <v>Holly
</v>
      </c>
      <c r="V1201" s="24" t="str">
        <f>IFERROR(__xludf.DUMMYFUNCTION("SPLIT(D1201,"","")"),"Reed")</f>
        <v>Reed</v>
      </c>
      <c r="W1201" s="25" t="str">
        <f t="shared" si="1"/>
        <v>HOLLY
 REED</v>
      </c>
      <c r="X1201" s="40"/>
      <c r="Y1201" s="40"/>
      <c r="Z1201" s="25" t="str">
        <f>IFERROR(__xludf.DUMMYFUNCTION("SPLIT(C1201,""
"")"),"Reed, Holly")</f>
        <v>Reed, Holly</v>
      </c>
      <c r="AA1201" s="40" t="str">
        <f>IFERROR(__xludf.DUMMYFUNCTION("""COMPUTED_VALUE"""),"7123 La Vista")</f>
        <v>7123 La Vista</v>
      </c>
      <c r="AB1201" s="40" t="str">
        <f>IFERROR(__xludf.DUMMYFUNCTION("""COMPUTED_VALUE"""),"Dallas, TX 75214")</f>
        <v>Dallas, TX 75214</v>
      </c>
      <c r="AC1201" s="31" t="s">
        <v>1509</v>
      </c>
      <c r="AD1201" s="40"/>
      <c r="AE1201" s="40"/>
      <c r="AF1201" s="40"/>
      <c r="AG1201" s="40" t="s">
        <v>60</v>
      </c>
      <c r="AH1201" s="42">
        <v>2486.0</v>
      </c>
      <c r="AI1201" s="40" t="s">
        <v>68</v>
      </c>
      <c r="AJ1201" s="27">
        <v>1000.0</v>
      </c>
      <c r="AK1201" s="31" t="s">
        <v>24</v>
      </c>
      <c r="AL1201" s="43">
        <v>44854.0</v>
      </c>
      <c r="AM1201" s="44">
        <v>44942.42989583333</v>
      </c>
      <c r="AN1201" s="30">
        <v>2.0</v>
      </c>
      <c r="AO1201" s="40"/>
      <c r="AP1201" s="40"/>
      <c r="AQ1201" s="40"/>
      <c r="AR1201" s="40"/>
      <c r="AS1201" s="40"/>
      <c r="AT1201" s="47"/>
      <c r="AU1201" s="40"/>
      <c r="AV1201" s="46"/>
      <c r="AW1201" s="46"/>
      <c r="AX1201" s="47"/>
      <c r="AY1201" s="44"/>
      <c r="AZ1201" s="30"/>
      <c r="CU1201" s="55"/>
      <c r="CV1201" s="55"/>
      <c r="CW1201" s="55"/>
      <c r="CX1201" s="55"/>
      <c r="CY1201" s="55"/>
      <c r="CZ1201" s="55"/>
      <c r="DA1201" s="82"/>
      <c r="DB1201" s="55"/>
      <c r="DC1201" s="55"/>
      <c r="DD1201" s="55"/>
      <c r="DE1201" s="55"/>
      <c r="DF1201" s="55"/>
      <c r="DG1201" s="55"/>
      <c r="DH1201" s="55"/>
      <c r="DI1201" s="55"/>
      <c r="DJ1201" s="55"/>
      <c r="DK1201" s="55"/>
      <c r="DL1201" s="55"/>
      <c r="DM1201" s="55"/>
      <c r="DN1201" s="55"/>
      <c r="DO1201" s="55"/>
      <c r="DP1201" s="55"/>
      <c r="DQ1201" s="55"/>
      <c r="DR1201" s="55"/>
      <c r="DS1201" s="55"/>
      <c r="DT1201" s="55"/>
      <c r="DU1201" s="55"/>
      <c r="DV1201" s="55"/>
      <c r="DW1201" s="55"/>
    </row>
    <row r="1202">
      <c r="A1202" s="23" t="s">
        <v>64</v>
      </c>
      <c r="B1202" s="23" t="s">
        <v>56</v>
      </c>
      <c r="C1202" s="31" t="s">
        <v>2665</v>
      </c>
      <c r="D1202" s="25" t="str">
        <f>IFERROR(__xludf.DUMMYFUNCTION("SPLIT(C1202,"" "")"),"Robin")</f>
        <v>Robin</v>
      </c>
      <c r="E1202" s="22" t="str">
        <f>IFERROR(__xludf.DUMMYFUNCTION("""COMPUTED_VALUE"""),"Autopilot")</f>
        <v>Autopilot</v>
      </c>
      <c r="F1202" s="22" t="str">
        <f>IFERROR(__xludf.DUMMYFUNCTION("""COMPUTED_VALUE"""),"Holdings,")</f>
        <v>Holdings,</v>
      </c>
      <c r="G1202" s="22" t="str">
        <f>IFERROR(__xludf.DUMMYFUNCTION("""COMPUTED_VALUE"""),"LLC
8400")</f>
        <v>LLC
8400</v>
      </c>
      <c r="H1202" s="22" t="str">
        <f>IFERROR(__xludf.DUMMYFUNCTION("""COMPUTED_VALUE"""),"Esters")</f>
        <v>Esters</v>
      </c>
      <c r="I1202" s="22" t="str">
        <f>IFERROR(__xludf.DUMMYFUNCTION("""COMPUTED_VALUE"""),"Blvd")</f>
        <v>Blvd</v>
      </c>
      <c r="J1202" s="22" t="str">
        <f>IFERROR(__xludf.DUMMYFUNCTION("""COMPUTED_VALUE"""),"Ste")</f>
        <v>Ste</v>
      </c>
      <c r="K1202" s="22" t="str">
        <f>IFERROR(__xludf.DUMMYFUNCTION("""COMPUTED_VALUE"""),"150
Irving,")</f>
        <v>150
Irving,</v>
      </c>
      <c r="L1202" s="22" t="str">
        <f>IFERROR(__xludf.DUMMYFUNCTION("""COMPUTED_VALUE"""),"TX")</f>
        <v>TX</v>
      </c>
      <c r="M1202" s="22">
        <f>IFERROR(__xludf.DUMMYFUNCTION("""COMPUTED_VALUE"""),75063.0)</f>
        <v>75063</v>
      </c>
      <c r="N1202" s="22"/>
      <c r="O1202" s="22"/>
      <c r="P1202" s="22"/>
      <c r="Q1202" s="22"/>
      <c r="R1202" s="22"/>
      <c r="S1202" s="22"/>
      <c r="T1202" s="22"/>
      <c r="U1202" s="24" t="str">
        <f>IFERROR(__xludf.DUMMYFUNCTION("SPLIT(E1202,""01234567890"")"),"Autopilot")</f>
        <v>Autopilot</v>
      </c>
      <c r="V1202" s="24" t="str">
        <f>IFERROR(__xludf.DUMMYFUNCTION("SPLIT(D1202,"","")"),"Robin")</f>
        <v>Robin</v>
      </c>
      <c r="W1202" s="25" t="str">
        <f t="shared" si="1"/>
        <v>AUTOPILOT ROBIN</v>
      </c>
      <c r="X1202" s="22"/>
      <c r="Y1202" s="22"/>
      <c r="Z1202" s="25" t="str">
        <f>IFERROR(__xludf.DUMMYFUNCTION("SPLIT(C1202,""
"")"),"Robin Autopilot Holdings, LLC")</f>
        <v>Robin Autopilot Holdings, LLC</v>
      </c>
      <c r="AA1202" s="22" t="str">
        <f>IFERROR(__xludf.DUMMYFUNCTION("""COMPUTED_VALUE"""),"8400 Esters Blvd Ste 150")</f>
        <v>8400 Esters Blvd Ste 150</v>
      </c>
      <c r="AB1202" s="22" t="str">
        <f>IFERROR(__xludf.DUMMYFUNCTION("""COMPUTED_VALUE"""),"Irving, TX 75063")</f>
        <v>Irving, TX 75063</v>
      </c>
      <c r="AC1202" s="31" t="s">
        <v>2666</v>
      </c>
      <c r="AD1202" s="22"/>
      <c r="AE1202" s="22"/>
      <c r="AF1202" s="22"/>
      <c r="AG1202" s="22" t="s">
        <v>60</v>
      </c>
      <c r="AH1202" s="54">
        <v>2486.0</v>
      </c>
      <c r="AI1202" s="22" t="s">
        <v>68</v>
      </c>
      <c r="AJ1202" s="27">
        <v>1000.0</v>
      </c>
      <c r="AK1202" s="31" t="s">
        <v>24</v>
      </c>
      <c r="AL1202" s="28">
        <v>44858.0</v>
      </c>
      <c r="AM1202" s="29">
        <v>44942.42989583333</v>
      </c>
      <c r="AN1202" s="30">
        <v>2.0</v>
      </c>
      <c r="AO1202" s="22"/>
      <c r="AP1202" s="22"/>
      <c r="AQ1202" s="22"/>
      <c r="AR1202" s="22"/>
      <c r="AS1202" s="22"/>
      <c r="AT1202" s="70"/>
      <c r="AU1202" s="22"/>
      <c r="AV1202" s="57"/>
      <c r="AW1202" s="57"/>
      <c r="AX1202" s="70"/>
      <c r="AY1202" s="29"/>
      <c r="AZ1202" s="30"/>
      <c r="CU1202" s="55"/>
      <c r="CV1202" s="55"/>
      <c r="CW1202" s="55"/>
      <c r="CX1202" s="55"/>
      <c r="CY1202" s="55"/>
      <c r="CZ1202" s="55"/>
      <c r="DA1202" s="82"/>
      <c r="DB1202" s="55"/>
      <c r="DC1202" s="55"/>
      <c r="DD1202" s="55"/>
      <c r="DE1202" s="55"/>
      <c r="DF1202" s="55"/>
      <c r="DG1202" s="55"/>
      <c r="DH1202" s="55"/>
      <c r="DI1202" s="55"/>
      <c r="DJ1202" s="55"/>
      <c r="DK1202" s="55"/>
      <c r="DL1202" s="55"/>
      <c r="DM1202" s="55"/>
      <c r="DN1202" s="55"/>
      <c r="DO1202" s="55"/>
      <c r="DP1202" s="55"/>
      <c r="DQ1202" s="55"/>
      <c r="DR1202" s="55"/>
      <c r="DS1202" s="55"/>
      <c r="DT1202" s="55"/>
      <c r="DU1202" s="55"/>
      <c r="DV1202" s="55"/>
      <c r="DW1202" s="55"/>
    </row>
    <row r="1203">
      <c r="A1203" s="41" t="s">
        <v>64</v>
      </c>
      <c r="B1203" s="41" t="s">
        <v>56</v>
      </c>
      <c r="C1203" s="31" t="s">
        <v>2667</v>
      </c>
      <c r="D1203" s="25" t="str">
        <f>IFERROR(__xludf.DUMMYFUNCTION("SPLIT(C1203,"" "")"),"Coats")</f>
        <v>Coats</v>
      </c>
      <c r="E1203" s="40" t="str">
        <f>IFERROR(__xludf.DUMMYFUNCTION("""COMPUTED_VALUE"""),"Rose")</f>
        <v>Rose</v>
      </c>
      <c r="F1203" s="40" t="str">
        <f>IFERROR(__xludf.DUMMYFUNCTION("""COMPUTED_VALUE"""),"P.C.")</f>
        <v>P.C.</v>
      </c>
      <c r="G1203" s="40" t="str">
        <f>IFERROR(__xludf.DUMMYFUNCTION("""COMPUTED_VALUE"""),"PAC
9")</f>
        <v>PAC
9</v>
      </c>
      <c r="H1203" s="40" t="str">
        <f>IFERROR(__xludf.DUMMYFUNCTION("""COMPUTED_VALUE"""),"Greenway")</f>
        <v>Greenway</v>
      </c>
      <c r="I1203" s="40" t="str">
        <f>IFERROR(__xludf.DUMMYFUNCTION("""COMPUTED_VALUE"""),"Plaza")</f>
        <v>Plaza</v>
      </c>
      <c r="J1203" s="40" t="str">
        <f>IFERROR(__xludf.DUMMYFUNCTION("""COMPUTED_VALUE"""),"Ste.")</f>
        <v>Ste.</v>
      </c>
      <c r="K1203" s="40" t="str">
        <f>IFERROR(__xludf.DUMMYFUNCTION("""COMPUTED_VALUE"""),"1000
Houston,")</f>
        <v>1000
Houston,</v>
      </c>
      <c r="L1203" s="40" t="str">
        <f>IFERROR(__xludf.DUMMYFUNCTION("""COMPUTED_VALUE"""),"TX")</f>
        <v>TX</v>
      </c>
      <c r="M1203" s="40">
        <f>IFERROR(__xludf.DUMMYFUNCTION("""COMPUTED_VALUE"""),77046.0)</f>
        <v>77046</v>
      </c>
      <c r="N1203" s="40"/>
      <c r="O1203" s="40"/>
      <c r="P1203" s="40"/>
      <c r="Q1203" s="40"/>
      <c r="R1203" s="40"/>
      <c r="S1203" s="40"/>
      <c r="T1203" s="40"/>
      <c r="U1203" s="24" t="str">
        <f>IFERROR(__xludf.DUMMYFUNCTION("SPLIT(E1203,""01234567890"")"),"Rose")</f>
        <v>Rose</v>
      </c>
      <c r="V1203" s="24" t="str">
        <f>IFERROR(__xludf.DUMMYFUNCTION("SPLIT(D1203,"","")"),"Coats")</f>
        <v>Coats</v>
      </c>
      <c r="W1203" s="25" t="str">
        <f t="shared" si="1"/>
        <v>ROSE COATS</v>
      </c>
      <c r="X1203" s="40"/>
      <c r="Y1203" s="40"/>
      <c r="Z1203" s="25" t="str">
        <f>IFERROR(__xludf.DUMMYFUNCTION("SPLIT(C1203,""
"")"),"Coats Rose P.C. PAC")</f>
        <v>Coats Rose P.C. PAC</v>
      </c>
      <c r="AA1203" s="40" t="str">
        <f>IFERROR(__xludf.DUMMYFUNCTION("""COMPUTED_VALUE"""),"9 Greenway Plaza Ste. 1000")</f>
        <v>9 Greenway Plaza Ste. 1000</v>
      </c>
      <c r="AB1203" s="40" t="str">
        <f>IFERROR(__xludf.DUMMYFUNCTION("""COMPUTED_VALUE"""),"Houston, TX 77046")</f>
        <v>Houston, TX 77046</v>
      </c>
      <c r="AC1203" s="31" t="s">
        <v>2668</v>
      </c>
      <c r="AD1203" s="40"/>
      <c r="AE1203" s="40"/>
      <c r="AF1203" s="40"/>
      <c r="AG1203" s="40" t="s">
        <v>60</v>
      </c>
      <c r="AH1203" s="42">
        <v>2486.0</v>
      </c>
      <c r="AI1203" s="40" t="s">
        <v>68</v>
      </c>
      <c r="AJ1203" s="27">
        <v>1000.0</v>
      </c>
      <c r="AK1203" s="31" t="s">
        <v>24</v>
      </c>
      <c r="AL1203" s="43">
        <v>44860.0</v>
      </c>
      <c r="AM1203" s="44">
        <v>44942.42989583333</v>
      </c>
      <c r="AN1203" s="30">
        <v>2.0</v>
      </c>
      <c r="AO1203" s="40"/>
      <c r="AP1203" s="40"/>
      <c r="AQ1203" s="40"/>
      <c r="AR1203" s="40"/>
      <c r="AS1203" s="40"/>
      <c r="AT1203" s="47"/>
      <c r="AU1203" s="40"/>
      <c r="AV1203" s="46"/>
      <c r="AW1203" s="46"/>
      <c r="AX1203" s="47"/>
      <c r="AY1203" s="44"/>
      <c r="AZ1203" s="30"/>
      <c r="CU1203" s="55"/>
      <c r="CV1203" s="55"/>
      <c r="CW1203" s="55"/>
      <c r="CX1203" s="55"/>
      <c r="CY1203" s="55"/>
      <c r="CZ1203" s="55"/>
      <c r="DA1203" s="82"/>
      <c r="DB1203" s="55"/>
      <c r="DC1203" s="55"/>
      <c r="DD1203" s="55"/>
      <c r="DE1203" s="55"/>
      <c r="DF1203" s="55"/>
      <c r="DG1203" s="55"/>
      <c r="DH1203" s="55"/>
      <c r="DI1203" s="55"/>
      <c r="DJ1203" s="55"/>
      <c r="DK1203" s="55"/>
      <c r="DL1203" s="55"/>
      <c r="DM1203" s="55"/>
      <c r="DN1203" s="55"/>
      <c r="DO1203" s="55"/>
      <c r="DP1203" s="55"/>
      <c r="DQ1203" s="55"/>
      <c r="DR1203" s="55"/>
      <c r="DS1203" s="55"/>
      <c r="DT1203" s="55"/>
      <c r="DU1203" s="55"/>
      <c r="DV1203" s="55"/>
      <c r="DW1203" s="55"/>
    </row>
    <row r="1204">
      <c r="A1204" s="23" t="s">
        <v>64</v>
      </c>
      <c r="B1204" s="23" t="s">
        <v>56</v>
      </c>
      <c r="C1204" s="31" t="s">
        <v>2669</v>
      </c>
      <c r="D1204" s="25" t="str">
        <f>IFERROR(__xludf.DUMMYFUNCTION("SPLIT(C1204,"" "")"),"See,")</f>
        <v>See,</v>
      </c>
      <c r="E1204" s="22" t="str">
        <f>IFERROR(__xludf.DUMMYFUNCTION("""COMPUTED_VALUE"""),"Alonzo
6507")</f>
        <v>Alonzo
6507</v>
      </c>
      <c r="F1204" s="22" t="str">
        <f>IFERROR(__xludf.DUMMYFUNCTION("""COMPUTED_VALUE"""),"Bob")</f>
        <v>Bob</v>
      </c>
      <c r="G1204" s="22" t="str">
        <f>IFERROR(__xludf.DUMMYFUNCTION("""COMPUTED_VALUE"""),"O")</f>
        <v>O</v>
      </c>
      <c r="H1204" s="22" t="str">
        <f>IFERROR(__xludf.DUMMYFUNCTION("""COMPUTED_VALUE"""),"Link")</f>
        <v>Link</v>
      </c>
      <c r="I1204" s="22" t="str">
        <f>IFERROR(__xludf.DUMMYFUNCTION("""COMPUTED_VALUE"""),"Dr
Dallas,")</f>
        <v>Dr
Dallas,</v>
      </c>
      <c r="J1204" s="22" t="str">
        <f>IFERROR(__xludf.DUMMYFUNCTION("""COMPUTED_VALUE"""),"TX")</f>
        <v>TX</v>
      </c>
      <c r="K1204" s="22">
        <f>IFERROR(__xludf.DUMMYFUNCTION("""COMPUTED_VALUE"""),75214.0)</f>
        <v>75214</v>
      </c>
      <c r="L1204" s="22"/>
      <c r="M1204" s="22"/>
      <c r="N1204" s="22"/>
      <c r="O1204" s="22"/>
      <c r="P1204" s="22"/>
      <c r="Q1204" s="22"/>
      <c r="R1204" s="22"/>
      <c r="S1204" s="22"/>
      <c r="T1204" s="22"/>
      <c r="U1204" s="24" t="str">
        <f>IFERROR(__xludf.DUMMYFUNCTION("SPLIT(E1204,""01234567890"")"),"Alonzo
")</f>
        <v>Alonzo
</v>
      </c>
      <c r="V1204" s="24" t="str">
        <f>IFERROR(__xludf.DUMMYFUNCTION("SPLIT(D1204,"","")"),"See")</f>
        <v>See</v>
      </c>
      <c r="W1204" s="25" t="str">
        <f t="shared" si="1"/>
        <v>ALONZO
 SEE</v>
      </c>
      <c r="X1204" s="22"/>
      <c r="Y1204" s="22"/>
      <c r="Z1204" s="25" t="str">
        <f>IFERROR(__xludf.DUMMYFUNCTION("SPLIT(C1204,""
"")"),"See, Alonzo")</f>
        <v>See, Alonzo</v>
      </c>
      <c r="AA1204" s="22" t="str">
        <f>IFERROR(__xludf.DUMMYFUNCTION("""COMPUTED_VALUE"""),"6507 Bob O Link Dr")</f>
        <v>6507 Bob O Link Dr</v>
      </c>
      <c r="AB1204" s="22" t="str">
        <f>IFERROR(__xludf.DUMMYFUNCTION("""COMPUTED_VALUE"""),"Dallas, TX 75214")</f>
        <v>Dallas, TX 75214</v>
      </c>
      <c r="AC1204" s="31" t="s">
        <v>2670</v>
      </c>
      <c r="AD1204" s="22"/>
      <c r="AE1204" s="22"/>
      <c r="AF1204" s="22"/>
      <c r="AG1204" s="22" t="s">
        <v>60</v>
      </c>
      <c r="AH1204" s="54">
        <v>2486.0</v>
      </c>
      <c r="AI1204" s="22" t="s">
        <v>68</v>
      </c>
      <c r="AJ1204" s="27">
        <v>1000.0</v>
      </c>
      <c r="AK1204" s="31" t="s">
        <v>24</v>
      </c>
      <c r="AL1204" s="28">
        <v>44860.0</v>
      </c>
      <c r="AM1204" s="29">
        <v>44942.42989583333</v>
      </c>
      <c r="AN1204" s="30">
        <v>2.0</v>
      </c>
      <c r="AO1204" s="22"/>
      <c r="AP1204" s="22"/>
      <c r="AQ1204" s="22"/>
      <c r="AR1204" s="22"/>
      <c r="AS1204" s="22"/>
      <c r="AT1204" s="70"/>
      <c r="AU1204" s="22"/>
      <c r="AV1204" s="57"/>
      <c r="AW1204" s="57"/>
      <c r="AX1204" s="70"/>
      <c r="AY1204" s="29"/>
      <c r="AZ1204" s="30"/>
      <c r="CU1204" s="55"/>
      <c r="CV1204" s="55"/>
      <c r="CW1204" s="55"/>
      <c r="CX1204" s="55"/>
      <c r="CY1204" s="55"/>
      <c r="CZ1204" s="55"/>
      <c r="DA1204" s="82"/>
      <c r="DB1204" s="55"/>
      <c r="DC1204" s="55"/>
      <c r="DD1204" s="55"/>
      <c r="DE1204" s="55"/>
      <c r="DF1204" s="55"/>
      <c r="DG1204" s="55"/>
      <c r="DH1204" s="55"/>
      <c r="DI1204" s="55"/>
      <c r="DJ1204" s="55"/>
      <c r="DK1204" s="55"/>
      <c r="DL1204" s="55"/>
      <c r="DM1204" s="55"/>
      <c r="DN1204" s="55"/>
      <c r="DO1204" s="55"/>
      <c r="DP1204" s="55"/>
      <c r="DQ1204" s="55"/>
      <c r="DR1204" s="55"/>
      <c r="DS1204" s="55"/>
      <c r="DT1204" s="55"/>
      <c r="DU1204" s="55"/>
      <c r="DV1204" s="55"/>
      <c r="DW1204" s="55"/>
    </row>
    <row r="1205">
      <c r="A1205" s="41" t="s">
        <v>64</v>
      </c>
      <c r="B1205" s="41" t="s">
        <v>56</v>
      </c>
      <c r="C1205" s="31" t="s">
        <v>2671</v>
      </c>
      <c r="D1205" s="25" t="str">
        <f>IFERROR(__xludf.DUMMYFUNCTION("SPLIT(C1205,"" "")"),"Henry,")</f>
        <v>Henry,</v>
      </c>
      <c r="E1205" s="40" t="str">
        <f>IFERROR(__xludf.DUMMYFUNCTION("""COMPUTED_VALUE"""),"Barry
1717")</f>
        <v>Barry
1717</v>
      </c>
      <c r="F1205" s="40" t="str">
        <f>IFERROR(__xludf.DUMMYFUNCTION("""COMPUTED_VALUE"""),"Arts")</f>
        <v>Arts</v>
      </c>
      <c r="G1205" s="40" t="str">
        <f>IFERROR(__xludf.DUMMYFUNCTION("""COMPUTED_VALUE"""),"Plaza")</f>
        <v>Plaza</v>
      </c>
      <c r="H1205" s="40" t="str">
        <f>IFERROR(__xludf.DUMMYFUNCTION("""COMPUTED_VALUE"""),"Residence")</f>
        <v>Residence</v>
      </c>
      <c r="I1205" s="40" t="str">
        <f>IFERROR(__xludf.DUMMYFUNCTION("""COMPUTED_VALUE"""),"1801
Dallas,")</f>
        <v>1801
Dallas,</v>
      </c>
      <c r="J1205" s="40" t="str">
        <f>IFERROR(__xludf.DUMMYFUNCTION("""COMPUTED_VALUE"""),"TX")</f>
        <v>TX</v>
      </c>
      <c r="K1205" s="40">
        <f>IFERROR(__xludf.DUMMYFUNCTION("""COMPUTED_VALUE"""),75201.0)</f>
        <v>75201</v>
      </c>
      <c r="L1205" s="40"/>
      <c r="M1205" s="40"/>
      <c r="N1205" s="40"/>
      <c r="O1205" s="40"/>
      <c r="P1205" s="40"/>
      <c r="Q1205" s="40"/>
      <c r="R1205" s="40"/>
      <c r="S1205" s="40"/>
      <c r="T1205" s="40"/>
      <c r="U1205" s="24" t="str">
        <f>IFERROR(__xludf.DUMMYFUNCTION("SPLIT(E1205,""01234567890"")"),"Barry
")</f>
        <v>Barry
</v>
      </c>
      <c r="V1205" s="24" t="str">
        <f>IFERROR(__xludf.DUMMYFUNCTION("SPLIT(D1205,"","")"),"Henry")</f>
        <v>Henry</v>
      </c>
      <c r="W1205" s="25" t="str">
        <f t="shared" si="1"/>
        <v>BARRY
 HENRY</v>
      </c>
      <c r="X1205" s="40"/>
      <c r="Y1205" s="40"/>
      <c r="Z1205" s="25" t="str">
        <f>IFERROR(__xludf.DUMMYFUNCTION("SPLIT(C1205,""
"")"),"Henry, Barry")</f>
        <v>Henry, Barry</v>
      </c>
      <c r="AA1205" s="40" t="str">
        <f>IFERROR(__xludf.DUMMYFUNCTION("""COMPUTED_VALUE"""),"1717 Arts Plaza Residence 1801")</f>
        <v>1717 Arts Plaza Residence 1801</v>
      </c>
      <c r="AB1205" s="40" t="str">
        <f>IFERROR(__xludf.DUMMYFUNCTION("""COMPUTED_VALUE"""),"Dallas, TX 75201")</f>
        <v>Dallas, TX 75201</v>
      </c>
      <c r="AC1205" s="31" t="s">
        <v>1376</v>
      </c>
      <c r="AD1205" s="40"/>
      <c r="AE1205" s="40"/>
      <c r="AF1205" s="40"/>
      <c r="AG1205" s="40" t="s">
        <v>60</v>
      </c>
      <c r="AH1205" s="42">
        <v>2486.0</v>
      </c>
      <c r="AI1205" s="40" t="s">
        <v>68</v>
      </c>
      <c r="AJ1205" s="27">
        <v>50.0</v>
      </c>
      <c r="AK1205" s="31" t="s">
        <v>24</v>
      </c>
      <c r="AL1205" s="43">
        <v>44887.0</v>
      </c>
      <c r="AM1205" s="44">
        <v>44942.42989583333</v>
      </c>
      <c r="AN1205" s="30">
        <v>2.0</v>
      </c>
      <c r="AO1205" s="40"/>
      <c r="AP1205" s="40"/>
      <c r="AQ1205" s="40"/>
      <c r="AR1205" s="40"/>
      <c r="AS1205" s="40"/>
      <c r="AT1205" s="47"/>
      <c r="AU1205" s="40"/>
      <c r="AV1205" s="46"/>
      <c r="AW1205" s="46"/>
      <c r="AX1205" s="47"/>
      <c r="AY1205" s="44"/>
      <c r="AZ1205" s="30"/>
      <c r="CU1205" s="55"/>
      <c r="CV1205" s="55"/>
      <c r="CW1205" s="55"/>
      <c r="CX1205" s="55"/>
      <c r="CY1205" s="55"/>
      <c r="CZ1205" s="55"/>
      <c r="DA1205" s="82"/>
      <c r="DB1205" s="55"/>
      <c r="DC1205" s="55"/>
      <c r="DD1205" s="55"/>
      <c r="DE1205" s="55"/>
      <c r="DF1205" s="55"/>
      <c r="DG1205" s="55"/>
      <c r="DH1205" s="55"/>
      <c r="DI1205" s="55"/>
      <c r="DJ1205" s="55"/>
      <c r="DK1205" s="55"/>
      <c r="DL1205" s="55"/>
      <c r="DM1205" s="55"/>
      <c r="DN1205" s="55"/>
      <c r="DO1205" s="55"/>
      <c r="DP1205" s="55"/>
      <c r="DQ1205" s="55"/>
      <c r="DR1205" s="55"/>
      <c r="DS1205" s="55"/>
      <c r="DT1205" s="55"/>
      <c r="DU1205" s="55"/>
      <c r="DV1205" s="55"/>
      <c r="DW1205" s="55"/>
    </row>
    <row r="1206">
      <c r="A1206" s="23" t="s">
        <v>64</v>
      </c>
      <c r="B1206" s="23" t="s">
        <v>56</v>
      </c>
      <c r="C1206" s="31" t="s">
        <v>2672</v>
      </c>
      <c r="D1206" s="25" t="str">
        <f>IFERROR(__xludf.DUMMYFUNCTION("SPLIT(C1206,"" "")"),"Dann,")</f>
        <v>Dann,</v>
      </c>
      <c r="E1206" s="22" t="str">
        <f>IFERROR(__xludf.DUMMYFUNCTION("""COMPUTED_VALUE"""),"Mark
9510")</f>
        <v>Mark
9510</v>
      </c>
      <c r="F1206" s="22" t="str">
        <f>IFERROR(__xludf.DUMMYFUNCTION("""COMPUTED_VALUE"""),"West")</f>
        <v>West</v>
      </c>
      <c r="G1206" s="22" t="str">
        <f>IFERROR(__xludf.DUMMYFUNCTION("""COMPUTED_VALUE"""),"Lake")</f>
        <v>Lake</v>
      </c>
      <c r="H1206" s="22" t="str">
        <f>IFERROR(__xludf.DUMMYFUNCTION("""COMPUTED_VALUE"""),"Highlands")</f>
        <v>Highlands</v>
      </c>
      <c r="I1206" s="22" t="str">
        <f>IFERROR(__xludf.DUMMYFUNCTION("""COMPUTED_VALUE"""),"Drive
Dallas,")</f>
        <v>Drive
Dallas,</v>
      </c>
      <c r="J1206" s="22" t="str">
        <f>IFERROR(__xludf.DUMMYFUNCTION("""COMPUTED_VALUE"""),"TX")</f>
        <v>TX</v>
      </c>
      <c r="K1206" s="22">
        <f>IFERROR(__xludf.DUMMYFUNCTION("""COMPUTED_VALUE"""),75218.0)</f>
        <v>75218</v>
      </c>
      <c r="L1206" s="22"/>
      <c r="M1206" s="22"/>
      <c r="N1206" s="22"/>
      <c r="O1206" s="22"/>
      <c r="P1206" s="22"/>
      <c r="Q1206" s="22"/>
      <c r="R1206" s="22"/>
      <c r="S1206" s="22"/>
      <c r="T1206" s="22"/>
      <c r="U1206" s="24" t="str">
        <f>IFERROR(__xludf.DUMMYFUNCTION("SPLIT(E1206,""01234567890"")"),"Mark
")</f>
        <v>Mark
</v>
      </c>
      <c r="V1206" s="24" t="str">
        <f>IFERROR(__xludf.DUMMYFUNCTION("SPLIT(D1206,"","")"),"Dann")</f>
        <v>Dann</v>
      </c>
      <c r="W1206" s="25" t="str">
        <f t="shared" si="1"/>
        <v>MARK
 DANN</v>
      </c>
      <c r="X1206" s="22"/>
      <c r="Y1206" s="22"/>
      <c r="Z1206" s="25" t="str">
        <f>IFERROR(__xludf.DUMMYFUNCTION("SPLIT(C1206,""
"")"),"Dann, Mark")</f>
        <v>Dann, Mark</v>
      </c>
      <c r="AA1206" s="22" t="str">
        <f>IFERROR(__xludf.DUMMYFUNCTION("""COMPUTED_VALUE"""),"9510 West Lake Highlands Drive")</f>
        <v>9510 West Lake Highlands Drive</v>
      </c>
      <c r="AB1206" s="22" t="str">
        <f>IFERROR(__xludf.DUMMYFUNCTION("""COMPUTED_VALUE"""),"Dallas, TX 75218")</f>
        <v>Dallas, TX 75218</v>
      </c>
      <c r="AC1206" s="31" t="s">
        <v>2673</v>
      </c>
      <c r="AD1206" s="22"/>
      <c r="AE1206" s="22"/>
      <c r="AF1206" s="22"/>
      <c r="AG1206" s="22" t="s">
        <v>60</v>
      </c>
      <c r="AH1206" s="54">
        <v>2486.0</v>
      </c>
      <c r="AI1206" s="22" t="s">
        <v>68</v>
      </c>
      <c r="AJ1206" s="27">
        <v>50.0</v>
      </c>
      <c r="AK1206" s="31" t="s">
        <v>24</v>
      </c>
      <c r="AL1206" s="28">
        <v>44887.0</v>
      </c>
      <c r="AM1206" s="29">
        <v>44942.42989583333</v>
      </c>
      <c r="AN1206" s="30">
        <v>2.0</v>
      </c>
      <c r="AO1206" s="22"/>
      <c r="AP1206" s="22"/>
      <c r="AQ1206" s="22"/>
      <c r="AR1206" s="22"/>
      <c r="AS1206" s="22"/>
      <c r="AT1206" s="70"/>
      <c r="AU1206" s="22"/>
      <c r="AV1206" s="57"/>
      <c r="AW1206" s="57"/>
      <c r="AX1206" s="70"/>
      <c r="AY1206" s="29"/>
      <c r="AZ1206" s="30"/>
      <c r="CU1206" s="55"/>
      <c r="CV1206" s="55"/>
      <c r="CW1206" s="55"/>
      <c r="CX1206" s="55"/>
      <c r="CY1206" s="55"/>
      <c r="CZ1206" s="55"/>
      <c r="DA1206" s="82"/>
      <c r="DB1206" s="55"/>
      <c r="DC1206" s="55"/>
      <c r="DD1206" s="55"/>
      <c r="DE1206" s="55"/>
      <c r="DF1206" s="55"/>
      <c r="DG1206" s="55"/>
      <c r="DH1206" s="55"/>
      <c r="DI1206" s="55"/>
      <c r="DJ1206" s="55"/>
      <c r="DK1206" s="55"/>
      <c r="DL1206" s="55"/>
      <c r="DM1206" s="55"/>
      <c r="DN1206" s="55"/>
      <c r="DO1206" s="55"/>
      <c r="DP1206" s="55"/>
      <c r="DQ1206" s="55"/>
      <c r="DR1206" s="55"/>
      <c r="DS1206" s="55"/>
      <c r="DT1206" s="55"/>
      <c r="DU1206" s="55"/>
      <c r="DV1206" s="55"/>
      <c r="DW1206" s="55"/>
    </row>
    <row r="1207">
      <c r="A1207" s="41" t="s">
        <v>64</v>
      </c>
      <c r="B1207" s="41" t="s">
        <v>56</v>
      </c>
      <c r="C1207" s="31" t="s">
        <v>69</v>
      </c>
      <c r="D1207" s="25" t="str">
        <f>IFERROR(__xludf.DUMMYFUNCTION("SPLIT(C1207,"" "")"),"Abrams,")</f>
        <v>Abrams,</v>
      </c>
      <c r="E1207" s="40" t="str">
        <f>IFERROR(__xludf.DUMMYFUNCTION("""COMPUTED_VALUE"""),"John
6427")</f>
        <v>John
6427</v>
      </c>
      <c r="F1207" s="40" t="str">
        <f>IFERROR(__xludf.DUMMYFUNCTION("""COMPUTED_VALUE"""),"Bob")</f>
        <v>Bob</v>
      </c>
      <c r="G1207" s="40" t="str">
        <f>IFERROR(__xludf.DUMMYFUNCTION("""COMPUTED_VALUE"""),"O")</f>
        <v>O</v>
      </c>
      <c r="H1207" s="40" t="str">
        <f>IFERROR(__xludf.DUMMYFUNCTION("""COMPUTED_VALUE"""),"Link")</f>
        <v>Link</v>
      </c>
      <c r="I1207" s="40" t="str">
        <f>IFERROR(__xludf.DUMMYFUNCTION("""COMPUTED_VALUE"""),"Dr.
Dallas,")</f>
        <v>Dr.
Dallas,</v>
      </c>
      <c r="J1207" s="40" t="str">
        <f>IFERROR(__xludf.DUMMYFUNCTION("""COMPUTED_VALUE"""),"TX")</f>
        <v>TX</v>
      </c>
      <c r="K1207" s="40">
        <f>IFERROR(__xludf.DUMMYFUNCTION("""COMPUTED_VALUE"""),75214.0)</f>
        <v>75214</v>
      </c>
      <c r="L1207" s="40"/>
      <c r="M1207" s="40"/>
      <c r="N1207" s="40"/>
      <c r="O1207" s="40"/>
      <c r="P1207" s="40"/>
      <c r="Q1207" s="40"/>
      <c r="R1207" s="40"/>
      <c r="S1207" s="40"/>
      <c r="T1207" s="40"/>
      <c r="U1207" s="24" t="str">
        <f>IFERROR(__xludf.DUMMYFUNCTION("SPLIT(E1207,""01234567890"")"),"John
")</f>
        <v>John
</v>
      </c>
      <c r="V1207" s="24" t="str">
        <f>IFERROR(__xludf.DUMMYFUNCTION("SPLIT(D1207,"","")"),"Abrams")</f>
        <v>Abrams</v>
      </c>
      <c r="W1207" s="25" t="str">
        <f t="shared" si="1"/>
        <v>JOHN
 ABRAMS</v>
      </c>
      <c r="X1207" s="40"/>
      <c r="Y1207" s="40"/>
      <c r="Z1207" s="25" t="str">
        <f>IFERROR(__xludf.DUMMYFUNCTION("SPLIT(C1207,""
"")"),"Abrams, John")</f>
        <v>Abrams, John</v>
      </c>
      <c r="AA1207" s="40" t="str">
        <f>IFERROR(__xludf.DUMMYFUNCTION("""COMPUTED_VALUE"""),"6427 Bob O Link Dr.")</f>
        <v>6427 Bob O Link Dr.</v>
      </c>
      <c r="AB1207" s="40" t="str">
        <f>IFERROR(__xludf.DUMMYFUNCTION("""COMPUTED_VALUE"""),"Dallas, TX 75214")</f>
        <v>Dallas, TX 75214</v>
      </c>
      <c r="AC1207" s="31" t="s">
        <v>71</v>
      </c>
      <c r="AD1207" s="40"/>
      <c r="AE1207" s="40"/>
      <c r="AF1207" s="40"/>
      <c r="AG1207" s="40" t="s">
        <v>60</v>
      </c>
      <c r="AH1207" s="42">
        <v>2486.0</v>
      </c>
      <c r="AI1207" s="40" t="s">
        <v>68</v>
      </c>
      <c r="AJ1207" s="27">
        <v>50.0</v>
      </c>
      <c r="AK1207" s="31" t="s">
        <v>24</v>
      </c>
      <c r="AL1207" s="43">
        <v>44888.0</v>
      </c>
      <c r="AM1207" s="44">
        <v>44942.42989583333</v>
      </c>
      <c r="AN1207" s="30">
        <v>2.0</v>
      </c>
      <c r="AO1207" s="40"/>
      <c r="AP1207" s="40"/>
      <c r="AQ1207" s="40"/>
      <c r="AR1207" s="40"/>
      <c r="AS1207" s="40"/>
      <c r="AT1207" s="47"/>
      <c r="AU1207" s="40"/>
      <c r="AV1207" s="46"/>
      <c r="AW1207" s="46"/>
      <c r="AX1207" s="47"/>
      <c r="AY1207" s="44"/>
      <c r="AZ1207" s="30"/>
      <c r="CU1207" s="55"/>
      <c r="CV1207" s="55"/>
      <c r="CW1207" s="55"/>
      <c r="CX1207" s="55"/>
      <c r="CY1207" s="55"/>
      <c r="CZ1207" s="55"/>
      <c r="DA1207" s="82"/>
      <c r="DB1207" s="55"/>
      <c r="DC1207" s="55"/>
      <c r="DD1207" s="55"/>
      <c r="DE1207" s="55"/>
      <c r="DF1207" s="55"/>
      <c r="DG1207" s="55"/>
      <c r="DH1207" s="55"/>
      <c r="DI1207" s="55"/>
      <c r="DJ1207" s="55"/>
      <c r="DK1207" s="55"/>
      <c r="DL1207" s="55"/>
      <c r="DM1207" s="55"/>
      <c r="DN1207" s="55"/>
      <c r="DO1207" s="55"/>
      <c r="DP1207" s="55"/>
      <c r="DQ1207" s="55"/>
      <c r="DR1207" s="55"/>
      <c r="DS1207" s="55"/>
      <c r="DT1207" s="55"/>
      <c r="DU1207" s="55"/>
      <c r="DV1207" s="55"/>
      <c r="DW1207" s="55"/>
    </row>
    <row r="1208">
      <c r="A1208" s="23" t="s">
        <v>64</v>
      </c>
      <c r="B1208" s="23" t="s">
        <v>56</v>
      </c>
      <c r="C1208" s="31" t="s">
        <v>2674</v>
      </c>
      <c r="D1208" s="25" t="str">
        <f>IFERROR(__xludf.DUMMYFUNCTION("SPLIT(C1208,"" "")"),"Veale,")</f>
        <v>Veale,</v>
      </c>
      <c r="E1208" s="22" t="str">
        <f>IFERROR(__xludf.DUMMYFUNCTION("""COMPUTED_VALUE"""),"Michael
1717")</f>
        <v>Michael
1717</v>
      </c>
      <c r="F1208" s="22" t="str">
        <f>IFERROR(__xludf.DUMMYFUNCTION("""COMPUTED_VALUE"""),"Arts")</f>
        <v>Arts</v>
      </c>
      <c r="G1208" s="22" t="str">
        <f>IFERROR(__xludf.DUMMYFUNCTION("""COMPUTED_VALUE"""),"Plaza")</f>
        <v>Plaza</v>
      </c>
      <c r="H1208" s="22" t="str">
        <f>IFERROR(__xludf.DUMMYFUNCTION("""COMPUTED_VALUE"""),"2207
Dallas,")</f>
        <v>2207
Dallas,</v>
      </c>
      <c r="I1208" s="22" t="str">
        <f>IFERROR(__xludf.DUMMYFUNCTION("""COMPUTED_VALUE"""),"TX")</f>
        <v>TX</v>
      </c>
      <c r="J1208" s="22">
        <f>IFERROR(__xludf.DUMMYFUNCTION("""COMPUTED_VALUE"""),75201.0)</f>
        <v>75201</v>
      </c>
      <c r="K1208" s="22"/>
      <c r="L1208" s="22"/>
      <c r="M1208" s="22"/>
      <c r="N1208" s="22"/>
      <c r="O1208" s="22"/>
      <c r="P1208" s="22"/>
      <c r="Q1208" s="22"/>
      <c r="R1208" s="22"/>
      <c r="S1208" s="22"/>
      <c r="T1208" s="22"/>
      <c r="U1208" s="24" t="str">
        <f>IFERROR(__xludf.DUMMYFUNCTION("SPLIT(E1208,""01234567890"")"),"Michael
")</f>
        <v>Michael
</v>
      </c>
      <c r="V1208" s="24" t="str">
        <f>IFERROR(__xludf.DUMMYFUNCTION("SPLIT(D1208,"","")"),"Veale")</f>
        <v>Veale</v>
      </c>
      <c r="W1208" s="25" t="str">
        <f t="shared" si="1"/>
        <v>MICHAEL
 VEALE</v>
      </c>
      <c r="X1208" s="22"/>
      <c r="Y1208" s="22"/>
      <c r="Z1208" s="25" t="str">
        <f>IFERROR(__xludf.DUMMYFUNCTION("SPLIT(C1208,""
"")"),"Veale, Michael")</f>
        <v>Veale, Michael</v>
      </c>
      <c r="AA1208" s="22" t="str">
        <f>IFERROR(__xludf.DUMMYFUNCTION("""COMPUTED_VALUE"""),"1717 Arts Plaza 2207")</f>
        <v>1717 Arts Plaza 2207</v>
      </c>
      <c r="AB1208" s="22" t="str">
        <f>IFERROR(__xludf.DUMMYFUNCTION("""COMPUTED_VALUE"""),"Dallas, TX 75201")</f>
        <v>Dallas, TX 75201</v>
      </c>
      <c r="AC1208" s="31" t="s">
        <v>1542</v>
      </c>
      <c r="AD1208" s="22"/>
      <c r="AE1208" s="22"/>
      <c r="AF1208" s="22"/>
      <c r="AG1208" s="22" t="s">
        <v>60</v>
      </c>
      <c r="AH1208" s="54">
        <v>2486.0</v>
      </c>
      <c r="AI1208" s="22" t="s">
        <v>68</v>
      </c>
      <c r="AJ1208" s="27">
        <v>250.0</v>
      </c>
      <c r="AK1208" s="31" t="s">
        <v>24</v>
      </c>
      <c r="AL1208" s="28">
        <v>44892.0</v>
      </c>
      <c r="AM1208" s="29">
        <v>44942.42989583333</v>
      </c>
      <c r="AN1208" s="30">
        <v>2.0</v>
      </c>
      <c r="AO1208" s="22"/>
      <c r="AP1208" s="22"/>
      <c r="AQ1208" s="22"/>
      <c r="AR1208" s="22"/>
      <c r="AS1208" s="22"/>
      <c r="AT1208" s="70"/>
      <c r="AU1208" s="22"/>
      <c r="AV1208" s="57"/>
      <c r="AW1208" s="57"/>
      <c r="AX1208" s="70"/>
      <c r="AY1208" s="29"/>
      <c r="AZ1208" s="30"/>
      <c r="CU1208" s="55"/>
      <c r="CV1208" s="55"/>
      <c r="CW1208" s="55"/>
      <c r="CX1208" s="55"/>
      <c r="CY1208" s="55"/>
      <c r="CZ1208" s="55"/>
      <c r="DA1208" s="82"/>
      <c r="DB1208" s="55"/>
      <c r="DC1208" s="55"/>
      <c r="DD1208" s="55"/>
      <c r="DE1208" s="55"/>
      <c r="DF1208" s="55"/>
      <c r="DG1208" s="55"/>
      <c r="DH1208" s="55"/>
      <c r="DI1208" s="55"/>
      <c r="DJ1208" s="55"/>
      <c r="DK1208" s="55"/>
      <c r="DL1208" s="55"/>
      <c r="DM1208" s="55"/>
      <c r="DN1208" s="55"/>
      <c r="DO1208" s="55"/>
      <c r="DP1208" s="55"/>
      <c r="DQ1208" s="55"/>
      <c r="DR1208" s="55"/>
      <c r="DS1208" s="55"/>
      <c r="DT1208" s="55"/>
      <c r="DU1208" s="55"/>
      <c r="DV1208" s="55"/>
      <c r="DW1208" s="55"/>
    </row>
    <row r="1209">
      <c r="A1209" s="41" t="s">
        <v>64</v>
      </c>
      <c r="B1209" s="41" t="s">
        <v>56</v>
      </c>
      <c r="C1209" s="31" t="s">
        <v>2675</v>
      </c>
      <c r="D1209" s="25" t="str">
        <f>IFERROR(__xludf.DUMMYFUNCTION("SPLIT(C1209,"" "")"),"Forsythe")</f>
        <v>Forsythe</v>
      </c>
      <c r="E1209" s="40" t="str">
        <f>IFERROR(__xludf.DUMMYFUNCTION("""COMPUTED_VALUE"""),"Lill,")</f>
        <v>Lill,</v>
      </c>
      <c r="F1209" s="40" t="str">
        <f>IFERROR(__xludf.DUMMYFUNCTION("""COMPUTED_VALUE"""),"Veletta
622")</f>
        <v>Veletta
622</v>
      </c>
      <c r="G1209" s="40" t="str">
        <f>IFERROR(__xludf.DUMMYFUNCTION("""COMPUTED_VALUE"""),"Blair")</f>
        <v>Blair</v>
      </c>
      <c r="H1209" s="40" t="str">
        <f>IFERROR(__xludf.DUMMYFUNCTION("""COMPUTED_VALUE"""),"Blvd.
Dallas,")</f>
        <v>Blvd.
Dallas,</v>
      </c>
      <c r="I1209" s="40" t="str">
        <f>IFERROR(__xludf.DUMMYFUNCTION("""COMPUTED_VALUE"""),"TX")</f>
        <v>TX</v>
      </c>
      <c r="J1209" s="40">
        <f>IFERROR(__xludf.DUMMYFUNCTION("""COMPUTED_VALUE"""),75223.0)</f>
        <v>75223</v>
      </c>
      <c r="K1209" s="40"/>
      <c r="L1209" s="40"/>
      <c r="M1209" s="40"/>
      <c r="N1209" s="40"/>
      <c r="O1209" s="40"/>
      <c r="P1209" s="40"/>
      <c r="Q1209" s="40"/>
      <c r="R1209" s="40"/>
      <c r="S1209" s="40"/>
      <c r="T1209" s="40"/>
      <c r="U1209" s="24" t="str">
        <f>IFERROR(__xludf.DUMMYFUNCTION("SPLIT(E1209,""01234567890"")"),"Lill,")</f>
        <v>Lill,</v>
      </c>
      <c r="V1209" s="24" t="str">
        <f>IFERROR(__xludf.DUMMYFUNCTION("SPLIT(D1209,"","")"),"Forsythe")</f>
        <v>Forsythe</v>
      </c>
      <c r="W1209" s="25" t="str">
        <f t="shared" si="1"/>
        <v>LILL, FORSYTHE</v>
      </c>
      <c r="X1209" s="40"/>
      <c r="Y1209" s="40"/>
      <c r="Z1209" s="25" t="str">
        <f>IFERROR(__xludf.DUMMYFUNCTION("SPLIT(C1209,""
"")"),"Forsythe Lill, Veletta")</f>
        <v>Forsythe Lill, Veletta</v>
      </c>
      <c r="AA1209" s="40" t="str">
        <f>IFERROR(__xludf.DUMMYFUNCTION("""COMPUTED_VALUE"""),"622 Blair Blvd.")</f>
        <v>622 Blair Blvd.</v>
      </c>
      <c r="AB1209" s="40" t="str">
        <f>IFERROR(__xludf.DUMMYFUNCTION("""COMPUTED_VALUE"""),"Dallas, TX 75223")</f>
        <v>Dallas, TX 75223</v>
      </c>
      <c r="AC1209" s="31" t="s">
        <v>2676</v>
      </c>
      <c r="AD1209" s="40"/>
      <c r="AE1209" s="40"/>
      <c r="AF1209" s="40"/>
      <c r="AG1209" s="40" t="s">
        <v>60</v>
      </c>
      <c r="AH1209" s="42">
        <v>2486.0</v>
      </c>
      <c r="AI1209" s="40" t="s">
        <v>68</v>
      </c>
      <c r="AJ1209" s="27">
        <v>100.0</v>
      </c>
      <c r="AK1209" s="31" t="s">
        <v>24</v>
      </c>
      <c r="AL1209" s="43">
        <v>44892.0</v>
      </c>
      <c r="AM1209" s="44">
        <v>44942.42989583333</v>
      </c>
      <c r="AN1209" s="30">
        <v>2.0</v>
      </c>
      <c r="AO1209" s="40"/>
      <c r="AP1209" s="40"/>
      <c r="AQ1209" s="40"/>
      <c r="AR1209" s="40"/>
      <c r="AS1209" s="40"/>
      <c r="AT1209" s="47"/>
      <c r="AU1209" s="40"/>
      <c r="AV1209" s="46"/>
      <c r="AW1209" s="46"/>
      <c r="AX1209" s="47"/>
      <c r="AY1209" s="44"/>
      <c r="AZ1209" s="30"/>
      <c r="CU1209" s="55"/>
      <c r="CV1209" s="55"/>
      <c r="CW1209" s="55"/>
      <c r="CX1209" s="55"/>
      <c r="CY1209" s="55"/>
      <c r="CZ1209" s="55"/>
      <c r="DA1209" s="82"/>
      <c r="DB1209" s="55"/>
      <c r="DC1209" s="55"/>
      <c r="DD1209" s="55"/>
      <c r="DE1209" s="55"/>
      <c r="DF1209" s="55"/>
      <c r="DG1209" s="55"/>
      <c r="DH1209" s="55"/>
      <c r="DI1209" s="55"/>
      <c r="DJ1209" s="55"/>
      <c r="DK1209" s="55"/>
      <c r="DL1209" s="55"/>
      <c r="DM1209" s="55"/>
      <c r="DN1209" s="55"/>
      <c r="DO1209" s="55"/>
      <c r="DP1209" s="55"/>
      <c r="DQ1209" s="55"/>
      <c r="DR1209" s="55"/>
      <c r="DS1209" s="55"/>
      <c r="DT1209" s="55"/>
      <c r="DU1209" s="55"/>
      <c r="DV1209" s="55"/>
      <c r="DW1209" s="55"/>
    </row>
    <row r="1210">
      <c r="A1210" s="23" t="s">
        <v>64</v>
      </c>
      <c r="B1210" s="23" t="s">
        <v>56</v>
      </c>
      <c r="C1210" s="31" t="s">
        <v>2677</v>
      </c>
      <c r="D1210" s="25" t="str">
        <f>IFERROR(__xludf.DUMMYFUNCTION("SPLIT(C1210,"" "")"),"Wallace,")</f>
        <v>Wallace,</v>
      </c>
      <c r="E1210" s="22" t="str">
        <f>IFERROR(__xludf.DUMMYFUNCTION("""COMPUTED_VALUE"""),"Chris
4235")</f>
        <v>Chris
4235</v>
      </c>
      <c r="F1210" s="22" t="str">
        <f>IFERROR(__xludf.DUMMYFUNCTION("""COMPUTED_VALUE"""),"Castle")</f>
        <v>Castle</v>
      </c>
      <c r="G1210" s="22" t="str">
        <f>IFERROR(__xludf.DUMMYFUNCTION("""COMPUTED_VALUE"""),"Rock")</f>
        <v>Rock</v>
      </c>
      <c r="H1210" s="22" t="str">
        <f>IFERROR(__xludf.DUMMYFUNCTION("""COMPUTED_VALUE"""),"Court
IRVING,")</f>
        <v>Court
IRVING,</v>
      </c>
      <c r="I1210" s="22" t="str">
        <f>IFERROR(__xludf.DUMMYFUNCTION("""COMPUTED_VALUE"""),"TX")</f>
        <v>TX</v>
      </c>
      <c r="J1210" s="22">
        <f>IFERROR(__xludf.DUMMYFUNCTION("""COMPUTED_VALUE"""),75038.0)</f>
        <v>75038</v>
      </c>
      <c r="K1210" s="22"/>
      <c r="L1210" s="22"/>
      <c r="M1210" s="22"/>
      <c r="N1210" s="22"/>
      <c r="O1210" s="22"/>
      <c r="P1210" s="22"/>
      <c r="Q1210" s="22"/>
      <c r="R1210" s="22"/>
      <c r="S1210" s="22"/>
      <c r="T1210" s="22"/>
      <c r="U1210" s="24" t="str">
        <f>IFERROR(__xludf.DUMMYFUNCTION("SPLIT(E1210,""01234567890"")"),"Chris
")</f>
        <v>Chris
</v>
      </c>
      <c r="V1210" s="24" t="str">
        <f>IFERROR(__xludf.DUMMYFUNCTION("SPLIT(D1210,"","")"),"Wallace")</f>
        <v>Wallace</v>
      </c>
      <c r="W1210" s="25" t="str">
        <f t="shared" si="1"/>
        <v>CHRIS
 WALLACE</v>
      </c>
      <c r="X1210" s="22"/>
      <c r="Y1210" s="22"/>
      <c r="Z1210" s="25" t="str">
        <f>IFERROR(__xludf.DUMMYFUNCTION("SPLIT(C1210,""
"")"),"Wallace, Chris")</f>
        <v>Wallace, Chris</v>
      </c>
      <c r="AA1210" s="22" t="str">
        <f>IFERROR(__xludf.DUMMYFUNCTION("""COMPUTED_VALUE"""),"4235 Castle Rock Court")</f>
        <v>4235 Castle Rock Court</v>
      </c>
      <c r="AB1210" s="22" t="str">
        <f>IFERROR(__xludf.DUMMYFUNCTION("""COMPUTED_VALUE"""),"IRVING, TX 75038")</f>
        <v>IRVING, TX 75038</v>
      </c>
      <c r="AC1210" s="31" t="s">
        <v>1521</v>
      </c>
      <c r="AD1210" s="22"/>
      <c r="AE1210" s="22"/>
      <c r="AF1210" s="22"/>
      <c r="AG1210" s="22" t="s">
        <v>60</v>
      </c>
      <c r="AH1210" s="54">
        <v>2486.0</v>
      </c>
      <c r="AI1210" s="22" t="s">
        <v>68</v>
      </c>
      <c r="AJ1210" s="27">
        <v>100.0</v>
      </c>
      <c r="AK1210" s="31" t="s">
        <v>24</v>
      </c>
      <c r="AL1210" s="28">
        <v>44893.0</v>
      </c>
      <c r="AM1210" s="29">
        <v>44942.42989583333</v>
      </c>
      <c r="AN1210" s="30">
        <v>2.0</v>
      </c>
      <c r="AO1210" s="22"/>
      <c r="AP1210" s="22"/>
      <c r="AQ1210" s="22"/>
      <c r="AR1210" s="22"/>
      <c r="AS1210" s="22"/>
      <c r="AT1210" s="70"/>
      <c r="AU1210" s="22"/>
      <c r="AV1210" s="57"/>
      <c r="AW1210" s="57"/>
      <c r="AX1210" s="70"/>
      <c r="AY1210" s="29"/>
      <c r="AZ1210" s="30"/>
      <c r="CU1210" s="55"/>
      <c r="CV1210" s="55"/>
      <c r="CW1210" s="55"/>
      <c r="CX1210" s="55"/>
      <c r="CY1210" s="55"/>
      <c r="CZ1210" s="55"/>
      <c r="DA1210" s="82"/>
      <c r="DB1210" s="55"/>
      <c r="DC1210" s="55"/>
      <c r="DD1210" s="55"/>
      <c r="DE1210" s="55"/>
      <c r="DF1210" s="55"/>
      <c r="DG1210" s="55"/>
      <c r="DH1210" s="55"/>
      <c r="DI1210" s="55"/>
      <c r="DJ1210" s="55"/>
      <c r="DK1210" s="55"/>
      <c r="DL1210" s="55"/>
      <c r="DM1210" s="55"/>
      <c r="DN1210" s="55"/>
      <c r="DO1210" s="55"/>
      <c r="DP1210" s="55"/>
      <c r="DQ1210" s="55"/>
      <c r="DR1210" s="55"/>
      <c r="DS1210" s="55"/>
      <c r="DT1210" s="55"/>
      <c r="DU1210" s="55"/>
      <c r="DV1210" s="55"/>
      <c r="DW1210" s="55"/>
    </row>
    <row r="1211">
      <c r="A1211" s="41" t="s">
        <v>64</v>
      </c>
      <c r="B1211" s="41" t="s">
        <v>56</v>
      </c>
      <c r="C1211" s="31" t="s">
        <v>2678</v>
      </c>
      <c r="D1211" s="25" t="str">
        <f>IFERROR(__xludf.DUMMYFUNCTION("SPLIT(C1211,"" "")"),"Coyle,")</f>
        <v>Coyle,</v>
      </c>
      <c r="E1211" s="40" t="str">
        <f>IFERROR(__xludf.DUMMYFUNCTION("""COMPUTED_VALUE"""),"Grady
6524")</f>
        <v>Grady
6524</v>
      </c>
      <c r="F1211" s="40" t="str">
        <f>IFERROR(__xludf.DUMMYFUNCTION("""COMPUTED_VALUE"""),"Winton")</f>
        <v>Winton</v>
      </c>
      <c r="G1211" s="40" t="str">
        <f>IFERROR(__xludf.DUMMYFUNCTION("""COMPUTED_VALUE"""),"St
Dallas,")</f>
        <v>St
Dallas,</v>
      </c>
      <c r="H1211" s="40" t="str">
        <f>IFERROR(__xludf.DUMMYFUNCTION("""COMPUTED_VALUE"""),"TX")</f>
        <v>TX</v>
      </c>
      <c r="I1211" s="40">
        <f>IFERROR(__xludf.DUMMYFUNCTION("""COMPUTED_VALUE"""),75214.0)</f>
        <v>75214</v>
      </c>
      <c r="J1211" s="40"/>
      <c r="K1211" s="40"/>
      <c r="L1211" s="40"/>
      <c r="M1211" s="40"/>
      <c r="N1211" s="40"/>
      <c r="O1211" s="40"/>
      <c r="P1211" s="40"/>
      <c r="Q1211" s="40"/>
      <c r="R1211" s="40"/>
      <c r="S1211" s="40"/>
      <c r="T1211" s="40"/>
      <c r="U1211" s="24" t="str">
        <f>IFERROR(__xludf.DUMMYFUNCTION("SPLIT(E1211,""01234567890"")"),"Grady
")</f>
        <v>Grady
</v>
      </c>
      <c r="V1211" s="24" t="str">
        <f>IFERROR(__xludf.DUMMYFUNCTION("SPLIT(D1211,"","")"),"Coyle")</f>
        <v>Coyle</v>
      </c>
      <c r="W1211" s="25" t="str">
        <f t="shared" si="1"/>
        <v>GRADY
 COYLE</v>
      </c>
      <c r="X1211" s="40"/>
      <c r="Y1211" s="40"/>
      <c r="Z1211" s="25" t="str">
        <f>IFERROR(__xludf.DUMMYFUNCTION("SPLIT(C1211,""
"")"),"Coyle, Grady")</f>
        <v>Coyle, Grady</v>
      </c>
      <c r="AA1211" s="40" t="str">
        <f>IFERROR(__xludf.DUMMYFUNCTION("""COMPUTED_VALUE"""),"6524 Winton St")</f>
        <v>6524 Winton St</v>
      </c>
      <c r="AB1211" s="40" t="str">
        <f>IFERROR(__xludf.DUMMYFUNCTION("""COMPUTED_VALUE"""),"Dallas, TX 75214")</f>
        <v>Dallas, TX 75214</v>
      </c>
      <c r="AC1211" s="31" t="s">
        <v>2679</v>
      </c>
      <c r="AD1211" s="40"/>
      <c r="AE1211" s="40"/>
      <c r="AF1211" s="40"/>
      <c r="AG1211" s="40" t="s">
        <v>60</v>
      </c>
      <c r="AH1211" s="42">
        <v>2486.0</v>
      </c>
      <c r="AI1211" s="40" t="s">
        <v>68</v>
      </c>
      <c r="AJ1211" s="27">
        <v>50.0</v>
      </c>
      <c r="AK1211" s="31" t="s">
        <v>24</v>
      </c>
      <c r="AL1211" s="43">
        <v>44893.0</v>
      </c>
      <c r="AM1211" s="44">
        <v>44942.42989583333</v>
      </c>
      <c r="AN1211" s="30">
        <v>2.0</v>
      </c>
      <c r="AO1211" s="40"/>
      <c r="AP1211" s="40"/>
      <c r="AQ1211" s="40"/>
      <c r="AR1211" s="40"/>
      <c r="AS1211" s="40"/>
      <c r="AT1211" s="47"/>
      <c r="AU1211" s="40"/>
      <c r="AV1211" s="46"/>
      <c r="AW1211" s="46"/>
      <c r="AX1211" s="47"/>
      <c r="AY1211" s="44"/>
      <c r="AZ1211" s="30"/>
      <c r="CU1211" s="55"/>
      <c r="CV1211" s="55"/>
      <c r="CW1211" s="55"/>
      <c r="CX1211" s="55"/>
      <c r="CY1211" s="55"/>
      <c r="CZ1211" s="55"/>
      <c r="DA1211" s="82"/>
      <c r="DB1211" s="55"/>
      <c r="DC1211" s="55"/>
      <c r="DD1211" s="55"/>
      <c r="DE1211" s="55"/>
      <c r="DF1211" s="55"/>
      <c r="DG1211" s="55"/>
      <c r="DH1211" s="55"/>
      <c r="DI1211" s="55"/>
      <c r="DJ1211" s="55"/>
      <c r="DK1211" s="55"/>
      <c r="DL1211" s="55"/>
      <c r="DM1211" s="55"/>
      <c r="DN1211" s="55"/>
      <c r="DO1211" s="55"/>
      <c r="DP1211" s="55"/>
      <c r="DQ1211" s="55"/>
      <c r="DR1211" s="55"/>
      <c r="DS1211" s="55"/>
      <c r="DT1211" s="55"/>
      <c r="DU1211" s="55"/>
      <c r="DV1211" s="55"/>
      <c r="DW1211" s="55"/>
    </row>
    <row r="1212">
      <c r="A1212" s="23" t="s">
        <v>64</v>
      </c>
      <c r="B1212" s="23" t="s">
        <v>56</v>
      </c>
      <c r="C1212" s="31" t="s">
        <v>2680</v>
      </c>
      <c r="D1212" s="25" t="str">
        <f>IFERROR(__xludf.DUMMYFUNCTION("SPLIT(C1212,"" "")"),"Newton,")</f>
        <v>Newton,</v>
      </c>
      <c r="E1212" s="22" t="str">
        <f>IFERROR(__xludf.DUMMYFUNCTION("""COMPUTED_VALUE"""),"Karen
10415")</f>
        <v>Karen
10415</v>
      </c>
      <c r="F1212" s="22" t="str">
        <f>IFERROR(__xludf.DUMMYFUNCTION("""COMPUTED_VALUE"""),"Fern")</f>
        <v>Fern</v>
      </c>
      <c r="G1212" s="22" t="str">
        <f>IFERROR(__xludf.DUMMYFUNCTION("""COMPUTED_VALUE"""),"Dr
Dallas,")</f>
        <v>Dr
Dallas,</v>
      </c>
      <c r="H1212" s="22" t="str">
        <f>IFERROR(__xludf.DUMMYFUNCTION("""COMPUTED_VALUE"""),"TX")</f>
        <v>TX</v>
      </c>
      <c r="I1212" s="22">
        <f>IFERROR(__xludf.DUMMYFUNCTION("""COMPUTED_VALUE"""),75228.0)</f>
        <v>75228</v>
      </c>
      <c r="J1212" s="22"/>
      <c r="K1212" s="22"/>
      <c r="L1212" s="22"/>
      <c r="M1212" s="22"/>
      <c r="N1212" s="22"/>
      <c r="O1212" s="22"/>
      <c r="P1212" s="22"/>
      <c r="Q1212" s="22"/>
      <c r="R1212" s="22"/>
      <c r="S1212" s="22"/>
      <c r="T1212" s="22"/>
      <c r="U1212" s="24" t="str">
        <f>IFERROR(__xludf.DUMMYFUNCTION("SPLIT(E1212,""01234567890"")"),"Karen
")</f>
        <v>Karen
</v>
      </c>
      <c r="V1212" s="24" t="str">
        <f>IFERROR(__xludf.DUMMYFUNCTION("SPLIT(D1212,"","")"),"Newton")</f>
        <v>Newton</v>
      </c>
      <c r="W1212" s="25" t="str">
        <f t="shared" si="1"/>
        <v>KAREN
 NEWTON</v>
      </c>
      <c r="X1212" s="22"/>
      <c r="Y1212" s="22"/>
      <c r="Z1212" s="25" t="str">
        <f>IFERROR(__xludf.DUMMYFUNCTION("SPLIT(C1212,""
"")"),"Newton, Karen")</f>
        <v>Newton, Karen</v>
      </c>
      <c r="AA1212" s="22" t="str">
        <f>IFERROR(__xludf.DUMMYFUNCTION("""COMPUTED_VALUE"""),"10415 Fern Dr")</f>
        <v>10415 Fern Dr</v>
      </c>
      <c r="AB1212" s="22" t="str">
        <f>IFERROR(__xludf.DUMMYFUNCTION("""COMPUTED_VALUE"""),"Dallas, TX 75228")</f>
        <v>Dallas, TX 75228</v>
      </c>
      <c r="AC1212" s="31" t="s">
        <v>1489</v>
      </c>
      <c r="AD1212" s="22"/>
      <c r="AE1212" s="22"/>
      <c r="AF1212" s="22"/>
      <c r="AG1212" s="22" t="s">
        <v>60</v>
      </c>
      <c r="AH1212" s="54">
        <v>2486.0</v>
      </c>
      <c r="AI1212" s="22" t="s">
        <v>68</v>
      </c>
      <c r="AJ1212" s="27">
        <v>50.0</v>
      </c>
      <c r="AK1212" s="31" t="s">
        <v>24</v>
      </c>
      <c r="AL1212" s="28">
        <v>44893.0</v>
      </c>
      <c r="AM1212" s="29">
        <v>44942.42989583333</v>
      </c>
      <c r="AN1212" s="30">
        <v>2.0</v>
      </c>
      <c r="AO1212" s="22"/>
      <c r="AP1212" s="22"/>
      <c r="AQ1212" s="22"/>
      <c r="AR1212" s="22"/>
      <c r="AS1212" s="22"/>
      <c r="AT1212" s="70"/>
      <c r="AU1212" s="22"/>
      <c r="AV1212" s="57"/>
      <c r="AW1212" s="57"/>
      <c r="AX1212" s="70"/>
      <c r="AY1212" s="29"/>
      <c r="AZ1212" s="30"/>
      <c r="CU1212" s="55"/>
      <c r="CV1212" s="55"/>
      <c r="CW1212" s="55"/>
      <c r="CX1212" s="55"/>
      <c r="CY1212" s="55"/>
      <c r="CZ1212" s="55"/>
      <c r="DA1212" s="82"/>
      <c r="DB1212" s="55"/>
      <c r="DC1212" s="55"/>
      <c r="DD1212" s="55"/>
      <c r="DE1212" s="55"/>
      <c r="DF1212" s="55"/>
      <c r="DG1212" s="55"/>
      <c r="DH1212" s="55"/>
      <c r="DI1212" s="55"/>
      <c r="DJ1212" s="55"/>
      <c r="DK1212" s="55"/>
      <c r="DL1212" s="55"/>
      <c r="DM1212" s="55"/>
      <c r="DN1212" s="55"/>
      <c r="DO1212" s="55"/>
      <c r="DP1212" s="55"/>
      <c r="DQ1212" s="55"/>
      <c r="DR1212" s="55"/>
      <c r="DS1212" s="55"/>
      <c r="DT1212" s="55"/>
      <c r="DU1212" s="55"/>
      <c r="DV1212" s="55"/>
      <c r="DW1212" s="55"/>
    </row>
    <row r="1213">
      <c r="A1213" s="41" t="s">
        <v>64</v>
      </c>
      <c r="B1213" s="41" t="s">
        <v>56</v>
      </c>
      <c r="C1213" s="31" t="s">
        <v>2681</v>
      </c>
      <c r="D1213" s="25" t="str">
        <f>IFERROR(__xludf.DUMMYFUNCTION("SPLIT(C1213,"" "")"),"Conner,")</f>
        <v>Conner,</v>
      </c>
      <c r="E1213" s="40" t="str">
        <f>IFERROR(__xludf.DUMMYFUNCTION("""COMPUTED_VALUE"""),"Terry
7110")</f>
        <v>Terry
7110</v>
      </c>
      <c r="F1213" s="40" t="str">
        <f>IFERROR(__xludf.DUMMYFUNCTION("""COMPUTED_VALUE"""),"Lakewood")</f>
        <v>Lakewood</v>
      </c>
      <c r="G1213" s="40" t="str">
        <f>IFERROR(__xludf.DUMMYFUNCTION("""COMPUTED_VALUE"""),"Boulevard
Dallas,")</f>
        <v>Boulevard
Dallas,</v>
      </c>
      <c r="H1213" s="40" t="str">
        <f>IFERROR(__xludf.DUMMYFUNCTION("""COMPUTED_VALUE"""),"TX")</f>
        <v>TX</v>
      </c>
      <c r="I1213" s="40">
        <f>IFERROR(__xludf.DUMMYFUNCTION("""COMPUTED_VALUE"""),75214.0)</f>
        <v>75214</v>
      </c>
      <c r="J1213" s="40"/>
      <c r="K1213" s="40"/>
      <c r="L1213" s="40"/>
      <c r="M1213" s="40"/>
      <c r="N1213" s="40"/>
      <c r="O1213" s="40"/>
      <c r="P1213" s="40"/>
      <c r="Q1213" s="40"/>
      <c r="R1213" s="40"/>
      <c r="S1213" s="40"/>
      <c r="T1213" s="40"/>
      <c r="U1213" s="24" t="str">
        <f>IFERROR(__xludf.DUMMYFUNCTION("SPLIT(E1213,""01234567890"")"),"Terry
")</f>
        <v>Terry
</v>
      </c>
      <c r="V1213" s="24" t="str">
        <f>IFERROR(__xludf.DUMMYFUNCTION("SPLIT(D1213,"","")"),"Conner")</f>
        <v>Conner</v>
      </c>
      <c r="W1213" s="25" t="str">
        <f t="shared" si="1"/>
        <v>TERRY
 CONNER</v>
      </c>
      <c r="X1213" s="40"/>
      <c r="Y1213" s="40"/>
      <c r="Z1213" s="25" t="str">
        <f>IFERROR(__xludf.DUMMYFUNCTION("SPLIT(C1213,""
"")"),"Conner, Terry")</f>
        <v>Conner, Terry</v>
      </c>
      <c r="AA1213" s="40" t="str">
        <f>IFERROR(__xludf.DUMMYFUNCTION("""COMPUTED_VALUE"""),"7110 Lakewood Boulevard")</f>
        <v>7110 Lakewood Boulevard</v>
      </c>
      <c r="AB1213" s="40" t="str">
        <f>IFERROR(__xludf.DUMMYFUNCTION("""COMPUTED_VALUE"""),"Dallas, TX 75214")</f>
        <v>Dallas, TX 75214</v>
      </c>
      <c r="AC1213" s="31" t="s">
        <v>1391</v>
      </c>
      <c r="AD1213" s="40"/>
      <c r="AE1213" s="40"/>
      <c r="AF1213" s="40"/>
      <c r="AG1213" s="40" t="s">
        <v>60</v>
      </c>
      <c r="AH1213" s="42">
        <v>2486.0</v>
      </c>
      <c r="AI1213" s="40" t="s">
        <v>68</v>
      </c>
      <c r="AJ1213" s="27">
        <v>250.0</v>
      </c>
      <c r="AK1213" s="31" t="s">
        <v>24</v>
      </c>
      <c r="AL1213" s="43">
        <v>44893.0</v>
      </c>
      <c r="AM1213" s="44">
        <v>44942.42989583333</v>
      </c>
      <c r="AN1213" s="30">
        <v>2.0</v>
      </c>
      <c r="AO1213" s="40"/>
      <c r="AP1213" s="40"/>
      <c r="AQ1213" s="40"/>
      <c r="AR1213" s="40"/>
      <c r="AS1213" s="40"/>
      <c r="AT1213" s="47"/>
      <c r="AU1213" s="40"/>
      <c r="AV1213" s="46"/>
      <c r="AW1213" s="46"/>
      <c r="AX1213" s="47"/>
      <c r="AY1213" s="44"/>
      <c r="AZ1213" s="30"/>
      <c r="CU1213" s="55"/>
      <c r="CV1213" s="55"/>
      <c r="CW1213" s="55"/>
      <c r="CX1213" s="55"/>
      <c r="CY1213" s="55"/>
      <c r="CZ1213" s="55"/>
      <c r="DA1213" s="82"/>
      <c r="DB1213" s="55"/>
      <c r="DC1213" s="55"/>
      <c r="DD1213" s="55"/>
      <c r="DE1213" s="55"/>
      <c r="DF1213" s="55"/>
      <c r="DG1213" s="55"/>
      <c r="DH1213" s="55"/>
      <c r="DI1213" s="55"/>
      <c r="DJ1213" s="55"/>
      <c r="DK1213" s="55"/>
      <c r="DL1213" s="55"/>
      <c r="DM1213" s="55"/>
      <c r="DN1213" s="55"/>
      <c r="DO1213" s="55"/>
      <c r="DP1213" s="55"/>
      <c r="DQ1213" s="55"/>
      <c r="DR1213" s="55"/>
      <c r="DS1213" s="55"/>
      <c r="DT1213" s="55"/>
      <c r="DU1213" s="55"/>
      <c r="DV1213" s="55"/>
      <c r="DW1213" s="55"/>
    </row>
    <row r="1214">
      <c r="A1214" s="23" t="s">
        <v>64</v>
      </c>
      <c r="B1214" s="23" t="s">
        <v>56</v>
      </c>
      <c r="C1214" s="31" t="s">
        <v>2682</v>
      </c>
      <c r="D1214" s="25" t="str">
        <f>IFERROR(__xludf.DUMMYFUNCTION("SPLIT(C1214,"" "")"),"HBA")</f>
        <v>HBA</v>
      </c>
      <c r="E1214" s="22" t="str">
        <f>IFERROR(__xludf.DUMMYFUNCTION("""COMPUTED_VALUE"""),"of")</f>
        <v>of</v>
      </c>
      <c r="F1214" s="22" t="str">
        <f>IFERROR(__xludf.DUMMYFUNCTION("""COMPUTED_VALUE"""),"Greater")</f>
        <v>Greater</v>
      </c>
      <c r="G1214" s="22" t="str">
        <f>IFERROR(__xludf.DUMMYFUNCTION("""COMPUTED_VALUE"""),"Dallas")</f>
        <v>Dallas</v>
      </c>
      <c r="H1214" s="22" t="str">
        <f>IFERROR(__xludf.DUMMYFUNCTION("""COMPUTED_VALUE"""),"HOME")</f>
        <v>HOME</v>
      </c>
      <c r="I1214" s="22" t="str">
        <f>IFERROR(__xludf.DUMMYFUNCTION("""COMPUTED_VALUE"""),"PAC
5816")</f>
        <v>PAC
5816</v>
      </c>
      <c r="J1214" s="22" t="str">
        <f>IFERROR(__xludf.DUMMYFUNCTION("""COMPUTED_VALUE"""),"West")</f>
        <v>West</v>
      </c>
      <c r="K1214" s="22" t="str">
        <f>IFERROR(__xludf.DUMMYFUNCTION("""COMPUTED_VALUE"""),"Plano")</f>
        <v>Plano</v>
      </c>
      <c r="L1214" s="22" t="str">
        <f>IFERROR(__xludf.DUMMYFUNCTION("""COMPUTED_VALUE"""),"Pkwy
Plano,")</f>
        <v>Pkwy
Plano,</v>
      </c>
      <c r="M1214" s="22" t="str">
        <f>IFERROR(__xludf.DUMMYFUNCTION("""COMPUTED_VALUE"""),"TX")</f>
        <v>TX</v>
      </c>
      <c r="N1214" s="22">
        <f>IFERROR(__xludf.DUMMYFUNCTION("""COMPUTED_VALUE"""),75093.0)</f>
        <v>75093</v>
      </c>
      <c r="O1214" s="22"/>
      <c r="P1214" s="22"/>
      <c r="Q1214" s="22"/>
      <c r="R1214" s="22"/>
      <c r="S1214" s="22"/>
      <c r="T1214" s="22"/>
      <c r="U1214" s="24" t="str">
        <f>IFERROR(__xludf.DUMMYFUNCTION("SPLIT(E1214,""01234567890"")"),"of")</f>
        <v>of</v>
      </c>
      <c r="V1214" s="24" t="str">
        <f>IFERROR(__xludf.DUMMYFUNCTION("SPLIT(D1214,"","")"),"HBA")</f>
        <v>HBA</v>
      </c>
      <c r="W1214" s="25" t="str">
        <f t="shared" si="1"/>
        <v>OF HBA</v>
      </c>
      <c r="X1214" s="22"/>
      <c r="Y1214" s="22"/>
      <c r="Z1214" s="25" t="str">
        <f>IFERROR(__xludf.DUMMYFUNCTION("SPLIT(C1214,""
"")"),"HBA of Greater Dallas HOME PAC")</f>
        <v>HBA of Greater Dallas HOME PAC</v>
      </c>
      <c r="AA1214" s="22" t="str">
        <f>IFERROR(__xludf.DUMMYFUNCTION("""COMPUTED_VALUE"""),"5816 West Plano Pkwy")</f>
        <v>5816 West Plano Pkwy</v>
      </c>
      <c r="AB1214" s="22" t="str">
        <f>IFERROR(__xludf.DUMMYFUNCTION("""COMPUTED_VALUE"""),"Plano, TX 75093")</f>
        <v>Plano, TX 75093</v>
      </c>
      <c r="AC1214" s="31" t="s">
        <v>2683</v>
      </c>
      <c r="AD1214" s="22"/>
      <c r="AE1214" s="22"/>
      <c r="AF1214" s="22"/>
      <c r="AG1214" s="22" t="s">
        <v>60</v>
      </c>
      <c r="AH1214" s="54">
        <v>2486.0</v>
      </c>
      <c r="AI1214" s="22" t="s">
        <v>68</v>
      </c>
      <c r="AJ1214" s="27">
        <v>2500.0</v>
      </c>
      <c r="AK1214" s="31" t="s">
        <v>24</v>
      </c>
      <c r="AL1214" s="28">
        <v>44893.0</v>
      </c>
      <c r="AM1214" s="29">
        <v>44942.42989583333</v>
      </c>
      <c r="AN1214" s="30">
        <v>2.0</v>
      </c>
      <c r="AO1214" s="22"/>
      <c r="AP1214" s="22"/>
      <c r="AQ1214" s="22"/>
      <c r="AR1214" s="22"/>
      <c r="AS1214" s="22"/>
      <c r="AT1214" s="70"/>
      <c r="AU1214" s="22"/>
      <c r="AV1214" s="57"/>
      <c r="AW1214" s="57"/>
      <c r="AX1214" s="70"/>
      <c r="AY1214" s="29"/>
      <c r="AZ1214" s="30"/>
      <c r="CU1214" s="55"/>
      <c r="CV1214" s="55"/>
      <c r="CW1214" s="55"/>
      <c r="CX1214" s="55"/>
      <c r="CY1214" s="55"/>
      <c r="CZ1214" s="55"/>
      <c r="DA1214" s="82"/>
      <c r="DB1214" s="55"/>
      <c r="DC1214" s="55"/>
      <c r="DD1214" s="55"/>
      <c r="DE1214" s="55"/>
      <c r="DF1214" s="55"/>
      <c r="DG1214" s="55"/>
      <c r="DH1214" s="55"/>
      <c r="DI1214" s="55"/>
      <c r="DJ1214" s="55"/>
      <c r="DK1214" s="55"/>
      <c r="DL1214" s="55"/>
      <c r="DM1214" s="55"/>
      <c r="DN1214" s="55"/>
      <c r="DO1214" s="55"/>
      <c r="DP1214" s="55"/>
      <c r="DQ1214" s="55"/>
      <c r="DR1214" s="55"/>
      <c r="DS1214" s="55"/>
      <c r="DT1214" s="55"/>
      <c r="DU1214" s="55"/>
      <c r="DV1214" s="55"/>
      <c r="DW1214" s="55"/>
    </row>
    <row r="1215">
      <c r="A1215" s="41" t="s">
        <v>64</v>
      </c>
      <c r="B1215" s="41" t="s">
        <v>56</v>
      </c>
      <c r="C1215" s="31" t="s">
        <v>2684</v>
      </c>
      <c r="D1215" s="25" t="str">
        <f>IFERROR(__xludf.DUMMYFUNCTION("SPLIT(C1215,"" "")"),"Pouland,")</f>
        <v>Pouland,</v>
      </c>
      <c r="E1215" s="40" t="str">
        <f>IFERROR(__xludf.DUMMYFUNCTION("""COMPUTED_VALUE"""),"John
345")</f>
        <v>John
345</v>
      </c>
      <c r="F1215" s="40" t="str">
        <f>IFERROR(__xludf.DUMMYFUNCTION("""COMPUTED_VALUE"""),"Patriot")</f>
        <v>Patriot</v>
      </c>
      <c r="G1215" s="40" t="str">
        <f>IFERROR(__xludf.DUMMYFUNCTION("""COMPUTED_VALUE"""),"Drive
Buda,")</f>
        <v>Drive
Buda,</v>
      </c>
      <c r="H1215" s="40" t="str">
        <f>IFERROR(__xludf.DUMMYFUNCTION("""COMPUTED_VALUE"""),"TX")</f>
        <v>TX</v>
      </c>
      <c r="I1215" s="40">
        <f>IFERROR(__xludf.DUMMYFUNCTION("""COMPUTED_VALUE"""),78610.0)</f>
        <v>78610</v>
      </c>
      <c r="J1215" s="40"/>
      <c r="K1215" s="40"/>
      <c r="L1215" s="40"/>
      <c r="M1215" s="40"/>
      <c r="N1215" s="40"/>
      <c r="O1215" s="40"/>
      <c r="P1215" s="40"/>
      <c r="Q1215" s="40"/>
      <c r="R1215" s="40"/>
      <c r="S1215" s="40"/>
      <c r="T1215" s="40"/>
      <c r="U1215" s="24" t="str">
        <f>IFERROR(__xludf.DUMMYFUNCTION("SPLIT(E1215,""01234567890"")"),"John
")</f>
        <v>John
</v>
      </c>
      <c r="V1215" s="24" t="str">
        <f>IFERROR(__xludf.DUMMYFUNCTION("SPLIT(D1215,"","")"),"Pouland")</f>
        <v>Pouland</v>
      </c>
      <c r="W1215" s="25" t="str">
        <f t="shared" si="1"/>
        <v>JOHN
 POULAND</v>
      </c>
      <c r="X1215" s="40"/>
      <c r="Y1215" s="40"/>
      <c r="Z1215" s="25" t="str">
        <f>IFERROR(__xludf.DUMMYFUNCTION("SPLIT(C1215,""
"")"),"Pouland, John")</f>
        <v>Pouland, John</v>
      </c>
      <c r="AA1215" s="40" t="str">
        <f>IFERROR(__xludf.DUMMYFUNCTION("""COMPUTED_VALUE"""),"345 Patriot Drive")</f>
        <v>345 Patriot Drive</v>
      </c>
      <c r="AB1215" s="40" t="str">
        <f>IFERROR(__xludf.DUMMYFUNCTION("""COMPUTED_VALUE"""),"Buda, TX 78610")</f>
        <v>Buda, TX 78610</v>
      </c>
      <c r="AC1215" s="31" t="s">
        <v>2685</v>
      </c>
      <c r="AD1215" s="40"/>
      <c r="AE1215" s="40"/>
      <c r="AF1215" s="40"/>
      <c r="AG1215" s="40" t="s">
        <v>60</v>
      </c>
      <c r="AH1215" s="42">
        <v>2486.0</v>
      </c>
      <c r="AI1215" s="40" t="s">
        <v>68</v>
      </c>
      <c r="AJ1215" s="27">
        <v>250.0</v>
      </c>
      <c r="AK1215" s="31" t="s">
        <v>24</v>
      </c>
      <c r="AL1215" s="43">
        <v>44894.0</v>
      </c>
      <c r="AM1215" s="44">
        <v>44942.42989583333</v>
      </c>
      <c r="AN1215" s="30">
        <v>2.0</v>
      </c>
      <c r="AO1215" s="40"/>
      <c r="AP1215" s="40"/>
      <c r="AQ1215" s="40"/>
      <c r="AR1215" s="40"/>
      <c r="AS1215" s="40"/>
      <c r="AT1215" s="47"/>
      <c r="AU1215" s="40"/>
      <c r="AV1215" s="46"/>
      <c r="AW1215" s="46"/>
      <c r="AX1215" s="47"/>
      <c r="AY1215" s="44"/>
      <c r="AZ1215" s="30"/>
      <c r="CU1215" s="55"/>
      <c r="CV1215" s="55"/>
      <c r="CW1215" s="55"/>
      <c r="CX1215" s="55"/>
      <c r="CY1215" s="55"/>
      <c r="CZ1215" s="55"/>
      <c r="DA1215" s="82"/>
      <c r="DB1215" s="55"/>
      <c r="DC1215" s="55"/>
      <c r="DD1215" s="55"/>
      <c r="DE1215" s="55"/>
      <c r="DF1215" s="55"/>
      <c r="DG1215" s="55"/>
      <c r="DH1215" s="55"/>
      <c r="DI1215" s="55"/>
      <c r="DJ1215" s="55"/>
      <c r="DK1215" s="55"/>
      <c r="DL1215" s="55"/>
      <c r="DM1215" s="55"/>
      <c r="DN1215" s="55"/>
      <c r="DO1215" s="55"/>
      <c r="DP1215" s="55"/>
      <c r="DQ1215" s="55"/>
      <c r="DR1215" s="55"/>
      <c r="DS1215" s="55"/>
      <c r="DT1215" s="55"/>
      <c r="DU1215" s="55"/>
      <c r="DV1215" s="55"/>
      <c r="DW1215" s="55"/>
    </row>
    <row r="1216">
      <c r="A1216" s="23" t="s">
        <v>64</v>
      </c>
      <c r="B1216" s="23" t="s">
        <v>56</v>
      </c>
      <c r="C1216" s="31" t="s">
        <v>2686</v>
      </c>
      <c r="D1216" s="25" t="str">
        <f>IFERROR(__xludf.DUMMYFUNCTION("SPLIT(C1216,"" "")"),"Dawson")</f>
        <v>Dawson</v>
      </c>
      <c r="E1216" s="22" t="str">
        <f>IFERROR(__xludf.DUMMYFUNCTION("""COMPUTED_VALUE"""),"Thompson,")</f>
        <v>Thompson,</v>
      </c>
      <c r="F1216" s="22" t="str">
        <f>IFERROR(__xludf.DUMMYFUNCTION("""COMPUTED_VALUE"""),"Roslyn
2")</f>
        <v>Roslyn
2</v>
      </c>
      <c r="G1216" s="22" t="str">
        <f>IFERROR(__xludf.DUMMYFUNCTION("""COMPUTED_VALUE"""),"Botsford")</f>
        <v>Botsford</v>
      </c>
      <c r="H1216" s="22" t="str">
        <f>IFERROR(__xludf.DUMMYFUNCTION("""COMPUTED_VALUE"""),"Court
Dallas,")</f>
        <v>Court
Dallas,</v>
      </c>
      <c r="I1216" s="22" t="str">
        <f>IFERROR(__xludf.DUMMYFUNCTION("""COMPUTED_VALUE"""),"TX")</f>
        <v>TX</v>
      </c>
      <c r="J1216" s="22">
        <f>IFERROR(__xludf.DUMMYFUNCTION("""COMPUTED_VALUE"""),75225.0)</f>
        <v>75225</v>
      </c>
      <c r="K1216" s="22"/>
      <c r="L1216" s="22"/>
      <c r="M1216" s="22"/>
      <c r="N1216" s="22"/>
      <c r="O1216" s="22"/>
      <c r="P1216" s="22"/>
      <c r="Q1216" s="22"/>
      <c r="R1216" s="22"/>
      <c r="S1216" s="22"/>
      <c r="T1216" s="22"/>
      <c r="U1216" s="24" t="str">
        <f>IFERROR(__xludf.DUMMYFUNCTION("SPLIT(E1216,""01234567890"")"),"Thompson,")</f>
        <v>Thompson,</v>
      </c>
      <c r="V1216" s="24" t="str">
        <f>IFERROR(__xludf.DUMMYFUNCTION("SPLIT(D1216,"","")"),"Dawson")</f>
        <v>Dawson</v>
      </c>
      <c r="W1216" s="25" t="str">
        <f t="shared" si="1"/>
        <v>THOMPSON, DAWSON</v>
      </c>
      <c r="X1216" s="22"/>
      <c r="Y1216" s="22"/>
      <c r="Z1216" s="25" t="str">
        <f>IFERROR(__xludf.DUMMYFUNCTION("SPLIT(C1216,""
"")"),"Dawson Thompson, Roslyn")</f>
        <v>Dawson Thompson, Roslyn</v>
      </c>
      <c r="AA1216" s="22" t="str">
        <f>IFERROR(__xludf.DUMMYFUNCTION("""COMPUTED_VALUE"""),"2 Botsford Court")</f>
        <v>2 Botsford Court</v>
      </c>
      <c r="AB1216" s="22" t="str">
        <f>IFERROR(__xludf.DUMMYFUNCTION("""COMPUTED_VALUE"""),"Dallas, TX 75225")</f>
        <v>Dallas, TX 75225</v>
      </c>
      <c r="AC1216" s="31" t="s">
        <v>2687</v>
      </c>
      <c r="AD1216" s="22"/>
      <c r="AE1216" s="22"/>
      <c r="AF1216" s="22"/>
      <c r="AG1216" s="22" t="s">
        <v>60</v>
      </c>
      <c r="AH1216" s="54">
        <v>2486.0</v>
      </c>
      <c r="AI1216" s="22" t="s">
        <v>68</v>
      </c>
      <c r="AJ1216" s="27">
        <v>100.0</v>
      </c>
      <c r="AK1216" s="31" t="s">
        <v>24</v>
      </c>
      <c r="AL1216" s="28">
        <v>44894.0</v>
      </c>
      <c r="AM1216" s="29">
        <v>44942.42989583333</v>
      </c>
      <c r="AN1216" s="30">
        <v>2.0</v>
      </c>
      <c r="AO1216" s="22"/>
      <c r="AP1216" s="22"/>
      <c r="AQ1216" s="22"/>
      <c r="AR1216" s="22"/>
      <c r="AS1216" s="22"/>
      <c r="AT1216" s="70"/>
      <c r="AU1216" s="22"/>
      <c r="AV1216" s="57"/>
      <c r="AW1216" s="57"/>
      <c r="AX1216" s="70"/>
      <c r="AY1216" s="29"/>
      <c r="AZ1216" s="30"/>
      <c r="CU1216" s="55"/>
      <c r="CV1216" s="55"/>
      <c r="CW1216" s="55"/>
      <c r="CX1216" s="55"/>
      <c r="CY1216" s="55"/>
      <c r="CZ1216" s="55"/>
      <c r="DA1216" s="82"/>
      <c r="DB1216" s="55"/>
      <c r="DC1216" s="55"/>
      <c r="DD1216" s="55"/>
      <c r="DE1216" s="55"/>
      <c r="DF1216" s="55"/>
      <c r="DG1216" s="55"/>
      <c r="DH1216" s="55"/>
      <c r="DI1216" s="55"/>
      <c r="DJ1216" s="55"/>
      <c r="DK1216" s="55"/>
      <c r="DL1216" s="55"/>
      <c r="DM1216" s="55"/>
      <c r="DN1216" s="55"/>
      <c r="DO1216" s="55"/>
      <c r="DP1216" s="55"/>
      <c r="DQ1216" s="55"/>
      <c r="DR1216" s="55"/>
      <c r="DS1216" s="55"/>
      <c r="DT1216" s="55"/>
      <c r="DU1216" s="55"/>
      <c r="DV1216" s="55"/>
      <c r="DW1216" s="55"/>
    </row>
    <row r="1217">
      <c r="A1217" s="41" t="s">
        <v>64</v>
      </c>
      <c r="B1217" s="41" t="s">
        <v>56</v>
      </c>
      <c r="C1217" s="31" t="s">
        <v>2688</v>
      </c>
      <c r="D1217" s="25" t="str">
        <f>IFERROR(__xludf.DUMMYFUNCTION("SPLIT(C1217,"" "")"),"Saab,")</f>
        <v>Saab,</v>
      </c>
      <c r="E1217" s="40" t="str">
        <f>IFERROR(__xludf.DUMMYFUNCTION("""COMPUTED_VALUE"""),"Elizabeth
7344")</f>
        <v>Elizabeth
7344</v>
      </c>
      <c r="F1217" s="40" t="str">
        <f>IFERROR(__xludf.DUMMYFUNCTION("""COMPUTED_VALUE"""),"Edgerton")</f>
        <v>Edgerton</v>
      </c>
      <c r="G1217" s="40" t="str">
        <f>IFERROR(__xludf.DUMMYFUNCTION("""COMPUTED_VALUE"""),"Drive
Dallas,")</f>
        <v>Drive
Dallas,</v>
      </c>
      <c r="H1217" s="40" t="str">
        <f>IFERROR(__xludf.DUMMYFUNCTION("""COMPUTED_VALUE"""),"TX")</f>
        <v>TX</v>
      </c>
      <c r="I1217" s="40">
        <f>IFERROR(__xludf.DUMMYFUNCTION("""COMPUTED_VALUE"""),75231.0)</f>
        <v>75231</v>
      </c>
      <c r="J1217" s="40"/>
      <c r="K1217" s="40"/>
      <c r="L1217" s="40"/>
      <c r="M1217" s="40"/>
      <c r="N1217" s="40"/>
      <c r="O1217" s="40"/>
      <c r="P1217" s="40"/>
      <c r="Q1217" s="40"/>
      <c r="R1217" s="40"/>
      <c r="S1217" s="40"/>
      <c r="T1217" s="40"/>
      <c r="U1217" s="24" t="str">
        <f>IFERROR(__xludf.DUMMYFUNCTION("SPLIT(E1217,""01234567890"")"),"Elizabeth
")</f>
        <v>Elizabeth
</v>
      </c>
      <c r="V1217" s="24" t="str">
        <f>IFERROR(__xludf.DUMMYFUNCTION("SPLIT(D1217,"","")"),"Saab")</f>
        <v>Saab</v>
      </c>
      <c r="W1217" s="25" t="str">
        <f t="shared" si="1"/>
        <v>ELIZABETH
 SAAB</v>
      </c>
      <c r="X1217" s="40"/>
      <c r="Y1217" s="40"/>
      <c r="Z1217" s="25" t="str">
        <f>IFERROR(__xludf.DUMMYFUNCTION("SPLIT(C1217,""
"")"),"Saab, Elizabeth")</f>
        <v>Saab, Elizabeth</v>
      </c>
      <c r="AA1217" s="40" t="str">
        <f>IFERROR(__xludf.DUMMYFUNCTION("""COMPUTED_VALUE"""),"7344 Edgerton Drive")</f>
        <v>7344 Edgerton Drive</v>
      </c>
      <c r="AB1217" s="40" t="str">
        <f>IFERROR(__xludf.DUMMYFUNCTION("""COMPUTED_VALUE"""),"Dallas, TX 75231")</f>
        <v>Dallas, TX 75231</v>
      </c>
      <c r="AC1217" s="31" t="s">
        <v>2689</v>
      </c>
      <c r="AD1217" s="40"/>
      <c r="AE1217" s="40"/>
      <c r="AF1217" s="40"/>
      <c r="AG1217" s="40" t="s">
        <v>60</v>
      </c>
      <c r="AH1217" s="42">
        <v>2486.0</v>
      </c>
      <c r="AI1217" s="40" t="s">
        <v>68</v>
      </c>
      <c r="AJ1217" s="27">
        <v>100.0</v>
      </c>
      <c r="AK1217" s="31" t="s">
        <v>24</v>
      </c>
      <c r="AL1217" s="43">
        <v>44897.0</v>
      </c>
      <c r="AM1217" s="44">
        <v>44942.42989583333</v>
      </c>
      <c r="AN1217" s="30">
        <v>2.0</v>
      </c>
      <c r="AO1217" s="40"/>
      <c r="AP1217" s="40"/>
      <c r="AQ1217" s="40"/>
      <c r="AR1217" s="40"/>
      <c r="AS1217" s="40"/>
      <c r="AT1217" s="47"/>
      <c r="AU1217" s="40"/>
      <c r="AV1217" s="46"/>
      <c r="AW1217" s="46"/>
      <c r="AX1217" s="47"/>
      <c r="AY1217" s="44"/>
      <c r="AZ1217" s="30"/>
      <c r="CU1217" s="55"/>
      <c r="CV1217" s="55"/>
      <c r="CW1217" s="55"/>
      <c r="CX1217" s="55"/>
      <c r="CY1217" s="55"/>
      <c r="CZ1217" s="55"/>
      <c r="DA1217" s="82"/>
      <c r="DB1217" s="55"/>
      <c r="DC1217" s="55"/>
      <c r="DD1217" s="55"/>
      <c r="DE1217" s="55"/>
      <c r="DF1217" s="55"/>
      <c r="DG1217" s="55"/>
      <c r="DH1217" s="55"/>
      <c r="DI1217" s="55"/>
      <c r="DJ1217" s="55"/>
      <c r="DK1217" s="55"/>
      <c r="DL1217" s="55"/>
      <c r="DM1217" s="55"/>
      <c r="DN1217" s="55"/>
      <c r="DO1217" s="55"/>
      <c r="DP1217" s="55"/>
      <c r="DQ1217" s="55"/>
      <c r="DR1217" s="55"/>
      <c r="DS1217" s="55"/>
      <c r="DT1217" s="55"/>
      <c r="DU1217" s="55"/>
      <c r="DV1217" s="55"/>
      <c r="DW1217" s="55"/>
    </row>
    <row r="1218">
      <c r="A1218" s="23" t="s">
        <v>64</v>
      </c>
      <c r="B1218" s="23" t="s">
        <v>56</v>
      </c>
      <c r="C1218" s="31" t="s">
        <v>2690</v>
      </c>
      <c r="D1218" s="25" t="str">
        <f>IFERROR(__xludf.DUMMYFUNCTION("SPLIT(C1218,"" "")"),"Grant,")</f>
        <v>Grant,</v>
      </c>
      <c r="E1218" s="22" t="str">
        <f>IFERROR(__xludf.DUMMYFUNCTION("""COMPUTED_VALUE"""),"Joseph
4305")</f>
        <v>Joseph
4305</v>
      </c>
      <c r="F1218" s="22" t="str">
        <f>IFERROR(__xludf.DUMMYFUNCTION("""COMPUTED_VALUE"""),"Overhill
Dallas,")</f>
        <v>Overhill
Dallas,</v>
      </c>
      <c r="G1218" s="22" t="str">
        <f>IFERROR(__xludf.DUMMYFUNCTION("""COMPUTED_VALUE"""),"TX")</f>
        <v>TX</v>
      </c>
      <c r="H1218" s="22">
        <f>IFERROR(__xludf.DUMMYFUNCTION("""COMPUTED_VALUE"""),75205.0)</f>
        <v>75205</v>
      </c>
      <c r="I1218" s="22"/>
      <c r="J1218" s="22"/>
      <c r="K1218" s="22"/>
      <c r="L1218" s="22"/>
      <c r="M1218" s="22"/>
      <c r="N1218" s="22"/>
      <c r="O1218" s="22"/>
      <c r="P1218" s="22"/>
      <c r="Q1218" s="22"/>
      <c r="R1218" s="22"/>
      <c r="S1218" s="22"/>
      <c r="T1218" s="22"/>
      <c r="U1218" s="24" t="str">
        <f>IFERROR(__xludf.DUMMYFUNCTION("SPLIT(E1218,""01234567890"")"),"Joseph
")</f>
        <v>Joseph
</v>
      </c>
      <c r="V1218" s="24" t="str">
        <f>IFERROR(__xludf.DUMMYFUNCTION("SPLIT(D1218,"","")"),"Grant")</f>
        <v>Grant</v>
      </c>
      <c r="W1218" s="25" t="str">
        <f t="shared" si="1"/>
        <v>JOSEPH
 GRANT</v>
      </c>
      <c r="X1218" s="22"/>
      <c r="Y1218" s="22"/>
      <c r="Z1218" s="25" t="str">
        <f>IFERROR(__xludf.DUMMYFUNCTION("SPLIT(C1218,""
"")"),"Grant, Joseph")</f>
        <v>Grant, Joseph</v>
      </c>
      <c r="AA1218" s="22" t="str">
        <f>IFERROR(__xludf.DUMMYFUNCTION("""COMPUTED_VALUE"""),"4305 Overhill")</f>
        <v>4305 Overhill</v>
      </c>
      <c r="AB1218" s="22" t="str">
        <f>IFERROR(__xludf.DUMMYFUNCTION("""COMPUTED_VALUE"""),"Dallas, TX 75205")</f>
        <v>Dallas, TX 75205</v>
      </c>
      <c r="AC1218" s="31" t="s">
        <v>2691</v>
      </c>
      <c r="AD1218" s="22"/>
      <c r="AE1218" s="22"/>
      <c r="AF1218" s="22"/>
      <c r="AG1218" s="22" t="s">
        <v>60</v>
      </c>
      <c r="AH1218" s="54">
        <v>2486.0</v>
      </c>
      <c r="AI1218" s="22" t="s">
        <v>68</v>
      </c>
      <c r="AJ1218" s="27">
        <v>500.0</v>
      </c>
      <c r="AK1218" s="31" t="s">
        <v>24</v>
      </c>
      <c r="AL1218" s="28">
        <v>44897.0</v>
      </c>
      <c r="AM1218" s="29">
        <v>44942.42989583333</v>
      </c>
      <c r="AN1218" s="30">
        <v>2.0</v>
      </c>
      <c r="AO1218" s="22"/>
      <c r="AP1218" s="22"/>
      <c r="AQ1218" s="22"/>
      <c r="AR1218" s="22"/>
      <c r="AS1218" s="22"/>
      <c r="AT1218" s="70"/>
      <c r="AU1218" s="22"/>
      <c r="AV1218" s="57"/>
      <c r="AW1218" s="57"/>
      <c r="AX1218" s="70"/>
      <c r="AY1218" s="29"/>
      <c r="AZ1218" s="30"/>
      <c r="CU1218" s="55"/>
      <c r="CV1218" s="55"/>
      <c r="CW1218" s="55"/>
      <c r="CX1218" s="55"/>
      <c r="CY1218" s="55"/>
      <c r="CZ1218" s="55"/>
      <c r="DA1218" s="82"/>
      <c r="DB1218" s="55"/>
      <c r="DC1218" s="55"/>
      <c r="DD1218" s="55"/>
      <c r="DE1218" s="55"/>
      <c r="DF1218" s="55"/>
      <c r="DG1218" s="55"/>
      <c r="DH1218" s="55"/>
      <c r="DI1218" s="55"/>
      <c r="DJ1218" s="55"/>
      <c r="DK1218" s="55"/>
      <c r="DL1218" s="55"/>
      <c r="DM1218" s="55"/>
      <c r="DN1218" s="55"/>
      <c r="DO1218" s="55"/>
      <c r="DP1218" s="55"/>
      <c r="DQ1218" s="55"/>
      <c r="DR1218" s="55"/>
      <c r="DS1218" s="55"/>
      <c r="DT1218" s="55"/>
      <c r="DU1218" s="55"/>
      <c r="DV1218" s="55"/>
      <c r="DW1218" s="55"/>
    </row>
    <row r="1219">
      <c r="A1219" s="41" t="s">
        <v>64</v>
      </c>
      <c r="B1219" s="41" t="s">
        <v>56</v>
      </c>
      <c r="C1219" s="31" t="s">
        <v>2692</v>
      </c>
      <c r="D1219" s="25" t="str">
        <f>IFERROR(__xludf.DUMMYFUNCTION("SPLIT(C1219,"" "")"),"Mason,")</f>
        <v>Mason,</v>
      </c>
      <c r="E1219" s="40" t="str">
        <f>IFERROR(__xludf.DUMMYFUNCTION("""COMPUTED_VALUE"""),"George
6821")</f>
        <v>George
6821</v>
      </c>
      <c r="F1219" s="40" t="str">
        <f>IFERROR(__xludf.DUMMYFUNCTION("""COMPUTED_VALUE"""),"Carolyncrest")</f>
        <v>Carolyncrest</v>
      </c>
      <c r="G1219" s="40" t="str">
        <f>IFERROR(__xludf.DUMMYFUNCTION("""COMPUTED_VALUE"""),"Dr
Dallas,")</f>
        <v>Dr
Dallas,</v>
      </c>
      <c r="H1219" s="40" t="str">
        <f>IFERROR(__xludf.DUMMYFUNCTION("""COMPUTED_VALUE"""),"TX")</f>
        <v>TX</v>
      </c>
      <c r="I1219" s="40">
        <f>IFERROR(__xludf.DUMMYFUNCTION("""COMPUTED_VALUE"""),75214.0)</f>
        <v>75214</v>
      </c>
      <c r="J1219" s="40"/>
      <c r="K1219" s="40"/>
      <c r="L1219" s="40"/>
      <c r="M1219" s="40"/>
      <c r="N1219" s="40"/>
      <c r="O1219" s="40"/>
      <c r="P1219" s="40"/>
      <c r="Q1219" s="40"/>
      <c r="R1219" s="40"/>
      <c r="S1219" s="40"/>
      <c r="T1219" s="40"/>
      <c r="U1219" s="24" t="str">
        <f>IFERROR(__xludf.DUMMYFUNCTION("SPLIT(E1219,""01234567890"")"),"George
")</f>
        <v>George
</v>
      </c>
      <c r="V1219" s="24" t="str">
        <f>IFERROR(__xludf.DUMMYFUNCTION("SPLIT(D1219,"","")"),"Mason")</f>
        <v>Mason</v>
      </c>
      <c r="W1219" s="25" t="str">
        <f t="shared" si="1"/>
        <v>GEORGE
 MASON</v>
      </c>
      <c r="X1219" s="40"/>
      <c r="Y1219" s="40"/>
      <c r="Z1219" s="25" t="str">
        <f>IFERROR(__xludf.DUMMYFUNCTION("SPLIT(C1219,""
"")"),"Mason, George")</f>
        <v>Mason, George</v>
      </c>
      <c r="AA1219" s="40" t="str">
        <f>IFERROR(__xludf.DUMMYFUNCTION("""COMPUTED_VALUE"""),"6821 Carolyncrest Dr")</f>
        <v>6821 Carolyncrest Dr</v>
      </c>
      <c r="AB1219" s="40" t="str">
        <f>IFERROR(__xludf.DUMMYFUNCTION("""COMPUTED_VALUE"""),"Dallas, TX 75214")</f>
        <v>Dallas, TX 75214</v>
      </c>
      <c r="AC1219" s="31" t="s">
        <v>1362</v>
      </c>
      <c r="AD1219" s="40"/>
      <c r="AE1219" s="40"/>
      <c r="AF1219" s="40"/>
      <c r="AG1219" s="40" t="s">
        <v>60</v>
      </c>
      <c r="AH1219" s="42">
        <v>2486.0</v>
      </c>
      <c r="AI1219" s="40" t="s">
        <v>68</v>
      </c>
      <c r="AJ1219" s="27">
        <v>100.0</v>
      </c>
      <c r="AK1219" s="31" t="s">
        <v>24</v>
      </c>
      <c r="AL1219" s="43">
        <v>44898.0</v>
      </c>
      <c r="AM1219" s="44">
        <v>44942.42989583333</v>
      </c>
      <c r="AN1219" s="30">
        <v>2.0</v>
      </c>
      <c r="AO1219" s="40"/>
      <c r="AP1219" s="40"/>
      <c r="AQ1219" s="40"/>
      <c r="AR1219" s="40"/>
      <c r="AS1219" s="40"/>
      <c r="AT1219" s="47"/>
      <c r="AU1219" s="40"/>
      <c r="AV1219" s="46"/>
      <c r="AW1219" s="46"/>
      <c r="AX1219" s="47"/>
      <c r="AY1219" s="44"/>
      <c r="AZ1219" s="30"/>
      <c r="CU1219" s="55"/>
      <c r="CV1219" s="55"/>
      <c r="CW1219" s="55"/>
      <c r="CX1219" s="55"/>
      <c r="CY1219" s="55"/>
      <c r="CZ1219" s="55"/>
      <c r="DA1219" s="82"/>
      <c r="DB1219" s="55"/>
      <c r="DC1219" s="55"/>
      <c r="DD1219" s="55"/>
      <c r="DE1219" s="55"/>
      <c r="DF1219" s="55"/>
      <c r="DG1219" s="55"/>
      <c r="DH1219" s="55"/>
      <c r="DI1219" s="55"/>
      <c r="DJ1219" s="55"/>
      <c r="DK1219" s="55"/>
      <c r="DL1219" s="55"/>
      <c r="DM1219" s="55"/>
      <c r="DN1219" s="55"/>
      <c r="DO1219" s="55"/>
      <c r="DP1219" s="55"/>
      <c r="DQ1219" s="55"/>
      <c r="DR1219" s="55"/>
      <c r="DS1219" s="55"/>
      <c r="DT1219" s="55"/>
      <c r="DU1219" s="55"/>
      <c r="DV1219" s="55"/>
      <c r="DW1219" s="55"/>
    </row>
    <row r="1220">
      <c r="A1220" s="23" t="s">
        <v>64</v>
      </c>
      <c r="B1220" s="23" t="s">
        <v>56</v>
      </c>
      <c r="C1220" s="31" t="s">
        <v>2693</v>
      </c>
      <c r="D1220" s="25" t="str">
        <f>IFERROR(__xludf.DUMMYFUNCTION("SPLIT(C1220,"" "")"),"Ybarra,")</f>
        <v>Ybarra,</v>
      </c>
      <c r="E1220" s="22" t="str">
        <f>IFERROR(__xludf.DUMMYFUNCTION("""COMPUTED_VALUE"""),"Manny
2390")</f>
        <v>Manny
2390</v>
      </c>
      <c r="F1220" s="22" t="str">
        <f>IFERROR(__xludf.DUMMYFUNCTION("""COMPUTED_VALUE"""),"Westchester")</f>
        <v>Westchester</v>
      </c>
      <c r="G1220" s="22" t="str">
        <f>IFERROR(__xludf.DUMMYFUNCTION("""COMPUTED_VALUE"""),"Dr
Lucas,")</f>
        <v>Dr
Lucas,</v>
      </c>
      <c r="H1220" s="22" t="str">
        <f>IFERROR(__xludf.DUMMYFUNCTION("""COMPUTED_VALUE"""),"TX")</f>
        <v>TX</v>
      </c>
      <c r="I1220" s="22">
        <f>IFERROR(__xludf.DUMMYFUNCTION("""COMPUTED_VALUE"""),75002.0)</f>
        <v>75002</v>
      </c>
      <c r="J1220" s="22"/>
      <c r="K1220" s="22"/>
      <c r="L1220" s="22"/>
      <c r="M1220" s="22"/>
      <c r="N1220" s="22"/>
      <c r="O1220" s="22"/>
      <c r="P1220" s="22"/>
      <c r="Q1220" s="22"/>
      <c r="R1220" s="22"/>
      <c r="S1220" s="22"/>
      <c r="T1220" s="22"/>
      <c r="U1220" s="24" t="str">
        <f>IFERROR(__xludf.DUMMYFUNCTION("SPLIT(E1220,""01234567890"")"),"Manny
")</f>
        <v>Manny
</v>
      </c>
      <c r="V1220" s="24" t="str">
        <f>IFERROR(__xludf.DUMMYFUNCTION("SPLIT(D1220,"","")"),"Ybarra")</f>
        <v>Ybarra</v>
      </c>
      <c r="W1220" s="25" t="str">
        <f t="shared" si="1"/>
        <v>MANNY
 YBARRA</v>
      </c>
      <c r="X1220" s="22"/>
      <c r="Y1220" s="22"/>
      <c r="Z1220" s="25" t="str">
        <f>IFERROR(__xludf.DUMMYFUNCTION("SPLIT(C1220,""
"")"),"Ybarra, Manny")</f>
        <v>Ybarra, Manny</v>
      </c>
      <c r="AA1220" s="22" t="str">
        <f>IFERROR(__xludf.DUMMYFUNCTION("""COMPUTED_VALUE"""),"2390 Westchester Dr")</f>
        <v>2390 Westchester Dr</v>
      </c>
      <c r="AB1220" s="22" t="str">
        <f>IFERROR(__xludf.DUMMYFUNCTION("""COMPUTED_VALUE"""),"Lucas, TX 75002")</f>
        <v>Lucas, TX 75002</v>
      </c>
      <c r="AC1220" s="31" t="s">
        <v>2694</v>
      </c>
      <c r="AD1220" s="22"/>
      <c r="AE1220" s="22"/>
      <c r="AF1220" s="22"/>
      <c r="AG1220" s="22" t="s">
        <v>60</v>
      </c>
      <c r="AH1220" s="54">
        <v>2486.0</v>
      </c>
      <c r="AI1220" s="22" t="s">
        <v>68</v>
      </c>
      <c r="AJ1220" s="27">
        <v>1000.0</v>
      </c>
      <c r="AK1220" s="31" t="s">
        <v>24</v>
      </c>
      <c r="AL1220" s="28">
        <v>44898.0</v>
      </c>
      <c r="AM1220" s="29">
        <v>44942.42989583333</v>
      </c>
      <c r="AN1220" s="30">
        <v>2.0</v>
      </c>
      <c r="AO1220" s="22"/>
      <c r="AP1220" s="22"/>
      <c r="AQ1220" s="22"/>
      <c r="AR1220" s="22"/>
      <c r="AS1220" s="22"/>
      <c r="AT1220" s="70"/>
      <c r="AU1220" s="22"/>
      <c r="AV1220" s="57"/>
      <c r="AW1220" s="57"/>
      <c r="AX1220" s="70"/>
      <c r="AY1220" s="29"/>
      <c r="AZ1220" s="30"/>
      <c r="CU1220" s="55"/>
      <c r="CV1220" s="55"/>
      <c r="CW1220" s="55"/>
      <c r="CX1220" s="55"/>
      <c r="CY1220" s="55"/>
      <c r="CZ1220" s="55"/>
      <c r="DA1220" s="82"/>
      <c r="DB1220" s="55"/>
      <c r="DC1220" s="55"/>
      <c r="DD1220" s="55"/>
      <c r="DE1220" s="55"/>
      <c r="DF1220" s="55"/>
      <c r="DG1220" s="55"/>
      <c r="DH1220" s="55"/>
      <c r="DI1220" s="55"/>
      <c r="DJ1220" s="55"/>
      <c r="DK1220" s="55"/>
      <c r="DL1220" s="55"/>
      <c r="DM1220" s="55"/>
      <c r="DN1220" s="55"/>
      <c r="DO1220" s="55"/>
      <c r="DP1220" s="55"/>
      <c r="DQ1220" s="55"/>
      <c r="DR1220" s="55"/>
      <c r="DS1220" s="55"/>
      <c r="DT1220" s="55"/>
      <c r="DU1220" s="55"/>
      <c r="DV1220" s="55"/>
      <c r="DW1220" s="55"/>
    </row>
    <row r="1221">
      <c r="A1221" s="41" t="s">
        <v>64</v>
      </c>
      <c r="B1221" s="41" t="s">
        <v>56</v>
      </c>
      <c r="C1221" s="31" t="s">
        <v>2695</v>
      </c>
      <c r="D1221" s="25" t="str">
        <f>IFERROR(__xludf.DUMMYFUNCTION("SPLIT(C1221,"" "")"),"Raymond,")</f>
        <v>Raymond,</v>
      </c>
      <c r="E1221" s="40" t="str">
        <f>IFERROR(__xludf.DUMMYFUNCTION("""COMPUTED_VALUE"""),"Anne
4111")</f>
        <v>Anne
4111</v>
      </c>
      <c r="F1221" s="40" t="str">
        <f>IFERROR(__xludf.DUMMYFUNCTION("""COMPUTED_VALUE"""),"W.")</f>
        <v>W.</v>
      </c>
      <c r="G1221" s="40" t="str">
        <f>IFERROR(__xludf.DUMMYFUNCTION("""COMPUTED_VALUE"""),"Lawther
Dallas,")</f>
        <v>Lawther
Dallas,</v>
      </c>
      <c r="H1221" s="40" t="str">
        <f>IFERROR(__xludf.DUMMYFUNCTION("""COMPUTED_VALUE"""),"TX")</f>
        <v>TX</v>
      </c>
      <c r="I1221" s="40">
        <f>IFERROR(__xludf.DUMMYFUNCTION("""COMPUTED_VALUE"""),75214.0)</f>
        <v>75214</v>
      </c>
      <c r="J1221" s="40"/>
      <c r="K1221" s="40"/>
      <c r="L1221" s="40"/>
      <c r="M1221" s="40"/>
      <c r="N1221" s="40"/>
      <c r="O1221" s="40"/>
      <c r="P1221" s="40"/>
      <c r="Q1221" s="40"/>
      <c r="R1221" s="40"/>
      <c r="S1221" s="40"/>
      <c r="T1221" s="40"/>
      <c r="U1221" s="24" t="str">
        <f>IFERROR(__xludf.DUMMYFUNCTION("SPLIT(E1221,""01234567890"")"),"Anne
")</f>
        <v>Anne
</v>
      </c>
      <c r="V1221" s="24" t="str">
        <f>IFERROR(__xludf.DUMMYFUNCTION("SPLIT(D1221,"","")"),"Raymond")</f>
        <v>Raymond</v>
      </c>
      <c r="W1221" s="25" t="str">
        <f t="shared" si="1"/>
        <v>ANNE
 RAYMOND</v>
      </c>
      <c r="X1221" s="40"/>
      <c r="Y1221" s="40"/>
      <c r="Z1221" s="25" t="str">
        <f>IFERROR(__xludf.DUMMYFUNCTION("SPLIT(C1221,""
"")"),"Raymond, Anne")</f>
        <v>Raymond, Anne</v>
      </c>
      <c r="AA1221" s="40" t="str">
        <f>IFERROR(__xludf.DUMMYFUNCTION("""COMPUTED_VALUE"""),"4111 W. Lawther")</f>
        <v>4111 W. Lawther</v>
      </c>
      <c r="AB1221" s="40" t="str">
        <f>IFERROR(__xludf.DUMMYFUNCTION("""COMPUTED_VALUE"""),"Dallas, TX 75214")</f>
        <v>Dallas, TX 75214</v>
      </c>
      <c r="AC1221" s="31" t="s">
        <v>2696</v>
      </c>
      <c r="AD1221" s="40"/>
      <c r="AE1221" s="40"/>
      <c r="AF1221" s="40"/>
      <c r="AG1221" s="40" t="s">
        <v>60</v>
      </c>
      <c r="AH1221" s="42">
        <v>2486.0</v>
      </c>
      <c r="AI1221" s="40" t="s">
        <v>68</v>
      </c>
      <c r="AJ1221" s="27">
        <v>1000.0</v>
      </c>
      <c r="AK1221" s="31" t="s">
        <v>24</v>
      </c>
      <c r="AL1221" s="43">
        <v>44900.0</v>
      </c>
      <c r="AM1221" s="44">
        <v>44942.42989583333</v>
      </c>
      <c r="AN1221" s="30">
        <v>2.0</v>
      </c>
      <c r="AO1221" s="40"/>
      <c r="AP1221" s="40"/>
      <c r="AQ1221" s="40"/>
      <c r="AR1221" s="40"/>
      <c r="AS1221" s="40"/>
      <c r="AT1221" s="47"/>
      <c r="AU1221" s="40"/>
      <c r="AV1221" s="46"/>
      <c r="AW1221" s="46"/>
      <c r="AX1221" s="47"/>
      <c r="AY1221" s="44"/>
      <c r="AZ1221" s="30"/>
      <c r="CU1221" s="55"/>
      <c r="CV1221" s="55"/>
      <c r="CW1221" s="55"/>
      <c r="CX1221" s="55"/>
      <c r="CY1221" s="55"/>
      <c r="CZ1221" s="55"/>
      <c r="DA1221" s="82"/>
      <c r="DB1221" s="55"/>
      <c r="DC1221" s="55"/>
      <c r="DD1221" s="55"/>
      <c r="DE1221" s="55"/>
      <c r="DF1221" s="55"/>
      <c r="DG1221" s="55"/>
      <c r="DH1221" s="55"/>
      <c r="DI1221" s="55"/>
      <c r="DJ1221" s="55"/>
      <c r="DK1221" s="55"/>
      <c r="DL1221" s="55"/>
      <c r="DM1221" s="55"/>
      <c r="DN1221" s="55"/>
      <c r="DO1221" s="55"/>
      <c r="DP1221" s="55"/>
      <c r="DQ1221" s="55"/>
      <c r="DR1221" s="55"/>
      <c r="DS1221" s="55"/>
      <c r="DT1221" s="55"/>
      <c r="DU1221" s="55"/>
      <c r="DV1221" s="55"/>
      <c r="DW1221" s="55"/>
    </row>
    <row r="1222">
      <c r="A1222" s="23" t="s">
        <v>64</v>
      </c>
      <c r="B1222" s="23" t="s">
        <v>56</v>
      </c>
      <c r="C1222" s="31" t="s">
        <v>2697</v>
      </c>
      <c r="D1222" s="25" t="str">
        <f>IFERROR(__xludf.DUMMYFUNCTION("SPLIT(C1222,"" "")"),"Clay,")</f>
        <v>Clay,</v>
      </c>
      <c r="E1222" s="22" t="str">
        <f>IFERROR(__xludf.DUMMYFUNCTION("""COMPUTED_VALUE"""),"Barbara
8246")</f>
        <v>Barbara
8246</v>
      </c>
      <c r="F1222" s="22" t="str">
        <f>IFERROR(__xludf.DUMMYFUNCTION("""COMPUTED_VALUE"""),"Forest")</f>
        <v>Forest</v>
      </c>
      <c r="G1222" s="22" t="str">
        <f>IFERROR(__xludf.DUMMYFUNCTION("""COMPUTED_VALUE"""),"Hills")</f>
        <v>Hills</v>
      </c>
      <c r="H1222" s="22" t="str">
        <f>IFERROR(__xludf.DUMMYFUNCTION("""COMPUTED_VALUE"""),"Blvd
Dallas,")</f>
        <v>Blvd
Dallas,</v>
      </c>
      <c r="I1222" s="22" t="str">
        <f>IFERROR(__xludf.DUMMYFUNCTION("""COMPUTED_VALUE"""),"TX")</f>
        <v>TX</v>
      </c>
      <c r="J1222" s="22">
        <f>IFERROR(__xludf.DUMMYFUNCTION("""COMPUTED_VALUE"""),75218.0)</f>
        <v>75218</v>
      </c>
      <c r="K1222" s="22"/>
      <c r="L1222" s="22"/>
      <c r="M1222" s="22"/>
      <c r="N1222" s="22"/>
      <c r="O1222" s="22"/>
      <c r="P1222" s="22"/>
      <c r="Q1222" s="22"/>
      <c r="R1222" s="22"/>
      <c r="S1222" s="22"/>
      <c r="T1222" s="22"/>
      <c r="U1222" s="24" t="str">
        <f>IFERROR(__xludf.DUMMYFUNCTION("SPLIT(E1222,""01234567890"")"),"Barbara
")</f>
        <v>Barbara
</v>
      </c>
      <c r="V1222" s="24" t="str">
        <f>IFERROR(__xludf.DUMMYFUNCTION("SPLIT(D1222,"","")"),"Clay")</f>
        <v>Clay</v>
      </c>
      <c r="W1222" s="25" t="str">
        <f t="shared" si="1"/>
        <v>BARBARA
 CLAY</v>
      </c>
      <c r="X1222" s="22"/>
      <c r="Y1222" s="22"/>
      <c r="Z1222" s="25" t="str">
        <f>IFERROR(__xludf.DUMMYFUNCTION("SPLIT(C1222,""
"")"),"Clay, Barbara")</f>
        <v>Clay, Barbara</v>
      </c>
      <c r="AA1222" s="22" t="str">
        <f>IFERROR(__xludf.DUMMYFUNCTION("""COMPUTED_VALUE"""),"8246 Forest Hills Blvd")</f>
        <v>8246 Forest Hills Blvd</v>
      </c>
      <c r="AB1222" s="22" t="str">
        <f>IFERROR(__xludf.DUMMYFUNCTION("""COMPUTED_VALUE"""),"Dallas, TX 75218")</f>
        <v>Dallas, TX 75218</v>
      </c>
      <c r="AC1222" s="31" t="s">
        <v>2698</v>
      </c>
      <c r="AD1222" s="22"/>
      <c r="AE1222" s="22"/>
      <c r="AF1222" s="22"/>
      <c r="AG1222" s="22" t="s">
        <v>60</v>
      </c>
      <c r="AH1222" s="54">
        <v>2486.0</v>
      </c>
      <c r="AI1222" s="22" t="s">
        <v>68</v>
      </c>
      <c r="AJ1222" s="27">
        <v>250.0</v>
      </c>
      <c r="AK1222" s="31" t="s">
        <v>24</v>
      </c>
      <c r="AL1222" s="28">
        <v>44900.0</v>
      </c>
      <c r="AM1222" s="29">
        <v>44942.42989583333</v>
      </c>
      <c r="AN1222" s="30">
        <v>2.0</v>
      </c>
      <c r="AO1222" s="22"/>
      <c r="AP1222" s="22"/>
      <c r="AQ1222" s="22"/>
      <c r="AR1222" s="22"/>
      <c r="AS1222" s="22"/>
      <c r="AT1222" s="70"/>
      <c r="AU1222" s="22"/>
      <c r="AV1222" s="57"/>
      <c r="AW1222" s="57"/>
      <c r="AX1222" s="70"/>
      <c r="AY1222" s="29"/>
      <c r="AZ1222" s="30"/>
      <c r="CU1222" s="55"/>
      <c r="CV1222" s="55"/>
      <c r="CW1222" s="55"/>
      <c r="CX1222" s="55"/>
      <c r="CY1222" s="55"/>
      <c r="CZ1222" s="55"/>
      <c r="DA1222" s="82"/>
      <c r="DB1222" s="55"/>
      <c r="DC1222" s="55"/>
      <c r="DD1222" s="55"/>
      <c r="DE1222" s="55"/>
      <c r="DF1222" s="55"/>
      <c r="DG1222" s="55"/>
      <c r="DH1222" s="55"/>
      <c r="DI1222" s="55"/>
      <c r="DJ1222" s="55"/>
      <c r="DK1222" s="55"/>
      <c r="DL1222" s="55"/>
      <c r="DM1222" s="55"/>
      <c r="DN1222" s="55"/>
      <c r="DO1222" s="55"/>
      <c r="DP1222" s="55"/>
      <c r="DQ1222" s="55"/>
      <c r="DR1222" s="55"/>
      <c r="DS1222" s="55"/>
      <c r="DT1222" s="55"/>
      <c r="DU1222" s="55"/>
      <c r="DV1222" s="55"/>
      <c r="DW1222" s="55"/>
    </row>
    <row r="1223">
      <c r="A1223" s="41" t="s">
        <v>64</v>
      </c>
      <c r="B1223" s="41" t="s">
        <v>56</v>
      </c>
      <c r="C1223" s="31" t="s">
        <v>1222</v>
      </c>
      <c r="D1223" s="25" t="str">
        <f>IFERROR(__xludf.DUMMYFUNCTION("SPLIT(C1223,"" "")"),"Davis,")</f>
        <v>Davis,</v>
      </c>
      <c r="E1223" s="40" t="str">
        <f>IFERROR(__xludf.DUMMYFUNCTION("""COMPUTED_VALUE"""),"Macey
8322")</f>
        <v>Macey
8322</v>
      </c>
      <c r="F1223" s="40" t="str">
        <f>IFERROR(__xludf.DUMMYFUNCTION("""COMPUTED_VALUE"""),"Ridgelea")</f>
        <v>Ridgelea</v>
      </c>
      <c r="G1223" s="40" t="str">
        <f>IFERROR(__xludf.DUMMYFUNCTION("""COMPUTED_VALUE"""),"Street
Dallas,")</f>
        <v>Street
Dallas,</v>
      </c>
      <c r="H1223" s="40" t="str">
        <f>IFERROR(__xludf.DUMMYFUNCTION("""COMPUTED_VALUE"""),"TX")</f>
        <v>TX</v>
      </c>
      <c r="I1223" s="40">
        <f>IFERROR(__xludf.DUMMYFUNCTION("""COMPUTED_VALUE"""),75209.0)</f>
        <v>75209</v>
      </c>
      <c r="J1223" s="40"/>
      <c r="K1223" s="40"/>
      <c r="L1223" s="40"/>
      <c r="M1223" s="40"/>
      <c r="N1223" s="40"/>
      <c r="O1223" s="40"/>
      <c r="P1223" s="40"/>
      <c r="Q1223" s="40"/>
      <c r="R1223" s="40"/>
      <c r="S1223" s="40"/>
      <c r="T1223" s="40"/>
      <c r="U1223" s="24" t="str">
        <f>IFERROR(__xludf.DUMMYFUNCTION("SPLIT(E1223,""01234567890"")"),"Macey
")</f>
        <v>Macey
</v>
      </c>
      <c r="V1223" s="24" t="str">
        <f>IFERROR(__xludf.DUMMYFUNCTION("SPLIT(D1223,"","")"),"Davis")</f>
        <v>Davis</v>
      </c>
      <c r="W1223" s="25" t="str">
        <f t="shared" si="1"/>
        <v>MACEY
 DAVIS</v>
      </c>
      <c r="X1223" s="40"/>
      <c r="Y1223" s="40"/>
      <c r="Z1223" s="25" t="str">
        <f>IFERROR(__xludf.DUMMYFUNCTION("SPLIT(C1223,""
"")"),"Davis, Macey")</f>
        <v>Davis, Macey</v>
      </c>
      <c r="AA1223" s="40" t="str">
        <f>IFERROR(__xludf.DUMMYFUNCTION("""COMPUTED_VALUE"""),"8322 Ridgelea Street")</f>
        <v>8322 Ridgelea Street</v>
      </c>
      <c r="AB1223" s="40" t="str">
        <f>IFERROR(__xludf.DUMMYFUNCTION("""COMPUTED_VALUE"""),"Dallas, TX 75209")</f>
        <v>Dallas, TX 75209</v>
      </c>
      <c r="AC1223" s="31" t="s">
        <v>1224</v>
      </c>
      <c r="AD1223" s="40"/>
      <c r="AE1223" s="40"/>
      <c r="AF1223" s="40"/>
      <c r="AG1223" s="40" t="s">
        <v>60</v>
      </c>
      <c r="AH1223" s="42">
        <v>2486.0</v>
      </c>
      <c r="AI1223" s="40" t="s">
        <v>68</v>
      </c>
      <c r="AJ1223" s="27">
        <v>1000.0</v>
      </c>
      <c r="AK1223" s="31" t="s">
        <v>24</v>
      </c>
      <c r="AL1223" s="43">
        <v>44900.0</v>
      </c>
      <c r="AM1223" s="44">
        <v>44942.42989583333</v>
      </c>
      <c r="AN1223" s="30">
        <v>2.0</v>
      </c>
      <c r="AO1223" s="40"/>
      <c r="AP1223" s="40"/>
      <c r="AQ1223" s="40"/>
      <c r="AR1223" s="40"/>
      <c r="AS1223" s="40"/>
      <c r="AT1223" s="47"/>
      <c r="AU1223" s="40"/>
      <c r="AV1223" s="46"/>
      <c r="AW1223" s="46"/>
      <c r="AX1223" s="47"/>
      <c r="AY1223" s="44"/>
      <c r="AZ1223" s="30"/>
      <c r="CU1223" s="55"/>
      <c r="CV1223" s="55"/>
      <c r="CW1223" s="55"/>
      <c r="CX1223" s="55"/>
      <c r="CY1223" s="55"/>
      <c r="CZ1223" s="55"/>
      <c r="DA1223" s="82"/>
      <c r="DB1223" s="55"/>
      <c r="DC1223" s="55"/>
      <c r="DD1223" s="55"/>
      <c r="DE1223" s="55"/>
      <c r="DF1223" s="55"/>
      <c r="DG1223" s="55"/>
      <c r="DH1223" s="55"/>
      <c r="DI1223" s="55"/>
      <c r="DJ1223" s="55"/>
      <c r="DK1223" s="55"/>
      <c r="DL1223" s="55"/>
      <c r="DM1223" s="55"/>
      <c r="DN1223" s="55"/>
      <c r="DO1223" s="55"/>
      <c r="DP1223" s="55"/>
      <c r="DQ1223" s="55"/>
      <c r="DR1223" s="55"/>
      <c r="DS1223" s="55"/>
      <c r="DT1223" s="55"/>
      <c r="DU1223" s="55"/>
      <c r="DV1223" s="55"/>
      <c r="DW1223" s="55"/>
    </row>
    <row r="1224">
      <c r="A1224" s="23" t="s">
        <v>64</v>
      </c>
      <c r="B1224" s="23" t="s">
        <v>56</v>
      </c>
      <c r="C1224" s="31" t="s">
        <v>2699</v>
      </c>
      <c r="D1224" s="25" t="str">
        <f>IFERROR(__xludf.DUMMYFUNCTION("SPLIT(C1224,"" "")"),"Cook,")</f>
        <v>Cook,</v>
      </c>
      <c r="E1224" s="22" t="str">
        <f>IFERROR(__xludf.DUMMYFUNCTION("""COMPUTED_VALUE"""),"Mary
1942")</f>
        <v>Mary
1942</v>
      </c>
      <c r="F1224" s="22" t="str">
        <f>IFERROR(__xludf.DUMMYFUNCTION("""COMPUTED_VALUE"""),"Malone")</f>
        <v>Malone</v>
      </c>
      <c r="G1224" s="22" t="str">
        <f>IFERROR(__xludf.DUMMYFUNCTION("""COMPUTED_VALUE"""),"Cliff")</f>
        <v>Cliff</v>
      </c>
      <c r="H1224" s="22" t="str">
        <f>IFERROR(__xludf.DUMMYFUNCTION("""COMPUTED_VALUE"""),"View
Dallas,")</f>
        <v>View
Dallas,</v>
      </c>
      <c r="I1224" s="22" t="str">
        <f>IFERROR(__xludf.DUMMYFUNCTION("""COMPUTED_VALUE"""),"TX")</f>
        <v>TX</v>
      </c>
      <c r="J1224" s="22">
        <f>IFERROR(__xludf.DUMMYFUNCTION("""COMPUTED_VALUE"""),75208.0)</f>
        <v>75208</v>
      </c>
      <c r="K1224" s="22"/>
      <c r="L1224" s="22"/>
      <c r="M1224" s="22"/>
      <c r="N1224" s="22"/>
      <c r="O1224" s="22"/>
      <c r="P1224" s="22"/>
      <c r="Q1224" s="22"/>
      <c r="R1224" s="22"/>
      <c r="S1224" s="22"/>
      <c r="T1224" s="22"/>
      <c r="U1224" s="24" t="str">
        <f>IFERROR(__xludf.DUMMYFUNCTION("SPLIT(E1224,""01234567890"")"),"Mary
")</f>
        <v>Mary
</v>
      </c>
      <c r="V1224" s="24" t="str">
        <f>IFERROR(__xludf.DUMMYFUNCTION("SPLIT(D1224,"","")"),"Cook")</f>
        <v>Cook</v>
      </c>
      <c r="W1224" s="25" t="str">
        <f t="shared" si="1"/>
        <v>MARY
 COOK</v>
      </c>
      <c r="X1224" s="22"/>
      <c r="Y1224" s="22"/>
      <c r="Z1224" s="25" t="str">
        <f>IFERROR(__xludf.DUMMYFUNCTION("SPLIT(C1224,""
"")"),"Cook, Mary")</f>
        <v>Cook, Mary</v>
      </c>
      <c r="AA1224" s="22" t="str">
        <f>IFERROR(__xludf.DUMMYFUNCTION("""COMPUTED_VALUE"""),"1942 Malone Cliff View")</f>
        <v>1942 Malone Cliff View</v>
      </c>
      <c r="AB1224" s="22" t="str">
        <f>IFERROR(__xludf.DUMMYFUNCTION("""COMPUTED_VALUE"""),"Dallas, TX 75208")</f>
        <v>Dallas, TX 75208</v>
      </c>
      <c r="AC1224" s="31" t="s">
        <v>2700</v>
      </c>
      <c r="AD1224" s="22"/>
      <c r="AE1224" s="22"/>
      <c r="AF1224" s="22"/>
      <c r="AG1224" s="22" t="s">
        <v>60</v>
      </c>
      <c r="AH1224" s="54">
        <v>2486.0</v>
      </c>
      <c r="AI1224" s="22" t="s">
        <v>68</v>
      </c>
      <c r="AJ1224" s="27">
        <v>1000.0</v>
      </c>
      <c r="AK1224" s="31" t="s">
        <v>24</v>
      </c>
      <c r="AL1224" s="28">
        <v>44900.0</v>
      </c>
      <c r="AM1224" s="29">
        <v>44942.42989583333</v>
      </c>
      <c r="AN1224" s="30">
        <v>2.0</v>
      </c>
      <c r="AO1224" s="22"/>
      <c r="AP1224" s="22"/>
      <c r="AQ1224" s="22"/>
      <c r="AR1224" s="22"/>
      <c r="AS1224" s="22"/>
      <c r="AT1224" s="70"/>
      <c r="AU1224" s="22"/>
      <c r="AV1224" s="57"/>
      <c r="AW1224" s="57"/>
      <c r="AX1224" s="70"/>
      <c r="AY1224" s="29"/>
      <c r="AZ1224" s="30"/>
      <c r="CU1224" s="55"/>
      <c r="CV1224" s="55"/>
      <c r="CW1224" s="55"/>
      <c r="CX1224" s="55"/>
      <c r="CY1224" s="55"/>
      <c r="CZ1224" s="55"/>
      <c r="DA1224" s="82"/>
      <c r="DB1224" s="55"/>
      <c r="DC1224" s="55"/>
      <c r="DD1224" s="55"/>
      <c r="DE1224" s="55"/>
      <c r="DF1224" s="55"/>
      <c r="DG1224" s="55"/>
      <c r="DH1224" s="55"/>
      <c r="DI1224" s="55"/>
      <c r="DJ1224" s="55"/>
      <c r="DK1224" s="55"/>
      <c r="DL1224" s="55"/>
      <c r="DM1224" s="55"/>
      <c r="DN1224" s="55"/>
      <c r="DO1224" s="55"/>
      <c r="DP1224" s="55"/>
      <c r="DQ1224" s="55"/>
      <c r="DR1224" s="55"/>
      <c r="DS1224" s="55"/>
      <c r="DT1224" s="55"/>
      <c r="DU1224" s="55"/>
      <c r="DV1224" s="55"/>
      <c r="DW1224" s="55"/>
    </row>
    <row r="1225">
      <c r="A1225" s="41" t="s">
        <v>64</v>
      </c>
      <c r="B1225" s="41" t="s">
        <v>56</v>
      </c>
      <c r="C1225" s="31" t="s">
        <v>2656</v>
      </c>
      <c r="D1225" s="25" t="str">
        <f>IFERROR(__xludf.DUMMYFUNCTION("SPLIT(C1225,"" "")"),"McCrary,")</f>
        <v>McCrary,</v>
      </c>
      <c r="E1225" s="40" t="str">
        <f>IFERROR(__xludf.DUMMYFUNCTION("""COMPUTED_VALUE"""),"Michael
1302")</f>
        <v>Michael
1302</v>
      </c>
      <c r="F1225" s="40" t="str">
        <f>IFERROR(__xludf.DUMMYFUNCTION("""COMPUTED_VALUE"""),"Bellaire")</f>
        <v>Bellaire</v>
      </c>
      <c r="G1225" s="40" t="str">
        <f>IFERROR(__xludf.DUMMYFUNCTION("""COMPUTED_VALUE"""),"Dr
Grapevine,")</f>
        <v>Dr
Grapevine,</v>
      </c>
      <c r="H1225" s="40" t="str">
        <f>IFERROR(__xludf.DUMMYFUNCTION("""COMPUTED_VALUE"""),"TX")</f>
        <v>TX</v>
      </c>
      <c r="I1225" s="40">
        <f>IFERROR(__xludf.DUMMYFUNCTION("""COMPUTED_VALUE"""),76051.0)</f>
        <v>76051</v>
      </c>
      <c r="J1225" s="40"/>
      <c r="K1225" s="40"/>
      <c r="L1225" s="40"/>
      <c r="M1225" s="40"/>
      <c r="N1225" s="40"/>
      <c r="O1225" s="40"/>
      <c r="P1225" s="40"/>
      <c r="Q1225" s="40"/>
      <c r="R1225" s="40"/>
      <c r="S1225" s="40"/>
      <c r="T1225" s="40"/>
      <c r="U1225" s="24" t="str">
        <f>IFERROR(__xludf.DUMMYFUNCTION("SPLIT(E1225,""01234567890"")"),"Michael
")</f>
        <v>Michael
</v>
      </c>
      <c r="V1225" s="24" t="str">
        <f>IFERROR(__xludf.DUMMYFUNCTION("SPLIT(D1225,"","")"),"McCrary")</f>
        <v>McCrary</v>
      </c>
      <c r="W1225" s="25" t="str">
        <f t="shared" si="1"/>
        <v>MICHAEL
 MCCRARY</v>
      </c>
      <c r="X1225" s="40"/>
      <c r="Y1225" s="40"/>
      <c r="Z1225" s="25" t="str">
        <f>IFERROR(__xludf.DUMMYFUNCTION("SPLIT(C1225,""
"")"),"McCrary, Michael")</f>
        <v>McCrary, Michael</v>
      </c>
      <c r="AA1225" s="40" t="str">
        <f>IFERROR(__xludf.DUMMYFUNCTION("""COMPUTED_VALUE"""),"1302 Bellaire Dr")</f>
        <v>1302 Bellaire Dr</v>
      </c>
      <c r="AB1225" s="40" t="str">
        <f>IFERROR(__xludf.DUMMYFUNCTION("""COMPUTED_VALUE"""),"Grapevine, TX 76051")</f>
        <v>Grapevine, TX 76051</v>
      </c>
      <c r="AC1225" s="31" t="s">
        <v>2657</v>
      </c>
      <c r="AD1225" s="40"/>
      <c r="AE1225" s="40"/>
      <c r="AF1225" s="40"/>
      <c r="AG1225" s="40" t="s">
        <v>60</v>
      </c>
      <c r="AH1225" s="42">
        <v>2486.0</v>
      </c>
      <c r="AI1225" s="40" t="s">
        <v>68</v>
      </c>
      <c r="AJ1225" s="27">
        <v>250.0</v>
      </c>
      <c r="AK1225" s="31" t="s">
        <v>24</v>
      </c>
      <c r="AL1225" s="43">
        <v>44900.0</v>
      </c>
      <c r="AM1225" s="44">
        <v>44942.42989583333</v>
      </c>
      <c r="AN1225" s="30">
        <v>2.0</v>
      </c>
      <c r="AO1225" s="40"/>
      <c r="AP1225" s="40"/>
      <c r="AQ1225" s="40"/>
      <c r="AR1225" s="40"/>
      <c r="AS1225" s="40"/>
      <c r="AT1225" s="47"/>
      <c r="AU1225" s="40"/>
      <c r="AV1225" s="46"/>
      <c r="AW1225" s="46"/>
      <c r="AX1225" s="47"/>
      <c r="AY1225" s="44"/>
      <c r="AZ1225" s="30"/>
      <c r="CU1225" s="55"/>
      <c r="CV1225" s="55"/>
      <c r="CW1225" s="55"/>
      <c r="CX1225" s="55"/>
      <c r="CY1225" s="55"/>
      <c r="CZ1225" s="55"/>
      <c r="DA1225" s="82"/>
      <c r="DB1225" s="55"/>
      <c r="DC1225" s="55"/>
      <c r="DD1225" s="55"/>
      <c r="DE1225" s="55"/>
      <c r="DF1225" s="55"/>
      <c r="DG1225" s="55"/>
      <c r="DH1225" s="55"/>
      <c r="DI1225" s="55"/>
      <c r="DJ1225" s="55"/>
      <c r="DK1225" s="55"/>
      <c r="DL1225" s="55"/>
      <c r="DM1225" s="55"/>
      <c r="DN1225" s="55"/>
      <c r="DO1225" s="55"/>
      <c r="DP1225" s="55"/>
      <c r="DQ1225" s="55"/>
      <c r="DR1225" s="55"/>
      <c r="DS1225" s="55"/>
      <c r="DT1225" s="55"/>
      <c r="DU1225" s="55"/>
      <c r="DV1225" s="55"/>
      <c r="DW1225" s="55"/>
    </row>
    <row r="1226">
      <c r="A1226" s="23" t="s">
        <v>64</v>
      </c>
      <c r="B1226" s="23" t="s">
        <v>56</v>
      </c>
      <c r="C1226" s="31" t="s">
        <v>2701</v>
      </c>
      <c r="D1226" s="25" t="str">
        <f>IFERROR(__xludf.DUMMYFUNCTION("SPLIT(C1226,"" "")"),"Syler,")</f>
        <v>Syler,</v>
      </c>
      <c r="E1226" s="22" t="str">
        <f>IFERROR(__xludf.DUMMYFUNCTION("""COMPUTED_VALUE"""),"Terry
6661")</f>
        <v>Terry
6661</v>
      </c>
      <c r="F1226" s="22" t="str">
        <f>IFERROR(__xludf.DUMMYFUNCTION("""COMPUTED_VALUE"""),"Lakewood")</f>
        <v>Lakewood</v>
      </c>
      <c r="G1226" s="22" t="str">
        <f>IFERROR(__xludf.DUMMYFUNCTION("""COMPUTED_VALUE"""),"Boulevard
DALLAS,")</f>
        <v>Boulevard
DALLAS,</v>
      </c>
      <c r="H1226" s="22" t="str">
        <f>IFERROR(__xludf.DUMMYFUNCTION("""COMPUTED_VALUE"""),"TX")</f>
        <v>TX</v>
      </c>
      <c r="I1226" s="22">
        <f>IFERROR(__xludf.DUMMYFUNCTION("""COMPUTED_VALUE"""),75214.0)</f>
        <v>75214</v>
      </c>
      <c r="J1226" s="22"/>
      <c r="K1226" s="22"/>
      <c r="L1226" s="22"/>
      <c r="M1226" s="22"/>
      <c r="N1226" s="22"/>
      <c r="O1226" s="22"/>
      <c r="P1226" s="22"/>
      <c r="Q1226" s="22"/>
      <c r="R1226" s="22"/>
      <c r="S1226" s="22"/>
      <c r="T1226" s="22"/>
      <c r="U1226" s="24" t="str">
        <f>IFERROR(__xludf.DUMMYFUNCTION("SPLIT(E1226,""01234567890"")"),"Terry
")</f>
        <v>Terry
</v>
      </c>
      <c r="V1226" s="24" t="str">
        <f>IFERROR(__xludf.DUMMYFUNCTION("SPLIT(D1226,"","")"),"Syler")</f>
        <v>Syler</v>
      </c>
      <c r="W1226" s="25" t="str">
        <f t="shared" si="1"/>
        <v>TERRY
 SYLER</v>
      </c>
      <c r="X1226" s="22"/>
      <c r="Y1226" s="22"/>
      <c r="Z1226" s="25" t="str">
        <f>IFERROR(__xludf.DUMMYFUNCTION("SPLIT(C1226,""
"")"),"Syler, Terry")</f>
        <v>Syler, Terry</v>
      </c>
      <c r="AA1226" s="22" t="str">
        <f>IFERROR(__xludf.DUMMYFUNCTION("""COMPUTED_VALUE"""),"6661 Lakewood Boulevard")</f>
        <v>6661 Lakewood Boulevard</v>
      </c>
      <c r="AB1226" s="22" t="str">
        <f>IFERROR(__xludf.DUMMYFUNCTION("""COMPUTED_VALUE"""),"DALLAS, TX 75214")</f>
        <v>DALLAS, TX 75214</v>
      </c>
      <c r="AC1226" s="31" t="s">
        <v>1408</v>
      </c>
      <c r="AD1226" s="22"/>
      <c r="AE1226" s="22"/>
      <c r="AF1226" s="22"/>
      <c r="AG1226" s="22" t="s">
        <v>60</v>
      </c>
      <c r="AH1226" s="54">
        <v>2486.0</v>
      </c>
      <c r="AI1226" s="22" t="s">
        <v>68</v>
      </c>
      <c r="AJ1226" s="27">
        <v>100.0</v>
      </c>
      <c r="AK1226" s="31" t="s">
        <v>24</v>
      </c>
      <c r="AL1226" s="28">
        <v>44900.0</v>
      </c>
      <c r="AM1226" s="29">
        <v>44942.42989583333</v>
      </c>
      <c r="AN1226" s="30">
        <v>2.0</v>
      </c>
      <c r="AO1226" s="22"/>
      <c r="AP1226" s="22"/>
      <c r="AQ1226" s="22"/>
      <c r="AR1226" s="22"/>
      <c r="AS1226" s="22"/>
      <c r="AT1226" s="70"/>
      <c r="AU1226" s="22"/>
      <c r="AV1226" s="57"/>
      <c r="AW1226" s="57"/>
      <c r="AX1226" s="70"/>
      <c r="AY1226" s="29"/>
      <c r="AZ1226" s="30"/>
      <c r="CU1226" s="55"/>
      <c r="CV1226" s="55"/>
      <c r="CW1226" s="55"/>
      <c r="CX1226" s="55"/>
      <c r="CY1226" s="55"/>
      <c r="CZ1226" s="55"/>
      <c r="DA1226" s="82"/>
      <c r="DB1226" s="55"/>
      <c r="DC1226" s="55"/>
      <c r="DD1226" s="55"/>
      <c r="DE1226" s="55"/>
      <c r="DF1226" s="55"/>
      <c r="DG1226" s="55"/>
      <c r="DH1226" s="55"/>
      <c r="DI1226" s="55"/>
      <c r="DJ1226" s="55"/>
      <c r="DK1226" s="55"/>
      <c r="DL1226" s="55"/>
      <c r="DM1226" s="55"/>
      <c r="DN1226" s="55"/>
      <c r="DO1226" s="55"/>
      <c r="DP1226" s="55"/>
      <c r="DQ1226" s="55"/>
      <c r="DR1226" s="55"/>
      <c r="DS1226" s="55"/>
      <c r="DT1226" s="55"/>
      <c r="DU1226" s="55"/>
      <c r="DV1226" s="55"/>
      <c r="DW1226" s="55"/>
    </row>
    <row r="1227">
      <c r="A1227" s="41" t="s">
        <v>64</v>
      </c>
      <c r="B1227" s="41" t="s">
        <v>56</v>
      </c>
      <c r="C1227" s="31" t="s">
        <v>2702</v>
      </c>
      <c r="D1227" s="25" t="str">
        <f>IFERROR(__xludf.DUMMYFUNCTION("SPLIT(C1227,"" "")"),"Ellis,")</f>
        <v>Ellis,</v>
      </c>
      <c r="E1227" s="40" t="str">
        <f>IFERROR(__xludf.DUMMYFUNCTION("""COMPUTED_VALUE"""),"Thomas
6872")</f>
        <v>Thomas
6872</v>
      </c>
      <c r="F1227" s="40" t="str">
        <f>IFERROR(__xludf.DUMMYFUNCTION("""COMPUTED_VALUE"""),"BURWOOD")</f>
        <v>BURWOOD</v>
      </c>
      <c r="G1227" s="40" t="str">
        <f>IFERROR(__xludf.DUMMYFUNCTION("""COMPUTED_VALUE"""),"LN
DALLAS,")</f>
        <v>LN
DALLAS,</v>
      </c>
      <c r="H1227" s="40" t="str">
        <f>IFERROR(__xludf.DUMMYFUNCTION("""COMPUTED_VALUE"""),"TX")</f>
        <v>TX</v>
      </c>
      <c r="I1227" s="40">
        <f>IFERROR(__xludf.DUMMYFUNCTION("""COMPUTED_VALUE"""),75214.0)</f>
        <v>75214</v>
      </c>
      <c r="J1227" s="40"/>
      <c r="K1227" s="40"/>
      <c r="L1227" s="40"/>
      <c r="M1227" s="40"/>
      <c r="N1227" s="40"/>
      <c r="O1227" s="40"/>
      <c r="P1227" s="40"/>
      <c r="Q1227" s="40"/>
      <c r="R1227" s="40"/>
      <c r="S1227" s="40"/>
      <c r="T1227" s="40"/>
      <c r="U1227" s="24" t="str">
        <f>IFERROR(__xludf.DUMMYFUNCTION("SPLIT(E1227,""01234567890"")"),"Thomas
")</f>
        <v>Thomas
</v>
      </c>
      <c r="V1227" s="24" t="str">
        <f>IFERROR(__xludf.DUMMYFUNCTION("SPLIT(D1227,"","")"),"Ellis")</f>
        <v>Ellis</v>
      </c>
      <c r="W1227" s="25" t="str">
        <f t="shared" si="1"/>
        <v>THOMAS
 ELLIS</v>
      </c>
      <c r="X1227" s="40"/>
      <c r="Y1227" s="40"/>
      <c r="Z1227" s="25" t="str">
        <f>IFERROR(__xludf.DUMMYFUNCTION("SPLIT(C1227,""
"")"),"Ellis, Thomas")</f>
        <v>Ellis, Thomas</v>
      </c>
      <c r="AA1227" s="40" t="str">
        <f>IFERROR(__xludf.DUMMYFUNCTION("""COMPUTED_VALUE"""),"6872 BURWOOD LN")</f>
        <v>6872 BURWOOD LN</v>
      </c>
      <c r="AB1227" s="40" t="str">
        <f>IFERROR(__xludf.DUMMYFUNCTION("""COMPUTED_VALUE"""),"DALLAS, TX 75214")</f>
        <v>DALLAS, TX 75214</v>
      </c>
      <c r="AC1227" s="31" t="s">
        <v>2703</v>
      </c>
      <c r="AD1227" s="40"/>
      <c r="AE1227" s="40"/>
      <c r="AF1227" s="40"/>
      <c r="AG1227" s="40" t="s">
        <v>60</v>
      </c>
      <c r="AH1227" s="42">
        <v>2486.0</v>
      </c>
      <c r="AI1227" s="40" t="s">
        <v>68</v>
      </c>
      <c r="AJ1227" s="27">
        <v>50.0</v>
      </c>
      <c r="AK1227" s="31" t="s">
        <v>24</v>
      </c>
      <c r="AL1227" s="43">
        <v>44900.0</v>
      </c>
      <c r="AM1227" s="44">
        <v>44942.42989583333</v>
      </c>
      <c r="AN1227" s="30">
        <v>2.0</v>
      </c>
      <c r="AO1227" s="40"/>
      <c r="AP1227" s="40"/>
      <c r="AQ1227" s="40"/>
      <c r="AR1227" s="40"/>
      <c r="AS1227" s="40"/>
      <c r="AT1227" s="47"/>
      <c r="AU1227" s="40"/>
      <c r="AV1227" s="46"/>
      <c r="AW1227" s="46"/>
      <c r="AX1227" s="47"/>
      <c r="AY1227" s="44"/>
      <c r="AZ1227" s="30"/>
      <c r="CU1227" s="55"/>
      <c r="CV1227" s="55"/>
      <c r="CW1227" s="55"/>
      <c r="CX1227" s="55"/>
      <c r="CY1227" s="55"/>
      <c r="CZ1227" s="55"/>
      <c r="DA1227" s="82"/>
      <c r="DB1227" s="55"/>
      <c r="DC1227" s="55"/>
      <c r="DD1227" s="55"/>
      <c r="DE1227" s="55"/>
      <c r="DF1227" s="55"/>
      <c r="DG1227" s="55"/>
      <c r="DH1227" s="55"/>
      <c r="DI1227" s="55"/>
      <c r="DJ1227" s="55"/>
      <c r="DK1227" s="55"/>
      <c r="DL1227" s="55"/>
      <c r="DM1227" s="55"/>
      <c r="DN1227" s="55"/>
      <c r="DO1227" s="55"/>
      <c r="DP1227" s="55"/>
      <c r="DQ1227" s="55"/>
      <c r="DR1227" s="55"/>
      <c r="DS1227" s="55"/>
      <c r="DT1227" s="55"/>
      <c r="DU1227" s="55"/>
      <c r="DV1227" s="55"/>
      <c r="DW1227" s="55"/>
    </row>
    <row r="1228">
      <c r="A1228" s="23" t="s">
        <v>64</v>
      </c>
      <c r="B1228" s="23" t="s">
        <v>56</v>
      </c>
      <c r="C1228" s="31" t="s">
        <v>2675</v>
      </c>
      <c r="D1228" s="25" t="str">
        <f>IFERROR(__xludf.DUMMYFUNCTION("SPLIT(C1228,"" "")"),"Forsythe")</f>
        <v>Forsythe</v>
      </c>
      <c r="E1228" s="22" t="str">
        <f>IFERROR(__xludf.DUMMYFUNCTION("""COMPUTED_VALUE"""),"Lill,")</f>
        <v>Lill,</v>
      </c>
      <c r="F1228" s="22" t="str">
        <f>IFERROR(__xludf.DUMMYFUNCTION("""COMPUTED_VALUE"""),"Veletta
622")</f>
        <v>Veletta
622</v>
      </c>
      <c r="G1228" s="22" t="str">
        <f>IFERROR(__xludf.DUMMYFUNCTION("""COMPUTED_VALUE"""),"Blair")</f>
        <v>Blair</v>
      </c>
      <c r="H1228" s="22" t="str">
        <f>IFERROR(__xludf.DUMMYFUNCTION("""COMPUTED_VALUE"""),"Blvd.
Dallas,")</f>
        <v>Blvd.
Dallas,</v>
      </c>
      <c r="I1228" s="22" t="str">
        <f>IFERROR(__xludf.DUMMYFUNCTION("""COMPUTED_VALUE"""),"TX")</f>
        <v>TX</v>
      </c>
      <c r="J1228" s="22">
        <f>IFERROR(__xludf.DUMMYFUNCTION("""COMPUTED_VALUE"""),75223.0)</f>
        <v>75223</v>
      </c>
      <c r="K1228" s="22"/>
      <c r="L1228" s="22"/>
      <c r="M1228" s="22"/>
      <c r="N1228" s="22"/>
      <c r="O1228" s="22"/>
      <c r="P1228" s="22"/>
      <c r="Q1228" s="22"/>
      <c r="R1228" s="22"/>
      <c r="S1228" s="22"/>
      <c r="T1228" s="22"/>
      <c r="U1228" s="24" t="str">
        <f>IFERROR(__xludf.DUMMYFUNCTION("SPLIT(E1228,""01234567890"")"),"Lill,")</f>
        <v>Lill,</v>
      </c>
      <c r="V1228" s="24" t="str">
        <f>IFERROR(__xludf.DUMMYFUNCTION("SPLIT(D1228,"","")"),"Forsythe")</f>
        <v>Forsythe</v>
      </c>
      <c r="W1228" s="25" t="str">
        <f t="shared" si="1"/>
        <v>LILL, FORSYTHE</v>
      </c>
      <c r="X1228" s="22"/>
      <c r="Y1228" s="22"/>
      <c r="Z1228" s="25" t="str">
        <f>IFERROR(__xludf.DUMMYFUNCTION("SPLIT(C1228,""
"")"),"Forsythe Lill, Veletta")</f>
        <v>Forsythe Lill, Veletta</v>
      </c>
      <c r="AA1228" s="22" t="str">
        <f>IFERROR(__xludf.DUMMYFUNCTION("""COMPUTED_VALUE"""),"622 Blair Blvd.")</f>
        <v>622 Blair Blvd.</v>
      </c>
      <c r="AB1228" s="22" t="str">
        <f>IFERROR(__xludf.DUMMYFUNCTION("""COMPUTED_VALUE"""),"Dallas, TX 75223")</f>
        <v>Dallas, TX 75223</v>
      </c>
      <c r="AC1228" s="31" t="s">
        <v>2676</v>
      </c>
      <c r="AD1228" s="22"/>
      <c r="AE1228" s="22"/>
      <c r="AF1228" s="22"/>
      <c r="AG1228" s="22" t="s">
        <v>60</v>
      </c>
      <c r="AH1228" s="54">
        <v>2486.0</v>
      </c>
      <c r="AI1228" s="22" t="s">
        <v>68</v>
      </c>
      <c r="AJ1228" s="27">
        <v>100.0</v>
      </c>
      <c r="AK1228" s="31" t="s">
        <v>24</v>
      </c>
      <c r="AL1228" s="28">
        <v>44900.0</v>
      </c>
      <c r="AM1228" s="29">
        <v>44942.42989583333</v>
      </c>
      <c r="AN1228" s="30">
        <v>2.0</v>
      </c>
      <c r="AO1228" s="22"/>
      <c r="AP1228" s="22"/>
      <c r="AQ1228" s="22"/>
      <c r="AR1228" s="22"/>
      <c r="AS1228" s="22"/>
      <c r="AT1228" s="70"/>
      <c r="AU1228" s="22"/>
      <c r="AV1228" s="57"/>
      <c r="AW1228" s="57"/>
      <c r="AX1228" s="70"/>
      <c r="AY1228" s="29"/>
      <c r="AZ1228" s="30"/>
      <c r="CU1228" s="55"/>
      <c r="CV1228" s="55"/>
      <c r="CW1228" s="55"/>
      <c r="CX1228" s="55"/>
      <c r="CY1228" s="55"/>
      <c r="CZ1228" s="55"/>
      <c r="DA1228" s="82"/>
      <c r="DB1228" s="55"/>
      <c r="DC1228" s="55"/>
      <c r="DD1228" s="55"/>
      <c r="DE1228" s="55"/>
      <c r="DF1228" s="55"/>
      <c r="DG1228" s="55"/>
      <c r="DH1228" s="55"/>
      <c r="DI1228" s="55"/>
      <c r="DJ1228" s="55"/>
      <c r="DK1228" s="55"/>
      <c r="DL1228" s="55"/>
      <c r="DM1228" s="55"/>
      <c r="DN1228" s="55"/>
      <c r="DO1228" s="55"/>
      <c r="DP1228" s="55"/>
      <c r="DQ1228" s="55"/>
      <c r="DR1228" s="55"/>
      <c r="DS1228" s="55"/>
      <c r="DT1228" s="55"/>
      <c r="DU1228" s="55"/>
      <c r="DV1228" s="55"/>
      <c r="DW1228" s="55"/>
    </row>
    <row r="1229">
      <c r="A1229" s="41" t="s">
        <v>64</v>
      </c>
      <c r="B1229" s="41" t="s">
        <v>56</v>
      </c>
      <c r="C1229" s="31" t="s">
        <v>2704</v>
      </c>
      <c r="D1229" s="25" t="str">
        <f>IFERROR(__xludf.DUMMYFUNCTION("SPLIT(C1229,"" "")"),"Hoyt,")</f>
        <v>Hoyt,</v>
      </c>
      <c r="E1229" s="40" t="str">
        <f>IFERROR(__xludf.DUMMYFUNCTION("""COMPUTED_VALUE"""),"Karen
7152")</f>
        <v>Karen
7152</v>
      </c>
      <c r="F1229" s="40" t="str">
        <f>IFERROR(__xludf.DUMMYFUNCTION("""COMPUTED_VALUE"""),"Dalewood")</f>
        <v>Dalewood</v>
      </c>
      <c r="G1229" s="40" t="str">
        <f>IFERROR(__xludf.DUMMYFUNCTION("""COMPUTED_VALUE"""),"Lane
Dallas,")</f>
        <v>Lane
Dallas,</v>
      </c>
      <c r="H1229" s="40" t="str">
        <f>IFERROR(__xludf.DUMMYFUNCTION("""COMPUTED_VALUE"""),"TX")</f>
        <v>TX</v>
      </c>
      <c r="I1229" s="40">
        <f>IFERROR(__xludf.DUMMYFUNCTION("""COMPUTED_VALUE"""),75214.0)</f>
        <v>75214</v>
      </c>
      <c r="J1229" s="40"/>
      <c r="K1229" s="40"/>
      <c r="L1229" s="40"/>
      <c r="M1229" s="40"/>
      <c r="N1229" s="40"/>
      <c r="O1229" s="40"/>
      <c r="P1229" s="40"/>
      <c r="Q1229" s="40"/>
      <c r="R1229" s="40"/>
      <c r="S1229" s="40"/>
      <c r="T1229" s="40"/>
      <c r="U1229" s="24" t="str">
        <f>IFERROR(__xludf.DUMMYFUNCTION("SPLIT(E1229,""01234567890"")"),"Karen
")</f>
        <v>Karen
</v>
      </c>
      <c r="V1229" s="24" t="str">
        <f>IFERROR(__xludf.DUMMYFUNCTION("SPLIT(D1229,"","")"),"Hoyt")</f>
        <v>Hoyt</v>
      </c>
      <c r="W1229" s="25" t="str">
        <f t="shared" si="1"/>
        <v>KAREN
 HOYT</v>
      </c>
      <c r="X1229" s="40"/>
      <c r="Y1229" s="40"/>
      <c r="Z1229" s="25" t="str">
        <f>IFERROR(__xludf.DUMMYFUNCTION("SPLIT(C1229,""
"")"),"Hoyt, Karen")</f>
        <v>Hoyt, Karen</v>
      </c>
      <c r="AA1229" s="40" t="str">
        <f>IFERROR(__xludf.DUMMYFUNCTION("""COMPUTED_VALUE"""),"7152 Dalewood Lane")</f>
        <v>7152 Dalewood Lane</v>
      </c>
      <c r="AB1229" s="40" t="str">
        <f>IFERROR(__xludf.DUMMYFUNCTION("""COMPUTED_VALUE"""),"Dallas, TX 75214")</f>
        <v>Dallas, TX 75214</v>
      </c>
      <c r="AC1229" s="31" t="s">
        <v>2705</v>
      </c>
      <c r="AD1229" s="40"/>
      <c r="AE1229" s="40"/>
      <c r="AF1229" s="40"/>
      <c r="AG1229" s="40" t="s">
        <v>60</v>
      </c>
      <c r="AH1229" s="42">
        <v>2486.0</v>
      </c>
      <c r="AI1229" s="40" t="s">
        <v>68</v>
      </c>
      <c r="AJ1229" s="27">
        <v>200.0</v>
      </c>
      <c r="AK1229" s="31" t="s">
        <v>24</v>
      </c>
      <c r="AL1229" s="43">
        <v>44900.0</v>
      </c>
      <c r="AM1229" s="44">
        <v>44942.42989583333</v>
      </c>
      <c r="AN1229" s="30">
        <v>2.0</v>
      </c>
      <c r="AO1229" s="40"/>
      <c r="AP1229" s="40"/>
      <c r="AQ1229" s="40"/>
      <c r="AR1229" s="40"/>
      <c r="AS1229" s="40"/>
      <c r="AT1229" s="47"/>
      <c r="AU1229" s="40"/>
      <c r="AV1229" s="46"/>
      <c r="AW1229" s="46"/>
      <c r="AX1229" s="47"/>
      <c r="AY1229" s="44"/>
      <c r="AZ1229" s="30"/>
      <c r="CU1229" s="55"/>
      <c r="CV1229" s="55"/>
      <c r="CW1229" s="55"/>
      <c r="CX1229" s="55"/>
      <c r="CY1229" s="55"/>
      <c r="CZ1229" s="55"/>
      <c r="DA1229" s="82"/>
      <c r="DB1229" s="55"/>
      <c r="DC1229" s="55"/>
      <c r="DD1229" s="55"/>
      <c r="DE1229" s="55"/>
      <c r="DF1229" s="55"/>
      <c r="DG1229" s="55"/>
      <c r="DH1229" s="55"/>
      <c r="DI1229" s="55"/>
      <c r="DJ1229" s="55"/>
      <c r="DK1229" s="55"/>
      <c r="DL1229" s="55"/>
      <c r="DM1229" s="55"/>
      <c r="DN1229" s="55"/>
      <c r="DO1229" s="55"/>
      <c r="DP1229" s="55"/>
      <c r="DQ1229" s="55"/>
      <c r="DR1229" s="55"/>
      <c r="DS1229" s="55"/>
      <c r="DT1229" s="55"/>
      <c r="DU1229" s="55"/>
      <c r="DV1229" s="55"/>
      <c r="DW1229" s="55"/>
    </row>
    <row r="1230">
      <c r="A1230" s="23" t="s">
        <v>64</v>
      </c>
      <c r="B1230" s="23" t="s">
        <v>56</v>
      </c>
      <c r="C1230" s="31" t="s">
        <v>2706</v>
      </c>
      <c r="D1230" s="25" t="str">
        <f>IFERROR(__xludf.DUMMYFUNCTION("SPLIT(C1230,"" "")"),"Hofland,")</f>
        <v>Hofland,</v>
      </c>
      <c r="E1230" s="22" t="str">
        <f>IFERROR(__xludf.DUMMYFUNCTION("""COMPUTED_VALUE"""),"Amy
7278")</f>
        <v>Amy
7278</v>
      </c>
      <c r="F1230" s="22" t="str">
        <f>IFERROR(__xludf.DUMMYFUNCTION("""COMPUTED_VALUE"""),"Williamson")</f>
        <v>Williamson</v>
      </c>
      <c r="G1230" s="22" t="str">
        <f>IFERROR(__xludf.DUMMYFUNCTION("""COMPUTED_VALUE"""),"Circle
Dallas,")</f>
        <v>Circle
Dallas,</v>
      </c>
      <c r="H1230" s="22" t="str">
        <f>IFERROR(__xludf.DUMMYFUNCTION("""COMPUTED_VALUE"""),"TX")</f>
        <v>TX</v>
      </c>
      <c r="I1230" s="22">
        <f>IFERROR(__xludf.DUMMYFUNCTION("""COMPUTED_VALUE"""),75214.0)</f>
        <v>75214</v>
      </c>
      <c r="J1230" s="22"/>
      <c r="K1230" s="22"/>
      <c r="L1230" s="22"/>
      <c r="M1230" s="22"/>
      <c r="N1230" s="22"/>
      <c r="O1230" s="22"/>
      <c r="P1230" s="22"/>
      <c r="Q1230" s="22"/>
      <c r="R1230" s="22"/>
      <c r="S1230" s="22"/>
      <c r="T1230" s="22"/>
      <c r="U1230" s="24" t="str">
        <f>IFERROR(__xludf.DUMMYFUNCTION("SPLIT(E1230,""01234567890"")"),"Amy
")</f>
        <v>Amy
</v>
      </c>
      <c r="V1230" s="24" t="str">
        <f>IFERROR(__xludf.DUMMYFUNCTION("SPLIT(D1230,"","")"),"Hofland")</f>
        <v>Hofland</v>
      </c>
      <c r="W1230" s="25" t="str">
        <f t="shared" si="1"/>
        <v>AMY
 HOFLAND</v>
      </c>
      <c r="X1230" s="22"/>
      <c r="Y1230" s="22"/>
      <c r="Z1230" s="25" t="str">
        <f>IFERROR(__xludf.DUMMYFUNCTION("SPLIT(C1230,""
"")"),"Hofland, Amy")</f>
        <v>Hofland, Amy</v>
      </c>
      <c r="AA1230" s="22" t="str">
        <f>IFERROR(__xludf.DUMMYFUNCTION("""COMPUTED_VALUE"""),"7278 Williamson Circle")</f>
        <v>7278 Williamson Circle</v>
      </c>
      <c r="AB1230" s="22" t="str">
        <f>IFERROR(__xludf.DUMMYFUNCTION("""COMPUTED_VALUE"""),"Dallas, TX 75214")</f>
        <v>Dallas, TX 75214</v>
      </c>
      <c r="AC1230" s="31" t="s">
        <v>2707</v>
      </c>
      <c r="AD1230" s="22"/>
      <c r="AE1230" s="22"/>
      <c r="AF1230" s="22"/>
      <c r="AG1230" s="22" t="s">
        <v>60</v>
      </c>
      <c r="AH1230" s="54">
        <v>2486.0</v>
      </c>
      <c r="AI1230" s="22" t="s">
        <v>68</v>
      </c>
      <c r="AJ1230" s="27">
        <v>250.0</v>
      </c>
      <c r="AK1230" s="31" t="s">
        <v>24</v>
      </c>
      <c r="AL1230" s="28">
        <v>44901.0</v>
      </c>
      <c r="AM1230" s="29">
        <v>44942.42989583333</v>
      </c>
      <c r="AN1230" s="30">
        <v>2.0</v>
      </c>
      <c r="AO1230" s="22"/>
      <c r="AP1230" s="22"/>
      <c r="AQ1230" s="22"/>
      <c r="AR1230" s="22"/>
      <c r="AS1230" s="22"/>
      <c r="AT1230" s="70"/>
      <c r="AU1230" s="22"/>
      <c r="AV1230" s="57"/>
      <c r="AW1230" s="57"/>
      <c r="AX1230" s="70"/>
      <c r="AY1230" s="29"/>
      <c r="AZ1230" s="30"/>
      <c r="CU1230" s="55"/>
      <c r="CV1230" s="55"/>
      <c r="CW1230" s="55"/>
      <c r="CX1230" s="55"/>
      <c r="CY1230" s="55"/>
      <c r="CZ1230" s="55"/>
      <c r="DA1230" s="82"/>
      <c r="DB1230" s="55"/>
      <c r="DC1230" s="55"/>
      <c r="DD1230" s="55"/>
      <c r="DE1230" s="55"/>
      <c r="DF1230" s="55"/>
      <c r="DG1230" s="55"/>
      <c r="DH1230" s="55"/>
      <c r="DI1230" s="55"/>
      <c r="DJ1230" s="55"/>
      <c r="DK1230" s="55"/>
      <c r="DL1230" s="55"/>
      <c r="DM1230" s="55"/>
      <c r="DN1230" s="55"/>
      <c r="DO1230" s="55"/>
      <c r="DP1230" s="55"/>
      <c r="DQ1230" s="55"/>
      <c r="DR1230" s="55"/>
      <c r="DS1230" s="55"/>
      <c r="DT1230" s="55"/>
      <c r="DU1230" s="55"/>
      <c r="DV1230" s="55"/>
      <c r="DW1230" s="55"/>
    </row>
    <row r="1231">
      <c r="A1231" s="41" t="s">
        <v>64</v>
      </c>
      <c r="B1231" s="41" t="s">
        <v>56</v>
      </c>
      <c r="C1231" s="31" t="s">
        <v>2708</v>
      </c>
      <c r="D1231" s="25" t="str">
        <f>IFERROR(__xludf.DUMMYFUNCTION("SPLIT(C1231,"" "")"),"Casey,")</f>
        <v>Casey,</v>
      </c>
      <c r="E1231" s="40" t="str">
        <f>IFERROR(__xludf.DUMMYFUNCTION("""COMPUTED_VALUE"""),"Karen
6100")</f>
        <v>Karen
6100</v>
      </c>
      <c r="F1231" s="40" t="str">
        <f>IFERROR(__xludf.DUMMYFUNCTION("""COMPUTED_VALUE"""),"Tremont")</f>
        <v>Tremont</v>
      </c>
      <c r="G1231" s="40" t="str">
        <f>IFERROR(__xludf.DUMMYFUNCTION("""COMPUTED_VALUE"""),"St
Dallas,")</f>
        <v>St
Dallas,</v>
      </c>
      <c r="H1231" s="40" t="str">
        <f>IFERROR(__xludf.DUMMYFUNCTION("""COMPUTED_VALUE"""),"TX")</f>
        <v>TX</v>
      </c>
      <c r="I1231" s="40">
        <f>IFERROR(__xludf.DUMMYFUNCTION("""COMPUTED_VALUE"""),75214.0)</f>
        <v>75214</v>
      </c>
      <c r="J1231" s="40"/>
      <c r="K1231" s="40"/>
      <c r="L1231" s="40"/>
      <c r="M1231" s="40"/>
      <c r="N1231" s="40"/>
      <c r="O1231" s="40"/>
      <c r="P1231" s="40"/>
      <c r="Q1231" s="40"/>
      <c r="R1231" s="40"/>
      <c r="S1231" s="40"/>
      <c r="T1231" s="40"/>
      <c r="U1231" s="24" t="str">
        <f>IFERROR(__xludf.DUMMYFUNCTION("SPLIT(E1231,""01234567890"")"),"Karen
")</f>
        <v>Karen
</v>
      </c>
      <c r="V1231" s="24" t="str">
        <f>IFERROR(__xludf.DUMMYFUNCTION("SPLIT(D1231,"","")"),"Casey")</f>
        <v>Casey</v>
      </c>
      <c r="W1231" s="25" t="str">
        <f t="shared" si="1"/>
        <v>KAREN
 CASEY</v>
      </c>
      <c r="X1231" s="40"/>
      <c r="Y1231" s="40"/>
      <c r="Z1231" s="25" t="str">
        <f>IFERROR(__xludf.DUMMYFUNCTION("SPLIT(C1231,""
"")"),"Casey, Karen")</f>
        <v>Casey, Karen</v>
      </c>
      <c r="AA1231" s="40" t="str">
        <f>IFERROR(__xludf.DUMMYFUNCTION("""COMPUTED_VALUE"""),"6100 Tremont St")</f>
        <v>6100 Tremont St</v>
      </c>
      <c r="AB1231" s="40" t="str">
        <f>IFERROR(__xludf.DUMMYFUNCTION("""COMPUTED_VALUE"""),"Dallas, TX 75214")</f>
        <v>Dallas, TX 75214</v>
      </c>
      <c r="AC1231" s="31" t="s">
        <v>1586</v>
      </c>
      <c r="AD1231" s="40"/>
      <c r="AE1231" s="40"/>
      <c r="AF1231" s="40"/>
      <c r="AG1231" s="40" t="s">
        <v>60</v>
      </c>
      <c r="AH1231" s="42">
        <v>2486.0</v>
      </c>
      <c r="AI1231" s="40" t="s">
        <v>68</v>
      </c>
      <c r="AJ1231" s="27">
        <v>50.0</v>
      </c>
      <c r="AK1231" s="31" t="s">
        <v>24</v>
      </c>
      <c r="AL1231" s="43">
        <v>44903.0</v>
      </c>
      <c r="AM1231" s="44">
        <v>44942.42989583333</v>
      </c>
      <c r="AN1231" s="30">
        <v>2.0</v>
      </c>
      <c r="AO1231" s="40"/>
      <c r="AP1231" s="40"/>
      <c r="AQ1231" s="40"/>
      <c r="AR1231" s="40"/>
      <c r="AS1231" s="40"/>
      <c r="AT1231" s="47"/>
      <c r="AU1231" s="40"/>
      <c r="AV1231" s="46"/>
      <c r="AW1231" s="46"/>
      <c r="AX1231" s="47"/>
      <c r="AY1231" s="44"/>
      <c r="AZ1231" s="30"/>
      <c r="CU1231" s="55"/>
      <c r="CV1231" s="55"/>
      <c r="CW1231" s="55"/>
      <c r="CX1231" s="55"/>
      <c r="CY1231" s="55"/>
      <c r="CZ1231" s="55"/>
      <c r="DA1231" s="82"/>
      <c r="DB1231" s="55"/>
      <c r="DC1231" s="55"/>
      <c r="DD1231" s="55"/>
      <c r="DE1231" s="55"/>
      <c r="DF1231" s="55"/>
      <c r="DG1231" s="55"/>
      <c r="DH1231" s="55"/>
      <c r="DI1231" s="55"/>
      <c r="DJ1231" s="55"/>
      <c r="DK1231" s="55"/>
      <c r="DL1231" s="55"/>
      <c r="DM1231" s="55"/>
      <c r="DN1231" s="55"/>
      <c r="DO1231" s="55"/>
      <c r="DP1231" s="55"/>
      <c r="DQ1231" s="55"/>
      <c r="DR1231" s="55"/>
      <c r="DS1231" s="55"/>
      <c r="DT1231" s="55"/>
      <c r="DU1231" s="55"/>
      <c r="DV1231" s="55"/>
      <c r="DW1231" s="55"/>
    </row>
    <row r="1232">
      <c r="A1232" s="23" t="s">
        <v>64</v>
      </c>
      <c r="B1232" s="23" t="s">
        <v>56</v>
      </c>
      <c r="C1232" s="31" t="s">
        <v>1495</v>
      </c>
      <c r="D1232" s="25" t="str">
        <f>IFERROR(__xludf.DUMMYFUNCTION("SPLIT(C1232,"" "")"),"Suhm,")</f>
        <v>Suhm,</v>
      </c>
      <c r="E1232" s="22" t="str">
        <f>IFERROR(__xludf.DUMMYFUNCTION("""COMPUTED_VALUE"""),"Mary
12703")</f>
        <v>Mary
12703</v>
      </c>
      <c r="F1232" s="22" t="str">
        <f>IFERROR(__xludf.DUMMYFUNCTION("""COMPUTED_VALUE"""),"Nutty")</f>
        <v>Nutty</v>
      </c>
      <c r="G1232" s="22" t="str">
        <f>IFERROR(__xludf.DUMMYFUNCTION("""COMPUTED_VALUE"""),"Brown")</f>
        <v>Brown</v>
      </c>
      <c r="H1232" s="22" t="str">
        <f>IFERROR(__xludf.DUMMYFUNCTION("""COMPUTED_VALUE"""),"Rd
Austin,")</f>
        <v>Rd
Austin,</v>
      </c>
      <c r="I1232" s="22" t="str">
        <f>IFERROR(__xludf.DUMMYFUNCTION("""COMPUTED_VALUE"""),"TX")</f>
        <v>TX</v>
      </c>
      <c r="J1232" s="22">
        <f>IFERROR(__xludf.DUMMYFUNCTION("""COMPUTED_VALUE"""),78737.0)</f>
        <v>78737</v>
      </c>
      <c r="K1232" s="22"/>
      <c r="L1232" s="22"/>
      <c r="M1232" s="22"/>
      <c r="N1232" s="22"/>
      <c r="O1232" s="22"/>
      <c r="P1232" s="22"/>
      <c r="Q1232" s="22"/>
      <c r="R1232" s="22"/>
      <c r="S1232" s="22"/>
      <c r="T1232" s="22"/>
      <c r="U1232" s="24" t="str">
        <f>IFERROR(__xludf.DUMMYFUNCTION("SPLIT(E1232,""01234567890"")"),"Mary
")</f>
        <v>Mary
</v>
      </c>
      <c r="V1232" s="24" t="str">
        <f>IFERROR(__xludf.DUMMYFUNCTION("SPLIT(D1232,"","")"),"Suhm")</f>
        <v>Suhm</v>
      </c>
      <c r="W1232" s="25" t="str">
        <f t="shared" si="1"/>
        <v>MARY
 SUHM</v>
      </c>
      <c r="X1232" s="22"/>
      <c r="Y1232" s="22"/>
      <c r="Z1232" s="25" t="str">
        <f>IFERROR(__xludf.DUMMYFUNCTION("SPLIT(C1232,""
"")"),"Suhm, Mary")</f>
        <v>Suhm, Mary</v>
      </c>
      <c r="AA1232" s="22" t="str">
        <f>IFERROR(__xludf.DUMMYFUNCTION("""COMPUTED_VALUE"""),"12703 Nutty Brown Rd")</f>
        <v>12703 Nutty Brown Rd</v>
      </c>
      <c r="AB1232" s="22" t="str">
        <f>IFERROR(__xludf.DUMMYFUNCTION("""COMPUTED_VALUE"""),"Austin, TX 78737")</f>
        <v>Austin, TX 78737</v>
      </c>
      <c r="AC1232" s="31" t="s">
        <v>1497</v>
      </c>
      <c r="AD1232" s="22"/>
      <c r="AE1232" s="22"/>
      <c r="AF1232" s="22"/>
      <c r="AG1232" s="22" t="s">
        <v>60</v>
      </c>
      <c r="AH1232" s="54">
        <v>2486.0</v>
      </c>
      <c r="AI1232" s="22" t="s">
        <v>68</v>
      </c>
      <c r="AJ1232" s="27">
        <v>50.0</v>
      </c>
      <c r="AK1232" s="31" t="s">
        <v>24</v>
      </c>
      <c r="AL1232" s="28">
        <v>44903.0</v>
      </c>
      <c r="AM1232" s="29">
        <v>44942.42989583333</v>
      </c>
      <c r="AN1232" s="30">
        <v>2.0</v>
      </c>
      <c r="AO1232" s="22"/>
      <c r="AP1232" s="22"/>
      <c r="AQ1232" s="22"/>
      <c r="AR1232" s="22"/>
      <c r="AS1232" s="22"/>
      <c r="AT1232" s="70"/>
      <c r="AU1232" s="22"/>
      <c r="AV1232" s="57"/>
      <c r="AW1232" s="57"/>
      <c r="AX1232" s="70"/>
      <c r="AY1232" s="29"/>
      <c r="AZ1232" s="30"/>
      <c r="CU1232" s="55"/>
      <c r="CV1232" s="55"/>
      <c r="CW1232" s="55"/>
      <c r="CX1232" s="55"/>
      <c r="CY1232" s="55"/>
      <c r="CZ1232" s="55"/>
      <c r="DA1232" s="82"/>
      <c r="DB1232" s="55"/>
      <c r="DC1232" s="55"/>
      <c r="DD1232" s="55"/>
      <c r="DE1232" s="55"/>
      <c r="DF1232" s="55"/>
      <c r="DG1232" s="55"/>
      <c r="DH1232" s="55"/>
      <c r="DI1232" s="55"/>
      <c r="DJ1232" s="55"/>
      <c r="DK1232" s="55"/>
      <c r="DL1232" s="55"/>
      <c r="DM1232" s="55"/>
      <c r="DN1232" s="55"/>
      <c r="DO1232" s="55"/>
      <c r="DP1232" s="55"/>
      <c r="DQ1232" s="55"/>
      <c r="DR1232" s="55"/>
      <c r="DS1232" s="55"/>
      <c r="DT1232" s="55"/>
      <c r="DU1232" s="55"/>
      <c r="DV1232" s="55"/>
      <c r="DW1232" s="55"/>
    </row>
    <row r="1233">
      <c r="A1233" s="41" t="s">
        <v>64</v>
      </c>
      <c r="B1233" s="41" t="s">
        <v>56</v>
      </c>
      <c r="C1233" s="31" t="s">
        <v>2709</v>
      </c>
      <c r="D1233" s="25" t="str">
        <f>IFERROR(__xludf.DUMMYFUNCTION("SPLIT(C1233,"" "")"),"Boone,")</f>
        <v>Boone,</v>
      </c>
      <c r="E1233" s="40" t="str">
        <f>IFERROR(__xludf.DUMMYFUNCTION("""COMPUTED_VALUE"""),"Garrett
4809")</f>
        <v>Garrett
4809</v>
      </c>
      <c r="F1233" s="40" t="str">
        <f>IFERROR(__xludf.DUMMYFUNCTION("""COMPUTED_VALUE"""),"Cole")</f>
        <v>Cole</v>
      </c>
      <c r="G1233" s="40" t="str">
        <f>IFERROR(__xludf.DUMMYFUNCTION("""COMPUTED_VALUE"""),"Ave
Dallas,")</f>
        <v>Ave
Dallas,</v>
      </c>
      <c r="H1233" s="40" t="str">
        <f>IFERROR(__xludf.DUMMYFUNCTION("""COMPUTED_VALUE"""),"TX")</f>
        <v>TX</v>
      </c>
      <c r="I1233" s="40">
        <f>IFERROR(__xludf.DUMMYFUNCTION("""COMPUTED_VALUE"""),75205.0)</f>
        <v>75205</v>
      </c>
      <c r="J1233" s="40"/>
      <c r="K1233" s="40"/>
      <c r="L1233" s="40"/>
      <c r="M1233" s="40"/>
      <c r="N1233" s="40"/>
      <c r="O1233" s="40"/>
      <c r="P1233" s="40"/>
      <c r="Q1233" s="40"/>
      <c r="R1233" s="40"/>
      <c r="S1233" s="40"/>
      <c r="T1233" s="40"/>
      <c r="U1233" s="24" t="str">
        <f>IFERROR(__xludf.DUMMYFUNCTION("SPLIT(E1233,""01234567890"")"),"Garrett
")</f>
        <v>Garrett
</v>
      </c>
      <c r="V1233" s="24" t="str">
        <f>IFERROR(__xludf.DUMMYFUNCTION("SPLIT(D1233,"","")"),"Boone")</f>
        <v>Boone</v>
      </c>
      <c r="W1233" s="25" t="str">
        <f t="shared" si="1"/>
        <v>GARRETT
 BOONE</v>
      </c>
      <c r="X1233" s="40"/>
      <c r="Y1233" s="40"/>
      <c r="Z1233" s="25" t="str">
        <f>IFERROR(__xludf.DUMMYFUNCTION("SPLIT(C1233,""
"")"),"Boone, Garrett")</f>
        <v>Boone, Garrett</v>
      </c>
      <c r="AA1233" s="40" t="str">
        <f>IFERROR(__xludf.DUMMYFUNCTION("""COMPUTED_VALUE"""),"4809 Cole Ave")</f>
        <v>4809 Cole Ave</v>
      </c>
      <c r="AB1233" s="40" t="str">
        <f>IFERROR(__xludf.DUMMYFUNCTION("""COMPUTED_VALUE"""),"Dallas, TX 75205")</f>
        <v>Dallas, TX 75205</v>
      </c>
      <c r="AC1233" s="31" t="s">
        <v>2710</v>
      </c>
      <c r="AD1233" s="40"/>
      <c r="AE1233" s="40"/>
      <c r="AF1233" s="40"/>
      <c r="AG1233" s="40" t="s">
        <v>60</v>
      </c>
      <c r="AH1233" s="42">
        <v>2486.0</v>
      </c>
      <c r="AI1233" s="40" t="s">
        <v>68</v>
      </c>
      <c r="AJ1233" s="27">
        <v>1000.0</v>
      </c>
      <c r="AK1233" s="31" t="s">
        <v>24</v>
      </c>
      <c r="AL1233" s="43">
        <v>44903.0</v>
      </c>
      <c r="AM1233" s="44">
        <v>44942.42989583333</v>
      </c>
      <c r="AN1233" s="30">
        <v>2.0</v>
      </c>
      <c r="AO1233" s="40"/>
      <c r="AP1233" s="40"/>
      <c r="AQ1233" s="40"/>
      <c r="AR1233" s="40"/>
      <c r="AS1233" s="40"/>
      <c r="AT1233" s="47"/>
      <c r="AU1233" s="40"/>
      <c r="AV1233" s="46"/>
      <c r="AW1233" s="46"/>
      <c r="AX1233" s="47"/>
      <c r="AY1233" s="44"/>
      <c r="AZ1233" s="30"/>
      <c r="CU1233" s="55"/>
      <c r="CV1233" s="55"/>
      <c r="CW1233" s="55"/>
      <c r="CX1233" s="55"/>
      <c r="CY1233" s="55"/>
      <c r="CZ1233" s="55"/>
      <c r="DA1233" s="82"/>
      <c r="DB1233" s="55"/>
      <c r="DC1233" s="55"/>
      <c r="DD1233" s="55"/>
      <c r="DE1233" s="55"/>
      <c r="DF1233" s="55"/>
      <c r="DG1233" s="55"/>
      <c r="DH1233" s="55"/>
      <c r="DI1233" s="55"/>
      <c r="DJ1233" s="55"/>
      <c r="DK1233" s="55"/>
      <c r="DL1233" s="55"/>
      <c r="DM1233" s="55"/>
      <c r="DN1233" s="55"/>
      <c r="DO1233" s="55"/>
      <c r="DP1233" s="55"/>
      <c r="DQ1233" s="55"/>
      <c r="DR1233" s="55"/>
      <c r="DS1233" s="55"/>
      <c r="DT1233" s="55"/>
      <c r="DU1233" s="55"/>
      <c r="DV1233" s="55"/>
      <c r="DW1233" s="55"/>
    </row>
    <row r="1234">
      <c r="A1234" s="23" t="s">
        <v>64</v>
      </c>
      <c r="B1234" s="23" t="s">
        <v>56</v>
      </c>
      <c r="C1234" s="31" t="s">
        <v>2671</v>
      </c>
      <c r="D1234" s="25" t="str">
        <f>IFERROR(__xludf.DUMMYFUNCTION("SPLIT(C1234,"" "")"),"Henry,")</f>
        <v>Henry,</v>
      </c>
      <c r="E1234" s="22" t="str">
        <f>IFERROR(__xludf.DUMMYFUNCTION("""COMPUTED_VALUE"""),"Barry
1717")</f>
        <v>Barry
1717</v>
      </c>
      <c r="F1234" s="22" t="str">
        <f>IFERROR(__xludf.DUMMYFUNCTION("""COMPUTED_VALUE"""),"Arts")</f>
        <v>Arts</v>
      </c>
      <c r="G1234" s="22" t="str">
        <f>IFERROR(__xludf.DUMMYFUNCTION("""COMPUTED_VALUE"""),"Plaza")</f>
        <v>Plaza</v>
      </c>
      <c r="H1234" s="22" t="str">
        <f>IFERROR(__xludf.DUMMYFUNCTION("""COMPUTED_VALUE"""),"Residence")</f>
        <v>Residence</v>
      </c>
      <c r="I1234" s="22" t="str">
        <f>IFERROR(__xludf.DUMMYFUNCTION("""COMPUTED_VALUE"""),"1801
Dallas,")</f>
        <v>1801
Dallas,</v>
      </c>
      <c r="J1234" s="22" t="str">
        <f>IFERROR(__xludf.DUMMYFUNCTION("""COMPUTED_VALUE"""),"TX")</f>
        <v>TX</v>
      </c>
      <c r="K1234" s="22">
        <f>IFERROR(__xludf.DUMMYFUNCTION("""COMPUTED_VALUE"""),75201.0)</f>
        <v>75201</v>
      </c>
      <c r="L1234" s="22"/>
      <c r="M1234" s="22"/>
      <c r="N1234" s="22"/>
      <c r="O1234" s="22"/>
      <c r="P1234" s="22"/>
      <c r="Q1234" s="22"/>
      <c r="R1234" s="22"/>
      <c r="S1234" s="22"/>
      <c r="T1234" s="22"/>
      <c r="U1234" s="24" t="str">
        <f>IFERROR(__xludf.DUMMYFUNCTION("SPLIT(E1234,""01234567890"")"),"Barry
")</f>
        <v>Barry
</v>
      </c>
      <c r="V1234" s="24" t="str">
        <f>IFERROR(__xludf.DUMMYFUNCTION("SPLIT(D1234,"","")"),"Henry")</f>
        <v>Henry</v>
      </c>
      <c r="W1234" s="25" t="str">
        <f t="shared" si="1"/>
        <v>BARRY
 HENRY</v>
      </c>
      <c r="X1234" s="22"/>
      <c r="Y1234" s="22"/>
      <c r="Z1234" s="25" t="str">
        <f>IFERROR(__xludf.DUMMYFUNCTION("SPLIT(C1234,""
"")"),"Henry, Barry")</f>
        <v>Henry, Barry</v>
      </c>
      <c r="AA1234" s="22" t="str">
        <f>IFERROR(__xludf.DUMMYFUNCTION("""COMPUTED_VALUE"""),"1717 Arts Plaza Residence 1801")</f>
        <v>1717 Arts Plaza Residence 1801</v>
      </c>
      <c r="AB1234" s="22" t="str">
        <f>IFERROR(__xludf.DUMMYFUNCTION("""COMPUTED_VALUE"""),"Dallas, TX 75201")</f>
        <v>Dallas, TX 75201</v>
      </c>
      <c r="AC1234" s="31" t="s">
        <v>1376</v>
      </c>
      <c r="AD1234" s="22"/>
      <c r="AE1234" s="22"/>
      <c r="AF1234" s="22"/>
      <c r="AG1234" s="22" t="s">
        <v>60</v>
      </c>
      <c r="AH1234" s="54">
        <v>2486.0</v>
      </c>
      <c r="AI1234" s="22" t="s">
        <v>68</v>
      </c>
      <c r="AJ1234" s="27">
        <v>50.0</v>
      </c>
      <c r="AK1234" s="31" t="s">
        <v>24</v>
      </c>
      <c r="AL1234" s="28">
        <v>44904.0</v>
      </c>
      <c r="AM1234" s="29">
        <v>44942.42989583333</v>
      </c>
      <c r="AN1234" s="30">
        <v>2.0</v>
      </c>
      <c r="AO1234" s="22"/>
      <c r="AP1234" s="22"/>
      <c r="AQ1234" s="22"/>
      <c r="AR1234" s="22"/>
      <c r="AS1234" s="22"/>
      <c r="AT1234" s="70"/>
      <c r="AU1234" s="22"/>
      <c r="AV1234" s="57"/>
      <c r="AW1234" s="57"/>
      <c r="AX1234" s="70"/>
      <c r="AY1234" s="29"/>
      <c r="AZ1234" s="30"/>
      <c r="CU1234" s="55"/>
      <c r="CV1234" s="55"/>
      <c r="CW1234" s="55"/>
      <c r="CX1234" s="55"/>
      <c r="CY1234" s="55"/>
      <c r="CZ1234" s="55"/>
      <c r="DA1234" s="82"/>
      <c r="DB1234" s="55"/>
      <c r="DC1234" s="55"/>
      <c r="DD1234" s="55"/>
      <c r="DE1234" s="55"/>
      <c r="DF1234" s="55"/>
      <c r="DG1234" s="55"/>
      <c r="DH1234" s="55"/>
      <c r="DI1234" s="55"/>
      <c r="DJ1234" s="55"/>
      <c r="DK1234" s="55"/>
      <c r="DL1234" s="55"/>
      <c r="DM1234" s="55"/>
      <c r="DN1234" s="55"/>
      <c r="DO1234" s="55"/>
      <c r="DP1234" s="55"/>
      <c r="DQ1234" s="55"/>
      <c r="DR1234" s="55"/>
      <c r="DS1234" s="55"/>
      <c r="DT1234" s="55"/>
      <c r="DU1234" s="55"/>
      <c r="DV1234" s="55"/>
      <c r="DW1234" s="55"/>
    </row>
    <row r="1235">
      <c r="A1235" s="41" t="s">
        <v>64</v>
      </c>
      <c r="B1235" s="41" t="s">
        <v>56</v>
      </c>
      <c r="C1235" s="31" t="s">
        <v>69</v>
      </c>
      <c r="D1235" s="25" t="str">
        <f>IFERROR(__xludf.DUMMYFUNCTION("SPLIT(C1235,"" "")"),"Abrams,")</f>
        <v>Abrams,</v>
      </c>
      <c r="E1235" s="40" t="str">
        <f>IFERROR(__xludf.DUMMYFUNCTION("""COMPUTED_VALUE"""),"John
6427")</f>
        <v>John
6427</v>
      </c>
      <c r="F1235" s="40" t="str">
        <f>IFERROR(__xludf.DUMMYFUNCTION("""COMPUTED_VALUE"""),"Bob")</f>
        <v>Bob</v>
      </c>
      <c r="G1235" s="40" t="str">
        <f>IFERROR(__xludf.DUMMYFUNCTION("""COMPUTED_VALUE"""),"O")</f>
        <v>O</v>
      </c>
      <c r="H1235" s="40" t="str">
        <f>IFERROR(__xludf.DUMMYFUNCTION("""COMPUTED_VALUE"""),"Link")</f>
        <v>Link</v>
      </c>
      <c r="I1235" s="40" t="str">
        <f>IFERROR(__xludf.DUMMYFUNCTION("""COMPUTED_VALUE"""),"Dr.
Dallas,")</f>
        <v>Dr.
Dallas,</v>
      </c>
      <c r="J1235" s="40" t="str">
        <f>IFERROR(__xludf.DUMMYFUNCTION("""COMPUTED_VALUE"""),"TX")</f>
        <v>TX</v>
      </c>
      <c r="K1235" s="40">
        <f>IFERROR(__xludf.DUMMYFUNCTION("""COMPUTED_VALUE"""),75214.0)</f>
        <v>75214</v>
      </c>
      <c r="L1235" s="40"/>
      <c r="M1235" s="40"/>
      <c r="N1235" s="40"/>
      <c r="O1235" s="40"/>
      <c r="P1235" s="40"/>
      <c r="Q1235" s="40"/>
      <c r="R1235" s="40"/>
      <c r="S1235" s="40"/>
      <c r="T1235" s="40"/>
      <c r="U1235" s="24" t="str">
        <f>IFERROR(__xludf.DUMMYFUNCTION("SPLIT(E1235,""01234567890"")"),"John
")</f>
        <v>John
</v>
      </c>
      <c r="V1235" s="24" t="str">
        <f>IFERROR(__xludf.DUMMYFUNCTION("SPLIT(D1235,"","")"),"Abrams")</f>
        <v>Abrams</v>
      </c>
      <c r="W1235" s="25" t="str">
        <f t="shared" si="1"/>
        <v>JOHN
 ABRAMS</v>
      </c>
      <c r="X1235" s="40"/>
      <c r="Y1235" s="40"/>
      <c r="Z1235" s="25" t="str">
        <f>IFERROR(__xludf.DUMMYFUNCTION("SPLIT(C1235,""
"")"),"Abrams, John")</f>
        <v>Abrams, John</v>
      </c>
      <c r="AA1235" s="40" t="str">
        <f>IFERROR(__xludf.DUMMYFUNCTION("""COMPUTED_VALUE"""),"6427 Bob O Link Dr.")</f>
        <v>6427 Bob O Link Dr.</v>
      </c>
      <c r="AB1235" s="40" t="str">
        <f>IFERROR(__xludf.DUMMYFUNCTION("""COMPUTED_VALUE"""),"Dallas, TX 75214")</f>
        <v>Dallas, TX 75214</v>
      </c>
      <c r="AC1235" s="31" t="s">
        <v>71</v>
      </c>
      <c r="AD1235" s="40"/>
      <c r="AE1235" s="40"/>
      <c r="AF1235" s="40"/>
      <c r="AG1235" s="40" t="s">
        <v>60</v>
      </c>
      <c r="AH1235" s="42">
        <v>2486.0</v>
      </c>
      <c r="AI1235" s="40" t="s">
        <v>68</v>
      </c>
      <c r="AJ1235" s="27">
        <v>50.0</v>
      </c>
      <c r="AK1235" s="31" t="s">
        <v>24</v>
      </c>
      <c r="AL1235" s="43">
        <v>44906.0</v>
      </c>
      <c r="AM1235" s="44">
        <v>44942.42989583333</v>
      </c>
      <c r="AN1235" s="30">
        <v>2.0</v>
      </c>
      <c r="AO1235" s="40"/>
      <c r="AP1235" s="40"/>
      <c r="AQ1235" s="40"/>
      <c r="AR1235" s="40"/>
      <c r="AS1235" s="40"/>
      <c r="AT1235" s="47"/>
      <c r="AU1235" s="40"/>
      <c r="AV1235" s="46"/>
      <c r="AW1235" s="46"/>
      <c r="AX1235" s="47"/>
      <c r="AY1235" s="44"/>
      <c r="AZ1235" s="30"/>
      <c r="CU1235" s="55"/>
      <c r="CV1235" s="55"/>
      <c r="CW1235" s="55"/>
      <c r="CX1235" s="55"/>
      <c r="CY1235" s="55"/>
      <c r="CZ1235" s="55"/>
      <c r="DA1235" s="82"/>
      <c r="DB1235" s="55"/>
      <c r="DC1235" s="55"/>
      <c r="DD1235" s="55"/>
      <c r="DE1235" s="55"/>
      <c r="DF1235" s="55"/>
      <c r="DG1235" s="55"/>
      <c r="DH1235" s="55"/>
      <c r="DI1235" s="55"/>
      <c r="DJ1235" s="55"/>
      <c r="DK1235" s="55"/>
      <c r="DL1235" s="55"/>
      <c r="DM1235" s="55"/>
      <c r="DN1235" s="55"/>
      <c r="DO1235" s="55"/>
      <c r="DP1235" s="55"/>
      <c r="DQ1235" s="55"/>
      <c r="DR1235" s="55"/>
      <c r="DS1235" s="55"/>
      <c r="DT1235" s="55"/>
      <c r="DU1235" s="55"/>
      <c r="DV1235" s="55"/>
      <c r="DW1235" s="55"/>
    </row>
    <row r="1236">
      <c r="A1236" s="23" t="s">
        <v>64</v>
      </c>
      <c r="B1236" s="23" t="s">
        <v>56</v>
      </c>
      <c r="C1236" s="31" t="s">
        <v>2681</v>
      </c>
      <c r="D1236" s="25" t="str">
        <f>IFERROR(__xludf.DUMMYFUNCTION("SPLIT(C1236,"" "")"),"Conner,")</f>
        <v>Conner,</v>
      </c>
      <c r="E1236" s="22" t="str">
        <f>IFERROR(__xludf.DUMMYFUNCTION("""COMPUTED_VALUE"""),"Terry
7110")</f>
        <v>Terry
7110</v>
      </c>
      <c r="F1236" s="22" t="str">
        <f>IFERROR(__xludf.DUMMYFUNCTION("""COMPUTED_VALUE"""),"Lakewood")</f>
        <v>Lakewood</v>
      </c>
      <c r="G1236" s="22" t="str">
        <f>IFERROR(__xludf.DUMMYFUNCTION("""COMPUTED_VALUE"""),"Boulevard
Dallas,")</f>
        <v>Boulevard
Dallas,</v>
      </c>
      <c r="H1236" s="22" t="str">
        <f>IFERROR(__xludf.DUMMYFUNCTION("""COMPUTED_VALUE"""),"TX")</f>
        <v>TX</v>
      </c>
      <c r="I1236" s="22">
        <f>IFERROR(__xludf.DUMMYFUNCTION("""COMPUTED_VALUE"""),75214.0)</f>
        <v>75214</v>
      </c>
      <c r="J1236" s="22"/>
      <c r="K1236" s="22"/>
      <c r="L1236" s="22"/>
      <c r="M1236" s="22"/>
      <c r="N1236" s="22"/>
      <c r="O1236" s="22"/>
      <c r="P1236" s="22"/>
      <c r="Q1236" s="22"/>
      <c r="R1236" s="22"/>
      <c r="S1236" s="22"/>
      <c r="T1236" s="22"/>
      <c r="U1236" s="24" t="str">
        <f>IFERROR(__xludf.DUMMYFUNCTION("SPLIT(E1236,""01234567890"")"),"Terry
")</f>
        <v>Terry
</v>
      </c>
      <c r="V1236" s="24" t="str">
        <f>IFERROR(__xludf.DUMMYFUNCTION("SPLIT(D1236,"","")"),"Conner")</f>
        <v>Conner</v>
      </c>
      <c r="W1236" s="25" t="str">
        <f t="shared" si="1"/>
        <v>TERRY
 CONNER</v>
      </c>
      <c r="X1236" s="22"/>
      <c r="Y1236" s="22"/>
      <c r="Z1236" s="25" t="str">
        <f>IFERROR(__xludf.DUMMYFUNCTION("SPLIT(C1236,""
"")"),"Conner, Terry")</f>
        <v>Conner, Terry</v>
      </c>
      <c r="AA1236" s="22" t="str">
        <f>IFERROR(__xludf.DUMMYFUNCTION("""COMPUTED_VALUE"""),"7110 Lakewood Boulevard")</f>
        <v>7110 Lakewood Boulevard</v>
      </c>
      <c r="AB1236" s="22" t="str">
        <f>IFERROR(__xludf.DUMMYFUNCTION("""COMPUTED_VALUE"""),"Dallas, TX 75214")</f>
        <v>Dallas, TX 75214</v>
      </c>
      <c r="AC1236" s="31" t="s">
        <v>1391</v>
      </c>
      <c r="AD1236" s="22"/>
      <c r="AE1236" s="22"/>
      <c r="AF1236" s="22"/>
      <c r="AG1236" s="22" t="s">
        <v>60</v>
      </c>
      <c r="AH1236" s="54">
        <v>2486.0</v>
      </c>
      <c r="AI1236" s="22" t="s">
        <v>68</v>
      </c>
      <c r="AJ1236" s="27">
        <v>100.0</v>
      </c>
      <c r="AK1236" s="31" t="s">
        <v>24</v>
      </c>
      <c r="AL1236" s="28">
        <v>44906.0</v>
      </c>
      <c r="AM1236" s="29">
        <v>44942.42989583333</v>
      </c>
      <c r="AN1236" s="30">
        <v>2.0</v>
      </c>
      <c r="AO1236" s="22"/>
      <c r="AP1236" s="22"/>
      <c r="AQ1236" s="22"/>
      <c r="AR1236" s="22"/>
      <c r="AS1236" s="22"/>
      <c r="AT1236" s="70"/>
      <c r="AU1236" s="22"/>
      <c r="AV1236" s="57"/>
      <c r="AW1236" s="57"/>
      <c r="AX1236" s="70"/>
      <c r="AY1236" s="29"/>
      <c r="AZ1236" s="30"/>
      <c r="CU1236" s="55"/>
      <c r="CV1236" s="55"/>
      <c r="CW1236" s="55"/>
      <c r="CX1236" s="55"/>
      <c r="CY1236" s="55"/>
      <c r="CZ1236" s="55"/>
      <c r="DA1236" s="82"/>
      <c r="DB1236" s="55"/>
      <c r="DC1236" s="55"/>
      <c r="DD1236" s="55"/>
      <c r="DE1236" s="55"/>
      <c r="DF1236" s="55"/>
      <c r="DG1236" s="55"/>
      <c r="DH1236" s="55"/>
      <c r="DI1236" s="55"/>
      <c r="DJ1236" s="55"/>
      <c r="DK1236" s="55"/>
      <c r="DL1236" s="55"/>
      <c r="DM1236" s="55"/>
      <c r="DN1236" s="55"/>
      <c r="DO1236" s="55"/>
      <c r="DP1236" s="55"/>
      <c r="DQ1236" s="55"/>
      <c r="DR1236" s="55"/>
      <c r="DS1236" s="55"/>
      <c r="DT1236" s="55"/>
      <c r="DU1236" s="55"/>
      <c r="DV1236" s="55"/>
      <c r="DW1236" s="55"/>
    </row>
    <row r="1237">
      <c r="A1237" s="41" t="s">
        <v>64</v>
      </c>
      <c r="B1237" s="41" t="s">
        <v>56</v>
      </c>
      <c r="C1237" s="31" t="s">
        <v>2711</v>
      </c>
      <c r="D1237" s="25" t="str">
        <f>IFERROR(__xludf.DUMMYFUNCTION("SPLIT(C1237,"" "")"),"Elevation")</f>
        <v>Elevation</v>
      </c>
      <c r="E1237" s="40" t="str">
        <f>IFERROR(__xludf.DUMMYFUNCTION("""COMPUTED_VALUE"""),"Management,")</f>
        <v>Management,</v>
      </c>
      <c r="F1237" s="40" t="str">
        <f>IFERROR(__xludf.DUMMYFUNCTION("""COMPUTED_VALUE"""),"LLC
6208")</f>
        <v>LLC
6208</v>
      </c>
      <c r="G1237" s="40" t="str">
        <f>IFERROR(__xludf.DUMMYFUNCTION("""COMPUTED_VALUE"""),"Copperhill")</f>
        <v>Copperhill</v>
      </c>
      <c r="H1237" s="40" t="str">
        <f>IFERROR(__xludf.DUMMYFUNCTION("""COMPUTED_VALUE"""),"Drive
Dallas,")</f>
        <v>Drive
Dallas,</v>
      </c>
      <c r="I1237" s="40" t="str">
        <f>IFERROR(__xludf.DUMMYFUNCTION("""COMPUTED_VALUE"""),"TX")</f>
        <v>TX</v>
      </c>
      <c r="J1237" s="40">
        <f>IFERROR(__xludf.DUMMYFUNCTION("""COMPUTED_VALUE"""),75248.0)</f>
        <v>75248</v>
      </c>
      <c r="K1237" s="40"/>
      <c r="L1237" s="40"/>
      <c r="M1237" s="40"/>
      <c r="N1237" s="40"/>
      <c r="O1237" s="40"/>
      <c r="P1237" s="40"/>
      <c r="Q1237" s="40"/>
      <c r="R1237" s="40"/>
      <c r="S1237" s="40"/>
      <c r="T1237" s="40"/>
      <c r="U1237" s="24" t="str">
        <f>IFERROR(__xludf.DUMMYFUNCTION("SPLIT(E1237,""01234567890"")"),"Management,")</f>
        <v>Management,</v>
      </c>
      <c r="V1237" s="24" t="str">
        <f>IFERROR(__xludf.DUMMYFUNCTION("SPLIT(D1237,"","")"),"Elevation")</f>
        <v>Elevation</v>
      </c>
      <c r="W1237" s="25" t="str">
        <f t="shared" si="1"/>
        <v>MANAGEMENT, ELEVATION</v>
      </c>
      <c r="X1237" s="40"/>
      <c r="Y1237" s="40"/>
      <c r="Z1237" s="25" t="str">
        <f>IFERROR(__xludf.DUMMYFUNCTION("SPLIT(C1237,""
"")"),"Elevation Management, LLC")</f>
        <v>Elevation Management, LLC</v>
      </c>
      <c r="AA1237" s="40" t="str">
        <f>IFERROR(__xludf.DUMMYFUNCTION("""COMPUTED_VALUE"""),"6208 Copperhill Drive")</f>
        <v>6208 Copperhill Drive</v>
      </c>
      <c r="AB1237" s="40" t="str">
        <f>IFERROR(__xludf.DUMMYFUNCTION("""COMPUTED_VALUE"""),"Dallas, TX 75248")</f>
        <v>Dallas, TX 75248</v>
      </c>
      <c r="AC1237" s="31" t="s">
        <v>2712</v>
      </c>
      <c r="AD1237" s="40"/>
      <c r="AE1237" s="40"/>
      <c r="AF1237" s="40"/>
      <c r="AG1237" s="40" t="s">
        <v>60</v>
      </c>
      <c r="AH1237" s="42">
        <v>2486.0</v>
      </c>
      <c r="AI1237" s="40" t="s">
        <v>68</v>
      </c>
      <c r="AJ1237" s="27">
        <v>250.0</v>
      </c>
      <c r="AK1237" s="31" t="s">
        <v>24</v>
      </c>
      <c r="AL1237" s="43">
        <v>44906.0</v>
      </c>
      <c r="AM1237" s="44">
        <v>44942.42989583333</v>
      </c>
      <c r="AN1237" s="30">
        <v>2.0</v>
      </c>
      <c r="AO1237" s="40"/>
      <c r="AP1237" s="40"/>
      <c r="AQ1237" s="40"/>
      <c r="AR1237" s="40"/>
      <c r="AS1237" s="40"/>
      <c r="AT1237" s="47"/>
      <c r="AU1237" s="40"/>
      <c r="AV1237" s="46"/>
      <c r="AW1237" s="46"/>
      <c r="AX1237" s="47"/>
      <c r="AY1237" s="44"/>
      <c r="AZ1237" s="30"/>
      <c r="CU1237" s="55"/>
      <c r="CV1237" s="55"/>
      <c r="CW1237" s="55"/>
      <c r="CX1237" s="55"/>
      <c r="CY1237" s="55"/>
      <c r="CZ1237" s="55"/>
      <c r="DA1237" s="82"/>
      <c r="DB1237" s="55"/>
      <c r="DC1237" s="55"/>
      <c r="DD1237" s="55"/>
      <c r="DE1237" s="55"/>
      <c r="DF1237" s="55"/>
      <c r="DG1237" s="55"/>
      <c r="DH1237" s="55"/>
      <c r="DI1237" s="55"/>
      <c r="DJ1237" s="55"/>
      <c r="DK1237" s="55"/>
      <c r="DL1237" s="55"/>
      <c r="DM1237" s="55"/>
      <c r="DN1237" s="55"/>
      <c r="DO1237" s="55"/>
      <c r="DP1237" s="55"/>
      <c r="DQ1237" s="55"/>
      <c r="DR1237" s="55"/>
      <c r="DS1237" s="55"/>
      <c r="DT1237" s="55"/>
      <c r="DU1237" s="55"/>
      <c r="DV1237" s="55"/>
      <c r="DW1237" s="55"/>
    </row>
    <row r="1238">
      <c r="A1238" s="23" t="s">
        <v>64</v>
      </c>
      <c r="B1238" s="23" t="s">
        <v>56</v>
      </c>
      <c r="C1238" s="31" t="s">
        <v>2713</v>
      </c>
      <c r="D1238" s="25" t="str">
        <f>IFERROR(__xludf.DUMMYFUNCTION("SPLIT(C1238,"" "")"),"England,")</f>
        <v>England,</v>
      </c>
      <c r="E1238" s="22" t="str">
        <f>IFERROR(__xludf.DUMMYFUNCTION("""COMPUTED_VALUE"""),"Andy
6567")</f>
        <v>Andy
6567</v>
      </c>
      <c r="F1238" s="22" t="str">
        <f>IFERROR(__xludf.DUMMYFUNCTION("""COMPUTED_VALUE"""),"Anita")</f>
        <v>Anita</v>
      </c>
      <c r="G1238" s="22" t="str">
        <f>IFERROR(__xludf.DUMMYFUNCTION("""COMPUTED_VALUE"""),"Street
Dallas,")</f>
        <v>Street
Dallas,</v>
      </c>
      <c r="H1238" s="22" t="str">
        <f>IFERROR(__xludf.DUMMYFUNCTION("""COMPUTED_VALUE"""),"TX")</f>
        <v>TX</v>
      </c>
      <c r="I1238" s="22">
        <f>IFERROR(__xludf.DUMMYFUNCTION("""COMPUTED_VALUE"""),75214.0)</f>
        <v>75214</v>
      </c>
      <c r="J1238" s="22"/>
      <c r="K1238" s="22"/>
      <c r="L1238" s="22"/>
      <c r="M1238" s="22"/>
      <c r="N1238" s="22"/>
      <c r="O1238" s="22"/>
      <c r="P1238" s="22"/>
      <c r="Q1238" s="22"/>
      <c r="R1238" s="22"/>
      <c r="S1238" s="22"/>
      <c r="T1238" s="22"/>
      <c r="U1238" s="24" t="str">
        <f>IFERROR(__xludf.DUMMYFUNCTION("SPLIT(E1238,""01234567890"")"),"Andy
")</f>
        <v>Andy
</v>
      </c>
      <c r="V1238" s="24" t="str">
        <f>IFERROR(__xludf.DUMMYFUNCTION("SPLIT(D1238,"","")"),"England")</f>
        <v>England</v>
      </c>
      <c r="W1238" s="25" t="str">
        <f t="shared" si="1"/>
        <v>ANDY
 ENGLAND</v>
      </c>
      <c r="X1238" s="22"/>
      <c r="Y1238" s="22"/>
      <c r="Z1238" s="25" t="str">
        <f>IFERROR(__xludf.DUMMYFUNCTION("SPLIT(C1238,""
"")"),"England, Andy")</f>
        <v>England, Andy</v>
      </c>
      <c r="AA1238" s="22" t="str">
        <f>IFERROR(__xludf.DUMMYFUNCTION("""COMPUTED_VALUE"""),"6567 Anita Street")</f>
        <v>6567 Anita Street</v>
      </c>
      <c r="AB1238" s="22" t="str">
        <f>IFERROR(__xludf.DUMMYFUNCTION("""COMPUTED_VALUE"""),"Dallas, TX 75214")</f>
        <v>Dallas, TX 75214</v>
      </c>
      <c r="AC1238" s="31" t="s">
        <v>2714</v>
      </c>
      <c r="AD1238" s="22"/>
      <c r="AE1238" s="22"/>
      <c r="AF1238" s="22"/>
      <c r="AG1238" s="22" t="s">
        <v>60</v>
      </c>
      <c r="AH1238" s="54">
        <v>2486.0</v>
      </c>
      <c r="AI1238" s="22" t="s">
        <v>68</v>
      </c>
      <c r="AJ1238" s="27">
        <v>250.0</v>
      </c>
      <c r="AK1238" s="31" t="s">
        <v>24</v>
      </c>
      <c r="AL1238" s="28">
        <v>44907.0</v>
      </c>
      <c r="AM1238" s="29">
        <v>44942.42989583333</v>
      </c>
      <c r="AN1238" s="30">
        <v>2.0</v>
      </c>
      <c r="AO1238" s="22"/>
      <c r="AP1238" s="22"/>
      <c r="AQ1238" s="22"/>
      <c r="AR1238" s="22"/>
      <c r="AS1238" s="22"/>
      <c r="AT1238" s="70"/>
      <c r="AU1238" s="22"/>
      <c r="AV1238" s="57"/>
      <c r="AW1238" s="57"/>
      <c r="AX1238" s="70"/>
      <c r="AY1238" s="29"/>
      <c r="AZ1238" s="30"/>
      <c r="CU1238" s="55"/>
      <c r="CV1238" s="55"/>
      <c r="CW1238" s="55"/>
      <c r="CX1238" s="55"/>
      <c r="CY1238" s="55"/>
      <c r="CZ1238" s="55"/>
      <c r="DA1238" s="82"/>
      <c r="DB1238" s="55"/>
      <c r="DC1238" s="55"/>
      <c r="DD1238" s="55"/>
      <c r="DE1238" s="55"/>
      <c r="DF1238" s="55"/>
      <c r="DG1238" s="55"/>
      <c r="DH1238" s="55"/>
      <c r="DI1238" s="55"/>
      <c r="DJ1238" s="55"/>
      <c r="DK1238" s="55"/>
      <c r="DL1238" s="55"/>
      <c r="DM1238" s="55"/>
      <c r="DN1238" s="55"/>
      <c r="DO1238" s="55"/>
      <c r="DP1238" s="55"/>
      <c r="DQ1238" s="55"/>
      <c r="DR1238" s="55"/>
      <c r="DS1238" s="55"/>
      <c r="DT1238" s="55"/>
      <c r="DU1238" s="55"/>
      <c r="DV1238" s="55"/>
      <c r="DW1238" s="55"/>
    </row>
    <row r="1239">
      <c r="A1239" s="41" t="s">
        <v>64</v>
      </c>
      <c r="B1239" s="41" t="s">
        <v>56</v>
      </c>
      <c r="C1239" s="31" t="s">
        <v>244</v>
      </c>
      <c r="D1239" s="25" t="str">
        <f>IFERROR(__xludf.DUMMYFUNCTION("SPLIT(C1239,"" "")"),"Ash,")</f>
        <v>Ash,</v>
      </c>
      <c r="E1239" s="40" t="str">
        <f>IFERROR(__xludf.DUMMYFUNCTION("""COMPUTED_VALUE"""),"Michael
1535")</f>
        <v>Michael
1535</v>
      </c>
      <c r="F1239" s="40" t="str">
        <f>IFERROR(__xludf.DUMMYFUNCTION("""COMPUTED_VALUE"""),"Camino")</f>
        <v>Camino</v>
      </c>
      <c r="G1239" s="40" t="str">
        <f>IFERROR(__xludf.DUMMYFUNCTION("""COMPUTED_VALUE"""),"Lago
Irving,")</f>
        <v>Lago
Irving,</v>
      </c>
      <c r="H1239" s="40" t="str">
        <f>IFERROR(__xludf.DUMMYFUNCTION("""COMPUTED_VALUE"""),"TX")</f>
        <v>TX</v>
      </c>
      <c r="I1239" s="40">
        <f>IFERROR(__xludf.DUMMYFUNCTION("""COMPUTED_VALUE"""),75039.0)</f>
        <v>75039</v>
      </c>
      <c r="J1239" s="40"/>
      <c r="K1239" s="40"/>
      <c r="L1239" s="40"/>
      <c r="M1239" s="40"/>
      <c r="N1239" s="40"/>
      <c r="O1239" s="40"/>
      <c r="P1239" s="40"/>
      <c r="Q1239" s="40"/>
      <c r="R1239" s="40"/>
      <c r="S1239" s="40"/>
      <c r="T1239" s="40"/>
      <c r="U1239" s="24" t="str">
        <f>IFERROR(__xludf.DUMMYFUNCTION("SPLIT(E1239,""01234567890"")"),"Michael
")</f>
        <v>Michael
</v>
      </c>
      <c r="V1239" s="24" t="str">
        <f>IFERROR(__xludf.DUMMYFUNCTION("SPLIT(D1239,"","")"),"Ash")</f>
        <v>Ash</v>
      </c>
      <c r="W1239" s="25" t="str">
        <f t="shared" si="1"/>
        <v>MICHAEL
 ASH</v>
      </c>
      <c r="X1239" s="40"/>
      <c r="Y1239" s="40"/>
      <c r="Z1239" s="25" t="str">
        <f>IFERROR(__xludf.DUMMYFUNCTION("SPLIT(C1239,""
"")"),"Ash, Michael")</f>
        <v>Ash, Michael</v>
      </c>
      <c r="AA1239" s="40" t="str">
        <f>IFERROR(__xludf.DUMMYFUNCTION("""COMPUTED_VALUE"""),"1535 Camino Lago")</f>
        <v>1535 Camino Lago</v>
      </c>
      <c r="AB1239" s="40" t="str">
        <f>IFERROR(__xludf.DUMMYFUNCTION("""COMPUTED_VALUE"""),"Irving, TX 75039")</f>
        <v>Irving, TX 75039</v>
      </c>
      <c r="AC1239" s="31" t="s">
        <v>246</v>
      </c>
      <c r="AD1239" s="40"/>
      <c r="AE1239" s="40"/>
      <c r="AF1239" s="40"/>
      <c r="AG1239" s="40" t="s">
        <v>60</v>
      </c>
      <c r="AH1239" s="42">
        <v>2486.0</v>
      </c>
      <c r="AI1239" s="40" t="s">
        <v>68</v>
      </c>
      <c r="AJ1239" s="27">
        <v>50.0</v>
      </c>
      <c r="AK1239" s="31" t="s">
        <v>24</v>
      </c>
      <c r="AL1239" s="43">
        <v>44907.0</v>
      </c>
      <c r="AM1239" s="44">
        <v>44942.42989583333</v>
      </c>
      <c r="AN1239" s="30">
        <v>2.0</v>
      </c>
      <c r="AO1239" s="40"/>
      <c r="AP1239" s="40"/>
      <c r="AQ1239" s="40"/>
      <c r="AR1239" s="40"/>
      <c r="AS1239" s="40"/>
      <c r="AT1239" s="47"/>
      <c r="AU1239" s="40"/>
      <c r="AV1239" s="46"/>
      <c r="AW1239" s="46"/>
      <c r="AX1239" s="47"/>
      <c r="AY1239" s="44"/>
      <c r="AZ1239" s="30"/>
      <c r="CU1239" s="55"/>
      <c r="CV1239" s="55"/>
      <c r="CW1239" s="55"/>
      <c r="CX1239" s="55"/>
      <c r="CY1239" s="55"/>
      <c r="CZ1239" s="55"/>
      <c r="DA1239" s="82"/>
      <c r="DB1239" s="55"/>
      <c r="DC1239" s="55"/>
      <c r="DD1239" s="55"/>
      <c r="DE1239" s="55"/>
      <c r="DF1239" s="55"/>
      <c r="DG1239" s="55"/>
      <c r="DH1239" s="55"/>
      <c r="DI1239" s="55"/>
      <c r="DJ1239" s="55"/>
      <c r="DK1239" s="55"/>
      <c r="DL1239" s="55"/>
      <c r="DM1239" s="55"/>
      <c r="DN1239" s="55"/>
      <c r="DO1239" s="55"/>
      <c r="DP1239" s="55"/>
      <c r="DQ1239" s="55"/>
      <c r="DR1239" s="55"/>
      <c r="DS1239" s="55"/>
      <c r="DT1239" s="55"/>
      <c r="DU1239" s="55"/>
      <c r="DV1239" s="55"/>
      <c r="DW1239" s="55"/>
    </row>
    <row r="1240">
      <c r="A1240" s="23" t="s">
        <v>64</v>
      </c>
      <c r="B1240" s="23" t="s">
        <v>56</v>
      </c>
      <c r="C1240" s="31" t="s">
        <v>2715</v>
      </c>
      <c r="D1240" s="25" t="str">
        <f>IFERROR(__xludf.DUMMYFUNCTION("SPLIT(C1240,"" "")"),"Vandiver,")</f>
        <v>Vandiver,</v>
      </c>
      <c r="E1240" s="22" t="str">
        <f>IFERROR(__xludf.DUMMYFUNCTION("""COMPUTED_VALUE"""),"Rich
6705")</f>
        <v>Rich
6705</v>
      </c>
      <c r="F1240" s="22" t="str">
        <f>IFERROR(__xludf.DUMMYFUNCTION("""COMPUTED_VALUE"""),"Bob")</f>
        <v>Bob</v>
      </c>
      <c r="G1240" s="22" t="str">
        <f>IFERROR(__xludf.DUMMYFUNCTION("""COMPUTED_VALUE"""),"O")</f>
        <v>O</v>
      </c>
      <c r="H1240" s="22" t="str">
        <f>IFERROR(__xludf.DUMMYFUNCTION("""COMPUTED_VALUE"""),"Link")</f>
        <v>Link</v>
      </c>
      <c r="I1240" s="22" t="str">
        <f>IFERROR(__xludf.DUMMYFUNCTION("""COMPUTED_VALUE"""),"Drive
Dallas,")</f>
        <v>Drive
Dallas,</v>
      </c>
      <c r="J1240" s="22" t="str">
        <f>IFERROR(__xludf.DUMMYFUNCTION("""COMPUTED_VALUE"""),"TX")</f>
        <v>TX</v>
      </c>
      <c r="K1240" s="22">
        <f>IFERROR(__xludf.DUMMYFUNCTION("""COMPUTED_VALUE"""),75214.0)</f>
        <v>75214</v>
      </c>
      <c r="L1240" s="22"/>
      <c r="M1240" s="22"/>
      <c r="N1240" s="22"/>
      <c r="O1240" s="22"/>
      <c r="P1240" s="22"/>
      <c r="Q1240" s="22"/>
      <c r="R1240" s="22"/>
      <c r="S1240" s="22"/>
      <c r="T1240" s="22"/>
      <c r="U1240" s="24" t="str">
        <f>IFERROR(__xludf.DUMMYFUNCTION("SPLIT(E1240,""01234567890"")"),"Rich
")</f>
        <v>Rich
</v>
      </c>
      <c r="V1240" s="24" t="str">
        <f>IFERROR(__xludf.DUMMYFUNCTION("SPLIT(D1240,"","")"),"Vandiver")</f>
        <v>Vandiver</v>
      </c>
      <c r="W1240" s="25" t="str">
        <f t="shared" si="1"/>
        <v>RICH
 VANDIVER</v>
      </c>
      <c r="X1240" s="22"/>
      <c r="Y1240" s="22"/>
      <c r="Z1240" s="25" t="str">
        <f>IFERROR(__xludf.DUMMYFUNCTION("SPLIT(C1240,""
"")"),"Vandiver, Rich")</f>
        <v>Vandiver, Rich</v>
      </c>
      <c r="AA1240" s="22" t="str">
        <f>IFERROR(__xludf.DUMMYFUNCTION("""COMPUTED_VALUE"""),"6705 Bob O Link Drive")</f>
        <v>6705 Bob O Link Drive</v>
      </c>
      <c r="AB1240" s="22" t="str">
        <f>IFERROR(__xludf.DUMMYFUNCTION("""COMPUTED_VALUE"""),"Dallas, TX 75214")</f>
        <v>Dallas, TX 75214</v>
      </c>
      <c r="AC1240" s="31" t="s">
        <v>2716</v>
      </c>
      <c r="AD1240" s="22"/>
      <c r="AE1240" s="22"/>
      <c r="AF1240" s="22"/>
      <c r="AG1240" s="22" t="s">
        <v>60</v>
      </c>
      <c r="AH1240" s="54">
        <v>2486.0</v>
      </c>
      <c r="AI1240" s="22" t="s">
        <v>68</v>
      </c>
      <c r="AJ1240" s="27">
        <v>200.0</v>
      </c>
      <c r="AK1240" s="31" t="s">
        <v>24</v>
      </c>
      <c r="AL1240" s="28">
        <v>44907.0</v>
      </c>
      <c r="AM1240" s="29">
        <v>44942.42989583333</v>
      </c>
      <c r="AN1240" s="30">
        <v>2.0</v>
      </c>
      <c r="AO1240" s="22"/>
      <c r="AP1240" s="22"/>
      <c r="AQ1240" s="22"/>
      <c r="AR1240" s="22"/>
      <c r="AS1240" s="22"/>
      <c r="AT1240" s="70"/>
      <c r="AU1240" s="22"/>
      <c r="AV1240" s="57"/>
      <c r="AW1240" s="57"/>
      <c r="AX1240" s="70"/>
      <c r="AY1240" s="29"/>
      <c r="AZ1240" s="30"/>
      <c r="CU1240" s="55"/>
      <c r="CV1240" s="55"/>
      <c r="CW1240" s="55"/>
      <c r="CX1240" s="55"/>
      <c r="CY1240" s="55"/>
      <c r="CZ1240" s="55"/>
      <c r="DA1240" s="82"/>
      <c r="DB1240" s="55"/>
      <c r="DC1240" s="55"/>
      <c r="DD1240" s="55"/>
      <c r="DE1240" s="55"/>
      <c r="DF1240" s="55"/>
      <c r="DG1240" s="55"/>
      <c r="DH1240" s="55"/>
      <c r="DI1240" s="55"/>
      <c r="DJ1240" s="55"/>
      <c r="DK1240" s="55"/>
      <c r="DL1240" s="55"/>
      <c r="DM1240" s="55"/>
      <c r="DN1240" s="55"/>
      <c r="DO1240" s="55"/>
      <c r="DP1240" s="55"/>
      <c r="DQ1240" s="55"/>
      <c r="DR1240" s="55"/>
      <c r="DS1240" s="55"/>
      <c r="DT1240" s="55"/>
      <c r="DU1240" s="55"/>
      <c r="DV1240" s="55"/>
      <c r="DW1240" s="55"/>
    </row>
    <row r="1241">
      <c r="A1241" s="41" t="s">
        <v>64</v>
      </c>
      <c r="B1241" s="41" t="s">
        <v>56</v>
      </c>
      <c r="C1241" s="31" t="s">
        <v>2717</v>
      </c>
      <c r="D1241" s="25" t="str">
        <f>IFERROR(__xludf.DUMMYFUNCTION("SPLIT(C1241,"" "")"),"Garcia,")</f>
        <v>Garcia,</v>
      </c>
      <c r="E1241" s="40" t="str">
        <f>IFERROR(__xludf.DUMMYFUNCTION("""COMPUTED_VALUE"""),"Ryan
8102")</f>
        <v>Ryan
8102</v>
      </c>
      <c r="F1241" s="40" t="str">
        <f>IFERROR(__xludf.DUMMYFUNCTION("""COMPUTED_VALUE"""),"Old")</f>
        <v>Old</v>
      </c>
      <c r="G1241" s="40" t="str">
        <f>IFERROR(__xludf.DUMMYFUNCTION("""COMPUTED_VALUE"""),"Moss")</f>
        <v>Moss</v>
      </c>
      <c r="H1241" s="40" t="str">
        <f>IFERROR(__xludf.DUMMYFUNCTION("""COMPUTED_VALUE"""),"Road
Dallas,")</f>
        <v>Road
Dallas,</v>
      </c>
      <c r="I1241" s="40" t="str">
        <f>IFERROR(__xludf.DUMMYFUNCTION("""COMPUTED_VALUE"""),"TX")</f>
        <v>TX</v>
      </c>
      <c r="J1241" s="40">
        <f>IFERROR(__xludf.DUMMYFUNCTION("""COMPUTED_VALUE"""),75231.0)</f>
        <v>75231</v>
      </c>
      <c r="K1241" s="40"/>
      <c r="L1241" s="40"/>
      <c r="M1241" s="40"/>
      <c r="N1241" s="40"/>
      <c r="O1241" s="40"/>
      <c r="P1241" s="40"/>
      <c r="Q1241" s="40"/>
      <c r="R1241" s="40"/>
      <c r="S1241" s="40"/>
      <c r="T1241" s="40"/>
      <c r="U1241" s="24" t="str">
        <f>IFERROR(__xludf.DUMMYFUNCTION("SPLIT(E1241,""01234567890"")"),"Ryan
")</f>
        <v>Ryan
</v>
      </c>
      <c r="V1241" s="24" t="str">
        <f>IFERROR(__xludf.DUMMYFUNCTION("SPLIT(D1241,"","")"),"Garcia")</f>
        <v>Garcia</v>
      </c>
      <c r="W1241" s="25" t="str">
        <f t="shared" si="1"/>
        <v>RYAN
 GARCIA</v>
      </c>
      <c r="X1241" s="40"/>
      <c r="Y1241" s="40"/>
      <c r="Z1241" s="25" t="str">
        <f>IFERROR(__xludf.DUMMYFUNCTION("SPLIT(C1241,""
"")"),"Garcia, Ryan")</f>
        <v>Garcia, Ryan</v>
      </c>
      <c r="AA1241" s="40" t="str">
        <f>IFERROR(__xludf.DUMMYFUNCTION("""COMPUTED_VALUE"""),"8102 Old Moss Road")</f>
        <v>8102 Old Moss Road</v>
      </c>
      <c r="AB1241" s="40" t="str">
        <f>IFERROR(__xludf.DUMMYFUNCTION("""COMPUTED_VALUE"""),"Dallas, TX 75231")</f>
        <v>Dallas, TX 75231</v>
      </c>
      <c r="AC1241" s="31" t="s">
        <v>1592</v>
      </c>
      <c r="AD1241" s="40"/>
      <c r="AE1241" s="40"/>
      <c r="AF1241" s="40"/>
      <c r="AG1241" s="40" t="s">
        <v>60</v>
      </c>
      <c r="AH1241" s="42">
        <v>2486.0</v>
      </c>
      <c r="AI1241" s="40" t="s">
        <v>68</v>
      </c>
      <c r="AJ1241" s="27">
        <v>50.0</v>
      </c>
      <c r="AK1241" s="31" t="s">
        <v>24</v>
      </c>
      <c r="AL1241" s="43">
        <v>44907.0</v>
      </c>
      <c r="AM1241" s="44">
        <v>44942.42989583333</v>
      </c>
      <c r="AN1241" s="30">
        <v>2.0</v>
      </c>
      <c r="AO1241" s="40"/>
      <c r="AP1241" s="40"/>
      <c r="AQ1241" s="40"/>
      <c r="AR1241" s="40"/>
      <c r="AS1241" s="40"/>
      <c r="AT1241" s="47"/>
      <c r="AU1241" s="40"/>
      <c r="AV1241" s="46"/>
      <c r="AW1241" s="46"/>
      <c r="AX1241" s="47"/>
      <c r="AY1241" s="44"/>
      <c r="AZ1241" s="30"/>
      <c r="CU1241" s="55"/>
      <c r="CV1241" s="55"/>
      <c r="CW1241" s="55"/>
      <c r="CX1241" s="55"/>
      <c r="CY1241" s="55"/>
      <c r="CZ1241" s="55"/>
      <c r="DA1241" s="82"/>
      <c r="DB1241" s="55"/>
      <c r="DC1241" s="55"/>
      <c r="DD1241" s="55"/>
      <c r="DE1241" s="55"/>
      <c r="DF1241" s="55"/>
      <c r="DG1241" s="55"/>
      <c r="DH1241" s="55"/>
      <c r="DI1241" s="55"/>
      <c r="DJ1241" s="55"/>
      <c r="DK1241" s="55"/>
      <c r="DL1241" s="55"/>
      <c r="DM1241" s="55"/>
      <c r="DN1241" s="55"/>
      <c r="DO1241" s="55"/>
      <c r="DP1241" s="55"/>
      <c r="DQ1241" s="55"/>
      <c r="DR1241" s="55"/>
      <c r="DS1241" s="55"/>
      <c r="DT1241" s="55"/>
      <c r="DU1241" s="55"/>
      <c r="DV1241" s="55"/>
      <c r="DW1241" s="55"/>
    </row>
    <row r="1242">
      <c r="A1242" s="23" t="s">
        <v>64</v>
      </c>
      <c r="B1242" s="23" t="s">
        <v>56</v>
      </c>
      <c r="C1242" s="31" t="s">
        <v>2718</v>
      </c>
      <c r="D1242" s="25" t="str">
        <f>IFERROR(__xludf.DUMMYFUNCTION("SPLIT(C1242,"" "")"),"Matthews,")</f>
        <v>Matthews,</v>
      </c>
      <c r="E1242" s="22" t="str">
        <f>IFERROR(__xludf.DUMMYFUNCTION("""COMPUTED_VALUE"""),"John
320")</f>
        <v>John
320</v>
      </c>
      <c r="F1242" s="22" t="str">
        <f>IFERROR(__xludf.DUMMYFUNCTION("""COMPUTED_VALUE"""),"West")</f>
        <v>West</v>
      </c>
      <c r="G1242" s="22" t="str">
        <f>IFERROR(__xludf.DUMMYFUNCTION("""COMPUTED_VALUE"""),"Main")</f>
        <v>Main</v>
      </c>
      <c r="H1242" s="22" t="str">
        <f>IFERROR(__xludf.DUMMYFUNCTION("""COMPUTED_VALUE"""),"Street
Lewisville,")</f>
        <v>Street
Lewisville,</v>
      </c>
      <c r="I1242" s="22" t="str">
        <f>IFERROR(__xludf.DUMMYFUNCTION("""COMPUTED_VALUE"""),"TX")</f>
        <v>TX</v>
      </c>
      <c r="J1242" s="22">
        <f>IFERROR(__xludf.DUMMYFUNCTION("""COMPUTED_VALUE"""),75057.0)</f>
        <v>75057</v>
      </c>
      <c r="K1242" s="22"/>
      <c r="L1242" s="22"/>
      <c r="M1242" s="22"/>
      <c r="N1242" s="22"/>
      <c r="O1242" s="22"/>
      <c r="P1242" s="22"/>
      <c r="Q1242" s="22"/>
      <c r="R1242" s="22"/>
      <c r="S1242" s="22"/>
      <c r="T1242" s="22"/>
      <c r="U1242" s="24" t="str">
        <f>IFERROR(__xludf.DUMMYFUNCTION("SPLIT(E1242,""01234567890"")"),"John
")</f>
        <v>John
</v>
      </c>
      <c r="V1242" s="24" t="str">
        <f>IFERROR(__xludf.DUMMYFUNCTION("SPLIT(D1242,"","")"),"Matthews")</f>
        <v>Matthews</v>
      </c>
      <c r="W1242" s="25" t="str">
        <f t="shared" si="1"/>
        <v>JOHN
 MATTHEWS</v>
      </c>
      <c r="X1242" s="22"/>
      <c r="Y1242" s="22"/>
      <c r="Z1242" s="25" t="str">
        <f>IFERROR(__xludf.DUMMYFUNCTION("SPLIT(C1242,""
"")"),"Matthews, John")</f>
        <v>Matthews, John</v>
      </c>
      <c r="AA1242" s="22" t="str">
        <f>IFERROR(__xludf.DUMMYFUNCTION("""COMPUTED_VALUE"""),"320 West Main Street")</f>
        <v>320 West Main Street</v>
      </c>
      <c r="AB1242" s="22" t="str">
        <f>IFERROR(__xludf.DUMMYFUNCTION("""COMPUTED_VALUE"""),"Lewisville, TX 75057")</f>
        <v>Lewisville, TX 75057</v>
      </c>
      <c r="AC1242" s="31" t="s">
        <v>2719</v>
      </c>
      <c r="AD1242" s="22"/>
      <c r="AE1242" s="22"/>
      <c r="AF1242" s="22"/>
      <c r="AG1242" s="22" t="s">
        <v>60</v>
      </c>
      <c r="AH1242" s="54">
        <v>2486.0</v>
      </c>
      <c r="AI1242" s="22" t="s">
        <v>68</v>
      </c>
      <c r="AJ1242" s="27">
        <v>2000.0</v>
      </c>
      <c r="AK1242" s="31" t="s">
        <v>24</v>
      </c>
      <c r="AL1242" s="28">
        <v>44907.0</v>
      </c>
      <c r="AM1242" s="29">
        <v>44942.42989583333</v>
      </c>
      <c r="AN1242" s="30">
        <v>2.0</v>
      </c>
      <c r="AO1242" s="22"/>
      <c r="AP1242" s="22"/>
      <c r="AQ1242" s="22"/>
      <c r="AR1242" s="22"/>
      <c r="AS1242" s="22"/>
      <c r="AT1242" s="70"/>
      <c r="AU1242" s="22"/>
      <c r="AV1242" s="57"/>
      <c r="AW1242" s="57"/>
      <c r="AX1242" s="70"/>
      <c r="AY1242" s="29"/>
      <c r="AZ1242" s="30"/>
      <c r="CU1242" s="55"/>
      <c r="CV1242" s="55"/>
      <c r="CW1242" s="55"/>
      <c r="CX1242" s="55"/>
      <c r="CY1242" s="55"/>
      <c r="CZ1242" s="55"/>
      <c r="DA1242" s="82"/>
      <c r="DB1242" s="55"/>
      <c r="DC1242" s="55"/>
      <c r="DD1242" s="55"/>
      <c r="DE1242" s="55"/>
      <c r="DF1242" s="55"/>
      <c r="DG1242" s="55"/>
      <c r="DH1242" s="55"/>
      <c r="DI1242" s="55"/>
      <c r="DJ1242" s="55"/>
      <c r="DK1242" s="55"/>
      <c r="DL1242" s="55"/>
      <c r="DM1242" s="55"/>
      <c r="DN1242" s="55"/>
      <c r="DO1242" s="55"/>
      <c r="DP1242" s="55"/>
      <c r="DQ1242" s="55"/>
      <c r="DR1242" s="55"/>
      <c r="DS1242" s="55"/>
      <c r="DT1242" s="55"/>
      <c r="DU1242" s="55"/>
      <c r="DV1242" s="55"/>
      <c r="DW1242" s="55"/>
    </row>
    <row r="1243">
      <c r="A1243" s="41" t="s">
        <v>64</v>
      </c>
      <c r="B1243" s="41" t="s">
        <v>56</v>
      </c>
      <c r="C1243" s="31" t="s">
        <v>2720</v>
      </c>
      <c r="D1243" s="25" t="str">
        <f>IFERROR(__xludf.DUMMYFUNCTION("SPLIT(C1243,"" "")"),"Hoffman,")</f>
        <v>Hoffman,</v>
      </c>
      <c r="E1243" s="40" t="str">
        <f>IFERROR(__xludf.DUMMYFUNCTION("""COMPUTED_VALUE"""),"Alan
9010")</f>
        <v>Alan
9010</v>
      </c>
      <c r="F1243" s="40" t="str">
        <f>IFERROR(__xludf.DUMMYFUNCTION("""COMPUTED_VALUE"""),"Groveland")</f>
        <v>Groveland</v>
      </c>
      <c r="G1243" s="40" t="str">
        <f>IFERROR(__xludf.DUMMYFUNCTION("""COMPUTED_VALUE"""),"Drive
Dallas,")</f>
        <v>Drive
Dallas,</v>
      </c>
      <c r="H1243" s="40" t="str">
        <f>IFERROR(__xludf.DUMMYFUNCTION("""COMPUTED_VALUE"""),"TX")</f>
        <v>TX</v>
      </c>
      <c r="I1243" s="40">
        <f>IFERROR(__xludf.DUMMYFUNCTION("""COMPUTED_VALUE"""),75218.0)</f>
        <v>75218</v>
      </c>
      <c r="J1243" s="40"/>
      <c r="K1243" s="40"/>
      <c r="L1243" s="40"/>
      <c r="M1243" s="40"/>
      <c r="N1243" s="40"/>
      <c r="O1243" s="40"/>
      <c r="P1243" s="40"/>
      <c r="Q1243" s="40"/>
      <c r="R1243" s="40"/>
      <c r="S1243" s="40"/>
      <c r="T1243" s="40"/>
      <c r="U1243" s="24" t="str">
        <f>IFERROR(__xludf.DUMMYFUNCTION("SPLIT(E1243,""01234567890"")"),"Alan
")</f>
        <v>Alan
</v>
      </c>
      <c r="V1243" s="24" t="str">
        <f>IFERROR(__xludf.DUMMYFUNCTION("SPLIT(D1243,"","")"),"Hoffman")</f>
        <v>Hoffman</v>
      </c>
      <c r="W1243" s="25" t="str">
        <f t="shared" si="1"/>
        <v>ALAN
 HOFFMAN</v>
      </c>
      <c r="X1243" s="40"/>
      <c r="Y1243" s="40"/>
      <c r="Z1243" s="25" t="str">
        <f>IFERROR(__xludf.DUMMYFUNCTION("SPLIT(C1243,""
"")"),"Hoffman, Alan")</f>
        <v>Hoffman, Alan</v>
      </c>
      <c r="AA1243" s="40" t="str">
        <f>IFERROR(__xludf.DUMMYFUNCTION("""COMPUTED_VALUE"""),"9010 Groveland Drive")</f>
        <v>9010 Groveland Drive</v>
      </c>
      <c r="AB1243" s="40" t="str">
        <f>IFERROR(__xludf.DUMMYFUNCTION("""COMPUTED_VALUE"""),"Dallas, TX 75218")</f>
        <v>Dallas, TX 75218</v>
      </c>
      <c r="AC1243" s="31" t="s">
        <v>1503</v>
      </c>
      <c r="AD1243" s="40"/>
      <c r="AE1243" s="40"/>
      <c r="AF1243" s="40"/>
      <c r="AG1243" s="40" t="s">
        <v>60</v>
      </c>
      <c r="AH1243" s="42">
        <v>2486.0</v>
      </c>
      <c r="AI1243" s="40" t="s">
        <v>68</v>
      </c>
      <c r="AJ1243" s="27">
        <v>50.0</v>
      </c>
      <c r="AK1243" s="31" t="s">
        <v>24</v>
      </c>
      <c r="AL1243" s="43">
        <v>44907.0</v>
      </c>
      <c r="AM1243" s="44">
        <v>44942.42989583333</v>
      </c>
      <c r="AN1243" s="30">
        <v>2.0</v>
      </c>
      <c r="AO1243" s="40"/>
      <c r="AP1243" s="40"/>
      <c r="AQ1243" s="40"/>
      <c r="AR1243" s="40"/>
      <c r="AS1243" s="40"/>
      <c r="AT1243" s="47"/>
      <c r="AU1243" s="40"/>
      <c r="AV1243" s="46"/>
      <c r="AW1243" s="46"/>
      <c r="AX1243" s="47"/>
      <c r="AY1243" s="44"/>
      <c r="AZ1243" s="30"/>
      <c r="CU1243" s="55"/>
      <c r="CV1243" s="55"/>
      <c r="CW1243" s="55"/>
      <c r="CX1243" s="55"/>
      <c r="CY1243" s="55"/>
      <c r="CZ1243" s="55"/>
      <c r="DA1243" s="82"/>
      <c r="DB1243" s="55"/>
      <c r="DC1243" s="55"/>
      <c r="DD1243" s="55"/>
      <c r="DE1243" s="55"/>
      <c r="DF1243" s="55"/>
      <c r="DG1243" s="55"/>
      <c r="DH1243" s="55"/>
      <c r="DI1243" s="55"/>
      <c r="DJ1243" s="55"/>
      <c r="DK1243" s="55"/>
      <c r="DL1243" s="55"/>
      <c r="DM1243" s="55"/>
      <c r="DN1243" s="55"/>
      <c r="DO1243" s="55"/>
      <c r="DP1243" s="55"/>
      <c r="DQ1243" s="55"/>
      <c r="DR1243" s="55"/>
      <c r="DS1243" s="55"/>
      <c r="DT1243" s="55"/>
      <c r="DU1243" s="55"/>
      <c r="DV1243" s="55"/>
      <c r="DW1243" s="55"/>
    </row>
    <row r="1244">
      <c r="A1244" s="23" t="s">
        <v>64</v>
      </c>
      <c r="B1244" s="23" t="s">
        <v>56</v>
      </c>
      <c r="C1244" s="31" t="s">
        <v>2721</v>
      </c>
      <c r="D1244" s="25" t="str">
        <f>IFERROR(__xludf.DUMMYFUNCTION("SPLIT(C1244,"" "")"),"Linderman,")</f>
        <v>Linderman,</v>
      </c>
      <c r="E1244" s="22" t="str">
        <f>IFERROR(__xludf.DUMMYFUNCTION("""COMPUTED_VALUE"""),"Tricia
4409")</f>
        <v>Tricia
4409</v>
      </c>
      <c r="F1244" s="22" t="str">
        <f>IFERROR(__xludf.DUMMYFUNCTION("""COMPUTED_VALUE"""),"Westside
Dallas,")</f>
        <v>Westside
Dallas,</v>
      </c>
      <c r="G1244" s="22" t="str">
        <f>IFERROR(__xludf.DUMMYFUNCTION("""COMPUTED_VALUE"""),"TX")</f>
        <v>TX</v>
      </c>
      <c r="H1244" s="22">
        <f>IFERROR(__xludf.DUMMYFUNCTION("""COMPUTED_VALUE"""),75209.0)</f>
        <v>75209</v>
      </c>
      <c r="I1244" s="22"/>
      <c r="J1244" s="22"/>
      <c r="K1244" s="22"/>
      <c r="L1244" s="22"/>
      <c r="M1244" s="22"/>
      <c r="N1244" s="22"/>
      <c r="O1244" s="22"/>
      <c r="P1244" s="22"/>
      <c r="Q1244" s="22"/>
      <c r="R1244" s="22"/>
      <c r="S1244" s="22"/>
      <c r="T1244" s="22"/>
      <c r="U1244" s="24" t="str">
        <f>IFERROR(__xludf.DUMMYFUNCTION("SPLIT(E1244,""01234567890"")"),"Tricia
")</f>
        <v>Tricia
</v>
      </c>
      <c r="V1244" s="24" t="str">
        <f>IFERROR(__xludf.DUMMYFUNCTION("SPLIT(D1244,"","")"),"Linderman")</f>
        <v>Linderman</v>
      </c>
      <c r="W1244" s="25" t="str">
        <f t="shared" si="1"/>
        <v>TRICIA
 LINDERMAN</v>
      </c>
      <c r="X1244" s="22"/>
      <c r="Y1244" s="22"/>
      <c r="Z1244" s="25" t="str">
        <f>IFERROR(__xludf.DUMMYFUNCTION("SPLIT(C1244,""
"")"),"Linderman, Tricia")</f>
        <v>Linderman, Tricia</v>
      </c>
      <c r="AA1244" s="22" t="str">
        <f>IFERROR(__xludf.DUMMYFUNCTION("""COMPUTED_VALUE"""),"4409 Westside")</f>
        <v>4409 Westside</v>
      </c>
      <c r="AB1244" s="22" t="str">
        <f>IFERROR(__xludf.DUMMYFUNCTION("""COMPUTED_VALUE"""),"Dallas, TX 75209")</f>
        <v>Dallas, TX 75209</v>
      </c>
      <c r="AC1244" s="31" t="s">
        <v>2722</v>
      </c>
      <c r="AD1244" s="22"/>
      <c r="AE1244" s="22"/>
      <c r="AF1244" s="22"/>
      <c r="AG1244" s="22" t="s">
        <v>60</v>
      </c>
      <c r="AH1244" s="54">
        <v>2486.0</v>
      </c>
      <c r="AI1244" s="22" t="s">
        <v>68</v>
      </c>
      <c r="AJ1244" s="27">
        <v>100.0</v>
      </c>
      <c r="AK1244" s="31" t="s">
        <v>24</v>
      </c>
      <c r="AL1244" s="28">
        <v>44907.0</v>
      </c>
      <c r="AM1244" s="29">
        <v>44942.42989583333</v>
      </c>
      <c r="AN1244" s="30">
        <v>2.0</v>
      </c>
      <c r="AO1244" s="22"/>
      <c r="AP1244" s="22"/>
      <c r="AQ1244" s="22"/>
      <c r="AR1244" s="22"/>
      <c r="AS1244" s="22"/>
      <c r="AT1244" s="70"/>
      <c r="AU1244" s="22"/>
      <c r="AV1244" s="57"/>
      <c r="AW1244" s="57"/>
      <c r="AX1244" s="70"/>
      <c r="AY1244" s="29"/>
      <c r="AZ1244" s="30"/>
      <c r="CU1244" s="55"/>
      <c r="CV1244" s="55"/>
      <c r="CW1244" s="55"/>
      <c r="CX1244" s="55"/>
      <c r="CY1244" s="55"/>
      <c r="CZ1244" s="55"/>
      <c r="DA1244" s="82"/>
      <c r="DB1244" s="55"/>
      <c r="DC1244" s="55"/>
      <c r="DD1244" s="55"/>
      <c r="DE1244" s="55"/>
      <c r="DF1244" s="55"/>
      <c r="DG1244" s="55"/>
      <c r="DH1244" s="55"/>
      <c r="DI1244" s="55"/>
      <c r="DJ1244" s="55"/>
      <c r="DK1244" s="55"/>
      <c r="DL1244" s="55"/>
      <c r="DM1244" s="55"/>
      <c r="DN1244" s="55"/>
      <c r="DO1244" s="55"/>
      <c r="DP1244" s="55"/>
      <c r="DQ1244" s="55"/>
      <c r="DR1244" s="55"/>
      <c r="DS1244" s="55"/>
      <c r="DT1244" s="55"/>
      <c r="DU1244" s="55"/>
      <c r="DV1244" s="55"/>
      <c r="DW1244" s="55"/>
    </row>
    <row r="1245">
      <c r="A1245" s="41" t="s">
        <v>64</v>
      </c>
      <c r="B1245" s="41" t="s">
        <v>56</v>
      </c>
      <c r="C1245" s="31" t="s">
        <v>2723</v>
      </c>
      <c r="D1245" s="25" t="str">
        <f>IFERROR(__xludf.DUMMYFUNCTION("SPLIT(C1245,"" "")"),"Schulz,")</f>
        <v>Schulz,</v>
      </c>
      <c r="E1245" s="40" t="str">
        <f>IFERROR(__xludf.DUMMYFUNCTION("""COMPUTED_VALUE"""),"Amanda
5943")</f>
        <v>Amanda
5943</v>
      </c>
      <c r="F1245" s="40" t="str">
        <f>IFERROR(__xludf.DUMMYFUNCTION("""COMPUTED_VALUE"""),"Palo")</f>
        <v>Palo</v>
      </c>
      <c r="G1245" s="40" t="str">
        <f>IFERROR(__xludf.DUMMYFUNCTION("""COMPUTED_VALUE"""),"Pinto")</f>
        <v>Pinto</v>
      </c>
      <c r="H1245" s="40" t="str">
        <f>IFERROR(__xludf.DUMMYFUNCTION("""COMPUTED_VALUE"""),"Avenue
Dallas,")</f>
        <v>Avenue
Dallas,</v>
      </c>
      <c r="I1245" s="40" t="str">
        <f>IFERROR(__xludf.DUMMYFUNCTION("""COMPUTED_VALUE"""),"TX")</f>
        <v>TX</v>
      </c>
      <c r="J1245" s="40">
        <f>IFERROR(__xludf.DUMMYFUNCTION("""COMPUTED_VALUE"""),75206.0)</f>
        <v>75206</v>
      </c>
      <c r="K1245" s="40"/>
      <c r="L1245" s="40"/>
      <c r="M1245" s="40"/>
      <c r="N1245" s="40"/>
      <c r="O1245" s="40"/>
      <c r="P1245" s="40"/>
      <c r="Q1245" s="40"/>
      <c r="R1245" s="40"/>
      <c r="S1245" s="40"/>
      <c r="T1245" s="40"/>
      <c r="U1245" s="24" t="str">
        <f>IFERROR(__xludf.DUMMYFUNCTION("SPLIT(E1245,""01234567890"")"),"Amanda
")</f>
        <v>Amanda
</v>
      </c>
      <c r="V1245" s="24" t="str">
        <f>IFERROR(__xludf.DUMMYFUNCTION("SPLIT(D1245,"","")"),"Schulz")</f>
        <v>Schulz</v>
      </c>
      <c r="W1245" s="25" t="str">
        <f t="shared" si="1"/>
        <v>AMANDA
 SCHULZ</v>
      </c>
      <c r="X1245" s="40"/>
      <c r="Y1245" s="40"/>
      <c r="Z1245" s="25" t="str">
        <f>IFERROR(__xludf.DUMMYFUNCTION("SPLIT(C1245,""
"")"),"Schulz, Amanda")</f>
        <v>Schulz, Amanda</v>
      </c>
      <c r="AA1245" s="40" t="str">
        <f>IFERROR(__xludf.DUMMYFUNCTION("""COMPUTED_VALUE"""),"5943 Palo Pinto Avenue")</f>
        <v>5943 Palo Pinto Avenue</v>
      </c>
      <c r="AB1245" s="40" t="str">
        <f>IFERROR(__xludf.DUMMYFUNCTION("""COMPUTED_VALUE"""),"Dallas, TX 75206")</f>
        <v>Dallas, TX 75206</v>
      </c>
      <c r="AC1245" s="31" t="s">
        <v>1986</v>
      </c>
      <c r="AD1245" s="40"/>
      <c r="AE1245" s="40"/>
      <c r="AF1245" s="40"/>
      <c r="AG1245" s="40" t="s">
        <v>60</v>
      </c>
      <c r="AH1245" s="42">
        <v>2486.0</v>
      </c>
      <c r="AI1245" s="40" t="s">
        <v>68</v>
      </c>
      <c r="AJ1245" s="27">
        <v>150.0</v>
      </c>
      <c r="AK1245" s="31" t="s">
        <v>24</v>
      </c>
      <c r="AL1245" s="43">
        <v>44908.0</v>
      </c>
      <c r="AM1245" s="44">
        <v>44942.42989583333</v>
      </c>
      <c r="AN1245" s="30">
        <v>2.0</v>
      </c>
      <c r="AO1245" s="40"/>
      <c r="AP1245" s="40"/>
      <c r="AQ1245" s="40"/>
      <c r="AR1245" s="40"/>
      <c r="AS1245" s="40"/>
      <c r="AT1245" s="47"/>
      <c r="AU1245" s="40"/>
      <c r="AV1245" s="46"/>
      <c r="AW1245" s="46"/>
      <c r="AX1245" s="47"/>
      <c r="AY1245" s="44"/>
      <c r="AZ1245" s="30"/>
      <c r="CU1245" s="55"/>
      <c r="CV1245" s="55"/>
      <c r="CW1245" s="55"/>
      <c r="CX1245" s="55"/>
      <c r="CY1245" s="55"/>
      <c r="CZ1245" s="55"/>
      <c r="DA1245" s="82"/>
      <c r="DB1245" s="55"/>
      <c r="DC1245" s="55"/>
      <c r="DD1245" s="55"/>
      <c r="DE1245" s="55"/>
      <c r="DF1245" s="55"/>
      <c r="DG1245" s="55"/>
      <c r="DH1245" s="55"/>
      <c r="DI1245" s="55"/>
      <c r="DJ1245" s="55"/>
      <c r="DK1245" s="55"/>
      <c r="DL1245" s="55"/>
      <c r="DM1245" s="55"/>
      <c r="DN1245" s="55"/>
      <c r="DO1245" s="55"/>
      <c r="DP1245" s="55"/>
      <c r="DQ1245" s="55"/>
      <c r="DR1245" s="55"/>
      <c r="DS1245" s="55"/>
      <c r="DT1245" s="55"/>
      <c r="DU1245" s="55"/>
      <c r="DV1245" s="55"/>
      <c r="DW1245" s="55"/>
    </row>
    <row r="1246">
      <c r="A1246" s="23" t="s">
        <v>64</v>
      </c>
      <c r="B1246" s="23" t="s">
        <v>56</v>
      </c>
      <c r="C1246" s="31" t="s">
        <v>2724</v>
      </c>
      <c r="D1246" s="25" t="str">
        <f>IFERROR(__xludf.DUMMYFUNCTION("SPLIT(C1246,"" "")"),"Hays,")</f>
        <v>Hays,</v>
      </c>
      <c r="E1246" s="22" t="str">
        <f>IFERROR(__xludf.DUMMYFUNCTION("""COMPUTED_VALUE"""),"Brandon
440")</f>
        <v>Brandon
440</v>
      </c>
      <c r="F1246" s="22" t="str">
        <f>IFERROR(__xludf.DUMMYFUNCTION("""COMPUTED_VALUE"""),"Parkhurst")</f>
        <v>Parkhurst</v>
      </c>
      <c r="G1246" s="22" t="str">
        <f>IFERROR(__xludf.DUMMYFUNCTION("""COMPUTED_VALUE"""),"Dr
Dallas,")</f>
        <v>Dr
Dallas,</v>
      </c>
      <c r="H1246" s="22" t="str">
        <f>IFERROR(__xludf.DUMMYFUNCTION("""COMPUTED_VALUE"""),"TX")</f>
        <v>TX</v>
      </c>
      <c r="I1246" s="22">
        <f>IFERROR(__xludf.DUMMYFUNCTION("""COMPUTED_VALUE"""),75218.0)</f>
        <v>75218</v>
      </c>
      <c r="J1246" s="22"/>
      <c r="K1246" s="22"/>
      <c r="L1246" s="22"/>
      <c r="M1246" s="22"/>
      <c r="N1246" s="22"/>
      <c r="O1246" s="22"/>
      <c r="P1246" s="22"/>
      <c r="Q1246" s="22"/>
      <c r="R1246" s="22"/>
      <c r="S1246" s="22"/>
      <c r="T1246" s="22"/>
      <c r="U1246" s="24" t="str">
        <f>IFERROR(__xludf.DUMMYFUNCTION("SPLIT(E1246,""01234567890"")"),"Brandon
")</f>
        <v>Brandon
</v>
      </c>
      <c r="V1246" s="24" t="str">
        <f>IFERROR(__xludf.DUMMYFUNCTION("SPLIT(D1246,"","")"),"Hays")</f>
        <v>Hays</v>
      </c>
      <c r="W1246" s="25" t="str">
        <f t="shared" si="1"/>
        <v>BRANDON
 HAYS</v>
      </c>
      <c r="X1246" s="22"/>
      <c r="Y1246" s="22"/>
      <c r="Z1246" s="25" t="str">
        <f>IFERROR(__xludf.DUMMYFUNCTION("SPLIT(C1246,""
"")"),"Hays, Brandon")</f>
        <v>Hays, Brandon</v>
      </c>
      <c r="AA1246" s="22" t="str">
        <f>IFERROR(__xludf.DUMMYFUNCTION("""COMPUTED_VALUE"""),"440 Parkhurst Dr")</f>
        <v>440 Parkhurst Dr</v>
      </c>
      <c r="AB1246" s="22" t="str">
        <f>IFERROR(__xludf.DUMMYFUNCTION("""COMPUTED_VALUE"""),"Dallas, TX 75218")</f>
        <v>Dallas, TX 75218</v>
      </c>
      <c r="AC1246" s="31" t="s">
        <v>2725</v>
      </c>
      <c r="AD1246" s="22"/>
      <c r="AE1246" s="22"/>
      <c r="AF1246" s="22"/>
      <c r="AG1246" s="22" t="s">
        <v>60</v>
      </c>
      <c r="AH1246" s="54">
        <v>2486.0</v>
      </c>
      <c r="AI1246" s="22" t="s">
        <v>68</v>
      </c>
      <c r="AJ1246" s="27">
        <v>50.0</v>
      </c>
      <c r="AK1246" s="31" t="s">
        <v>24</v>
      </c>
      <c r="AL1246" s="28">
        <v>44908.0</v>
      </c>
      <c r="AM1246" s="29">
        <v>44942.42989583333</v>
      </c>
      <c r="AN1246" s="30">
        <v>2.0</v>
      </c>
      <c r="AO1246" s="22"/>
      <c r="AP1246" s="22"/>
      <c r="AQ1246" s="22"/>
      <c r="AR1246" s="22"/>
      <c r="AS1246" s="22"/>
      <c r="AT1246" s="70"/>
      <c r="AU1246" s="22"/>
      <c r="AV1246" s="57"/>
      <c r="AW1246" s="57"/>
      <c r="AX1246" s="70"/>
      <c r="AY1246" s="29"/>
      <c r="AZ1246" s="30"/>
      <c r="CU1246" s="55"/>
      <c r="CV1246" s="55"/>
      <c r="CW1246" s="55"/>
      <c r="CX1246" s="55"/>
      <c r="CY1246" s="55"/>
      <c r="CZ1246" s="55"/>
      <c r="DA1246" s="82"/>
      <c r="DB1246" s="55"/>
      <c r="DC1246" s="55"/>
      <c r="DD1246" s="55"/>
      <c r="DE1246" s="55"/>
      <c r="DF1246" s="55"/>
      <c r="DG1246" s="55"/>
      <c r="DH1246" s="55"/>
      <c r="DI1246" s="55"/>
      <c r="DJ1246" s="55"/>
      <c r="DK1246" s="55"/>
      <c r="DL1246" s="55"/>
      <c r="DM1246" s="55"/>
      <c r="DN1246" s="55"/>
      <c r="DO1246" s="55"/>
      <c r="DP1246" s="55"/>
      <c r="DQ1246" s="55"/>
      <c r="DR1246" s="55"/>
      <c r="DS1246" s="55"/>
      <c r="DT1246" s="55"/>
      <c r="DU1246" s="55"/>
      <c r="DV1246" s="55"/>
      <c r="DW1246" s="55"/>
    </row>
    <row r="1247">
      <c r="A1247" s="41" t="s">
        <v>64</v>
      </c>
      <c r="B1247" s="41" t="s">
        <v>56</v>
      </c>
      <c r="C1247" s="31" t="s">
        <v>2726</v>
      </c>
      <c r="D1247" s="25" t="str">
        <f>IFERROR(__xludf.DUMMYFUNCTION("SPLIT(C1247,"" "")"),"SMITH,")</f>
        <v>SMITH,</v>
      </c>
      <c r="E1247" s="40" t="str">
        <f>IFERROR(__xludf.DUMMYFUNCTION("""COMPUTED_VALUE"""),"Jake
3700")</f>
        <v>Jake
3700</v>
      </c>
      <c r="F1247" s="40" t="str">
        <f>IFERROR(__xludf.DUMMYFUNCTION("""COMPUTED_VALUE"""),"E")</f>
        <v>E</v>
      </c>
      <c r="G1247" s="40" t="str">
        <f>IFERROR(__xludf.DUMMYFUNCTION("""COMPUTED_VALUE"""),"Randol")</f>
        <v>Randol</v>
      </c>
      <c r="H1247" s="40" t="str">
        <f>IFERROR(__xludf.DUMMYFUNCTION("""COMPUTED_VALUE"""),"Mill")</f>
        <v>Mill</v>
      </c>
      <c r="I1247" s="40" t="str">
        <f>IFERROR(__xludf.DUMMYFUNCTION("""COMPUTED_VALUE"""),"Road
Arlington,")</f>
        <v>Road
Arlington,</v>
      </c>
      <c r="J1247" s="40" t="str">
        <f>IFERROR(__xludf.DUMMYFUNCTION("""COMPUTED_VALUE"""),"TX")</f>
        <v>TX</v>
      </c>
      <c r="K1247" s="40">
        <f>IFERROR(__xludf.DUMMYFUNCTION("""COMPUTED_VALUE"""),76011.0)</f>
        <v>76011</v>
      </c>
      <c r="L1247" s="40"/>
      <c r="M1247" s="40"/>
      <c r="N1247" s="40"/>
      <c r="O1247" s="40"/>
      <c r="P1247" s="40"/>
      <c r="Q1247" s="40"/>
      <c r="R1247" s="40"/>
      <c r="S1247" s="40"/>
      <c r="T1247" s="40"/>
      <c r="U1247" s="24" t="str">
        <f>IFERROR(__xludf.DUMMYFUNCTION("SPLIT(E1247,""01234567890"")"),"Jake
")</f>
        <v>Jake
</v>
      </c>
      <c r="V1247" s="24" t="str">
        <f>IFERROR(__xludf.DUMMYFUNCTION("SPLIT(D1247,"","")"),"SMITH")</f>
        <v>SMITH</v>
      </c>
      <c r="W1247" s="25" t="str">
        <f t="shared" si="1"/>
        <v>JAKE
 SMITH</v>
      </c>
      <c r="X1247" s="40"/>
      <c r="Y1247" s="40"/>
      <c r="Z1247" s="25" t="str">
        <f>IFERROR(__xludf.DUMMYFUNCTION("SPLIT(C1247,""
"")"),"SMITH, Jake")</f>
        <v>SMITH, Jake</v>
      </c>
      <c r="AA1247" s="40" t="str">
        <f>IFERROR(__xludf.DUMMYFUNCTION("""COMPUTED_VALUE"""),"3700 E Randol Mill Road")</f>
        <v>3700 E Randol Mill Road</v>
      </c>
      <c r="AB1247" s="40" t="str">
        <f>IFERROR(__xludf.DUMMYFUNCTION("""COMPUTED_VALUE"""),"Arlington, TX 76011")</f>
        <v>Arlington, TX 76011</v>
      </c>
      <c r="AC1247" s="31" t="s">
        <v>2727</v>
      </c>
      <c r="AD1247" s="40"/>
      <c r="AE1247" s="40"/>
      <c r="AF1247" s="40"/>
      <c r="AG1247" s="40" t="s">
        <v>60</v>
      </c>
      <c r="AH1247" s="42">
        <v>2486.0</v>
      </c>
      <c r="AI1247" s="40" t="s">
        <v>68</v>
      </c>
      <c r="AJ1247" s="27">
        <v>100.0</v>
      </c>
      <c r="AK1247" s="31" t="s">
        <v>24</v>
      </c>
      <c r="AL1247" s="43">
        <v>44908.0</v>
      </c>
      <c r="AM1247" s="44">
        <v>44942.42989583333</v>
      </c>
      <c r="AN1247" s="30">
        <v>2.0</v>
      </c>
      <c r="AO1247" s="40"/>
      <c r="AP1247" s="40"/>
      <c r="AQ1247" s="40"/>
      <c r="AR1247" s="40"/>
      <c r="AS1247" s="40"/>
      <c r="AT1247" s="47"/>
      <c r="AU1247" s="40"/>
      <c r="AV1247" s="46"/>
      <c r="AW1247" s="46"/>
      <c r="AX1247" s="47"/>
      <c r="AY1247" s="44"/>
      <c r="AZ1247" s="30"/>
      <c r="CU1247" s="55"/>
      <c r="CV1247" s="55"/>
      <c r="CW1247" s="55"/>
      <c r="CX1247" s="55"/>
      <c r="CY1247" s="55"/>
      <c r="CZ1247" s="55"/>
      <c r="DA1247" s="82"/>
      <c r="DB1247" s="55"/>
      <c r="DC1247" s="55"/>
      <c r="DD1247" s="55"/>
      <c r="DE1247" s="55"/>
      <c r="DF1247" s="55"/>
      <c r="DG1247" s="55"/>
      <c r="DH1247" s="55"/>
      <c r="DI1247" s="55"/>
      <c r="DJ1247" s="55"/>
      <c r="DK1247" s="55"/>
      <c r="DL1247" s="55"/>
      <c r="DM1247" s="55"/>
      <c r="DN1247" s="55"/>
      <c r="DO1247" s="55"/>
      <c r="DP1247" s="55"/>
      <c r="DQ1247" s="55"/>
      <c r="DR1247" s="55"/>
      <c r="DS1247" s="55"/>
      <c r="DT1247" s="55"/>
      <c r="DU1247" s="55"/>
      <c r="DV1247" s="55"/>
      <c r="DW1247" s="55"/>
    </row>
    <row r="1248">
      <c r="A1248" s="23" t="s">
        <v>64</v>
      </c>
      <c r="B1248" s="23" t="s">
        <v>56</v>
      </c>
      <c r="C1248" s="31" t="s">
        <v>2728</v>
      </c>
      <c r="D1248" s="25" t="str">
        <f>IFERROR(__xludf.DUMMYFUNCTION("SPLIT(C1248,"" "")"),"Hamilton,")</f>
        <v>Hamilton,</v>
      </c>
      <c r="E1248" s="22" t="str">
        <f>IFERROR(__xludf.DUMMYFUNCTION("""COMPUTED_VALUE"""),"Jane")</f>
        <v>Jane</v>
      </c>
      <c r="F1248" s="22" t="str">
        <f>IFERROR(__xludf.DUMMYFUNCTION("""COMPUTED_VALUE"""),"Hope
623")</f>
        <v>Hope
623</v>
      </c>
      <c r="G1248" s="22" t="str">
        <f>IFERROR(__xludf.DUMMYFUNCTION("""COMPUTED_VALUE"""),"Aspen")</f>
        <v>Aspen</v>
      </c>
      <c r="H1248" s="22" t="str">
        <f>IFERROR(__xludf.DUMMYFUNCTION("""COMPUTED_VALUE"""),"Valley")</f>
        <v>Valley</v>
      </c>
      <c r="I1248" s="22" t="str">
        <f>IFERROR(__xludf.DUMMYFUNCTION("""COMPUTED_VALUE"""),"Lane
Dallas,")</f>
        <v>Lane
Dallas,</v>
      </c>
      <c r="J1248" s="22" t="str">
        <f>IFERROR(__xludf.DUMMYFUNCTION("""COMPUTED_VALUE"""),"TX")</f>
        <v>TX</v>
      </c>
      <c r="K1248" s="22">
        <f>IFERROR(__xludf.DUMMYFUNCTION("""COMPUTED_VALUE"""),75208.0)</f>
        <v>75208</v>
      </c>
      <c r="L1248" s="22"/>
      <c r="M1248" s="22"/>
      <c r="N1248" s="22"/>
      <c r="O1248" s="22"/>
      <c r="P1248" s="22"/>
      <c r="Q1248" s="22"/>
      <c r="R1248" s="22"/>
      <c r="S1248" s="22"/>
      <c r="T1248" s="22"/>
      <c r="U1248" s="24" t="str">
        <f>IFERROR(__xludf.DUMMYFUNCTION("SPLIT(E1248,""01234567890"")"),"Jane")</f>
        <v>Jane</v>
      </c>
      <c r="V1248" s="24" t="str">
        <f>IFERROR(__xludf.DUMMYFUNCTION("SPLIT(D1248,"","")"),"Hamilton")</f>
        <v>Hamilton</v>
      </c>
      <c r="W1248" s="25" t="str">
        <f t="shared" si="1"/>
        <v>JANE HAMILTON</v>
      </c>
      <c r="X1248" s="22"/>
      <c r="Y1248" s="22"/>
      <c r="Z1248" s="25" t="str">
        <f>IFERROR(__xludf.DUMMYFUNCTION("SPLIT(C1248,""
"")"),"Hamilton, Jane Hope")</f>
        <v>Hamilton, Jane Hope</v>
      </c>
      <c r="AA1248" s="22" t="str">
        <f>IFERROR(__xludf.DUMMYFUNCTION("""COMPUTED_VALUE"""),"623 Aspen Valley Lane")</f>
        <v>623 Aspen Valley Lane</v>
      </c>
      <c r="AB1248" s="22" t="str">
        <f>IFERROR(__xludf.DUMMYFUNCTION("""COMPUTED_VALUE"""),"Dallas, TX 75208")</f>
        <v>Dallas, TX 75208</v>
      </c>
      <c r="AC1248" s="31" t="s">
        <v>2729</v>
      </c>
      <c r="AD1248" s="22"/>
      <c r="AE1248" s="22"/>
      <c r="AF1248" s="22"/>
      <c r="AG1248" s="22" t="s">
        <v>60</v>
      </c>
      <c r="AH1248" s="54">
        <v>2486.0</v>
      </c>
      <c r="AI1248" s="22" t="s">
        <v>68</v>
      </c>
      <c r="AJ1248" s="27">
        <v>250.0</v>
      </c>
      <c r="AK1248" s="31" t="s">
        <v>24</v>
      </c>
      <c r="AL1248" s="28">
        <v>44908.0</v>
      </c>
      <c r="AM1248" s="29">
        <v>44942.42989583333</v>
      </c>
      <c r="AN1248" s="30">
        <v>2.0</v>
      </c>
      <c r="AO1248" s="22"/>
      <c r="AP1248" s="22"/>
      <c r="AQ1248" s="22"/>
      <c r="AR1248" s="22"/>
      <c r="AS1248" s="22"/>
      <c r="AT1248" s="70"/>
      <c r="AU1248" s="22"/>
      <c r="AV1248" s="57"/>
      <c r="AW1248" s="57"/>
      <c r="AX1248" s="70"/>
      <c r="AY1248" s="29"/>
      <c r="AZ1248" s="30"/>
      <c r="CU1248" s="55"/>
      <c r="CV1248" s="55"/>
      <c r="CW1248" s="55"/>
      <c r="CX1248" s="55"/>
      <c r="CY1248" s="55"/>
      <c r="CZ1248" s="55"/>
      <c r="DA1248" s="82"/>
      <c r="DB1248" s="55"/>
      <c r="DC1248" s="55"/>
      <c r="DD1248" s="55"/>
      <c r="DE1248" s="55"/>
      <c r="DF1248" s="55"/>
      <c r="DG1248" s="55"/>
      <c r="DH1248" s="55"/>
      <c r="DI1248" s="55"/>
      <c r="DJ1248" s="55"/>
      <c r="DK1248" s="55"/>
      <c r="DL1248" s="55"/>
      <c r="DM1248" s="55"/>
      <c r="DN1248" s="55"/>
      <c r="DO1248" s="55"/>
      <c r="DP1248" s="55"/>
      <c r="DQ1248" s="55"/>
      <c r="DR1248" s="55"/>
      <c r="DS1248" s="55"/>
      <c r="DT1248" s="55"/>
      <c r="DU1248" s="55"/>
      <c r="DV1248" s="55"/>
      <c r="DW1248" s="55"/>
    </row>
    <row r="1249">
      <c r="A1249" s="41" t="s">
        <v>64</v>
      </c>
      <c r="B1249" s="41" t="s">
        <v>56</v>
      </c>
      <c r="C1249" s="31" t="s">
        <v>2730</v>
      </c>
      <c r="D1249" s="25" t="str">
        <f>IFERROR(__xludf.DUMMYFUNCTION("SPLIT(C1249,"" "")"),"Rigelsky,")</f>
        <v>Rigelsky,</v>
      </c>
      <c r="E1249" s="40" t="str">
        <f>IFERROR(__xludf.DUMMYFUNCTION("""COMPUTED_VALUE"""),"Jay
6342")</f>
        <v>Jay
6342</v>
      </c>
      <c r="F1249" s="40" t="str">
        <f>IFERROR(__xludf.DUMMYFUNCTION("""COMPUTED_VALUE"""),"Belmont
Dallas,")</f>
        <v>Belmont
Dallas,</v>
      </c>
      <c r="G1249" s="40" t="str">
        <f>IFERROR(__xludf.DUMMYFUNCTION("""COMPUTED_VALUE"""),"TX")</f>
        <v>TX</v>
      </c>
      <c r="H1249" s="40">
        <f>IFERROR(__xludf.DUMMYFUNCTION("""COMPUTED_VALUE"""),75214.0)</f>
        <v>75214</v>
      </c>
      <c r="I1249" s="40"/>
      <c r="J1249" s="40"/>
      <c r="K1249" s="40"/>
      <c r="L1249" s="40"/>
      <c r="M1249" s="40"/>
      <c r="N1249" s="40"/>
      <c r="O1249" s="40"/>
      <c r="P1249" s="40"/>
      <c r="Q1249" s="40"/>
      <c r="R1249" s="40"/>
      <c r="S1249" s="40"/>
      <c r="T1249" s="40"/>
      <c r="U1249" s="24" t="str">
        <f>IFERROR(__xludf.DUMMYFUNCTION("SPLIT(E1249,""01234567890"")"),"Jay
")</f>
        <v>Jay
</v>
      </c>
      <c r="V1249" s="24" t="str">
        <f>IFERROR(__xludf.DUMMYFUNCTION("SPLIT(D1249,"","")"),"Rigelsky")</f>
        <v>Rigelsky</v>
      </c>
      <c r="W1249" s="25" t="str">
        <f t="shared" si="1"/>
        <v>JAY
 RIGELSKY</v>
      </c>
      <c r="X1249" s="40"/>
      <c r="Y1249" s="40"/>
      <c r="Z1249" s="25" t="str">
        <f>IFERROR(__xludf.DUMMYFUNCTION("SPLIT(C1249,""
"")"),"Rigelsky, Jay")</f>
        <v>Rigelsky, Jay</v>
      </c>
      <c r="AA1249" s="40" t="str">
        <f>IFERROR(__xludf.DUMMYFUNCTION("""COMPUTED_VALUE"""),"6342 Belmont")</f>
        <v>6342 Belmont</v>
      </c>
      <c r="AB1249" s="40" t="str">
        <f>IFERROR(__xludf.DUMMYFUNCTION("""COMPUTED_VALUE"""),"Dallas, TX 75214")</f>
        <v>Dallas, TX 75214</v>
      </c>
      <c r="AC1249" s="31" t="s">
        <v>2731</v>
      </c>
      <c r="AD1249" s="40"/>
      <c r="AE1249" s="40"/>
      <c r="AF1249" s="40"/>
      <c r="AG1249" s="40" t="s">
        <v>60</v>
      </c>
      <c r="AH1249" s="42">
        <v>2486.0</v>
      </c>
      <c r="AI1249" s="40" t="s">
        <v>68</v>
      </c>
      <c r="AJ1249" s="27">
        <v>150.0</v>
      </c>
      <c r="AK1249" s="31" t="s">
        <v>24</v>
      </c>
      <c r="AL1249" s="43">
        <v>44908.0</v>
      </c>
      <c r="AM1249" s="44">
        <v>44942.42989583333</v>
      </c>
      <c r="AN1249" s="30">
        <v>2.0</v>
      </c>
      <c r="AO1249" s="40"/>
      <c r="AP1249" s="40"/>
      <c r="AQ1249" s="40"/>
      <c r="AR1249" s="40"/>
      <c r="AS1249" s="40"/>
      <c r="AT1249" s="47"/>
      <c r="AU1249" s="40"/>
      <c r="AV1249" s="46"/>
      <c r="AW1249" s="46"/>
      <c r="AX1249" s="47"/>
      <c r="AY1249" s="44"/>
      <c r="AZ1249" s="30"/>
      <c r="CU1249" s="55"/>
      <c r="CV1249" s="55"/>
      <c r="CW1249" s="55"/>
      <c r="CX1249" s="55"/>
      <c r="CY1249" s="55"/>
      <c r="CZ1249" s="55"/>
      <c r="DA1249" s="82"/>
      <c r="DB1249" s="55"/>
      <c r="DC1249" s="55"/>
      <c r="DD1249" s="55"/>
      <c r="DE1249" s="55"/>
      <c r="DF1249" s="55"/>
      <c r="DG1249" s="55"/>
      <c r="DH1249" s="55"/>
      <c r="DI1249" s="55"/>
      <c r="DJ1249" s="55"/>
      <c r="DK1249" s="55"/>
      <c r="DL1249" s="55"/>
      <c r="DM1249" s="55"/>
      <c r="DN1249" s="55"/>
      <c r="DO1249" s="55"/>
      <c r="DP1249" s="55"/>
      <c r="DQ1249" s="55"/>
      <c r="DR1249" s="55"/>
      <c r="DS1249" s="55"/>
      <c r="DT1249" s="55"/>
      <c r="DU1249" s="55"/>
      <c r="DV1249" s="55"/>
      <c r="DW1249" s="55"/>
    </row>
    <row r="1250">
      <c r="A1250" s="23" t="s">
        <v>64</v>
      </c>
      <c r="B1250" s="23" t="s">
        <v>56</v>
      </c>
      <c r="C1250" s="31" t="s">
        <v>2732</v>
      </c>
      <c r="D1250" s="25" t="str">
        <f>IFERROR(__xludf.DUMMYFUNCTION("SPLIT(C1250,"" "")"),"Williams,")</f>
        <v>Williams,</v>
      </c>
      <c r="E1250" s="22" t="str">
        <f>IFERROR(__xludf.DUMMYFUNCTION("""COMPUTED_VALUE"""),"Kirk
3012")</f>
        <v>Kirk
3012</v>
      </c>
      <c r="F1250" s="22" t="str">
        <f>IFERROR(__xludf.DUMMYFUNCTION("""COMPUTED_VALUE"""),"Rosedale")</f>
        <v>Rosedale</v>
      </c>
      <c r="G1250" s="22" t="str">
        <f>IFERROR(__xludf.DUMMYFUNCTION("""COMPUTED_VALUE"""),"Avenue
Dallas,")</f>
        <v>Avenue
Dallas,</v>
      </c>
      <c r="H1250" s="22" t="str">
        <f>IFERROR(__xludf.DUMMYFUNCTION("""COMPUTED_VALUE"""),"TX")</f>
        <v>TX</v>
      </c>
      <c r="I1250" s="22">
        <f>IFERROR(__xludf.DUMMYFUNCTION("""COMPUTED_VALUE"""),75205.0)</f>
        <v>75205</v>
      </c>
      <c r="J1250" s="22"/>
      <c r="K1250" s="22"/>
      <c r="L1250" s="22"/>
      <c r="M1250" s="22"/>
      <c r="N1250" s="22"/>
      <c r="O1250" s="22"/>
      <c r="P1250" s="22"/>
      <c r="Q1250" s="22"/>
      <c r="R1250" s="22"/>
      <c r="S1250" s="22"/>
      <c r="T1250" s="22"/>
      <c r="U1250" s="24" t="str">
        <f>IFERROR(__xludf.DUMMYFUNCTION("SPLIT(E1250,""01234567890"")"),"Kirk
")</f>
        <v>Kirk
</v>
      </c>
      <c r="V1250" s="24" t="str">
        <f>IFERROR(__xludf.DUMMYFUNCTION("SPLIT(D1250,"","")"),"Williams")</f>
        <v>Williams</v>
      </c>
      <c r="W1250" s="25" t="str">
        <f t="shared" si="1"/>
        <v>KIRK
 WILLIAMS</v>
      </c>
      <c r="X1250" s="22"/>
      <c r="Y1250" s="22"/>
      <c r="Z1250" s="25" t="str">
        <f>IFERROR(__xludf.DUMMYFUNCTION("SPLIT(C1250,""
"")"),"Williams, Kirk")</f>
        <v>Williams, Kirk</v>
      </c>
      <c r="AA1250" s="22" t="str">
        <f>IFERROR(__xludf.DUMMYFUNCTION("""COMPUTED_VALUE"""),"3012 Rosedale Avenue")</f>
        <v>3012 Rosedale Avenue</v>
      </c>
      <c r="AB1250" s="22" t="str">
        <f>IFERROR(__xludf.DUMMYFUNCTION("""COMPUTED_VALUE"""),"Dallas, TX 75205")</f>
        <v>Dallas, TX 75205</v>
      </c>
      <c r="AC1250" s="31" t="s">
        <v>2733</v>
      </c>
      <c r="AD1250" s="22"/>
      <c r="AE1250" s="22"/>
      <c r="AF1250" s="22"/>
      <c r="AG1250" s="22" t="s">
        <v>60</v>
      </c>
      <c r="AH1250" s="54">
        <v>2486.0</v>
      </c>
      <c r="AI1250" s="22" t="s">
        <v>68</v>
      </c>
      <c r="AJ1250" s="27">
        <v>1000.0</v>
      </c>
      <c r="AK1250" s="31" t="s">
        <v>24</v>
      </c>
      <c r="AL1250" s="28">
        <v>44908.0</v>
      </c>
      <c r="AM1250" s="29">
        <v>44942.42989583333</v>
      </c>
      <c r="AN1250" s="30">
        <v>2.0</v>
      </c>
      <c r="AO1250" s="22"/>
      <c r="AP1250" s="22"/>
      <c r="AQ1250" s="22"/>
      <c r="AR1250" s="22"/>
      <c r="AS1250" s="22"/>
      <c r="AT1250" s="70"/>
      <c r="AU1250" s="22"/>
      <c r="AV1250" s="57"/>
      <c r="AW1250" s="57"/>
      <c r="AX1250" s="70"/>
      <c r="AY1250" s="29"/>
      <c r="AZ1250" s="30"/>
      <c r="CU1250" s="55"/>
      <c r="CV1250" s="55"/>
      <c r="CW1250" s="55"/>
      <c r="CX1250" s="55"/>
      <c r="CY1250" s="55"/>
      <c r="CZ1250" s="55"/>
      <c r="DA1250" s="82"/>
      <c r="DB1250" s="55"/>
      <c r="DC1250" s="55"/>
      <c r="DD1250" s="55"/>
      <c r="DE1250" s="55"/>
      <c r="DF1250" s="55"/>
      <c r="DG1250" s="55"/>
      <c r="DH1250" s="55"/>
      <c r="DI1250" s="55"/>
      <c r="DJ1250" s="55"/>
      <c r="DK1250" s="55"/>
      <c r="DL1250" s="55"/>
      <c r="DM1250" s="55"/>
      <c r="DN1250" s="55"/>
      <c r="DO1250" s="55"/>
      <c r="DP1250" s="55"/>
      <c r="DQ1250" s="55"/>
      <c r="DR1250" s="55"/>
      <c r="DS1250" s="55"/>
      <c r="DT1250" s="55"/>
      <c r="DU1250" s="55"/>
      <c r="DV1250" s="55"/>
      <c r="DW1250" s="55"/>
    </row>
    <row r="1251">
      <c r="A1251" s="41" t="s">
        <v>64</v>
      </c>
      <c r="B1251" s="41" t="s">
        <v>56</v>
      </c>
      <c r="C1251" s="31" t="s">
        <v>2734</v>
      </c>
      <c r="D1251" s="25" t="str">
        <f>IFERROR(__xludf.DUMMYFUNCTION("SPLIT(C1251,"" "")"),"Proctor,")</f>
        <v>Proctor,</v>
      </c>
      <c r="E1251" s="40" t="str">
        <f>IFERROR(__xludf.DUMMYFUNCTION("""COMPUTED_VALUE"""),"John")</f>
        <v>John</v>
      </c>
      <c r="F1251" s="40" t="str">
        <f>IFERROR(__xludf.DUMMYFUNCTION("""COMPUTED_VALUE"""),"Lee
1524")</f>
        <v>Lee
1524</v>
      </c>
      <c r="G1251" s="40" t="str">
        <f>IFERROR(__xludf.DUMMYFUNCTION("""COMPUTED_VALUE"""),"Oak")</f>
        <v>Oak</v>
      </c>
      <c r="H1251" s="40" t="str">
        <f>IFERROR(__xludf.DUMMYFUNCTION("""COMPUTED_VALUE"""),"Meadows
Dallas,")</f>
        <v>Meadows
Dallas,</v>
      </c>
      <c r="I1251" s="40" t="str">
        <f>IFERROR(__xludf.DUMMYFUNCTION("""COMPUTED_VALUE"""),"TX")</f>
        <v>TX</v>
      </c>
      <c r="J1251" s="40">
        <f>IFERROR(__xludf.DUMMYFUNCTION("""COMPUTED_VALUE"""),75232.0)</f>
        <v>75232</v>
      </c>
      <c r="K1251" s="40"/>
      <c r="L1251" s="40"/>
      <c r="M1251" s="40"/>
      <c r="N1251" s="40"/>
      <c r="O1251" s="40"/>
      <c r="P1251" s="40"/>
      <c r="Q1251" s="40"/>
      <c r="R1251" s="40"/>
      <c r="S1251" s="40"/>
      <c r="T1251" s="40"/>
      <c r="U1251" s="24" t="str">
        <f>IFERROR(__xludf.DUMMYFUNCTION("SPLIT(E1251,""01234567890"")"),"John")</f>
        <v>John</v>
      </c>
      <c r="V1251" s="24" t="str">
        <f>IFERROR(__xludf.DUMMYFUNCTION("SPLIT(D1251,"","")"),"Proctor")</f>
        <v>Proctor</v>
      </c>
      <c r="W1251" s="25" t="str">
        <f t="shared" si="1"/>
        <v>JOHN PROCTOR</v>
      </c>
      <c r="X1251" s="40"/>
      <c r="Y1251" s="40"/>
      <c r="Z1251" s="25" t="str">
        <f>IFERROR(__xludf.DUMMYFUNCTION("SPLIT(C1251,""
"")"),"Proctor, John Lee")</f>
        <v>Proctor, John Lee</v>
      </c>
      <c r="AA1251" s="40" t="str">
        <f>IFERROR(__xludf.DUMMYFUNCTION("""COMPUTED_VALUE"""),"1524 Oak Meadows")</f>
        <v>1524 Oak Meadows</v>
      </c>
      <c r="AB1251" s="40" t="str">
        <f>IFERROR(__xludf.DUMMYFUNCTION("""COMPUTED_VALUE"""),"Dallas, TX 75232")</f>
        <v>Dallas, TX 75232</v>
      </c>
      <c r="AC1251" s="31" t="s">
        <v>2735</v>
      </c>
      <c r="AD1251" s="40"/>
      <c r="AE1251" s="40"/>
      <c r="AF1251" s="40"/>
      <c r="AG1251" s="40" t="s">
        <v>60</v>
      </c>
      <c r="AH1251" s="42">
        <v>2486.0</v>
      </c>
      <c r="AI1251" s="40" t="s">
        <v>68</v>
      </c>
      <c r="AJ1251" s="27">
        <v>1000.0</v>
      </c>
      <c r="AK1251" s="31" t="s">
        <v>24</v>
      </c>
      <c r="AL1251" s="43">
        <v>44908.0</v>
      </c>
      <c r="AM1251" s="44">
        <v>44942.42989583333</v>
      </c>
      <c r="AN1251" s="30">
        <v>2.0</v>
      </c>
      <c r="AO1251" s="40"/>
      <c r="AP1251" s="40"/>
      <c r="AQ1251" s="40"/>
      <c r="AR1251" s="40"/>
      <c r="AS1251" s="40"/>
      <c r="AT1251" s="47"/>
      <c r="AU1251" s="40"/>
      <c r="AV1251" s="46"/>
      <c r="AW1251" s="46"/>
      <c r="AX1251" s="47"/>
      <c r="AY1251" s="44"/>
      <c r="AZ1251" s="30"/>
      <c r="CU1251" s="55"/>
      <c r="CV1251" s="55"/>
      <c r="CW1251" s="55"/>
      <c r="CX1251" s="55"/>
      <c r="CY1251" s="55"/>
      <c r="CZ1251" s="55"/>
      <c r="DA1251" s="82"/>
      <c r="DB1251" s="55"/>
      <c r="DC1251" s="55"/>
      <c r="DD1251" s="55"/>
      <c r="DE1251" s="55"/>
      <c r="DF1251" s="55"/>
      <c r="DG1251" s="55"/>
      <c r="DH1251" s="55"/>
      <c r="DI1251" s="55"/>
      <c r="DJ1251" s="55"/>
      <c r="DK1251" s="55"/>
      <c r="DL1251" s="55"/>
      <c r="DM1251" s="55"/>
      <c r="DN1251" s="55"/>
      <c r="DO1251" s="55"/>
      <c r="DP1251" s="55"/>
      <c r="DQ1251" s="55"/>
      <c r="DR1251" s="55"/>
      <c r="DS1251" s="55"/>
      <c r="DT1251" s="55"/>
      <c r="DU1251" s="55"/>
      <c r="DV1251" s="55"/>
      <c r="DW1251" s="55"/>
    </row>
    <row r="1252">
      <c r="A1252" s="23" t="s">
        <v>64</v>
      </c>
      <c r="B1252" s="23" t="s">
        <v>56</v>
      </c>
      <c r="C1252" s="31" t="s">
        <v>2736</v>
      </c>
      <c r="D1252" s="25" t="str">
        <f>IFERROR(__xludf.DUMMYFUNCTION("SPLIT(C1252,"" "")"),"Lopez,")</f>
        <v>Lopez,</v>
      </c>
      <c r="E1252" s="22" t="str">
        <f>IFERROR(__xludf.DUMMYFUNCTION("""COMPUTED_VALUE"""),"Roy
4326")</f>
        <v>Roy
4326</v>
      </c>
      <c r="F1252" s="22" t="str">
        <f>IFERROR(__xludf.DUMMYFUNCTION("""COMPUTED_VALUE"""),"Meadowdale
Dallas,")</f>
        <v>Meadowdale
Dallas,</v>
      </c>
      <c r="G1252" s="22" t="str">
        <f>IFERROR(__xludf.DUMMYFUNCTION("""COMPUTED_VALUE"""),"TX")</f>
        <v>TX</v>
      </c>
      <c r="H1252" s="22">
        <f>IFERROR(__xludf.DUMMYFUNCTION("""COMPUTED_VALUE"""),75229.0)</f>
        <v>75229</v>
      </c>
      <c r="I1252" s="22"/>
      <c r="J1252" s="22"/>
      <c r="K1252" s="22"/>
      <c r="L1252" s="22"/>
      <c r="M1252" s="22"/>
      <c r="N1252" s="22"/>
      <c r="O1252" s="22"/>
      <c r="P1252" s="22"/>
      <c r="Q1252" s="22"/>
      <c r="R1252" s="22"/>
      <c r="S1252" s="22"/>
      <c r="T1252" s="22"/>
      <c r="U1252" s="24" t="str">
        <f>IFERROR(__xludf.DUMMYFUNCTION("SPLIT(E1252,""01234567890"")"),"Roy
")</f>
        <v>Roy
</v>
      </c>
      <c r="V1252" s="24" t="str">
        <f>IFERROR(__xludf.DUMMYFUNCTION("SPLIT(D1252,"","")"),"Lopez")</f>
        <v>Lopez</v>
      </c>
      <c r="W1252" s="25" t="str">
        <f t="shared" si="1"/>
        <v>ROY
 LOPEZ</v>
      </c>
      <c r="X1252" s="22"/>
      <c r="Y1252" s="22"/>
      <c r="Z1252" s="25" t="str">
        <f>IFERROR(__xludf.DUMMYFUNCTION("SPLIT(C1252,""
"")"),"Lopez, Roy")</f>
        <v>Lopez, Roy</v>
      </c>
      <c r="AA1252" s="22" t="str">
        <f>IFERROR(__xludf.DUMMYFUNCTION("""COMPUTED_VALUE"""),"4326 Meadowdale")</f>
        <v>4326 Meadowdale</v>
      </c>
      <c r="AB1252" s="22" t="str">
        <f>IFERROR(__xludf.DUMMYFUNCTION("""COMPUTED_VALUE"""),"Dallas, TX 75229")</f>
        <v>Dallas, TX 75229</v>
      </c>
      <c r="AC1252" s="31" t="s">
        <v>2737</v>
      </c>
      <c r="AD1252" s="22"/>
      <c r="AE1252" s="22"/>
      <c r="AF1252" s="22"/>
      <c r="AG1252" s="22" t="s">
        <v>60</v>
      </c>
      <c r="AH1252" s="54">
        <v>2486.0</v>
      </c>
      <c r="AI1252" s="22" t="s">
        <v>68</v>
      </c>
      <c r="AJ1252" s="27">
        <v>1000.0</v>
      </c>
      <c r="AK1252" s="31" t="s">
        <v>24</v>
      </c>
      <c r="AL1252" s="28">
        <v>44908.0</v>
      </c>
      <c r="AM1252" s="29">
        <v>44942.42989583333</v>
      </c>
      <c r="AN1252" s="30">
        <v>2.0</v>
      </c>
      <c r="AO1252" s="22"/>
      <c r="AP1252" s="22"/>
      <c r="AQ1252" s="22"/>
      <c r="AR1252" s="22"/>
      <c r="AS1252" s="22"/>
      <c r="AT1252" s="70"/>
      <c r="AU1252" s="22"/>
      <c r="AV1252" s="57"/>
      <c r="AW1252" s="57"/>
      <c r="AX1252" s="70"/>
      <c r="AY1252" s="29"/>
      <c r="AZ1252" s="30"/>
      <c r="CU1252" s="55"/>
      <c r="CV1252" s="55"/>
      <c r="CW1252" s="55"/>
      <c r="CX1252" s="55"/>
      <c r="CY1252" s="55"/>
      <c r="CZ1252" s="55"/>
      <c r="DA1252" s="82"/>
      <c r="DB1252" s="55"/>
      <c r="DC1252" s="55"/>
      <c r="DD1252" s="55"/>
      <c r="DE1252" s="55"/>
      <c r="DF1252" s="55"/>
      <c r="DG1252" s="55"/>
      <c r="DH1252" s="55"/>
      <c r="DI1252" s="55"/>
      <c r="DJ1252" s="55"/>
      <c r="DK1252" s="55"/>
      <c r="DL1252" s="55"/>
      <c r="DM1252" s="55"/>
      <c r="DN1252" s="55"/>
      <c r="DO1252" s="55"/>
      <c r="DP1252" s="55"/>
      <c r="DQ1252" s="55"/>
      <c r="DR1252" s="55"/>
      <c r="DS1252" s="55"/>
      <c r="DT1252" s="55"/>
      <c r="DU1252" s="55"/>
      <c r="DV1252" s="55"/>
      <c r="DW1252" s="55"/>
    </row>
    <row r="1253">
      <c r="A1253" s="41" t="s">
        <v>64</v>
      </c>
      <c r="B1253" s="41" t="s">
        <v>56</v>
      </c>
      <c r="C1253" s="31" t="s">
        <v>2738</v>
      </c>
      <c r="D1253" s="25" t="str">
        <f>IFERROR(__xludf.DUMMYFUNCTION("SPLIT(C1253,"" "")"),"Melton,")</f>
        <v>Melton,</v>
      </c>
      <c r="E1253" s="40" t="str">
        <f>IFERROR(__xludf.DUMMYFUNCTION("""COMPUTED_VALUE"""),"Warren
613")</f>
        <v>Warren
613</v>
      </c>
      <c r="F1253" s="40" t="str">
        <f>IFERROR(__xludf.DUMMYFUNCTION("""COMPUTED_VALUE"""),"Mt.")</f>
        <v>Mt.</v>
      </c>
      <c r="G1253" s="40" t="str">
        <f>IFERROR(__xludf.DUMMYFUNCTION("""COMPUTED_VALUE"""),"Auburn
Dallas,")</f>
        <v>Auburn
Dallas,</v>
      </c>
      <c r="H1253" s="40" t="str">
        <f>IFERROR(__xludf.DUMMYFUNCTION("""COMPUTED_VALUE"""),"TX")</f>
        <v>TX</v>
      </c>
      <c r="I1253" s="40">
        <f>IFERROR(__xludf.DUMMYFUNCTION("""COMPUTED_VALUE"""),75223.0)</f>
        <v>75223</v>
      </c>
      <c r="J1253" s="40"/>
      <c r="K1253" s="40"/>
      <c r="L1253" s="40"/>
      <c r="M1253" s="40"/>
      <c r="N1253" s="40"/>
      <c r="O1253" s="40"/>
      <c r="P1253" s="40"/>
      <c r="Q1253" s="40"/>
      <c r="R1253" s="40"/>
      <c r="S1253" s="40"/>
      <c r="T1253" s="40"/>
      <c r="U1253" s="24" t="str">
        <f>IFERROR(__xludf.DUMMYFUNCTION("SPLIT(E1253,""01234567890"")"),"Warren
")</f>
        <v>Warren
</v>
      </c>
      <c r="V1253" s="24" t="str">
        <f>IFERROR(__xludf.DUMMYFUNCTION("SPLIT(D1253,"","")"),"Melton")</f>
        <v>Melton</v>
      </c>
      <c r="W1253" s="25" t="str">
        <f t="shared" si="1"/>
        <v>WARREN
 MELTON</v>
      </c>
      <c r="X1253" s="40"/>
      <c r="Y1253" s="40"/>
      <c r="Z1253" s="25" t="str">
        <f>IFERROR(__xludf.DUMMYFUNCTION("SPLIT(C1253,""
"")"),"Melton, Warren")</f>
        <v>Melton, Warren</v>
      </c>
      <c r="AA1253" s="40" t="str">
        <f>IFERROR(__xludf.DUMMYFUNCTION("""COMPUTED_VALUE"""),"613 Mt. Auburn")</f>
        <v>613 Mt. Auburn</v>
      </c>
      <c r="AB1253" s="40" t="str">
        <f>IFERROR(__xludf.DUMMYFUNCTION("""COMPUTED_VALUE"""),"Dallas, TX 75223")</f>
        <v>Dallas, TX 75223</v>
      </c>
      <c r="AC1253" s="31" t="s">
        <v>2739</v>
      </c>
      <c r="AD1253" s="40"/>
      <c r="AE1253" s="40"/>
      <c r="AF1253" s="40"/>
      <c r="AG1253" s="40" t="s">
        <v>60</v>
      </c>
      <c r="AH1253" s="42">
        <v>2486.0</v>
      </c>
      <c r="AI1253" s="40" t="s">
        <v>68</v>
      </c>
      <c r="AJ1253" s="27">
        <v>100.0</v>
      </c>
      <c r="AK1253" s="31" t="s">
        <v>24</v>
      </c>
      <c r="AL1253" s="43">
        <v>44908.0</v>
      </c>
      <c r="AM1253" s="44">
        <v>44942.42989583333</v>
      </c>
      <c r="AN1253" s="30">
        <v>2.0</v>
      </c>
      <c r="AO1253" s="40"/>
      <c r="AP1253" s="40"/>
      <c r="AQ1253" s="40"/>
      <c r="AR1253" s="40"/>
      <c r="AS1253" s="40"/>
      <c r="AT1253" s="47"/>
      <c r="AU1253" s="40"/>
      <c r="AV1253" s="46"/>
      <c r="AW1253" s="46"/>
      <c r="AX1253" s="47"/>
      <c r="AY1253" s="44"/>
      <c r="AZ1253" s="30"/>
      <c r="CU1253" s="55"/>
      <c r="CV1253" s="55"/>
      <c r="CW1253" s="55"/>
      <c r="CX1253" s="55"/>
      <c r="CY1253" s="55"/>
      <c r="CZ1253" s="55"/>
      <c r="DA1253" s="82"/>
      <c r="DB1253" s="55"/>
      <c r="DC1253" s="55"/>
      <c r="DD1253" s="55"/>
      <c r="DE1253" s="55"/>
      <c r="DF1253" s="55"/>
      <c r="DG1253" s="55"/>
      <c r="DH1253" s="55"/>
      <c r="DI1253" s="55"/>
      <c r="DJ1253" s="55"/>
      <c r="DK1253" s="55"/>
      <c r="DL1253" s="55"/>
      <c r="DM1253" s="55"/>
      <c r="DN1253" s="55"/>
      <c r="DO1253" s="55"/>
      <c r="DP1253" s="55"/>
      <c r="DQ1253" s="55"/>
      <c r="DR1253" s="55"/>
      <c r="DS1253" s="55"/>
      <c r="DT1253" s="55"/>
      <c r="DU1253" s="55"/>
      <c r="DV1253" s="55"/>
      <c r="DW1253" s="55"/>
    </row>
    <row r="1254">
      <c r="A1254" s="23" t="s">
        <v>64</v>
      </c>
      <c r="B1254" s="23" t="s">
        <v>56</v>
      </c>
      <c r="C1254" s="31" t="s">
        <v>2740</v>
      </c>
      <c r="D1254" s="25" t="str">
        <f>IFERROR(__xludf.DUMMYFUNCTION("SPLIT(C1254,"" "")"),"Goldwater,")</f>
        <v>Goldwater,</v>
      </c>
      <c r="E1254" s="22" t="str">
        <f>IFERROR(__xludf.DUMMYFUNCTION("""COMPUTED_VALUE"""),"Andrea
40637")</f>
        <v>Andrea
40637</v>
      </c>
      <c r="F1254" s="22" t="str">
        <f>IFERROR(__xludf.DUMMYFUNCTION("""COMPUTED_VALUE"""),"Annabelle")</f>
        <v>Annabelle</v>
      </c>
      <c r="G1254" s="22" t="str">
        <f>IFERROR(__xludf.DUMMYFUNCTION("""COMPUTED_VALUE"""),"Glen")</f>
        <v>Glen</v>
      </c>
      <c r="H1254" s="22" t="str">
        <f>IFERROR(__xludf.DUMMYFUNCTION("""COMPUTED_VALUE"""),"Place
Aldie,")</f>
        <v>Place
Aldie,</v>
      </c>
      <c r="I1254" s="22" t="str">
        <f>IFERROR(__xludf.DUMMYFUNCTION("""COMPUTED_VALUE"""),"VA")</f>
        <v>VA</v>
      </c>
      <c r="J1254" s="22">
        <f>IFERROR(__xludf.DUMMYFUNCTION("""COMPUTED_VALUE"""),20105.0)</f>
        <v>20105</v>
      </c>
      <c r="K1254" s="22"/>
      <c r="L1254" s="22"/>
      <c r="M1254" s="22"/>
      <c r="N1254" s="22"/>
      <c r="O1254" s="22"/>
      <c r="P1254" s="22"/>
      <c r="Q1254" s="22"/>
      <c r="R1254" s="22"/>
      <c r="S1254" s="22"/>
      <c r="T1254" s="22"/>
      <c r="U1254" s="24" t="str">
        <f>IFERROR(__xludf.DUMMYFUNCTION("SPLIT(E1254,""01234567890"")"),"Andrea
")</f>
        <v>Andrea
</v>
      </c>
      <c r="V1254" s="24" t="str">
        <f>IFERROR(__xludf.DUMMYFUNCTION("SPLIT(D1254,"","")"),"Goldwater")</f>
        <v>Goldwater</v>
      </c>
      <c r="W1254" s="25" t="str">
        <f t="shared" si="1"/>
        <v>ANDREA
 GOLDWATER</v>
      </c>
      <c r="X1254" s="22"/>
      <c r="Y1254" s="22"/>
      <c r="Z1254" s="25" t="str">
        <f>IFERROR(__xludf.DUMMYFUNCTION("SPLIT(C1254,""
"")"),"Goldwater, Andrea")</f>
        <v>Goldwater, Andrea</v>
      </c>
      <c r="AA1254" s="22" t="str">
        <f>IFERROR(__xludf.DUMMYFUNCTION("""COMPUTED_VALUE"""),"40637 Annabelle Glen Place")</f>
        <v>40637 Annabelle Glen Place</v>
      </c>
      <c r="AB1254" s="22" t="str">
        <f>IFERROR(__xludf.DUMMYFUNCTION("""COMPUTED_VALUE"""),"Aldie, VA 20105")</f>
        <v>Aldie, VA 20105</v>
      </c>
      <c r="AC1254" s="31" t="s">
        <v>2741</v>
      </c>
      <c r="AD1254" s="22"/>
      <c r="AE1254" s="22"/>
      <c r="AF1254" s="22"/>
      <c r="AG1254" s="22" t="s">
        <v>60</v>
      </c>
      <c r="AH1254" s="54">
        <v>2486.0</v>
      </c>
      <c r="AI1254" s="22" t="s">
        <v>68</v>
      </c>
      <c r="AJ1254" s="27">
        <v>250.0</v>
      </c>
      <c r="AK1254" s="31" t="s">
        <v>24</v>
      </c>
      <c r="AL1254" s="28">
        <v>44908.0</v>
      </c>
      <c r="AM1254" s="29">
        <v>44942.42989583333</v>
      </c>
      <c r="AN1254" s="30">
        <v>2.0</v>
      </c>
      <c r="AO1254" s="22"/>
      <c r="AP1254" s="22"/>
      <c r="AQ1254" s="22"/>
      <c r="AR1254" s="22"/>
      <c r="AS1254" s="22"/>
      <c r="AT1254" s="70"/>
      <c r="AU1254" s="22"/>
      <c r="AV1254" s="57"/>
      <c r="AW1254" s="57"/>
      <c r="AX1254" s="70"/>
      <c r="AY1254" s="29"/>
      <c r="AZ1254" s="30"/>
      <c r="CU1254" s="55"/>
      <c r="CV1254" s="55"/>
      <c r="CW1254" s="55"/>
      <c r="CX1254" s="55"/>
      <c r="CY1254" s="55"/>
      <c r="CZ1254" s="55"/>
      <c r="DA1254" s="82"/>
      <c r="DB1254" s="55"/>
      <c r="DC1254" s="55"/>
      <c r="DD1254" s="55"/>
      <c r="DE1254" s="55"/>
      <c r="DF1254" s="55"/>
      <c r="DG1254" s="55"/>
      <c r="DH1254" s="55"/>
      <c r="DI1254" s="55"/>
      <c r="DJ1254" s="55"/>
      <c r="DK1254" s="55"/>
      <c r="DL1254" s="55"/>
      <c r="DM1254" s="55"/>
      <c r="DN1254" s="55"/>
      <c r="DO1254" s="55"/>
      <c r="DP1254" s="55"/>
      <c r="DQ1254" s="55"/>
      <c r="DR1254" s="55"/>
      <c r="DS1254" s="55"/>
      <c r="DT1254" s="55"/>
      <c r="DU1254" s="55"/>
      <c r="DV1254" s="55"/>
      <c r="DW1254" s="55"/>
    </row>
    <row r="1255">
      <c r="A1255" s="41" t="s">
        <v>64</v>
      </c>
      <c r="B1255" s="41" t="s">
        <v>56</v>
      </c>
      <c r="C1255" s="31" t="s">
        <v>2742</v>
      </c>
      <c r="D1255" s="25" t="str">
        <f>IFERROR(__xludf.DUMMYFUNCTION("SPLIT(C1255,"" "")"),"Sievers,")</f>
        <v>Sievers,</v>
      </c>
      <c r="E1255" s="40" t="str">
        <f>IFERROR(__xludf.DUMMYFUNCTION("""COMPUTED_VALUE"""),"Lisa
8238")</f>
        <v>Lisa
8238</v>
      </c>
      <c r="F1255" s="40" t="str">
        <f>IFERROR(__xludf.DUMMYFUNCTION("""COMPUTED_VALUE"""),"Barbaree")</f>
        <v>Barbaree</v>
      </c>
      <c r="G1255" s="40" t="str">
        <f>IFERROR(__xludf.DUMMYFUNCTION("""COMPUTED_VALUE"""),"Boulevard
Dallas,")</f>
        <v>Boulevard
Dallas,</v>
      </c>
      <c r="H1255" s="40" t="str">
        <f>IFERROR(__xludf.DUMMYFUNCTION("""COMPUTED_VALUE"""),"TX")</f>
        <v>TX</v>
      </c>
      <c r="I1255" s="40">
        <f>IFERROR(__xludf.DUMMYFUNCTION("""COMPUTED_VALUE"""),75228.0)</f>
        <v>75228</v>
      </c>
      <c r="J1255" s="40"/>
      <c r="K1255" s="40"/>
      <c r="L1255" s="40"/>
      <c r="M1255" s="40"/>
      <c r="N1255" s="40"/>
      <c r="O1255" s="40"/>
      <c r="P1255" s="40"/>
      <c r="Q1255" s="40"/>
      <c r="R1255" s="40"/>
      <c r="S1255" s="40"/>
      <c r="T1255" s="40"/>
      <c r="U1255" s="24" t="str">
        <f>IFERROR(__xludf.DUMMYFUNCTION("SPLIT(E1255,""01234567890"")"),"Lisa
")</f>
        <v>Lisa
</v>
      </c>
      <c r="V1255" s="24" t="str">
        <f>IFERROR(__xludf.DUMMYFUNCTION("SPLIT(D1255,"","")"),"Sievers")</f>
        <v>Sievers</v>
      </c>
      <c r="W1255" s="25" t="str">
        <f t="shared" si="1"/>
        <v>LISA
 SIEVERS</v>
      </c>
      <c r="X1255" s="40"/>
      <c r="Y1255" s="40"/>
      <c r="Z1255" s="25" t="str">
        <f>IFERROR(__xludf.DUMMYFUNCTION("SPLIT(C1255,""
"")"),"Sievers, Lisa")</f>
        <v>Sievers, Lisa</v>
      </c>
      <c r="AA1255" s="40" t="str">
        <f>IFERROR(__xludf.DUMMYFUNCTION("""COMPUTED_VALUE"""),"8238 Barbaree Boulevard")</f>
        <v>8238 Barbaree Boulevard</v>
      </c>
      <c r="AB1255" s="40" t="str">
        <f>IFERROR(__xludf.DUMMYFUNCTION("""COMPUTED_VALUE"""),"Dallas, TX 75228")</f>
        <v>Dallas, TX 75228</v>
      </c>
      <c r="AC1255" s="31" t="s">
        <v>2743</v>
      </c>
      <c r="AD1255" s="40"/>
      <c r="AE1255" s="40"/>
      <c r="AF1255" s="40"/>
      <c r="AG1255" s="40" t="s">
        <v>60</v>
      </c>
      <c r="AH1255" s="42">
        <v>2486.0</v>
      </c>
      <c r="AI1255" s="40" t="s">
        <v>68</v>
      </c>
      <c r="AJ1255" s="27">
        <v>50.0</v>
      </c>
      <c r="AK1255" s="31" t="s">
        <v>24</v>
      </c>
      <c r="AL1255" s="43">
        <v>44909.0</v>
      </c>
      <c r="AM1255" s="44">
        <v>44942.42989583333</v>
      </c>
      <c r="AN1255" s="30">
        <v>2.0</v>
      </c>
      <c r="AO1255" s="40"/>
      <c r="AP1255" s="40"/>
      <c r="AQ1255" s="40"/>
      <c r="AR1255" s="40"/>
      <c r="AS1255" s="40"/>
      <c r="AT1255" s="47"/>
      <c r="AU1255" s="40"/>
      <c r="AV1255" s="46"/>
      <c r="AW1255" s="46"/>
      <c r="AX1255" s="47"/>
      <c r="AY1255" s="44"/>
      <c r="AZ1255" s="30"/>
      <c r="CU1255" s="55"/>
      <c r="CV1255" s="55"/>
      <c r="CW1255" s="55"/>
      <c r="CX1255" s="55"/>
      <c r="CY1255" s="55"/>
      <c r="CZ1255" s="55"/>
      <c r="DA1255" s="82"/>
      <c r="DB1255" s="55"/>
      <c r="DC1255" s="55"/>
      <c r="DD1255" s="55"/>
      <c r="DE1255" s="55"/>
      <c r="DF1255" s="55"/>
      <c r="DG1255" s="55"/>
      <c r="DH1255" s="55"/>
      <c r="DI1255" s="55"/>
      <c r="DJ1255" s="55"/>
      <c r="DK1255" s="55"/>
      <c r="DL1255" s="55"/>
      <c r="DM1255" s="55"/>
      <c r="DN1255" s="55"/>
      <c r="DO1255" s="55"/>
      <c r="DP1255" s="55"/>
      <c r="DQ1255" s="55"/>
      <c r="DR1255" s="55"/>
      <c r="DS1255" s="55"/>
      <c r="DT1255" s="55"/>
      <c r="DU1255" s="55"/>
      <c r="DV1255" s="55"/>
      <c r="DW1255" s="55"/>
    </row>
    <row r="1256">
      <c r="A1256" s="23" t="s">
        <v>64</v>
      </c>
      <c r="B1256" s="23" t="s">
        <v>56</v>
      </c>
      <c r="C1256" s="31" t="s">
        <v>2744</v>
      </c>
      <c r="D1256" s="25" t="str">
        <f>IFERROR(__xludf.DUMMYFUNCTION("SPLIT(C1256,"" "")"),"Rodriguez,")</f>
        <v>Rodriguez,</v>
      </c>
      <c r="E1256" s="22" t="str">
        <f>IFERROR(__xludf.DUMMYFUNCTION("""COMPUTED_VALUE"""),"Minerva
400")</f>
        <v>Minerva
400</v>
      </c>
      <c r="F1256" s="22" t="str">
        <f>IFERROR(__xludf.DUMMYFUNCTION("""COMPUTED_VALUE"""),"North")</f>
        <v>North</v>
      </c>
      <c r="G1256" s="22" t="str">
        <f>IFERROR(__xludf.DUMMYFUNCTION("""COMPUTED_VALUE"""),"Saint")</f>
        <v>Saint</v>
      </c>
      <c r="H1256" s="22" t="str">
        <f>IFERROR(__xludf.DUMMYFUNCTION("""COMPUTED_VALUE"""),"Paul")</f>
        <v>Paul</v>
      </c>
      <c r="I1256" s="22" t="str">
        <f>IFERROR(__xludf.DUMMYFUNCTION("""COMPUTED_VALUE"""),"Street")</f>
        <v>Street</v>
      </c>
      <c r="J1256" s="22" t="str">
        <f>IFERROR(__xludf.DUMMYFUNCTION("""COMPUTED_VALUE"""),"300
Dallas,")</f>
        <v>300
Dallas,</v>
      </c>
      <c r="K1256" s="22" t="str">
        <f>IFERROR(__xludf.DUMMYFUNCTION("""COMPUTED_VALUE"""),"TX")</f>
        <v>TX</v>
      </c>
      <c r="L1256" s="22">
        <f>IFERROR(__xludf.DUMMYFUNCTION("""COMPUTED_VALUE"""),75201.0)</f>
        <v>75201</v>
      </c>
      <c r="M1256" s="22"/>
      <c r="N1256" s="22"/>
      <c r="O1256" s="22"/>
      <c r="P1256" s="22"/>
      <c r="Q1256" s="22"/>
      <c r="R1256" s="22"/>
      <c r="S1256" s="22"/>
      <c r="T1256" s="22"/>
      <c r="U1256" s="24" t="str">
        <f>IFERROR(__xludf.DUMMYFUNCTION("SPLIT(E1256,""01234567890"")"),"Minerva
")</f>
        <v>Minerva
</v>
      </c>
      <c r="V1256" s="24" t="str">
        <f>IFERROR(__xludf.DUMMYFUNCTION("SPLIT(D1256,"","")"),"Rodriguez")</f>
        <v>Rodriguez</v>
      </c>
      <c r="W1256" s="25" t="str">
        <f t="shared" si="1"/>
        <v>MINERVA
 RODRIGUEZ</v>
      </c>
      <c r="X1256" s="22"/>
      <c r="Y1256" s="22"/>
      <c r="Z1256" s="25" t="str">
        <f>IFERROR(__xludf.DUMMYFUNCTION("SPLIT(C1256,""
"")"),"Rodriguez, Minerva")</f>
        <v>Rodriguez, Minerva</v>
      </c>
      <c r="AA1256" s="22" t="str">
        <f>IFERROR(__xludf.DUMMYFUNCTION("""COMPUTED_VALUE"""),"400 North Saint Paul Street 300")</f>
        <v>400 North Saint Paul Street 300</v>
      </c>
      <c r="AB1256" s="22" t="str">
        <f>IFERROR(__xludf.DUMMYFUNCTION("""COMPUTED_VALUE"""),"Dallas, TX 75201")</f>
        <v>Dallas, TX 75201</v>
      </c>
      <c r="AC1256" s="31" t="s">
        <v>2745</v>
      </c>
      <c r="AD1256" s="22"/>
      <c r="AE1256" s="22"/>
      <c r="AF1256" s="22"/>
      <c r="AG1256" s="22" t="s">
        <v>60</v>
      </c>
      <c r="AH1256" s="54">
        <v>2486.0</v>
      </c>
      <c r="AI1256" s="22" t="s">
        <v>68</v>
      </c>
      <c r="AJ1256" s="27">
        <v>500.0</v>
      </c>
      <c r="AK1256" s="31" t="s">
        <v>24</v>
      </c>
      <c r="AL1256" s="28">
        <v>44909.0</v>
      </c>
      <c r="AM1256" s="29">
        <v>44942.42989583333</v>
      </c>
      <c r="AN1256" s="30">
        <v>2.0</v>
      </c>
      <c r="AO1256" s="22"/>
      <c r="AP1256" s="22"/>
      <c r="AQ1256" s="22"/>
      <c r="AR1256" s="22"/>
      <c r="AS1256" s="22"/>
      <c r="AT1256" s="70"/>
      <c r="AU1256" s="22"/>
      <c r="AV1256" s="57"/>
      <c r="AW1256" s="57"/>
      <c r="AX1256" s="70"/>
      <c r="AY1256" s="29"/>
      <c r="AZ1256" s="30"/>
      <c r="CU1256" s="55"/>
      <c r="CV1256" s="55"/>
      <c r="CW1256" s="55"/>
      <c r="CX1256" s="55"/>
      <c r="CY1256" s="55"/>
      <c r="CZ1256" s="55"/>
      <c r="DA1256" s="82"/>
      <c r="DB1256" s="55"/>
      <c r="DC1256" s="55"/>
      <c r="DD1256" s="55"/>
      <c r="DE1256" s="55"/>
      <c r="DF1256" s="55"/>
      <c r="DG1256" s="55"/>
      <c r="DH1256" s="55"/>
      <c r="DI1256" s="55"/>
      <c r="DJ1256" s="55"/>
      <c r="DK1256" s="55"/>
      <c r="DL1256" s="55"/>
      <c r="DM1256" s="55"/>
      <c r="DN1256" s="55"/>
      <c r="DO1256" s="55"/>
      <c r="DP1256" s="55"/>
      <c r="DQ1256" s="55"/>
      <c r="DR1256" s="55"/>
      <c r="DS1256" s="55"/>
      <c r="DT1256" s="55"/>
      <c r="DU1256" s="55"/>
      <c r="DV1256" s="55"/>
      <c r="DW1256" s="55"/>
    </row>
    <row r="1257">
      <c r="A1257" s="41" t="s">
        <v>64</v>
      </c>
      <c r="B1257" s="41" t="s">
        <v>56</v>
      </c>
      <c r="C1257" s="31" t="s">
        <v>2746</v>
      </c>
      <c r="D1257" s="25" t="str">
        <f>IFERROR(__xludf.DUMMYFUNCTION("SPLIT(C1257,"" "")"),"Valach,")</f>
        <v>Valach,</v>
      </c>
      <c r="E1257" s="40" t="str">
        <f>IFERROR(__xludf.DUMMYFUNCTION("""COMPUTED_VALUE"""),"Kenneth
5")</f>
        <v>Kenneth
5</v>
      </c>
      <c r="F1257" s="40" t="str">
        <f>IFERROR(__xludf.DUMMYFUNCTION("""COMPUTED_VALUE"""),"Lazee")</f>
        <v>Lazee</v>
      </c>
      <c r="G1257" s="40" t="str">
        <f>IFERROR(__xludf.DUMMYFUNCTION("""COMPUTED_VALUE"""),"Trail
Houston,")</f>
        <v>Trail
Houston,</v>
      </c>
      <c r="H1257" s="40" t="str">
        <f>IFERROR(__xludf.DUMMYFUNCTION("""COMPUTED_VALUE"""),"TX")</f>
        <v>TX</v>
      </c>
      <c r="I1257" s="40">
        <f>IFERROR(__xludf.DUMMYFUNCTION("""COMPUTED_VALUE"""),77024.0)</f>
        <v>77024</v>
      </c>
      <c r="J1257" s="40"/>
      <c r="K1257" s="40"/>
      <c r="L1257" s="40"/>
      <c r="M1257" s="40"/>
      <c r="N1257" s="40"/>
      <c r="O1257" s="40"/>
      <c r="P1257" s="40"/>
      <c r="Q1257" s="40"/>
      <c r="R1257" s="40"/>
      <c r="S1257" s="40"/>
      <c r="T1257" s="40"/>
      <c r="U1257" s="24" t="str">
        <f>IFERROR(__xludf.DUMMYFUNCTION("SPLIT(E1257,""01234567890"")"),"Kenneth
")</f>
        <v>Kenneth
</v>
      </c>
      <c r="V1257" s="24" t="str">
        <f>IFERROR(__xludf.DUMMYFUNCTION("SPLIT(D1257,"","")"),"Valach")</f>
        <v>Valach</v>
      </c>
      <c r="W1257" s="25" t="str">
        <f t="shared" si="1"/>
        <v>KENNETH
 VALACH</v>
      </c>
      <c r="X1257" s="40"/>
      <c r="Y1257" s="40"/>
      <c r="Z1257" s="25" t="str">
        <f>IFERROR(__xludf.DUMMYFUNCTION("SPLIT(C1257,""
"")"),"Valach, Kenneth")</f>
        <v>Valach, Kenneth</v>
      </c>
      <c r="AA1257" s="40" t="str">
        <f>IFERROR(__xludf.DUMMYFUNCTION("""COMPUTED_VALUE"""),"5 Lazee Trail")</f>
        <v>5 Lazee Trail</v>
      </c>
      <c r="AB1257" s="40" t="str">
        <f>IFERROR(__xludf.DUMMYFUNCTION("""COMPUTED_VALUE"""),"Houston, TX 77024")</f>
        <v>Houston, TX 77024</v>
      </c>
      <c r="AC1257" s="31" t="s">
        <v>2747</v>
      </c>
      <c r="AD1257" s="40"/>
      <c r="AE1257" s="40"/>
      <c r="AF1257" s="40"/>
      <c r="AG1257" s="40" t="s">
        <v>60</v>
      </c>
      <c r="AH1257" s="42">
        <v>2486.0</v>
      </c>
      <c r="AI1257" s="40" t="s">
        <v>68</v>
      </c>
      <c r="AJ1257" s="27">
        <v>1000.0</v>
      </c>
      <c r="AK1257" s="31" t="s">
        <v>24</v>
      </c>
      <c r="AL1257" s="43">
        <v>44911.0</v>
      </c>
      <c r="AM1257" s="44">
        <v>44942.42989583333</v>
      </c>
      <c r="AN1257" s="30">
        <v>2.0</v>
      </c>
      <c r="AO1257" s="40"/>
      <c r="AP1257" s="40"/>
      <c r="AQ1257" s="40"/>
      <c r="AR1257" s="40"/>
      <c r="AS1257" s="40"/>
      <c r="AT1257" s="47"/>
      <c r="AU1257" s="40"/>
      <c r="AV1257" s="46"/>
      <c r="AW1257" s="46"/>
      <c r="AX1257" s="47"/>
      <c r="AY1257" s="44"/>
      <c r="AZ1257" s="30"/>
      <c r="CU1257" s="55"/>
      <c r="CV1257" s="55"/>
      <c r="CW1257" s="55"/>
      <c r="CX1257" s="55"/>
      <c r="CY1257" s="55"/>
      <c r="CZ1257" s="55"/>
      <c r="DA1257" s="82"/>
      <c r="DB1257" s="55"/>
      <c r="DC1257" s="55"/>
      <c r="DD1257" s="55"/>
      <c r="DE1257" s="55"/>
      <c r="DF1257" s="55"/>
      <c r="DG1257" s="55"/>
      <c r="DH1257" s="55"/>
      <c r="DI1257" s="55"/>
      <c r="DJ1257" s="55"/>
      <c r="DK1257" s="55"/>
      <c r="DL1257" s="55"/>
      <c r="DM1257" s="55"/>
      <c r="DN1257" s="55"/>
      <c r="DO1257" s="55"/>
      <c r="DP1257" s="55"/>
      <c r="DQ1257" s="55"/>
      <c r="DR1257" s="55"/>
      <c r="DS1257" s="55"/>
      <c r="DT1257" s="55"/>
      <c r="DU1257" s="55"/>
      <c r="DV1257" s="55"/>
      <c r="DW1257" s="55"/>
    </row>
    <row r="1258">
      <c r="A1258" s="23" t="s">
        <v>64</v>
      </c>
      <c r="B1258" s="23" t="s">
        <v>56</v>
      </c>
      <c r="C1258" s="31" t="s">
        <v>2748</v>
      </c>
      <c r="D1258" s="25" t="str">
        <f>IFERROR(__xludf.DUMMYFUNCTION("SPLIT(C1258,"" "")"),"Crow,")</f>
        <v>Crow,</v>
      </c>
      <c r="E1258" s="22" t="str">
        <f>IFERROR(__xludf.DUMMYFUNCTION("""COMPUTED_VALUE"""),"Katherine
4700")</f>
        <v>Katherine
4700</v>
      </c>
      <c r="F1258" s="22" t="str">
        <f>IFERROR(__xludf.DUMMYFUNCTION("""COMPUTED_VALUE"""),"Preston
Dallas,")</f>
        <v>Preston
Dallas,</v>
      </c>
      <c r="G1258" s="22" t="str">
        <f>IFERROR(__xludf.DUMMYFUNCTION("""COMPUTED_VALUE"""),"TX")</f>
        <v>TX</v>
      </c>
      <c r="H1258" s="22">
        <f>IFERROR(__xludf.DUMMYFUNCTION("""COMPUTED_VALUE"""),75205.0)</f>
        <v>75205</v>
      </c>
      <c r="I1258" s="22"/>
      <c r="J1258" s="22"/>
      <c r="K1258" s="22"/>
      <c r="L1258" s="22"/>
      <c r="M1258" s="22"/>
      <c r="N1258" s="22"/>
      <c r="O1258" s="22"/>
      <c r="P1258" s="22"/>
      <c r="Q1258" s="22"/>
      <c r="R1258" s="22"/>
      <c r="S1258" s="22"/>
      <c r="T1258" s="22"/>
      <c r="U1258" s="24" t="str">
        <f>IFERROR(__xludf.DUMMYFUNCTION("SPLIT(E1258,""01234567890"")"),"Katherine
")</f>
        <v>Katherine
</v>
      </c>
      <c r="V1258" s="24" t="str">
        <f>IFERROR(__xludf.DUMMYFUNCTION("SPLIT(D1258,"","")"),"Crow")</f>
        <v>Crow</v>
      </c>
      <c r="W1258" s="25" t="str">
        <f t="shared" si="1"/>
        <v>KATHERINE
 CROW</v>
      </c>
      <c r="X1258" s="22"/>
      <c r="Y1258" s="22"/>
      <c r="Z1258" s="25" t="str">
        <f>IFERROR(__xludf.DUMMYFUNCTION("SPLIT(C1258,""
"")"),"Crow, Katherine")</f>
        <v>Crow, Katherine</v>
      </c>
      <c r="AA1258" s="22" t="str">
        <f>IFERROR(__xludf.DUMMYFUNCTION("""COMPUTED_VALUE"""),"4700 Preston")</f>
        <v>4700 Preston</v>
      </c>
      <c r="AB1258" s="22" t="str">
        <f>IFERROR(__xludf.DUMMYFUNCTION("""COMPUTED_VALUE"""),"Dallas, TX 75205")</f>
        <v>Dallas, TX 75205</v>
      </c>
      <c r="AC1258" s="31" t="s">
        <v>2434</v>
      </c>
      <c r="AD1258" s="22"/>
      <c r="AE1258" s="22"/>
      <c r="AF1258" s="22"/>
      <c r="AG1258" s="22" t="s">
        <v>60</v>
      </c>
      <c r="AH1258" s="54">
        <v>2486.0</v>
      </c>
      <c r="AI1258" s="22" t="s">
        <v>68</v>
      </c>
      <c r="AJ1258" s="27">
        <v>1000.0</v>
      </c>
      <c r="AK1258" s="31" t="s">
        <v>24</v>
      </c>
      <c r="AL1258" s="28">
        <v>44911.0</v>
      </c>
      <c r="AM1258" s="29">
        <v>44942.42989583333</v>
      </c>
      <c r="AN1258" s="30">
        <v>2.0</v>
      </c>
      <c r="AO1258" s="22"/>
      <c r="AP1258" s="22"/>
      <c r="AQ1258" s="22"/>
      <c r="AR1258" s="22"/>
      <c r="AS1258" s="22"/>
      <c r="AT1258" s="70"/>
      <c r="AU1258" s="22"/>
      <c r="AV1258" s="57"/>
      <c r="AW1258" s="57"/>
      <c r="AX1258" s="70"/>
      <c r="AY1258" s="29"/>
      <c r="AZ1258" s="30"/>
      <c r="CU1258" s="55"/>
      <c r="CV1258" s="55"/>
      <c r="CW1258" s="55"/>
      <c r="CX1258" s="55"/>
      <c r="CY1258" s="55"/>
      <c r="CZ1258" s="55"/>
      <c r="DA1258" s="82"/>
      <c r="DB1258" s="55"/>
      <c r="DC1258" s="55"/>
      <c r="DD1258" s="55"/>
      <c r="DE1258" s="55"/>
      <c r="DF1258" s="55"/>
      <c r="DG1258" s="55"/>
      <c r="DH1258" s="55"/>
      <c r="DI1258" s="55"/>
      <c r="DJ1258" s="55"/>
      <c r="DK1258" s="55"/>
      <c r="DL1258" s="55"/>
      <c r="DM1258" s="55"/>
      <c r="DN1258" s="55"/>
      <c r="DO1258" s="55"/>
      <c r="DP1258" s="55"/>
      <c r="DQ1258" s="55"/>
      <c r="DR1258" s="55"/>
      <c r="DS1258" s="55"/>
      <c r="DT1258" s="55"/>
      <c r="DU1258" s="55"/>
      <c r="DV1258" s="55"/>
      <c r="DW1258" s="55"/>
    </row>
    <row r="1259">
      <c r="A1259" s="41" t="s">
        <v>64</v>
      </c>
      <c r="B1259" s="41" t="s">
        <v>56</v>
      </c>
      <c r="C1259" s="31" t="s">
        <v>340</v>
      </c>
      <c r="D1259" s="25" t="str">
        <f>IFERROR(__xludf.DUMMYFUNCTION("SPLIT(C1259,"" "")"),"Bazan,")</f>
        <v>Bazan,</v>
      </c>
      <c r="E1259" s="40" t="str">
        <f>IFERROR(__xludf.DUMMYFUNCTION("""COMPUTED_VALUE"""),"Kathryn
10456")</f>
        <v>Kathryn
10456</v>
      </c>
      <c r="F1259" s="40" t="str">
        <f>IFERROR(__xludf.DUMMYFUNCTION("""COMPUTED_VALUE"""),"Vinemont")</f>
        <v>Vinemont</v>
      </c>
      <c r="G1259" s="40" t="str">
        <f>IFERROR(__xludf.DUMMYFUNCTION("""COMPUTED_VALUE"""),"Street
Dallas,")</f>
        <v>Street
Dallas,</v>
      </c>
      <c r="H1259" s="40" t="str">
        <f>IFERROR(__xludf.DUMMYFUNCTION("""COMPUTED_VALUE"""),"TX")</f>
        <v>TX</v>
      </c>
      <c r="I1259" s="40">
        <f>IFERROR(__xludf.DUMMYFUNCTION("""COMPUTED_VALUE"""),75218.0)</f>
        <v>75218</v>
      </c>
      <c r="J1259" s="40"/>
      <c r="K1259" s="40"/>
      <c r="L1259" s="40"/>
      <c r="M1259" s="40"/>
      <c r="N1259" s="40"/>
      <c r="O1259" s="40"/>
      <c r="P1259" s="40"/>
      <c r="Q1259" s="40"/>
      <c r="R1259" s="40"/>
      <c r="S1259" s="40"/>
      <c r="T1259" s="40"/>
      <c r="U1259" s="24" t="str">
        <f>IFERROR(__xludf.DUMMYFUNCTION("SPLIT(E1259,""01234567890"")"),"Kathryn
")</f>
        <v>Kathryn
</v>
      </c>
      <c r="V1259" s="24" t="str">
        <f>IFERROR(__xludf.DUMMYFUNCTION("SPLIT(D1259,"","")"),"Bazan")</f>
        <v>Bazan</v>
      </c>
      <c r="W1259" s="25" t="str">
        <f t="shared" si="1"/>
        <v>KATHRYN
 BAZAN</v>
      </c>
      <c r="X1259" s="40"/>
      <c r="Y1259" s="40"/>
      <c r="Z1259" s="25" t="str">
        <f>IFERROR(__xludf.DUMMYFUNCTION("SPLIT(C1259,""
"")"),"Bazan, Kathryn")</f>
        <v>Bazan, Kathryn</v>
      </c>
      <c r="AA1259" s="40" t="str">
        <f>IFERROR(__xludf.DUMMYFUNCTION("""COMPUTED_VALUE"""),"10456 Vinemont Street")</f>
        <v>10456 Vinemont Street</v>
      </c>
      <c r="AB1259" s="40" t="str">
        <f>IFERROR(__xludf.DUMMYFUNCTION("""COMPUTED_VALUE"""),"Dallas, TX 75218")</f>
        <v>Dallas, TX 75218</v>
      </c>
      <c r="AC1259" s="31" t="s">
        <v>342</v>
      </c>
      <c r="AD1259" s="40"/>
      <c r="AE1259" s="40"/>
      <c r="AF1259" s="40"/>
      <c r="AG1259" s="40" t="s">
        <v>60</v>
      </c>
      <c r="AH1259" s="42">
        <v>2486.0</v>
      </c>
      <c r="AI1259" s="40" t="s">
        <v>68</v>
      </c>
      <c r="AJ1259" s="27">
        <v>250.0</v>
      </c>
      <c r="AK1259" s="31" t="s">
        <v>24</v>
      </c>
      <c r="AL1259" s="43">
        <v>44914.0</v>
      </c>
      <c r="AM1259" s="44">
        <v>44942.42989583333</v>
      </c>
      <c r="AN1259" s="30">
        <v>2.0</v>
      </c>
      <c r="AO1259" s="40"/>
      <c r="AP1259" s="40"/>
      <c r="AQ1259" s="40"/>
      <c r="AR1259" s="40"/>
      <c r="AS1259" s="40"/>
      <c r="AT1259" s="47"/>
      <c r="AU1259" s="40"/>
      <c r="AV1259" s="46"/>
      <c r="AW1259" s="46"/>
      <c r="AX1259" s="47"/>
      <c r="AY1259" s="44"/>
      <c r="AZ1259" s="30"/>
      <c r="CU1259" s="55"/>
      <c r="CV1259" s="55"/>
      <c r="CW1259" s="55"/>
      <c r="CX1259" s="55"/>
      <c r="CY1259" s="55"/>
      <c r="CZ1259" s="55"/>
      <c r="DA1259" s="82"/>
      <c r="DB1259" s="55"/>
      <c r="DC1259" s="55"/>
      <c r="DD1259" s="55"/>
      <c r="DE1259" s="55"/>
      <c r="DF1259" s="55"/>
      <c r="DG1259" s="55"/>
      <c r="DH1259" s="55"/>
      <c r="DI1259" s="55"/>
      <c r="DJ1259" s="55"/>
      <c r="DK1259" s="55"/>
      <c r="DL1259" s="55"/>
      <c r="DM1259" s="55"/>
      <c r="DN1259" s="55"/>
      <c r="DO1259" s="55"/>
      <c r="DP1259" s="55"/>
      <c r="DQ1259" s="55"/>
      <c r="DR1259" s="55"/>
      <c r="DS1259" s="55"/>
      <c r="DT1259" s="55"/>
      <c r="DU1259" s="55"/>
      <c r="DV1259" s="55"/>
      <c r="DW1259" s="55"/>
    </row>
    <row r="1260">
      <c r="A1260" s="23" t="s">
        <v>64</v>
      </c>
      <c r="B1260" s="23" t="s">
        <v>56</v>
      </c>
      <c r="C1260" s="31" t="s">
        <v>2749</v>
      </c>
      <c r="D1260" s="25" t="str">
        <f>IFERROR(__xludf.DUMMYFUNCTION("SPLIT(C1260,"" "")"),"Holloway,")</f>
        <v>Holloway,</v>
      </c>
      <c r="E1260" s="22" t="str">
        <f>IFERROR(__xludf.DUMMYFUNCTION("""COMPUTED_VALUE"""),"Mike")</f>
        <v>Mike</v>
      </c>
      <c r="F1260" s="22" t="str">
        <f>IFERROR(__xludf.DUMMYFUNCTION("""COMPUTED_VALUE"""),"and
1505")</f>
        <v>and
1505</v>
      </c>
      <c r="G1260" s="22" t="str">
        <f>IFERROR(__xludf.DUMMYFUNCTION("""COMPUTED_VALUE"""),"Elm")</f>
        <v>Elm</v>
      </c>
      <c r="H1260" s="22" t="str">
        <f>IFERROR(__xludf.DUMMYFUNCTION("""COMPUTED_VALUE"""),"St")</f>
        <v>St</v>
      </c>
      <c r="I1260" s="22" t="str">
        <f>IFERROR(__xludf.DUMMYFUNCTION("""COMPUTED_VALUE"""),"1004
DALLAS,")</f>
        <v>1004
DALLAS,</v>
      </c>
      <c r="J1260" s="22" t="str">
        <f>IFERROR(__xludf.DUMMYFUNCTION("""COMPUTED_VALUE"""),"TX")</f>
        <v>TX</v>
      </c>
      <c r="K1260" s="22">
        <f>IFERROR(__xludf.DUMMYFUNCTION("""COMPUTED_VALUE"""),75201.0)</f>
        <v>75201</v>
      </c>
      <c r="L1260" s="22"/>
      <c r="M1260" s="22"/>
      <c r="N1260" s="22"/>
      <c r="O1260" s="22"/>
      <c r="P1260" s="22"/>
      <c r="Q1260" s="22"/>
      <c r="R1260" s="22"/>
      <c r="S1260" s="22"/>
      <c r="T1260" s="22"/>
      <c r="U1260" s="24" t="str">
        <f>IFERROR(__xludf.DUMMYFUNCTION("SPLIT(E1260,""01234567890"")"),"Mike")</f>
        <v>Mike</v>
      </c>
      <c r="V1260" s="24" t="str">
        <f>IFERROR(__xludf.DUMMYFUNCTION("SPLIT(D1260,"","")"),"Holloway")</f>
        <v>Holloway</v>
      </c>
      <c r="W1260" s="25" t="str">
        <f t="shared" si="1"/>
        <v>MIKE HOLLOWAY</v>
      </c>
      <c r="X1260" s="22"/>
      <c r="Y1260" s="22"/>
      <c r="Z1260" s="25" t="str">
        <f>IFERROR(__xludf.DUMMYFUNCTION("SPLIT(C1260,""
"")"),"Holloway, Mike and")</f>
        <v>Holloway, Mike and</v>
      </c>
      <c r="AA1260" s="22" t="str">
        <f>IFERROR(__xludf.DUMMYFUNCTION("""COMPUTED_VALUE"""),"1505 Elm St 1004")</f>
        <v>1505 Elm St 1004</v>
      </c>
      <c r="AB1260" s="22" t="str">
        <f>IFERROR(__xludf.DUMMYFUNCTION("""COMPUTED_VALUE"""),"DALLAS, TX 75201")</f>
        <v>DALLAS, TX 75201</v>
      </c>
      <c r="AC1260" s="31" t="s">
        <v>2750</v>
      </c>
      <c r="AD1260" s="22"/>
      <c r="AE1260" s="22"/>
      <c r="AF1260" s="22"/>
      <c r="AG1260" s="22" t="s">
        <v>60</v>
      </c>
      <c r="AH1260" s="54">
        <v>2486.0</v>
      </c>
      <c r="AI1260" s="22" t="s">
        <v>68</v>
      </c>
      <c r="AJ1260" s="27">
        <v>50.0</v>
      </c>
      <c r="AK1260" s="31" t="s">
        <v>24</v>
      </c>
      <c r="AL1260" s="28">
        <v>44914.0</v>
      </c>
      <c r="AM1260" s="29">
        <v>44942.42989583333</v>
      </c>
      <c r="AN1260" s="30">
        <v>2.0</v>
      </c>
      <c r="AO1260" s="22"/>
      <c r="AP1260" s="22"/>
      <c r="AQ1260" s="22"/>
      <c r="AR1260" s="22"/>
      <c r="AS1260" s="22"/>
      <c r="AT1260" s="70"/>
      <c r="AU1260" s="22"/>
      <c r="AV1260" s="57"/>
      <c r="AW1260" s="57"/>
      <c r="AX1260" s="70"/>
      <c r="AY1260" s="29"/>
      <c r="AZ1260" s="30"/>
      <c r="CU1260" s="55"/>
      <c r="CV1260" s="55"/>
      <c r="CW1260" s="55"/>
      <c r="CX1260" s="55"/>
      <c r="CY1260" s="55"/>
      <c r="CZ1260" s="55"/>
      <c r="DA1260" s="82"/>
      <c r="DB1260" s="55"/>
      <c r="DC1260" s="55"/>
      <c r="DD1260" s="55"/>
      <c r="DE1260" s="55"/>
      <c r="DF1260" s="55"/>
      <c r="DG1260" s="55"/>
      <c r="DH1260" s="55"/>
      <c r="DI1260" s="55"/>
      <c r="DJ1260" s="55"/>
      <c r="DK1260" s="55"/>
      <c r="DL1260" s="55"/>
      <c r="DM1260" s="55"/>
      <c r="DN1260" s="55"/>
      <c r="DO1260" s="55"/>
      <c r="DP1260" s="55"/>
      <c r="DQ1260" s="55"/>
      <c r="DR1260" s="55"/>
      <c r="DS1260" s="55"/>
      <c r="DT1260" s="55"/>
      <c r="DU1260" s="55"/>
      <c r="DV1260" s="55"/>
      <c r="DW1260" s="55"/>
    </row>
    <row r="1261">
      <c r="A1261" s="41" t="s">
        <v>64</v>
      </c>
      <c r="B1261" s="41" t="s">
        <v>56</v>
      </c>
      <c r="C1261" s="31" t="s">
        <v>2751</v>
      </c>
      <c r="D1261" s="25" t="str">
        <f>IFERROR(__xludf.DUMMYFUNCTION("SPLIT(C1261,"" "")"),"Bratton,")</f>
        <v>Bratton,</v>
      </c>
      <c r="E1261" s="40" t="str">
        <f>IFERROR(__xludf.DUMMYFUNCTION("""COMPUTED_VALUE"""),"Calvert")</f>
        <v>Calvert</v>
      </c>
      <c r="F1261" s="40" t="str">
        <f>IFERROR(__xludf.DUMMYFUNCTION("""COMPUTED_VALUE"""),"Collins
4738")</f>
        <v>Collins
4738</v>
      </c>
      <c r="G1261" s="40" t="str">
        <f>IFERROR(__xludf.DUMMYFUNCTION("""COMPUTED_VALUE"""),"Hallmark")</f>
        <v>Hallmark</v>
      </c>
      <c r="H1261" s="40" t="str">
        <f>IFERROR(__xludf.DUMMYFUNCTION("""COMPUTED_VALUE"""),"Drive
Dallas,")</f>
        <v>Drive
Dallas,</v>
      </c>
      <c r="I1261" s="40" t="str">
        <f>IFERROR(__xludf.DUMMYFUNCTION("""COMPUTED_VALUE"""),"TX")</f>
        <v>TX</v>
      </c>
      <c r="J1261" s="40">
        <f>IFERROR(__xludf.DUMMYFUNCTION("""COMPUTED_VALUE"""),75229.0)</f>
        <v>75229</v>
      </c>
      <c r="K1261" s="40"/>
      <c r="L1261" s="40"/>
      <c r="M1261" s="40"/>
      <c r="N1261" s="40"/>
      <c r="O1261" s="40"/>
      <c r="P1261" s="40"/>
      <c r="Q1261" s="40"/>
      <c r="R1261" s="40"/>
      <c r="S1261" s="40"/>
      <c r="T1261" s="40"/>
      <c r="U1261" s="24" t="str">
        <f>IFERROR(__xludf.DUMMYFUNCTION("SPLIT(E1261,""01234567890"")"),"Calvert")</f>
        <v>Calvert</v>
      </c>
      <c r="V1261" s="24" t="str">
        <f>IFERROR(__xludf.DUMMYFUNCTION("SPLIT(D1261,"","")"),"Bratton")</f>
        <v>Bratton</v>
      </c>
      <c r="W1261" s="25" t="str">
        <f t="shared" si="1"/>
        <v>CALVERT BRATTON</v>
      </c>
      <c r="X1261" s="40"/>
      <c r="Y1261" s="40"/>
      <c r="Z1261" s="25" t="str">
        <f>IFERROR(__xludf.DUMMYFUNCTION("SPLIT(C1261,""
"")"),"Bratton, Calvert Collins")</f>
        <v>Bratton, Calvert Collins</v>
      </c>
      <c r="AA1261" s="40" t="str">
        <f>IFERROR(__xludf.DUMMYFUNCTION("""COMPUTED_VALUE"""),"4738 Hallmark Drive")</f>
        <v>4738 Hallmark Drive</v>
      </c>
      <c r="AB1261" s="40" t="str">
        <f>IFERROR(__xludf.DUMMYFUNCTION("""COMPUTED_VALUE"""),"Dallas, TX 75229")</f>
        <v>Dallas, TX 75229</v>
      </c>
      <c r="AC1261" s="31" t="s">
        <v>2752</v>
      </c>
      <c r="AD1261" s="40"/>
      <c r="AE1261" s="40"/>
      <c r="AF1261" s="40"/>
      <c r="AG1261" s="40" t="s">
        <v>60</v>
      </c>
      <c r="AH1261" s="42">
        <v>2486.0</v>
      </c>
      <c r="AI1261" s="40" t="s">
        <v>68</v>
      </c>
      <c r="AJ1261" s="27">
        <v>500.0</v>
      </c>
      <c r="AK1261" s="31" t="s">
        <v>24</v>
      </c>
      <c r="AL1261" s="43">
        <v>44915.0</v>
      </c>
      <c r="AM1261" s="44">
        <v>44942.42989583333</v>
      </c>
      <c r="AN1261" s="30">
        <v>2.0</v>
      </c>
      <c r="AO1261" s="40"/>
      <c r="AP1261" s="40"/>
      <c r="AQ1261" s="40"/>
      <c r="AR1261" s="40"/>
      <c r="AS1261" s="40"/>
      <c r="AT1261" s="47"/>
      <c r="AU1261" s="40"/>
      <c r="AV1261" s="46"/>
      <c r="AW1261" s="46"/>
      <c r="AX1261" s="47"/>
      <c r="AY1261" s="44"/>
      <c r="AZ1261" s="30"/>
      <c r="CU1261" s="55"/>
      <c r="CV1261" s="55"/>
      <c r="CW1261" s="55"/>
      <c r="CX1261" s="55"/>
      <c r="CY1261" s="55"/>
      <c r="CZ1261" s="55"/>
      <c r="DA1261" s="82"/>
      <c r="DB1261" s="55"/>
      <c r="DC1261" s="55"/>
      <c r="DD1261" s="55"/>
      <c r="DE1261" s="55"/>
      <c r="DF1261" s="55"/>
      <c r="DG1261" s="55"/>
      <c r="DH1261" s="55"/>
      <c r="DI1261" s="55"/>
      <c r="DJ1261" s="55"/>
      <c r="DK1261" s="55"/>
      <c r="DL1261" s="55"/>
      <c r="DM1261" s="55"/>
      <c r="DN1261" s="55"/>
      <c r="DO1261" s="55"/>
      <c r="DP1261" s="55"/>
      <c r="DQ1261" s="55"/>
      <c r="DR1261" s="55"/>
      <c r="DS1261" s="55"/>
      <c r="DT1261" s="55"/>
      <c r="DU1261" s="55"/>
      <c r="DV1261" s="55"/>
      <c r="DW1261" s="55"/>
    </row>
    <row r="1262">
      <c r="A1262" s="23" t="s">
        <v>64</v>
      </c>
      <c r="B1262" s="23" t="s">
        <v>56</v>
      </c>
      <c r="C1262" s="31" t="s">
        <v>2753</v>
      </c>
      <c r="D1262" s="25" t="str">
        <f>IFERROR(__xludf.DUMMYFUNCTION("SPLIT(C1262,"" "")"),"Kraft,")</f>
        <v>Kraft,</v>
      </c>
      <c r="E1262" s="22" t="str">
        <f>IFERROR(__xludf.DUMMYFUNCTION("""COMPUTED_VALUE"""),"Eric
7039")</f>
        <v>Eric
7039</v>
      </c>
      <c r="F1262" s="22" t="str">
        <f>IFERROR(__xludf.DUMMYFUNCTION("""COMPUTED_VALUE"""),"Lakeshore")</f>
        <v>Lakeshore</v>
      </c>
      <c r="G1262" s="22" t="str">
        <f>IFERROR(__xludf.DUMMYFUNCTION("""COMPUTED_VALUE"""),"Drive
Dallas,")</f>
        <v>Drive
Dallas,</v>
      </c>
      <c r="H1262" s="22" t="str">
        <f>IFERROR(__xludf.DUMMYFUNCTION("""COMPUTED_VALUE"""),"TX")</f>
        <v>TX</v>
      </c>
      <c r="I1262" s="22">
        <f>IFERROR(__xludf.DUMMYFUNCTION("""COMPUTED_VALUE"""),75214.0)</f>
        <v>75214</v>
      </c>
      <c r="J1262" s="22"/>
      <c r="K1262" s="22"/>
      <c r="L1262" s="22"/>
      <c r="M1262" s="22"/>
      <c r="N1262" s="22"/>
      <c r="O1262" s="22"/>
      <c r="P1262" s="22"/>
      <c r="Q1262" s="22"/>
      <c r="R1262" s="22"/>
      <c r="S1262" s="22"/>
      <c r="T1262" s="22"/>
      <c r="U1262" s="24" t="str">
        <f>IFERROR(__xludf.DUMMYFUNCTION("SPLIT(E1262,""01234567890"")"),"Eric
")</f>
        <v>Eric
</v>
      </c>
      <c r="V1262" s="24" t="str">
        <f>IFERROR(__xludf.DUMMYFUNCTION("SPLIT(D1262,"","")"),"Kraft")</f>
        <v>Kraft</v>
      </c>
      <c r="W1262" s="25" t="str">
        <f t="shared" si="1"/>
        <v>ERIC
 KRAFT</v>
      </c>
      <c r="X1262" s="22"/>
      <c r="Y1262" s="22"/>
      <c r="Z1262" s="25" t="str">
        <f>IFERROR(__xludf.DUMMYFUNCTION("SPLIT(C1262,""
"")"),"Kraft, Eric")</f>
        <v>Kraft, Eric</v>
      </c>
      <c r="AA1262" s="22" t="str">
        <f>IFERROR(__xludf.DUMMYFUNCTION("""COMPUTED_VALUE"""),"7039 Lakeshore Drive")</f>
        <v>7039 Lakeshore Drive</v>
      </c>
      <c r="AB1262" s="22" t="str">
        <f>IFERROR(__xludf.DUMMYFUNCTION("""COMPUTED_VALUE"""),"Dallas, TX 75214")</f>
        <v>Dallas, TX 75214</v>
      </c>
      <c r="AC1262" s="31" t="s">
        <v>2754</v>
      </c>
      <c r="AD1262" s="22"/>
      <c r="AE1262" s="22"/>
      <c r="AF1262" s="22"/>
      <c r="AG1262" s="22" t="s">
        <v>60</v>
      </c>
      <c r="AH1262" s="54">
        <v>2486.0</v>
      </c>
      <c r="AI1262" s="22" t="s">
        <v>68</v>
      </c>
      <c r="AJ1262" s="27">
        <v>100.0</v>
      </c>
      <c r="AK1262" s="31" t="s">
        <v>24</v>
      </c>
      <c r="AL1262" s="28">
        <v>44915.0</v>
      </c>
      <c r="AM1262" s="29">
        <v>44942.42989583333</v>
      </c>
      <c r="AN1262" s="30">
        <v>2.0</v>
      </c>
      <c r="AO1262" s="22"/>
      <c r="AP1262" s="22"/>
      <c r="AQ1262" s="22"/>
      <c r="AR1262" s="22"/>
      <c r="AS1262" s="22"/>
      <c r="AT1262" s="70"/>
      <c r="AU1262" s="22"/>
      <c r="AV1262" s="57"/>
      <c r="AW1262" s="57"/>
      <c r="AX1262" s="70"/>
      <c r="AY1262" s="29"/>
      <c r="AZ1262" s="30"/>
      <c r="CU1262" s="55"/>
      <c r="CV1262" s="55"/>
      <c r="CW1262" s="55"/>
      <c r="CX1262" s="55"/>
      <c r="CY1262" s="55"/>
      <c r="CZ1262" s="55"/>
      <c r="DA1262" s="82"/>
      <c r="DB1262" s="55"/>
      <c r="DC1262" s="55"/>
      <c r="DD1262" s="55"/>
      <c r="DE1262" s="55"/>
      <c r="DF1262" s="55"/>
      <c r="DG1262" s="55"/>
      <c r="DH1262" s="55"/>
      <c r="DI1262" s="55"/>
      <c r="DJ1262" s="55"/>
      <c r="DK1262" s="55"/>
      <c r="DL1262" s="55"/>
      <c r="DM1262" s="55"/>
      <c r="DN1262" s="55"/>
      <c r="DO1262" s="55"/>
      <c r="DP1262" s="55"/>
      <c r="DQ1262" s="55"/>
      <c r="DR1262" s="55"/>
      <c r="DS1262" s="55"/>
      <c r="DT1262" s="55"/>
      <c r="DU1262" s="55"/>
      <c r="DV1262" s="55"/>
      <c r="DW1262" s="55"/>
    </row>
    <row r="1263">
      <c r="A1263" s="41" t="s">
        <v>64</v>
      </c>
      <c r="B1263" s="41" t="s">
        <v>56</v>
      </c>
      <c r="C1263" s="31" t="s">
        <v>2755</v>
      </c>
      <c r="D1263" s="25" t="str">
        <f>IFERROR(__xludf.DUMMYFUNCTION("SPLIT(C1263,"" "")"),"Bryant,")</f>
        <v>Bryant,</v>
      </c>
      <c r="E1263" s="40" t="str">
        <f>IFERROR(__xludf.DUMMYFUNCTION("""COMPUTED_VALUE"""),"Kevin
4463")</f>
        <v>Kevin
4463</v>
      </c>
      <c r="F1263" s="40" t="str">
        <f>IFERROR(__xludf.DUMMYFUNCTION("""COMPUTED_VALUE"""),"Brookview")</f>
        <v>Brookview</v>
      </c>
      <c r="G1263" s="40" t="str">
        <f>IFERROR(__xludf.DUMMYFUNCTION("""COMPUTED_VALUE"""),"Dr
Dallas,")</f>
        <v>Dr
Dallas,</v>
      </c>
      <c r="H1263" s="40" t="str">
        <f>IFERROR(__xludf.DUMMYFUNCTION("""COMPUTED_VALUE"""),"TX")</f>
        <v>TX</v>
      </c>
      <c r="I1263" s="40">
        <f>IFERROR(__xludf.DUMMYFUNCTION("""COMPUTED_VALUE"""),75220.0)</f>
        <v>75220</v>
      </c>
      <c r="J1263" s="40"/>
      <c r="K1263" s="40"/>
      <c r="L1263" s="40"/>
      <c r="M1263" s="40"/>
      <c r="N1263" s="40"/>
      <c r="O1263" s="40"/>
      <c r="P1263" s="40"/>
      <c r="Q1263" s="40"/>
      <c r="R1263" s="40"/>
      <c r="S1263" s="40"/>
      <c r="T1263" s="40"/>
      <c r="U1263" s="24" t="str">
        <f>IFERROR(__xludf.DUMMYFUNCTION("SPLIT(E1263,""01234567890"")"),"Kevin
")</f>
        <v>Kevin
</v>
      </c>
      <c r="V1263" s="24" t="str">
        <f>IFERROR(__xludf.DUMMYFUNCTION("SPLIT(D1263,"","")"),"Bryant")</f>
        <v>Bryant</v>
      </c>
      <c r="W1263" s="25" t="str">
        <f t="shared" si="1"/>
        <v>KEVIN
 BRYANT</v>
      </c>
      <c r="X1263" s="40"/>
      <c r="Y1263" s="40"/>
      <c r="Z1263" s="25" t="str">
        <f>IFERROR(__xludf.DUMMYFUNCTION("SPLIT(C1263,""
"")"),"Bryant, Kevin")</f>
        <v>Bryant, Kevin</v>
      </c>
      <c r="AA1263" s="40" t="str">
        <f>IFERROR(__xludf.DUMMYFUNCTION("""COMPUTED_VALUE"""),"4463 Brookview Dr")</f>
        <v>4463 Brookview Dr</v>
      </c>
      <c r="AB1263" s="40" t="str">
        <f>IFERROR(__xludf.DUMMYFUNCTION("""COMPUTED_VALUE"""),"Dallas, TX 75220")</f>
        <v>Dallas, TX 75220</v>
      </c>
      <c r="AC1263" s="31" t="s">
        <v>2756</v>
      </c>
      <c r="AD1263" s="40"/>
      <c r="AE1263" s="40"/>
      <c r="AF1263" s="40"/>
      <c r="AG1263" s="40" t="s">
        <v>60</v>
      </c>
      <c r="AH1263" s="42">
        <v>2486.0</v>
      </c>
      <c r="AI1263" s="40" t="s">
        <v>68</v>
      </c>
      <c r="AJ1263" s="27">
        <v>150.0</v>
      </c>
      <c r="AK1263" s="31" t="s">
        <v>24</v>
      </c>
      <c r="AL1263" s="43">
        <v>44915.0</v>
      </c>
      <c r="AM1263" s="44">
        <v>44942.42989583333</v>
      </c>
      <c r="AN1263" s="30">
        <v>2.0</v>
      </c>
      <c r="AO1263" s="40"/>
      <c r="AP1263" s="40"/>
      <c r="AQ1263" s="40"/>
      <c r="AR1263" s="40"/>
      <c r="AS1263" s="40"/>
      <c r="AT1263" s="47"/>
      <c r="AU1263" s="40"/>
      <c r="AV1263" s="46"/>
      <c r="AW1263" s="46"/>
      <c r="AX1263" s="47"/>
      <c r="AY1263" s="44"/>
      <c r="AZ1263" s="30"/>
      <c r="CU1263" s="55"/>
      <c r="CV1263" s="55"/>
      <c r="CW1263" s="55"/>
      <c r="CX1263" s="55"/>
      <c r="CY1263" s="55"/>
      <c r="CZ1263" s="55"/>
      <c r="DA1263" s="82"/>
      <c r="DB1263" s="55"/>
      <c r="DC1263" s="55"/>
      <c r="DD1263" s="55"/>
      <c r="DE1263" s="55"/>
      <c r="DF1263" s="55"/>
      <c r="DG1263" s="55"/>
      <c r="DH1263" s="55"/>
      <c r="DI1263" s="55"/>
      <c r="DJ1263" s="55"/>
      <c r="DK1263" s="55"/>
      <c r="DL1263" s="55"/>
      <c r="DM1263" s="55"/>
      <c r="DN1263" s="55"/>
      <c r="DO1263" s="55"/>
      <c r="DP1263" s="55"/>
      <c r="DQ1263" s="55"/>
      <c r="DR1263" s="55"/>
      <c r="DS1263" s="55"/>
      <c r="DT1263" s="55"/>
      <c r="DU1263" s="55"/>
      <c r="DV1263" s="55"/>
      <c r="DW1263" s="55"/>
    </row>
    <row r="1264">
      <c r="A1264" s="23" t="s">
        <v>64</v>
      </c>
      <c r="B1264" s="23" t="s">
        <v>56</v>
      </c>
      <c r="C1264" s="31" t="s">
        <v>2435</v>
      </c>
      <c r="D1264" s="25" t="str">
        <f>IFERROR(__xludf.DUMMYFUNCTION("SPLIT(C1264,"" "")"),"Crow,")</f>
        <v>Crow,</v>
      </c>
      <c r="E1264" s="22" t="str">
        <f>IFERROR(__xludf.DUMMYFUNCTION("""COMPUTED_VALUE"""),"Harlan
3819")</f>
        <v>Harlan
3819</v>
      </c>
      <c r="F1264" s="22" t="str">
        <f>IFERROR(__xludf.DUMMYFUNCTION("""COMPUTED_VALUE"""),"Maple")</f>
        <v>Maple</v>
      </c>
      <c r="G1264" s="22" t="str">
        <f>IFERROR(__xludf.DUMMYFUNCTION("""COMPUTED_VALUE"""),"Ave
Dallas,")</f>
        <v>Ave
Dallas,</v>
      </c>
      <c r="H1264" s="22" t="str">
        <f>IFERROR(__xludf.DUMMYFUNCTION("""COMPUTED_VALUE"""),"TX")</f>
        <v>TX</v>
      </c>
      <c r="I1264" s="22">
        <f>IFERROR(__xludf.DUMMYFUNCTION("""COMPUTED_VALUE"""),75219.0)</f>
        <v>75219</v>
      </c>
      <c r="J1264" s="22"/>
      <c r="K1264" s="22"/>
      <c r="L1264" s="22"/>
      <c r="M1264" s="22"/>
      <c r="N1264" s="22"/>
      <c r="O1264" s="22"/>
      <c r="P1264" s="22"/>
      <c r="Q1264" s="22"/>
      <c r="R1264" s="22"/>
      <c r="S1264" s="22"/>
      <c r="T1264" s="22"/>
      <c r="U1264" s="24" t="str">
        <f>IFERROR(__xludf.DUMMYFUNCTION("SPLIT(E1264,""01234567890"")"),"Harlan
")</f>
        <v>Harlan
</v>
      </c>
      <c r="V1264" s="24" t="str">
        <f>IFERROR(__xludf.DUMMYFUNCTION("SPLIT(D1264,"","")"),"Crow")</f>
        <v>Crow</v>
      </c>
      <c r="W1264" s="25" t="str">
        <f t="shared" si="1"/>
        <v>HARLAN
 CROW</v>
      </c>
      <c r="X1264" s="22"/>
      <c r="Y1264" s="22"/>
      <c r="Z1264" s="25" t="str">
        <f>IFERROR(__xludf.DUMMYFUNCTION("SPLIT(C1264,""
"")"),"Crow, Harlan")</f>
        <v>Crow, Harlan</v>
      </c>
      <c r="AA1264" s="22" t="str">
        <f>IFERROR(__xludf.DUMMYFUNCTION("""COMPUTED_VALUE"""),"3819 Maple Ave")</f>
        <v>3819 Maple Ave</v>
      </c>
      <c r="AB1264" s="22" t="str">
        <f>IFERROR(__xludf.DUMMYFUNCTION("""COMPUTED_VALUE"""),"Dallas, TX 75219")</f>
        <v>Dallas, TX 75219</v>
      </c>
      <c r="AC1264" s="31" t="s">
        <v>2002</v>
      </c>
      <c r="AD1264" s="22"/>
      <c r="AE1264" s="22"/>
      <c r="AF1264" s="22"/>
      <c r="AG1264" s="22" t="s">
        <v>60</v>
      </c>
      <c r="AH1264" s="54">
        <v>2486.0</v>
      </c>
      <c r="AI1264" s="22" t="s">
        <v>68</v>
      </c>
      <c r="AJ1264" s="27">
        <v>1000.0</v>
      </c>
      <c r="AK1264" s="31" t="s">
        <v>24</v>
      </c>
      <c r="AL1264" s="28">
        <v>44915.0</v>
      </c>
      <c r="AM1264" s="29">
        <v>44942.42989583333</v>
      </c>
      <c r="AN1264" s="30">
        <v>2.0</v>
      </c>
      <c r="AO1264" s="22"/>
      <c r="AP1264" s="22"/>
      <c r="AQ1264" s="22"/>
      <c r="AR1264" s="22"/>
      <c r="AS1264" s="22"/>
      <c r="AT1264" s="70"/>
      <c r="AU1264" s="22"/>
      <c r="AV1264" s="57"/>
      <c r="AW1264" s="57"/>
      <c r="AX1264" s="70"/>
      <c r="AY1264" s="29"/>
      <c r="AZ1264" s="30"/>
      <c r="CU1264" s="55"/>
      <c r="CV1264" s="55"/>
      <c r="CW1264" s="55"/>
      <c r="CX1264" s="55"/>
      <c r="CY1264" s="55"/>
      <c r="CZ1264" s="55"/>
      <c r="DA1264" s="82"/>
      <c r="DB1264" s="55"/>
      <c r="DC1264" s="55"/>
      <c r="DD1264" s="55"/>
      <c r="DE1264" s="55"/>
      <c r="DF1264" s="55"/>
      <c r="DG1264" s="55"/>
      <c r="DH1264" s="55"/>
      <c r="DI1264" s="55"/>
      <c r="DJ1264" s="55"/>
      <c r="DK1264" s="55"/>
      <c r="DL1264" s="55"/>
      <c r="DM1264" s="55"/>
      <c r="DN1264" s="55"/>
      <c r="DO1264" s="55"/>
      <c r="DP1264" s="55"/>
      <c r="DQ1264" s="55"/>
      <c r="DR1264" s="55"/>
      <c r="DS1264" s="55"/>
      <c r="DT1264" s="55"/>
      <c r="DU1264" s="55"/>
      <c r="DV1264" s="55"/>
      <c r="DW1264" s="55"/>
    </row>
    <row r="1265">
      <c r="A1265" s="41" t="s">
        <v>64</v>
      </c>
      <c r="B1265" s="41" t="s">
        <v>56</v>
      </c>
      <c r="C1265" s="31" t="s">
        <v>2757</v>
      </c>
      <c r="D1265" s="25" t="str">
        <f>IFERROR(__xludf.DUMMYFUNCTION("SPLIT(C1265,"" "")"),"Crow,")</f>
        <v>Crow,</v>
      </c>
      <c r="E1265" s="40" t="str">
        <f>IFERROR(__xludf.DUMMYFUNCTION("""COMPUTED_VALUE"""),"Trammell
4000")</f>
        <v>Trammell
4000</v>
      </c>
      <c r="F1265" s="40" t="str">
        <f>IFERROR(__xludf.DUMMYFUNCTION("""COMPUTED_VALUE"""),"Rock")</f>
        <v>Rock</v>
      </c>
      <c r="G1265" s="40" t="str">
        <f>IFERROR(__xludf.DUMMYFUNCTION("""COMPUTED_VALUE"""),"Creek")</f>
        <v>Creek</v>
      </c>
      <c r="H1265" s="40" t="str">
        <f>IFERROR(__xludf.DUMMYFUNCTION("""COMPUTED_VALUE"""),"Drive
Dallas,")</f>
        <v>Drive
Dallas,</v>
      </c>
      <c r="I1265" s="40" t="str">
        <f>IFERROR(__xludf.DUMMYFUNCTION("""COMPUTED_VALUE"""),"TX")</f>
        <v>TX</v>
      </c>
      <c r="J1265" s="40">
        <f>IFERROR(__xludf.DUMMYFUNCTION("""COMPUTED_VALUE"""),75204.0)</f>
        <v>75204</v>
      </c>
      <c r="K1265" s="40"/>
      <c r="L1265" s="40"/>
      <c r="M1265" s="40"/>
      <c r="N1265" s="40"/>
      <c r="O1265" s="40"/>
      <c r="P1265" s="40"/>
      <c r="Q1265" s="40"/>
      <c r="R1265" s="40"/>
      <c r="S1265" s="40"/>
      <c r="T1265" s="40"/>
      <c r="U1265" s="24" t="str">
        <f>IFERROR(__xludf.DUMMYFUNCTION("SPLIT(E1265,""01234567890"")"),"Trammell
")</f>
        <v>Trammell
</v>
      </c>
      <c r="V1265" s="24" t="str">
        <f>IFERROR(__xludf.DUMMYFUNCTION("SPLIT(D1265,"","")"),"Crow")</f>
        <v>Crow</v>
      </c>
      <c r="W1265" s="25" t="str">
        <f t="shared" si="1"/>
        <v>TRAMMELL
 CROW</v>
      </c>
      <c r="X1265" s="40"/>
      <c r="Y1265" s="40"/>
      <c r="Z1265" s="25" t="str">
        <f>IFERROR(__xludf.DUMMYFUNCTION("SPLIT(C1265,""
"")"),"Crow, Trammell")</f>
        <v>Crow, Trammell</v>
      </c>
      <c r="AA1265" s="40" t="str">
        <f>IFERROR(__xludf.DUMMYFUNCTION("""COMPUTED_VALUE"""),"4000 Rock Creek Drive")</f>
        <v>4000 Rock Creek Drive</v>
      </c>
      <c r="AB1265" s="40" t="str">
        <f>IFERROR(__xludf.DUMMYFUNCTION("""COMPUTED_VALUE"""),"Dallas, TX 75204")</f>
        <v>Dallas, TX 75204</v>
      </c>
      <c r="AC1265" s="31" t="s">
        <v>2000</v>
      </c>
      <c r="AD1265" s="40"/>
      <c r="AE1265" s="40"/>
      <c r="AF1265" s="40"/>
      <c r="AG1265" s="40" t="s">
        <v>60</v>
      </c>
      <c r="AH1265" s="42">
        <v>2486.0</v>
      </c>
      <c r="AI1265" s="40" t="s">
        <v>68</v>
      </c>
      <c r="AJ1265" s="27">
        <v>1000.0</v>
      </c>
      <c r="AK1265" s="31" t="s">
        <v>24</v>
      </c>
      <c r="AL1265" s="43">
        <v>44916.0</v>
      </c>
      <c r="AM1265" s="44">
        <v>44942.42989583333</v>
      </c>
      <c r="AN1265" s="30">
        <v>2.0</v>
      </c>
      <c r="AO1265" s="40"/>
      <c r="AP1265" s="40"/>
      <c r="AQ1265" s="40"/>
      <c r="AR1265" s="40"/>
      <c r="AS1265" s="40"/>
      <c r="AT1265" s="47"/>
      <c r="AU1265" s="40"/>
      <c r="AV1265" s="46"/>
      <c r="AW1265" s="46"/>
      <c r="AX1265" s="47"/>
      <c r="AY1265" s="44"/>
      <c r="AZ1265" s="30"/>
      <c r="CU1265" s="55"/>
      <c r="CV1265" s="55"/>
      <c r="CW1265" s="55"/>
      <c r="CX1265" s="55"/>
      <c r="CY1265" s="55"/>
      <c r="CZ1265" s="55"/>
      <c r="DA1265" s="82"/>
      <c r="DB1265" s="55"/>
      <c r="DC1265" s="55"/>
      <c r="DD1265" s="55"/>
      <c r="DE1265" s="55"/>
      <c r="DF1265" s="55"/>
      <c r="DG1265" s="55"/>
      <c r="DH1265" s="55"/>
      <c r="DI1265" s="55"/>
      <c r="DJ1265" s="55"/>
      <c r="DK1265" s="55"/>
      <c r="DL1265" s="55"/>
      <c r="DM1265" s="55"/>
      <c r="DN1265" s="55"/>
      <c r="DO1265" s="55"/>
      <c r="DP1265" s="55"/>
      <c r="DQ1265" s="55"/>
      <c r="DR1265" s="55"/>
      <c r="DS1265" s="55"/>
      <c r="DT1265" s="55"/>
      <c r="DU1265" s="55"/>
      <c r="DV1265" s="55"/>
      <c r="DW1265" s="55"/>
    </row>
    <row r="1266">
      <c r="A1266" s="23" t="s">
        <v>64</v>
      </c>
      <c r="B1266" s="23" t="s">
        <v>56</v>
      </c>
      <c r="C1266" s="31" t="s">
        <v>2758</v>
      </c>
      <c r="D1266" s="25" t="str">
        <f>IFERROR(__xludf.DUMMYFUNCTION("SPLIT(C1266,"" "")"),"Boruff,")</f>
        <v>Boruff,</v>
      </c>
      <c r="E1266" s="22" t="str">
        <f>IFERROR(__xludf.DUMMYFUNCTION("""COMPUTED_VALUE"""),"Darren
6445")</f>
        <v>Darren
6445</v>
      </c>
      <c r="F1266" s="22" t="str">
        <f>IFERROR(__xludf.DUMMYFUNCTION("""COMPUTED_VALUE"""),"Lake")</f>
        <v>Lake</v>
      </c>
      <c r="G1266" s="22" t="str">
        <f>IFERROR(__xludf.DUMMYFUNCTION("""COMPUTED_VALUE"""),"Circle")</f>
        <v>Circle</v>
      </c>
      <c r="H1266" s="22" t="str">
        <f>IFERROR(__xludf.DUMMYFUNCTION("""COMPUTED_VALUE"""),"Drive
Dallas,")</f>
        <v>Drive
Dallas,</v>
      </c>
      <c r="I1266" s="22" t="str">
        <f>IFERROR(__xludf.DUMMYFUNCTION("""COMPUTED_VALUE"""),"TX")</f>
        <v>TX</v>
      </c>
      <c r="J1266" s="22">
        <f>IFERROR(__xludf.DUMMYFUNCTION("""COMPUTED_VALUE"""),75214.0)</f>
        <v>75214</v>
      </c>
      <c r="K1266" s="22"/>
      <c r="L1266" s="22"/>
      <c r="M1266" s="22"/>
      <c r="N1266" s="22"/>
      <c r="O1266" s="22"/>
      <c r="P1266" s="22"/>
      <c r="Q1266" s="22"/>
      <c r="R1266" s="22"/>
      <c r="S1266" s="22"/>
      <c r="T1266" s="22"/>
      <c r="U1266" s="24" t="str">
        <f>IFERROR(__xludf.DUMMYFUNCTION("SPLIT(E1266,""01234567890"")"),"Darren
")</f>
        <v>Darren
</v>
      </c>
      <c r="V1266" s="24" t="str">
        <f>IFERROR(__xludf.DUMMYFUNCTION("SPLIT(D1266,"","")"),"Boruff")</f>
        <v>Boruff</v>
      </c>
      <c r="W1266" s="25" t="str">
        <f t="shared" si="1"/>
        <v>DARREN
 BORUFF</v>
      </c>
      <c r="X1266" s="22"/>
      <c r="Y1266" s="22"/>
      <c r="Z1266" s="25" t="str">
        <f>IFERROR(__xludf.DUMMYFUNCTION("SPLIT(C1266,""
"")"),"Boruff, Darren")</f>
        <v>Boruff, Darren</v>
      </c>
      <c r="AA1266" s="22" t="str">
        <f>IFERROR(__xludf.DUMMYFUNCTION("""COMPUTED_VALUE"""),"6445 Lake Circle Drive")</f>
        <v>6445 Lake Circle Drive</v>
      </c>
      <c r="AB1266" s="22" t="str">
        <f>IFERROR(__xludf.DUMMYFUNCTION("""COMPUTED_VALUE"""),"Dallas, TX 75214")</f>
        <v>Dallas, TX 75214</v>
      </c>
      <c r="AC1266" s="31" t="s">
        <v>2759</v>
      </c>
      <c r="AD1266" s="22"/>
      <c r="AE1266" s="22"/>
      <c r="AF1266" s="22"/>
      <c r="AG1266" s="22" t="s">
        <v>60</v>
      </c>
      <c r="AH1266" s="54">
        <v>2486.0</v>
      </c>
      <c r="AI1266" s="22" t="s">
        <v>68</v>
      </c>
      <c r="AJ1266" s="27">
        <v>100.0</v>
      </c>
      <c r="AK1266" s="31" t="s">
        <v>24</v>
      </c>
      <c r="AL1266" s="28">
        <v>44924.0</v>
      </c>
      <c r="AM1266" s="29">
        <v>44942.42989583333</v>
      </c>
      <c r="AN1266" s="30">
        <v>2.0</v>
      </c>
      <c r="AO1266" s="22"/>
      <c r="AP1266" s="22"/>
      <c r="AQ1266" s="22"/>
      <c r="AR1266" s="22"/>
      <c r="AS1266" s="22"/>
      <c r="AT1266" s="70"/>
      <c r="AU1266" s="22"/>
      <c r="AV1266" s="57"/>
      <c r="AW1266" s="57"/>
      <c r="AX1266" s="70"/>
      <c r="AY1266" s="29"/>
      <c r="AZ1266" s="30"/>
      <c r="CU1266" s="55"/>
      <c r="CV1266" s="55"/>
      <c r="CW1266" s="55"/>
      <c r="CX1266" s="55"/>
      <c r="CY1266" s="55"/>
      <c r="CZ1266" s="55"/>
      <c r="DA1266" s="82"/>
      <c r="DB1266" s="55"/>
      <c r="DC1266" s="55"/>
      <c r="DD1266" s="55"/>
      <c r="DE1266" s="55"/>
      <c r="DF1266" s="55"/>
      <c r="DG1266" s="55"/>
      <c r="DH1266" s="55"/>
      <c r="DI1266" s="55"/>
      <c r="DJ1266" s="55"/>
      <c r="DK1266" s="55"/>
      <c r="DL1266" s="55"/>
      <c r="DM1266" s="55"/>
      <c r="DN1266" s="55"/>
      <c r="DO1266" s="55"/>
      <c r="DP1266" s="55"/>
      <c r="DQ1266" s="55"/>
      <c r="DR1266" s="55"/>
      <c r="DS1266" s="55"/>
      <c r="DT1266" s="55"/>
      <c r="DU1266" s="55"/>
      <c r="DV1266" s="55"/>
      <c r="DW1266" s="55"/>
    </row>
    <row r="1267">
      <c r="A1267" s="41" t="s">
        <v>64</v>
      </c>
      <c r="B1267" s="41" t="s">
        <v>56</v>
      </c>
      <c r="C1267" s="31" t="s">
        <v>2760</v>
      </c>
      <c r="D1267" s="25" t="str">
        <f>IFERROR(__xludf.DUMMYFUNCTION("SPLIT(C1267,"" "")"),"Coats,")</f>
        <v>Coats,</v>
      </c>
      <c r="E1267" s="40" t="str">
        <f>IFERROR(__xludf.DUMMYFUNCTION("""COMPUTED_VALUE"""),"Sam
26")</f>
        <v>Sam
26</v>
      </c>
      <c r="F1267" s="40" t="str">
        <f>IFERROR(__xludf.DUMMYFUNCTION("""COMPUTED_VALUE"""),"Ryddington")</f>
        <v>Ryddington</v>
      </c>
      <c r="G1267" s="40" t="str">
        <f>IFERROR(__xludf.DUMMYFUNCTION("""COMPUTED_VALUE"""),"Pl
Dallas,")</f>
        <v>Pl
Dallas,</v>
      </c>
      <c r="H1267" s="40" t="str">
        <f>IFERROR(__xludf.DUMMYFUNCTION("""COMPUTED_VALUE"""),"TX")</f>
        <v>TX</v>
      </c>
      <c r="I1267" s="40">
        <f>IFERROR(__xludf.DUMMYFUNCTION("""COMPUTED_VALUE"""),75230.0)</f>
        <v>75230</v>
      </c>
      <c r="J1267" s="40"/>
      <c r="K1267" s="40"/>
      <c r="L1267" s="40"/>
      <c r="M1267" s="40"/>
      <c r="N1267" s="40"/>
      <c r="O1267" s="40"/>
      <c r="P1267" s="40"/>
      <c r="Q1267" s="40"/>
      <c r="R1267" s="40"/>
      <c r="S1267" s="40"/>
      <c r="T1267" s="40"/>
      <c r="U1267" s="24" t="str">
        <f>IFERROR(__xludf.DUMMYFUNCTION("SPLIT(E1267,""01234567890"")"),"Sam
")</f>
        <v>Sam
</v>
      </c>
      <c r="V1267" s="24" t="str">
        <f>IFERROR(__xludf.DUMMYFUNCTION("SPLIT(D1267,"","")"),"Coats")</f>
        <v>Coats</v>
      </c>
      <c r="W1267" s="25" t="str">
        <f t="shared" si="1"/>
        <v>SAM
 COATS</v>
      </c>
      <c r="X1267" s="40"/>
      <c r="Y1267" s="40"/>
      <c r="Z1267" s="25" t="str">
        <f>IFERROR(__xludf.DUMMYFUNCTION("SPLIT(C1267,""
"")"),"Coats, Sam")</f>
        <v>Coats, Sam</v>
      </c>
      <c r="AA1267" s="40" t="str">
        <f>IFERROR(__xludf.DUMMYFUNCTION("""COMPUTED_VALUE"""),"26 Ryddington Pl")</f>
        <v>26 Ryddington Pl</v>
      </c>
      <c r="AB1267" s="40" t="str">
        <f>IFERROR(__xludf.DUMMYFUNCTION("""COMPUTED_VALUE"""),"Dallas, TX 75230")</f>
        <v>Dallas, TX 75230</v>
      </c>
      <c r="AC1267" s="31" t="s">
        <v>2761</v>
      </c>
      <c r="AD1267" s="40"/>
      <c r="AE1267" s="40"/>
      <c r="AF1267" s="40"/>
      <c r="AG1267" s="40" t="s">
        <v>60</v>
      </c>
      <c r="AH1267" s="42">
        <v>2486.0</v>
      </c>
      <c r="AI1267" s="40" t="s">
        <v>68</v>
      </c>
      <c r="AJ1267" s="27">
        <v>250.0</v>
      </c>
      <c r="AK1267" s="31" t="s">
        <v>24</v>
      </c>
      <c r="AL1267" s="43">
        <v>44925.0</v>
      </c>
      <c r="AM1267" s="44">
        <v>44942.42989583333</v>
      </c>
      <c r="AN1267" s="30">
        <v>2.0</v>
      </c>
      <c r="AO1267" s="40"/>
      <c r="AP1267" s="40"/>
      <c r="AQ1267" s="40"/>
      <c r="AR1267" s="40"/>
      <c r="AS1267" s="40"/>
      <c r="AT1267" s="47"/>
      <c r="AU1267" s="40"/>
      <c r="AV1267" s="46"/>
      <c r="AW1267" s="46"/>
      <c r="AX1267" s="47"/>
      <c r="AY1267" s="44"/>
      <c r="AZ1267" s="30"/>
      <c r="CU1267" s="55"/>
      <c r="CV1267" s="55"/>
      <c r="CW1267" s="55"/>
      <c r="CX1267" s="55"/>
      <c r="CY1267" s="55"/>
      <c r="CZ1267" s="55"/>
      <c r="DA1267" s="82"/>
      <c r="DB1267" s="55"/>
      <c r="DC1267" s="55"/>
      <c r="DD1267" s="55"/>
      <c r="DE1267" s="55"/>
      <c r="DF1267" s="55"/>
      <c r="DG1267" s="55"/>
      <c r="DH1267" s="55"/>
      <c r="DI1267" s="55"/>
      <c r="DJ1267" s="55"/>
      <c r="DK1267" s="55"/>
      <c r="DL1267" s="55"/>
      <c r="DM1267" s="55"/>
      <c r="DN1267" s="55"/>
      <c r="DO1267" s="55"/>
      <c r="DP1267" s="55"/>
      <c r="DQ1267" s="55"/>
      <c r="DR1267" s="55"/>
      <c r="DS1267" s="55"/>
      <c r="DT1267" s="55"/>
      <c r="DU1267" s="55"/>
      <c r="DV1267" s="55"/>
      <c r="DW1267" s="55"/>
    </row>
    <row r="1268">
      <c r="A1268" s="23" t="s">
        <v>64</v>
      </c>
      <c r="B1268" s="23" t="s">
        <v>56</v>
      </c>
      <c r="C1268" s="31" t="s">
        <v>2762</v>
      </c>
      <c r="D1268" s="25" t="str">
        <f>IFERROR(__xludf.DUMMYFUNCTION("SPLIT(C1268,"" "")"),"Finkelman,")</f>
        <v>Finkelman,</v>
      </c>
      <c r="E1268" s="22" t="str">
        <f>IFERROR(__xludf.DUMMYFUNCTION("""COMPUTED_VALUE"""),"Lois
11437")</f>
        <v>Lois
11437</v>
      </c>
      <c r="F1268" s="22" t="str">
        <f>IFERROR(__xludf.DUMMYFUNCTION("""COMPUTED_VALUE"""),"West")</f>
        <v>West</v>
      </c>
      <c r="G1268" s="22" t="str">
        <f>IFERROR(__xludf.DUMMYFUNCTION("""COMPUTED_VALUE"""),"Ricks")</f>
        <v>Ricks</v>
      </c>
      <c r="H1268" s="22" t="str">
        <f>IFERROR(__xludf.DUMMYFUNCTION("""COMPUTED_VALUE"""),"Circle
Dallas,")</f>
        <v>Circle
Dallas,</v>
      </c>
      <c r="I1268" s="22" t="str">
        <f>IFERROR(__xludf.DUMMYFUNCTION("""COMPUTED_VALUE"""),"TX")</f>
        <v>TX</v>
      </c>
      <c r="J1268" s="22">
        <f>IFERROR(__xludf.DUMMYFUNCTION("""COMPUTED_VALUE"""),75230.0)</f>
        <v>75230</v>
      </c>
      <c r="K1268" s="22"/>
      <c r="L1268" s="22"/>
      <c r="M1268" s="22"/>
      <c r="N1268" s="22"/>
      <c r="O1268" s="22"/>
      <c r="P1268" s="22"/>
      <c r="Q1268" s="22"/>
      <c r="R1268" s="22"/>
      <c r="S1268" s="22"/>
      <c r="T1268" s="22"/>
      <c r="U1268" s="24" t="str">
        <f>IFERROR(__xludf.DUMMYFUNCTION("SPLIT(E1268,""01234567890"")"),"Lois
")</f>
        <v>Lois
</v>
      </c>
      <c r="V1268" s="24" t="str">
        <f>IFERROR(__xludf.DUMMYFUNCTION("SPLIT(D1268,"","")"),"Finkelman")</f>
        <v>Finkelman</v>
      </c>
      <c r="W1268" s="25" t="str">
        <f t="shared" si="1"/>
        <v>LOIS
 FINKELMAN</v>
      </c>
      <c r="X1268" s="22"/>
      <c r="Y1268" s="22"/>
      <c r="Z1268" s="25" t="str">
        <f>IFERROR(__xludf.DUMMYFUNCTION("SPLIT(C1268,""
"")"),"Finkelman, Lois")</f>
        <v>Finkelman, Lois</v>
      </c>
      <c r="AA1268" s="22" t="str">
        <f>IFERROR(__xludf.DUMMYFUNCTION("""COMPUTED_VALUE"""),"11437 West Ricks Circle")</f>
        <v>11437 West Ricks Circle</v>
      </c>
      <c r="AB1268" s="22" t="str">
        <f>IFERROR(__xludf.DUMMYFUNCTION("""COMPUTED_VALUE"""),"Dallas, TX 75230")</f>
        <v>Dallas, TX 75230</v>
      </c>
      <c r="AC1268" s="31" t="s">
        <v>2763</v>
      </c>
      <c r="AD1268" s="22"/>
      <c r="AE1268" s="22"/>
      <c r="AF1268" s="22"/>
      <c r="AG1268" s="22" t="s">
        <v>60</v>
      </c>
      <c r="AH1268" s="54">
        <v>2486.0</v>
      </c>
      <c r="AI1268" s="22" t="s">
        <v>68</v>
      </c>
      <c r="AJ1268" s="27">
        <v>100.0</v>
      </c>
      <c r="AK1268" s="31" t="s">
        <v>24</v>
      </c>
      <c r="AL1268" s="28">
        <v>44926.0</v>
      </c>
      <c r="AM1268" s="29">
        <v>44942.42989583333</v>
      </c>
      <c r="AN1268" s="30">
        <v>2.0</v>
      </c>
      <c r="AO1268" s="22"/>
      <c r="AP1268" s="22"/>
      <c r="AQ1268" s="22"/>
      <c r="AR1268" s="22"/>
      <c r="AS1268" s="22"/>
      <c r="AT1268" s="70"/>
      <c r="AU1268" s="22"/>
      <c r="AV1268" s="57"/>
      <c r="AW1268" s="57"/>
      <c r="AX1268" s="70"/>
      <c r="AY1268" s="29"/>
      <c r="AZ1268" s="30"/>
      <c r="CU1268" s="55"/>
      <c r="CV1268" s="55"/>
      <c r="CW1268" s="55"/>
      <c r="CX1268" s="55"/>
      <c r="CY1268" s="55"/>
      <c r="CZ1268" s="55"/>
      <c r="DA1268" s="82"/>
      <c r="DB1268" s="55"/>
      <c r="DC1268" s="55"/>
      <c r="DD1268" s="55"/>
      <c r="DE1268" s="55"/>
      <c r="DF1268" s="55"/>
      <c r="DG1268" s="55"/>
      <c r="DH1268" s="55"/>
      <c r="DI1268" s="55"/>
      <c r="DJ1268" s="55"/>
      <c r="DK1268" s="55"/>
      <c r="DL1268" s="55"/>
      <c r="DM1268" s="55"/>
      <c r="DN1268" s="55"/>
      <c r="DO1268" s="55"/>
      <c r="DP1268" s="55"/>
      <c r="DQ1268" s="55"/>
      <c r="DR1268" s="55"/>
      <c r="DS1268" s="55"/>
      <c r="DT1268" s="55"/>
      <c r="DU1268" s="55"/>
      <c r="DV1268" s="55"/>
      <c r="DW1268" s="55"/>
    </row>
    <row r="1269">
      <c r="A1269" s="41" t="s">
        <v>64</v>
      </c>
      <c r="B1269" s="41" t="s">
        <v>56</v>
      </c>
      <c r="C1269" s="31" t="s">
        <v>2764</v>
      </c>
      <c r="D1269" s="25" t="str">
        <f>IFERROR(__xludf.DUMMYFUNCTION("SPLIT(C1269,"" "")"),"Smith,")</f>
        <v>Smith,</v>
      </c>
      <c r="E1269" s="40" t="str">
        <f>IFERROR(__xludf.DUMMYFUNCTION("""COMPUTED_VALUE"""),"Suzanne
3210")</f>
        <v>Suzanne
3210</v>
      </c>
      <c r="F1269" s="40" t="str">
        <f>IFERROR(__xludf.DUMMYFUNCTION("""COMPUTED_VALUE"""),"Carlisle")</f>
        <v>Carlisle</v>
      </c>
      <c r="G1269" s="40" t="str">
        <f>IFERROR(__xludf.DUMMYFUNCTION("""COMPUTED_VALUE"""),"Street")</f>
        <v>Street</v>
      </c>
      <c r="H1269" s="40" t="str">
        <f>IFERROR(__xludf.DUMMYFUNCTION("""COMPUTED_VALUE"""),"No")</f>
        <v>No</v>
      </c>
      <c r="I1269" s="40" t="str">
        <f>IFERROR(__xludf.DUMMYFUNCTION("""COMPUTED_VALUE"""),"62
Dallas,")</f>
        <v>62
Dallas,</v>
      </c>
      <c r="J1269" s="40" t="str">
        <f>IFERROR(__xludf.DUMMYFUNCTION("""COMPUTED_VALUE"""),"TX")</f>
        <v>TX</v>
      </c>
      <c r="K1269" s="40">
        <f>IFERROR(__xludf.DUMMYFUNCTION("""COMPUTED_VALUE"""),75204.0)</f>
        <v>75204</v>
      </c>
      <c r="L1269" s="40"/>
      <c r="M1269" s="40"/>
      <c r="N1269" s="40"/>
      <c r="O1269" s="40"/>
      <c r="P1269" s="40"/>
      <c r="Q1269" s="40"/>
      <c r="R1269" s="40"/>
      <c r="S1269" s="40"/>
      <c r="T1269" s="40"/>
      <c r="U1269" s="24" t="str">
        <f>IFERROR(__xludf.DUMMYFUNCTION("SPLIT(E1269,""01234567890"")"),"Suzanne
")</f>
        <v>Suzanne
</v>
      </c>
      <c r="V1269" s="24" t="str">
        <f>IFERROR(__xludf.DUMMYFUNCTION("SPLIT(D1269,"","")"),"Smith")</f>
        <v>Smith</v>
      </c>
      <c r="W1269" s="25" t="str">
        <f t="shared" si="1"/>
        <v>SUZANNE
 SMITH</v>
      </c>
      <c r="X1269" s="40"/>
      <c r="Y1269" s="40"/>
      <c r="Z1269" s="25" t="str">
        <f>IFERROR(__xludf.DUMMYFUNCTION("SPLIT(C1269,""
"")"),"Smith, Suzanne")</f>
        <v>Smith, Suzanne</v>
      </c>
      <c r="AA1269" s="40" t="str">
        <f>IFERROR(__xludf.DUMMYFUNCTION("""COMPUTED_VALUE"""),"3210 Carlisle Street No 62")</f>
        <v>3210 Carlisle Street No 62</v>
      </c>
      <c r="AB1269" s="40" t="str">
        <f>IFERROR(__xludf.DUMMYFUNCTION("""COMPUTED_VALUE"""),"Dallas, TX 75204")</f>
        <v>Dallas, TX 75204</v>
      </c>
      <c r="AC1269" s="31" t="s">
        <v>1405</v>
      </c>
      <c r="AD1269" s="40"/>
      <c r="AE1269" s="40"/>
      <c r="AF1269" s="40"/>
      <c r="AG1269" s="40" t="s">
        <v>60</v>
      </c>
      <c r="AH1269" s="42">
        <v>2486.0</v>
      </c>
      <c r="AI1269" s="40" t="s">
        <v>68</v>
      </c>
      <c r="AJ1269" s="27">
        <v>100.0</v>
      </c>
      <c r="AK1269" s="31" t="s">
        <v>24</v>
      </c>
      <c r="AL1269" s="43">
        <v>44926.0</v>
      </c>
      <c r="AM1269" s="44">
        <v>44942.42989583333</v>
      </c>
      <c r="AN1269" s="30">
        <v>2.0</v>
      </c>
      <c r="AO1269" s="40"/>
      <c r="AP1269" s="40"/>
      <c r="AQ1269" s="40"/>
      <c r="AR1269" s="40"/>
      <c r="AS1269" s="40"/>
      <c r="AT1269" s="47"/>
      <c r="AU1269" s="40"/>
      <c r="AV1269" s="46"/>
      <c r="AW1269" s="46"/>
      <c r="AX1269" s="47"/>
      <c r="AY1269" s="44"/>
      <c r="AZ1269" s="30"/>
      <c r="CU1269" s="55"/>
      <c r="CV1269" s="55"/>
      <c r="CW1269" s="55"/>
      <c r="CX1269" s="55"/>
      <c r="CY1269" s="55"/>
      <c r="CZ1269" s="55"/>
      <c r="DA1269" s="82"/>
      <c r="DB1269" s="55"/>
      <c r="DC1269" s="55"/>
      <c r="DD1269" s="55"/>
      <c r="DE1269" s="55"/>
      <c r="DF1269" s="55"/>
      <c r="DG1269" s="55"/>
      <c r="DH1269" s="55"/>
      <c r="DI1269" s="55"/>
      <c r="DJ1269" s="55"/>
      <c r="DK1269" s="55"/>
      <c r="DL1269" s="55"/>
      <c r="DM1269" s="55"/>
      <c r="DN1269" s="55"/>
      <c r="DO1269" s="55"/>
      <c r="DP1269" s="55"/>
      <c r="DQ1269" s="55"/>
      <c r="DR1269" s="55"/>
      <c r="DS1269" s="55"/>
      <c r="DT1269" s="55"/>
      <c r="DU1269" s="55"/>
      <c r="DV1269" s="55"/>
      <c r="DW1269" s="55"/>
    </row>
    <row r="1270">
      <c r="A1270" s="23" t="s">
        <v>64</v>
      </c>
      <c r="B1270" s="23" t="s">
        <v>56</v>
      </c>
      <c r="C1270" s="31" t="s">
        <v>274</v>
      </c>
      <c r="D1270" s="25" t="str">
        <f>IFERROR(__xludf.DUMMYFUNCTION("SPLIT(C1270,"" "")"),"Bacon,")</f>
        <v>Bacon,</v>
      </c>
      <c r="E1270" s="22" t="str">
        <f>IFERROR(__xludf.DUMMYFUNCTION("""COMPUTED_VALUE"""),"Diana
9834")</f>
        <v>Diana
9834</v>
      </c>
      <c r="F1270" s="22" t="str">
        <f>IFERROR(__xludf.DUMMYFUNCTION("""COMPUTED_VALUE"""),"Shoreview")</f>
        <v>Shoreview</v>
      </c>
      <c r="G1270" s="22" t="str">
        <f>IFERROR(__xludf.DUMMYFUNCTION("""COMPUTED_VALUE"""),"Rd
Dallas,")</f>
        <v>Rd
Dallas,</v>
      </c>
      <c r="H1270" s="22" t="str">
        <f>IFERROR(__xludf.DUMMYFUNCTION("""COMPUTED_VALUE"""),"TX")</f>
        <v>TX</v>
      </c>
      <c r="I1270" s="22">
        <f>IFERROR(__xludf.DUMMYFUNCTION("""COMPUTED_VALUE"""),75238.0)</f>
        <v>75238</v>
      </c>
      <c r="J1270" s="22"/>
      <c r="K1270" s="22"/>
      <c r="L1270" s="22"/>
      <c r="M1270" s="22"/>
      <c r="N1270" s="22"/>
      <c r="O1270" s="22"/>
      <c r="P1270" s="22"/>
      <c r="Q1270" s="22"/>
      <c r="R1270" s="22"/>
      <c r="S1270" s="22"/>
      <c r="T1270" s="22"/>
      <c r="U1270" s="24" t="str">
        <f>IFERROR(__xludf.DUMMYFUNCTION("SPLIT(E1270,""01234567890"")"),"Diana
")</f>
        <v>Diana
</v>
      </c>
      <c r="V1270" s="24" t="str">
        <f>IFERROR(__xludf.DUMMYFUNCTION("SPLIT(D1270,"","")"),"Bacon")</f>
        <v>Bacon</v>
      </c>
      <c r="W1270" s="25" t="str">
        <f t="shared" si="1"/>
        <v>DIANA
 BACON</v>
      </c>
      <c r="X1270" s="22"/>
      <c r="Y1270" s="22"/>
      <c r="Z1270" s="25" t="str">
        <f>IFERROR(__xludf.DUMMYFUNCTION("SPLIT(C1270,""
"")"),"Bacon, Diana")</f>
        <v>Bacon, Diana</v>
      </c>
      <c r="AA1270" s="22" t="str">
        <f>IFERROR(__xludf.DUMMYFUNCTION("""COMPUTED_VALUE"""),"9834 Shoreview Rd")</f>
        <v>9834 Shoreview Rd</v>
      </c>
      <c r="AB1270" s="22" t="str">
        <f>IFERROR(__xludf.DUMMYFUNCTION("""COMPUTED_VALUE"""),"Dallas, TX 75238")</f>
        <v>Dallas, TX 75238</v>
      </c>
      <c r="AC1270" s="31" t="s">
        <v>276</v>
      </c>
      <c r="AD1270" s="22"/>
      <c r="AE1270" s="22"/>
      <c r="AF1270" s="22"/>
      <c r="AG1270" s="22" t="s">
        <v>60</v>
      </c>
      <c r="AH1270" s="54">
        <v>2488.0</v>
      </c>
      <c r="AI1270" s="22" t="s">
        <v>68</v>
      </c>
      <c r="AJ1270" s="27">
        <v>50.0</v>
      </c>
      <c r="AK1270" s="31" t="s">
        <v>32</v>
      </c>
      <c r="AL1270" s="28">
        <v>44749.0</v>
      </c>
      <c r="AM1270" s="29">
        <v>44937.96288194445</v>
      </c>
      <c r="AN1270" s="30">
        <v>2.0</v>
      </c>
      <c r="AO1270" s="22"/>
      <c r="AP1270" s="22"/>
      <c r="AQ1270" s="22"/>
      <c r="AR1270" s="22"/>
      <c r="AS1270" s="22"/>
      <c r="AT1270" s="70"/>
      <c r="AU1270" s="22"/>
      <c r="AV1270" s="57"/>
      <c r="AW1270" s="57"/>
      <c r="AX1270" s="70"/>
      <c r="AY1270" s="29"/>
      <c r="AZ1270" s="30"/>
      <c r="CU1270" s="55"/>
      <c r="CV1270" s="55"/>
      <c r="CW1270" s="55"/>
      <c r="CX1270" s="55"/>
      <c r="CY1270" s="55"/>
      <c r="CZ1270" s="55"/>
      <c r="DA1270" s="82"/>
      <c r="DB1270" s="55"/>
      <c r="DC1270" s="55"/>
      <c r="DD1270" s="55"/>
      <c r="DE1270" s="55"/>
      <c r="DF1270" s="55"/>
      <c r="DG1270" s="55"/>
      <c r="DH1270" s="55"/>
      <c r="DI1270" s="55"/>
      <c r="DJ1270" s="55"/>
      <c r="DK1270" s="55"/>
      <c r="DL1270" s="55"/>
      <c r="DM1270" s="55"/>
      <c r="DN1270" s="55"/>
      <c r="DO1270" s="55"/>
      <c r="DP1270" s="55"/>
      <c r="DQ1270" s="55"/>
      <c r="DR1270" s="55"/>
      <c r="DS1270" s="55"/>
      <c r="DT1270" s="55"/>
      <c r="DU1270" s="55"/>
      <c r="DV1270" s="55"/>
      <c r="DW1270" s="55"/>
    </row>
    <row r="1271">
      <c r="A1271" s="41" t="s">
        <v>64</v>
      </c>
      <c r="B1271" s="41" t="s">
        <v>56</v>
      </c>
      <c r="C1271" s="31" t="s">
        <v>2765</v>
      </c>
      <c r="D1271" s="25" t="str">
        <f>IFERROR(__xludf.DUMMYFUNCTION("SPLIT(C1271,"" "")"),"Owen,")</f>
        <v>Owen,</v>
      </c>
      <c r="E1271" s="40" t="str">
        <f>IFERROR(__xludf.DUMMYFUNCTION("""COMPUTED_VALUE"""),"Jennifer
6541")</f>
        <v>Jennifer
6541</v>
      </c>
      <c r="F1271" s="40" t="str">
        <f>IFERROR(__xludf.DUMMYFUNCTION("""COMPUTED_VALUE"""),"Arborist")</f>
        <v>Arborist</v>
      </c>
      <c r="G1271" s="40" t="str">
        <f>IFERROR(__xludf.DUMMYFUNCTION("""COMPUTED_VALUE"""),"Lane
Dallas,")</f>
        <v>Lane
Dallas,</v>
      </c>
      <c r="H1271" s="40" t="str">
        <f>IFERROR(__xludf.DUMMYFUNCTION("""COMPUTED_VALUE"""),"TX")</f>
        <v>TX</v>
      </c>
      <c r="I1271" s="40">
        <f>IFERROR(__xludf.DUMMYFUNCTION("""COMPUTED_VALUE"""),75214.0)</f>
        <v>75214</v>
      </c>
      <c r="J1271" s="40"/>
      <c r="K1271" s="40"/>
      <c r="L1271" s="40"/>
      <c r="M1271" s="40"/>
      <c r="N1271" s="40"/>
      <c r="O1271" s="40"/>
      <c r="P1271" s="40"/>
      <c r="Q1271" s="40"/>
      <c r="R1271" s="40"/>
      <c r="S1271" s="40"/>
      <c r="T1271" s="40"/>
      <c r="U1271" s="24" t="str">
        <f>IFERROR(__xludf.DUMMYFUNCTION("SPLIT(E1271,""01234567890"")"),"Jennifer
")</f>
        <v>Jennifer
</v>
      </c>
      <c r="V1271" s="24" t="str">
        <f>IFERROR(__xludf.DUMMYFUNCTION("SPLIT(D1271,"","")"),"Owen")</f>
        <v>Owen</v>
      </c>
      <c r="W1271" s="25" t="str">
        <f t="shared" si="1"/>
        <v>JENNIFER
 OWEN</v>
      </c>
      <c r="X1271" s="40"/>
      <c r="Y1271" s="40"/>
      <c r="Z1271" s="25" t="str">
        <f>IFERROR(__xludf.DUMMYFUNCTION("SPLIT(C1271,""
"")"),"Owen, Jennifer")</f>
        <v>Owen, Jennifer</v>
      </c>
      <c r="AA1271" s="40" t="str">
        <f>IFERROR(__xludf.DUMMYFUNCTION("""COMPUTED_VALUE"""),"6541 Arborist Lane")</f>
        <v>6541 Arborist Lane</v>
      </c>
      <c r="AB1271" s="40" t="str">
        <f>IFERROR(__xludf.DUMMYFUNCTION("""COMPUTED_VALUE"""),"Dallas, TX 75214")</f>
        <v>Dallas, TX 75214</v>
      </c>
      <c r="AC1271" s="31" t="s">
        <v>1433</v>
      </c>
      <c r="AD1271" s="40"/>
      <c r="AE1271" s="40"/>
      <c r="AF1271" s="40"/>
      <c r="AG1271" s="40" t="s">
        <v>60</v>
      </c>
      <c r="AH1271" s="42">
        <v>2488.0</v>
      </c>
      <c r="AI1271" s="40" t="s">
        <v>68</v>
      </c>
      <c r="AJ1271" s="27">
        <v>151.0</v>
      </c>
      <c r="AK1271" s="31" t="s">
        <v>32</v>
      </c>
      <c r="AL1271" s="43">
        <v>44768.0</v>
      </c>
      <c r="AM1271" s="44">
        <v>44937.96288194445</v>
      </c>
      <c r="AN1271" s="30">
        <v>2.0</v>
      </c>
      <c r="AO1271" s="40"/>
      <c r="AP1271" s="40"/>
      <c r="AQ1271" s="40"/>
      <c r="AR1271" s="40"/>
      <c r="AS1271" s="40"/>
      <c r="AT1271" s="47"/>
      <c r="AU1271" s="40"/>
      <c r="AV1271" s="46"/>
      <c r="AW1271" s="46"/>
      <c r="AX1271" s="47"/>
      <c r="AY1271" s="44"/>
      <c r="AZ1271" s="30"/>
      <c r="CU1271" s="55"/>
      <c r="CV1271" s="55"/>
      <c r="CW1271" s="55"/>
      <c r="CX1271" s="55"/>
      <c r="CY1271" s="55"/>
      <c r="CZ1271" s="55"/>
      <c r="DA1271" s="82"/>
      <c r="DB1271" s="55"/>
      <c r="DC1271" s="55"/>
      <c r="DD1271" s="55"/>
      <c r="DE1271" s="55"/>
      <c r="DF1271" s="55"/>
      <c r="DG1271" s="55"/>
      <c r="DH1271" s="55"/>
      <c r="DI1271" s="55"/>
      <c r="DJ1271" s="55"/>
      <c r="DK1271" s="55"/>
      <c r="DL1271" s="55"/>
      <c r="DM1271" s="55"/>
      <c r="DN1271" s="55"/>
      <c r="DO1271" s="55"/>
      <c r="DP1271" s="55"/>
      <c r="DQ1271" s="55"/>
      <c r="DR1271" s="55"/>
      <c r="DS1271" s="55"/>
      <c r="DT1271" s="55"/>
      <c r="DU1271" s="55"/>
      <c r="DV1271" s="55"/>
      <c r="DW1271" s="55"/>
    </row>
    <row r="1272">
      <c r="A1272" s="23" t="s">
        <v>64</v>
      </c>
      <c r="B1272" s="23" t="s">
        <v>56</v>
      </c>
      <c r="C1272" s="31" t="s">
        <v>2766</v>
      </c>
      <c r="D1272" s="25" t="str">
        <f>IFERROR(__xludf.DUMMYFUNCTION("SPLIT(C1272,"" "")"),"Green,")</f>
        <v>Green,</v>
      </c>
      <c r="E1272" s="22" t="str">
        <f>IFERROR(__xludf.DUMMYFUNCTION("""COMPUTED_VALUE"""),"Rhonda
6646")</f>
        <v>Rhonda
6646</v>
      </c>
      <c r="F1272" s="22" t="str">
        <f>IFERROR(__xludf.DUMMYFUNCTION("""COMPUTED_VALUE"""),"E.")</f>
        <v>E.</v>
      </c>
      <c r="G1272" s="22" t="str">
        <f>IFERROR(__xludf.DUMMYFUNCTION("""COMPUTED_VALUE"""),"Lovers")</f>
        <v>Lovers</v>
      </c>
      <c r="H1272" s="22" t="str">
        <f>IFERROR(__xludf.DUMMYFUNCTION("""COMPUTED_VALUE"""),"Lane
Dallas,")</f>
        <v>Lane
Dallas,</v>
      </c>
      <c r="I1272" s="22" t="str">
        <f>IFERROR(__xludf.DUMMYFUNCTION("""COMPUTED_VALUE"""),"TX")</f>
        <v>TX</v>
      </c>
      <c r="J1272" s="22">
        <f>IFERROR(__xludf.DUMMYFUNCTION("""COMPUTED_VALUE"""),75214.0)</f>
        <v>75214</v>
      </c>
      <c r="K1272" s="22"/>
      <c r="L1272" s="22"/>
      <c r="M1272" s="22"/>
      <c r="N1272" s="22"/>
      <c r="O1272" s="22"/>
      <c r="P1272" s="22"/>
      <c r="Q1272" s="22"/>
      <c r="R1272" s="22"/>
      <c r="S1272" s="22"/>
      <c r="T1272" s="22"/>
      <c r="U1272" s="24" t="str">
        <f>IFERROR(__xludf.DUMMYFUNCTION("SPLIT(E1272,""01234567890"")"),"Rhonda
")</f>
        <v>Rhonda
</v>
      </c>
      <c r="V1272" s="24" t="str">
        <f>IFERROR(__xludf.DUMMYFUNCTION("SPLIT(D1272,"","")"),"Green")</f>
        <v>Green</v>
      </c>
      <c r="W1272" s="25" t="str">
        <f t="shared" si="1"/>
        <v>RHONDA
 GREEN</v>
      </c>
      <c r="X1272" s="22"/>
      <c r="Y1272" s="22"/>
      <c r="Z1272" s="25" t="str">
        <f>IFERROR(__xludf.DUMMYFUNCTION("SPLIT(C1272,""
"")"),"Green, Rhonda")</f>
        <v>Green, Rhonda</v>
      </c>
      <c r="AA1272" s="22" t="str">
        <f>IFERROR(__xludf.DUMMYFUNCTION("""COMPUTED_VALUE"""),"6646 E. Lovers Lane")</f>
        <v>6646 E. Lovers Lane</v>
      </c>
      <c r="AB1272" s="22" t="str">
        <f>IFERROR(__xludf.DUMMYFUNCTION("""COMPUTED_VALUE"""),"Dallas, TX 75214")</f>
        <v>Dallas, TX 75214</v>
      </c>
      <c r="AC1272" s="31" t="s">
        <v>2767</v>
      </c>
      <c r="AD1272" s="22"/>
      <c r="AE1272" s="22"/>
      <c r="AF1272" s="22"/>
      <c r="AG1272" s="22" t="s">
        <v>60</v>
      </c>
      <c r="AH1272" s="54">
        <v>2488.0</v>
      </c>
      <c r="AI1272" s="22" t="s">
        <v>68</v>
      </c>
      <c r="AJ1272" s="27">
        <v>51.0</v>
      </c>
      <c r="AK1272" s="31" t="s">
        <v>32</v>
      </c>
      <c r="AL1272" s="28">
        <v>44770.0</v>
      </c>
      <c r="AM1272" s="29">
        <v>44937.96288194445</v>
      </c>
      <c r="AN1272" s="30">
        <v>2.0</v>
      </c>
      <c r="AO1272" s="22"/>
      <c r="AP1272" s="22"/>
      <c r="AQ1272" s="22"/>
      <c r="AR1272" s="22"/>
      <c r="AS1272" s="22"/>
      <c r="AT1272" s="70"/>
      <c r="AU1272" s="22"/>
      <c r="AV1272" s="57"/>
      <c r="AW1272" s="57"/>
      <c r="AX1272" s="70"/>
      <c r="AY1272" s="29"/>
      <c r="AZ1272" s="30"/>
      <c r="CU1272" s="55"/>
      <c r="CV1272" s="55"/>
      <c r="CW1272" s="55"/>
      <c r="CX1272" s="55"/>
      <c r="CY1272" s="55"/>
      <c r="CZ1272" s="55"/>
      <c r="DA1272" s="82"/>
      <c r="DB1272" s="55"/>
      <c r="DC1272" s="55"/>
      <c r="DD1272" s="55"/>
      <c r="DE1272" s="55"/>
      <c r="DF1272" s="55"/>
      <c r="DG1272" s="55"/>
      <c r="DH1272" s="55"/>
      <c r="DI1272" s="55"/>
      <c r="DJ1272" s="55"/>
      <c r="DK1272" s="55"/>
      <c r="DL1272" s="55"/>
      <c r="DM1272" s="55"/>
      <c r="DN1272" s="55"/>
      <c r="DO1272" s="55"/>
      <c r="DP1272" s="55"/>
      <c r="DQ1272" s="55"/>
      <c r="DR1272" s="55"/>
      <c r="DS1272" s="55"/>
      <c r="DT1272" s="55"/>
      <c r="DU1272" s="55"/>
      <c r="DV1272" s="55"/>
      <c r="DW1272" s="55"/>
    </row>
    <row r="1273">
      <c r="A1273" s="41" t="s">
        <v>64</v>
      </c>
      <c r="B1273" s="41" t="s">
        <v>56</v>
      </c>
      <c r="C1273" s="31" t="s">
        <v>2768</v>
      </c>
      <c r="D1273" s="25" t="str">
        <f>IFERROR(__xludf.DUMMYFUNCTION("SPLIT(C1273,"" "")"),"Dalton,")</f>
        <v>Dalton,</v>
      </c>
      <c r="E1273" s="40" t="str">
        <f>IFERROR(__xludf.DUMMYFUNCTION("""COMPUTED_VALUE"""),"Jeff
8552")</f>
        <v>Jeff
8552</v>
      </c>
      <c r="F1273" s="40" t="str">
        <f>IFERROR(__xludf.DUMMYFUNCTION("""COMPUTED_VALUE"""),"Royal")</f>
        <v>Royal</v>
      </c>
      <c r="G1273" s="40" t="str">
        <f>IFERROR(__xludf.DUMMYFUNCTION("""COMPUTED_VALUE"""),"County")</f>
        <v>County</v>
      </c>
      <c r="H1273" s="40" t="str">
        <f>IFERROR(__xludf.DUMMYFUNCTION("""COMPUTED_VALUE"""),"Down")</f>
        <v>Down</v>
      </c>
      <c r="I1273" s="40" t="str">
        <f>IFERROR(__xludf.DUMMYFUNCTION("""COMPUTED_VALUE"""),"Drive
McKinney,")</f>
        <v>Drive
McKinney,</v>
      </c>
      <c r="J1273" s="40" t="str">
        <f>IFERROR(__xludf.DUMMYFUNCTION("""COMPUTED_VALUE"""),"TX")</f>
        <v>TX</v>
      </c>
      <c r="K1273" s="40">
        <f>IFERROR(__xludf.DUMMYFUNCTION("""COMPUTED_VALUE"""),75070.0)</f>
        <v>75070</v>
      </c>
      <c r="L1273" s="40"/>
      <c r="M1273" s="40"/>
      <c r="N1273" s="40"/>
      <c r="O1273" s="40"/>
      <c r="P1273" s="40"/>
      <c r="Q1273" s="40"/>
      <c r="R1273" s="40"/>
      <c r="S1273" s="40"/>
      <c r="T1273" s="40"/>
      <c r="U1273" s="24" t="str">
        <f>IFERROR(__xludf.DUMMYFUNCTION("SPLIT(E1273,""01234567890"")"),"Jeff
")</f>
        <v>Jeff
</v>
      </c>
      <c r="V1273" s="24" t="str">
        <f>IFERROR(__xludf.DUMMYFUNCTION("SPLIT(D1273,"","")"),"Dalton")</f>
        <v>Dalton</v>
      </c>
      <c r="W1273" s="25" t="str">
        <f t="shared" si="1"/>
        <v>JEFF
 DALTON</v>
      </c>
      <c r="X1273" s="40"/>
      <c r="Y1273" s="40"/>
      <c r="Z1273" s="25" t="str">
        <f>IFERROR(__xludf.DUMMYFUNCTION("SPLIT(C1273,""
"")"),"Dalton, Jeff")</f>
        <v>Dalton, Jeff</v>
      </c>
      <c r="AA1273" s="40" t="str">
        <f>IFERROR(__xludf.DUMMYFUNCTION("""COMPUTED_VALUE"""),"8552 Royal County Down Drive")</f>
        <v>8552 Royal County Down Drive</v>
      </c>
      <c r="AB1273" s="40" t="str">
        <f>IFERROR(__xludf.DUMMYFUNCTION("""COMPUTED_VALUE"""),"McKinney, TX 75070")</f>
        <v>McKinney, TX 75070</v>
      </c>
      <c r="AC1273" s="31" t="s">
        <v>2769</v>
      </c>
      <c r="AD1273" s="40"/>
      <c r="AE1273" s="40"/>
      <c r="AF1273" s="40"/>
      <c r="AG1273" s="40" t="s">
        <v>60</v>
      </c>
      <c r="AH1273" s="42">
        <v>2488.0</v>
      </c>
      <c r="AI1273" s="40" t="s">
        <v>68</v>
      </c>
      <c r="AJ1273" s="27">
        <v>250.0</v>
      </c>
      <c r="AK1273" s="31" t="s">
        <v>32</v>
      </c>
      <c r="AL1273" s="43">
        <v>44775.0</v>
      </c>
      <c r="AM1273" s="44">
        <v>44937.96288194445</v>
      </c>
      <c r="AN1273" s="30">
        <v>2.0</v>
      </c>
      <c r="AO1273" s="40"/>
      <c r="AP1273" s="40"/>
      <c r="AQ1273" s="40"/>
      <c r="AR1273" s="40"/>
      <c r="AS1273" s="40"/>
      <c r="AT1273" s="47"/>
      <c r="AU1273" s="40"/>
      <c r="AV1273" s="46"/>
      <c r="AW1273" s="46"/>
      <c r="AX1273" s="47"/>
      <c r="AY1273" s="44"/>
      <c r="AZ1273" s="30"/>
      <c r="CU1273" s="55"/>
      <c r="CV1273" s="55"/>
      <c r="CW1273" s="55"/>
      <c r="CX1273" s="55"/>
      <c r="CY1273" s="55"/>
      <c r="CZ1273" s="55"/>
      <c r="DA1273" s="82"/>
      <c r="DB1273" s="55"/>
      <c r="DC1273" s="55"/>
      <c r="DD1273" s="55"/>
      <c r="DE1273" s="55"/>
      <c r="DF1273" s="55"/>
      <c r="DG1273" s="55"/>
      <c r="DH1273" s="55"/>
      <c r="DI1273" s="55"/>
      <c r="DJ1273" s="55"/>
      <c r="DK1273" s="55"/>
      <c r="DL1273" s="55"/>
      <c r="DM1273" s="55"/>
      <c r="DN1273" s="55"/>
      <c r="DO1273" s="55"/>
      <c r="DP1273" s="55"/>
      <c r="DQ1273" s="55"/>
      <c r="DR1273" s="55"/>
      <c r="DS1273" s="55"/>
      <c r="DT1273" s="55"/>
      <c r="DU1273" s="55"/>
      <c r="DV1273" s="55"/>
      <c r="DW1273" s="55"/>
    </row>
    <row r="1274">
      <c r="A1274" s="23" t="s">
        <v>64</v>
      </c>
      <c r="B1274" s="23" t="s">
        <v>56</v>
      </c>
      <c r="C1274" s="31" t="s">
        <v>2770</v>
      </c>
      <c r="D1274" s="25" t="str">
        <f>IFERROR(__xludf.DUMMYFUNCTION("SPLIT(C1274,"" "")"),"Estrada,")</f>
        <v>Estrada,</v>
      </c>
      <c r="E1274" s="22" t="str">
        <f>IFERROR(__xludf.DUMMYFUNCTION("""COMPUTED_VALUE"""),"Erika
10419")</f>
        <v>Erika
10419</v>
      </c>
      <c r="F1274" s="22" t="str">
        <f>IFERROR(__xludf.DUMMYFUNCTION("""COMPUTED_VALUE"""),"Lanshire
Dallas,")</f>
        <v>Lanshire
Dallas,</v>
      </c>
      <c r="G1274" s="22" t="str">
        <f>IFERROR(__xludf.DUMMYFUNCTION("""COMPUTED_VALUE"""),"TX")</f>
        <v>TX</v>
      </c>
      <c r="H1274" s="22">
        <f>IFERROR(__xludf.DUMMYFUNCTION("""COMPUTED_VALUE"""),75238.0)</f>
        <v>75238</v>
      </c>
      <c r="I1274" s="22"/>
      <c r="J1274" s="22"/>
      <c r="K1274" s="22"/>
      <c r="L1274" s="22"/>
      <c r="M1274" s="22"/>
      <c r="N1274" s="22"/>
      <c r="O1274" s="22"/>
      <c r="P1274" s="22"/>
      <c r="Q1274" s="22"/>
      <c r="R1274" s="22"/>
      <c r="S1274" s="22"/>
      <c r="T1274" s="22"/>
      <c r="U1274" s="24" t="str">
        <f>IFERROR(__xludf.DUMMYFUNCTION("SPLIT(E1274,""01234567890"")"),"Erika
")</f>
        <v>Erika
</v>
      </c>
      <c r="V1274" s="24" t="str">
        <f>IFERROR(__xludf.DUMMYFUNCTION("SPLIT(D1274,"","")"),"Estrada")</f>
        <v>Estrada</v>
      </c>
      <c r="W1274" s="25" t="str">
        <f t="shared" si="1"/>
        <v>ERIKA
 ESTRADA</v>
      </c>
      <c r="X1274" s="22"/>
      <c r="Y1274" s="22"/>
      <c r="Z1274" s="25" t="str">
        <f>IFERROR(__xludf.DUMMYFUNCTION("SPLIT(C1274,""
"")"),"Estrada, Erika")</f>
        <v>Estrada, Erika</v>
      </c>
      <c r="AA1274" s="22" t="str">
        <f>IFERROR(__xludf.DUMMYFUNCTION("""COMPUTED_VALUE"""),"10419 Lanshire")</f>
        <v>10419 Lanshire</v>
      </c>
      <c r="AB1274" s="22" t="str">
        <f>IFERROR(__xludf.DUMMYFUNCTION("""COMPUTED_VALUE"""),"Dallas, TX 75238")</f>
        <v>Dallas, TX 75238</v>
      </c>
      <c r="AC1274" s="31" t="s">
        <v>2771</v>
      </c>
      <c r="AD1274" s="22"/>
      <c r="AE1274" s="22"/>
      <c r="AF1274" s="22"/>
      <c r="AG1274" s="22" t="s">
        <v>60</v>
      </c>
      <c r="AH1274" s="54">
        <v>2488.0</v>
      </c>
      <c r="AI1274" s="22" t="s">
        <v>68</v>
      </c>
      <c r="AJ1274" s="27">
        <v>51.0</v>
      </c>
      <c r="AK1274" s="31" t="s">
        <v>32</v>
      </c>
      <c r="AL1274" s="28">
        <v>44777.0</v>
      </c>
      <c r="AM1274" s="29">
        <v>44937.96288194445</v>
      </c>
      <c r="AN1274" s="30">
        <v>2.0</v>
      </c>
      <c r="AO1274" s="22"/>
      <c r="AP1274" s="22"/>
      <c r="AQ1274" s="22"/>
      <c r="AR1274" s="22"/>
      <c r="AS1274" s="22"/>
      <c r="AT1274" s="70"/>
      <c r="AU1274" s="22"/>
      <c r="AV1274" s="57"/>
      <c r="AW1274" s="57"/>
      <c r="AX1274" s="70"/>
      <c r="AY1274" s="29"/>
      <c r="AZ1274" s="30"/>
      <c r="CU1274" s="55"/>
      <c r="CV1274" s="55"/>
      <c r="CW1274" s="55"/>
      <c r="CX1274" s="55"/>
      <c r="CY1274" s="55"/>
      <c r="CZ1274" s="55"/>
      <c r="DA1274" s="82"/>
      <c r="DB1274" s="55"/>
      <c r="DC1274" s="55"/>
      <c r="DD1274" s="55"/>
      <c r="DE1274" s="55"/>
      <c r="DF1274" s="55"/>
      <c r="DG1274" s="55"/>
      <c r="DH1274" s="55"/>
      <c r="DI1274" s="55"/>
      <c r="DJ1274" s="55"/>
      <c r="DK1274" s="55"/>
      <c r="DL1274" s="55"/>
      <c r="DM1274" s="55"/>
      <c r="DN1274" s="55"/>
      <c r="DO1274" s="55"/>
      <c r="DP1274" s="55"/>
      <c r="DQ1274" s="55"/>
      <c r="DR1274" s="55"/>
      <c r="DS1274" s="55"/>
      <c r="DT1274" s="55"/>
      <c r="DU1274" s="55"/>
      <c r="DV1274" s="55"/>
      <c r="DW1274" s="55"/>
    </row>
    <row r="1275">
      <c r="A1275" s="41" t="s">
        <v>64</v>
      </c>
      <c r="B1275" s="41" t="s">
        <v>56</v>
      </c>
      <c r="C1275" s="31" t="s">
        <v>2772</v>
      </c>
      <c r="D1275" s="25" t="str">
        <f>IFERROR(__xludf.DUMMYFUNCTION("SPLIT(C1275,"" "")"),"Hunter,")</f>
        <v>Hunter,</v>
      </c>
      <c r="E1275" s="40" t="str">
        <f>IFERROR(__xludf.DUMMYFUNCTION("""COMPUTED_VALUE"""),"Terry
2210")</f>
        <v>Terry
2210</v>
      </c>
      <c r="F1275" s="40" t="str">
        <f>IFERROR(__xludf.DUMMYFUNCTION("""COMPUTED_VALUE"""),"Ash")</f>
        <v>Ash</v>
      </c>
      <c r="G1275" s="40" t="str">
        <f>IFERROR(__xludf.DUMMYFUNCTION("""COMPUTED_VALUE"""),"Grove")</f>
        <v>Grove</v>
      </c>
      <c r="H1275" s="40" t="str">
        <f>IFERROR(__xludf.DUMMYFUNCTION("""COMPUTED_VALUE"""),"Way
Dallas,")</f>
        <v>Way
Dallas,</v>
      </c>
      <c r="I1275" s="40" t="str">
        <f>IFERROR(__xludf.DUMMYFUNCTION("""COMPUTED_VALUE"""),"TX")</f>
        <v>TX</v>
      </c>
      <c r="J1275" s="40">
        <f>IFERROR(__xludf.DUMMYFUNCTION("""COMPUTED_VALUE"""),75228.0)</f>
        <v>75228</v>
      </c>
      <c r="K1275" s="40"/>
      <c r="L1275" s="40"/>
      <c r="M1275" s="40"/>
      <c r="N1275" s="40"/>
      <c r="O1275" s="40"/>
      <c r="P1275" s="40"/>
      <c r="Q1275" s="40"/>
      <c r="R1275" s="40"/>
      <c r="S1275" s="40"/>
      <c r="T1275" s="40"/>
      <c r="U1275" s="24" t="str">
        <f>IFERROR(__xludf.DUMMYFUNCTION("SPLIT(E1275,""01234567890"")"),"Terry
")</f>
        <v>Terry
</v>
      </c>
      <c r="V1275" s="24" t="str">
        <f>IFERROR(__xludf.DUMMYFUNCTION("SPLIT(D1275,"","")"),"Hunter")</f>
        <v>Hunter</v>
      </c>
      <c r="W1275" s="25" t="str">
        <f t="shared" si="1"/>
        <v>TERRY
 HUNTER</v>
      </c>
      <c r="X1275" s="40"/>
      <c r="Y1275" s="40"/>
      <c r="Z1275" s="25" t="str">
        <f>IFERROR(__xludf.DUMMYFUNCTION("SPLIT(C1275,""
"")"),"Hunter, Terry")</f>
        <v>Hunter, Terry</v>
      </c>
      <c r="AA1275" s="40" t="str">
        <f>IFERROR(__xludf.DUMMYFUNCTION("""COMPUTED_VALUE"""),"2210 Ash Grove Way")</f>
        <v>2210 Ash Grove Way</v>
      </c>
      <c r="AB1275" s="40" t="str">
        <f>IFERROR(__xludf.DUMMYFUNCTION("""COMPUTED_VALUE"""),"Dallas, TX 75228")</f>
        <v>Dallas, TX 75228</v>
      </c>
      <c r="AC1275" s="31" t="s">
        <v>2773</v>
      </c>
      <c r="AD1275" s="40"/>
      <c r="AE1275" s="40"/>
      <c r="AF1275" s="40"/>
      <c r="AG1275" s="40" t="s">
        <v>60</v>
      </c>
      <c r="AH1275" s="42">
        <v>2488.0</v>
      </c>
      <c r="AI1275" s="40" t="s">
        <v>68</v>
      </c>
      <c r="AJ1275" s="27">
        <v>51.0</v>
      </c>
      <c r="AK1275" s="31" t="s">
        <v>32</v>
      </c>
      <c r="AL1275" s="43">
        <v>44784.0</v>
      </c>
      <c r="AM1275" s="44">
        <v>44937.96288194445</v>
      </c>
      <c r="AN1275" s="30">
        <v>2.0</v>
      </c>
      <c r="AO1275" s="40"/>
      <c r="AP1275" s="40"/>
      <c r="AQ1275" s="40"/>
      <c r="AR1275" s="40"/>
      <c r="AS1275" s="40"/>
      <c r="AT1275" s="47"/>
      <c r="AU1275" s="40"/>
      <c r="AV1275" s="46"/>
      <c r="AW1275" s="46"/>
      <c r="AX1275" s="47"/>
      <c r="AY1275" s="44"/>
      <c r="AZ1275" s="30"/>
      <c r="CU1275" s="55"/>
      <c r="CV1275" s="55"/>
      <c r="CW1275" s="55"/>
      <c r="CX1275" s="55"/>
      <c r="CY1275" s="55"/>
      <c r="CZ1275" s="55"/>
      <c r="DA1275" s="82"/>
      <c r="DB1275" s="55"/>
      <c r="DC1275" s="55"/>
      <c r="DD1275" s="55"/>
      <c r="DE1275" s="55"/>
      <c r="DF1275" s="55"/>
      <c r="DG1275" s="55"/>
      <c r="DH1275" s="55"/>
      <c r="DI1275" s="55"/>
      <c r="DJ1275" s="55"/>
      <c r="DK1275" s="55"/>
      <c r="DL1275" s="55"/>
      <c r="DM1275" s="55"/>
      <c r="DN1275" s="55"/>
      <c r="DO1275" s="55"/>
      <c r="DP1275" s="55"/>
      <c r="DQ1275" s="55"/>
      <c r="DR1275" s="55"/>
      <c r="DS1275" s="55"/>
      <c r="DT1275" s="55"/>
      <c r="DU1275" s="55"/>
      <c r="DV1275" s="55"/>
      <c r="DW1275" s="55"/>
    </row>
    <row r="1276">
      <c r="A1276" s="23" t="s">
        <v>64</v>
      </c>
      <c r="B1276" s="23" t="s">
        <v>56</v>
      </c>
      <c r="C1276" s="31" t="s">
        <v>2774</v>
      </c>
      <c r="D1276" s="25" t="str">
        <f>IFERROR(__xludf.DUMMYFUNCTION("SPLIT(C1276,"" "")"),"Kanthor,")</f>
        <v>Kanthor,</v>
      </c>
      <c r="E1276" s="22" t="str">
        <f>IFERROR(__xludf.DUMMYFUNCTION("""COMPUTED_VALUE"""),"Pam
230")</f>
        <v>Pam
230</v>
      </c>
      <c r="F1276" s="22" t="str">
        <f>IFERROR(__xludf.DUMMYFUNCTION("""COMPUTED_VALUE"""),"Barclay")</f>
        <v>Barclay</v>
      </c>
      <c r="G1276" s="22" t="str">
        <f>IFERROR(__xludf.DUMMYFUNCTION("""COMPUTED_VALUE"""),"Ave
Coppell,")</f>
        <v>Ave
Coppell,</v>
      </c>
      <c r="H1276" s="22" t="str">
        <f>IFERROR(__xludf.DUMMYFUNCTION("""COMPUTED_VALUE"""),"TX")</f>
        <v>TX</v>
      </c>
      <c r="I1276" s="22">
        <f>IFERROR(__xludf.DUMMYFUNCTION("""COMPUTED_VALUE"""),75019.0)</f>
        <v>75019</v>
      </c>
      <c r="J1276" s="22"/>
      <c r="K1276" s="22"/>
      <c r="L1276" s="22"/>
      <c r="M1276" s="22"/>
      <c r="N1276" s="22"/>
      <c r="O1276" s="22"/>
      <c r="P1276" s="22"/>
      <c r="Q1276" s="22"/>
      <c r="R1276" s="22"/>
      <c r="S1276" s="22"/>
      <c r="T1276" s="22"/>
      <c r="U1276" s="24" t="str">
        <f>IFERROR(__xludf.DUMMYFUNCTION("SPLIT(E1276,""01234567890"")"),"Pam
")</f>
        <v>Pam
</v>
      </c>
      <c r="V1276" s="24" t="str">
        <f>IFERROR(__xludf.DUMMYFUNCTION("SPLIT(D1276,"","")"),"Kanthor")</f>
        <v>Kanthor</v>
      </c>
      <c r="W1276" s="25" t="str">
        <f t="shared" si="1"/>
        <v>PAM
 KANTHOR</v>
      </c>
      <c r="X1276" s="22"/>
      <c r="Y1276" s="22"/>
      <c r="Z1276" s="25" t="str">
        <f>IFERROR(__xludf.DUMMYFUNCTION("SPLIT(C1276,""
"")"),"Kanthor, Pam")</f>
        <v>Kanthor, Pam</v>
      </c>
      <c r="AA1276" s="22" t="str">
        <f>IFERROR(__xludf.DUMMYFUNCTION("""COMPUTED_VALUE"""),"230 Barclay Ave")</f>
        <v>230 Barclay Ave</v>
      </c>
      <c r="AB1276" s="22" t="str">
        <f>IFERROR(__xludf.DUMMYFUNCTION("""COMPUTED_VALUE"""),"Coppell, TX 75019")</f>
        <v>Coppell, TX 75019</v>
      </c>
      <c r="AC1276" s="31" t="s">
        <v>2775</v>
      </c>
      <c r="AD1276" s="22"/>
      <c r="AE1276" s="22"/>
      <c r="AF1276" s="22"/>
      <c r="AG1276" s="22" t="s">
        <v>60</v>
      </c>
      <c r="AH1276" s="54">
        <v>2488.0</v>
      </c>
      <c r="AI1276" s="22" t="s">
        <v>68</v>
      </c>
      <c r="AJ1276" s="27">
        <v>10.0</v>
      </c>
      <c r="AK1276" s="31" t="s">
        <v>32</v>
      </c>
      <c r="AL1276" s="28">
        <v>44784.0</v>
      </c>
      <c r="AM1276" s="29">
        <v>44937.96288194445</v>
      </c>
      <c r="AN1276" s="30">
        <v>2.0</v>
      </c>
      <c r="AO1276" s="22"/>
      <c r="AP1276" s="22"/>
      <c r="AQ1276" s="22"/>
      <c r="AR1276" s="22"/>
      <c r="AS1276" s="22"/>
      <c r="AT1276" s="70"/>
      <c r="AU1276" s="22"/>
      <c r="AV1276" s="57"/>
      <c r="AW1276" s="57"/>
      <c r="AX1276" s="70"/>
      <c r="AY1276" s="29"/>
      <c r="AZ1276" s="30"/>
      <c r="CU1276" s="55"/>
      <c r="CV1276" s="55"/>
      <c r="CW1276" s="55"/>
      <c r="CX1276" s="55"/>
      <c r="CY1276" s="55"/>
      <c r="CZ1276" s="55"/>
      <c r="DA1276" s="82"/>
      <c r="DB1276" s="55"/>
      <c r="DC1276" s="55"/>
      <c r="DD1276" s="55"/>
      <c r="DE1276" s="55"/>
      <c r="DF1276" s="55"/>
      <c r="DG1276" s="55"/>
      <c r="DH1276" s="55"/>
      <c r="DI1276" s="55"/>
      <c r="DJ1276" s="55"/>
      <c r="DK1276" s="55"/>
      <c r="DL1276" s="55"/>
      <c r="DM1276" s="55"/>
      <c r="DN1276" s="55"/>
      <c r="DO1276" s="55"/>
      <c r="DP1276" s="55"/>
      <c r="DQ1276" s="55"/>
      <c r="DR1276" s="55"/>
      <c r="DS1276" s="55"/>
      <c r="DT1276" s="55"/>
      <c r="DU1276" s="55"/>
      <c r="DV1276" s="55"/>
      <c r="DW1276" s="55"/>
    </row>
    <row r="1277">
      <c r="A1277" s="41" t="s">
        <v>64</v>
      </c>
      <c r="B1277" s="41" t="s">
        <v>56</v>
      </c>
      <c r="C1277" s="31" t="s">
        <v>2776</v>
      </c>
      <c r="D1277" s="25" t="str">
        <f>IFERROR(__xludf.DUMMYFUNCTION("SPLIT(C1277,"" "")"),"Reiss,")</f>
        <v>Reiss,</v>
      </c>
      <c r="E1277" s="40" t="str">
        <f>IFERROR(__xludf.DUMMYFUNCTION("""COMPUTED_VALUE"""),"William
2310")</f>
        <v>William
2310</v>
      </c>
      <c r="F1277" s="40" t="str">
        <f>IFERROR(__xludf.DUMMYFUNCTION("""COMPUTED_VALUE"""),"Mimosa")</f>
        <v>Mimosa</v>
      </c>
      <c r="G1277" s="40" t="str">
        <f>IFERROR(__xludf.DUMMYFUNCTION("""COMPUTED_VALUE"""),"Pl
Wilmington,")</f>
        <v>Pl
Wilmington,</v>
      </c>
      <c r="H1277" s="40" t="str">
        <f>IFERROR(__xludf.DUMMYFUNCTION("""COMPUTED_VALUE"""),"NC")</f>
        <v>NC</v>
      </c>
      <c r="I1277" s="40">
        <f>IFERROR(__xludf.DUMMYFUNCTION("""COMPUTED_VALUE"""),28403.0)</f>
        <v>28403</v>
      </c>
      <c r="J1277" s="40"/>
      <c r="K1277" s="40"/>
      <c r="L1277" s="40"/>
      <c r="M1277" s="40"/>
      <c r="N1277" s="40"/>
      <c r="O1277" s="40"/>
      <c r="P1277" s="40"/>
      <c r="Q1277" s="40"/>
      <c r="R1277" s="40"/>
      <c r="S1277" s="40"/>
      <c r="T1277" s="40"/>
      <c r="U1277" s="24" t="str">
        <f>IFERROR(__xludf.DUMMYFUNCTION("SPLIT(E1277,""01234567890"")"),"William
")</f>
        <v>William
</v>
      </c>
      <c r="V1277" s="24" t="str">
        <f>IFERROR(__xludf.DUMMYFUNCTION("SPLIT(D1277,"","")"),"Reiss")</f>
        <v>Reiss</v>
      </c>
      <c r="W1277" s="25" t="str">
        <f t="shared" si="1"/>
        <v>WILLIAM
 REISS</v>
      </c>
      <c r="X1277" s="40"/>
      <c r="Y1277" s="40"/>
      <c r="Z1277" s="25" t="str">
        <f>IFERROR(__xludf.DUMMYFUNCTION("SPLIT(C1277,""
"")"),"Reiss, William")</f>
        <v>Reiss, William</v>
      </c>
      <c r="AA1277" s="40" t="str">
        <f>IFERROR(__xludf.DUMMYFUNCTION("""COMPUTED_VALUE"""),"2310 Mimosa Pl")</f>
        <v>2310 Mimosa Pl</v>
      </c>
      <c r="AB1277" s="40" t="str">
        <f>IFERROR(__xludf.DUMMYFUNCTION("""COMPUTED_VALUE"""),"Wilmington, NC 28403")</f>
        <v>Wilmington, NC 28403</v>
      </c>
      <c r="AC1277" s="31" t="s">
        <v>2777</v>
      </c>
      <c r="AD1277" s="40"/>
      <c r="AE1277" s="40"/>
      <c r="AF1277" s="40"/>
      <c r="AG1277" s="40" t="s">
        <v>60</v>
      </c>
      <c r="AH1277" s="42">
        <v>2488.0</v>
      </c>
      <c r="AI1277" s="40" t="s">
        <v>68</v>
      </c>
      <c r="AJ1277" s="27">
        <v>50.0</v>
      </c>
      <c r="AK1277" s="31" t="s">
        <v>32</v>
      </c>
      <c r="AL1277" s="43">
        <v>44785.0</v>
      </c>
      <c r="AM1277" s="44">
        <v>44937.96288194445</v>
      </c>
      <c r="AN1277" s="30">
        <v>2.0</v>
      </c>
      <c r="AO1277" s="40"/>
      <c r="AP1277" s="40"/>
      <c r="AQ1277" s="40"/>
      <c r="AR1277" s="40"/>
      <c r="AS1277" s="40"/>
      <c r="AT1277" s="47"/>
      <c r="AU1277" s="40"/>
      <c r="AV1277" s="46"/>
      <c r="AW1277" s="46"/>
      <c r="AX1277" s="47"/>
      <c r="AY1277" s="44"/>
      <c r="AZ1277" s="30"/>
      <c r="CU1277" s="55"/>
      <c r="CV1277" s="55"/>
      <c r="CW1277" s="55"/>
      <c r="CX1277" s="55"/>
      <c r="CY1277" s="55"/>
      <c r="CZ1277" s="55"/>
      <c r="DA1277" s="82"/>
      <c r="DB1277" s="55"/>
      <c r="DC1277" s="55"/>
      <c r="DD1277" s="55"/>
      <c r="DE1277" s="55"/>
      <c r="DF1277" s="55"/>
      <c r="DG1277" s="55"/>
      <c r="DH1277" s="55"/>
      <c r="DI1277" s="55"/>
      <c r="DJ1277" s="55"/>
      <c r="DK1277" s="55"/>
      <c r="DL1277" s="55"/>
      <c r="DM1277" s="55"/>
      <c r="DN1277" s="55"/>
      <c r="DO1277" s="55"/>
      <c r="DP1277" s="55"/>
      <c r="DQ1277" s="55"/>
      <c r="DR1277" s="55"/>
      <c r="DS1277" s="55"/>
      <c r="DT1277" s="55"/>
      <c r="DU1277" s="55"/>
      <c r="DV1277" s="55"/>
      <c r="DW1277" s="55"/>
    </row>
    <row r="1278">
      <c r="A1278" s="23" t="s">
        <v>64</v>
      </c>
      <c r="B1278" s="23" t="s">
        <v>56</v>
      </c>
      <c r="C1278" s="31" t="s">
        <v>2778</v>
      </c>
      <c r="D1278" s="25" t="str">
        <f>IFERROR(__xludf.DUMMYFUNCTION("SPLIT(C1278,"" "")"),"Grazzini,")</f>
        <v>Grazzini,</v>
      </c>
      <c r="E1278" s="22" t="str">
        <f>IFERROR(__xludf.DUMMYFUNCTION("""COMPUTED_VALUE"""),"Alessio
4207")</f>
        <v>Alessio
4207</v>
      </c>
      <c r="F1278" s="22" t="str">
        <f>IFERROR(__xludf.DUMMYFUNCTION("""COMPUTED_VALUE"""),"Calculus")</f>
        <v>Calculus</v>
      </c>
      <c r="G1278" s="22" t="str">
        <f>IFERROR(__xludf.DUMMYFUNCTION("""COMPUTED_VALUE"""),"dr
Dallas,")</f>
        <v>dr
Dallas,</v>
      </c>
      <c r="H1278" s="22" t="str">
        <f>IFERROR(__xludf.DUMMYFUNCTION("""COMPUTED_VALUE"""),"TX")</f>
        <v>TX</v>
      </c>
      <c r="I1278" s="22">
        <f>IFERROR(__xludf.DUMMYFUNCTION("""COMPUTED_VALUE"""),75244.0)</f>
        <v>75244</v>
      </c>
      <c r="J1278" s="22"/>
      <c r="K1278" s="22"/>
      <c r="L1278" s="22"/>
      <c r="M1278" s="22"/>
      <c r="N1278" s="22"/>
      <c r="O1278" s="22"/>
      <c r="P1278" s="22"/>
      <c r="Q1278" s="22"/>
      <c r="R1278" s="22"/>
      <c r="S1278" s="22"/>
      <c r="T1278" s="22"/>
      <c r="U1278" s="24" t="str">
        <f>IFERROR(__xludf.DUMMYFUNCTION("SPLIT(E1278,""01234567890"")"),"Alessio
")</f>
        <v>Alessio
</v>
      </c>
      <c r="V1278" s="24" t="str">
        <f>IFERROR(__xludf.DUMMYFUNCTION("SPLIT(D1278,"","")"),"Grazzini")</f>
        <v>Grazzini</v>
      </c>
      <c r="W1278" s="25" t="str">
        <f t="shared" si="1"/>
        <v>ALESSIO
 GRAZZINI</v>
      </c>
      <c r="X1278" s="22"/>
      <c r="Y1278" s="22"/>
      <c r="Z1278" s="25" t="str">
        <f>IFERROR(__xludf.DUMMYFUNCTION("SPLIT(C1278,""
"")"),"Grazzini, Alessio")</f>
        <v>Grazzini, Alessio</v>
      </c>
      <c r="AA1278" s="22" t="str">
        <f>IFERROR(__xludf.DUMMYFUNCTION("""COMPUTED_VALUE"""),"4207 Calculus dr")</f>
        <v>4207 Calculus dr</v>
      </c>
      <c r="AB1278" s="22" t="str">
        <f>IFERROR(__xludf.DUMMYFUNCTION("""COMPUTED_VALUE"""),"Dallas, TX 75244")</f>
        <v>Dallas, TX 75244</v>
      </c>
      <c r="AC1278" s="31" t="s">
        <v>2779</v>
      </c>
      <c r="AD1278" s="22"/>
      <c r="AE1278" s="22"/>
      <c r="AF1278" s="22"/>
      <c r="AG1278" s="22" t="s">
        <v>60</v>
      </c>
      <c r="AH1278" s="54">
        <v>2488.0</v>
      </c>
      <c r="AI1278" s="22" t="s">
        <v>68</v>
      </c>
      <c r="AJ1278" s="27">
        <v>102.0</v>
      </c>
      <c r="AK1278" s="31" t="s">
        <v>32</v>
      </c>
      <c r="AL1278" s="28">
        <v>44788.0</v>
      </c>
      <c r="AM1278" s="29">
        <v>44937.96288194445</v>
      </c>
      <c r="AN1278" s="30">
        <v>2.0</v>
      </c>
      <c r="AO1278" s="22"/>
      <c r="AP1278" s="22"/>
      <c r="AQ1278" s="22"/>
      <c r="AR1278" s="22"/>
      <c r="AS1278" s="22"/>
      <c r="AT1278" s="70"/>
      <c r="AU1278" s="22"/>
      <c r="AV1278" s="57"/>
      <c r="AW1278" s="57"/>
      <c r="AX1278" s="70"/>
      <c r="AY1278" s="29"/>
      <c r="AZ1278" s="30"/>
      <c r="CU1278" s="55"/>
      <c r="CV1278" s="55"/>
      <c r="CW1278" s="55"/>
      <c r="CX1278" s="55"/>
      <c r="CY1278" s="55"/>
      <c r="CZ1278" s="55"/>
      <c r="DA1278" s="82"/>
      <c r="DB1278" s="55"/>
      <c r="DC1278" s="55"/>
      <c r="DD1278" s="55"/>
      <c r="DE1278" s="55"/>
      <c r="DF1278" s="55"/>
      <c r="DG1278" s="55"/>
      <c r="DH1278" s="55"/>
      <c r="DI1278" s="55"/>
      <c r="DJ1278" s="55"/>
      <c r="DK1278" s="55"/>
      <c r="DL1278" s="55"/>
      <c r="DM1278" s="55"/>
      <c r="DN1278" s="55"/>
      <c r="DO1278" s="55"/>
      <c r="DP1278" s="55"/>
      <c r="DQ1278" s="55"/>
      <c r="DR1278" s="55"/>
      <c r="DS1278" s="55"/>
      <c r="DT1278" s="55"/>
      <c r="DU1278" s="55"/>
      <c r="DV1278" s="55"/>
      <c r="DW1278" s="55"/>
    </row>
    <row r="1279">
      <c r="A1279" s="41" t="s">
        <v>64</v>
      </c>
      <c r="B1279" s="41" t="s">
        <v>56</v>
      </c>
      <c r="C1279" s="31" t="s">
        <v>289</v>
      </c>
      <c r="D1279" s="25" t="str">
        <f>IFERROR(__xludf.DUMMYFUNCTION("SPLIT(C1279,"" "")"),"Baker,")</f>
        <v>Baker,</v>
      </c>
      <c r="E1279" s="40" t="str">
        <f>IFERROR(__xludf.DUMMYFUNCTION("""COMPUTED_VALUE"""),"Jeri
10416")</f>
        <v>Jeri
10416</v>
      </c>
      <c r="F1279" s="40" t="str">
        <f>IFERROR(__xludf.DUMMYFUNCTION("""COMPUTED_VALUE"""),"Church")</f>
        <v>Church</v>
      </c>
      <c r="G1279" s="40" t="str">
        <f>IFERROR(__xludf.DUMMYFUNCTION("""COMPUTED_VALUE"""),"Road")</f>
        <v>Road</v>
      </c>
      <c r="H1279" s="40" t="str">
        <f>IFERROR(__xludf.DUMMYFUNCTION("""COMPUTED_VALUE"""),"Dallas
Dallas,")</f>
        <v>Dallas
Dallas,</v>
      </c>
      <c r="I1279" s="40" t="str">
        <f>IFERROR(__xludf.DUMMYFUNCTION("""COMPUTED_VALUE"""),"TX")</f>
        <v>TX</v>
      </c>
      <c r="J1279" s="40">
        <f>IFERROR(__xludf.DUMMYFUNCTION("""COMPUTED_VALUE"""),75238.0)</f>
        <v>75238</v>
      </c>
      <c r="K1279" s="40"/>
      <c r="L1279" s="40"/>
      <c r="M1279" s="40"/>
      <c r="N1279" s="40"/>
      <c r="O1279" s="40"/>
      <c r="P1279" s="40"/>
      <c r="Q1279" s="40"/>
      <c r="R1279" s="40"/>
      <c r="S1279" s="40"/>
      <c r="T1279" s="40"/>
      <c r="U1279" s="24" t="str">
        <f>IFERROR(__xludf.DUMMYFUNCTION("SPLIT(E1279,""01234567890"")"),"Jeri
")</f>
        <v>Jeri
</v>
      </c>
      <c r="V1279" s="24" t="str">
        <f>IFERROR(__xludf.DUMMYFUNCTION("SPLIT(D1279,"","")"),"Baker")</f>
        <v>Baker</v>
      </c>
      <c r="W1279" s="25" t="str">
        <f t="shared" si="1"/>
        <v>JERI
 BAKER</v>
      </c>
      <c r="X1279" s="40"/>
      <c r="Y1279" s="40"/>
      <c r="Z1279" s="25" t="str">
        <f>IFERROR(__xludf.DUMMYFUNCTION("SPLIT(C1279,""
"")"),"Baker, Jeri")</f>
        <v>Baker, Jeri</v>
      </c>
      <c r="AA1279" s="40" t="str">
        <f>IFERROR(__xludf.DUMMYFUNCTION("""COMPUTED_VALUE"""),"10416 Church Road Dallas")</f>
        <v>10416 Church Road Dallas</v>
      </c>
      <c r="AB1279" s="40" t="str">
        <f>IFERROR(__xludf.DUMMYFUNCTION("""COMPUTED_VALUE"""),"Dallas, TX 75238")</f>
        <v>Dallas, TX 75238</v>
      </c>
      <c r="AC1279" s="31" t="s">
        <v>291</v>
      </c>
      <c r="AD1279" s="40"/>
      <c r="AE1279" s="40"/>
      <c r="AF1279" s="40"/>
      <c r="AG1279" s="40" t="s">
        <v>60</v>
      </c>
      <c r="AH1279" s="42">
        <v>2488.0</v>
      </c>
      <c r="AI1279" s="40" t="s">
        <v>68</v>
      </c>
      <c r="AJ1279" s="27">
        <v>100.0</v>
      </c>
      <c r="AK1279" s="31" t="s">
        <v>32</v>
      </c>
      <c r="AL1279" s="43">
        <v>44789.0</v>
      </c>
      <c r="AM1279" s="44">
        <v>44937.96288194445</v>
      </c>
      <c r="AN1279" s="30">
        <v>2.0</v>
      </c>
      <c r="AO1279" s="40"/>
      <c r="AP1279" s="40"/>
      <c r="AQ1279" s="40"/>
      <c r="AR1279" s="40"/>
      <c r="AS1279" s="40"/>
      <c r="AT1279" s="47"/>
      <c r="AU1279" s="40"/>
      <c r="AV1279" s="46"/>
      <c r="AW1279" s="46"/>
      <c r="AX1279" s="47"/>
      <c r="AY1279" s="44"/>
      <c r="AZ1279" s="30"/>
      <c r="CU1279" s="55"/>
      <c r="CV1279" s="55"/>
      <c r="CW1279" s="55"/>
      <c r="CX1279" s="55"/>
      <c r="CY1279" s="55"/>
      <c r="CZ1279" s="55"/>
      <c r="DA1279" s="82"/>
      <c r="DB1279" s="55"/>
      <c r="DC1279" s="55"/>
      <c r="DD1279" s="55"/>
      <c r="DE1279" s="55"/>
      <c r="DF1279" s="55"/>
      <c r="DG1279" s="55"/>
      <c r="DH1279" s="55"/>
      <c r="DI1279" s="55"/>
      <c r="DJ1279" s="55"/>
      <c r="DK1279" s="55"/>
      <c r="DL1279" s="55"/>
      <c r="DM1279" s="55"/>
      <c r="DN1279" s="55"/>
      <c r="DO1279" s="55"/>
      <c r="DP1279" s="55"/>
      <c r="DQ1279" s="55"/>
      <c r="DR1279" s="55"/>
      <c r="DS1279" s="55"/>
      <c r="DT1279" s="55"/>
      <c r="DU1279" s="55"/>
      <c r="DV1279" s="55"/>
      <c r="DW1279" s="55"/>
    </row>
    <row r="1280">
      <c r="A1280" s="23" t="s">
        <v>64</v>
      </c>
      <c r="B1280" s="23" t="s">
        <v>56</v>
      </c>
      <c r="C1280" s="31" t="s">
        <v>2780</v>
      </c>
      <c r="D1280" s="25" t="str">
        <f>IFERROR(__xludf.DUMMYFUNCTION("SPLIT(C1280,"" "")"),"Lin,")</f>
        <v>Lin,</v>
      </c>
      <c r="E1280" s="22" t="str">
        <f>IFERROR(__xludf.DUMMYFUNCTION("""COMPUTED_VALUE"""),"Gilbert
8498")</f>
        <v>Gilbert
8498</v>
      </c>
      <c r="F1280" s="22" t="str">
        <f>IFERROR(__xludf.DUMMYFUNCTION("""COMPUTED_VALUE"""),"Banquo")</f>
        <v>Banquo</v>
      </c>
      <c r="G1280" s="22" t="str">
        <f>IFERROR(__xludf.DUMMYFUNCTION("""COMPUTED_VALUE"""),"Dr
Dallas,")</f>
        <v>Dr
Dallas,</v>
      </c>
      <c r="H1280" s="22" t="str">
        <f>IFERROR(__xludf.DUMMYFUNCTION("""COMPUTED_VALUE"""),"TX")</f>
        <v>TX</v>
      </c>
      <c r="I1280" s="22">
        <f>IFERROR(__xludf.DUMMYFUNCTION("""COMPUTED_VALUE"""),75228.0)</f>
        <v>75228</v>
      </c>
      <c r="J1280" s="22"/>
      <c r="K1280" s="22"/>
      <c r="L1280" s="22"/>
      <c r="M1280" s="22"/>
      <c r="N1280" s="22"/>
      <c r="O1280" s="22"/>
      <c r="P1280" s="22"/>
      <c r="Q1280" s="22"/>
      <c r="R1280" s="22"/>
      <c r="S1280" s="22"/>
      <c r="T1280" s="22"/>
      <c r="U1280" s="24" t="str">
        <f>IFERROR(__xludf.DUMMYFUNCTION("SPLIT(E1280,""01234567890"")"),"Gilbert
")</f>
        <v>Gilbert
</v>
      </c>
      <c r="V1280" s="24" t="str">
        <f>IFERROR(__xludf.DUMMYFUNCTION("SPLIT(D1280,"","")"),"Lin")</f>
        <v>Lin</v>
      </c>
      <c r="W1280" s="25" t="str">
        <f t="shared" si="1"/>
        <v>GILBERT
 LIN</v>
      </c>
      <c r="X1280" s="22"/>
      <c r="Y1280" s="22"/>
      <c r="Z1280" s="25" t="str">
        <f>IFERROR(__xludf.DUMMYFUNCTION("SPLIT(C1280,""
"")"),"Lin, Gilbert")</f>
        <v>Lin, Gilbert</v>
      </c>
      <c r="AA1280" s="22" t="str">
        <f>IFERROR(__xludf.DUMMYFUNCTION("""COMPUTED_VALUE"""),"8498 Banquo Dr")</f>
        <v>8498 Banquo Dr</v>
      </c>
      <c r="AB1280" s="22" t="str">
        <f>IFERROR(__xludf.DUMMYFUNCTION("""COMPUTED_VALUE"""),"Dallas, TX 75228")</f>
        <v>Dallas, TX 75228</v>
      </c>
      <c r="AC1280" s="31" t="s">
        <v>2781</v>
      </c>
      <c r="AD1280" s="22"/>
      <c r="AE1280" s="22"/>
      <c r="AF1280" s="22"/>
      <c r="AG1280" s="22" t="s">
        <v>60</v>
      </c>
      <c r="AH1280" s="54">
        <v>2488.0</v>
      </c>
      <c r="AI1280" s="22" t="s">
        <v>68</v>
      </c>
      <c r="AJ1280" s="27">
        <v>51.0</v>
      </c>
      <c r="AK1280" s="31" t="s">
        <v>32</v>
      </c>
      <c r="AL1280" s="28">
        <v>44790.0</v>
      </c>
      <c r="AM1280" s="29">
        <v>44937.96288194445</v>
      </c>
      <c r="AN1280" s="30">
        <v>2.0</v>
      </c>
      <c r="AO1280" s="22"/>
      <c r="AP1280" s="22"/>
      <c r="AQ1280" s="22"/>
      <c r="AR1280" s="22"/>
      <c r="AS1280" s="22"/>
      <c r="AT1280" s="70"/>
      <c r="AU1280" s="22"/>
      <c r="AV1280" s="57"/>
      <c r="AW1280" s="57"/>
      <c r="AX1280" s="70"/>
      <c r="AY1280" s="29"/>
      <c r="AZ1280" s="30"/>
      <c r="CU1280" s="55"/>
      <c r="CV1280" s="55"/>
      <c r="CW1280" s="55"/>
      <c r="CX1280" s="55"/>
      <c r="CY1280" s="55"/>
      <c r="CZ1280" s="55"/>
      <c r="DA1280" s="82"/>
      <c r="DB1280" s="55"/>
      <c r="DC1280" s="55"/>
      <c r="DD1280" s="55"/>
      <c r="DE1280" s="55"/>
      <c r="DF1280" s="55"/>
      <c r="DG1280" s="55"/>
      <c r="DH1280" s="55"/>
      <c r="DI1280" s="55"/>
      <c r="DJ1280" s="55"/>
      <c r="DK1280" s="55"/>
      <c r="DL1280" s="55"/>
      <c r="DM1280" s="55"/>
      <c r="DN1280" s="55"/>
      <c r="DO1280" s="55"/>
      <c r="DP1280" s="55"/>
      <c r="DQ1280" s="55"/>
      <c r="DR1280" s="55"/>
      <c r="DS1280" s="55"/>
      <c r="DT1280" s="55"/>
      <c r="DU1280" s="55"/>
      <c r="DV1280" s="55"/>
      <c r="DW1280" s="55"/>
    </row>
    <row r="1281">
      <c r="A1281" s="41" t="s">
        <v>64</v>
      </c>
      <c r="B1281" s="41" t="s">
        <v>56</v>
      </c>
      <c r="C1281" s="31" t="s">
        <v>2782</v>
      </c>
      <c r="D1281" s="25" t="str">
        <f>IFERROR(__xludf.DUMMYFUNCTION("SPLIT(C1281,"" "")"),"Donovan,")</f>
        <v>Donovan,</v>
      </c>
      <c r="E1281" s="40" t="str">
        <f>IFERROR(__xludf.DUMMYFUNCTION("""COMPUTED_VALUE"""),"Carol
6509")</f>
        <v>Carol
6509</v>
      </c>
      <c r="F1281" s="40" t="str">
        <f>IFERROR(__xludf.DUMMYFUNCTION("""COMPUTED_VALUE"""),"Malcolm")</f>
        <v>Malcolm</v>
      </c>
      <c r="G1281" s="40" t="str">
        <f>IFERROR(__xludf.DUMMYFUNCTION("""COMPUTED_VALUE"""),"Drive
Dallas,")</f>
        <v>Drive
Dallas,</v>
      </c>
      <c r="H1281" s="40" t="str">
        <f>IFERROR(__xludf.DUMMYFUNCTION("""COMPUTED_VALUE"""),"TX")</f>
        <v>TX</v>
      </c>
      <c r="I1281" s="40">
        <f>IFERROR(__xludf.DUMMYFUNCTION("""COMPUTED_VALUE"""),75214.0)</f>
        <v>75214</v>
      </c>
      <c r="J1281" s="40"/>
      <c r="K1281" s="40"/>
      <c r="L1281" s="40"/>
      <c r="M1281" s="40"/>
      <c r="N1281" s="40"/>
      <c r="O1281" s="40"/>
      <c r="P1281" s="40"/>
      <c r="Q1281" s="40"/>
      <c r="R1281" s="40"/>
      <c r="S1281" s="40"/>
      <c r="T1281" s="40"/>
      <c r="U1281" s="24" t="str">
        <f>IFERROR(__xludf.DUMMYFUNCTION("SPLIT(E1281,""01234567890"")"),"Carol
")</f>
        <v>Carol
</v>
      </c>
      <c r="V1281" s="24" t="str">
        <f>IFERROR(__xludf.DUMMYFUNCTION("SPLIT(D1281,"","")"),"Donovan")</f>
        <v>Donovan</v>
      </c>
      <c r="W1281" s="25" t="str">
        <f t="shared" si="1"/>
        <v>CAROL
 DONOVAN</v>
      </c>
      <c r="X1281" s="40"/>
      <c r="Y1281" s="40"/>
      <c r="Z1281" s="25" t="str">
        <f>IFERROR(__xludf.DUMMYFUNCTION("SPLIT(C1281,""
"")"),"Donovan, Carol")</f>
        <v>Donovan, Carol</v>
      </c>
      <c r="AA1281" s="40" t="str">
        <f>IFERROR(__xludf.DUMMYFUNCTION("""COMPUTED_VALUE"""),"6509 Malcolm Drive")</f>
        <v>6509 Malcolm Drive</v>
      </c>
      <c r="AB1281" s="40" t="str">
        <f>IFERROR(__xludf.DUMMYFUNCTION("""COMPUTED_VALUE"""),"Dallas, TX 75214")</f>
        <v>Dallas, TX 75214</v>
      </c>
      <c r="AC1281" s="31" t="s">
        <v>2783</v>
      </c>
      <c r="AD1281" s="40"/>
      <c r="AE1281" s="40"/>
      <c r="AF1281" s="40"/>
      <c r="AG1281" s="40" t="s">
        <v>60</v>
      </c>
      <c r="AH1281" s="42">
        <v>2488.0</v>
      </c>
      <c r="AI1281" s="40" t="s">
        <v>68</v>
      </c>
      <c r="AJ1281" s="27">
        <v>151.0</v>
      </c>
      <c r="AK1281" s="31" t="s">
        <v>32</v>
      </c>
      <c r="AL1281" s="43">
        <v>44791.0</v>
      </c>
      <c r="AM1281" s="44">
        <v>44937.96288194445</v>
      </c>
      <c r="AN1281" s="30">
        <v>2.0</v>
      </c>
      <c r="AO1281" s="40"/>
      <c r="AP1281" s="40"/>
      <c r="AQ1281" s="40"/>
      <c r="AR1281" s="40"/>
      <c r="AS1281" s="40"/>
      <c r="AT1281" s="47"/>
      <c r="AU1281" s="40"/>
      <c r="AV1281" s="46"/>
      <c r="AW1281" s="46"/>
      <c r="AX1281" s="47"/>
      <c r="AY1281" s="44"/>
      <c r="AZ1281" s="30"/>
      <c r="CU1281" s="55"/>
      <c r="CV1281" s="55"/>
      <c r="CW1281" s="55"/>
      <c r="CX1281" s="55"/>
      <c r="CY1281" s="55"/>
      <c r="CZ1281" s="55"/>
      <c r="DA1281" s="82"/>
      <c r="DB1281" s="55"/>
      <c r="DC1281" s="55"/>
      <c r="DD1281" s="55"/>
      <c r="DE1281" s="55"/>
      <c r="DF1281" s="55"/>
      <c r="DG1281" s="55"/>
      <c r="DH1281" s="55"/>
      <c r="DI1281" s="55"/>
      <c r="DJ1281" s="55"/>
      <c r="DK1281" s="55"/>
      <c r="DL1281" s="55"/>
      <c r="DM1281" s="55"/>
      <c r="DN1281" s="55"/>
      <c r="DO1281" s="55"/>
      <c r="DP1281" s="55"/>
      <c r="DQ1281" s="55"/>
      <c r="DR1281" s="55"/>
      <c r="DS1281" s="55"/>
      <c r="DT1281" s="55"/>
      <c r="DU1281" s="55"/>
      <c r="DV1281" s="55"/>
      <c r="DW1281" s="55"/>
    </row>
    <row r="1282">
      <c r="A1282" s="23" t="s">
        <v>64</v>
      </c>
      <c r="B1282" s="23" t="s">
        <v>56</v>
      </c>
      <c r="C1282" s="31" t="s">
        <v>2784</v>
      </c>
      <c r="D1282" s="25" t="str">
        <f>IFERROR(__xludf.DUMMYFUNCTION("SPLIT(C1282,"" "")"),"Overby,")</f>
        <v>Overby,</v>
      </c>
      <c r="E1282" s="22" t="str">
        <f>IFERROR(__xludf.DUMMYFUNCTION("""COMPUTED_VALUE"""),"Debra
8530")</f>
        <v>Debra
8530</v>
      </c>
      <c r="F1282" s="22" t="str">
        <f>IFERROR(__xludf.DUMMYFUNCTION("""COMPUTED_VALUE"""),"Bacardi")</f>
        <v>Bacardi</v>
      </c>
      <c r="G1282" s="22" t="str">
        <f>IFERROR(__xludf.DUMMYFUNCTION("""COMPUTED_VALUE"""),"Dr
Dallas,")</f>
        <v>Dr
Dallas,</v>
      </c>
      <c r="H1282" s="22" t="str">
        <f>IFERROR(__xludf.DUMMYFUNCTION("""COMPUTED_VALUE"""),"TX")</f>
        <v>TX</v>
      </c>
      <c r="I1282" s="22">
        <f>IFERROR(__xludf.DUMMYFUNCTION("""COMPUTED_VALUE"""),75238.0)</f>
        <v>75238</v>
      </c>
      <c r="J1282" s="22"/>
      <c r="K1282" s="22"/>
      <c r="L1282" s="22"/>
      <c r="M1282" s="22"/>
      <c r="N1282" s="22"/>
      <c r="O1282" s="22"/>
      <c r="P1282" s="22"/>
      <c r="Q1282" s="22"/>
      <c r="R1282" s="22"/>
      <c r="S1282" s="22"/>
      <c r="T1282" s="22"/>
      <c r="U1282" s="24" t="str">
        <f>IFERROR(__xludf.DUMMYFUNCTION("SPLIT(E1282,""01234567890"")"),"Debra
")</f>
        <v>Debra
</v>
      </c>
      <c r="V1282" s="24" t="str">
        <f>IFERROR(__xludf.DUMMYFUNCTION("SPLIT(D1282,"","")"),"Overby")</f>
        <v>Overby</v>
      </c>
      <c r="W1282" s="25" t="str">
        <f t="shared" si="1"/>
        <v>DEBRA
 OVERBY</v>
      </c>
      <c r="X1282" s="22"/>
      <c r="Y1282" s="22"/>
      <c r="Z1282" s="25" t="str">
        <f>IFERROR(__xludf.DUMMYFUNCTION("SPLIT(C1282,""
"")"),"Overby, Debra")</f>
        <v>Overby, Debra</v>
      </c>
      <c r="AA1282" s="22" t="str">
        <f>IFERROR(__xludf.DUMMYFUNCTION("""COMPUTED_VALUE"""),"8530 Bacardi Dr")</f>
        <v>8530 Bacardi Dr</v>
      </c>
      <c r="AB1282" s="22" t="str">
        <f>IFERROR(__xludf.DUMMYFUNCTION("""COMPUTED_VALUE"""),"Dallas, TX 75238")</f>
        <v>Dallas, TX 75238</v>
      </c>
      <c r="AC1282" s="31" t="s">
        <v>2785</v>
      </c>
      <c r="AD1282" s="22"/>
      <c r="AE1282" s="22"/>
      <c r="AF1282" s="22"/>
      <c r="AG1282" s="22" t="s">
        <v>60</v>
      </c>
      <c r="AH1282" s="54">
        <v>2488.0</v>
      </c>
      <c r="AI1282" s="22" t="s">
        <v>68</v>
      </c>
      <c r="AJ1282" s="27">
        <v>25.0</v>
      </c>
      <c r="AK1282" s="31" t="s">
        <v>32</v>
      </c>
      <c r="AL1282" s="28">
        <v>44791.0</v>
      </c>
      <c r="AM1282" s="29">
        <v>44937.96288194445</v>
      </c>
      <c r="AN1282" s="30">
        <v>2.0</v>
      </c>
      <c r="AO1282" s="22"/>
      <c r="AP1282" s="22"/>
      <c r="AQ1282" s="22"/>
      <c r="AR1282" s="22"/>
      <c r="AS1282" s="22"/>
      <c r="AT1282" s="70"/>
      <c r="AU1282" s="22"/>
      <c r="AV1282" s="57"/>
      <c r="AW1282" s="57"/>
      <c r="AX1282" s="70"/>
      <c r="AY1282" s="29"/>
      <c r="AZ1282" s="30"/>
      <c r="CU1282" s="55"/>
      <c r="CV1282" s="55"/>
      <c r="CW1282" s="55"/>
      <c r="CX1282" s="55"/>
      <c r="CY1282" s="55"/>
      <c r="CZ1282" s="55"/>
      <c r="DA1282" s="82"/>
      <c r="DB1282" s="55"/>
      <c r="DC1282" s="55"/>
      <c r="DD1282" s="55"/>
      <c r="DE1282" s="55"/>
      <c r="DF1282" s="55"/>
      <c r="DG1282" s="55"/>
      <c r="DH1282" s="55"/>
      <c r="DI1282" s="55"/>
      <c r="DJ1282" s="55"/>
      <c r="DK1282" s="55"/>
      <c r="DL1282" s="55"/>
      <c r="DM1282" s="55"/>
      <c r="DN1282" s="55"/>
      <c r="DO1282" s="55"/>
      <c r="DP1282" s="55"/>
      <c r="DQ1282" s="55"/>
      <c r="DR1282" s="55"/>
      <c r="DS1282" s="55"/>
      <c r="DT1282" s="55"/>
      <c r="DU1282" s="55"/>
      <c r="DV1282" s="55"/>
      <c r="DW1282" s="55"/>
    </row>
    <row r="1283">
      <c r="A1283" s="41" t="s">
        <v>64</v>
      </c>
      <c r="B1283" s="41" t="s">
        <v>56</v>
      </c>
      <c r="C1283" s="31" t="s">
        <v>2786</v>
      </c>
      <c r="D1283" s="25" t="str">
        <f>IFERROR(__xludf.DUMMYFUNCTION("SPLIT(C1283,"" "")"),"Ginsberg,")</f>
        <v>Ginsberg,</v>
      </c>
      <c r="E1283" s="40" t="str">
        <f>IFERROR(__xludf.DUMMYFUNCTION("""COMPUTED_VALUE"""),"Elizabeth
6172")</f>
        <v>Elizabeth
6172</v>
      </c>
      <c r="F1283" s="40" t="str">
        <f>IFERROR(__xludf.DUMMYFUNCTION("""COMPUTED_VALUE"""),"Preston")</f>
        <v>Preston</v>
      </c>
      <c r="G1283" s="40" t="str">
        <f>IFERROR(__xludf.DUMMYFUNCTION("""COMPUTED_VALUE"""),"Haven
Dallas,")</f>
        <v>Haven
Dallas,</v>
      </c>
      <c r="H1283" s="40" t="str">
        <f>IFERROR(__xludf.DUMMYFUNCTION("""COMPUTED_VALUE"""),"TX")</f>
        <v>TX</v>
      </c>
      <c r="I1283" s="40">
        <f>IFERROR(__xludf.DUMMYFUNCTION("""COMPUTED_VALUE"""),75230.0)</f>
        <v>75230</v>
      </c>
      <c r="J1283" s="40"/>
      <c r="K1283" s="40"/>
      <c r="L1283" s="40"/>
      <c r="M1283" s="40"/>
      <c r="N1283" s="40"/>
      <c r="O1283" s="40"/>
      <c r="P1283" s="40"/>
      <c r="Q1283" s="40"/>
      <c r="R1283" s="40"/>
      <c r="S1283" s="40"/>
      <c r="T1283" s="40"/>
      <c r="U1283" s="24" t="str">
        <f>IFERROR(__xludf.DUMMYFUNCTION("SPLIT(E1283,""01234567890"")"),"Elizabeth
")</f>
        <v>Elizabeth
</v>
      </c>
      <c r="V1283" s="24" t="str">
        <f>IFERROR(__xludf.DUMMYFUNCTION("SPLIT(D1283,"","")"),"Ginsberg")</f>
        <v>Ginsberg</v>
      </c>
      <c r="W1283" s="25" t="str">
        <f t="shared" si="1"/>
        <v>ELIZABETH
 GINSBERG</v>
      </c>
      <c r="X1283" s="40"/>
      <c r="Y1283" s="40"/>
      <c r="Z1283" s="25" t="str">
        <f>IFERROR(__xludf.DUMMYFUNCTION("SPLIT(C1283,""
"")"),"Ginsberg, Elizabeth")</f>
        <v>Ginsberg, Elizabeth</v>
      </c>
      <c r="AA1283" s="40" t="str">
        <f>IFERROR(__xludf.DUMMYFUNCTION("""COMPUTED_VALUE"""),"6172 Preston Haven")</f>
        <v>6172 Preston Haven</v>
      </c>
      <c r="AB1283" s="40" t="str">
        <f>IFERROR(__xludf.DUMMYFUNCTION("""COMPUTED_VALUE"""),"Dallas, TX 75230")</f>
        <v>Dallas, TX 75230</v>
      </c>
      <c r="AC1283" s="31" t="s">
        <v>2787</v>
      </c>
      <c r="AD1283" s="40"/>
      <c r="AE1283" s="40"/>
      <c r="AF1283" s="40"/>
      <c r="AG1283" s="40" t="s">
        <v>60</v>
      </c>
      <c r="AH1283" s="42">
        <v>2488.0</v>
      </c>
      <c r="AI1283" s="40" t="s">
        <v>68</v>
      </c>
      <c r="AJ1283" s="27">
        <v>102.0</v>
      </c>
      <c r="AK1283" s="31" t="s">
        <v>32</v>
      </c>
      <c r="AL1283" s="43">
        <v>44792.0</v>
      </c>
      <c r="AM1283" s="44">
        <v>44937.96288194445</v>
      </c>
      <c r="AN1283" s="30">
        <v>2.0</v>
      </c>
      <c r="AO1283" s="40"/>
      <c r="AP1283" s="40"/>
      <c r="AQ1283" s="40"/>
      <c r="AR1283" s="40"/>
      <c r="AS1283" s="40"/>
      <c r="AT1283" s="47"/>
      <c r="AU1283" s="40"/>
      <c r="AV1283" s="46"/>
      <c r="AW1283" s="46"/>
      <c r="AX1283" s="47"/>
      <c r="AY1283" s="44"/>
      <c r="AZ1283" s="30"/>
      <c r="CU1283" s="55"/>
      <c r="CV1283" s="55"/>
      <c r="CW1283" s="55"/>
      <c r="CX1283" s="55"/>
      <c r="CY1283" s="55"/>
      <c r="CZ1283" s="55"/>
      <c r="DA1283" s="82"/>
      <c r="DB1283" s="55"/>
      <c r="DC1283" s="55"/>
      <c r="DD1283" s="55"/>
      <c r="DE1283" s="55"/>
      <c r="DF1283" s="55"/>
      <c r="DG1283" s="55"/>
      <c r="DH1283" s="55"/>
      <c r="DI1283" s="55"/>
      <c r="DJ1283" s="55"/>
      <c r="DK1283" s="55"/>
      <c r="DL1283" s="55"/>
      <c r="DM1283" s="55"/>
      <c r="DN1283" s="55"/>
      <c r="DO1283" s="55"/>
      <c r="DP1283" s="55"/>
      <c r="DQ1283" s="55"/>
      <c r="DR1283" s="55"/>
      <c r="DS1283" s="55"/>
      <c r="DT1283" s="55"/>
      <c r="DU1283" s="55"/>
      <c r="DV1283" s="55"/>
      <c r="DW1283" s="55"/>
    </row>
    <row r="1284">
      <c r="A1284" s="23" t="s">
        <v>64</v>
      </c>
      <c r="B1284" s="23" t="s">
        <v>56</v>
      </c>
      <c r="C1284" s="31" t="s">
        <v>2788</v>
      </c>
      <c r="D1284" s="25" t="str">
        <f>IFERROR(__xludf.DUMMYFUNCTION("SPLIT(C1284,"" "")"),"Noble,")</f>
        <v>Noble,</v>
      </c>
      <c r="E1284" s="22" t="str">
        <f>IFERROR(__xludf.DUMMYFUNCTION("""COMPUTED_VALUE"""),"Kristy
9821")</f>
        <v>Kristy
9821</v>
      </c>
      <c r="F1284" s="22" t="str">
        <f>IFERROR(__xludf.DUMMYFUNCTION("""COMPUTED_VALUE"""),"Estacado")</f>
        <v>Estacado</v>
      </c>
      <c r="G1284" s="22" t="str">
        <f>IFERROR(__xludf.DUMMYFUNCTION("""COMPUTED_VALUE"""),"Dr
Dallas,")</f>
        <v>Dr
Dallas,</v>
      </c>
      <c r="H1284" s="22" t="str">
        <f>IFERROR(__xludf.DUMMYFUNCTION("""COMPUTED_VALUE"""),"TX")</f>
        <v>TX</v>
      </c>
      <c r="I1284" s="22">
        <f>IFERROR(__xludf.DUMMYFUNCTION("""COMPUTED_VALUE"""),75228.0)</f>
        <v>75228</v>
      </c>
      <c r="J1284" s="22"/>
      <c r="K1284" s="22"/>
      <c r="L1284" s="22"/>
      <c r="M1284" s="22"/>
      <c r="N1284" s="22"/>
      <c r="O1284" s="22"/>
      <c r="P1284" s="22"/>
      <c r="Q1284" s="22"/>
      <c r="R1284" s="22"/>
      <c r="S1284" s="22"/>
      <c r="T1284" s="22"/>
      <c r="U1284" s="24" t="str">
        <f>IFERROR(__xludf.DUMMYFUNCTION("SPLIT(E1284,""01234567890"")"),"Kristy
")</f>
        <v>Kristy
</v>
      </c>
      <c r="V1284" s="24" t="str">
        <f>IFERROR(__xludf.DUMMYFUNCTION("SPLIT(D1284,"","")"),"Noble")</f>
        <v>Noble</v>
      </c>
      <c r="W1284" s="25" t="str">
        <f t="shared" si="1"/>
        <v>KRISTY
 NOBLE</v>
      </c>
      <c r="X1284" s="22"/>
      <c r="Y1284" s="22"/>
      <c r="Z1284" s="25" t="str">
        <f>IFERROR(__xludf.DUMMYFUNCTION("SPLIT(C1284,""
"")"),"Noble, Kristy")</f>
        <v>Noble, Kristy</v>
      </c>
      <c r="AA1284" s="22" t="str">
        <f>IFERROR(__xludf.DUMMYFUNCTION("""COMPUTED_VALUE"""),"9821 Estacado Dr")</f>
        <v>9821 Estacado Dr</v>
      </c>
      <c r="AB1284" s="22" t="str">
        <f>IFERROR(__xludf.DUMMYFUNCTION("""COMPUTED_VALUE"""),"Dallas, TX 75228")</f>
        <v>Dallas, TX 75228</v>
      </c>
      <c r="AC1284" s="31" t="s">
        <v>2789</v>
      </c>
      <c r="AD1284" s="22"/>
      <c r="AE1284" s="22"/>
      <c r="AF1284" s="22"/>
      <c r="AG1284" s="22" t="s">
        <v>60</v>
      </c>
      <c r="AH1284" s="54">
        <v>2488.0</v>
      </c>
      <c r="AI1284" s="22" t="s">
        <v>68</v>
      </c>
      <c r="AJ1284" s="27">
        <v>151.0</v>
      </c>
      <c r="AK1284" s="31" t="s">
        <v>32</v>
      </c>
      <c r="AL1284" s="28">
        <v>44792.0</v>
      </c>
      <c r="AM1284" s="29">
        <v>44937.96288194445</v>
      </c>
      <c r="AN1284" s="30">
        <v>2.0</v>
      </c>
      <c r="AO1284" s="22"/>
      <c r="AP1284" s="22"/>
      <c r="AQ1284" s="22"/>
      <c r="AR1284" s="22"/>
      <c r="AS1284" s="22"/>
      <c r="AT1284" s="70"/>
      <c r="AU1284" s="22"/>
      <c r="AV1284" s="57"/>
      <c r="AW1284" s="57"/>
      <c r="AX1284" s="70"/>
      <c r="AY1284" s="29"/>
      <c r="AZ1284" s="30"/>
      <c r="CU1284" s="55"/>
      <c r="CV1284" s="55"/>
      <c r="CW1284" s="55"/>
      <c r="CX1284" s="55"/>
      <c r="CY1284" s="55"/>
      <c r="CZ1284" s="55"/>
      <c r="DA1284" s="82"/>
      <c r="DB1284" s="55"/>
      <c r="DC1284" s="55"/>
      <c r="DD1284" s="55"/>
      <c r="DE1284" s="55"/>
      <c r="DF1284" s="55"/>
      <c r="DG1284" s="55"/>
      <c r="DH1284" s="55"/>
      <c r="DI1284" s="55"/>
      <c r="DJ1284" s="55"/>
      <c r="DK1284" s="55"/>
      <c r="DL1284" s="55"/>
      <c r="DM1284" s="55"/>
      <c r="DN1284" s="55"/>
      <c r="DO1284" s="55"/>
      <c r="DP1284" s="55"/>
      <c r="DQ1284" s="55"/>
      <c r="DR1284" s="55"/>
      <c r="DS1284" s="55"/>
      <c r="DT1284" s="55"/>
      <c r="DU1284" s="55"/>
      <c r="DV1284" s="55"/>
      <c r="DW1284" s="55"/>
    </row>
    <row r="1285">
      <c r="A1285" s="41" t="s">
        <v>64</v>
      </c>
      <c r="B1285" s="41" t="s">
        <v>56</v>
      </c>
      <c r="C1285" s="31" t="s">
        <v>2790</v>
      </c>
      <c r="D1285" s="25" t="str">
        <f>IFERROR(__xludf.DUMMYFUNCTION("SPLIT(C1285,"" "")"),"Feustel,")</f>
        <v>Feustel,</v>
      </c>
      <c r="E1285" s="40" t="str">
        <f>IFERROR(__xludf.DUMMYFUNCTION("""COMPUTED_VALUE"""),"Christi
7301")</f>
        <v>Christi
7301</v>
      </c>
      <c r="F1285" s="40" t="str">
        <f>IFERROR(__xludf.DUMMYFUNCTION("""COMPUTED_VALUE"""),"LAKEWOOD")</f>
        <v>LAKEWOOD</v>
      </c>
      <c r="G1285" s="40" t="str">
        <f>IFERROR(__xludf.DUMMYFUNCTION("""COMPUTED_VALUE"""),"BLVD
DALLAS,")</f>
        <v>BLVD
DALLAS,</v>
      </c>
      <c r="H1285" s="40" t="str">
        <f>IFERROR(__xludf.DUMMYFUNCTION("""COMPUTED_VALUE"""),"TX")</f>
        <v>TX</v>
      </c>
      <c r="I1285" s="40">
        <f>IFERROR(__xludf.DUMMYFUNCTION("""COMPUTED_VALUE"""),75214.0)</f>
        <v>75214</v>
      </c>
      <c r="J1285" s="40"/>
      <c r="K1285" s="40"/>
      <c r="L1285" s="40"/>
      <c r="M1285" s="40"/>
      <c r="N1285" s="40"/>
      <c r="O1285" s="40"/>
      <c r="P1285" s="40"/>
      <c r="Q1285" s="40"/>
      <c r="R1285" s="40"/>
      <c r="S1285" s="40"/>
      <c r="T1285" s="40"/>
      <c r="U1285" s="24" t="str">
        <f>IFERROR(__xludf.DUMMYFUNCTION("SPLIT(E1285,""01234567890"")"),"Christi
")</f>
        <v>Christi
</v>
      </c>
      <c r="V1285" s="24" t="str">
        <f>IFERROR(__xludf.DUMMYFUNCTION("SPLIT(D1285,"","")"),"Feustel")</f>
        <v>Feustel</v>
      </c>
      <c r="W1285" s="25" t="str">
        <f t="shared" si="1"/>
        <v>CHRISTI
 FEUSTEL</v>
      </c>
      <c r="X1285" s="40"/>
      <c r="Y1285" s="40"/>
      <c r="Z1285" s="25" t="str">
        <f>IFERROR(__xludf.DUMMYFUNCTION("SPLIT(C1285,""
"")"),"Feustel, Christi")</f>
        <v>Feustel, Christi</v>
      </c>
      <c r="AA1285" s="40" t="str">
        <f>IFERROR(__xludf.DUMMYFUNCTION("""COMPUTED_VALUE"""),"7301 LAKEWOOD BLVD")</f>
        <v>7301 LAKEWOOD BLVD</v>
      </c>
      <c r="AB1285" s="40" t="str">
        <f>IFERROR(__xludf.DUMMYFUNCTION("""COMPUTED_VALUE"""),"DALLAS, TX 75214")</f>
        <v>DALLAS, TX 75214</v>
      </c>
      <c r="AC1285" s="31" t="s">
        <v>2791</v>
      </c>
      <c r="AD1285" s="40"/>
      <c r="AE1285" s="40"/>
      <c r="AF1285" s="40"/>
      <c r="AG1285" s="40" t="s">
        <v>60</v>
      </c>
      <c r="AH1285" s="42">
        <v>2488.0</v>
      </c>
      <c r="AI1285" s="40" t="s">
        <v>68</v>
      </c>
      <c r="AJ1285" s="27">
        <v>102.0</v>
      </c>
      <c r="AK1285" s="31" t="s">
        <v>32</v>
      </c>
      <c r="AL1285" s="43">
        <v>44793.0</v>
      </c>
      <c r="AM1285" s="44">
        <v>44937.96288194445</v>
      </c>
      <c r="AN1285" s="30">
        <v>2.0</v>
      </c>
      <c r="AO1285" s="40"/>
      <c r="AP1285" s="40"/>
      <c r="AQ1285" s="40"/>
      <c r="AR1285" s="40"/>
      <c r="AS1285" s="40"/>
      <c r="AT1285" s="47"/>
      <c r="AU1285" s="40"/>
      <c r="AV1285" s="46"/>
      <c r="AW1285" s="46"/>
      <c r="AX1285" s="47"/>
      <c r="AY1285" s="44"/>
      <c r="AZ1285" s="30"/>
      <c r="CU1285" s="55"/>
      <c r="CV1285" s="55"/>
      <c r="CW1285" s="55"/>
      <c r="CX1285" s="55"/>
      <c r="CY1285" s="55"/>
      <c r="CZ1285" s="55"/>
      <c r="DA1285" s="82"/>
      <c r="DB1285" s="55"/>
      <c r="DC1285" s="55"/>
      <c r="DD1285" s="55"/>
      <c r="DE1285" s="55"/>
      <c r="DF1285" s="55"/>
      <c r="DG1285" s="55"/>
      <c r="DH1285" s="55"/>
      <c r="DI1285" s="55"/>
      <c r="DJ1285" s="55"/>
      <c r="DK1285" s="55"/>
      <c r="DL1285" s="55"/>
      <c r="DM1285" s="55"/>
      <c r="DN1285" s="55"/>
      <c r="DO1285" s="55"/>
      <c r="DP1285" s="55"/>
      <c r="DQ1285" s="55"/>
      <c r="DR1285" s="55"/>
      <c r="DS1285" s="55"/>
      <c r="DT1285" s="55"/>
      <c r="DU1285" s="55"/>
      <c r="DV1285" s="55"/>
      <c r="DW1285" s="55"/>
    </row>
    <row r="1286">
      <c r="A1286" s="23" t="s">
        <v>64</v>
      </c>
      <c r="B1286" s="23" t="s">
        <v>56</v>
      </c>
      <c r="C1286" s="31" t="s">
        <v>2792</v>
      </c>
      <c r="D1286" s="25" t="str">
        <f>IFERROR(__xludf.DUMMYFUNCTION("SPLIT(C1286,"" "")"),"Piper,")</f>
        <v>Piper,</v>
      </c>
      <c r="E1286" s="22" t="str">
        <f>IFERROR(__xludf.DUMMYFUNCTION("""COMPUTED_VALUE"""),"Victoria
179")</f>
        <v>Victoria
179</v>
      </c>
      <c r="F1286" s="22" t="str">
        <f>IFERROR(__xludf.DUMMYFUNCTION("""COMPUTED_VALUE"""),"Highland
Hamilton,")</f>
        <v>Highland
Hamilton,</v>
      </c>
      <c r="G1286" s="22" t="str">
        <f>IFERROR(__xludf.DUMMYFUNCTION("""COMPUTED_VALUE"""),"MA")</f>
        <v>MA</v>
      </c>
      <c r="H1286" s="22">
        <f>IFERROR(__xludf.DUMMYFUNCTION("""COMPUTED_VALUE"""),19820.0)</f>
        <v>19820</v>
      </c>
      <c r="I1286" s="22"/>
      <c r="J1286" s="22"/>
      <c r="K1286" s="22"/>
      <c r="L1286" s="22"/>
      <c r="M1286" s="22"/>
      <c r="N1286" s="22"/>
      <c r="O1286" s="22"/>
      <c r="P1286" s="22"/>
      <c r="Q1286" s="22"/>
      <c r="R1286" s="22"/>
      <c r="S1286" s="22"/>
      <c r="T1286" s="22"/>
      <c r="U1286" s="24" t="str">
        <f>IFERROR(__xludf.DUMMYFUNCTION("SPLIT(E1286,""01234567890"")"),"Victoria
")</f>
        <v>Victoria
</v>
      </c>
      <c r="V1286" s="24" t="str">
        <f>IFERROR(__xludf.DUMMYFUNCTION("SPLIT(D1286,"","")"),"Piper")</f>
        <v>Piper</v>
      </c>
      <c r="W1286" s="25" t="str">
        <f t="shared" si="1"/>
        <v>VICTORIA
 PIPER</v>
      </c>
      <c r="X1286" s="22"/>
      <c r="Y1286" s="22"/>
      <c r="Z1286" s="25" t="str">
        <f>IFERROR(__xludf.DUMMYFUNCTION("SPLIT(C1286,""
"")"),"Piper, Victoria")</f>
        <v>Piper, Victoria</v>
      </c>
      <c r="AA1286" s="22" t="str">
        <f>IFERROR(__xludf.DUMMYFUNCTION("""COMPUTED_VALUE"""),"179 Highland")</f>
        <v>179 Highland</v>
      </c>
      <c r="AB1286" s="22" t="str">
        <f>IFERROR(__xludf.DUMMYFUNCTION("""COMPUTED_VALUE"""),"Hamilton, MA 19820")</f>
        <v>Hamilton, MA 19820</v>
      </c>
      <c r="AC1286" s="31" t="s">
        <v>2793</v>
      </c>
      <c r="AD1286" s="22"/>
      <c r="AE1286" s="22"/>
      <c r="AF1286" s="22"/>
      <c r="AG1286" s="22" t="s">
        <v>60</v>
      </c>
      <c r="AH1286" s="54">
        <v>2488.0</v>
      </c>
      <c r="AI1286" s="22" t="s">
        <v>68</v>
      </c>
      <c r="AJ1286" s="27">
        <v>51.0</v>
      </c>
      <c r="AK1286" s="31" t="s">
        <v>32</v>
      </c>
      <c r="AL1286" s="28">
        <v>44793.0</v>
      </c>
      <c r="AM1286" s="29">
        <v>44937.96288194445</v>
      </c>
      <c r="AN1286" s="30">
        <v>2.0</v>
      </c>
      <c r="AO1286" s="22"/>
      <c r="AP1286" s="22"/>
      <c r="AQ1286" s="22"/>
      <c r="AR1286" s="22"/>
      <c r="AS1286" s="22"/>
      <c r="AT1286" s="70"/>
      <c r="AU1286" s="22"/>
      <c r="AV1286" s="57"/>
      <c r="AW1286" s="57"/>
      <c r="AX1286" s="70"/>
      <c r="AY1286" s="29"/>
      <c r="AZ1286" s="30"/>
      <c r="CU1286" s="55"/>
      <c r="CV1286" s="55"/>
      <c r="CW1286" s="55"/>
      <c r="CX1286" s="55"/>
      <c r="CY1286" s="55"/>
      <c r="CZ1286" s="55"/>
      <c r="DA1286" s="82"/>
      <c r="DB1286" s="55"/>
      <c r="DC1286" s="55"/>
      <c r="DD1286" s="55"/>
      <c r="DE1286" s="55"/>
      <c r="DF1286" s="55"/>
      <c r="DG1286" s="55"/>
      <c r="DH1286" s="55"/>
      <c r="DI1286" s="55"/>
      <c r="DJ1286" s="55"/>
      <c r="DK1286" s="55"/>
      <c r="DL1286" s="55"/>
      <c r="DM1286" s="55"/>
      <c r="DN1286" s="55"/>
      <c r="DO1286" s="55"/>
      <c r="DP1286" s="55"/>
      <c r="DQ1286" s="55"/>
      <c r="DR1286" s="55"/>
      <c r="DS1286" s="55"/>
      <c r="DT1286" s="55"/>
      <c r="DU1286" s="55"/>
      <c r="DV1286" s="55"/>
      <c r="DW1286" s="55"/>
    </row>
    <row r="1287">
      <c r="A1287" s="41" t="s">
        <v>64</v>
      </c>
      <c r="B1287" s="41" t="s">
        <v>56</v>
      </c>
      <c r="C1287" s="31" t="s">
        <v>2794</v>
      </c>
      <c r="D1287" s="25" t="str">
        <f>IFERROR(__xludf.DUMMYFUNCTION("SPLIT(C1287,"" "")"),"Walsh,")</f>
        <v>Walsh,</v>
      </c>
      <c r="E1287" s="40" t="str">
        <f>IFERROR(__xludf.DUMMYFUNCTION("""COMPUTED_VALUE"""),"Joshua
2525")</f>
        <v>Joshua
2525</v>
      </c>
      <c r="F1287" s="40" t="str">
        <f>IFERROR(__xludf.DUMMYFUNCTION("""COMPUTED_VALUE"""),"North")</f>
        <v>North</v>
      </c>
      <c r="G1287" s="40" t="str">
        <f>IFERROR(__xludf.DUMMYFUNCTION("""COMPUTED_VALUE"""),"Henderson")</f>
        <v>Henderson</v>
      </c>
      <c r="H1287" s="40" t="str">
        <f>IFERROR(__xludf.DUMMYFUNCTION("""COMPUTED_VALUE"""),"Avenue
Dallas,")</f>
        <v>Avenue
Dallas,</v>
      </c>
      <c r="I1287" s="40" t="str">
        <f>IFERROR(__xludf.DUMMYFUNCTION("""COMPUTED_VALUE"""),"TX")</f>
        <v>TX</v>
      </c>
      <c r="J1287" s="40">
        <f>IFERROR(__xludf.DUMMYFUNCTION("""COMPUTED_VALUE"""),75206.0)</f>
        <v>75206</v>
      </c>
      <c r="K1287" s="40"/>
      <c r="L1287" s="40"/>
      <c r="M1287" s="40"/>
      <c r="N1287" s="40"/>
      <c r="O1287" s="40"/>
      <c r="P1287" s="40"/>
      <c r="Q1287" s="40"/>
      <c r="R1287" s="40"/>
      <c r="S1287" s="40"/>
      <c r="T1287" s="40"/>
      <c r="U1287" s="24" t="str">
        <f>IFERROR(__xludf.DUMMYFUNCTION("SPLIT(E1287,""01234567890"")"),"Joshua
")</f>
        <v>Joshua
</v>
      </c>
      <c r="V1287" s="24" t="str">
        <f>IFERROR(__xludf.DUMMYFUNCTION("SPLIT(D1287,"","")"),"Walsh")</f>
        <v>Walsh</v>
      </c>
      <c r="W1287" s="25" t="str">
        <f t="shared" si="1"/>
        <v>JOSHUA
 WALSH</v>
      </c>
      <c r="X1287" s="40"/>
      <c r="Y1287" s="40"/>
      <c r="Z1287" s="25" t="str">
        <f>IFERROR(__xludf.DUMMYFUNCTION("SPLIT(C1287,""
"")"),"Walsh, Joshua")</f>
        <v>Walsh, Joshua</v>
      </c>
      <c r="AA1287" s="40" t="str">
        <f>IFERROR(__xludf.DUMMYFUNCTION("""COMPUTED_VALUE"""),"2525 North Henderson Avenue")</f>
        <v>2525 North Henderson Avenue</v>
      </c>
      <c r="AB1287" s="40" t="str">
        <f>IFERROR(__xludf.DUMMYFUNCTION("""COMPUTED_VALUE"""),"Dallas, TX 75206")</f>
        <v>Dallas, TX 75206</v>
      </c>
      <c r="AC1287" s="31" t="s">
        <v>2795</v>
      </c>
      <c r="AD1287" s="40"/>
      <c r="AE1287" s="40"/>
      <c r="AF1287" s="40"/>
      <c r="AG1287" s="40" t="s">
        <v>60</v>
      </c>
      <c r="AH1287" s="42">
        <v>2488.0</v>
      </c>
      <c r="AI1287" s="40" t="s">
        <v>68</v>
      </c>
      <c r="AJ1287" s="27">
        <v>102.0</v>
      </c>
      <c r="AK1287" s="31" t="s">
        <v>32</v>
      </c>
      <c r="AL1287" s="43">
        <v>44794.0</v>
      </c>
      <c r="AM1287" s="44">
        <v>44937.96288194445</v>
      </c>
      <c r="AN1287" s="30">
        <v>2.0</v>
      </c>
      <c r="AO1287" s="40"/>
      <c r="AP1287" s="40"/>
      <c r="AQ1287" s="40"/>
      <c r="AR1287" s="40"/>
      <c r="AS1287" s="40"/>
      <c r="AT1287" s="47"/>
      <c r="AU1287" s="40"/>
      <c r="AV1287" s="46"/>
      <c r="AW1287" s="46"/>
      <c r="AX1287" s="47"/>
      <c r="AY1287" s="44"/>
      <c r="AZ1287" s="30"/>
      <c r="CU1287" s="55"/>
      <c r="CV1287" s="55"/>
      <c r="CW1287" s="55"/>
      <c r="CX1287" s="55"/>
      <c r="CY1287" s="55"/>
      <c r="CZ1287" s="55"/>
      <c r="DA1287" s="82"/>
      <c r="DB1287" s="55"/>
      <c r="DC1287" s="55"/>
      <c r="DD1287" s="55"/>
      <c r="DE1287" s="55"/>
      <c r="DF1287" s="55"/>
      <c r="DG1287" s="55"/>
      <c r="DH1287" s="55"/>
      <c r="DI1287" s="55"/>
      <c r="DJ1287" s="55"/>
      <c r="DK1287" s="55"/>
      <c r="DL1287" s="55"/>
      <c r="DM1287" s="55"/>
      <c r="DN1287" s="55"/>
      <c r="DO1287" s="55"/>
      <c r="DP1287" s="55"/>
      <c r="DQ1287" s="55"/>
      <c r="DR1287" s="55"/>
      <c r="DS1287" s="55"/>
      <c r="DT1287" s="55"/>
      <c r="DU1287" s="55"/>
      <c r="DV1287" s="55"/>
      <c r="DW1287" s="55"/>
    </row>
    <row r="1288">
      <c r="A1288" s="23" t="s">
        <v>64</v>
      </c>
      <c r="B1288" s="23" t="s">
        <v>56</v>
      </c>
      <c r="C1288" s="31" t="s">
        <v>2796</v>
      </c>
      <c r="D1288" s="25" t="str">
        <f>IFERROR(__xludf.DUMMYFUNCTION("SPLIT(C1288,"" "")"),"Gearing,")</f>
        <v>Gearing,</v>
      </c>
      <c r="E1288" s="22" t="str">
        <f>IFERROR(__xludf.DUMMYFUNCTION("""COMPUTED_VALUE"""),"Charles
9332")</f>
        <v>Charles
9332</v>
      </c>
      <c r="F1288" s="22" t="str">
        <f>IFERROR(__xludf.DUMMYFUNCTION("""COMPUTED_VALUE"""),"Mercer")</f>
        <v>Mercer</v>
      </c>
      <c r="G1288" s="22" t="str">
        <f>IFERROR(__xludf.DUMMYFUNCTION("""COMPUTED_VALUE"""),"Dr
Dallas,")</f>
        <v>Dr
Dallas,</v>
      </c>
      <c r="H1288" s="22" t="str">
        <f>IFERROR(__xludf.DUMMYFUNCTION("""COMPUTED_VALUE"""),"TX")</f>
        <v>TX</v>
      </c>
      <c r="I1288" s="22">
        <f>IFERROR(__xludf.DUMMYFUNCTION("""COMPUTED_VALUE"""),75228.0)</f>
        <v>75228</v>
      </c>
      <c r="J1288" s="22"/>
      <c r="K1288" s="22"/>
      <c r="L1288" s="22"/>
      <c r="M1288" s="22"/>
      <c r="N1288" s="22"/>
      <c r="O1288" s="22"/>
      <c r="P1288" s="22"/>
      <c r="Q1288" s="22"/>
      <c r="R1288" s="22"/>
      <c r="S1288" s="22"/>
      <c r="T1288" s="22"/>
      <c r="U1288" s="24" t="str">
        <f>IFERROR(__xludf.DUMMYFUNCTION("SPLIT(E1288,""01234567890"")"),"Charles
")</f>
        <v>Charles
</v>
      </c>
      <c r="V1288" s="24" t="str">
        <f>IFERROR(__xludf.DUMMYFUNCTION("SPLIT(D1288,"","")"),"Gearing")</f>
        <v>Gearing</v>
      </c>
      <c r="W1288" s="25" t="str">
        <f t="shared" si="1"/>
        <v>CHARLES
 GEARING</v>
      </c>
      <c r="X1288" s="22"/>
      <c r="Y1288" s="22"/>
      <c r="Z1288" s="25" t="str">
        <f>IFERROR(__xludf.DUMMYFUNCTION("SPLIT(C1288,""
"")"),"Gearing, Charles")</f>
        <v>Gearing, Charles</v>
      </c>
      <c r="AA1288" s="22" t="str">
        <f>IFERROR(__xludf.DUMMYFUNCTION("""COMPUTED_VALUE"""),"9332 Mercer Dr")</f>
        <v>9332 Mercer Dr</v>
      </c>
      <c r="AB1288" s="22" t="str">
        <f>IFERROR(__xludf.DUMMYFUNCTION("""COMPUTED_VALUE"""),"Dallas, TX 75228")</f>
        <v>Dallas, TX 75228</v>
      </c>
      <c r="AC1288" s="31" t="s">
        <v>490</v>
      </c>
      <c r="AD1288" s="22"/>
      <c r="AE1288" s="22"/>
      <c r="AF1288" s="22"/>
      <c r="AG1288" s="22" t="s">
        <v>60</v>
      </c>
      <c r="AH1288" s="54">
        <v>2488.0</v>
      </c>
      <c r="AI1288" s="22" t="s">
        <v>68</v>
      </c>
      <c r="AJ1288" s="27">
        <v>102.0</v>
      </c>
      <c r="AK1288" s="31" t="s">
        <v>32</v>
      </c>
      <c r="AL1288" s="28">
        <v>44794.0</v>
      </c>
      <c r="AM1288" s="29">
        <v>44937.96288194445</v>
      </c>
      <c r="AN1288" s="30">
        <v>2.0</v>
      </c>
      <c r="AO1288" s="22"/>
      <c r="AP1288" s="22"/>
      <c r="AQ1288" s="22"/>
      <c r="AR1288" s="22"/>
      <c r="AS1288" s="22"/>
      <c r="AT1288" s="70"/>
      <c r="AU1288" s="22"/>
      <c r="AV1288" s="57"/>
      <c r="AW1288" s="57"/>
      <c r="AX1288" s="70"/>
      <c r="AY1288" s="29"/>
      <c r="AZ1288" s="30"/>
      <c r="CU1288" s="55"/>
      <c r="CV1288" s="55"/>
      <c r="CW1288" s="55"/>
      <c r="CX1288" s="55"/>
      <c r="CY1288" s="55"/>
      <c r="CZ1288" s="55"/>
      <c r="DA1288" s="82"/>
      <c r="DB1288" s="55"/>
      <c r="DC1288" s="55"/>
      <c r="DD1288" s="55"/>
      <c r="DE1288" s="55"/>
      <c r="DF1288" s="55"/>
      <c r="DG1288" s="55"/>
      <c r="DH1288" s="55"/>
      <c r="DI1288" s="55"/>
      <c r="DJ1288" s="55"/>
      <c r="DK1288" s="55"/>
      <c r="DL1288" s="55"/>
      <c r="DM1288" s="55"/>
      <c r="DN1288" s="55"/>
      <c r="DO1288" s="55"/>
      <c r="DP1288" s="55"/>
      <c r="DQ1288" s="55"/>
      <c r="DR1288" s="55"/>
      <c r="DS1288" s="55"/>
      <c r="DT1288" s="55"/>
      <c r="DU1288" s="55"/>
      <c r="DV1288" s="55"/>
      <c r="DW1288" s="55"/>
    </row>
    <row r="1289">
      <c r="A1289" s="41" t="s">
        <v>64</v>
      </c>
      <c r="B1289" s="41" t="s">
        <v>56</v>
      </c>
      <c r="C1289" s="31" t="s">
        <v>2797</v>
      </c>
      <c r="D1289" s="25" t="str">
        <f>IFERROR(__xludf.DUMMYFUNCTION("SPLIT(C1289,"" "")"),"Dorminy,")</f>
        <v>Dorminy,</v>
      </c>
      <c r="E1289" s="40" t="str">
        <f>IFERROR(__xludf.DUMMYFUNCTION("""COMPUTED_VALUE"""),"Sean
9318")</f>
        <v>Sean
9318</v>
      </c>
      <c r="F1289" s="40" t="str">
        <f>IFERROR(__xludf.DUMMYFUNCTION("""COMPUTED_VALUE"""),"Wildahven")</f>
        <v>Wildahven</v>
      </c>
      <c r="G1289" s="40" t="str">
        <f>IFERROR(__xludf.DUMMYFUNCTION("""COMPUTED_VALUE"""),"Drive
Dallas,")</f>
        <v>Drive
Dallas,</v>
      </c>
      <c r="H1289" s="40" t="str">
        <f>IFERROR(__xludf.DUMMYFUNCTION("""COMPUTED_VALUE"""),"TX")</f>
        <v>TX</v>
      </c>
      <c r="I1289" s="40">
        <f>IFERROR(__xludf.DUMMYFUNCTION("""COMPUTED_VALUE"""),75238.0)</f>
        <v>75238</v>
      </c>
      <c r="J1289" s="40"/>
      <c r="K1289" s="40"/>
      <c r="L1289" s="40"/>
      <c r="M1289" s="40"/>
      <c r="N1289" s="40"/>
      <c r="O1289" s="40"/>
      <c r="P1289" s="40"/>
      <c r="Q1289" s="40"/>
      <c r="R1289" s="40"/>
      <c r="S1289" s="40"/>
      <c r="T1289" s="40"/>
      <c r="U1289" s="24" t="str">
        <f>IFERROR(__xludf.DUMMYFUNCTION("SPLIT(E1289,""01234567890"")"),"Sean
")</f>
        <v>Sean
</v>
      </c>
      <c r="V1289" s="24" t="str">
        <f>IFERROR(__xludf.DUMMYFUNCTION("SPLIT(D1289,"","")"),"Dorminy")</f>
        <v>Dorminy</v>
      </c>
      <c r="W1289" s="25" t="str">
        <f t="shared" si="1"/>
        <v>SEAN
 DORMINY</v>
      </c>
      <c r="X1289" s="40"/>
      <c r="Y1289" s="40"/>
      <c r="Z1289" s="25" t="str">
        <f>IFERROR(__xludf.DUMMYFUNCTION("SPLIT(C1289,""
"")"),"Dorminy, Sean")</f>
        <v>Dorminy, Sean</v>
      </c>
      <c r="AA1289" s="40" t="str">
        <f>IFERROR(__xludf.DUMMYFUNCTION("""COMPUTED_VALUE"""),"9318 Wildahven Drive")</f>
        <v>9318 Wildahven Drive</v>
      </c>
      <c r="AB1289" s="40" t="str">
        <f>IFERROR(__xludf.DUMMYFUNCTION("""COMPUTED_VALUE"""),"Dallas, TX 75238")</f>
        <v>Dallas, TX 75238</v>
      </c>
      <c r="AC1289" s="31" t="s">
        <v>2798</v>
      </c>
      <c r="AD1289" s="40"/>
      <c r="AE1289" s="40"/>
      <c r="AF1289" s="40"/>
      <c r="AG1289" s="40" t="s">
        <v>60</v>
      </c>
      <c r="AH1289" s="42">
        <v>2488.0</v>
      </c>
      <c r="AI1289" s="40" t="s">
        <v>68</v>
      </c>
      <c r="AJ1289" s="27">
        <v>51.0</v>
      </c>
      <c r="AK1289" s="31" t="s">
        <v>32</v>
      </c>
      <c r="AL1289" s="43">
        <v>44794.0</v>
      </c>
      <c r="AM1289" s="44">
        <v>44937.96288194445</v>
      </c>
      <c r="AN1289" s="30">
        <v>2.0</v>
      </c>
      <c r="AO1289" s="40"/>
      <c r="AP1289" s="40"/>
      <c r="AQ1289" s="40"/>
      <c r="AR1289" s="40"/>
      <c r="AS1289" s="40"/>
      <c r="AT1289" s="47"/>
      <c r="AU1289" s="40"/>
      <c r="AV1289" s="46"/>
      <c r="AW1289" s="46"/>
      <c r="AX1289" s="47"/>
      <c r="AY1289" s="44"/>
      <c r="AZ1289" s="30"/>
      <c r="CU1289" s="55"/>
      <c r="CV1289" s="55"/>
      <c r="CW1289" s="55"/>
      <c r="CX1289" s="55"/>
      <c r="CY1289" s="55"/>
      <c r="CZ1289" s="55"/>
      <c r="DA1289" s="82"/>
      <c r="DB1289" s="55"/>
      <c r="DC1289" s="55"/>
      <c r="DD1289" s="55"/>
      <c r="DE1289" s="55"/>
      <c r="DF1289" s="55"/>
      <c r="DG1289" s="55"/>
      <c r="DH1289" s="55"/>
      <c r="DI1289" s="55"/>
      <c r="DJ1289" s="55"/>
      <c r="DK1289" s="55"/>
      <c r="DL1289" s="55"/>
      <c r="DM1289" s="55"/>
      <c r="DN1289" s="55"/>
      <c r="DO1289" s="55"/>
      <c r="DP1289" s="55"/>
      <c r="DQ1289" s="55"/>
      <c r="DR1289" s="55"/>
      <c r="DS1289" s="55"/>
      <c r="DT1289" s="55"/>
      <c r="DU1289" s="55"/>
      <c r="DV1289" s="55"/>
      <c r="DW1289" s="55"/>
    </row>
    <row r="1290">
      <c r="A1290" s="23" t="s">
        <v>64</v>
      </c>
      <c r="B1290" s="23" t="s">
        <v>56</v>
      </c>
      <c r="C1290" s="31" t="s">
        <v>2799</v>
      </c>
      <c r="D1290" s="25" t="str">
        <f>IFERROR(__xludf.DUMMYFUNCTION("SPLIT(C1290,"" "")"),"Nettles,")</f>
        <v>Nettles,</v>
      </c>
      <c r="E1290" s="22" t="str">
        <f>IFERROR(__xludf.DUMMYFUNCTION("""COMPUTED_VALUE"""),"Archie
18959")</f>
        <v>Archie
18959</v>
      </c>
      <c r="F1290" s="22" t="str">
        <f>IFERROR(__xludf.DUMMYFUNCTION("""COMPUTED_VALUE"""),"Lina")</f>
        <v>Lina</v>
      </c>
      <c r="G1290" s="22" t="str">
        <f>IFERROR(__xludf.DUMMYFUNCTION("""COMPUTED_VALUE"""),"St
Dallas,")</f>
        <v>St
Dallas,</v>
      </c>
      <c r="H1290" s="22" t="str">
        <f>IFERROR(__xludf.DUMMYFUNCTION("""COMPUTED_VALUE"""),"TX")</f>
        <v>TX</v>
      </c>
      <c r="I1290" s="22">
        <f>IFERROR(__xludf.DUMMYFUNCTION("""COMPUTED_VALUE"""),75287.0)</f>
        <v>75287</v>
      </c>
      <c r="J1290" s="22"/>
      <c r="K1290" s="22"/>
      <c r="L1290" s="22"/>
      <c r="M1290" s="22"/>
      <c r="N1290" s="22"/>
      <c r="O1290" s="22"/>
      <c r="P1290" s="22"/>
      <c r="Q1290" s="22"/>
      <c r="R1290" s="22"/>
      <c r="S1290" s="22"/>
      <c r="T1290" s="22"/>
      <c r="U1290" s="24" t="str">
        <f>IFERROR(__xludf.DUMMYFUNCTION("SPLIT(E1290,""01234567890"")"),"Archie
")</f>
        <v>Archie
</v>
      </c>
      <c r="V1290" s="24" t="str">
        <f>IFERROR(__xludf.DUMMYFUNCTION("SPLIT(D1290,"","")"),"Nettles")</f>
        <v>Nettles</v>
      </c>
      <c r="W1290" s="25" t="str">
        <f t="shared" si="1"/>
        <v>ARCHIE
 NETTLES</v>
      </c>
      <c r="X1290" s="22"/>
      <c r="Y1290" s="22"/>
      <c r="Z1290" s="25" t="str">
        <f>IFERROR(__xludf.DUMMYFUNCTION("SPLIT(C1290,""
"")"),"Nettles, Archie")</f>
        <v>Nettles, Archie</v>
      </c>
      <c r="AA1290" s="22" t="str">
        <f>IFERROR(__xludf.DUMMYFUNCTION("""COMPUTED_VALUE"""),"18959 Lina St")</f>
        <v>18959 Lina St</v>
      </c>
      <c r="AB1290" s="22" t="str">
        <f>IFERROR(__xludf.DUMMYFUNCTION("""COMPUTED_VALUE"""),"Dallas, TX 75287")</f>
        <v>Dallas, TX 75287</v>
      </c>
      <c r="AC1290" s="31" t="s">
        <v>2800</v>
      </c>
      <c r="AD1290" s="22"/>
      <c r="AE1290" s="22"/>
      <c r="AF1290" s="22"/>
      <c r="AG1290" s="22" t="s">
        <v>60</v>
      </c>
      <c r="AH1290" s="54">
        <v>2488.0</v>
      </c>
      <c r="AI1290" s="22" t="s">
        <v>68</v>
      </c>
      <c r="AJ1290" s="27">
        <v>25.0</v>
      </c>
      <c r="AK1290" s="31" t="s">
        <v>32</v>
      </c>
      <c r="AL1290" s="28">
        <v>44794.0</v>
      </c>
      <c r="AM1290" s="29">
        <v>44937.96288194445</v>
      </c>
      <c r="AN1290" s="30">
        <v>2.0</v>
      </c>
      <c r="AO1290" s="22"/>
      <c r="AP1290" s="22"/>
      <c r="AQ1290" s="22"/>
      <c r="AR1290" s="22"/>
      <c r="AS1290" s="22"/>
      <c r="AT1290" s="70"/>
      <c r="AU1290" s="22"/>
      <c r="AV1290" s="57"/>
      <c r="AW1290" s="57"/>
      <c r="AX1290" s="70"/>
      <c r="AY1290" s="29"/>
      <c r="AZ1290" s="30"/>
      <c r="CU1290" s="55"/>
      <c r="CV1290" s="55"/>
      <c r="CW1290" s="55"/>
      <c r="CX1290" s="55"/>
      <c r="CY1290" s="55"/>
      <c r="CZ1290" s="55"/>
      <c r="DA1290" s="82"/>
      <c r="DB1290" s="55"/>
      <c r="DC1290" s="55"/>
      <c r="DD1290" s="55"/>
      <c r="DE1290" s="55"/>
      <c r="DF1290" s="55"/>
      <c r="DG1290" s="55"/>
      <c r="DH1290" s="55"/>
      <c r="DI1290" s="55"/>
      <c r="DJ1290" s="55"/>
      <c r="DK1290" s="55"/>
      <c r="DL1290" s="55"/>
      <c r="DM1290" s="55"/>
      <c r="DN1290" s="55"/>
      <c r="DO1290" s="55"/>
      <c r="DP1290" s="55"/>
      <c r="DQ1290" s="55"/>
      <c r="DR1290" s="55"/>
      <c r="DS1290" s="55"/>
      <c r="DT1290" s="55"/>
      <c r="DU1290" s="55"/>
      <c r="DV1290" s="55"/>
      <c r="DW1290" s="55"/>
    </row>
    <row r="1291">
      <c r="A1291" s="41" t="s">
        <v>64</v>
      </c>
      <c r="B1291" s="41" t="s">
        <v>56</v>
      </c>
      <c r="C1291" s="31" t="s">
        <v>310</v>
      </c>
      <c r="D1291" s="25" t="str">
        <f>IFERROR(__xludf.DUMMYFUNCTION("SPLIT(C1291,"" "")"),"Barling,")</f>
        <v>Barling,</v>
      </c>
      <c r="E1291" s="40" t="str">
        <f>IFERROR(__xludf.DUMMYFUNCTION("""COMPUTED_VALUE"""),"Hannah
1777")</f>
        <v>Hannah
1777</v>
      </c>
      <c r="F1291" s="40" t="str">
        <f>IFERROR(__xludf.DUMMYFUNCTION("""COMPUTED_VALUE"""),"N")</f>
        <v>N</v>
      </c>
      <c r="G1291" s="40" t="str">
        <f>IFERROR(__xludf.DUMMYFUNCTION("""COMPUTED_VALUE"""),"Record")</f>
        <v>Record</v>
      </c>
      <c r="H1291" s="40" t="str">
        <f>IFERROR(__xludf.DUMMYFUNCTION("""COMPUTED_VALUE"""),"st
Dallas,")</f>
        <v>st
Dallas,</v>
      </c>
      <c r="I1291" s="40" t="str">
        <f>IFERROR(__xludf.DUMMYFUNCTION("""COMPUTED_VALUE"""),"TX")</f>
        <v>TX</v>
      </c>
      <c r="J1291" s="40">
        <f>IFERROR(__xludf.DUMMYFUNCTION("""COMPUTED_VALUE"""),75202.0)</f>
        <v>75202</v>
      </c>
      <c r="K1291" s="40"/>
      <c r="L1291" s="40"/>
      <c r="M1291" s="40"/>
      <c r="N1291" s="40"/>
      <c r="O1291" s="40"/>
      <c r="P1291" s="40"/>
      <c r="Q1291" s="40"/>
      <c r="R1291" s="40"/>
      <c r="S1291" s="40"/>
      <c r="T1291" s="40"/>
      <c r="U1291" s="24" t="str">
        <f>IFERROR(__xludf.DUMMYFUNCTION("SPLIT(E1291,""01234567890"")"),"Hannah
")</f>
        <v>Hannah
</v>
      </c>
      <c r="V1291" s="24" t="str">
        <f>IFERROR(__xludf.DUMMYFUNCTION("SPLIT(D1291,"","")"),"Barling")</f>
        <v>Barling</v>
      </c>
      <c r="W1291" s="25" t="str">
        <f t="shared" si="1"/>
        <v>HANNAH
 BARLING</v>
      </c>
      <c r="X1291" s="40"/>
      <c r="Y1291" s="40"/>
      <c r="Z1291" s="25" t="str">
        <f>IFERROR(__xludf.DUMMYFUNCTION("SPLIT(C1291,""
"")"),"Barling, Hannah")</f>
        <v>Barling, Hannah</v>
      </c>
      <c r="AA1291" s="40" t="str">
        <f>IFERROR(__xludf.DUMMYFUNCTION("""COMPUTED_VALUE"""),"1777 N Record st")</f>
        <v>1777 N Record st</v>
      </c>
      <c r="AB1291" s="40" t="str">
        <f>IFERROR(__xludf.DUMMYFUNCTION("""COMPUTED_VALUE"""),"Dallas, TX 75202")</f>
        <v>Dallas, TX 75202</v>
      </c>
      <c r="AC1291" s="31" t="s">
        <v>312</v>
      </c>
      <c r="AD1291" s="40"/>
      <c r="AE1291" s="40"/>
      <c r="AF1291" s="40"/>
      <c r="AG1291" s="40" t="s">
        <v>60</v>
      </c>
      <c r="AH1291" s="42">
        <v>2488.0</v>
      </c>
      <c r="AI1291" s="40" t="s">
        <v>68</v>
      </c>
      <c r="AJ1291" s="27">
        <v>51.0</v>
      </c>
      <c r="AK1291" s="31" t="s">
        <v>32</v>
      </c>
      <c r="AL1291" s="43">
        <v>44794.0</v>
      </c>
      <c r="AM1291" s="44">
        <v>44937.96288194445</v>
      </c>
      <c r="AN1291" s="30">
        <v>2.0</v>
      </c>
      <c r="AO1291" s="40"/>
      <c r="AP1291" s="40"/>
      <c r="AQ1291" s="40"/>
      <c r="AR1291" s="40"/>
      <c r="AS1291" s="40"/>
      <c r="AT1291" s="47"/>
      <c r="AU1291" s="40"/>
      <c r="AV1291" s="46"/>
      <c r="AW1291" s="46"/>
      <c r="AX1291" s="47"/>
      <c r="AY1291" s="44"/>
      <c r="AZ1291" s="30"/>
      <c r="CU1291" s="55"/>
      <c r="CV1291" s="55"/>
      <c r="CW1291" s="55"/>
      <c r="CX1291" s="55"/>
      <c r="CY1291" s="55"/>
      <c r="CZ1291" s="55"/>
      <c r="DA1291" s="82"/>
      <c r="DB1291" s="55"/>
      <c r="DC1291" s="55"/>
      <c r="DD1291" s="55"/>
      <c r="DE1291" s="55"/>
      <c r="DF1291" s="55"/>
      <c r="DG1291" s="55"/>
      <c r="DH1291" s="55"/>
      <c r="DI1291" s="55"/>
      <c r="DJ1291" s="55"/>
      <c r="DK1291" s="55"/>
      <c r="DL1291" s="55"/>
      <c r="DM1291" s="55"/>
      <c r="DN1291" s="55"/>
      <c r="DO1291" s="55"/>
      <c r="DP1291" s="55"/>
      <c r="DQ1291" s="55"/>
      <c r="DR1291" s="55"/>
      <c r="DS1291" s="55"/>
      <c r="DT1291" s="55"/>
      <c r="DU1291" s="55"/>
      <c r="DV1291" s="55"/>
      <c r="DW1291" s="55"/>
    </row>
    <row r="1292">
      <c r="A1292" s="23" t="s">
        <v>64</v>
      </c>
      <c r="B1292" s="23" t="s">
        <v>56</v>
      </c>
      <c r="C1292" s="31" t="s">
        <v>2801</v>
      </c>
      <c r="D1292" s="25" t="str">
        <f>IFERROR(__xludf.DUMMYFUNCTION("SPLIT(C1292,"" "")"),"Hasenbauer,")</f>
        <v>Hasenbauer,</v>
      </c>
      <c r="E1292" s="22" t="str">
        <f>IFERROR(__xludf.DUMMYFUNCTION("""COMPUTED_VALUE"""),"Brian
9811")</f>
        <v>Brian
9811</v>
      </c>
      <c r="F1292" s="22" t="str">
        <f>IFERROR(__xludf.DUMMYFUNCTION("""COMPUTED_VALUE"""),"Estate")</f>
        <v>Estate</v>
      </c>
      <c r="G1292" s="22" t="str">
        <f>IFERROR(__xludf.DUMMYFUNCTION("""COMPUTED_VALUE"""),"Lane
DALLAS,")</f>
        <v>Lane
DALLAS,</v>
      </c>
      <c r="H1292" s="22" t="str">
        <f>IFERROR(__xludf.DUMMYFUNCTION("""COMPUTED_VALUE"""),"TX")</f>
        <v>TX</v>
      </c>
      <c r="I1292" s="22">
        <f>IFERROR(__xludf.DUMMYFUNCTION("""COMPUTED_VALUE"""),75238.0)</f>
        <v>75238</v>
      </c>
      <c r="J1292" s="22"/>
      <c r="K1292" s="22"/>
      <c r="L1292" s="22"/>
      <c r="M1292" s="22"/>
      <c r="N1292" s="22"/>
      <c r="O1292" s="22"/>
      <c r="P1292" s="22"/>
      <c r="Q1292" s="22"/>
      <c r="R1292" s="22"/>
      <c r="S1292" s="22"/>
      <c r="T1292" s="22"/>
      <c r="U1292" s="24" t="str">
        <f>IFERROR(__xludf.DUMMYFUNCTION("SPLIT(E1292,""01234567890"")"),"Brian
")</f>
        <v>Brian
</v>
      </c>
      <c r="V1292" s="24" t="str">
        <f>IFERROR(__xludf.DUMMYFUNCTION("SPLIT(D1292,"","")"),"Hasenbauer")</f>
        <v>Hasenbauer</v>
      </c>
      <c r="W1292" s="25" t="str">
        <f t="shared" si="1"/>
        <v>BRIAN
 HASENBAUER</v>
      </c>
      <c r="X1292" s="22"/>
      <c r="Y1292" s="22"/>
      <c r="Z1292" s="25" t="str">
        <f>IFERROR(__xludf.DUMMYFUNCTION("SPLIT(C1292,""
"")"),"Hasenbauer, Brian")</f>
        <v>Hasenbauer, Brian</v>
      </c>
      <c r="AA1292" s="22" t="str">
        <f>IFERROR(__xludf.DUMMYFUNCTION("""COMPUTED_VALUE"""),"9811 Estate Lane")</f>
        <v>9811 Estate Lane</v>
      </c>
      <c r="AB1292" s="22" t="str">
        <f>IFERROR(__xludf.DUMMYFUNCTION("""COMPUTED_VALUE"""),"DALLAS, TX 75238")</f>
        <v>DALLAS, TX 75238</v>
      </c>
      <c r="AC1292" s="31" t="s">
        <v>2802</v>
      </c>
      <c r="AD1292" s="22"/>
      <c r="AE1292" s="22"/>
      <c r="AF1292" s="22"/>
      <c r="AG1292" s="22" t="s">
        <v>60</v>
      </c>
      <c r="AH1292" s="54">
        <v>2488.0</v>
      </c>
      <c r="AI1292" s="22" t="s">
        <v>68</v>
      </c>
      <c r="AJ1292" s="27">
        <v>25.0</v>
      </c>
      <c r="AK1292" s="31" t="s">
        <v>32</v>
      </c>
      <c r="AL1292" s="28">
        <v>44795.0</v>
      </c>
      <c r="AM1292" s="29">
        <v>44937.96288194445</v>
      </c>
      <c r="AN1292" s="30">
        <v>2.0</v>
      </c>
      <c r="AO1292" s="22"/>
      <c r="AP1292" s="22"/>
      <c r="AQ1292" s="22"/>
      <c r="AR1292" s="22"/>
      <c r="AS1292" s="22"/>
      <c r="AT1292" s="70"/>
      <c r="AU1292" s="22"/>
      <c r="AV1292" s="57"/>
      <c r="AW1292" s="57"/>
      <c r="AX1292" s="70"/>
      <c r="AY1292" s="29"/>
      <c r="AZ1292" s="30"/>
      <c r="CU1292" s="55"/>
      <c r="CV1292" s="55"/>
      <c r="CW1292" s="55"/>
      <c r="CX1292" s="55"/>
      <c r="CY1292" s="55"/>
      <c r="CZ1292" s="55"/>
      <c r="DA1292" s="82"/>
      <c r="DB1292" s="55"/>
      <c r="DC1292" s="55"/>
      <c r="DD1292" s="55"/>
      <c r="DE1292" s="55"/>
      <c r="DF1292" s="55"/>
      <c r="DG1292" s="55"/>
      <c r="DH1292" s="55"/>
      <c r="DI1292" s="55"/>
      <c r="DJ1292" s="55"/>
      <c r="DK1292" s="55"/>
      <c r="DL1292" s="55"/>
      <c r="DM1292" s="55"/>
      <c r="DN1292" s="55"/>
      <c r="DO1292" s="55"/>
      <c r="DP1292" s="55"/>
      <c r="DQ1292" s="55"/>
      <c r="DR1292" s="55"/>
      <c r="DS1292" s="55"/>
      <c r="DT1292" s="55"/>
      <c r="DU1292" s="55"/>
      <c r="DV1292" s="55"/>
      <c r="DW1292" s="55"/>
    </row>
    <row r="1293">
      <c r="A1293" s="41" t="s">
        <v>64</v>
      </c>
      <c r="B1293" s="41" t="s">
        <v>56</v>
      </c>
      <c r="C1293" s="31" t="s">
        <v>2803</v>
      </c>
      <c r="D1293" s="25" t="str">
        <f>IFERROR(__xludf.DUMMYFUNCTION("SPLIT(C1293,"" "")"),"Mills,")</f>
        <v>Mills,</v>
      </c>
      <c r="E1293" s="40" t="str">
        <f>IFERROR(__xludf.DUMMYFUNCTION("""COMPUTED_VALUE"""),"Rosanne
6906")</f>
        <v>Rosanne
6906</v>
      </c>
      <c r="F1293" s="40" t="str">
        <f>IFERROR(__xludf.DUMMYFUNCTION("""COMPUTED_VALUE"""),"Casa")</f>
        <v>Casa</v>
      </c>
      <c r="G1293" s="40" t="str">
        <f>IFERROR(__xludf.DUMMYFUNCTION("""COMPUTED_VALUE"""),"Loma")</f>
        <v>Loma</v>
      </c>
      <c r="H1293" s="40" t="str">
        <f>IFERROR(__xludf.DUMMYFUNCTION("""COMPUTED_VALUE"""),"Ave
Dallas,")</f>
        <v>Ave
Dallas,</v>
      </c>
      <c r="I1293" s="40" t="str">
        <f>IFERROR(__xludf.DUMMYFUNCTION("""COMPUTED_VALUE"""),"TX")</f>
        <v>TX</v>
      </c>
      <c r="J1293" s="40">
        <f>IFERROR(__xludf.DUMMYFUNCTION("""COMPUTED_VALUE"""),75214.0)</f>
        <v>75214</v>
      </c>
      <c r="K1293" s="40"/>
      <c r="L1293" s="40"/>
      <c r="M1293" s="40"/>
      <c r="N1293" s="40"/>
      <c r="O1293" s="40"/>
      <c r="P1293" s="40"/>
      <c r="Q1293" s="40"/>
      <c r="R1293" s="40"/>
      <c r="S1293" s="40"/>
      <c r="T1293" s="40"/>
      <c r="U1293" s="24" t="str">
        <f>IFERROR(__xludf.DUMMYFUNCTION("SPLIT(E1293,""01234567890"")"),"Rosanne
")</f>
        <v>Rosanne
</v>
      </c>
      <c r="V1293" s="24" t="str">
        <f>IFERROR(__xludf.DUMMYFUNCTION("SPLIT(D1293,"","")"),"Mills")</f>
        <v>Mills</v>
      </c>
      <c r="W1293" s="25" t="str">
        <f t="shared" si="1"/>
        <v>ROSANNE
 MILLS</v>
      </c>
      <c r="X1293" s="40"/>
      <c r="Y1293" s="40"/>
      <c r="Z1293" s="25" t="str">
        <f>IFERROR(__xludf.DUMMYFUNCTION("SPLIT(C1293,""
"")"),"Mills, Rosanne")</f>
        <v>Mills, Rosanne</v>
      </c>
      <c r="AA1293" s="40" t="str">
        <f>IFERROR(__xludf.DUMMYFUNCTION("""COMPUTED_VALUE"""),"6906 Casa Loma Ave")</f>
        <v>6906 Casa Loma Ave</v>
      </c>
      <c r="AB1293" s="40" t="str">
        <f>IFERROR(__xludf.DUMMYFUNCTION("""COMPUTED_VALUE"""),"Dallas, TX 75214")</f>
        <v>Dallas, TX 75214</v>
      </c>
      <c r="AC1293" s="31" t="s">
        <v>2804</v>
      </c>
      <c r="AD1293" s="40"/>
      <c r="AE1293" s="40"/>
      <c r="AF1293" s="40"/>
      <c r="AG1293" s="40" t="s">
        <v>60</v>
      </c>
      <c r="AH1293" s="42">
        <v>2488.0</v>
      </c>
      <c r="AI1293" s="40" t="s">
        <v>68</v>
      </c>
      <c r="AJ1293" s="27">
        <v>60.0</v>
      </c>
      <c r="AK1293" s="31" t="s">
        <v>32</v>
      </c>
      <c r="AL1293" s="43">
        <v>44802.0</v>
      </c>
      <c r="AM1293" s="44">
        <v>44937.96288194445</v>
      </c>
      <c r="AN1293" s="30">
        <v>2.0</v>
      </c>
      <c r="AO1293" s="40"/>
      <c r="AP1293" s="40"/>
      <c r="AQ1293" s="40"/>
      <c r="AR1293" s="40"/>
      <c r="AS1293" s="40"/>
      <c r="AT1293" s="47"/>
      <c r="AU1293" s="40"/>
      <c r="AV1293" s="46"/>
      <c r="AW1293" s="46"/>
      <c r="AX1293" s="47"/>
      <c r="AY1293" s="44"/>
      <c r="AZ1293" s="30"/>
      <c r="CU1293" s="55"/>
      <c r="CV1293" s="55"/>
      <c r="CW1293" s="55"/>
      <c r="CX1293" s="55"/>
      <c r="CY1293" s="55"/>
      <c r="CZ1293" s="55"/>
      <c r="DA1293" s="82"/>
      <c r="DB1293" s="55"/>
      <c r="DC1293" s="55"/>
      <c r="DD1293" s="55"/>
      <c r="DE1293" s="55"/>
      <c r="DF1293" s="55"/>
      <c r="DG1293" s="55"/>
      <c r="DH1293" s="55"/>
      <c r="DI1293" s="55"/>
      <c r="DJ1293" s="55"/>
      <c r="DK1293" s="55"/>
      <c r="DL1293" s="55"/>
      <c r="DM1293" s="55"/>
      <c r="DN1293" s="55"/>
      <c r="DO1293" s="55"/>
      <c r="DP1293" s="55"/>
      <c r="DQ1293" s="55"/>
      <c r="DR1293" s="55"/>
      <c r="DS1293" s="55"/>
      <c r="DT1293" s="55"/>
      <c r="DU1293" s="55"/>
      <c r="DV1293" s="55"/>
      <c r="DW1293" s="55"/>
    </row>
    <row r="1294">
      <c r="A1294" s="23" t="s">
        <v>64</v>
      </c>
      <c r="B1294" s="23" t="s">
        <v>56</v>
      </c>
      <c r="C1294" s="31" t="s">
        <v>2805</v>
      </c>
      <c r="D1294" s="25" t="str">
        <f>IFERROR(__xludf.DUMMYFUNCTION("SPLIT(C1294,"" "")"),"Odum,")</f>
        <v>Odum,</v>
      </c>
      <c r="E1294" s="22" t="str">
        <f>IFERROR(__xludf.DUMMYFUNCTION("""COMPUTED_VALUE"""),"Ania
4249")</f>
        <v>Ania
4249</v>
      </c>
      <c r="F1294" s="22" t="str">
        <f>IFERROR(__xludf.DUMMYFUNCTION("""COMPUTED_VALUE"""),"W")</f>
        <v>W</v>
      </c>
      <c r="G1294" s="22" t="str">
        <f>IFERROR(__xludf.DUMMYFUNCTION("""COMPUTED_VALUE"""),"Goret")</f>
        <v>Goret</v>
      </c>
      <c r="H1294" s="22" t="str">
        <f>IFERROR(__xludf.DUMMYFUNCTION("""COMPUTED_VALUE"""),"Road
Tucson,")</f>
        <v>Road
Tucson,</v>
      </c>
      <c r="I1294" s="22" t="str">
        <f>IFERROR(__xludf.DUMMYFUNCTION("""COMPUTED_VALUE"""),"AZ")</f>
        <v>AZ</v>
      </c>
      <c r="J1294" s="22">
        <f>IFERROR(__xludf.DUMMYFUNCTION("""COMPUTED_VALUE"""),85745.0)</f>
        <v>85745</v>
      </c>
      <c r="K1294" s="22"/>
      <c r="L1294" s="22"/>
      <c r="M1294" s="22"/>
      <c r="N1294" s="22"/>
      <c r="O1294" s="22"/>
      <c r="P1294" s="22"/>
      <c r="Q1294" s="22"/>
      <c r="R1294" s="22"/>
      <c r="S1294" s="22"/>
      <c r="T1294" s="22"/>
      <c r="U1294" s="24" t="str">
        <f>IFERROR(__xludf.DUMMYFUNCTION("SPLIT(E1294,""01234567890"")"),"Ania
")</f>
        <v>Ania
</v>
      </c>
      <c r="V1294" s="24" t="str">
        <f>IFERROR(__xludf.DUMMYFUNCTION("SPLIT(D1294,"","")"),"Odum")</f>
        <v>Odum</v>
      </c>
      <c r="W1294" s="25" t="str">
        <f t="shared" si="1"/>
        <v>ANIA
 ODUM</v>
      </c>
      <c r="X1294" s="22"/>
      <c r="Y1294" s="22"/>
      <c r="Z1294" s="25" t="str">
        <f>IFERROR(__xludf.DUMMYFUNCTION("SPLIT(C1294,""
"")"),"Odum, Ania")</f>
        <v>Odum, Ania</v>
      </c>
      <c r="AA1294" s="22" t="str">
        <f>IFERROR(__xludf.DUMMYFUNCTION("""COMPUTED_VALUE"""),"4249 W Goret Road")</f>
        <v>4249 W Goret Road</v>
      </c>
      <c r="AB1294" s="22" t="str">
        <f>IFERROR(__xludf.DUMMYFUNCTION("""COMPUTED_VALUE"""),"Tucson, AZ 85745")</f>
        <v>Tucson, AZ 85745</v>
      </c>
      <c r="AC1294" s="31" t="s">
        <v>2806</v>
      </c>
      <c r="AD1294" s="22"/>
      <c r="AE1294" s="22"/>
      <c r="AF1294" s="22"/>
      <c r="AG1294" s="22" t="s">
        <v>60</v>
      </c>
      <c r="AH1294" s="54">
        <v>2488.0</v>
      </c>
      <c r="AI1294" s="22" t="s">
        <v>68</v>
      </c>
      <c r="AJ1294" s="27">
        <v>25.0</v>
      </c>
      <c r="AK1294" s="31" t="s">
        <v>32</v>
      </c>
      <c r="AL1294" s="28">
        <v>44808.0</v>
      </c>
      <c r="AM1294" s="29">
        <v>44937.96288194445</v>
      </c>
      <c r="AN1294" s="30">
        <v>2.0</v>
      </c>
      <c r="AO1294" s="22"/>
      <c r="AP1294" s="22"/>
      <c r="AQ1294" s="22"/>
      <c r="AR1294" s="22"/>
      <c r="AS1294" s="22"/>
      <c r="AT1294" s="70"/>
      <c r="AU1294" s="22"/>
      <c r="AV1294" s="57"/>
      <c r="AW1294" s="57"/>
      <c r="AX1294" s="70"/>
      <c r="AY1294" s="29"/>
      <c r="AZ1294" s="30"/>
      <c r="CU1294" s="55"/>
      <c r="CV1294" s="55"/>
      <c r="CW1294" s="55"/>
      <c r="CX1294" s="55"/>
      <c r="CY1294" s="55"/>
      <c r="CZ1294" s="55"/>
      <c r="DA1294" s="82"/>
      <c r="DB1294" s="55"/>
      <c r="DC1294" s="55"/>
      <c r="DD1294" s="55"/>
      <c r="DE1294" s="55"/>
      <c r="DF1294" s="55"/>
      <c r="DG1294" s="55"/>
      <c r="DH1294" s="55"/>
      <c r="DI1294" s="55"/>
      <c r="DJ1294" s="55"/>
      <c r="DK1294" s="55"/>
      <c r="DL1294" s="55"/>
      <c r="DM1294" s="55"/>
      <c r="DN1294" s="55"/>
      <c r="DO1294" s="55"/>
      <c r="DP1294" s="55"/>
      <c r="DQ1294" s="55"/>
      <c r="DR1294" s="55"/>
      <c r="DS1294" s="55"/>
      <c r="DT1294" s="55"/>
      <c r="DU1294" s="55"/>
      <c r="DV1294" s="55"/>
      <c r="DW1294" s="55"/>
    </row>
    <row r="1295">
      <c r="A1295" s="41" t="s">
        <v>64</v>
      </c>
      <c r="B1295" s="41" t="s">
        <v>56</v>
      </c>
      <c r="C1295" s="31" t="s">
        <v>2807</v>
      </c>
      <c r="D1295" s="25" t="str">
        <f>IFERROR(__xludf.DUMMYFUNCTION("SPLIT(C1295,"" "")"),"Guynes,")</f>
        <v>Guynes,</v>
      </c>
      <c r="E1295" s="40" t="str">
        <f>IFERROR(__xludf.DUMMYFUNCTION("""COMPUTED_VALUE"""),"Adrienne
6646")</f>
        <v>Adrienne
6646</v>
      </c>
      <c r="F1295" s="40" t="str">
        <f>IFERROR(__xludf.DUMMYFUNCTION("""COMPUTED_VALUE"""),"E.")</f>
        <v>E.</v>
      </c>
      <c r="G1295" s="40" t="str">
        <f>IFERROR(__xludf.DUMMYFUNCTION("""COMPUTED_VALUE"""),"Lovers")</f>
        <v>Lovers</v>
      </c>
      <c r="H1295" s="40" t="str">
        <f>IFERROR(__xludf.DUMMYFUNCTION("""COMPUTED_VALUE"""),"Lane
Dallas,")</f>
        <v>Lane
Dallas,</v>
      </c>
      <c r="I1295" s="40" t="str">
        <f>IFERROR(__xludf.DUMMYFUNCTION("""COMPUTED_VALUE"""),"TX")</f>
        <v>TX</v>
      </c>
      <c r="J1295" s="40">
        <f>IFERROR(__xludf.DUMMYFUNCTION("""COMPUTED_VALUE"""),75214.0)</f>
        <v>75214</v>
      </c>
      <c r="K1295" s="40"/>
      <c r="L1295" s="40"/>
      <c r="M1295" s="40"/>
      <c r="N1295" s="40"/>
      <c r="O1295" s="40"/>
      <c r="P1295" s="40"/>
      <c r="Q1295" s="40"/>
      <c r="R1295" s="40"/>
      <c r="S1295" s="40"/>
      <c r="T1295" s="40"/>
      <c r="U1295" s="24" t="str">
        <f>IFERROR(__xludf.DUMMYFUNCTION("SPLIT(E1295,""01234567890"")"),"Adrienne
")</f>
        <v>Adrienne
</v>
      </c>
      <c r="V1295" s="24" t="str">
        <f>IFERROR(__xludf.DUMMYFUNCTION("SPLIT(D1295,"","")"),"Guynes")</f>
        <v>Guynes</v>
      </c>
      <c r="W1295" s="25" t="str">
        <f t="shared" si="1"/>
        <v>ADRIENNE
 GUYNES</v>
      </c>
      <c r="X1295" s="40"/>
      <c r="Y1295" s="40"/>
      <c r="Z1295" s="25" t="str">
        <f>IFERROR(__xludf.DUMMYFUNCTION("SPLIT(C1295,""
"")"),"Guynes, Adrienne")</f>
        <v>Guynes, Adrienne</v>
      </c>
      <c r="AA1295" s="40" t="str">
        <f>IFERROR(__xludf.DUMMYFUNCTION("""COMPUTED_VALUE"""),"6646 E. Lovers Lane")</f>
        <v>6646 E. Lovers Lane</v>
      </c>
      <c r="AB1295" s="40" t="str">
        <f>IFERROR(__xludf.DUMMYFUNCTION("""COMPUTED_VALUE"""),"Dallas, TX 75214")</f>
        <v>Dallas, TX 75214</v>
      </c>
      <c r="AC1295" s="31" t="s">
        <v>2808</v>
      </c>
      <c r="AD1295" s="40"/>
      <c r="AE1295" s="40"/>
      <c r="AF1295" s="40"/>
      <c r="AG1295" s="40" t="s">
        <v>60</v>
      </c>
      <c r="AH1295" s="42">
        <v>2488.0</v>
      </c>
      <c r="AI1295" s="40" t="s">
        <v>68</v>
      </c>
      <c r="AJ1295" s="27">
        <v>25.0</v>
      </c>
      <c r="AK1295" s="31" t="s">
        <v>32</v>
      </c>
      <c r="AL1295" s="43">
        <v>44793.0</v>
      </c>
      <c r="AM1295" s="44">
        <v>44937.96288194445</v>
      </c>
      <c r="AN1295" s="30">
        <v>2.0</v>
      </c>
      <c r="AO1295" s="40"/>
      <c r="AP1295" s="40"/>
      <c r="AQ1295" s="40"/>
      <c r="AR1295" s="40"/>
      <c r="AS1295" s="40"/>
      <c r="AT1295" s="47"/>
      <c r="AU1295" s="40"/>
      <c r="AV1295" s="46"/>
      <c r="AW1295" s="46"/>
      <c r="AX1295" s="47"/>
      <c r="AY1295" s="44"/>
      <c r="AZ1295" s="30"/>
      <c r="CU1295" s="55"/>
      <c r="CV1295" s="55"/>
      <c r="CW1295" s="55"/>
      <c r="CX1295" s="55"/>
      <c r="CY1295" s="55"/>
      <c r="CZ1295" s="55"/>
      <c r="DA1295" s="82"/>
      <c r="DB1295" s="55"/>
      <c r="DC1295" s="55"/>
      <c r="DD1295" s="55"/>
      <c r="DE1295" s="55"/>
      <c r="DF1295" s="55"/>
      <c r="DG1295" s="55"/>
      <c r="DH1295" s="55"/>
      <c r="DI1295" s="55"/>
      <c r="DJ1295" s="55"/>
      <c r="DK1295" s="55"/>
      <c r="DL1295" s="55"/>
      <c r="DM1295" s="55"/>
      <c r="DN1295" s="55"/>
      <c r="DO1295" s="55"/>
      <c r="DP1295" s="55"/>
      <c r="DQ1295" s="55"/>
      <c r="DR1295" s="55"/>
      <c r="DS1295" s="55"/>
      <c r="DT1295" s="55"/>
      <c r="DU1295" s="55"/>
      <c r="DV1295" s="55"/>
      <c r="DW1295" s="55"/>
    </row>
    <row r="1296">
      <c r="A1296" s="23" t="s">
        <v>64</v>
      </c>
      <c r="B1296" s="23" t="s">
        <v>56</v>
      </c>
      <c r="C1296" s="31" t="s">
        <v>2809</v>
      </c>
      <c r="D1296" s="25" t="str">
        <f>IFERROR(__xludf.DUMMYFUNCTION("SPLIT(C1296,"" "")"),"Skemp,")</f>
        <v>Skemp,</v>
      </c>
      <c r="E1296" s="22" t="str">
        <f>IFERROR(__xludf.DUMMYFUNCTION("""COMPUTED_VALUE"""),"Douglas
511")</f>
        <v>Douglas
511</v>
      </c>
      <c r="F1296" s="22" t="str">
        <f>IFERROR(__xludf.DUMMYFUNCTION("""COMPUTED_VALUE"""),"N.")</f>
        <v>N.</v>
      </c>
      <c r="G1296" s="22" t="str">
        <f>IFERROR(__xludf.DUMMYFUNCTION("""COMPUTED_VALUE"""),"Akard")</f>
        <v>Akard</v>
      </c>
      <c r="H1296" s="22" t="str">
        <f>IFERROR(__xludf.DUMMYFUNCTION("""COMPUTED_VALUE"""),"Street
Dallas,")</f>
        <v>Street
Dallas,</v>
      </c>
      <c r="I1296" s="22" t="str">
        <f>IFERROR(__xludf.DUMMYFUNCTION("""COMPUTED_VALUE"""),"TX")</f>
        <v>TX</v>
      </c>
      <c r="J1296" s="22">
        <f>IFERROR(__xludf.DUMMYFUNCTION("""COMPUTED_VALUE"""),75201.0)</f>
        <v>75201</v>
      </c>
      <c r="K1296" s="22"/>
      <c r="L1296" s="22"/>
      <c r="M1296" s="22"/>
      <c r="N1296" s="22"/>
      <c r="O1296" s="22"/>
      <c r="P1296" s="22"/>
      <c r="Q1296" s="22"/>
      <c r="R1296" s="22"/>
      <c r="S1296" s="22"/>
      <c r="T1296" s="22"/>
      <c r="U1296" s="24" t="str">
        <f>IFERROR(__xludf.DUMMYFUNCTION("SPLIT(E1296,""01234567890"")"),"Douglas
")</f>
        <v>Douglas
</v>
      </c>
      <c r="V1296" s="24" t="str">
        <f>IFERROR(__xludf.DUMMYFUNCTION("SPLIT(D1296,"","")"),"Skemp")</f>
        <v>Skemp</v>
      </c>
      <c r="W1296" s="25" t="str">
        <f t="shared" si="1"/>
        <v>DOUGLAS
 SKEMP</v>
      </c>
      <c r="X1296" s="22"/>
      <c r="Y1296" s="22"/>
      <c r="Z1296" s="25" t="str">
        <f>IFERROR(__xludf.DUMMYFUNCTION("SPLIT(C1296,""
"")"),"Skemp, Douglas")</f>
        <v>Skemp, Douglas</v>
      </c>
      <c r="AA1296" s="22" t="str">
        <f>IFERROR(__xludf.DUMMYFUNCTION("""COMPUTED_VALUE"""),"511 N. Akard Street")</f>
        <v>511 N. Akard Street</v>
      </c>
      <c r="AB1296" s="22" t="str">
        <f>IFERROR(__xludf.DUMMYFUNCTION("""COMPUTED_VALUE"""),"Dallas, TX 75201")</f>
        <v>Dallas, TX 75201</v>
      </c>
      <c r="AC1296" s="31" t="s">
        <v>2810</v>
      </c>
      <c r="AD1296" s="22"/>
      <c r="AE1296" s="22"/>
      <c r="AF1296" s="22"/>
      <c r="AG1296" s="22" t="s">
        <v>60</v>
      </c>
      <c r="AH1296" s="54">
        <v>2488.0</v>
      </c>
      <c r="AI1296" s="22" t="s">
        <v>68</v>
      </c>
      <c r="AJ1296" s="27">
        <v>100.0</v>
      </c>
      <c r="AK1296" s="31" t="s">
        <v>32</v>
      </c>
      <c r="AL1296" s="28">
        <v>44816.0</v>
      </c>
      <c r="AM1296" s="29">
        <v>44937.96288194445</v>
      </c>
      <c r="AN1296" s="30">
        <v>2.0</v>
      </c>
      <c r="AO1296" s="22"/>
      <c r="AP1296" s="22"/>
      <c r="AQ1296" s="22"/>
      <c r="AR1296" s="22"/>
      <c r="AS1296" s="22"/>
      <c r="AT1296" s="70"/>
      <c r="AU1296" s="22"/>
      <c r="AV1296" s="57"/>
      <c r="AW1296" s="57"/>
      <c r="AX1296" s="70"/>
      <c r="AY1296" s="29"/>
      <c r="AZ1296" s="30"/>
      <c r="CU1296" s="55"/>
      <c r="CV1296" s="55"/>
      <c r="CW1296" s="55"/>
      <c r="CX1296" s="55"/>
      <c r="CY1296" s="55"/>
      <c r="CZ1296" s="55"/>
      <c r="DA1296" s="82"/>
      <c r="DB1296" s="55"/>
      <c r="DC1296" s="55"/>
      <c r="DD1296" s="55"/>
      <c r="DE1296" s="55"/>
      <c r="DF1296" s="55"/>
      <c r="DG1296" s="55"/>
      <c r="DH1296" s="55"/>
      <c r="DI1296" s="55"/>
      <c r="DJ1296" s="55"/>
      <c r="DK1296" s="55"/>
      <c r="DL1296" s="55"/>
      <c r="DM1296" s="55"/>
      <c r="DN1296" s="55"/>
      <c r="DO1296" s="55"/>
      <c r="DP1296" s="55"/>
      <c r="DQ1296" s="55"/>
      <c r="DR1296" s="55"/>
      <c r="DS1296" s="55"/>
      <c r="DT1296" s="55"/>
      <c r="DU1296" s="55"/>
      <c r="DV1296" s="55"/>
      <c r="DW1296" s="55"/>
    </row>
    <row r="1297">
      <c r="A1297" s="41" t="s">
        <v>64</v>
      </c>
      <c r="B1297" s="41" t="s">
        <v>56</v>
      </c>
      <c r="C1297" s="31" t="s">
        <v>2811</v>
      </c>
      <c r="D1297" s="25" t="str">
        <f>IFERROR(__xludf.DUMMYFUNCTION("SPLIT(C1297,"" "")"),"Christen,")</f>
        <v>Christen,</v>
      </c>
      <c r="E1297" s="40" t="str">
        <f>IFERROR(__xludf.DUMMYFUNCTION("""COMPUTED_VALUE"""),"FL
4833")</f>
        <v>FL
4833</v>
      </c>
      <c r="F1297" s="40" t="str">
        <f>IFERROR(__xludf.DUMMYFUNCTION("""COMPUTED_VALUE"""),"W.")</f>
        <v>W.</v>
      </c>
      <c r="G1297" s="40" t="str">
        <f>IFERROR(__xludf.DUMMYFUNCTION("""COMPUTED_VALUE"""),"Lawther")</f>
        <v>Lawther</v>
      </c>
      <c r="H1297" s="40" t="str">
        <f>IFERROR(__xludf.DUMMYFUNCTION("""COMPUTED_VALUE"""),"Drive
Dallas,")</f>
        <v>Drive
Dallas,</v>
      </c>
      <c r="I1297" s="40" t="str">
        <f>IFERROR(__xludf.DUMMYFUNCTION("""COMPUTED_VALUE"""),"TX")</f>
        <v>TX</v>
      </c>
      <c r="J1297" s="40">
        <f>IFERROR(__xludf.DUMMYFUNCTION("""COMPUTED_VALUE"""),75214.0)</f>
        <v>75214</v>
      </c>
      <c r="K1297" s="40"/>
      <c r="L1297" s="40"/>
      <c r="M1297" s="40"/>
      <c r="N1297" s="40"/>
      <c r="O1297" s="40"/>
      <c r="P1297" s="40"/>
      <c r="Q1297" s="40"/>
      <c r="R1297" s="40"/>
      <c r="S1297" s="40"/>
      <c r="T1297" s="40"/>
      <c r="U1297" s="24" t="str">
        <f>IFERROR(__xludf.DUMMYFUNCTION("SPLIT(E1297,""01234567890"")"),"FL
")</f>
        <v>FL
</v>
      </c>
      <c r="V1297" s="24" t="str">
        <f>IFERROR(__xludf.DUMMYFUNCTION("SPLIT(D1297,"","")"),"Christen")</f>
        <v>Christen</v>
      </c>
      <c r="W1297" s="25" t="str">
        <f t="shared" si="1"/>
        <v>FL
 CHRISTEN</v>
      </c>
      <c r="X1297" s="40"/>
      <c r="Y1297" s="40"/>
      <c r="Z1297" s="25" t="str">
        <f>IFERROR(__xludf.DUMMYFUNCTION("SPLIT(C1297,""
"")"),"Christen, FL")</f>
        <v>Christen, FL</v>
      </c>
      <c r="AA1297" s="40" t="str">
        <f>IFERROR(__xludf.DUMMYFUNCTION("""COMPUTED_VALUE"""),"4833 W. Lawther Drive")</f>
        <v>4833 W. Lawther Drive</v>
      </c>
      <c r="AB1297" s="40" t="str">
        <f>IFERROR(__xludf.DUMMYFUNCTION("""COMPUTED_VALUE"""),"Dallas, TX 75214")</f>
        <v>Dallas, TX 75214</v>
      </c>
      <c r="AC1297" s="31" t="s">
        <v>2812</v>
      </c>
      <c r="AD1297" s="40"/>
      <c r="AE1297" s="40"/>
      <c r="AF1297" s="40"/>
      <c r="AG1297" s="40" t="s">
        <v>60</v>
      </c>
      <c r="AH1297" s="42">
        <v>2488.0</v>
      </c>
      <c r="AI1297" s="40" t="s">
        <v>68</v>
      </c>
      <c r="AJ1297" s="27">
        <v>25.0</v>
      </c>
      <c r="AK1297" s="31" t="s">
        <v>32</v>
      </c>
      <c r="AL1297" s="43">
        <v>44776.0</v>
      </c>
      <c r="AM1297" s="44">
        <v>44937.96288194445</v>
      </c>
      <c r="AN1297" s="30">
        <v>2.0</v>
      </c>
      <c r="AO1297" s="40"/>
      <c r="AP1297" s="40"/>
      <c r="AQ1297" s="40"/>
      <c r="AR1297" s="40"/>
      <c r="AS1297" s="40"/>
      <c r="AT1297" s="47"/>
      <c r="AU1297" s="40"/>
      <c r="AV1297" s="46"/>
      <c r="AW1297" s="46"/>
      <c r="AX1297" s="47"/>
      <c r="AY1297" s="44"/>
      <c r="AZ1297" s="30"/>
      <c r="CU1297" s="55"/>
      <c r="CV1297" s="55"/>
      <c r="CW1297" s="55"/>
      <c r="CX1297" s="55"/>
      <c r="CY1297" s="55"/>
      <c r="CZ1297" s="55"/>
      <c r="DA1297" s="82"/>
      <c r="DB1297" s="55"/>
      <c r="DC1297" s="55"/>
      <c r="DD1297" s="55"/>
      <c r="DE1297" s="55"/>
      <c r="DF1297" s="55"/>
      <c r="DG1297" s="55"/>
      <c r="DH1297" s="55"/>
      <c r="DI1297" s="55"/>
      <c r="DJ1297" s="55"/>
      <c r="DK1297" s="55"/>
      <c r="DL1297" s="55"/>
      <c r="DM1297" s="55"/>
      <c r="DN1297" s="55"/>
      <c r="DO1297" s="55"/>
      <c r="DP1297" s="55"/>
      <c r="DQ1297" s="55"/>
      <c r="DR1297" s="55"/>
      <c r="DS1297" s="55"/>
      <c r="DT1297" s="55"/>
      <c r="DU1297" s="55"/>
      <c r="DV1297" s="55"/>
      <c r="DW1297" s="55"/>
    </row>
    <row r="1298">
      <c r="A1298" s="23" t="s">
        <v>64</v>
      </c>
      <c r="B1298" s="23" t="s">
        <v>56</v>
      </c>
      <c r="C1298" s="31" t="s">
        <v>2801</v>
      </c>
      <c r="D1298" s="25" t="str">
        <f>IFERROR(__xludf.DUMMYFUNCTION("SPLIT(C1298,"" "")"),"Hasenbauer,")</f>
        <v>Hasenbauer,</v>
      </c>
      <c r="E1298" s="22" t="str">
        <f>IFERROR(__xludf.DUMMYFUNCTION("""COMPUTED_VALUE"""),"Brian
9811")</f>
        <v>Brian
9811</v>
      </c>
      <c r="F1298" s="22" t="str">
        <f>IFERROR(__xludf.DUMMYFUNCTION("""COMPUTED_VALUE"""),"Estate")</f>
        <v>Estate</v>
      </c>
      <c r="G1298" s="22" t="str">
        <f>IFERROR(__xludf.DUMMYFUNCTION("""COMPUTED_VALUE"""),"Lane
DALLAS,")</f>
        <v>Lane
DALLAS,</v>
      </c>
      <c r="H1298" s="22" t="str">
        <f>IFERROR(__xludf.DUMMYFUNCTION("""COMPUTED_VALUE"""),"TX")</f>
        <v>TX</v>
      </c>
      <c r="I1298" s="22">
        <f>IFERROR(__xludf.DUMMYFUNCTION("""COMPUTED_VALUE"""),75238.0)</f>
        <v>75238</v>
      </c>
      <c r="J1298" s="22"/>
      <c r="K1298" s="22"/>
      <c r="L1298" s="22"/>
      <c r="M1298" s="22"/>
      <c r="N1298" s="22"/>
      <c r="O1298" s="22"/>
      <c r="P1298" s="22"/>
      <c r="Q1298" s="22"/>
      <c r="R1298" s="22"/>
      <c r="S1298" s="22"/>
      <c r="T1298" s="22"/>
      <c r="U1298" s="24" t="str">
        <f>IFERROR(__xludf.DUMMYFUNCTION("SPLIT(E1298,""01234567890"")"),"Brian
")</f>
        <v>Brian
</v>
      </c>
      <c r="V1298" s="24" t="str">
        <f>IFERROR(__xludf.DUMMYFUNCTION("SPLIT(D1298,"","")"),"Hasenbauer")</f>
        <v>Hasenbauer</v>
      </c>
      <c r="W1298" s="25" t="str">
        <f t="shared" si="1"/>
        <v>BRIAN
 HASENBAUER</v>
      </c>
      <c r="X1298" s="22"/>
      <c r="Y1298" s="22"/>
      <c r="Z1298" s="25" t="str">
        <f>IFERROR(__xludf.DUMMYFUNCTION("SPLIT(C1298,""
"")"),"Hasenbauer, Brian")</f>
        <v>Hasenbauer, Brian</v>
      </c>
      <c r="AA1298" s="22" t="str">
        <f>IFERROR(__xludf.DUMMYFUNCTION("""COMPUTED_VALUE"""),"9811 Estate Lane")</f>
        <v>9811 Estate Lane</v>
      </c>
      <c r="AB1298" s="22" t="str">
        <f>IFERROR(__xludf.DUMMYFUNCTION("""COMPUTED_VALUE"""),"DALLAS, TX 75238")</f>
        <v>DALLAS, TX 75238</v>
      </c>
      <c r="AC1298" s="31" t="s">
        <v>2802</v>
      </c>
      <c r="AD1298" s="22"/>
      <c r="AE1298" s="22"/>
      <c r="AF1298" s="22"/>
      <c r="AG1298" s="22" t="s">
        <v>60</v>
      </c>
      <c r="AH1298" s="54">
        <v>2488.0</v>
      </c>
      <c r="AI1298" s="22" t="s">
        <v>68</v>
      </c>
      <c r="AJ1298" s="27">
        <v>150.0</v>
      </c>
      <c r="AK1298" s="31" t="s">
        <v>32</v>
      </c>
      <c r="AL1298" s="28">
        <v>44757.0</v>
      </c>
      <c r="AM1298" s="29">
        <v>44937.96288194445</v>
      </c>
      <c r="AN1298" s="30">
        <v>2.0</v>
      </c>
      <c r="AO1298" s="22"/>
      <c r="AP1298" s="22"/>
      <c r="AQ1298" s="22"/>
      <c r="AR1298" s="22"/>
      <c r="AS1298" s="22"/>
      <c r="AT1298" s="70"/>
      <c r="AU1298" s="22"/>
      <c r="AV1298" s="57"/>
      <c r="AW1298" s="57"/>
      <c r="AX1298" s="70"/>
      <c r="AY1298" s="29"/>
      <c r="AZ1298" s="30"/>
      <c r="CU1298" s="55"/>
      <c r="CV1298" s="55"/>
      <c r="CW1298" s="55"/>
      <c r="CX1298" s="55"/>
      <c r="CY1298" s="55"/>
      <c r="CZ1298" s="55"/>
      <c r="DA1298" s="82"/>
      <c r="DB1298" s="55"/>
      <c r="DC1298" s="55"/>
      <c r="DD1298" s="55"/>
      <c r="DE1298" s="55"/>
      <c r="DF1298" s="55"/>
      <c r="DG1298" s="55"/>
      <c r="DH1298" s="55"/>
      <c r="DI1298" s="55"/>
      <c r="DJ1298" s="55"/>
      <c r="DK1298" s="55"/>
      <c r="DL1298" s="55"/>
      <c r="DM1298" s="55"/>
      <c r="DN1298" s="55"/>
      <c r="DO1298" s="55"/>
      <c r="DP1298" s="55"/>
      <c r="DQ1298" s="55"/>
      <c r="DR1298" s="55"/>
      <c r="DS1298" s="55"/>
      <c r="DT1298" s="55"/>
      <c r="DU1298" s="55"/>
      <c r="DV1298" s="55"/>
      <c r="DW1298" s="55"/>
    </row>
    <row r="1299">
      <c r="A1299" s="40" t="s">
        <v>55</v>
      </c>
      <c r="B1299" s="41" t="s">
        <v>56</v>
      </c>
      <c r="C1299" s="31" t="s">
        <v>2813</v>
      </c>
      <c r="D1299" s="25" t="str">
        <f>IFERROR(__xludf.DUMMYFUNCTION("SPLIT(C1299,"" "")"),"Keen")</f>
        <v>Keen</v>
      </c>
      <c r="E1299" s="40" t="str">
        <f>IFERROR(__xludf.DUMMYFUNCTION("""COMPUTED_VALUE"""),"Homes")</f>
        <v>Homes</v>
      </c>
      <c r="F1299" s="40" t="str">
        <f>IFERROR(__xludf.DUMMYFUNCTION("""COMPUTED_VALUE"""),"LLC
6953")</f>
        <v>LLC
6953</v>
      </c>
      <c r="G1299" s="40" t="str">
        <f>IFERROR(__xludf.DUMMYFUNCTION("""COMPUTED_VALUE"""),"Bob")</f>
        <v>Bob</v>
      </c>
      <c r="H1299" s="40" t="str">
        <f>IFERROR(__xludf.DUMMYFUNCTION("""COMPUTED_VALUE"""),"O")</f>
        <v>O</v>
      </c>
      <c r="I1299" s="40" t="str">
        <f>IFERROR(__xludf.DUMMYFUNCTION("""COMPUTED_VALUE"""),"Link
Dallas,")</f>
        <v>Link
Dallas,</v>
      </c>
      <c r="J1299" s="40" t="str">
        <f>IFERROR(__xludf.DUMMYFUNCTION("""COMPUTED_VALUE"""),"TX")</f>
        <v>TX</v>
      </c>
      <c r="K1299" s="40">
        <f>IFERROR(__xludf.DUMMYFUNCTION("""COMPUTED_VALUE"""),75214.0)</f>
        <v>75214</v>
      </c>
      <c r="L1299" s="40"/>
      <c r="M1299" s="40"/>
      <c r="N1299" s="40"/>
      <c r="O1299" s="40"/>
      <c r="P1299" s="40"/>
      <c r="Q1299" s="40"/>
      <c r="R1299" s="40"/>
      <c r="S1299" s="40"/>
      <c r="T1299" s="40"/>
      <c r="U1299" s="24" t="str">
        <f>IFERROR(__xludf.DUMMYFUNCTION("SPLIT(E1299,""01234567890"")"),"Homes")</f>
        <v>Homes</v>
      </c>
      <c r="V1299" s="24" t="str">
        <f>IFERROR(__xludf.DUMMYFUNCTION("SPLIT(D1299,"","")"),"Keen")</f>
        <v>Keen</v>
      </c>
      <c r="W1299" s="25" t="str">
        <f t="shared" si="1"/>
        <v>HOMES KEEN</v>
      </c>
      <c r="X1299" s="40"/>
      <c r="Y1299" s="40"/>
      <c r="Z1299" s="25" t="str">
        <f>IFERROR(__xludf.DUMMYFUNCTION("SPLIT(C1299,""
"")"),"Keen Homes LLC")</f>
        <v>Keen Homes LLC</v>
      </c>
      <c r="AA1299" s="40" t="str">
        <f>IFERROR(__xludf.DUMMYFUNCTION("""COMPUTED_VALUE"""),"6953 Bob O Link")</f>
        <v>6953 Bob O Link</v>
      </c>
      <c r="AB1299" s="40" t="str">
        <f>IFERROR(__xludf.DUMMYFUNCTION("""COMPUTED_VALUE"""),"Dallas, TX 75214")</f>
        <v>Dallas, TX 75214</v>
      </c>
      <c r="AC1299" s="31" t="s">
        <v>2814</v>
      </c>
      <c r="AD1299" s="40"/>
      <c r="AE1299" s="40"/>
      <c r="AF1299" s="40"/>
      <c r="AG1299" s="40" t="s">
        <v>60</v>
      </c>
      <c r="AH1299" s="42">
        <v>2486.0</v>
      </c>
      <c r="AI1299" s="40" t="s">
        <v>68</v>
      </c>
      <c r="AJ1299" s="27">
        <v>50.0</v>
      </c>
      <c r="AK1299" s="31" t="s">
        <v>24</v>
      </c>
      <c r="AL1299" s="43">
        <v>44908.0</v>
      </c>
      <c r="AM1299" s="44">
        <v>44942.42989583333</v>
      </c>
      <c r="AN1299" s="30">
        <v>2.0</v>
      </c>
      <c r="AO1299" s="40"/>
      <c r="AP1299" s="40"/>
      <c r="AQ1299" s="40"/>
      <c r="AR1299" s="40"/>
      <c r="AS1299" s="40"/>
      <c r="AT1299" s="47"/>
      <c r="AU1299" s="40"/>
      <c r="AV1299" s="46"/>
      <c r="AW1299" s="46"/>
      <c r="AX1299" s="47"/>
      <c r="AY1299" s="44"/>
      <c r="AZ1299" s="30"/>
      <c r="CU1299" s="55"/>
      <c r="CV1299" s="55"/>
      <c r="CW1299" s="55"/>
      <c r="CX1299" s="55"/>
      <c r="CY1299" s="55"/>
      <c r="CZ1299" s="55"/>
      <c r="DA1299" s="82"/>
      <c r="DB1299" s="55"/>
      <c r="DC1299" s="55"/>
      <c r="DD1299" s="55"/>
      <c r="DE1299" s="55"/>
      <c r="DF1299" s="55"/>
      <c r="DG1299" s="55"/>
      <c r="DH1299" s="55"/>
      <c r="DI1299" s="55"/>
      <c r="DJ1299" s="55"/>
      <c r="DK1299" s="55"/>
      <c r="DL1299" s="55"/>
      <c r="DM1299" s="55"/>
      <c r="DN1299" s="55"/>
      <c r="DO1299" s="55"/>
      <c r="DP1299" s="55"/>
      <c r="DQ1299" s="55"/>
      <c r="DR1299" s="55"/>
      <c r="DS1299" s="55"/>
      <c r="DT1299" s="55"/>
      <c r="DU1299" s="55"/>
      <c r="DV1299" s="55"/>
      <c r="DW1299" s="55"/>
    </row>
    <row r="1300">
      <c r="A1300" s="22" t="s">
        <v>55</v>
      </c>
      <c r="B1300" s="23" t="s">
        <v>56</v>
      </c>
      <c r="C1300" s="31" t="s">
        <v>2815</v>
      </c>
      <c r="D1300" s="25" t="str">
        <f>IFERROR(__xludf.DUMMYFUNCTION("SPLIT(C1300,"" "")"),"Caldwell,")</f>
        <v>Caldwell,</v>
      </c>
      <c r="E1300" s="22" t="str">
        <f>IFERROR(__xludf.DUMMYFUNCTION("""COMPUTED_VALUE"""),"James
3511")</f>
        <v>James
3511</v>
      </c>
      <c r="F1300" s="22" t="str">
        <f>IFERROR(__xludf.DUMMYFUNCTION("""COMPUTED_VALUE"""),"Trinity")</f>
        <v>Trinity</v>
      </c>
      <c r="G1300" s="22" t="str">
        <f>IFERROR(__xludf.DUMMYFUNCTION("""COMPUTED_VALUE"""),"Meadows
Midland,")</f>
        <v>Meadows
Midland,</v>
      </c>
      <c r="H1300" s="22" t="str">
        <f>IFERROR(__xludf.DUMMYFUNCTION("""COMPUTED_VALUE"""),"TX")</f>
        <v>TX</v>
      </c>
      <c r="I1300" s="22">
        <f>IFERROR(__xludf.DUMMYFUNCTION("""COMPUTED_VALUE"""),79707.0)</f>
        <v>79707</v>
      </c>
      <c r="J1300" s="22"/>
      <c r="K1300" s="22"/>
      <c r="L1300" s="22"/>
      <c r="M1300" s="22"/>
      <c r="N1300" s="22"/>
      <c r="O1300" s="22"/>
      <c r="P1300" s="22"/>
      <c r="Q1300" s="22"/>
      <c r="R1300" s="22"/>
      <c r="S1300" s="22"/>
      <c r="T1300" s="22"/>
      <c r="U1300" s="24" t="str">
        <f>IFERROR(__xludf.DUMMYFUNCTION("SPLIT(E1300,""01234567890"")"),"James
")</f>
        <v>James
</v>
      </c>
      <c r="V1300" s="24" t="str">
        <f>IFERROR(__xludf.DUMMYFUNCTION("SPLIT(D1300,"","")"),"Caldwell")</f>
        <v>Caldwell</v>
      </c>
      <c r="W1300" s="25" t="str">
        <f t="shared" si="1"/>
        <v>JAMES
 CALDWELL</v>
      </c>
      <c r="X1300" s="22"/>
      <c r="Y1300" s="22"/>
      <c r="Z1300" s="25" t="str">
        <f>IFERROR(__xludf.DUMMYFUNCTION("SPLIT(C1300,""
"")"),"Caldwell, James")</f>
        <v>Caldwell, James</v>
      </c>
      <c r="AA1300" s="22" t="str">
        <f>IFERROR(__xludf.DUMMYFUNCTION("""COMPUTED_VALUE"""),"3511 Trinity Meadows")</f>
        <v>3511 Trinity Meadows</v>
      </c>
      <c r="AB1300" s="22" t="str">
        <f>IFERROR(__xludf.DUMMYFUNCTION("""COMPUTED_VALUE"""),"Midland, TX 79707")</f>
        <v>Midland, TX 79707</v>
      </c>
      <c r="AC1300" s="31" t="s">
        <v>2816</v>
      </c>
      <c r="AD1300" s="22"/>
      <c r="AE1300" s="22"/>
      <c r="AF1300" s="22"/>
      <c r="AG1300" s="22" t="s">
        <v>60</v>
      </c>
      <c r="AH1300" s="54">
        <v>2486.0</v>
      </c>
      <c r="AI1300" s="22" t="s">
        <v>68</v>
      </c>
      <c r="AJ1300" s="27">
        <v>5000.0</v>
      </c>
      <c r="AK1300" s="31" t="s">
        <v>24</v>
      </c>
      <c r="AL1300" s="28">
        <v>44924.0</v>
      </c>
      <c r="AM1300" s="29">
        <v>44942.42989583333</v>
      </c>
      <c r="AN1300" s="30">
        <v>2.0</v>
      </c>
      <c r="AO1300" s="22"/>
      <c r="AP1300" s="22"/>
      <c r="AQ1300" s="22"/>
      <c r="AR1300" s="22"/>
      <c r="AS1300" s="22"/>
      <c r="AT1300" s="70"/>
      <c r="AU1300" s="22"/>
      <c r="AV1300" s="57"/>
      <c r="AW1300" s="57"/>
      <c r="AX1300" s="70"/>
      <c r="AY1300" s="29"/>
      <c r="AZ1300" s="30"/>
      <c r="CU1300" s="55"/>
      <c r="CV1300" s="55"/>
      <c r="CW1300" s="55"/>
      <c r="CX1300" s="55"/>
      <c r="CY1300" s="55"/>
      <c r="CZ1300" s="55"/>
      <c r="DA1300" s="82"/>
      <c r="DB1300" s="55"/>
      <c r="DC1300" s="55"/>
      <c r="DD1300" s="55"/>
      <c r="DE1300" s="55"/>
      <c r="DF1300" s="55"/>
      <c r="DG1300" s="55"/>
      <c r="DH1300" s="55"/>
      <c r="DI1300" s="55"/>
      <c r="DJ1300" s="55"/>
      <c r="DK1300" s="55"/>
      <c r="DL1300" s="55"/>
      <c r="DM1300" s="55"/>
      <c r="DN1300" s="55"/>
      <c r="DO1300" s="55"/>
      <c r="DP1300" s="55"/>
      <c r="DQ1300" s="55"/>
      <c r="DR1300" s="55"/>
      <c r="DS1300" s="55"/>
      <c r="DT1300" s="55"/>
      <c r="DU1300" s="55"/>
      <c r="DV1300" s="55"/>
      <c r="DW1300" s="55"/>
    </row>
    <row r="1301">
      <c r="A1301" s="40" t="s">
        <v>55</v>
      </c>
      <c r="B1301" s="41" t="s">
        <v>56</v>
      </c>
      <c r="C1301" s="31" t="s">
        <v>2817</v>
      </c>
      <c r="D1301" s="25" t="str">
        <f>IFERROR(__xludf.DUMMYFUNCTION("SPLIT(C1301,"" "")"),"Jones,")</f>
        <v>Jones,</v>
      </c>
      <c r="E1301" s="40" t="str">
        <f>IFERROR(__xludf.DUMMYFUNCTION("""COMPUTED_VALUE"""),"Edwin
1316")</f>
        <v>Edwin
1316</v>
      </c>
      <c r="F1301" s="40" t="str">
        <f>IFERROR(__xludf.DUMMYFUNCTION("""COMPUTED_VALUE"""),"Parkview")</f>
        <v>Parkview</v>
      </c>
      <c r="G1301" s="40" t="str">
        <f>IFERROR(__xludf.DUMMYFUNCTION("""COMPUTED_VALUE"""),"Lane
Murphy,")</f>
        <v>Lane
Murphy,</v>
      </c>
      <c r="H1301" s="40" t="str">
        <f>IFERROR(__xludf.DUMMYFUNCTION("""COMPUTED_VALUE"""),"TX")</f>
        <v>TX</v>
      </c>
      <c r="I1301" s="40">
        <f>IFERROR(__xludf.DUMMYFUNCTION("""COMPUTED_VALUE"""),75094.0)</f>
        <v>75094</v>
      </c>
      <c r="J1301" s="40"/>
      <c r="K1301" s="40"/>
      <c r="L1301" s="40"/>
      <c r="M1301" s="40"/>
      <c r="N1301" s="40"/>
      <c r="O1301" s="40"/>
      <c r="P1301" s="40"/>
      <c r="Q1301" s="40"/>
      <c r="R1301" s="40"/>
      <c r="S1301" s="40"/>
      <c r="T1301" s="40"/>
      <c r="U1301" s="24" t="str">
        <f>IFERROR(__xludf.DUMMYFUNCTION("SPLIT(E1301,""01234567890"")"),"Edwin
")</f>
        <v>Edwin
</v>
      </c>
      <c r="V1301" s="24" t="str">
        <f>IFERROR(__xludf.DUMMYFUNCTION("SPLIT(D1301,"","")"),"Jones")</f>
        <v>Jones</v>
      </c>
      <c r="W1301" s="25" t="str">
        <f t="shared" si="1"/>
        <v>EDWIN
 JONES</v>
      </c>
      <c r="X1301" s="40"/>
      <c r="Y1301" s="40"/>
      <c r="Z1301" s="25" t="str">
        <f>IFERROR(__xludf.DUMMYFUNCTION("SPLIT(C1301,""
"")"),"Jones, Edwin")</f>
        <v>Jones, Edwin</v>
      </c>
      <c r="AA1301" s="40" t="str">
        <f>IFERROR(__xludf.DUMMYFUNCTION("""COMPUTED_VALUE"""),"1316 Parkview Lane")</f>
        <v>1316 Parkview Lane</v>
      </c>
      <c r="AB1301" s="40" t="str">
        <f>IFERROR(__xludf.DUMMYFUNCTION("""COMPUTED_VALUE"""),"Murphy, TX 75094")</f>
        <v>Murphy, TX 75094</v>
      </c>
      <c r="AC1301" s="31" t="s">
        <v>2818</v>
      </c>
      <c r="AD1301" s="40"/>
      <c r="AE1301" s="40"/>
      <c r="AF1301" s="40"/>
      <c r="AG1301" s="40" t="s">
        <v>60</v>
      </c>
      <c r="AH1301" s="42">
        <v>2480.0</v>
      </c>
      <c r="AI1301" s="40" t="s">
        <v>68</v>
      </c>
      <c r="AJ1301" s="27">
        <v>1000.0</v>
      </c>
      <c r="AK1301" s="31" t="s">
        <v>22</v>
      </c>
      <c r="AL1301" s="43">
        <v>44882.0</v>
      </c>
      <c r="AM1301" s="44">
        <v>44942.7278125</v>
      </c>
      <c r="AN1301" s="30">
        <v>2.0</v>
      </c>
      <c r="AO1301" s="40"/>
      <c r="AP1301" s="40"/>
      <c r="AQ1301" s="40"/>
      <c r="AR1301" s="40"/>
      <c r="AS1301" s="40"/>
      <c r="AT1301" s="47"/>
      <c r="AU1301" s="40"/>
      <c r="AV1301" s="46"/>
      <c r="AW1301" s="46"/>
      <c r="AX1301" s="47"/>
      <c r="AY1301" s="44"/>
      <c r="AZ1301" s="30"/>
      <c r="CU1301" s="55"/>
      <c r="CV1301" s="55"/>
      <c r="CW1301" s="55"/>
      <c r="CX1301" s="55"/>
      <c r="CY1301" s="55"/>
      <c r="CZ1301" s="55"/>
      <c r="DA1301" s="82"/>
      <c r="DB1301" s="55"/>
      <c r="DC1301" s="55"/>
      <c r="DD1301" s="55"/>
      <c r="DE1301" s="55"/>
      <c r="DF1301" s="55"/>
      <c r="DG1301" s="55"/>
      <c r="DH1301" s="55"/>
      <c r="DI1301" s="55"/>
      <c r="DJ1301" s="55"/>
      <c r="DK1301" s="55"/>
      <c r="DL1301" s="55"/>
      <c r="DM1301" s="55"/>
      <c r="DN1301" s="55"/>
      <c r="DO1301" s="55"/>
      <c r="DP1301" s="55"/>
      <c r="DQ1301" s="55"/>
      <c r="DR1301" s="55"/>
      <c r="DS1301" s="55"/>
      <c r="DT1301" s="55"/>
      <c r="DU1301" s="55"/>
      <c r="DV1301" s="55"/>
      <c r="DW1301" s="55"/>
    </row>
    <row r="1302">
      <c r="A1302" s="23" t="s">
        <v>64</v>
      </c>
      <c r="B1302" s="23" t="s">
        <v>56</v>
      </c>
      <c r="C1302" s="31" t="s">
        <v>1999</v>
      </c>
      <c r="D1302" s="25" t="str">
        <f>IFERROR(__xludf.DUMMYFUNCTION("SPLIT(C1302,"" "")"),"Crow,")</f>
        <v>Crow,</v>
      </c>
      <c r="E1302" s="22" t="str">
        <f>IFERROR(__xludf.DUMMYFUNCTION("""COMPUTED_VALUE"""),"Trammell
4000")</f>
        <v>Trammell
4000</v>
      </c>
      <c r="F1302" s="22" t="str">
        <f>IFERROR(__xludf.DUMMYFUNCTION("""COMPUTED_VALUE"""),"Rock")</f>
        <v>Rock</v>
      </c>
      <c r="G1302" s="22" t="str">
        <f>IFERROR(__xludf.DUMMYFUNCTION("""COMPUTED_VALUE"""),"Creek")</f>
        <v>Creek</v>
      </c>
      <c r="H1302" s="22" t="str">
        <f>IFERROR(__xludf.DUMMYFUNCTION("""COMPUTED_VALUE"""),"Dr
Dallas,")</f>
        <v>Dr
Dallas,</v>
      </c>
      <c r="I1302" s="22" t="str">
        <f>IFERROR(__xludf.DUMMYFUNCTION("""COMPUTED_VALUE"""),"TX")</f>
        <v>TX</v>
      </c>
      <c r="J1302" s="22">
        <f>IFERROR(__xludf.DUMMYFUNCTION("""COMPUTED_VALUE"""),75204.0)</f>
        <v>75204</v>
      </c>
      <c r="K1302" s="22"/>
      <c r="L1302" s="22"/>
      <c r="M1302" s="22"/>
      <c r="N1302" s="22"/>
      <c r="O1302" s="22"/>
      <c r="P1302" s="22"/>
      <c r="Q1302" s="22"/>
      <c r="R1302" s="22"/>
      <c r="S1302" s="22"/>
      <c r="T1302" s="22"/>
      <c r="U1302" s="24" t="str">
        <f>IFERROR(__xludf.DUMMYFUNCTION("SPLIT(E1302,""01234567890"")"),"Trammell
")</f>
        <v>Trammell
</v>
      </c>
      <c r="V1302" s="24" t="str">
        <f>IFERROR(__xludf.DUMMYFUNCTION("SPLIT(D1302,"","")"),"Crow")</f>
        <v>Crow</v>
      </c>
      <c r="W1302" s="25" t="str">
        <f t="shared" si="1"/>
        <v>TRAMMELL
 CROW</v>
      </c>
      <c r="X1302" s="22"/>
      <c r="Y1302" s="22"/>
      <c r="Z1302" s="25" t="str">
        <f>IFERROR(__xludf.DUMMYFUNCTION("SPLIT(C1302,""
"")"),"Crow, Trammell")</f>
        <v>Crow, Trammell</v>
      </c>
      <c r="AA1302" s="22" t="str">
        <f>IFERROR(__xludf.DUMMYFUNCTION("""COMPUTED_VALUE"""),"4000 Rock Creek Dr")</f>
        <v>4000 Rock Creek Dr</v>
      </c>
      <c r="AB1302" s="22" t="str">
        <f>IFERROR(__xludf.DUMMYFUNCTION("""COMPUTED_VALUE"""),"Dallas, TX 75204")</f>
        <v>Dallas, TX 75204</v>
      </c>
      <c r="AC1302" s="31" t="s">
        <v>2000</v>
      </c>
      <c r="AD1302" s="22"/>
      <c r="AE1302" s="22"/>
      <c r="AF1302" s="22"/>
      <c r="AG1302" s="22" t="s">
        <v>60</v>
      </c>
      <c r="AH1302" s="54">
        <v>2480.0</v>
      </c>
      <c r="AI1302" s="22" t="s">
        <v>68</v>
      </c>
      <c r="AJ1302" s="27">
        <v>1000.0</v>
      </c>
      <c r="AK1302" s="31" t="s">
        <v>22</v>
      </c>
      <c r="AL1302" s="28">
        <v>44916.0</v>
      </c>
      <c r="AM1302" s="29">
        <v>44942.7278125</v>
      </c>
      <c r="AN1302" s="30">
        <v>2.0</v>
      </c>
      <c r="AO1302" s="22"/>
      <c r="AP1302" s="22"/>
      <c r="AQ1302" s="22"/>
      <c r="AR1302" s="22"/>
      <c r="AS1302" s="22"/>
      <c r="AT1302" s="70"/>
      <c r="AU1302" s="22"/>
      <c r="AV1302" s="57"/>
      <c r="AW1302" s="57"/>
      <c r="AX1302" s="70"/>
      <c r="AY1302" s="29"/>
      <c r="AZ1302" s="30"/>
      <c r="CU1302" s="55"/>
      <c r="CV1302" s="55"/>
      <c r="CW1302" s="55"/>
      <c r="CX1302" s="55"/>
      <c r="CY1302" s="55"/>
      <c r="CZ1302" s="55"/>
      <c r="DA1302" s="82"/>
      <c r="DB1302" s="55"/>
      <c r="DC1302" s="55"/>
      <c r="DD1302" s="55"/>
      <c r="DE1302" s="55"/>
      <c r="DF1302" s="55"/>
      <c r="DG1302" s="55"/>
      <c r="DH1302" s="55"/>
      <c r="DI1302" s="55"/>
      <c r="DJ1302" s="55"/>
      <c r="DK1302" s="55"/>
      <c r="DL1302" s="55"/>
      <c r="DM1302" s="55"/>
      <c r="DN1302" s="55"/>
      <c r="DO1302" s="55"/>
      <c r="DP1302" s="55"/>
      <c r="DQ1302" s="55"/>
      <c r="DR1302" s="55"/>
      <c r="DS1302" s="55"/>
      <c r="DT1302" s="55"/>
      <c r="DU1302" s="55"/>
      <c r="DV1302" s="55"/>
      <c r="DW1302" s="55"/>
    </row>
    <row r="1303">
      <c r="A1303" s="41" t="s">
        <v>64</v>
      </c>
      <c r="B1303" s="41" t="s">
        <v>56</v>
      </c>
      <c r="C1303" s="31" t="s">
        <v>2819</v>
      </c>
      <c r="D1303" s="25" t="str">
        <f>IFERROR(__xludf.DUMMYFUNCTION("SPLIT(C1303,"" "")"),"Carey,")</f>
        <v>Carey,</v>
      </c>
      <c r="E1303" s="40" t="str">
        <f>IFERROR(__xludf.DUMMYFUNCTION("""COMPUTED_VALUE"""),"Jeff
300")</f>
        <v>Jeff
300</v>
      </c>
      <c r="F1303" s="40" t="str">
        <f>IFERROR(__xludf.DUMMYFUNCTION("""COMPUTED_VALUE"""),"E.")</f>
        <v>E.</v>
      </c>
      <c r="G1303" s="40" t="str">
        <f>IFERROR(__xludf.DUMMYFUNCTION("""COMPUTED_VALUE"""),"Round")</f>
        <v>Round</v>
      </c>
      <c r="H1303" s="40" t="str">
        <f>IFERROR(__xludf.DUMMYFUNCTION("""COMPUTED_VALUE"""),"Grove
Lewisville,")</f>
        <v>Grove
Lewisville,</v>
      </c>
      <c r="I1303" s="40" t="str">
        <f>IFERROR(__xludf.DUMMYFUNCTION("""COMPUTED_VALUE"""),"TX")</f>
        <v>TX</v>
      </c>
      <c r="J1303" s="40">
        <f>IFERROR(__xludf.DUMMYFUNCTION("""COMPUTED_VALUE"""),75067.0)</f>
        <v>75067</v>
      </c>
      <c r="K1303" s="40"/>
      <c r="L1303" s="40"/>
      <c r="M1303" s="40"/>
      <c r="N1303" s="40"/>
      <c r="O1303" s="40"/>
      <c r="P1303" s="40"/>
      <c r="Q1303" s="40"/>
      <c r="R1303" s="40"/>
      <c r="S1303" s="40"/>
      <c r="T1303" s="40"/>
      <c r="U1303" s="24" t="str">
        <f>IFERROR(__xludf.DUMMYFUNCTION("SPLIT(E1303,""01234567890"")"),"Jeff
")</f>
        <v>Jeff
</v>
      </c>
      <c r="V1303" s="24" t="str">
        <f>IFERROR(__xludf.DUMMYFUNCTION("SPLIT(D1303,"","")"),"Carey")</f>
        <v>Carey</v>
      </c>
      <c r="W1303" s="25" t="str">
        <f t="shared" si="1"/>
        <v>JEFF
 CAREY</v>
      </c>
      <c r="X1303" s="40"/>
      <c r="Y1303" s="40"/>
      <c r="Z1303" s="25" t="str">
        <f>IFERROR(__xludf.DUMMYFUNCTION("SPLIT(C1303,""
"")"),"Carey, Jeff")</f>
        <v>Carey, Jeff</v>
      </c>
      <c r="AA1303" s="40" t="str">
        <f>IFERROR(__xludf.DUMMYFUNCTION("""COMPUTED_VALUE"""),"300 E. Round Grove")</f>
        <v>300 E. Round Grove</v>
      </c>
      <c r="AB1303" s="40" t="str">
        <f>IFERROR(__xludf.DUMMYFUNCTION("""COMPUTED_VALUE"""),"Lewisville, TX 75067")</f>
        <v>Lewisville, TX 75067</v>
      </c>
      <c r="AC1303" s="31" t="s">
        <v>563</v>
      </c>
      <c r="AD1303" s="40"/>
      <c r="AE1303" s="40"/>
      <c r="AF1303" s="40"/>
      <c r="AG1303" s="40" t="s">
        <v>60</v>
      </c>
      <c r="AH1303" s="42">
        <v>2493.0</v>
      </c>
      <c r="AI1303" s="40" t="s">
        <v>68</v>
      </c>
      <c r="AJ1303" s="27">
        <v>1000.0</v>
      </c>
      <c r="AK1303" s="31" t="s">
        <v>34</v>
      </c>
      <c r="AL1303" s="43">
        <v>44770.0</v>
      </c>
      <c r="AM1303" s="44">
        <v>44943.30391203704</v>
      </c>
      <c r="AN1303" s="30">
        <v>2.0</v>
      </c>
      <c r="AO1303" s="40"/>
      <c r="AP1303" s="40"/>
      <c r="AQ1303" s="40"/>
      <c r="AR1303" s="40"/>
      <c r="AS1303" s="40"/>
      <c r="AT1303" s="47"/>
      <c r="AU1303" s="40"/>
      <c r="AV1303" s="46"/>
      <c r="AW1303" s="46"/>
      <c r="AX1303" s="47"/>
      <c r="AY1303" s="44"/>
      <c r="AZ1303" s="30"/>
      <c r="CU1303" s="55"/>
      <c r="CV1303" s="55"/>
      <c r="CW1303" s="55"/>
      <c r="CX1303" s="55"/>
      <c r="CY1303" s="55"/>
      <c r="CZ1303" s="55"/>
      <c r="DA1303" s="82"/>
      <c r="DB1303" s="55"/>
      <c r="DC1303" s="55"/>
      <c r="DD1303" s="55"/>
      <c r="DE1303" s="55"/>
      <c r="DF1303" s="55"/>
      <c r="DG1303" s="55"/>
      <c r="DH1303" s="55"/>
      <c r="DI1303" s="55"/>
      <c r="DJ1303" s="55"/>
      <c r="DK1303" s="55"/>
      <c r="DL1303" s="55"/>
      <c r="DM1303" s="55"/>
      <c r="DN1303" s="55"/>
      <c r="DO1303" s="55"/>
      <c r="DP1303" s="55"/>
      <c r="DQ1303" s="55"/>
      <c r="DR1303" s="55"/>
      <c r="DS1303" s="55"/>
      <c r="DT1303" s="55"/>
      <c r="DU1303" s="55"/>
      <c r="DV1303" s="55"/>
      <c r="DW1303" s="55"/>
    </row>
    <row r="1304">
      <c r="A1304" s="23" t="s">
        <v>64</v>
      </c>
      <c r="B1304" s="23" t="s">
        <v>56</v>
      </c>
      <c r="C1304" s="31" t="s">
        <v>2820</v>
      </c>
      <c r="D1304" s="25" t="str">
        <f>IFERROR(__xludf.DUMMYFUNCTION("SPLIT(C1304,"" "")"),"Page,")</f>
        <v>Page,</v>
      </c>
      <c r="E1304" s="22" t="str">
        <f>IFERROR(__xludf.DUMMYFUNCTION("""COMPUTED_VALUE"""),"Tony
3210")</f>
        <v>Tony
3210</v>
      </c>
      <c r="F1304" s="22" t="str">
        <f>IFERROR(__xludf.DUMMYFUNCTION("""COMPUTED_VALUE"""),"Carlyle
Dallas,")</f>
        <v>Carlyle
Dallas,</v>
      </c>
      <c r="G1304" s="22" t="str">
        <f>IFERROR(__xludf.DUMMYFUNCTION("""COMPUTED_VALUE"""),"TX")</f>
        <v>TX</v>
      </c>
      <c r="H1304" s="22">
        <f>IFERROR(__xludf.DUMMYFUNCTION("""COMPUTED_VALUE"""),75204.0)</f>
        <v>75204</v>
      </c>
      <c r="I1304" s="22"/>
      <c r="J1304" s="22"/>
      <c r="K1304" s="22"/>
      <c r="L1304" s="22"/>
      <c r="M1304" s="22"/>
      <c r="N1304" s="22"/>
      <c r="O1304" s="22"/>
      <c r="P1304" s="22"/>
      <c r="Q1304" s="22"/>
      <c r="R1304" s="22"/>
      <c r="S1304" s="22"/>
      <c r="T1304" s="22"/>
      <c r="U1304" s="24" t="str">
        <f>IFERROR(__xludf.DUMMYFUNCTION("SPLIT(E1304,""01234567890"")"),"Tony
")</f>
        <v>Tony
</v>
      </c>
      <c r="V1304" s="24" t="str">
        <f>IFERROR(__xludf.DUMMYFUNCTION("SPLIT(D1304,"","")"),"Page")</f>
        <v>Page</v>
      </c>
      <c r="W1304" s="25" t="str">
        <f t="shared" si="1"/>
        <v>TONY
 PAGE</v>
      </c>
      <c r="X1304" s="22"/>
      <c r="Y1304" s="22"/>
      <c r="Z1304" s="25" t="str">
        <f>IFERROR(__xludf.DUMMYFUNCTION("SPLIT(C1304,""
"")"),"Page, Tony")</f>
        <v>Page, Tony</v>
      </c>
      <c r="AA1304" s="22" t="str">
        <f>IFERROR(__xludf.DUMMYFUNCTION("""COMPUTED_VALUE"""),"3210 Carlyle")</f>
        <v>3210 Carlyle</v>
      </c>
      <c r="AB1304" s="22" t="str">
        <f>IFERROR(__xludf.DUMMYFUNCTION("""COMPUTED_VALUE"""),"Dallas, TX 75204")</f>
        <v>Dallas, TX 75204</v>
      </c>
      <c r="AC1304" s="31" t="s">
        <v>2821</v>
      </c>
      <c r="AD1304" s="22"/>
      <c r="AE1304" s="22"/>
      <c r="AF1304" s="22"/>
      <c r="AG1304" s="22" t="s">
        <v>60</v>
      </c>
      <c r="AH1304" s="54">
        <v>2493.0</v>
      </c>
      <c r="AI1304" s="22" t="s">
        <v>68</v>
      </c>
      <c r="AJ1304" s="27">
        <v>1000.0</v>
      </c>
      <c r="AK1304" s="31" t="s">
        <v>34</v>
      </c>
      <c r="AL1304" s="28">
        <v>44819.0</v>
      </c>
      <c r="AM1304" s="29">
        <v>44943.30391203704</v>
      </c>
      <c r="AN1304" s="30">
        <v>2.0</v>
      </c>
      <c r="AO1304" s="22"/>
      <c r="AP1304" s="22"/>
      <c r="AQ1304" s="22"/>
      <c r="AR1304" s="22"/>
      <c r="AS1304" s="22"/>
      <c r="AT1304" s="70"/>
      <c r="AU1304" s="22"/>
      <c r="AV1304" s="57"/>
      <c r="AW1304" s="57"/>
      <c r="AX1304" s="70"/>
      <c r="AY1304" s="29"/>
      <c r="AZ1304" s="30"/>
      <c r="CU1304" s="55"/>
      <c r="CV1304" s="55"/>
      <c r="CW1304" s="55"/>
      <c r="CX1304" s="55"/>
      <c r="CY1304" s="55"/>
      <c r="CZ1304" s="55"/>
      <c r="DA1304" s="82"/>
      <c r="DB1304" s="55"/>
      <c r="DC1304" s="55"/>
      <c r="DD1304" s="55"/>
      <c r="DE1304" s="55"/>
      <c r="DF1304" s="55"/>
      <c r="DG1304" s="55"/>
      <c r="DH1304" s="55"/>
      <c r="DI1304" s="55"/>
      <c r="DJ1304" s="55"/>
      <c r="DK1304" s="55"/>
      <c r="DL1304" s="55"/>
      <c r="DM1304" s="55"/>
      <c r="DN1304" s="55"/>
      <c r="DO1304" s="55"/>
      <c r="DP1304" s="55"/>
      <c r="DQ1304" s="55"/>
      <c r="DR1304" s="55"/>
      <c r="DS1304" s="55"/>
      <c r="DT1304" s="55"/>
      <c r="DU1304" s="55"/>
      <c r="DV1304" s="55"/>
      <c r="DW1304" s="55"/>
    </row>
    <row r="1305">
      <c r="A1305" s="41" t="s">
        <v>64</v>
      </c>
      <c r="B1305" s="41" t="s">
        <v>56</v>
      </c>
      <c r="C1305" s="31" t="s">
        <v>2822</v>
      </c>
      <c r="D1305" s="25" t="str">
        <f>IFERROR(__xludf.DUMMYFUNCTION("SPLIT(C1305,"" "")"),"Puente,")</f>
        <v>Puente,</v>
      </c>
      <c r="E1305" s="40" t="str">
        <f>IFERROR(__xludf.DUMMYFUNCTION("""COMPUTED_VALUE"""),"Eric
2400")</f>
        <v>Eric
2400</v>
      </c>
      <c r="F1305" s="40" t="str">
        <f>IFERROR(__xludf.DUMMYFUNCTION("""COMPUTED_VALUE"""),"Catherine
Dallas,")</f>
        <v>Catherine
Dallas,</v>
      </c>
      <c r="G1305" s="40" t="str">
        <f>IFERROR(__xludf.DUMMYFUNCTION("""COMPUTED_VALUE"""),"TX")</f>
        <v>TX</v>
      </c>
      <c r="H1305" s="40">
        <f>IFERROR(__xludf.DUMMYFUNCTION("""COMPUTED_VALUE"""),75208.0)</f>
        <v>75208</v>
      </c>
      <c r="I1305" s="40"/>
      <c r="J1305" s="40"/>
      <c r="K1305" s="40"/>
      <c r="L1305" s="40"/>
      <c r="M1305" s="40"/>
      <c r="N1305" s="40"/>
      <c r="O1305" s="40"/>
      <c r="P1305" s="40"/>
      <c r="Q1305" s="40"/>
      <c r="R1305" s="40"/>
      <c r="S1305" s="40"/>
      <c r="T1305" s="40"/>
      <c r="U1305" s="24" t="str">
        <f>IFERROR(__xludf.DUMMYFUNCTION("SPLIT(E1305,""01234567890"")"),"Eric
")</f>
        <v>Eric
</v>
      </c>
      <c r="V1305" s="24" t="str">
        <f>IFERROR(__xludf.DUMMYFUNCTION("SPLIT(D1305,"","")"),"Puente")</f>
        <v>Puente</v>
      </c>
      <c r="W1305" s="25" t="str">
        <f t="shared" si="1"/>
        <v>ERIC
 PUENTE</v>
      </c>
      <c r="X1305" s="40"/>
      <c r="Y1305" s="40"/>
      <c r="Z1305" s="25" t="str">
        <f>IFERROR(__xludf.DUMMYFUNCTION("SPLIT(C1305,""
"")"),"Puente, Eric")</f>
        <v>Puente, Eric</v>
      </c>
      <c r="AA1305" s="40" t="str">
        <f>IFERROR(__xludf.DUMMYFUNCTION("""COMPUTED_VALUE"""),"2400 Catherine")</f>
        <v>2400 Catherine</v>
      </c>
      <c r="AB1305" s="40" t="str">
        <f>IFERROR(__xludf.DUMMYFUNCTION("""COMPUTED_VALUE"""),"Dallas, TX 75208")</f>
        <v>Dallas, TX 75208</v>
      </c>
      <c r="AC1305" s="31" t="s">
        <v>2823</v>
      </c>
      <c r="AD1305" s="40"/>
      <c r="AE1305" s="40"/>
      <c r="AF1305" s="40"/>
      <c r="AG1305" s="40" t="s">
        <v>60</v>
      </c>
      <c r="AH1305" s="42">
        <v>2494.0</v>
      </c>
      <c r="AI1305" s="40" t="s">
        <v>68</v>
      </c>
      <c r="AJ1305" s="27">
        <v>500.0</v>
      </c>
      <c r="AK1305" s="31" t="s">
        <v>37</v>
      </c>
      <c r="AL1305" s="43">
        <v>44926.0</v>
      </c>
      <c r="AM1305" s="44">
        <v>44943.69719907407</v>
      </c>
      <c r="AN1305" s="30">
        <v>2.0</v>
      </c>
      <c r="AO1305" s="40"/>
      <c r="AP1305" s="40"/>
      <c r="AQ1305" s="40"/>
      <c r="AR1305" s="40"/>
      <c r="AS1305" s="40"/>
      <c r="AT1305" s="47"/>
      <c r="AU1305" s="40"/>
      <c r="AV1305" s="46"/>
      <c r="AW1305" s="46"/>
      <c r="AX1305" s="47"/>
      <c r="AY1305" s="44"/>
      <c r="AZ1305" s="30"/>
      <c r="CU1305" s="55"/>
      <c r="CV1305" s="55"/>
      <c r="CW1305" s="55"/>
      <c r="CX1305" s="55"/>
      <c r="CY1305" s="55"/>
      <c r="CZ1305" s="55"/>
      <c r="DA1305" s="82"/>
      <c r="DB1305" s="55"/>
      <c r="DC1305" s="55"/>
      <c r="DD1305" s="55"/>
      <c r="DE1305" s="55"/>
      <c r="DF1305" s="55"/>
      <c r="DG1305" s="55"/>
      <c r="DH1305" s="55"/>
      <c r="DI1305" s="55"/>
      <c r="DJ1305" s="55"/>
      <c r="DK1305" s="55"/>
      <c r="DL1305" s="55"/>
      <c r="DM1305" s="55"/>
      <c r="DN1305" s="55"/>
      <c r="DO1305" s="55"/>
      <c r="DP1305" s="55"/>
      <c r="DQ1305" s="55"/>
      <c r="DR1305" s="55"/>
      <c r="DS1305" s="55"/>
      <c r="DT1305" s="55"/>
      <c r="DU1305" s="55"/>
      <c r="DV1305" s="55"/>
      <c r="DW1305" s="55"/>
    </row>
    <row r="1306">
      <c r="A1306" s="23" t="s">
        <v>64</v>
      </c>
      <c r="B1306" s="23" t="s">
        <v>56</v>
      </c>
      <c r="C1306" s="31" t="s">
        <v>2824</v>
      </c>
      <c r="D1306" s="25" t="str">
        <f>IFERROR(__xludf.DUMMYFUNCTION("SPLIT(C1306,"" "")"),"Sanders,")</f>
        <v>Sanders,</v>
      </c>
      <c r="E1306" s="22" t="str">
        <f>IFERROR(__xludf.DUMMYFUNCTION("""COMPUTED_VALUE"""),"Jerri
2351")</f>
        <v>Jerri
2351</v>
      </c>
      <c r="F1306" s="22" t="str">
        <f>IFERROR(__xludf.DUMMYFUNCTION("""COMPUTED_VALUE"""),"W")</f>
        <v>W</v>
      </c>
      <c r="G1306" s="22" t="str">
        <f>IFERROR(__xludf.DUMMYFUNCTION("""COMPUTED_VALUE"""),"Northwest")</f>
        <v>Northwest</v>
      </c>
      <c r="H1306" s="22" t="str">
        <f>IFERROR(__xludf.DUMMYFUNCTION("""COMPUTED_VALUE"""),"Hwy
Dallas,")</f>
        <v>Hwy
Dallas,</v>
      </c>
      <c r="I1306" s="22" t="str">
        <f>IFERROR(__xludf.DUMMYFUNCTION("""COMPUTED_VALUE"""),"TX")</f>
        <v>TX</v>
      </c>
      <c r="J1306" s="22">
        <f>IFERROR(__xludf.DUMMYFUNCTION("""COMPUTED_VALUE"""),75235.0)</f>
        <v>75235</v>
      </c>
      <c r="K1306" s="22"/>
      <c r="L1306" s="22"/>
      <c r="M1306" s="22"/>
      <c r="N1306" s="22"/>
      <c r="O1306" s="22"/>
      <c r="P1306" s="22"/>
      <c r="Q1306" s="22"/>
      <c r="R1306" s="22"/>
      <c r="S1306" s="22"/>
      <c r="T1306" s="22"/>
      <c r="U1306" s="24" t="str">
        <f>IFERROR(__xludf.DUMMYFUNCTION("SPLIT(E1306,""01234567890"")"),"Jerri
")</f>
        <v>Jerri
</v>
      </c>
      <c r="V1306" s="24" t="str">
        <f>IFERROR(__xludf.DUMMYFUNCTION("SPLIT(D1306,"","")"),"Sanders")</f>
        <v>Sanders</v>
      </c>
      <c r="W1306" s="25" t="str">
        <f t="shared" si="1"/>
        <v>JERRI
 SANDERS</v>
      </c>
      <c r="X1306" s="22"/>
      <c r="Y1306" s="22"/>
      <c r="Z1306" s="25" t="str">
        <f>IFERROR(__xludf.DUMMYFUNCTION("SPLIT(C1306,""
"")"),"Sanders, Jerri")</f>
        <v>Sanders, Jerri</v>
      </c>
      <c r="AA1306" s="22" t="str">
        <f>IFERROR(__xludf.DUMMYFUNCTION("""COMPUTED_VALUE"""),"2351 W Northwest Hwy")</f>
        <v>2351 W Northwest Hwy</v>
      </c>
      <c r="AB1306" s="22" t="str">
        <f>IFERROR(__xludf.DUMMYFUNCTION("""COMPUTED_VALUE"""),"Dallas, TX 75235")</f>
        <v>Dallas, TX 75235</v>
      </c>
      <c r="AC1306" s="31" t="s">
        <v>2825</v>
      </c>
      <c r="AD1306" s="22"/>
      <c r="AE1306" s="22"/>
      <c r="AF1306" s="22"/>
      <c r="AG1306" s="22" t="s">
        <v>60</v>
      </c>
      <c r="AH1306" s="54">
        <v>2494.0</v>
      </c>
      <c r="AI1306" s="22" t="s">
        <v>68</v>
      </c>
      <c r="AJ1306" s="27">
        <v>1000.0</v>
      </c>
      <c r="AK1306" s="31" t="s">
        <v>37</v>
      </c>
      <c r="AL1306" s="28">
        <v>44917.0</v>
      </c>
      <c r="AM1306" s="29">
        <v>44943.69719907407</v>
      </c>
      <c r="AN1306" s="30">
        <v>2.0</v>
      </c>
      <c r="AO1306" s="22"/>
      <c r="AP1306" s="22"/>
      <c r="AQ1306" s="22"/>
      <c r="AR1306" s="22"/>
      <c r="AS1306" s="22"/>
      <c r="AT1306" s="70"/>
      <c r="AU1306" s="22"/>
      <c r="AV1306" s="57"/>
      <c r="AW1306" s="57"/>
      <c r="AX1306" s="70"/>
      <c r="AY1306" s="29"/>
      <c r="AZ1306" s="30"/>
      <c r="CU1306" s="55"/>
      <c r="CV1306" s="55"/>
      <c r="CW1306" s="55"/>
      <c r="CX1306" s="55"/>
      <c r="CY1306" s="55"/>
      <c r="CZ1306" s="55"/>
      <c r="DA1306" s="82"/>
      <c r="DB1306" s="55"/>
      <c r="DC1306" s="55"/>
      <c r="DD1306" s="55"/>
      <c r="DE1306" s="55"/>
      <c r="DF1306" s="55"/>
      <c r="DG1306" s="55"/>
      <c r="DH1306" s="55"/>
      <c r="DI1306" s="55"/>
      <c r="DJ1306" s="55"/>
      <c r="DK1306" s="55"/>
      <c r="DL1306" s="55"/>
      <c r="DM1306" s="55"/>
      <c r="DN1306" s="55"/>
      <c r="DO1306" s="55"/>
      <c r="DP1306" s="55"/>
      <c r="DQ1306" s="55"/>
      <c r="DR1306" s="55"/>
      <c r="DS1306" s="55"/>
      <c r="DT1306" s="55"/>
      <c r="DU1306" s="55"/>
      <c r="DV1306" s="55"/>
      <c r="DW1306" s="55"/>
    </row>
    <row r="1307">
      <c r="A1307" s="41" t="s">
        <v>64</v>
      </c>
      <c r="B1307" s="41" t="s">
        <v>56</v>
      </c>
      <c r="C1307" s="31" t="s">
        <v>2826</v>
      </c>
      <c r="D1307" s="25" t="str">
        <f>IFERROR(__xludf.DUMMYFUNCTION("SPLIT(C1307,"" "")"),"Park,")</f>
        <v>Park,</v>
      </c>
      <c r="E1307" s="40" t="str">
        <f>IFERROR(__xludf.DUMMYFUNCTION("""COMPUTED_VALUE"""),"Mangu
4253")</f>
        <v>Mangu
4253</v>
      </c>
      <c r="F1307" s="40" t="str">
        <f>IFERROR(__xludf.DUMMYFUNCTION("""COMPUTED_VALUE"""),"Hunt")</f>
        <v>Hunt</v>
      </c>
      <c r="G1307" s="40" t="str">
        <f>IFERROR(__xludf.DUMMYFUNCTION("""COMPUTED_VALUE"""),"Dr
Carrollton,")</f>
        <v>Dr
Carrollton,</v>
      </c>
      <c r="H1307" s="40" t="str">
        <f>IFERROR(__xludf.DUMMYFUNCTION("""COMPUTED_VALUE"""),"TX")</f>
        <v>TX</v>
      </c>
      <c r="I1307" s="40">
        <f>IFERROR(__xludf.DUMMYFUNCTION("""COMPUTED_VALUE"""),75010.0)</f>
        <v>75010</v>
      </c>
      <c r="J1307" s="40"/>
      <c r="K1307" s="40"/>
      <c r="L1307" s="40"/>
      <c r="M1307" s="40"/>
      <c r="N1307" s="40"/>
      <c r="O1307" s="40"/>
      <c r="P1307" s="40"/>
      <c r="Q1307" s="40"/>
      <c r="R1307" s="40"/>
      <c r="S1307" s="40"/>
      <c r="T1307" s="40"/>
      <c r="U1307" s="24" t="str">
        <f>IFERROR(__xludf.DUMMYFUNCTION("SPLIT(E1307,""01234567890"")"),"Mangu
")</f>
        <v>Mangu
</v>
      </c>
      <c r="V1307" s="24" t="str">
        <f>IFERROR(__xludf.DUMMYFUNCTION("SPLIT(D1307,"","")"),"Park")</f>
        <v>Park</v>
      </c>
      <c r="W1307" s="25" t="str">
        <f t="shared" si="1"/>
        <v>MANGU
 PARK</v>
      </c>
      <c r="X1307" s="40"/>
      <c r="Y1307" s="40"/>
      <c r="Z1307" s="25" t="str">
        <f>IFERROR(__xludf.DUMMYFUNCTION("SPLIT(C1307,""
"")"),"Park, Mangu")</f>
        <v>Park, Mangu</v>
      </c>
      <c r="AA1307" s="40" t="str">
        <f>IFERROR(__xludf.DUMMYFUNCTION("""COMPUTED_VALUE"""),"4253 Hunt Dr")</f>
        <v>4253 Hunt Dr</v>
      </c>
      <c r="AB1307" s="40" t="str">
        <f>IFERROR(__xludf.DUMMYFUNCTION("""COMPUTED_VALUE"""),"Carrollton, TX 75010")</f>
        <v>Carrollton, TX 75010</v>
      </c>
      <c r="AC1307" s="31" t="s">
        <v>2827</v>
      </c>
      <c r="AD1307" s="40"/>
      <c r="AE1307" s="40"/>
      <c r="AF1307" s="40"/>
      <c r="AG1307" s="40" t="s">
        <v>60</v>
      </c>
      <c r="AH1307" s="42">
        <v>2494.0</v>
      </c>
      <c r="AI1307" s="40" t="s">
        <v>68</v>
      </c>
      <c r="AJ1307" s="27">
        <v>1000.0</v>
      </c>
      <c r="AK1307" s="31" t="s">
        <v>37</v>
      </c>
      <c r="AL1307" s="43">
        <v>44900.0</v>
      </c>
      <c r="AM1307" s="44">
        <v>44943.69719907407</v>
      </c>
      <c r="AN1307" s="30">
        <v>2.0</v>
      </c>
      <c r="AO1307" s="40"/>
      <c r="AP1307" s="40"/>
      <c r="AQ1307" s="40"/>
      <c r="AR1307" s="40"/>
      <c r="AS1307" s="40"/>
      <c r="AT1307" s="47"/>
      <c r="AU1307" s="40"/>
      <c r="AV1307" s="46"/>
      <c r="AW1307" s="46"/>
      <c r="AX1307" s="47"/>
      <c r="AY1307" s="44"/>
      <c r="AZ1307" s="30"/>
      <c r="CU1307" s="55"/>
      <c r="CV1307" s="55"/>
      <c r="CW1307" s="55"/>
      <c r="CX1307" s="55"/>
      <c r="CY1307" s="55"/>
      <c r="CZ1307" s="55"/>
      <c r="DA1307" s="82"/>
      <c r="DB1307" s="55"/>
      <c r="DC1307" s="55"/>
      <c r="DD1307" s="55"/>
      <c r="DE1307" s="55"/>
      <c r="DF1307" s="55"/>
      <c r="DG1307" s="55"/>
      <c r="DH1307" s="55"/>
      <c r="DI1307" s="55"/>
      <c r="DJ1307" s="55"/>
      <c r="DK1307" s="55"/>
      <c r="DL1307" s="55"/>
      <c r="DM1307" s="55"/>
      <c r="DN1307" s="55"/>
      <c r="DO1307" s="55"/>
      <c r="DP1307" s="55"/>
      <c r="DQ1307" s="55"/>
      <c r="DR1307" s="55"/>
      <c r="DS1307" s="55"/>
      <c r="DT1307" s="55"/>
      <c r="DU1307" s="55"/>
      <c r="DV1307" s="55"/>
      <c r="DW1307" s="55"/>
    </row>
    <row r="1308">
      <c r="A1308" s="22" t="s">
        <v>55</v>
      </c>
      <c r="B1308" s="23" t="s">
        <v>56</v>
      </c>
      <c r="C1308" s="31" t="s">
        <v>2828</v>
      </c>
      <c r="D1308" s="25" t="str">
        <f>IFERROR(__xludf.DUMMYFUNCTION("SPLIT(C1308,"" "")"),"Byrne,")</f>
        <v>Byrne,</v>
      </c>
      <c r="E1308" s="22" t="str">
        <f>IFERROR(__xludf.DUMMYFUNCTION("""COMPUTED_VALUE"""),"Tim
3720")</f>
        <v>Tim
3720</v>
      </c>
      <c r="F1308" s="22" t="str">
        <f>IFERROR(__xludf.DUMMYFUNCTION("""COMPUTED_VALUE"""),"Miramar
Dallas,")</f>
        <v>Miramar
Dallas,</v>
      </c>
      <c r="G1308" s="22" t="str">
        <f>IFERROR(__xludf.DUMMYFUNCTION("""COMPUTED_VALUE"""),"TX")</f>
        <v>TX</v>
      </c>
      <c r="H1308" s="22">
        <f>IFERROR(__xludf.DUMMYFUNCTION("""COMPUTED_VALUE"""),75205.0)</f>
        <v>75205</v>
      </c>
      <c r="I1308" s="22"/>
      <c r="J1308" s="22"/>
      <c r="K1308" s="22"/>
      <c r="L1308" s="22"/>
      <c r="M1308" s="22"/>
      <c r="N1308" s="22"/>
      <c r="O1308" s="22"/>
      <c r="P1308" s="22"/>
      <c r="Q1308" s="22"/>
      <c r="R1308" s="22"/>
      <c r="S1308" s="22"/>
      <c r="T1308" s="22"/>
      <c r="U1308" s="24" t="str">
        <f>IFERROR(__xludf.DUMMYFUNCTION("SPLIT(E1308,""01234567890"")"),"Tim
")</f>
        <v>Tim
</v>
      </c>
      <c r="V1308" s="24" t="str">
        <f>IFERROR(__xludf.DUMMYFUNCTION("SPLIT(D1308,"","")"),"Byrne")</f>
        <v>Byrne</v>
      </c>
      <c r="W1308" s="25" t="str">
        <f t="shared" si="1"/>
        <v>TIM
 BYRNE</v>
      </c>
      <c r="X1308" s="22"/>
      <c r="Y1308" s="22"/>
      <c r="Z1308" s="25" t="str">
        <f>IFERROR(__xludf.DUMMYFUNCTION("SPLIT(C1308,""
"")"),"Byrne, Tim")</f>
        <v>Byrne, Tim</v>
      </c>
      <c r="AA1308" s="22" t="str">
        <f>IFERROR(__xludf.DUMMYFUNCTION("""COMPUTED_VALUE"""),"3720 Miramar")</f>
        <v>3720 Miramar</v>
      </c>
      <c r="AB1308" s="22" t="str">
        <f>IFERROR(__xludf.DUMMYFUNCTION("""COMPUTED_VALUE"""),"Dallas, TX 75205")</f>
        <v>Dallas, TX 75205</v>
      </c>
      <c r="AC1308" s="31" t="s">
        <v>1158</v>
      </c>
      <c r="AD1308" s="22"/>
      <c r="AE1308" s="22"/>
      <c r="AF1308" s="22"/>
      <c r="AG1308" s="22" t="s">
        <v>60</v>
      </c>
      <c r="AH1308" s="54">
        <v>2496.0</v>
      </c>
      <c r="AI1308" s="22" t="s">
        <v>68</v>
      </c>
      <c r="AJ1308" s="27">
        <v>1000.0</v>
      </c>
      <c r="AK1308" s="31" t="s">
        <v>35</v>
      </c>
      <c r="AL1308" s="28">
        <v>44756.0</v>
      </c>
      <c r="AM1308" s="29">
        <v>44943.62793981482</v>
      </c>
      <c r="AN1308" s="30">
        <v>2.0</v>
      </c>
      <c r="AO1308" s="22"/>
      <c r="AP1308" s="22"/>
      <c r="AQ1308" s="22"/>
      <c r="AR1308" s="22"/>
      <c r="AS1308" s="22"/>
      <c r="AT1308" s="70"/>
      <c r="AU1308" s="22"/>
      <c r="AV1308" s="57"/>
      <c r="AW1308" s="57"/>
      <c r="AX1308" s="70"/>
      <c r="AY1308" s="29"/>
      <c r="AZ1308" s="30"/>
      <c r="CU1308" s="55"/>
      <c r="CV1308" s="55"/>
      <c r="CW1308" s="55"/>
      <c r="CX1308" s="55"/>
      <c r="CY1308" s="55"/>
      <c r="CZ1308" s="55"/>
      <c r="DA1308" s="82"/>
      <c r="DB1308" s="55"/>
      <c r="DC1308" s="55"/>
      <c r="DD1308" s="55"/>
      <c r="DE1308" s="55"/>
      <c r="DF1308" s="55"/>
      <c r="DG1308" s="55"/>
      <c r="DH1308" s="55"/>
      <c r="DI1308" s="55"/>
      <c r="DJ1308" s="55"/>
      <c r="DK1308" s="55"/>
      <c r="DL1308" s="55"/>
      <c r="DM1308" s="55"/>
      <c r="DN1308" s="55"/>
      <c r="DO1308" s="55"/>
      <c r="DP1308" s="55"/>
      <c r="DQ1308" s="55"/>
      <c r="DR1308" s="55"/>
      <c r="DS1308" s="55"/>
      <c r="DT1308" s="55"/>
      <c r="DU1308" s="55"/>
      <c r="DV1308" s="55"/>
      <c r="DW1308" s="55"/>
    </row>
    <row r="1309">
      <c r="A1309" s="41" t="s">
        <v>64</v>
      </c>
      <c r="B1309" s="41" t="s">
        <v>56</v>
      </c>
      <c r="C1309" s="31" t="s">
        <v>2829</v>
      </c>
      <c r="D1309" s="25" t="str">
        <f>IFERROR(__xludf.DUMMYFUNCTION("SPLIT(C1309,"" "")"),"Hunt,")</f>
        <v>Hunt,</v>
      </c>
      <c r="E1309" s="40" t="str">
        <f>IFERROR(__xludf.DUMMYFUNCTION("""COMPUTED_VALUE"""),"Ray
1900")</f>
        <v>Ray
1900</v>
      </c>
      <c r="F1309" s="40" t="str">
        <f>IFERROR(__xludf.DUMMYFUNCTION("""COMPUTED_VALUE"""),"N")</f>
        <v>N</v>
      </c>
      <c r="G1309" s="40" t="str">
        <f>IFERROR(__xludf.DUMMYFUNCTION("""COMPUTED_VALUE"""),"Akard
Dallas,")</f>
        <v>Akard
Dallas,</v>
      </c>
      <c r="H1309" s="40" t="str">
        <f>IFERROR(__xludf.DUMMYFUNCTION("""COMPUTED_VALUE"""),"TX")</f>
        <v>TX</v>
      </c>
      <c r="I1309" s="40">
        <f>IFERROR(__xludf.DUMMYFUNCTION("""COMPUTED_VALUE"""),75201.0)</f>
        <v>75201</v>
      </c>
      <c r="J1309" s="40"/>
      <c r="K1309" s="40"/>
      <c r="L1309" s="40"/>
      <c r="M1309" s="40"/>
      <c r="N1309" s="40"/>
      <c r="O1309" s="40"/>
      <c r="P1309" s="40"/>
      <c r="Q1309" s="40"/>
      <c r="R1309" s="40"/>
      <c r="S1309" s="40"/>
      <c r="T1309" s="40"/>
      <c r="U1309" s="24" t="str">
        <f>IFERROR(__xludf.DUMMYFUNCTION("SPLIT(E1309,""01234567890"")"),"Ray
")</f>
        <v>Ray
</v>
      </c>
      <c r="V1309" s="24" t="str">
        <f>IFERROR(__xludf.DUMMYFUNCTION("SPLIT(D1309,"","")"),"Hunt")</f>
        <v>Hunt</v>
      </c>
      <c r="W1309" s="25" t="str">
        <f t="shared" si="1"/>
        <v>RAY
 HUNT</v>
      </c>
      <c r="X1309" s="40"/>
      <c r="Y1309" s="40"/>
      <c r="Z1309" s="25" t="str">
        <f>IFERROR(__xludf.DUMMYFUNCTION("SPLIT(C1309,""
"")"),"Hunt, Ray")</f>
        <v>Hunt, Ray</v>
      </c>
      <c r="AA1309" s="40" t="str">
        <f>IFERROR(__xludf.DUMMYFUNCTION("""COMPUTED_VALUE"""),"1900 N Akard")</f>
        <v>1900 N Akard</v>
      </c>
      <c r="AB1309" s="40" t="str">
        <f>IFERROR(__xludf.DUMMYFUNCTION("""COMPUTED_VALUE"""),"Dallas, TX 75201")</f>
        <v>Dallas, TX 75201</v>
      </c>
      <c r="AC1309" s="31" t="s">
        <v>721</v>
      </c>
      <c r="AD1309" s="40"/>
      <c r="AE1309" s="40"/>
      <c r="AF1309" s="40"/>
      <c r="AG1309" s="40" t="s">
        <v>60</v>
      </c>
      <c r="AH1309" s="42">
        <v>2496.0</v>
      </c>
      <c r="AI1309" s="40" t="s">
        <v>68</v>
      </c>
      <c r="AJ1309" s="27">
        <v>1000.0</v>
      </c>
      <c r="AK1309" s="31" t="s">
        <v>35</v>
      </c>
      <c r="AL1309" s="43">
        <v>44756.0</v>
      </c>
      <c r="AM1309" s="44">
        <v>44943.62793981482</v>
      </c>
      <c r="AN1309" s="30">
        <v>2.0</v>
      </c>
      <c r="AO1309" s="40"/>
      <c r="AP1309" s="40"/>
      <c r="AQ1309" s="40"/>
      <c r="AR1309" s="40"/>
      <c r="AS1309" s="40"/>
      <c r="AT1309" s="47"/>
      <c r="AU1309" s="40"/>
      <c r="AV1309" s="46"/>
      <c r="AW1309" s="46"/>
      <c r="AX1309" s="47"/>
      <c r="AY1309" s="44"/>
      <c r="AZ1309" s="30"/>
      <c r="CU1309" s="55"/>
      <c r="CV1309" s="55"/>
      <c r="CW1309" s="55"/>
      <c r="CX1309" s="55"/>
      <c r="CY1309" s="55"/>
      <c r="CZ1309" s="55"/>
      <c r="DA1309" s="82"/>
      <c r="DB1309" s="55"/>
      <c r="DC1309" s="55"/>
      <c r="DD1309" s="55"/>
      <c r="DE1309" s="55"/>
      <c r="DF1309" s="55"/>
      <c r="DG1309" s="55"/>
      <c r="DH1309" s="55"/>
      <c r="DI1309" s="55"/>
      <c r="DJ1309" s="55"/>
      <c r="DK1309" s="55"/>
      <c r="DL1309" s="55"/>
      <c r="DM1309" s="55"/>
      <c r="DN1309" s="55"/>
      <c r="DO1309" s="55"/>
      <c r="DP1309" s="55"/>
      <c r="DQ1309" s="55"/>
      <c r="DR1309" s="55"/>
      <c r="DS1309" s="55"/>
      <c r="DT1309" s="55"/>
      <c r="DU1309" s="55"/>
      <c r="DV1309" s="55"/>
      <c r="DW1309" s="55"/>
    </row>
    <row r="1310">
      <c r="A1310" s="23" t="s">
        <v>64</v>
      </c>
      <c r="B1310" s="23" t="s">
        <v>56</v>
      </c>
      <c r="C1310" s="31" t="s">
        <v>2830</v>
      </c>
      <c r="D1310" s="25" t="str">
        <f>IFERROR(__xludf.DUMMYFUNCTION("SPLIT(C1310,"" "")"),"Pitchford,")</f>
        <v>Pitchford,</v>
      </c>
      <c r="E1310" s="22" t="str">
        <f>IFERROR(__xludf.DUMMYFUNCTION("""COMPUTED_VALUE"""),"Joseph
200")</f>
        <v>Joseph
200</v>
      </c>
      <c r="F1310" s="22" t="str">
        <f>IFERROR(__xludf.DUMMYFUNCTION("""COMPUTED_VALUE"""),"Crescent")</f>
        <v>Crescent</v>
      </c>
      <c r="G1310" s="22" t="str">
        <f>IFERROR(__xludf.DUMMYFUNCTION("""COMPUTED_VALUE"""),"Court
Dallas,")</f>
        <v>Court
Dallas,</v>
      </c>
      <c r="H1310" s="22" t="str">
        <f>IFERROR(__xludf.DUMMYFUNCTION("""COMPUTED_VALUE"""),"TX")</f>
        <v>TX</v>
      </c>
      <c r="I1310" s="22">
        <f>IFERROR(__xludf.DUMMYFUNCTION("""COMPUTED_VALUE"""),75201.0)</f>
        <v>75201</v>
      </c>
      <c r="J1310" s="22"/>
      <c r="K1310" s="22"/>
      <c r="L1310" s="22"/>
      <c r="M1310" s="22"/>
      <c r="N1310" s="22"/>
      <c r="O1310" s="22"/>
      <c r="P1310" s="22"/>
      <c r="Q1310" s="22"/>
      <c r="R1310" s="22"/>
      <c r="S1310" s="22"/>
      <c r="T1310" s="22"/>
      <c r="U1310" s="24" t="str">
        <f>IFERROR(__xludf.DUMMYFUNCTION("SPLIT(E1310,""01234567890"")"),"Joseph
")</f>
        <v>Joseph
</v>
      </c>
      <c r="V1310" s="24" t="str">
        <f>IFERROR(__xludf.DUMMYFUNCTION("SPLIT(D1310,"","")"),"Pitchford")</f>
        <v>Pitchford</v>
      </c>
      <c r="W1310" s="25" t="str">
        <f t="shared" si="1"/>
        <v>JOSEPH
 PITCHFORD</v>
      </c>
      <c r="X1310" s="22"/>
      <c r="Y1310" s="22"/>
      <c r="Z1310" s="25" t="str">
        <f>IFERROR(__xludf.DUMMYFUNCTION("SPLIT(C1310,""
"")"),"Pitchford, Joseph")</f>
        <v>Pitchford, Joseph</v>
      </c>
      <c r="AA1310" s="22" t="str">
        <f>IFERROR(__xludf.DUMMYFUNCTION("""COMPUTED_VALUE"""),"200 Crescent Court")</f>
        <v>200 Crescent Court</v>
      </c>
      <c r="AB1310" s="22" t="str">
        <f>IFERROR(__xludf.DUMMYFUNCTION("""COMPUTED_VALUE"""),"Dallas, TX 75201")</f>
        <v>Dallas, TX 75201</v>
      </c>
      <c r="AC1310" s="31" t="s">
        <v>2831</v>
      </c>
      <c r="AD1310" s="22"/>
      <c r="AE1310" s="22"/>
      <c r="AF1310" s="22"/>
      <c r="AG1310" s="22" t="s">
        <v>60</v>
      </c>
      <c r="AH1310" s="54">
        <v>2493.0</v>
      </c>
      <c r="AI1310" s="22" t="s">
        <v>68</v>
      </c>
      <c r="AJ1310" s="27">
        <v>1000.0</v>
      </c>
      <c r="AK1310" s="31" t="s">
        <v>34</v>
      </c>
      <c r="AL1310" s="28">
        <v>44819.0</v>
      </c>
      <c r="AM1310" s="29">
        <v>44943.30391203704</v>
      </c>
      <c r="AN1310" s="30">
        <v>2.0</v>
      </c>
      <c r="AO1310" s="22"/>
      <c r="AP1310" s="22"/>
      <c r="AQ1310" s="22"/>
      <c r="AR1310" s="22"/>
      <c r="AS1310" s="22"/>
      <c r="AT1310" s="70"/>
      <c r="AU1310" s="22"/>
      <c r="AV1310" s="57"/>
      <c r="AW1310" s="57"/>
      <c r="AX1310" s="70"/>
      <c r="AY1310" s="29"/>
      <c r="AZ1310" s="30"/>
      <c r="CU1310" s="55"/>
      <c r="CV1310" s="55"/>
      <c r="CW1310" s="55"/>
      <c r="CX1310" s="55"/>
      <c r="CY1310" s="55"/>
      <c r="CZ1310" s="55"/>
      <c r="DA1310" s="82"/>
      <c r="DB1310" s="55"/>
      <c r="DC1310" s="55"/>
      <c r="DD1310" s="55"/>
      <c r="DE1310" s="55"/>
      <c r="DF1310" s="55"/>
      <c r="DG1310" s="55"/>
      <c r="DH1310" s="55"/>
      <c r="DI1310" s="55"/>
      <c r="DJ1310" s="55"/>
      <c r="DK1310" s="55"/>
      <c r="DL1310" s="55"/>
      <c r="DM1310" s="55"/>
      <c r="DN1310" s="55"/>
      <c r="DO1310" s="55"/>
      <c r="DP1310" s="55"/>
      <c r="DQ1310" s="55"/>
      <c r="DR1310" s="55"/>
      <c r="DS1310" s="55"/>
      <c r="DT1310" s="55"/>
      <c r="DU1310" s="55"/>
      <c r="DV1310" s="55"/>
      <c r="DW1310" s="55"/>
    </row>
    <row r="1311">
      <c r="A1311" s="41" t="s">
        <v>64</v>
      </c>
      <c r="B1311" s="41" t="s">
        <v>56</v>
      </c>
      <c r="C1311" s="31" t="s">
        <v>2832</v>
      </c>
      <c r="D1311" s="25" t="str">
        <f>IFERROR(__xludf.DUMMYFUNCTION("SPLIT(C1311,"" "")"),"Butts,")</f>
        <v>Butts,</v>
      </c>
      <c r="E1311" s="40" t="str">
        <f>IFERROR(__xludf.DUMMYFUNCTION("""COMPUTED_VALUE"""),"Kelem
3030")</f>
        <v>Kelem
3030</v>
      </c>
      <c r="F1311" s="40" t="str">
        <f>IFERROR(__xludf.DUMMYFUNCTION("""COMPUTED_VALUE"""),"McKinney
Dallas,")</f>
        <v>McKinney
Dallas,</v>
      </c>
      <c r="G1311" s="40" t="str">
        <f>IFERROR(__xludf.DUMMYFUNCTION("""COMPUTED_VALUE"""),"TX")</f>
        <v>TX</v>
      </c>
      <c r="H1311" s="40">
        <f>IFERROR(__xludf.DUMMYFUNCTION("""COMPUTED_VALUE"""),75204.0)</f>
        <v>75204</v>
      </c>
      <c r="I1311" s="40"/>
      <c r="J1311" s="40"/>
      <c r="K1311" s="40"/>
      <c r="L1311" s="40"/>
      <c r="M1311" s="40"/>
      <c r="N1311" s="40"/>
      <c r="O1311" s="40"/>
      <c r="P1311" s="40"/>
      <c r="Q1311" s="40"/>
      <c r="R1311" s="40"/>
      <c r="S1311" s="40"/>
      <c r="T1311" s="40"/>
      <c r="U1311" s="24" t="str">
        <f>IFERROR(__xludf.DUMMYFUNCTION("SPLIT(E1311,""01234567890"")"),"Kelem
")</f>
        <v>Kelem
</v>
      </c>
      <c r="V1311" s="24" t="str">
        <f>IFERROR(__xludf.DUMMYFUNCTION("SPLIT(D1311,"","")"),"Butts")</f>
        <v>Butts</v>
      </c>
      <c r="W1311" s="25" t="str">
        <f t="shared" si="1"/>
        <v>KELEM
 BUTTS</v>
      </c>
      <c r="X1311" s="40"/>
      <c r="Y1311" s="40"/>
      <c r="Z1311" s="25" t="str">
        <f>IFERROR(__xludf.DUMMYFUNCTION("SPLIT(C1311,""
"")"),"Butts, Kelem")</f>
        <v>Butts, Kelem</v>
      </c>
      <c r="AA1311" s="40" t="str">
        <f>IFERROR(__xludf.DUMMYFUNCTION("""COMPUTED_VALUE"""),"3030 McKinney")</f>
        <v>3030 McKinney</v>
      </c>
      <c r="AB1311" s="40" t="str">
        <f>IFERROR(__xludf.DUMMYFUNCTION("""COMPUTED_VALUE"""),"Dallas, TX 75204")</f>
        <v>Dallas, TX 75204</v>
      </c>
      <c r="AC1311" s="31" t="s">
        <v>2833</v>
      </c>
      <c r="AD1311" s="40"/>
      <c r="AE1311" s="40"/>
      <c r="AF1311" s="40"/>
      <c r="AG1311" s="40" t="s">
        <v>60</v>
      </c>
      <c r="AH1311" s="42">
        <v>2493.0</v>
      </c>
      <c r="AI1311" s="40" t="s">
        <v>68</v>
      </c>
      <c r="AJ1311" s="27">
        <v>206.46</v>
      </c>
      <c r="AK1311" s="31" t="s">
        <v>34</v>
      </c>
      <c r="AL1311" s="43">
        <v>44846.0</v>
      </c>
      <c r="AM1311" s="44">
        <v>44943.30391203704</v>
      </c>
      <c r="AN1311" s="30">
        <v>2.0</v>
      </c>
      <c r="AO1311" s="40"/>
      <c r="AP1311" s="40"/>
      <c r="AQ1311" s="40"/>
      <c r="AR1311" s="40"/>
      <c r="AS1311" s="40"/>
      <c r="AT1311" s="47"/>
      <c r="AU1311" s="40"/>
      <c r="AV1311" s="46"/>
      <c r="AW1311" s="46"/>
      <c r="AX1311" s="47"/>
      <c r="AY1311" s="44"/>
      <c r="AZ1311" s="30"/>
      <c r="CU1311" s="55"/>
      <c r="CV1311" s="55"/>
      <c r="CW1311" s="55"/>
      <c r="CX1311" s="55"/>
      <c r="CY1311" s="55"/>
      <c r="CZ1311" s="55"/>
      <c r="DA1311" s="82"/>
      <c r="DB1311" s="55"/>
      <c r="DC1311" s="55"/>
      <c r="DD1311" s="55"/>
      <c r="DE1311" s="55"/>
      <c r="DF1311" s="55"/>
      <c r="DG1311" s="55"/>
      <c r="DH1311" s="55"/>
      <c r="DI1311" s="55"/>
      <c r="DJ1311" s="55"/>
      <c r="DK1311" s="55"/>
      <c r="DL1311" s="55"/>
      <c r="DM1311" s="55"/>
      <c r="DN1311" s="55"/>
      <c r="DO1311" s="55"/>
      <c r="DP1311" s="55"/>
      <c r="DQ1311" s="55"/>
      <c r="DR1311" s="55"/>
      <c r="DS1311" s="55"/>
      <c r="DT1311" s="55"/>
      <c r="DU1311" s="55"/>
      <c r="DV1311" s="55"/>
      <c r="DW1311" s="55"/>
    </row>
    <row r="1312">
      <c r="A1312" s="23" t="s">
        <v>64</v>
      </c>
      <c r="B1312" s="23" t="s">
        <v>56</v>
      </c>
      <c r="C1312" s="31" t="s">
        <v>2834</v>
      </c>
      <c r="D1312" s="25" t="str">
        <f>IFERROR(__xludf.DUMMYFUNCTION("SPLIT(C1312,"" "")"),"Naul,")</f>
        <v>Naul,</v>
      </c>
      <c r="E1312" s="22" t="str">
        <f>IFERROR(__xludf.DUMMYFUNCTION("""COMPUTED_VALUE"""),"Alan
3899")</f>
        <v>Alan
3899</v>
      </c>
      <c r="F1312" s="22" t="str">
        <f>IFERROR(__xludf.DUMMYFUNCTION("""COMPUTED_VALUE"""),"Maple")</f>
        <v>Maple</v>
      </c>
      <c r="G1312" s="22" t="str">
        <f>IFERROR(__xludf.DUMMYFUNCTION("""COMPUTED_VALUE"""),"Ave
Dallas,")</f>
        <v>Ave
Dallas,</v>
      </c>
      <c r="H1312" s="22" t="str">
        <f>IFERROR(__xludf.DUMMYFUNCTION("""COMPUTED_VALUE"""),"TX")</f>
        <v>TX</v>
      </c>
      <c r="I1312" s="22">
        <f>IFERROR(__xludf.DUMMYFUNCTION("""COMPUTED_VALUE"""),75219.0)</f>
        <v>75219</v>
      </c>
      <c r="J1312" s="22"/>
      <c r="K1312" s="22"/>
      <c r="L1312" s="22"/>
      <c r="M1312" s="22"/>
      <c r="N1312" s="22"/>
      <c r="O1312" s="22"/>
      <c r="P1312" s="22"/>
      <c r="Q1312" s="22"/>
      <c r="R1312" s="22"/>
      <c r="S1312" s="22"/>
      <c r="T1312" s="22"/>
      <c r="U1312" s="24" t="str">
        <f>IFERROR(__xludf.DUMMYFUNCTION("SPLIT(E1312,""01234567890"")"),"Alan
")</f>
        <v>Alan
</v>
      </c>
      <c r="V1312" s="24" t="str">
        <f>IFERROR(__xludf.DUMMYFUNCTION("SPLIT(D1312,"","")"),"Naul")</f>
        <v>Naul</v>
      </c>
      <c r="W1312" s="25" t="str">
        <f t="shared" si="1"/>
        <v>ALAN
 NAUL</v>
      </c>
      <c r="X1312" s="22"/>
      <c r="Y1312" s="22"/>
      <c r="Z1312" s="25" t="str">
        <f>IFERROR(__xludf.DUMMYFUNCTION("SPLIT(C1312,""
"")"),"Naul, Alan")</f>
        <v>Naul, Alan</v>
      </c>
      <c r="AA1312" s="22" t="str">
        <f>IFERROR(__xludf.DUMMYFUNCTION("""COMPUTED_VALUE"""),"3899 Maple Ave")</f>
        <v>3899 Maple Ave</v>
      </c>
      <c r="AB1312" s="22" t="str">
        <f>IFERROR(__xludf.DUMMYFUNCTION("""COMPUTED_VALUE"""),"Dallas, TX 75219")</f>
        <v>Dallas, TX 75219</v>
      </c>
      <c r="AC1312" s="31" t="s">
        <v>2835</v>
      </c>
      <c r="AD1312" s="22"/>
      <c r="AE1312" s="22"/>
      <c r="AF1312" s="22"/>
      <c r="AG1312" s="22" t="s">
        <v>60</v>
      </c>
      <c r="AH1312" s="54">
        <v>2493.0</v>
      </c>
      <c r="AI1312" s="22" t="s">
        <v>68</v>
      </c>
      <c r="AJ1312" s="27">
        <v>1000.0</v>
      </c>
      <c r="AK1312" s="31" t="s">
        <v>34</v>
      </c>
      <c r="AL1312" s="28">
        <v>44855.0</v>
      </c>
      <c r="AM1312" s="29">
        <v>44943.30391203704</v>
      </c>
      <c r="AN1312" s="30">
        <v>2.0</v>
      </c>
      <c r="AO1312" s="22"/>
      <c r="AP1312" s="22"/>
      <c r="AQ1312" s="22"/>
      <c r="AR1312" s="22"/>
      <c r="AS1312" s="22"/>
      <c r="AT1312" s="70"/>
      <c r="AU1312" s="22"/>
      <c r="AV1312" s="57"/>
      <c r="AW1312" s="57"/>
      <c r="AX1312" s="70"/>
      <c r="AY1312" s="29"/>
      <c r="AZ1312" s="30"/>
      <c r="CU1312" s="55"/>
      <c r="CV1312" s="55"/>
      <c r="CW1312" s="55"/>
      <c r="CX1312" s="55"/>
      <c r="CY1312" s="55"/>
      <c r="CZ1312" s="55"/>
      <c r="DA1312" s="82"/>
      <c r="DB1312" s="55"/>
      <c r="DC1312" s="55"/>
      <c r="DD1312" s="55"/>
      <c r="DE1312" s="55"/>
      <c r="DF1312" s="55"/>
      <c r="DG1312" s="55"/>
      <c r="DH1312" s="55"/>
      <c r="DI1312" s="55"/>
      <c r="DJ1312" s="55"/>
      <c r="DK1312" s="55"/>
      <c r="DL1312" s="55"/>
      <c r="DM1312" s="55"/>
      <c r="DN1312" s="55"/>
      <c r="DO1312" s="55"/>
      <c r="DP1312" s="55"/>
      <c r="DQ1312" s="55"/>
      <c r="DR1312" s="55"/>
      <c r="DS1312" s="55"/>
      <c r="DT1312" s="55"/>
      <c r="DU1312" s="55"/>
      <c r="DV1312" s="55"/>
      <c r="DW1312" s="55"/>
    </row>
    <row r="1313">
      <c r="A1313" s="41" t="s">
        <v>64</v>
      </c>
      <c r="B1313" s="41" t="s">
        <v>56</v>
      </c>
      <c r="C1313" s="31" t="s">
        <v>2836</v>
      </c>
      <c r="D1313" s="25" t="str">
        <f>IFERROR(__xludf.DUMMYFUNCTION("SPLIT(C1313,"" "")"),"Casey,")</f>
        <v>Casey,</v>
      </c>
      <c r="E1313" s="40" t="str">
        <f>IFERROR(__xludf.DUMMYFUNCTION("""COMPUTED_VALUE"""),"Karen
6100")</f>
        <v>Karen
6100</v>
      </c>
      <c r="F1313" s="40" t="str">
        <f>IFERROR(__xludf.DUMMYFUNCTION("""COMPUTED_VALUE"""),"Tremont
Dallas,")</f>
        <v>Tremont
Dallas,</v>
      </c>
      <c r="G1313" s="40" t="str">
        <f>IFERROR(__xludf.DUMMYFUNCTION("""COMPUTED_VALUE"""),"TX")</f>
        <v>TX</v>
      </c>
      <c r="H1313" s="40">
        <f>IFERROR(__xludf.DUMMYFUNCTION("""COMPUTED_VALUE"""),75214.0)</f>
        <v>75214</v>
      </c>
      <c r="I1313" s="40"/>
      <c r="J1313" s="40"/>
      <c r="K1313" s="40"/>
      <c r="L1313" s="40"/>
      <c r="M1313" s="40"/>
      <c r="N1313" s="40"/>
      <c r="O1313" s="40"/>
      <c r="P1313" s="40"/>
      <c r="Q1313" s="40"/>
      <c r="R1313" s="40"/>
      <c r="S1313" s="40"/>
      <c r="T1313" s="40"/>
      <c r="U1313" s="24" t="str">
        <f>IFERROR(__xludf.DUMMYFUNCTION("SPLIT(E1313,""01234567890"")"),"Karen
")</f>
        <v>Karen
</v>
      </c>
      <c r="V1313" s="24" t="str">
        <f>IFERROR(__xludf.DUMMYFUNCTION("SPLIT(D1313,"","")"),"Casey")</f>
        <v>Casey</v>
      </c>
      <c r="W1313" s="25" t="str">
        <f t="shared" si="1"/>
        <v>KAREN
 CASEY</v>
      </c>
      <c r="X1313" s="40"/>
      <c r="Y1313" s="40"/>
      <c r="Z1313" s="25" t="str">
        <f>IFERROR(__xludf.DUMMYFUNCTION("SPLIT(C1313,""
"")"),"Casey, Karen")</f>
        <v>Casey, Karen</v>
      </c>
      <c r="AA1313" s="40" t="str">
        <f>IFERROR(__xludf.DUMMYFUNCTION("""COMPUTED_VALUE"""),"6100 Tremont")</f>
        <v>6100 Tremont</v>
      </c>
      <c r="AB1313" s="40" t="str">
        <f>IFERROR(__xludf.DUMMYFUNCTION("""COMPUTED_VALUE"""),"Dallas, TX 75214")</f>
        <v>Dallas, TX 75214</v>
      </c>
      <c r="AC1313" s="31" t="s">
        <v>1586</v>
      </c>
      <c r="AD1313" s="40"/>
      <c r="AE1313" s="40"/>
      <c r="AF1313" s="40"/>
      <c r="AG1313" s="40" t="s">
        <v>60</v>
      </c>
      <c r="AH1313" s="42">
        <v>2493.0</v>
      </c>
      <c r="AI1313" s="40" t="s">
        <v>68</v>
      </c>
      <c r="AJ1313" s="27">
        <v>51.99</v>
      </c>
      <c r="AK1313" s="31" t="s">
        <v>34</v>
      </c>
      <c r="AL1313" s="43">
        <v>44926.0</v>
      </c>
      <c r="AM1313" s="44">
        <v>44943.30391203704</v>
      </c>
      <c r="AN1313" s="30">
        <v>2.0</v>
      </c>
      <c r="AO1313" s="40"/>
      <c r="AP1313" s="40"/>
      <c r="AQ1313" s="40"/>
      <c r="AR1313" s="40"/>
      <c r="AS1313" s="40"/>
      <c r="AT1313" s="47"/>
      <c r="AU1313" s="40"/>
      <c r="AV1313" s="46"/>
      <c r="AW1313" s="46"/>
      <c r="AX1313" s="47"/>
      <c r="AY1313" s="44"/>
      <c r="AZ1313" s="30"/>
      <c r="CU1313" s="55"/>
      <c r="CV1313" s="55"/>
      <c r="CW1313" s="55"/>
      <c r="CX1313" s="55"/>
      <c r="CY1313" s="55"/>
      <c r="CZ1313" s="55"/>
      <c r="DA1313" s="82"/>
      <c r="DB1313" s="55"/>
      <c r="DC1313" s="55"/>
      <c r="DD1313" s="55"/>
      <c r="DE1313" s="55"/>
      <c r="DF1313" s="55"/>
      <c r="DG1313" s="55"/>
      <c r="DH1313" s="55"/>
      <c r="DI1313" s="55"/>
      <c r="DJ1313" s="55"/>
      <c r="DK1313" s="55"/>
      <c r="DL1313" s="55"/>
      <c r="DM1313" s="55"/>
      <c r="DN1313" s="55"/>
      <c r="DO1313" s="55"/>
      <c r="DP1313" s="55"/>
      <c r="DQ1313" s="55"/>
      <c r="DR1313" s="55"/>
      <c r="DS1313" s="55"/>
      <c r="DT1313" s="55"/>
      <c r="DU1313" s="55"/>
      <c r="DV1313" s="55"/>
      <c r="DW1313" s="55"/>
    </row>
    <row r="1314">
      <c r="A1314" s="23" t="s">
        <v>64</v>
      </c>
      <c r="B1314" s="23" t="s">
        <v>56</v>
      </c>
      <c r="C1314" s="31" t="s">
        <v>2837</v>
      </c>
      <c r="D1314" s="25" t="str">
        <f>IFERROR(__xludf.DUMMYFUNCTION("SPLIT(C1314,"" "")"),"Ohland,")</f>
        <v>Ohland,</v>
      </c>
      <c r="E1314" s="22" t="str">
        <f>IFERROR(__xludf.DUMMYFUNCTION("""COMPUTED_VALUE"""),"Bill
0000")</f>
        <v>Bill
0000</v>
      </c>
      <c r="F1314" s="22" t="str">
        <f>IFERROR(__xludf.DUMMYFUNCTION("""COMPUTED_VALUE"""),"P.O.")</f>
        <v>P.O.</v>
      </c>
      <c r="G1314" s="22" t="str">
        <f>IFERROR(__xludf.DUMMYFUNCTION("""COMPUTED_VALUE"""),"Box")</f>
        <v>Box</v>
      </c>
      <c r="H1314" s="22" t="str">
        <f>IFERROR(__xludf.DUMMYFUNCTION("""COMPUTED_VALUE"""),"140810
Dallas,")</f>
        <v>140810
Dallas,</v>
      </c>
      <c r="I1314" s="22" t="str">
        <f>IFERROR(__xludf.DUMMYFUNCTION("""COMPUTED_VALUE"""),"TX")</f>
        <v>TX</v>
      </c>
      <c r="J1314" s="22">
        <f>IFERROR(__xludf.DUMMYFUNCTION("""COMPUTED_VALUE"""),75214.0)</f>
        <v>75214</v>
      </c>
      <c r="K1314" s="22"/>
      <c r="L1314" s="22"/>
      <c r="M1314" s="22"/>
      <c r="N1314" s="22"/>
      <c r="O1314" s="22"/>
      <c r="P1314" s="22"/>
      <c r="Q1314" s="22"/>
      <c r="R1314" s="22"/>
      <c r="S1314" s="22"/>
      <c r="T1314" s="22"/>
      <c r="U1314" s="24" t="str">
        <f>IFERROR(__xludf.DUMMYFUNCTION("SPLIT(E1314,""01234567890"")"),"Bill
")</f>
        <v>Bill
</v>
      </c>
      <c r="V1314" s="24" t="str">
        <f>IFERROR(__xludf.DUMMYFUNCTION("SPLIT(D1314,"","")"),"Ohland")</f>
        <v>Ohland</v>
      </c>
      <c r="W1314" s="25" t="str">
        <f t="shared" si="1"/>
        <v>BILL
 OHLAND</v>
      </c>
      <c r="X1314" s="22"/>
      <c r="Y1314" s="22"/>
      <c r="Z1314" s="25" t="str">
        <f>IFERROR(__xludf.DUMMYFUNCTION("SPLIT(C1314,""
"")"),"Ohland, Bill")</f>
        <v>Ohland, Bill</v>
      </c>
      <c r="AA1314" s="22" t="str">
        <f>IFERROR(__xludf.DUMMYFUNCTION("""COMPUTED_VALUE"""),"0000 P.O. Box 140810")</f>
        <v>0000 P.O. Box 140810</v>
      </c>
      <c r="AB1314" s="22" t="str">
        <f>IFERROR(__xludf.DUMMYFUNCTION("""COMPUTED_VALUE"""),"Dallas, TX 75214")</f>
        <v>Dallas, TX 75214</v>
      </c>
      <c r="AC1314" s="31" t="s">
        <v>2838</v>
      </c>
      <c r="AD1314" s="22"/>
      <c r="AE1314" s="22"/>
      <c r="AF1314" s="22"/>
      <c r="AG1314" s="22" t="s">
        <v>60</v>
      </c>
      <c r="AH1314" s="54">
        <v>2493.0</v>
      </c>
      <c r="AI1314" s="22" t="s">
        <v>68</v>
      </c>
      <c r="AJ1314" s="27">
        <v>1000.0</v>
      </c>
      <c r="AK1314" s="31" t="s">
        <v>34</v>
      </c>
      <c r="AL1314" s="28">
        <v>44806.0</v>
      </c>
      <c r="AM1314" s="29">
        <v>44943.30391203704</v>
      </c>
      <c r="AN1314" s="30">
        <v>2.0</v>
      </c>
      <c r="AO1314" s="22"/>
      <c r="AP1314" s="22"/>
      <c r="AQ1314" s="22"/>
      <c r="AR1314" s="22"/>
      <c r="AS1314" s="22"/>
      <c r="AT1314" s="70"/>
      <c r="AU1314" s="22"/>
      <c r="AV1314" s="57"/>
      <c r="AW1314" s="57"/>
      <c r="AX1314" s="70"/>
      <c r="AY1314" s="29"/>
      <c r="AZ1314" s="30"/>
      <c r="CU1314" s="55"/>
      <c r="CV1314" s="55"/>
      <c r="CW1314" s="55"/>
      <c r="CX1314" s="55"/>
      <c r="CY1314" s="55"/>
      <c r="CZ1314" s="55"/>
      <c r="DA1314" s="82"/>
      <c r="DB1314" s="55"/>
      <c r="DC1314" s="55"/>
      <c r="DD1314" s="55"/>
      <c r="DE1314" s="55"/>
      <c r="DF1314" s="55"/>
      <c r="DG1314" s="55"/>
      <c r="DH1314" s="55"/>
      <c r="DI1314" s="55"/>
      <c r="DJ1314" s="55"/>
      <c r="DK1314" s="55"/>
      <c r="DL1314" s="55"/>
      <c r="DM1314" s="55"/>
      <c r="DN1314" s="55"/>
      <c r="DO1314" s="55"/>
      <c r="DP1314" s="55"/>
      <c r="DQ1314" s="55"/>
      <c r="DR1314" s="55"/>
      <c r="DS1314" s="55"/>
      <c r="DT1314" s="55"/>
      <c r="DU1314" s="55"/>
      <c r="DV1314" s="55"/>
      <c r="DW1314" s="55"/>
    </row>
    <row r="1315">
      <c r="A1315" s="41" t="s">
        <v>64</v>
      </c>
      <c r="B1315" s="41" t="s">
        <v>56</v>
      </c>
      <c r="C1315" s="31" t="s">
        <v>2839</v>
      </c>
      <c r="D1315" s="25" t="str">
        <f>IFERROR(__xludf.DUMMYFUNCTION("SPLIT(C1315,"" "")"),"Pankey,")</f>
        <v>Pankey,</v>
      </c>
      <c r="E1315" s="40" t="str">
        <f>IFERROR(__xludf.DUMMYFUNCTION("""COMPUTED_VALUE"""),"Julie
3435")</f>
        <v>Julie
3435</v>
      </c>
      <c r="F1315" s="40" t="str">
        <f>IFERROR(__xludf.DUMMYFUNCTION("""COMPUTED_VALUE"""),"Wendy")</f>
        <v>Wendy</v>
      </c>
      <c r="G1315" s="40" t="str">
        <f>IFERROR(__xludf.DUMMYFUNCTION("""COMPUTED_VALUE"""),"Ln.
Dallas,")</f>
        <v>Ln.
Dallas,</v>
      </c>
      <c r="H1315" s="40" t="str">
        <f>IFERROR(__xludf.DUMMYFUNCTION("""COMPUTED_VALUE"""),"TX")</f>
        <v>TX</v>
      </c>
      <c r="I1315" s="40">
        <f>IFERROR(__xludf.DUMMYFUNCTION("""COMPUTED_VALUE"""),75214.0)</f>
        <v>75214</v>
      </c>
      <c r="J1315" s="40"/>
      <c r="K1315" s="40"/>
      <c r="L1315" s="40"/>
      <c r="M1315" s="40"/>
      <c r="N1315" s="40"/>
      <c r="O1315" s="40"/>
      <c r="P1315" s="40"/>
      <c r="Q1315" s="40"/>
      <c r="R1315" s="40"/>
      <c r="S1315" s="40"/>
      <c r="T1315" s="40"/>
      <c r="U1315" s="24" t="str">
        <f>IFERROR(__xludf.DUMMYFUNCTION("SPLIT(E1315,""01234567890"")"),"Julie
")</f>
        <v>Julie
</v>
      </c>
      <c r="V1315" s="24" t="str">
        <f>IFERROR(__xludf.DUMMYFUNCTION("SPLIT(D1315,"","")"),"Pankey")</f>
        <v>Pankey</v>
      </c>
      <c r="W1315" s="25" t="str">
        <f t="shared" si="1"/>
        <v>JULIE
 PANKEY</v>
      </c>
      <c r="X1315" s="40"/>
      <c r="Y1315" s="40"/>
      <c r="Z1315" s="25" t="str">
        <f>IFERROR(__xludf.DUMMYFUNCTION("SPLIT(C1315,""
"")"),"Pankey, Julie")</f>
        <v>Pankey, Julie</v>
      </c>
      <c r="AA1315" s="40" t="str">
        <f>IFERROR(__xludf.DUMMYFUNCTION("""COMPUTED_VALUE"""),"3435 Wendy Ln.")</f>
        <v>3435 Wendy Ln.</v>
      </c>
      <c r="AB1315" s="40" t="str">
        <f>IFERROR(__xludf.DUMMYFUNCTION("""COMPUTED_VALUE"""),"Dallas, TX 75214")</f>
        <v>Dallas, TX 75214</v>
      </c>
      <c r="AC1315" s="31" t="s">
        <v>2650</v>
      </c>
      <c r="AD1315" s="40"/>
      <c r="AE1315" s="40"/>
      <c r="AF1315" s="40"/>
      <c r="AG1315" s="40" t="s">
        <v>60</v>
      </c>
      <c r="AH1315" s="42">
        <v>2493.0</v>
      </c>
      <c r="AI1315" s="40" t="s">
        <v>68</v>
      </c>
      <c r="AJ1315" s="27">
        <v>1000.0</v>
      </c>
      <c r="AK1315" s="31" t="s">
        <v>34</v>
      </c>
      <c r="AL1315" s="43">
        <v>44846.0</v>
      </c>
      <c r="AM1315" s="44">
        <v>44943.30391203704</v>
      </c>
      <c r="AN1315" s="30">
        <v>2.0</v>
      </c>
      <c r="AO1315" s="40"/>
      <c r="AP1315" s="40"/>
      <c r="AQ1315" s="40"/>
      <c r="AR1315" s="40"/>
      <c r="AS1315" s="40"/>
      <c r="AT1315" s="47"/>
      <c r="AU1315" s="40"/>
      <c r="AV1315" s="46"/>
      <c r="AW1315" s="46"/>
      <c r="AX1315" s="47"/>
      <c r="AY1315" s="44"/>
      <c r="AZ1315" s="30"/>
      <c r="CU1315" s="55"/>
      <c r="CV1315" s="55"/>
      <c r="CW1315" s="55"/>
      <c r="CX1315" s="55"/>
      <c r="CY1315" s="55"/>
      <c r="CZ1315" s="55"/>
      <c r="DA1315" s="82"/>
      <c r="DB1315" s="55"/>
      <c r="DC1315" s="55"/>
      <c r="DD1315" s="55"/>
      <c r="DE1315" s="55"/>
      <c r="DF1315" s="55"/>
      <c r="DG1315" s="55"/>
      <c r="DH1315" s="55"/>
      <c r="DI1315" s="55"/>
      <c r="DJ1315" s="55"/>
      <c r="DK1315" s="55"/>
      <c r="DL1315" s="55"/>
      <c r="DM1315" s="55"/>
      <c r="DN1315" s="55"/>
      <c r="DO1315" s="55"/>
      <c r="DP1315" s="55"/>
      <c r="DQ1315" s="55"/>
      <c r="DR1315" s="55"/>
      <c r="DS1315" s="55"/>
      <c r="DT1315" s="55"/>
      <c r="DU1315" s="55"/>
      <c r="DV1315" s="55"/>
      <c r="DW1315" s="55"/>
    </row>
    <row r="1316">
      <c r="A1316" s="23" t="s">
        <v>64</v>
      </c>
      <c r="B1316" s="23" t="s">
        <v>56</v>
      </c>
      <c r="C1316" s="31" t="s">
        <v>2840</v>
      </c>
      <c r="D1316" s="25" t="str">
        <f>IFERROR(__xludf.DUMMYFUNCTION("SPLIT(C1316,"" "")"),"Pankey,")</f>
        <v>Pankey,</v>
      </c>
      <c r="E1316" s="22" t="str">
        <f>IFERROR(__xludf.DUMMYFUNCTION("""COMPUTED_VALUE"""),"Judson
3435")</f>
        <v>Judson
3435</v>
      </c>
      <c r="F1316" s="22" t="str">
        <f>IFERROR(__xludf.DUMMYFUNCTION("""COMPUTED_VALUE"""),"Wendy")</f>
        <v>Wendy</v>
      </c>
      <c r="G1316" s="22" t="str">
        <f>IFERROR(__xludf.DUMMYFUNCTION("""COMPUTED_VALUE"""),"Ln.
Dallas,")</f>
        <v>Ln.
Dallas,</v>
      </c>
      <c r="H1316" s="22" t="str">
        <f>IFERROR(__xludf.DUMMYFUNCTION("""COMPUTED_VALUE"""),"TX")</f>
        <v>TX</v>
      </c>
      <c r="I1316" s="22">
        <f>IFERROR(__xludf.DUMMYFUNCTION("""COMPUTED_VALUE"""),75214.0)</f>
        <v>75214</v>
      </c>
      <c r="J1316" s="22"/>
      <c r="K1316" s="22"/>
      <c r="L1316" s="22"/>
      <c r="M1316" s="22"/>
      <c r="N1316" s="22"/>
      <c r="O1316" s="22"/>
      <c r="P1316" s="22"/>
      <c r="Q1316" s="22"/>
      <c r="R1316" s="22"/>
      <c r="S1316" s="22"/>
      <c r="T1316" s="22"/>
      <c r="U1316" s="24" t="str">
        <f>IFERROR(__xludf.DUMMYFUNCTION("SPLIT(E1316,""01234567890"")"),"Judson
")</f>
        <v>Judson
</v>
      </c>
      <c r="V1316" s="24" t="str">
        <f>IFERROR(__xludf.DUMMYFUNCTION("SPLIT(D1316,"","")"),"Pankey")</f>
        <v>Pankey</v>
      </c>
      <c r="W1316" s="25" t="str">
        <f t="shared" si="1"/>
        <v>JUDSON
 PANKEY</v>
      </c>
      <c r="X1316" s="22"/>
      <c r="Y1316" s="22"/>
      <c r="Z1316" s="25" t="str">
        <f>IFERROR(__xludf.DUMMYFUNCTION("SPLIT(C1316,""
"")"),"Pankey, Judson")</f>
        <v>Pankey, Judson</v>
      </c>
      <c r="AA1316" s="22" t="str">
        <f>IFERROR(__xludf.DUMMYFUNCTION("""COMPUTED_VALUE"""),"3435 Wendy Ln.")</f>
        <v>3435 Wendy Ln.</v>
      </c>
      <c r="AB1316" s="22" t="str">
        <f>IFERROR(__xludf.DUMMYFUNCTION("""COMPUTED_VALUE"""),"Dallas, TX 75214")</f>
        <v>Dallas, TX 75214</v>
      </c>
      <c r="AC1316" s="31" t="s">
        <v>2841</v>
      </c>
      <c r="AD1316" s="22"/>
      <c r="AE1316" s="22"/>
      <c r="AF1316" s="22"/>
      <c r="AG1316" s="22" t="s">
        <v>60</v>
      </c>
      <c r="AH1316" s="54">
        <v>2493.0</v>
      </c>
      <c r="AI1316" s="22" t="s">
        <v>68</v>
      </c>
      <c r="AJ1316" s="27">
        <v>300.0</v>
      </c>
      <c r="AK1316" s="31" t="s">
        <v>34</v>
      </c>
      <c r="AL1316" s="28">
        <v>44846.0</v>
      </c>
      <c r="AM1316" s="29">
        <v>44943.30391203704</v>
      </c>
      <c r="AN1316" s="30">
        <v>2.0</v>
      </c>
      <c r="AO1316" s="22"/>
      <c r="AP1316" s="22"/>
      <c r="AQ1316" s="22"/>
      <c r="AR1316" s="22"/>
      <c r="AS1316" s="22"/>
      <c r="AT1316" s="70"/>
      <c r="AU1316" s="22"/>
      <c r="AV1316" s="57"/>
      <c r="AW1316" s="57"/>
      <c r="AX1316" s="70"/>
      <c r="AY1316" s="29"/>
      <c r="AZ1316" s="30"/>
      <c r="CU1316" s="55"/>
      <c r="CV1316" s="55"/>
      <c r="CW1316" s="55"/>
      <c r="CX1316" s="55"/>
      <c r="CY1316" s="55"/>
      <c r="CZ1316" s="55"/>
      <c r="DA1316" s="82"/>
      <c r="DB1316" s="55"/>
      <c r="DC1316" s="55"/>
      <c r="DD1316" s="55"/>
      <c r="DE1316" s="55"/>
      <c r="DF1316" s="55"/>
      <c r="DG1316" s="55"/>
      <c r="DH1316" s="55"/>
      <c r="DI1316" s="55"/>
      <c r="DJ1316" s="55"/>
      <c r="DK1316" s="55"/>
      <c r="DL1316" s="55"/>
      <c r="DM1316" s="55"/>
      <c r="DN1316" s="55"/>
      <c r="DO1316" s="55"/>
      <c r="DP1316" s="55"/>
      <c r="DQ1316" s="55"/>
      <c r="DR1316" s="55"/>
      <c r="DS1316" s="55"/>
      <c r="DT1316" s="55"/>
      <c r="DU1316" s="55"/>
      <c r="DV1316" s="55"/>
      <c r="DW1316" s="55"/>
    </row>
    <row r="1317">
      <c r="A1317" s="41" t="s">
        <v>64</v>
      </c>
      <c r="B1317" s="41" t="s">
        <v>56</v>
      </c>
      <c r="C1317" s="31" t="s">
        <v>2842</v>
      </c>
      <c r="D1317" s="25" t="str">
        <f>IFERROR(__xludf.DUMMYFUNCTION("SPLIT(C1317,"" "")"),"Flabiano,")</f>
        <v>Flabiano,</v>
      </c>
      <c r="E1317" s="40" t="str">
        <f>IFERROR(__xludf.DUMMYFUNCTION("""COMPUTED_VALUE"""),"Noah")</f>
        <v>Noah</v>
      </c>
      <c r="F1317" s="40" t="str">
        <f>IFERROR(__xludf.DUMMYFUNCTION("""COMPUTED_VALUE"""),"and")</f>
        <v>and</v>
      </c>
      <c r="G1317" s="40" t="str">
        <f>IFERROR(__xludf.DUMMYFUNCTION("""COMPUTED_VALUE"""),"Molly
5402")</f>
        <v>Molly
5402</v>
      </c>
      <c r="H1317" s="40" t="str">
        <f>IFERROR(__xludf.DUMMYFUNCTION("""COMPUTED_VALUE"""),"Emerson")</f>
        <v>Emerson</v>
      </c>
      <c r="I1317" s="40" t="str">
        <f>IFERROR(__xludf.DUMMYFUNCTION("""COMPUTED_VALUE"""),"Ave
Dallas,")</f>
        <v>Ave
Dallas,</v>
      </c>
      <c r="J1317" s="40" t="str">
        <f>IFERROR(__xludf.DUMMYFUNCTION("""COMPUTED_VALUE"""),"TX")</f>
        <v>TX</v>
      </c>
      <c r="K1317" s="40">
        <f>IFERROR(__xludf.DUMMYFUNCTION("""COMPUTED_VALUE"""),75209.0)</f>
        <v>75209</v>
      </c>
      <c r="L1317" s="40"/>
      <c r="M1317" s="40"/>
      <c r="N1317" s="40"/>
      <c r="O1317" s="40"/>
      <c r="P1317" s="40"/>
      <c r="Q1317" s="40"/>
      <c r="R1317" s="40"/>
      <c r="S1317" s="40"/>
      <c r="T1317" s="40"/>
      <c r="U1317" s="24" t="str">
        <f>IFERROR(__xludf.DUMMYFUNCTION("SPLIT(E1317,""01234567890"")"),"Noah")</f>
        <v>Noah</v>
      </c>
      <c r="V1317" s="24" t="str">
        <f>IFERROR(__xludf.DUMMYFUNCTION("SPLIT(D1317,"","")"),"Flabiano")</f>
        <v>Flabiano</v>
      </c>
      <c r="W1317" s="25" t="str">
        <f t="shared" si="1"/>
        <v>NOAH FLABIANO</v>
      </c>
      <c r="X1317" s="40"/>
      <c r="Y1317" s="40"/>
      <c r="Z1317" s="25" t="str">
        <f>IFERROR(__xludf.DUMMYFUNCTION("SPLIT(C1317,""
"")"),"Flabiano, Noah and Molly")</f>
        <v>Flabiano, Noah and Molly</v>
      </c>
      <c r="AA1317" s="40" t="str">
        <f>IFERROR(__xludf.DUMMYFUNCTION("""COMPUTED_VALUE"""),"5402 Emerson Ave")</f>
        <v>5402 Emerson Ave</v>
      </c>
      <c r="AB1317" s="40" t="str">
        <f>IFERROR(__xludf.DUMMYFUNCTION("""COMPUTED_VALUE"""),"Dallas, TX 75209")</f>
        <v>Dallas, TX 75209</v>
      </c>
      <c r="AC1317" s="31" t="s">
        <v>2843</v>
      </c>
      <c r="AD1317" s="40"/>
      <c r="AE1317" s="40"/>
      <c r="AF1317" s="40"/>
      <c r="AG1317" s="40" t="s">
        <v>60</v>
      </c>
      <c r="AH1317" s="42">
        <v>2493.0</v>
      </c>
      <c r="AI1317" s="40" t="s">
        <v>68</v>
      </c>
      <c r="AJ1317" s="27">
        <v>250.0</v>
      </c>
      <c r="AK1317" s="31" t="s">
        <v>34</v>
      </c>
      <c r="AL1317" s="43">
        <v>44846.0</v>
      </c>
      <c r="AM1317" s="44">
        <v>44943.30391203704</v>
      </c>
      <c r="AN1317" s="30">
        <v>2.0</v>
      </c>
      <c r="AO1317" s="40"/>
      <c r="AP1317" s="40"/>
      <c r="AQ1317" s="40"/>
      <c r="AR1317" s="40"/>
      <c r="AS1317" s="40"/>
      <c r="AT1317" s="47"/>
      <c r="AU1317" s="40"/>
      <c r="AV1317" s="46"/>
      <c r="AW1317" s="46"/>
      <c r="AX1317" s="47"/>
      <c r="AY1317" s="44"/>
      <c r="AZ1317" s="30"/>
      <c r="CU1317" s="55"/>
      <c r="CV1317" s="55"/>
      <c r="CW1317" s="55"/>
      <c r="CX1317" s="55"/>
      <c r="CY1317" s="55"/>
      <c r="CZ1317" s="55"/>
      <c r="DA1317" s="82"/>
      <c r="DB1317" s="55"/>
      <c r="DC1317" s="55"/>
      <c r="DD1317" s="55"/>
      <c r="DE1317" s="55"/>
      <c r="DF1317" s="55"/>
      <c r="DG1317" s="55"/>
      <c r="DH1317" s="55"/>
      <c r="DI1317" s="55"/>
      <c r="DJ1317" s="55"/>
      <c r="DK1317" s="55"/>
      <c r="DL1317" s="55"/>
      <c r="DM1317" s="55"/>
      <c r="DN1317" s="55"/>
      <c r="DO1317" s="55"/>
      <c r="DP1317" s="55"/>
      <c r="DQ1317" s="55"/>
      <c r="DR1317" s="55"/>
      <c r="DS1317" s="55"/>
      <c r="DT1317" s="55"/>
      <c r="DU1317" s="55"/>
      <c r="DV1317" s="55"/>
      <c r="DW1317" s="55"/>
    </row>
    <row r="1318">
      <c r="A1318" s="23" t="s">
        <v>64</v>
      </c>
      <c r="B1318" s="23" t="s">
        <v>56</v>
      </c>
      <c r="C1318" s="31" t="s">
        <v>2844</v>
      </c>
      <c r="D1318" s="25" t="str">
        <f>IFERROR(__xludf.DUMMYFUNCTION("SPLIT(C1318,"" "")"),"Leslie,")</f>
        <v>Leslie,</v>
      </c>
      <c r="E1318" s="22" t="str">
        <f>IFERROR(__xludf.DUMMYFUNCTION("""COMPUTED_VALUE"""),"Joann")</f>
        <v>Joann</v>
      </c>
      <c r="F1318" s="22" t="str">
        <f>IFERROR(__xludf.DUMMYFUNCTION("""COMPUTED_VALUE"""),"and")</f>
        <v>and</v>
      </c>
      <c r="G1318" s="22" t="str">
        <f>IFERROR(__xludf.DUMMYFUNCTION("""COMPUTED_VALUE"""),"Brian
6226")</f>
        <v>Brian
6226</v>
      </c>
      <c r="H1318" s="22" t="str">
        <f>IFERROR(__xludf.DUMMYFUNCTION("""COMPUTED_VALUE"""),"McCommas
Dallas,")</f>
        <v>McCommas
Dallas,</v>
      </c>
      <c r="I1318" s="22" t="str">
        <f>IFERROR(__xludf.DUMMYFUNCTION("""COMPUTED_VALUE"""),"TX")</f>
        <v>TX</v>
      </c>
      <c r="J1318" s="22">
        <f>IFERROR(__xludf.DUMMYFUNCTION("""COMPUTED_VALUE"""),75214.0)</f>
        <v>75214</v>
      </c>
      <c r="K1318" s="22"/>
      <c r="L1318" s="22"/>
      <c r="M1318" s="22"/>
      <c r="N1318" s="22"/>
      <c r="O1318" s="22"/>
      <c r="P1318" s="22"/>
      <c r="Q1318" s="22"/>
      <c r="R1318" s="22"/>
      <c r="S1318" s="22"/>
      <c r="T1318" s="22"/>
      <c r="U1318" s="24" t="str">
        <f>IFERROR(__xludf.DUMMYFUNCTION("SPLIT(E1318,""01234567890"")"),"Joann")</f>
        <v>Joann</v>
      </c>
      <c r="V1318" s="24" t="str">
        <f>IFERROR(__xludf.DUMMYFUNCTION("SPLIT(D1318,"","")"),"Leslie")</f>
        <v>Leslie</v>
      </c>
      <c r="W1318" s="25" t="str">
        <f t="shared" si="1"/>
        <v>JOANN LESLIE</v>
      </c>
      <c r="X1318" s="22"/>
      <c r="Y1318" s="22"/>
      <c r="Z1318" s="25" t="str">
        <f>IFERROR(__xludf.DUMMYFUNCTION("SPLIT(C1318,""
"")"),"Leslie, Joann and Brian")</f>
        <v>Leslie, Joann and Brian</v>
      </c>
      <c r="AA1318" s="22" t="str">
        <f>IFERROR(__xludf.DUMMYFUNCTION("""COMPUTED_VALUE"""),"6226 McCommas")</f>
        <v>6226 McCommas</v>
      </c>
      <c r="AB1318" s="22" t="str">
        <f>IFERROR(__xludf.DUMMYFUNCTION("""COMPUTED_VALUE"""),"Dallas, TX 75214")</f>
        <v>Dallas, TX 75214</v>
      </c>
      <c r="AC1318" s="31" t="s">
        <v>2845</v>
      </c>
      <c r="AD1318" s="22"/>
      <c r="AE1318" s="22"/>
      <c r="AF1318" s="22"/>
      <c r="AG1318" s="22" t="s">
        <v>60</v>
      </c>
      <c r="AH1318" s="54">
        <v>2493.0</v>
      </c>
      <c r="AI1318" s="22" t="s">
        <v>68</v>
      </c>
      <c r="AJ1318" s="27">
        <v>150.0</v>
      </c>
      <c r="AK1318" s="31" t="s">
        <v>34</v>
      </c>
      <c r="AL1318" s="28">
        <v>44846.0</v>
      </c>
      <c r="AM1318" s="29">
        <v>44943.30391203704</v>
      </c>
      <c r="AN1318" s="30">
        <v>2.0</v>
      </c>
      <c r="AO1318" s="22"/>
      <c r="AP1318" s="22"/>
      <c r="AQ1318" s="22"/>
      <c r="AR1318" s="22"/>
      <c r="AS1318" s="22"/>
      <c r="AT1318" s="70"/>
      <c r="AU1318" s="22"/>
      <c r="AV1318" s="57"/>
      <c r="AW1318" s="57"/>
      <c r="AX1318" s="70"/>
      <c r="AY1318" s="29"/>
      <c r="AZ1318" s="30"/>
      <c r="CU1318" s="55"/>
      <c r="CV1318" s="55"/>
      <c r="CW1318" s="55"/>
      <c r="CX1318" s="55"/>
      <c r="CY1318" s="55"/>
      <c r="CZ1318" s="55"/>
      <c r="DA1318" s="82"/>
      <c r="DB1318" s="55"/>
      <c r="DC1318" s="55"/>
      <c r="DD1318" s="55"/>
      <c r="DE1318" s="55"/>
      <c r="DF1318" s="55"/>
      <c r="DG1318" s="55"/>
      <c r="DH1318" s="55"/>
      <c r="DI1318" s="55"/>
      <c r="DJ1318" s="55"/>
      <c r="DK1318" s="55"/>
      <c r="DL1318" s="55"/>
      <c r="DM1318" s="55"/>
      <c r="DN1318" s="55"/>
      <c r="DO1318" s="55"/>
      <c r="DP1318" s="55"/>
      <c r="DQ1318" s="55"/>
      <c r="DR1318" s="55"/>
      <c r="DS1318" s="55"/>
      <c r="DT1318" s="55"/>
      <c r="DU1318" s="55"/>
      <c r="DV1318" s="55"/>
      <c r="DW1318" s="55"/>
    </row>
    <row r="1319">
      <c r="A1319" s="41" t="s">
        <v>64</v>
      </c>
      <c r="B1319" s="41" t="s">
        <v>56</v>
      </c>
      <c r="C1319" s="31" t="s">
        <v>2846</v>
      </c>
      <c r="D1319" s="25" t="str">
        <f>IFERROR(__xludf.DUMMYFUNCTION("SPLIT(C1319,"" "")"),"Sleeper,")</f>
        <v>Sleeper,</v>
      </c>
      <c r="E1319" s="40" t="str">
        <f>IFERROR(__xludf.DUMMYFUNCTION("""COMPUTED_VALUE"""),"Neal
3374")</f>
        <v>Neal
3374</v>
      </c>
      <c r="F1319" s="40" t="str">
        <f>IFERROR(__xludf.DUMMYFUNCTION("""COMPUTED_VALUE"""),"Blackburn
Dallas,")</f>
        <v>Blackburn
Dallas,</v>
      </c>
      <c r="G1319" s="40" t="str">
        <f>IFERROR(__xludf.DUMMYFUNCTION("""COMPUTED_VALUE"""),"TX")</f>
        <v>TX</v>
      </c>
      <c r="H1319" s="40">
        <f>IFERROR(__xludf.DUMMYFUNCTION("""COMPUTED_VALUE"""),75201.0)</f>
        <v>75201</v>
      </c>
      <c r="I1319" s="40"/>
      <c r="J1319" s="40"/>
      <c r="K1319" s="40"/>
      <c r="L1319" s="40"/>
      <c r="M1319" s="40"/>
      <c r="N1319" s="40"/>
      <c r="O1319" s="40"/>
      <c r="P1319" s="40"/>
      <c r="Q1319" s="40"/>
      <c r="R1319" s="40"/>
      <c r="S1319" s="40"/>
      <c r="T1319" s="40"/>
      <c r="U1319" s="24" t="str">
        <f>IFERROR(__xludf.DUMMYFUNCTION("SPLIT(E1319,""01234567890"")"),"Neal
")</f>
        <v>Neal
</v>
      </c>
      <c r="V1319" s="24" t="str">
        <f>IFERROR(__xludf.DUMMYFUNCTION("SPLIT(D1319,"","")"),"Sleeper")</f>
        <v>Sleeper</v>
      </c>
      <c r="W1319" s="25" t="str">
        <f t="shared" si="1"/>
        <v>NEAL
 SLEEPER</v>
      </c>
      <c r="X1319" s="40"/>
      <c r="Y1319" s="40"/>
      <c r="Z1319" s="25" t="str">
        <f>IFERROR(__xludf.DUMMYFUNCTION("SPLIT(C1319,""
"")"),"Sleeper, Neal")</f>
        <v>Sleeper, Neal</v>
      </c>
      <c r="AA1319" s="40" t="str">
        <f>IFERROR(__xludf.DUMMYFUNCTION("""COMPUTED_VALUE"""),"3374 Blackburn")</f>
        <v>3374 Blackburn</v>
      </c>
      <c r="AB1319" s="40" t="str">
        <f>IFERROR(__xludf.DUMMYFUNCTION("""COMPUTED_VALUE"""),"Dallas, TX 75201")</f>
        <v>Dallas, TX 75201</v>
      </c>
      <c r="AC1319" s="31" t="s">
        <v>1635</v>
      </c>
      <c r="AD1319" s="40"/>
      <c r="AE1319" s="40"/>
      <c r="AF1319" s="40"/>
      <c r="AG1319" s="40" t="s">
        <v>60</v>
      </c>
      <c r="AH1319" s="42">
        <v>2493.0</v>
      </c>
      <c r="AI1319" s="40" t="s">
        <v>68</v>
      </c>
      <c r="AJ1319" s="27">
        <v>500.0</v>
      </c>
      <c r="AK1319" s="31" t="s">
        <v>34</v>
      </c>
      <c r="AL1319" s="43">
        <v>44846.0</v>
      </c>
      <c r="AM1319" s="44">
        <v>44943.30391203704</v>
      </c>
      <c r="AN1319" s="30">
        <v>2.0</v>
      </c>
      <c r="AO1319" s="40"/>
      <c r="AP1319" s="40"/>
      <c r="AQ1319" s="40"/>
      <c r="AR1319" s="40"/>
      <c r="AS1319" s="40"/>
      <c r="AT1319" s="47"/>
      <c r="AU1319" s="40"/>
      <c r="AV1319" s="46"/>
      <c r="AW1319" s="46"/>
      <c r="AX1319" s="47"/>
      <c r="AY1319" s="44"/>
      <c r="AZ1319" s="30"/>
      <c r="CU1319" s="55"/>
      <c r="CV1319" s="55"/>
      <c r="CW1319" s="55"/>
      <c r="CX1319" s="55"/>
      <c r="CY1319" s="55"/>
      <c r="CZ1319" s="55"/>
      <c r="DA1319" s="82"/>
      <c r="DB1319" s="55"/>
      <c r="DC1319" s="55"/>
      <c r="DD1319" s="55"/>
      <c r="DE1319" s="55"/>
      <c r="DF1319" s="55"/>
      <c r="DG1319" s="55"/>
      <c r="DH1319" s="55"/>
      <c r="DI1319" s="55"/>
      <c r="DJ1319" s="55"/>
      <c r="DK1319" s="55"/>
      <c r="DL1319" s="55"/>
      <c r="DM1319" s="55"/>
      <c r="DN1319" s="55"/>
      <c r="DO1319" s="55"/>
      <c r="DP1319" s="55"/>
      <c r="DQ1319" s="55"/>
      <c r="DR1319" s="55"/>
      <c r="DS1319" s="55"/>
      <c r="DT1319" s="55"/>
      <c r="DU1319" s="55"/>
      <c r="DV1319" s="55"/>
      <c r="DW1319" s="55"/>
    </row>
    <row r="1320">
      <c r="A1320" s="23" t="s">
        <v>64</v>
      </c>
      <c r="B1320" s="23" t="s">
        <v>56</v>
      </c>
      <c r="C1320" s="31" t="s">
        <v>2847</v>
      </c>
      <c r="D1320" s="25" t="str">
        <f>IFERROR(__xludf.DUMMYFUNCTION("SPLIT(C1320,"" "")"),"Schieber,")</f>
        <v>Schieber,</v>
      </c>
      <c r="E1320" s="22" t="str">
        <f>IFERROR(__xludf.DUMMYFUNCTION("""COMPUTED_VALUE"""),"Laura")</f>
        <v>Laura</v>
      </c>
      <c r="F1320" s="22" t="str">
        <f>IFERROR(__xludf.DUMMYFUNCTION("""COMPUTED_VALUE"""),"and")</f>
        <v>and</v>
      </c>
      <c r="G1320" s="22" t="str">
        <f>IFERROR(__xludf.DUMMYFUNCTION("""COMPUTED_VALUE"""),"Chad
3209")</f>
        <v>Chad
3209</v>
      </c>
      <c r="H1320" s="22" t="str">
        <f>IFERROR(__xludf.DUMMYFUNCTION("""COMPUTED_VALUE"""),"Drexel")</f>
        <v>Drexel</v>
      </c>
      <c r="I1320" s="22" t="str">
        <f>IFERROR(__xludf.DUMMYFUNCTION("""COMPUTED_VALUE"""),"Dr
Dallas,")</f>
        <v>Dr
Dallas,</v>
      </c>
      <c r="J1320" s="22" t="str">
        <f>IFERROR(__xludf.DUMMYFUNCTION("""COMPUTED_VALUE"""),"TX")</f>
        <v>TX</v>
      </c>
      <c r="K1320" s="22">
        <f>IFERROR(__xludf.DUMMYFUNCTION("""COMPUTED_VALUE"""),75205.0)</f>
        <v>75205</v>
      </c>
      <c r="L1320" s="22"/>
      <c r="M1320" s="22"/>
      <c r="N1320" s="22"/>
      <c r="O1320" s="22"/>
      <c r="P1320" s="22"/>
      <c r="Q1320" s="22"/>
      <c r="R1320" s="22"/>
      <c r="S1320" s="22"/>
      <c r="T1320" s="22"/>
      <c r="U1320" s="24" t="str">
        <f>IFERROR(__xludf.DUMMYFUNCTION("SPLIT(E1320,""01234567890"")"),"Laura")</f>
        <v>Laura</v>
      </c>
      <c r="V1320" s="24" t="str">
        <f>IFERROR(__xludf.DUMMYFUNCTION("SPLIT(D1320,"","")"),"Schieber")</f>
        <v>Schieber</v>
      </c>
      <c r="W1320" s="25" t="str">
        <f t="shared" si="1"/>
        <v>LAURA SCHIEBER</v>
      </c>
      <c r="X1320" s="22"/>
      <c r="Y1320" s="22"/>
      <c r="Z1320" s="25" t="str">
        <f>IFERROR(__xludf.DUMMYFUNCTION("SPLIT(C1320,""
"")"),"Schieber, Laura and Chad")</f>
        <v>Schieber, Laura and Chad</v>
      </c>
      <c r="AA1320" s="22" t="str">
        <f>IFERROR(__xludf.DUMMYFUNCTION("""COMPUTED_VALUE"""),"3209 Drexel Dr")</f>
        <v>3209 Drexel Dr</v>
      </c>
      <c r="AB1320" s="22" t="str">
        <f>IFERROR(__xludf.DUMMYFUNCTION("""COMPUTED_VALUE"""),"Dallas, TX 75205")</f>
        <v>Dallas, TX 75205</v>
      </c>
      <c r="AC1320" s="31" t="s">
        <v>2848</v>
      </c>
      <c r="AD1320" s="22"/>
      <c r="AE1320" s="22"/>
      <c r="AF1320" s="22"/>
      <c r="AG1320" s="22" t="s">
        <v>60</v>
      </c>
      <c r="AH1320" s="54">
        <v>2493.0</v>
      </c>
      <c r="AI1320" s="22" t="s">
        <v>68</v>
      </c>
      <c r="AJ1320" s="27">
        <v>500.0</v>
      </c>
      <c r="AK1320" s="31" t="s">
        <v>34</v>
      </c>
      <c r="AL1320" s="28">
        <v>44846.0</v>
      </c>
      <c r="AM1320" s="29">
        <v>44943.30391203704</v>
      </c>
      <c r="AN1320" s="30">
        <v>2.0</v>
      </c>
      <c r="AO1320" s="22"/>
      <c r="AP1320" s="22"/>
      <c r="AQ1320" s="22"/>
      <c r="AR1320" s="22"/>
      <c r="AS1320" s="22"/>
      <c r="AT1320" s="70"/>
      <c r="AU1320" s="22"/>
      <c r="AV1320" s="57"/>
      <c r="AW1320" s="57"/>
      <c r="AX1320" s="70"/>
      <c r="AY1320" s="29"/>
      <c r="AZ1320" s="30"/>
      <c r="CU1320" s="55"/>
      <c r="CV1320" s="55"/>
      <c r="CW1320" s="55"/>
      <c r="CX1320" s="55"/>
      <c r="CY1320" s="55"/>
      <c r="CZ1320" s="55"/>
      <c r="DA1320" s="82"/>
      <c r="DB1320" s="55"/>
      <c r="DC1320" s="55"/>
      <c r="DD1320" s="55"/>
      <c r="DE1320" s="55"/>
      <c r="DF1320" s="55"/>
      <c r="DG1320" s="55"/>
      <c r="DH1320" s="55"/>
      <c r="DI1320" s="55"/>
      <c r="DJ1320" s="55"/>
      <c r="DK1320" s="55"/>
      <c r="DL1320" s="55"/>
      <c r="DM1320" s="55"/>
      <c r="DN1320" s="55"/>
      <c r="DO1320" s="55"/>
      <c r="DP1320" s="55"/>
      <c r="DQ1320" s="55"/>
      <c r="DR1320" s="55"/>
      <c r="DS1320" s="55"/>
      <c r="DT1320" s="55"/>
      <c r="DU1320" s="55"/>
      <c r="DV1320" s="55"/>
      <c r="DW1320" s="55"/>
    </row>
    <row r="1321">
      <c r="A1321" s="41" t="s">
        <v>64</v>
      </c>
      <c r="B1321" s="41" t="s">
        <v>56</v>
      </c>
      <c r="C1321" s="31" t="s">
        <v>2849</v>
      </c>
      <c r="D1321" s="25" t="str">
        <f>IFERROR(__xludf.DUMMYFUNCTION("SPLIT(C1321,"" "")"),"McNamara,")</f>
        <v>McNamara,</v>
      </c>
      <c r="E1321" s="40" t="str">
        <f>IFERROR(__xludf.DUMMYFUNCTION("""COMPUTED_VALUE"""),"Donald
3899")</f>
        <v>Donald
3899</v>
      </c>
      <c r="F1321" s="40" t="str">
        <f>IFERROR(__xludf.DUMMYFUNCTION("""COMPUTED_VALUE"""),"Maple")</f>
        <v>Maple</v>
      </c>
      <c r="G1321" s="40" t="str">
        <f>IFERROR(__xludf.DUMMYFUNCTION("""COMPUTED_VALUE"""),"Ave
Dallas,")</f>
        <v>Ave
Dallas,</v>
      </c>
      <c r="H1321" s="40" t="str">
        <f>IFERROR(__xludf.DUMMYFUNCTION("""COMPUTED_VALUE"""),"TX")</f>
        <v>TX</v>
      </c>
      <c r="I1321" s="40">
        <f>IFERROR(__xludf.DUMMYFUNCTION("""COMPUTED_VALUE"""),75219.0)</f>
        <v>75219</v>
      </c>
      <c r="J1321" s="40"/>
      <c r="K1321" s="40"/>
      <c r="L1321" s="40"/>
      <c r="M1321" s="40"/>
      <c r="N1321" s="40"/>
      <c r="O1321" s="40"/>
      <c r="P1321" s="40"/>
      <c r="Q1321" s="40"/>
      <c r="R1321" s="40"/>
      <c r="S1321" s="40"/>
      <c r="T1321" s="40"/>
      <c r="U1321" s="24" t="str">
        <f>IFERROR(__xludf.DUMMYFUNCTION("SPLIT(E1321,""01234567890"")"),"Donald
")</f>
        <v>Donald
</v>
      </c>
      <c r="V1321" s="24" t="str">
        <f>IFERROR(__xludf.DUMMYFUNCTION("SPLIT(D1321,"","")"),"McNamara")</f>
        <v>McNamara</v>
      </c>
      <c r="W1321" s="25" t="str">
        <f t="shared" si="1"/>
        <v>DONALD
 MCNAMARA</v>
      </c>
      <c r="X1321" s="40"/>
      <c r="Y1321" s="40"/>
      <c r="Z1321" s="25" t="str">
        <f>IFERROR(__xludf.DUMMYFUNCTION("SPLIT(C1321,""
"")"),"McNamara, Donald")</f>
        <v>McNamara, Donald</v>
      </c>
      <c r="AA1321" s="40" t="str">
        <f>IFERROR(__xludf.DUMMYFUNCTION("""COMPUTED_VALUE"""),"3899 Maple Ave")</f>
        <v>3899 Maple Ave</v>
      </c>
      <c r="AB1321" s="40" t="str">
        <f>IFERROR(__xludf.DUMMYFUNCTION("""COMPUTED_VALUE"""),"Dallas, TX 75219")</f>
        <v>Dallas, TX 75219</v>
      </c>
      <c r="AC1321" s="31" t="s">
        <v>2850</v>
      </c>
      <c r="AD1321" s="40"/>
      <c r="AE1321" s="40"/>
      <c r="AF1321" s="40"/>
      <c r="AG1321" s="40" t="s">
        <v>60</v>
      </c>
      <c r="AH1321" s="42">
        <v>2493.0</v>
      </c>
      <c r="AI1321" s="40" t="s">
        <v>68</v>
      </c>
      <c r="AJ1321" s="27">
        <v>1000.0</v>
      </c>
      <c r="AK1321" s="31" t="s">
        <v>34</v>
      </c>
      <c r="AL1321" s="43">
        <v>44846.0</v>
      </c>
      <c r="AM1321" s="44">
        <v>44943.30391203704</v>
      </c>
      <c r="AN1321" s="30">
        <v>2.0</v>
      </c>
      <c r="AO1321" s="40"/>
      <c r="AP1321" s="40"/>
      <c r="AQ1321" s="40"/>
      <c r="AR1321" s="40"/>
      <c r="AS1321" s="40"/>
      <c r="AT1321" s="47"/>
      <c r="AU1321" s="40"/>
      <c r="AV1321" s="46"/>
      <c r="AW1321" s="46"/>
      <c r="AX1321" s="47"/>
      <c r="AY1321" s="44"/>
      <c r="AZ1321" s="30"/>
      <c r="CU1321" s="55"/>
      <c r="CV1321" s="55"/>
      <c r="CW1321" s="55"/>
      <c r="CX1321" s="55"/>
      <c r="CY1321" s="55"/>
      <c r="CZ1321" s="55"/>
      <c r="DA1321" s="82"/>
      <c r="DB1321" s="55"/>
      <c r="DC1321" s="55"/>
      <c r="DD1321" s="55"/>
      <c r="DE1321" s="55"/>
      <c r="DF1321" s="55"/>
      <c r="DG1321" s="55"/>
      <c r="DH1321" s="55"/>
      <c r="DI1321" s="55"/>
      <c r="DJ1321" s="55"/>
      <c r="DK1321" s="55"/>
      <c r="DL1321" s="55"/>
      <c r="DM1321" s="55"/>
      <c r="DN1321" s="55"/>
      <c r="DO1321" s="55"/>
      <c r="DP1321" s="55"/>
      <c r="DQ1321" s="55"/>
      <c r="DR1321" s="55"/>
      <c r="DS1321" s="55"/>
      <c r="DT1321" s="55"/>
      <c r="DU1321" s="55"/>
      <c r="DV1321" s="55"/>
      <c r="DW1321" s="55"/>
    </row>
    <row r="1322">
      <c r="A1322" s="23" t="s">
        <v>64</v>
      </c>
      <c r="B1322" s="23" t="s">
        <v>56</v>
      </c>
      <c r="C1322" s="31" t="s">
        <v>2829</v>
      </c>
      <c r="D1322" s="25" t="str">
        <f>IFERROR(__xludf.DUMMYFUNCTION("SPLIT(C1322,"" "")"),"Hunt,")</f>
        <v>Hunt,</v>
      </c>
      <c r="E1322" s="22" t="str">
        <f>IFERROR(__xludf.DUMMYFUNCTION("""COMPUTED_VALUE"""),"Ray
1900")</f>
        <v>Ray
1900</v>
      </c>
      <c r="F1322" s="22" t="str">
        <f>IFERROR(__xludf.DUMMYFUNCTION("""COMPUTED_VALUE"""),"N")</f>
        <v>N</v>
      </c>
      <c r="G1322" s="22" t="str">
        <f>IFERROR(__xludf.DUMMYFUNCTION("""COMPUTED_VALUE"""),"Akard
Dallas,")</f>
        <v>Akard
Dallas,</v>
      </c>
      <c r="H1322" s="22" t="str">
        <f>IFERROR(__xludf.DUMMYFUNCTION("""COMPUTED_VALUE"""),"TX")</f>
        <v>TX</v>
      </c>
      <c r="I1322" s="22">
        <f>IFERROR(__xludf.DUMMYFUNCTION("""COMPUTED_VALUE"""),75201.0)</f>
        <v>75201</v>
      </c>
      <c r="J1322" s="22"/>
      <c r="K1322" s="22"/>
      <c r="L1322" s="22"/>
      <c r="M1322" s="22"/>
      <c r="N1322" s="22"/>
      <c r="O1322" s="22"/>
      <c r="P1322" s="22"/>
      <c r="Q1322" s="22"/>
      <c r="R1322" s="22"/>
      <c r="S1322" s="22"/>
      <c r="T1322" s="22"/>
      <c r="U1322" s="24" t="str">
        <f>IFERROR(__xludf.DUMMYFUNCTION("SPLIT(E1322,""01234567890"")"),"Ray
")</f>
        <v>Ray
</v>
      </c>
      <c r="V1322" s="24" t="str">
        <f>IFERROR(__xludf.DUMMYFUNCTION("SPLIT(D1322,"","")"),"Hunt")</f>
        <v>Hunt</v>
      </c>
      <c r="W1322" s="25" t="str">
        <f t="shared" si="1"/>
        <v>RAY
 HUNT</v>
      </c>
      <c r="X1322" s="22"/>
      <c r="Y1322" s="22"/>
      <c r="Z1322" s="25" t="str">
        <f>IFERROR(__xludf.DUMMYFUNCTION("SPLIT(C1322,""
"")"),"Hunt, Ray")</f>
        <v>Hunt, Ray</v>
      </c>
      <c r="AA1322" s="22" t="str">
        <f>IFERROR(__xludf.DUMMYFUNCTION("""COMPUTED_VALUE"""),"1900 N Akard")</f>
        <v>1900 N Akard</v>
      </c>
      <c r="AB1322" s="22" t="str">
        <f>IFERROR(__xludf.DUMMYFUNCTION("""COMPUTED_VALUE"""),"Dallas, TX 75201")</f>
        <v>Dallas, TX 75201</v>
      </c>
      <c r="AC1322" s="31" t="s">
        <v>721</v>
      </c>
      <c r="AD1322" s="22"/>
      <c r="AE1322" s="22"/>
      <c r="AF1322" s="22"/>
      <c r="AG1322" s="22" t="s">
        <v>60</v>
      </c>
      <c r="AH1322" s="54">
        <v>2493.0</v>
      </c>
      <c r="AI1322" s="22" t="s">
        <v>68</v>
      </c>
      <c r="AJ1322" s="27">
        <v>1000.0</v>
      </c>
      <c r="AK1322" s="31" t="s">
        <v>34</v>
      </c>
      <c r="AL1322" s="28">
        <v>44775.0</v>
      </c>
      <c r="AM1322" s="29">
        <v>44943.30391203704</v>
      </c>
      <c r="AN1322" s="30">
        <v>2.0</v>
      </c>
      <c r="AO1322" s="22"/>
      <c r="AP1322" s="22"/>
      <c r="AQ1322" s="22"/>
      <c r="AR1322" s="22"/>
      <c r="AS1322" s="22"/>
      <c r="AT1322" s="70"/>
      <c r="AU1322" s="22"/>
      <c r="AV1322" s="57"/>
      <c r="AW1322" s="57"/>
      <c r="AX1322" s="70"/>
      <c r="AY1322" s="29"/>
      <c r="AZ1322" s="30"/>
      <c r="CU1322" s="55"/>
      <c r="CV1322" s="55"/>
      <c r="CW1322" s="55"/>
      <c r="CX1322" s="55"/>
      <c r="CY1322" s="55"/>
      <c r="CZ1322" s="55"/>
      <c r="DA1322" s="82"/>
      <c r="DB1322" s="55"/>
      <c r="DC1322" s="55"/>
      <c r="DD1322" s="55"/>
      <c r="DE1322" s="55"/>
      <c r="DF1322" s="55"/>
      <c r="DG1322" s="55"/>
      <c r="DH1322" s="55"/>
      <c r="DI1322" s="55"/>
      <c r="DJ1322" s="55"/>
      <c r="DK1322" s="55"/>
      <c r="DL1322" s="55"/>
      <c r="DM1322" s="55"/>
      <c r="DN1322" s="55"/>
      <c r="DO1322" s="55"/>
      <c r="DP1322" s="55"/>
      <c r="DQ1322" s="55"/>
      <c r="DR1322" s="55"/>
      <c r="DS1322" s="55"/>
      <c r="DT1322" s="55"/>
      <c r="DU1322" s="55"/>
      <c r="DV1322" s="55"/>
      <c r="DW1322" s="55"/>
    </row>
    <row r="1323">
      <c r="A1323" s="41" t="s">
        <v>64</v>
      </c>
      <c r="B1323" s="41" t="s">
        <v>56</v>
      </c>
      <c r="C1323" s="31" t="s">
        <v>2851</v>
      </c>
      <c r="D1323" s="25" t="str">
        <f>IFERROR(__xludf.DUMMYFUNCTION("SPLIT(C1323,"" "")"),"Cobb,")</f>
        <v>Cobb,</v>
      </c>
      <c r="E1323" s="40" t="str">
        <f>IFERROR(__xludf.DUMMYFUNCTION("""COMPUTED_VALUE"""),"Phil
3839")</f>
        <v>Phil
3839</v>
      </c>
      <c r="F1323" s="40" t="str">
        <f>IFERROR(__xludf.DUMMYFUNCTION("""COMPUTED_VALUE"""),"McKinney")</f>
        <v>McKinney</v>
      </c>
      <c r="G1323" s="40" t="str">
        <f>IFERROR(__xludf.DUMMYFUNCTION("""COMPUTED_VALUE"""),"Ave.
Dallas,")</f>
        <v>Ave.
Dallas,</v>
      </c>
      <c r="H1323" s="40" t="str">
        <f>IFERROR(__xludf.DUMMYFUNCTION("""COMPUTED_VALUE"""),"TX")</f>
        <v>TX</v>
      </c>
      <c r="I1323" s="40">
        <f>IFERROR(__xludf.DUMMYFUNCTION("""COMPUTED_VALUE"""),75204.0)</f>
        <v>75204</v>
      </c>
      <c r="J1323" s="40"/>
      <c r="K1323" s="40"/>
      <c r="L1323" s="40"/>
      <c r="M1323" s="40"/>
      <c r="N1323" s="40"/>
      <c r="O1323" s="40"/>
      <c r="P1323" s="40"/>
      <c r="Q1323" s="40"/>
      <c r="R1323" s="40"/>
      <c r="S1323" s="40"/>
      <c r="T1323" s="40"/>
      <c r="U1323" s="24" t="str">
        <f>IFERROR(__xludf.DUMMYFUNCTION("SPLIT(E1323,""01234567890"")"),"Phil
")</f>
        <v>Phil
</v>
      </c>
      <c r="V1323" s="24" t="str">
        <f>IFERROR(__xludf.DUMMYFUNCTION("SPLIT(D1323,"","")"),"Cobb")</f>
        <v>Cobb</v>
      </c>
      <c r="W1323" s="25" t="str">
        <f t="shared" si="1"/>
        <v>PHIL
 COBB</v>
      </c>
      <c r="X1323" s="40"/>
      <c r="Y1323" s="40"/>
      <c r="Z1323" s="25" t="str">
        <f>IFERROR(__xludf.DUMMYFUNCTION("SPLIT(C1323,""
"")"),"Cobb, Phil")</f>
        <v>Cobb, Phil</v>
      </c>
      <c r="AA1323" s="40" t="str">
        <f>IFERROR(__xludf.DUMMYFUNCTION("""COMPUTED_VALUE"""),"3839 McKinney Ave.")</f>
        <v>3839 McKinney Ave.</v>
      </c>
      <c r="AB1323" s="40" t="str">
        <f>IFERROR(__xludf.DUMMYFUNCTION("""COMPUTED_VALUE"""),"Dallas, TX 75204")</f>
        <v>Dallas, TX 75204</v>
      </c>
      <c r="AC1323" s="31" t="s">
        <v>2852</v>
      </c>
      <c r="AD1323" s="40"/>
      <c r="AE1323" s="40"/>
      <c r="AF1323" s="40"/>
      <c r="AG1323" s="40" t="s">
        <v>60</v>
      </c>
      <c r="AH1323" s="42">
        <v>2493.0</v>
      </c>
      <c r="AI1323" s="40" t="s">
        <v>68</v>
      </c>
      <c r="AJ1323" s="27">
        <v>250.0</v>
      </c>
      <c r="AK1323" s="31" t="s">
        <v>34</v>
      </c>
      <c r="AL1323" s="43">
        <v>44856.0</v>
      </c>
      <c r="AM1323" s="44">
        <v>44943.30391203704</v>
      </c>
      <c r="AN1323" s="30">
        <v>2.0</v>
      </c>
      <c r="AO1323" s="40"/>
      <c r="AP1323" s="40"/>
      <c r="AQ1323" s="40"/>
      <c r="AR1323" s="40"/>
      <c r="AS1323" s="40"/>
      <c r="AT1323" s="47"/>
      <c r="AU1323" s="40"/>
      <c r="AV1323" s="46"/>
      <c r="AW1323" s="46"/>
      <c r="AX1323" s="47"/>
      <c r="AY1323" s="44"/>
      <c r="AZ1323" s="30"/>
      <c r="CU1323" s="55"/>
      <c r="CV1323" s="55"/>
      <c r="CW1323" s="55"/>
      <c r="CX1323" s="55"/>
      <c r="CY1323" s="55"/>
      <c r="CZ1323" s="55"/>
      <c r="DA1323" s="82"/>
      <c r="DB1323" s="55"/>
      <c r="DC1323" s="55"/>
      <c r="DD1323" s="55"/>
      <c r="DE1323" s="55"/>
      <c r="DF1323" s="55"/>
      <c r="DG1323" s="55"/>
      <c r="DH1323" s="55"/>
      <c r="DI1323" s="55"/>
      <c r="DJ1323" s="55"/>
      <c r="DK1323" s="55"/>
      <c r="DL1323" s="55"/>
      <c r="DM1323" s="55"/>
      <c r="DN1323" s="55"/>
      <c r="DO1323" s="55"/>
      <c r="DP1323" s="55"/>
      <c r="DQ1323" s="55"/>
      <c r="DR1323" s="55"/>
      <c r="DS1323" s="55"/>
      <c r="DT1323" s="55"/>
      <c r="DU1323" s="55"/>
      <c r="DV1323" s="55"/>
      <c r="DW1323" s="55"/>
    </row>
    <row r="1324">
      <c r="A1324" s="23" t="s">
        <v>64</v>
      </c>
      <c r="B1324" s="23" t="s">
        <v>56</v>
      </c>
      <c r="C1324" s="31" t="s">
        <v>2853</v>
      </c>
      <c r="D1324" s="25" t="str">
        <f>IFERROR(__xludf.DUMMYFUNCTION("SPLIT(C1324,"" "")"),"Friedman,")</f>
        <v>Friedman,</v>
      </c>
      <c r="E1324" s="22" t="str">
        <f>IFERROR(__xludf.DUMMYFUNCTION("""COMPUTED_VALUE"""),"Richard
20")</f>
        <v>Richard
20</v>
      </c>
      <c r="F1324" s="22" t="str">
        <f>IFERROR(__xludf.DUMMYFUNCTION("""COMPUTED_VALUE"""),"University")</f>
        <v>University</v>
      </c>
      <c r="G1324" s="22" t="str">
        <f>IFERROR(__xludf.DUMMYFUNCTION("""COMPUTED_VALUE"""),"Rd
Cambridge,")</f>
        <v>Rd
Cambridge,</v>
      </c>
      <c r="H1324" s="22" t="str">
        <f>IFERROR(__xludf.DUMMYFUNCTION("""COMPUTED_VALUE"""),"MA")</f>
        <v>MA</v>
      </c>
      <c r="I1324" s="22">
        <f>IFERROR(__xludf.DUMMYFUNCTION("""COMPUTED_VALUE"""),2138.0)</f>
        <v>2138</v>
      </c>
      <c r="J1324" s="22"/>
      <c r="K1324" s="22"/>
      <c r="L1324" s="22"/>
      <c r="M1324" s="22"/>
      <c r="N1324" s="22"/>
      <c r="O1324" s="22"/>
      <c r="P1324" s="22"/>
      <c r="Q1324" s="22"/>
      <c r="R1324" s="22"/>
      <c r="S1324" s="22"/>
      <c r="T1324" s="22"/>
      <c r="U1324" s="24" t="str">
        <f>IFERROR(__xludf.DUMMYFUNCTION("SPLIT(E1324,""01234567890"")"),"Richard
")</f>
        <v>Richard
</v>
      </c>
      <c r="V1324" s="24" t="str">
        <f>IFERROR(__xludf.DUMMYFUNCTION("SPLIT(D1324,"","")"),"Friedman")</f>
        <v>Friedman</v>
      </c>
      <c r="W1324" s="25" t="str">
        <f t="shared" si="1"/>
        <v>RICHARD
 FRIEDMAN</v>
      </c>
      <c r="X1324" s="22"/>
      <c r="Y1324" s="22"/>
      <c r="Z1324" s="25" t="str">
        <f>IFERROR(__xludf.DUMMYFUNCTION("SPLIT(C1324,""
"")"),"Friedman, Richard")</f>
        <v>Friedman, Richard</v>
      </c>
      <c r="AA1324" s="22" t="str">
        <f>IFERROR(__xludf.DUMMYFUNCTION("""COMPUTED_VALUE"""),"20 University Rd")</f>
        <v>20 University Rd</v>
      </c>
      <c r="AB1324" s="22" t="str">
        <f>IFERROR(__xludf.DUMMYFUNCTION("""COMPUTED_VALUE"""),"Cambridge, MA 02138")</f>
        <v>Cambridge, MA 02138</v>
      </c>
      <c r="AC1324" s="31" t="s">
        <v>2854</v>
      </c>
      <c r="AD1324" s="22"/>
      <c r="AE1324" s="22"/>
      <c r="AF1324" s="22"/>
      <c r="AG1324" s="22" t="s">
        <v>60</v>
      </c>
      <c r="AH1324" s="54">
        <v>2493.0</v>
      </c>
      <c r="AI1324" s="22" t="s">
        <v>68</v>
      </c>
      <c r="AJ1324" s="27">
        <v>1000.0</v>
      </c>
      <c r="AK1324" s="31" t="s">
        <v>34</v>
      </c>
      <c r="AL1324" s="28">
        <v>44860.0</v>
      </c>
      <c r="AM1324" s="29">
        <v>44943.30391203704</v>
      </c>
      <c r="AN1324" s="30">
        <v>2.0</v>
      </c>
      <c r="AO1324" s="22"/>
      <c r="AP1324" s="22"/>
      <c r="AQ1324" s="22"/>
      <c r="AR1324" s="22"/>
      <c r="AS1324" s="22"/>
      <c r="AT1324" s="70"/>
      <c r="AU1324" s="22"/>
      <c r="AV1324" s="57"/>
      <c r="AW1324" s="57"/>
      <c r="AX1324" s="70"/>
      <c r="AY1324" s="29"/>
      <c r="AZ1324" s="30"/>
      <c r="CU1324" s="55"/>
      <c r="CV1324" s="55"/>
      <c r="CW1324" s="55"/>
      <c r="CX1324" s="55"/>
      <c r="CY1324" s="55"/>
      <c r="CZ1324" s="55"/>
      <c r="DA1324" s="82"/>
      <c r="DB1324" s="55"/>
      <c r="DC1324" s="55"/>
      <c r="DD1324" s="55"/>
      <c r="DE1324" s="55"/>
      <c r="DF1324" s="55"/>
      <c r="DG1324" s="55"/>
      <c r="DH1324" s="55"/>
      <c r="DI1324" s="55"/>
      <c r="DJ1324" s="55"/>
      <c r="DK1324" s="55"/>
      <c r="DL1324" s="55"/>
      <c r="DM1324" s="55"/>
      <c r="DN1324" s="55"/>
      <c r="DO1324" s="55"/>
      <c r="DP1324" s="55"/>
      <c r="DQ1324" s="55"/>
      <c r="DR1324" s="55"/>
      <c r="DS1324" s="55"/>
      <c r="DT1324" s="55"/>
      <c r="DU1324" s="55"/>
      <c r="DV1324" s="55"/>
      <c r="DW1324" s="55"/>
    </row>
    <row r="1325">
      <c r="A1325" s="41" t="s">
        <v>64</v>
      </c>
      <c r="B1325" s="41" t="s">
        <v>56</v>
      </c>
      <c r="C1325" s="31" t="s">
        <v>2855</v>
      </c>
      <c r="D1325" s="25" t="str">
        <f>IFERROR(__xludf.DUMMYFUNCTION("SPLIT(C1325,"" "")"),"Klemm,")</f>
        <v>Klemm,</v>
      </c>
      <c r="E1325" s="40" t="str">
        <f>IFERROR(__xludf.DUMMYFUNCTION("""COMPUTED_VALUE"""),"Nancy
1")</f>
        <v>Nancy
1</v>
      </c>
      <c r="F1325" s="40" t="str">
        <f>IFERROR(__xludf.DUMMYFUNCTION("""COMPUTED_VALUE"""),"Dalton
Boston,")</f>
        <v>Dalton
Boston,</v>
      </c>
      <c r="G1325" s="40" t="str">
        <f>IFERROR(__xludf.DUMMYFUNCTION("""COMPUTED_VALUE"""),"MA")</f>
        <v>MA</v>
      </c>
      <c r="H1325" s="40">
        <f>IFERROR(__xludf.DUMMYFUNCTION("""COMPUTED_VALUE"""),2115.0)</f>
        <v>2115</v>
      </c>
      <c r="I1325" s="40"/>
      <c r="J1325" s="40"/>
      <c r="K1325" s="40"/>
      <c r="L1325" s="40"/>
      <c r="M1325" s="40"/>
      <c r="N1325" s="40"/>
      <c r="O1325" s="40"/>
      <c r="P1325" s="40"/>
      <c r="Q1325" s="40"/>
      <c r="R1325" s="40"/>
      <c r="S1325" s="40"/>
      <c r="T1325" s="40"/>
      <c r="U1325" s="24" t="str">
        <f>IFERROR(__xludf.DUMMYFUNCTION("SPLIT(E1325,""01234567890"")"),"Nancy
")</f>
        <v>Nancy
</v>
      </c>
      <c r="V1325" s="24" t="str">
        <f>IFERROR(__xludf.DUMMYFUNCTION("SPLIT(D1325,"","")"),"Klemm")</f>
        <v>Klemm</v>
      </c>
      <c r="W1325" s="25" t="str">
        <f t="shared" si="1"/>
        <v>NANCY
 KLEMM</v>
      </c>
      <c r="X1325" s="40"/>
      <c r="Y1325" s="40"/>
      <c r="Z1325" s="25" t="str">
        <f>IFERROR(__xludf.DUMMYFUNCTION("SPLIT(C1325,""
"")"),"Klemm, Nancy")</f>
        <v>Klemm, Nancy</v>
      </c>
      <c r="AA1325" s="40" t="str">
        <f>IFERROR(__xludf.DUMMYFUNCTION("""COMPUTED_VALUE"""),"1 Dalton")</f>
        <v>1 Dalton</v>
      </c>
      <c r="AB1325" s="40" t="str">
        <f>IFERROR(__xludf.DUMMYFUNCTION("""COMPUTED_VALUE"""),"Boston, MA 02115")</f>
        <v>Boston, MA 02115</v>
      </c>
      <c r="AC1325" s="31" t="s">
        <v>2856</v>
      </c>
      <c r="AD1325" s="40"/>
      <c r="AE1325" s="40"/>
      <c r="AF1325" s="40"/>
      <c r="AG1325" s="40" t="s">
        <v>60</v>
      </c>
      <c r="AH1325" s="42">
        <v>2493.0</v>
      </c>
      <c r="AI1325" s="40" t="s">
        <v>68</v>
      </c>
      <c r="AJ1325" s="27">
        <v>1000.0</v>
      </c>
      <c r="AK1325" s="31" t="s">
        <v>34</v>
      </c>
      <c r="AL1325" s="43">
        <v>44860.0</v>
      </c>
      <c r="AM1325" s="44">
        <v>44943.30391203704</v>
      </c>
      <c r="AN1325" s="30">
        <v>2.0</v>
      </c>
      <c r="AO1325" s="40"/>
      <c r="AP1325" s="40"/>
      <c r="AQ1325" s="40"/>
      <c r="AR1325" s="40"/>
      <c r="AS1325" s="40"/>
      <c r="AT1325" s="47"/>
      <c r="AU1325" s="40"/>
      <c r="AV1325" s="46"/>
      <c r="AW1325" s="46"/>
      <c r="AX1325" s="47"/>
      <c r="AY1325" s="44"/>
      <c r="AZ1325" s="30"/>
      <c r="CU1325" s="55"/>
      <c r="CV1325" s="55"/>
      <c r="CW1325" s="55"/>
      <c r="CX1325" s="55"/>
      <c r="CY1325" s="55"/>
      <c r="CZ1325" s="55"/>
      <c r="DA1325" s="82"/>
      <c r="DB1325" s="55"/>
      <c r="DC1325" s="55"/>
      <c r="DD1325" s="55"/>
      <c r="DE1325" s="55"/>
      <c r="DF1325" s="55"/>
      <c r="DG1325" s="55"/>
      <c r="DH1325" s="55"/>
      <c r="DI1325" s="55"/>
      <c r="DJ1325" s="55"/>
      <c r="DK1325" s="55"/>
      <c r="DL1325" s="55"/>
      <c r="DM1325" s="55"/>
      <c r="DN1325" s="55"/>
      <c r="DO1325" s="55"/>
      <c r="DP1325" s="55"/>
      <c r="DQ1325" s="55"/>
      <c r="DR1325" s="55"/>
      <c r="DS1325" s="55"/>
      <c r="DT1325" s="55"/>
      <c r="DU1325" s="55"/>
      <c r="DV1325" s="55"/>
      <c r="DW1325" s="55"/>
    </row>
    <row r="1326">
      <c r="A1326" s="23" t="s">
        <v>64</v>
      </c>
      <c r="B1326" s="23" t="s">
        <v>56</v>
      </c>
      <c r="C1326" s="31" t="s">
        <v>2857</v>
      </c>
      <c r="D1326" s="25" t="str">
        <f>IFERROR(__xludf.DUMMYFUNCTION("SPLIT(C1326,"" "")"),"Montfort,")</f>
        <v>Montfort,</v>
      </c>
      <c r="E1326" s="22" t="str">
        <f>IFERROR(__xludf.DUMMYFUNCTION("""COMPUTED_VALUE"""),"Jesus")</f>
        <v>Jesus</v>
      </c>
      <c r="F1326" s="22" t="str">
        <f>IFERROR(__xludf.DUMMYFUNCTION("""COMPUTED_VALUE"""),"and")</f>
        <v>and</v>
      </c>
      <c r="G1326" s="22" t="str">
        <f>IFERROR(__xludf.DUMMYFUNCTION("""COMPUTED_VALUE"""),"Jane
1610")</f>
        <v>Jane
1610</v>
      </c>
      <c r="H1326" s="22" t="str">
        <f>IFERROR(__xludf.DUMMYFUNCTION("""COMPUTED_VALUE"""),"Hyland")</f>
        <v>Hyland</v>
      </c>
      <c r="I1326" s="22" t="str">
        <f>IFERROR(__xludf.DUMMYFUNCTION("""COMPUTED_VALUE"""),"Greens")</f>
        <v>Greens</v>
      </c>
      <c r="J1326" s="22" t="str">
        <f>IFERROR(__xludf.DUMMYFUNCTION("""COMPUTED_VALUE"""),"Dr
Grapevine,")</f>
        <v>Dr
Grapevine,</v>
      </c>
      <c r="K1326" s="22" t="str">
        <f>IFERROR(__xludf.DUMMYFUNCTION("""COMPUTED_VALUE"""),"TX")</f>
        <v>TX</v>
      </c>
      <c r="L1326" s="22">
        <f>IFERROR(__xludf.DUMMYFUNCTION("""COMPUTED_VALUE"""),76051.0)</f>
        <v>76051</v>
      </c>
      <c r="M1326" s="22"/>
      <c r="N1326" s="22"/>
      <c r="O1326" s="22"/>
      <c r="P1326" s="22"/>
      <c r="Q1326" s="22"/>
      <c r="R1326" s="22"/>
      <c r="S1326" s="22"/>
      <c r="T1326" s="22"/>
      <c r="U1326" s="24" t="str">
        <f>IFERROR(__xludf.DUMMYFUNCTION("SPLIT(E1326,""01234567890"")"),"Jesus")</f>
        <v>Jesus</v>
      </c>
      <c r="V1326" s="24" t="str">
        <f>IFERROR(__xludf.DUMMYFUNCTION("SPLIT(D1326,"","")"),"Montfort")</f>
        <v>Montfort</v>
      </c>
      <c r="W1326" s="25" t="str">
        <f t="shared" si="1"/>
        <v>JESUS MONTFORT</v>
      </c>
      <c r="X1326" s="22"/>
      <c r="Y1326" s="22"/>
      <c r="Z1326" s="25" t="str">
        <f>IFERROR(__xludf.DUMMYFUNCTION("SPLIT(C1326,""
"")"),"Montfort, Jesus and Jane")</f>
        <v>Montfort, Jesus and Jane</v>
      </c>
      <c r="AA1326" s="22" t="str">
        <f>IFERROR(__xludf.DUMMYFUNCTION("""COMPUTED_VALUE"""),"1610 Hyland Greens Dr")</f>
        <v>1610 Hyland Greens Dr</v>
      </c>
      <c r="AB1326" s="22" t="str">
        <f>IFERROR(__xludf.DUMMYFUNCTION("""COMPUTED_VALUE"""),"Grapevine, TX 76051")</f>
        <v>Grapevine, TX 76051</v>
      </c>
      <c r="AC1326" s="31" t="s">
        <v>2858</v>
      </c>
      <c r="AD1326" s="22"/>
      <c r="AE1326" s="22"/>
      <c r="AF1326" s="22"/>
      <c r="AG1326" s="22" t="s">
        <v>60</v>
      </c>
      <c r="AH1326" s="54">
        <v>2493.0</v>
      </c>
      <c r="AI1326" s="22" t="s">
        <v>68</v>
      </c>
      <c r="AJ1326" s="27">
        <v>1000.0</v>
      </c>
      <c r="AK1326" s="31" t="s">
        <v>34</v>
      </c>
      <c r="AL1326" s="28">
        <v>44925.0</v>
      </c>
      <c r="AM1326" s="29">
        <v>44943.30391203704</v>
      </c>
      <c r="AN1326" s="30">
        <v>2.0</v>
      </c>
      <c r="AO1326" s="22"/>
      <c r="AP1326" s="22"/>
      <c r="AQ1326" s="22"/>
      <c r="AR1326" s="22"/>
      <c r="AS1326" s="22"/>
      <c r="AT1326" s="70"/>
      <c r="AU1326" s="22"/>
      <c r="AV1326" s="57"/>
      <c r="AW1326" s="57"/>
      <c r="AX1326" s="70"/>
      <c r="AY1326" s="29"/>
      <c r="AZ1326" s="30"/>
      <c r="CU1326" s="55"/>
      <c r="CV1326" s="55"/>
      <c r="CW1326" s="55"/>
      <c r="CX1326" s="55"/>
      <c r="CY1326" s="55"/>
      <c r="CZ1326" s="55"/>
      <c r="DA1326" s="82"/>
      <c r="DB1326" s="55"/>
      <c r="DC1326" s="55"/>
      <c r="DD1326" s="55"/>
      <c r="DE1326" s="55"/>
      <c r="DF1326" s="55"/>
      <c r="DG1326" s="55"/>
      <c r="DH1326" s="55"/>
      <c r="DI1326" s="55"/>
      <c r="DJ1326" s="55"/>
      <c r="DK1326" s="55"/>
      <c r="DL1326" s="55"/>
      <c r="DM1326" s="55"/>
      <c r="DN1326" s="55"/>
      <c r="DO1326" s="55"/>
      <c r="DP1326" s="55"/>
      <c r="DQ1326" s="55"/>
      <c r="DR1326" s="55"/>
      <c r="DS1326" s="55"/>
      <c r="DT1326" s="55"/>
      <c r="DU1326" s="55"/>
      <c r="DV1326" s="55"/>
      <c r="DW1326" s="55"/>
    </row>
    <row r="1327">
      <c r="A1327" s="41" t="s">
        <v>64</v>
      </c>
      <c r="B1327" s="41" t="s">
        <v>56</v>
      </c>
      <c r="C1327" s="31" t="s">
        <v>228</v>
      </c>
      <c r="D1327" s="25" t="str">
        <f>IFERROR(__xludf.DUMMYFUNCTION("SPLIT(C1327,"" "")"),"Aranza,")</f>
        <v>Aranza,</v>
      </c>
      <c r="E1327" s="40" t="str">
        <f>IFERROR(__xludf.DUMMYFUNCTION("""COMPUTED_VALUE"""),"Humberto
3105")</f>
        <v>Humberto
3105</v>
      </c>
      <c r="F1327" s="40" t="str">
        <f>IFERROR(__xludf.DUMMYFUNCTION("""COMPUTED_VALUE"""),"San")</f>
        <v>San</v>
      </c>
      <c r="G1327" s="40" t="str">
        <f>IFERROR(__xludf.DUMMYFUNCTION("""COMPUTED_VALUE"""),"Jacinto
Dallas,")</f>
        <v>Jacinto
Dallas,</v>
      </c>
      <c r="H1327" s="40" t="str">
        <f>IFERROR(__xludf.DUMMYFUNCTION("""COMPUTED_VALUE"""),"TX")</f>
        <v>TX</v>
      </c>
      <c r="I1327" s="40">
        <f>IFERROR(__xludf.DUMMYFUNCTION("""COMPUTED_VALUE"""),75204.0)</f>
        <v>75204</v>
      </c>
      <c r="J1327" s="40"/>
      <c r="K1327" s="40"/>
      <c r="L1327" s="40"/>
      <c r="M1327" s="40"/>
      <c r="N1327" s="40"/>
      <c r="O1327" s="40"/>
      <c r="P1327" s="40"/>
      <c r="Q1327" s="40"/>
      <c r="R1327" s="40"/>
      <c r="S1327" s="40"/>
      <c r="T1327" s="40"/>
      <c r="U1327" s="24" t="str">
        <f>IFERROR(__xludf.DUMMYFUNCTION("SPLIT(E1327,""01234567890"")"),"Humberto
")</f>
        <v>Humberto
</v>
      </c>
      <c r="V1327" s="24" t="str">
        <f>IFERROR(__xludf.DUMMYFUNCTION("SPLIT(D1327,"","")"),"Aranza")</f>
        <v>Aranza</v>
      </c>
      <c r="W1327" s="25" t="str">
        <f t="shared" si="1"/>
        <v>HUMBERTO
 ARANZA</v>
      </c>
      <c r="X1327" s="40"/>
      <c r="Y1327" s="40"/>
      <c r="Z1327" s="25" t="str">
        <f>IFERROR(__xludf.DUMMYFUNCTION("SPLIT(C1327,""
"")"),"Aranza, Humberto")</f>
        <v>Aranza, Humberto</v>
      </c>
      <c r="AA1327" s="40" t="str">
        <f>IFERROR(__xludf.DUMMYFUNCTION("""COMPUTED_VALUE"""),"3105 San Jacinto")</f>
        <v>3105 San Jacinto</v>
      </c>
      <c r="AB1327" s="40" t="str">
        <f>IFERROR(__xludf.DUMMYFUNCTION("""COMPUTED_VALUE"""),"Dallas, TX 75204")</f>
        <v>Dallas, TX 75204</v>
      </c>
      <c r="AC1327" s="31" t="s">
        <v>230</v>
      </c>
      <c r="AD1327" s="40"/>
      <c r="AE1327" s="40"/>
      <c r="AF1327" s="40"/>
      <c r="AG1327" s="40" t="s">
        <v>60</v>
      </c>
      <c r="AH1327" s="42">
        <v>2493.0</v>
      </c>
      <c r="AI1327" s="40" t="s">
        <v>68</v>
      </c>
      <c r="AJ1327" s="27">
        <v>1000.0</v>
      </c>
      <c r="AK1327" s="31" t="s">
        <v>34</v>
      </c>
      <c r="AL1327" s="43">
        <v>44925.0</v>
      </c>
      <c r="AM1327" s="44">
        <v>44943.30391203704</v>
      </c>
      <c r="AN1327" s="30">
        <v>2.0</v>
      </c>
      <c r="AO1327" s="40"/>
      <c r="AP1327" s="40"/>
      <c r="AQ1327" s="40"/>
      <c r="AR1327" s="40"/>
      <c r="AS1327" s="40"/>
      <c r="AT1327" s="47"/>
      <c r="AU1327" s="40"/>
      <c r="AV1327" s="46"/>
      <c r="AW1327" s="46"/>
      <c r="AX1327" s="47"/>
      <c r="AY1327" s="44"/>
      <c r="AZ1327" s="30"/>
      <c r="CU1327" s="55"/>
      <c r="CV1327" s="55"/>
      <c r="CW1327" s="55"/>
      <c r="CX1327" s="55"/>
      <c r="CY1327" s="55"/>
      <c r="CZ1327" s="55"/>
      <c r="DA1327" s="82"/>
      <c r="DB1327" s="55"/>
      <c r="DC1327" s="55"/>
      <c r="DD1327" s="55"/>
      <c r="DE1327" s="55"/>
      <c r="DF1327" s="55"/>
      <c r="DG1327" s="55"/>
      <c r="DH1327" s="55"/>
      <c r="DI1327" s="55"/>
      <c r="DJ1327" s="55"/>
      <c r="DK1327" s="55"/>
      <c r="DL1327" s="55"/>
      <c r="DM1327" s="55"/>
      <c r="DN1327" s="55"/>
      <c r="DO1327" s="55"/>
      <c r="DP1327" s="55"/>
      <c r="DQ1327" s="55"/>
      <c r="DR1327" s="55"/>
      <c r="DS1327" s="55"/>
      <c r="DT1327" s="55"/>
      <c r="DU1327" s="55"/>
      <c r="DV1327" s="55"/>
      <c r="DW1327" s="55"/>
    </row>
    <row r="1328">
      <c r="A1328" s="23" t="s">
        <v>64</v>
      </c>
      <c r="B1328" s="23" t="s">
        <v>56</v>
      </c>
      <c r="C1328" s="31" t="s">
        <v>223</v>
      </c>
      <c r="D1328" s="25" t="str">
        <f>IFERROR(__xludf.DUMMYFUNCTION("SPLIT(C1328,"" "")"),"Aranza,")</f>
        <v>Aranza,</v>
      </c>
      <c r="E1328" s="22" t="str">
        <f>IFERROR(__xludf.DUMMYFUNCTION("""COMPUTED_VALUE"""),"Gilbert
000")</f>
        <v>Gilbert
000</v>
      </c>
      <c r="F1328" s="22" t="str">
        <f>IFERROR(__xludf.DUMMYFUNCTION("""COMPUTED_VALUE"""),"P.O")</f>
        <v>P.O</v>
      </c>
      <c r="G1328" s="22" t="str">
        <f>IFERROR(__xludf.DUMMYFUNCTION("""COMPUTED_VALUE"""),"Box")</f>
        <v>Box</v>
      </c>
      <c r="H1328" s="22" t="str">
        <f>IFERROR(__xludf.DUMMYFUNCTION("""COMPUTED_VALUE"""),"601527
Dallas,")</f>
        <v>601527
Dallas,</v>
      </c>
      <c r="I1328" s="22" t="str">
        <f>IFERROR(__xludf.DUMMYFUNCTION("""COMPUTED_VALUE"""),"TX")</f>
        <v>TX</v>
      </c>
      <c r="J1328" s="22">
        <f>IFERROR(__xludf.DUMMYFUNCTION("""COMPUTED_VALUE"""),75360.0)</f>
        <v>75360</v>
      </c>
      <c r="K1328" s="22"/>
      <c r="L1328" s="22"/>
      <c r="M1328" s="22"/>
      <c r="N1328" s="22"/>
      <c r="O1328" s="22"/>
      <c r="P1328" s="22"/>
      <c r="Q1328" s="22"/>
      <c r="R1328" s="22"/>
      <c r="S1328" s="22"/>
      <c r="T1328" s="22"/>
      <c r="U1328" s="24" t="str">
        <f>IFERROR(__xludf.DUMMYFUNCTION("SPLIT(E1328,""01234567890"")"),"Gilbert
")</f>
        <v>Gilbert
</v>
      </c>
      <c r="V1328" s="24" t="str">
        <f>IFERROR(__xludf.DUMMYFUNCTION("SPLIT(D1328,"","")"),"Aranza")</f>
        <v>Aranza</v>
      </c>
      <c r="W1328" s="25" t="str">
        <f t="shared" si="1"/>
        <v>GILBERT
 ARANZA</v>
      </c>
      <c r="X1328" s="22"/>
      <c r="Y1328" s="22"/>
      <c r="Z1328" s="25" t="str">
        <f>IFERROR(__xludf.DUMMYFUNCTION("SPLIT(C1328,""
"")"),"Aranza, Gilbert")</f>
        <v>Aranza, Gilbert</v>
      </c>
      <c r="AA1328" s="22" t="str">
        <f>IFERROR(__xludf.DUMMYFUNCTION("""COMPUTED_VALUE"""),"000 P.O Box 601527")</f>
        <v>000 P.O Box 601527</v>
      </c>
      <c r="AB1328" s="22" t="str">
        <f>IFERROR(__xludf.DUMMYFUNCTION("""COMPUTED_VALUE"""),"Dallas, TX 75360")</f>
        <v>Dallas, TX 75360</v>
      </c>
      <c r="AC1328" s="31" t="s">
        <v>225</v>
      </c>
      <c r="AD1328" s="22"/>
      <c r="AE1328" s="22"/>
      <c r="AF1328" s="22"/>
      <c r="AG1328" s="22" t="s">
        <v>60</v>
      </c>
      <c r="AH1328" s="54">
        <v>2493.0</v>
      </c>
      <c r="AI1328" s="22" t="s">
        <v>68</v>
      </c>
      <c r="AJ1328" s="27">
        <v>1000.0</v>
      </c>
      <c r="AK1328" s="31" t="s">
        <v>34</v>
      </c>
      <c r="AL1328" s="28">
        <v>44925.0</v>
      </c>
      <c r="AM1328" s="29">
        <v>44943.30391203704</v>
      </c>
      <c r="AN1328" s="30">
        <v>2.0</v>
      </c>
      <c r="AO1328" s="22"/>
      <c r="AP1328" s="22"/>
      <c r="AQ1328" s="22"/>
      <c r="AR1328" s="22"/>
      <c r="AS1328" s="22"/>
      <c r="AT1328" s="70"/>
      <c r="AU1328" s="22"/>
      <c r="AV1328" s="57"/>
      <c r="AW1328" s="57"/>
      <c r="AX1328" s="70"/>
      <c r="AY1328" s="29"/>
      <c r="AZ1328" s="30"/>
      <c r="CU1328" s="55"/>
      <c r="CV1328" s="55"/>
      <c r="CW1328" s="55"/>
      <c r="CX1328" s="55"/>
      <c r="CY1328" s="55"/>
      <c r="CZ1328" s="55"/>
      <c r="DA1328" s="82"/>
      <c r="DB1328" s="55"/>
      <c r="DC1328" s="55"/>
      <c r="DD1328" s="55"/>
      <c r="DE1328" s="55"/>
      <c r="DF1328" s="55"/>
      <c r="DG1328" s="55"/>
      <c r="DH1328" s="55"/>
      <c r="DI1328" s="55"/>
      <c r="DJ1328" s="55"/>
      <c r="DK1328" s="55"/>
      <c r="DL1328" s="55"/>
      <c r="DM1328" s="55"/>
      <c r="DN1328" s="55"/>
      <c r="DO1328" s="55"/>
      <c r="DP1328" s="55"/>
      <c r="DQ1328" s="55"/>
      <c r="DR1328" s="55"/>
      <c r="DS1328" s="55"/>
      <c r="DT1328" s="55"/>
      <c r="DU1328" s="55"/>
      <c r="DV1328" s="55"/>
      <c r="DW1328" s="55"/>
    </row>
    <row r="1329">
      <c r="A1329" s="41" t="s">
        <v>64</v>
      </c>
      <c r="B1329" s="41" t="s">
        <v>56</v>
      </c>
      <c r="C1329" s="31" t="s">
        <v>233</v>
      </c>
      <c r="D1329" s="25" t="str">
        <f>IFERROR(__xludf.DUMMYFUNCTION("SPLIT(C1329,"" "")"),"Aranza,")</f>
        <v>Aranza,</v>
      </c>
      <c r="E1329" s="40" t="str">
        <f>IFERROR(__xludf.DUMMYFUNCTION("""COMPUTED_VALUE"""),"Roselind
3445")</f>
        <v>Roselind
3445</v>
      </c>
      <c r="F1329" s="40" t="str">
        <f>IFERROR(__xludf.DUMMYFUNCTION("""COMPUTED_VALUE"""),"University
Dallas,")</f>
        <v>University
Dallas,</v>
      </c>
      <c r="G1329" s="40" t="str">
        <f>IFERROR(__xludf.DUMMYFUNCTION("""COMPUTED_VALUE"""),"TX")</f>
        <v>TX</v>
      </c>
      <c r="H1329" s="40">
        <f>IFERROR(__xludf.DUMMYFUNCTION("""COMPUTED_VALUE"""),75205.0)</f>
        <v>75205</v>
      </c>
      <c r="I1329" s="40"/>
      <c r="J1329" s="40"/>
      <c r="K1329" s="40"/>
      <c r="L1329" s="40"/>
      <c r="M1329" s="40"/>
      <c r="N1329" s="40"/>
      <c r="O1329" s="40"/>
      <c r="P1329" s="40"/>
      <c r="Q1329" s="40"/>
      <c r="R1329" s="40"/>
      <c r="S1329" s="40"/>
      <c r="T1329" s="40"/>
      <c r="U1329" s="24" t="str">
        <f>IFERROR(__xludf.DUMMYFUNCTION("SPLIT(E1329,""01234567890"")"),"Roselind
")</f>
        <v>Roselind
</v>
      </c>
      <c r="V1329" s="24" t="str">
        <f>IFERROR(__xludf.DUMMYFUNCTION("SPLIT(D1329,"","")"),"Aranza")</f>
        <v>Aranza</v>
      </c>
      <c r="W1329" s="25" t="str">
        <f t="shared" si="1"/>
        <v>ROSELIND
 ARANZA</v>
      </c>
      <c r="X1329" s="40"/>
      <c r="Y1329" s="40"/>
      <c r="Z1329" s="25" t="str">
        <f>IFERROR(__xludf.DUMMYFUNCTION("SPLIT(C1329,""
"")"),"Aranza, Roselind")</f>
        <v>Aranza, Roselind</v>
      </c>
      <c r="AA1329" s="40" t="str">
        <f>IFERROR(__xludf.DUMMYFUNCTION("""COMPUTED_VALUE"""),"3445 University")</f>
        <v>3445 University</v>
      </c>
      <c r="AB1329" s="40" t="str">
        <f>IFERROR(__xludf.DUMMYFUNCTION("""COMPUTED_VALUE"""),"Dallas, TX 75205")</f>
        <v>Dallas, TX 75205</v>
      </c>
      <c r="AC1329" s="31" t="s">
        <v>235</v>
      </c>
      <c r="AD1329" s="40"/>
      <c r="AE1329" s="40"/>
      <c r="AF1329" s="40"/>
      <c r="AG1329" s="40" t="s">
        <v>60</v>
      </c>
      <c r="AH1329" s="42">
        <v>2493.0</v>
      </c>
      <c r="AI1329" s="40" t="s">
        <v>68</v>
      </c>
      <c r="AJ1329" s="27">
        <v>1000.0</v>
      </c>
      <c r="AK1329" s="31" t="s">
        <v>34</v>
      </c>
      <c r="AL1329" s="43">
        <v>44925.0</v>
      </c>
      <c r="AM1329" s="44">
        <v>44943.30391203704</v>
      </c>
      <c r="AN1329" s="30">
        <v>2.0</v>
      </c>
      <c r="AO1329" s="40"/>
      <c r="AP1329" s="40"/>
      <c r="AQ1329" s="40"/>
      <c r="AR1329" s="40"/>
      <c r="AS1329" s="40"/>
      <c r="AT1329" s="47"/>
      <c r="AU1329" s="40"/>
      <c r="AV1329" s="46"/>
      <c r="AW1329" s="46"/>
      <c r="AX1329" s="47"/>
      <c r="AY1329" s="44"/>
      <c r="AZ1329" s="30"/>
      <c r="CU1329" s="55"/>
      <c r="CV1329" s="55"/>
      <c r="CW1329" s="55"/>
      <c r="CX1329" s="55"/>
      <c r="CY1329" s="55"/>
      <c r="CZ1329" s="55"/>
      <c r="DA1329" s="82"/>
      <c r="DB1329" s="55"/>
      <c r="DC1329" s="55"/>
      <c r="DD1329" s="55"/>
      <c r="DE1329" s="55"/>
      <c r="DF1329" s="55"/>
      <c r="DG1329" s="55"/>
      <c r="DH1329" s="55"/>
      <c r="DI1329" s="55"/>
      <c r="DJ1329" s="55"/>
      <c r="DK1329" s="55"/>
      <c r="DL1329" s="55"/>
      <c r="DM1329" s="55"/>
      <c r="DN1329" s="55"/>
      <c r="DO1329" s="55"/>
      <c r="DP1329" s="55"/>
      <c r="DQ1329" s="55"/>
      <c r="DR1329" s="55"/>
      <c r="DS1329" s="55"/>
      <c r="DT1329" s="55"/>
      <c r="DU1329" s="55"/>
      <c r="DV1329" s="55"/>
      <c r="DW1329" s="55"/>
    </row>
    <row r="1330">
      <c r="A1330" s="23" t="s">
        <v>64</v>
      </c>
      <c r="B1330" s="23" t="s">
        <v>56</v>
      </c>
      <c r="C1330" s="31" t="s">
        <v>2859</v>
      </c>
      <c r="D1330" s="25" t="str">
        <f>IFERROR(__xludf.DUMMYFUNCTION("SPLIT(C1330,"" "")"),"Segrest,")</f>
        <v>Segrest,</v>
      </c>
      <c r="E1330" s="22" t="str">
        <f>IFERROR(__xludf.DUMMYFUNCTION("""COMPUTED_VALUE"""),"Matt
3012")</f>
        <v>Matt
3012</v>
      </c>
      <c r="F1330" s="22" t="str">
        <f>IFERROR(__xludf.DUMMYFUNCTION("""COMPUTED_VALUE"""),"Fairmont")</f>
        <v>Fairmont</v>
      </c>
      <c r="G1330" s="22" t="str">
        <f>IFERROR(__xludf.DUMMYFUNCTION("""COMPUTED_VALUE"""),"St.
Dallas,")</f>
        <v>St.
Dallas,</v>
      </c>
      <c r="H1330" s="22" t="str">
        <f>IFERROR(__xludf.DUMMYFUNCTION("""COMPUTED_VALUE"""),"TX")</f>
        <v>TX</v>
      </c>
      <c r="I1330" s="22">
        <f>IFERROR(__xludf.DUMMYFUNCTION("""COMPUTED_VALUE"""),75201.0)</f>
        <v>75201</v>
      </c>
      <c r="J1330" s="22"/>
      <c r="K1330" s="22"/>
      <c r="L1330" s="22"/>
      <c r="M1330" s="22"/>
      <c r="N1330" s="22"/>
      <c r="O1330" s="22"/>
      <c r="P1330" s="22"/>
      <c r="Q1330" s="22"/>
      <c r="R1330" s="22"/>
      <c r="S1330" s="22"/>
      <c r="T1330" s="22"/>
      <c r="U1330" s="24" t="str">
        <f>IFERROR(__xludf.DUMMYFUNCTION("SPLIT(E1330,""01234567890"")"),"Matt
")</f>
        <v>Matt
</v>
      </c>
      <c r="V1330" s="24" t="str">
        <f>IFERROR(__xludf.DUMMYFUNCTION("SPLIT(D1330,"","")"),"Segrest")</f>
        <v>Segrest</v>
      </c>
      <c r="W1330" s="25" t="str">
        <f t="shared" si="1"/>
        <v>MATT
 SEGREST</v>
      </c>
      <c r="X1330" s="22"/>
      <c r="Y1330" s="22"/>
      <c r="Z1330" s="25" t="str">
        <f>IFERROR(__xludf.DUMMYFUNCTION("SPLIT(C1330,""
"")"),"Segrest, Matt")</f>
        <v>Segrest, Matt</v>
      </c>
      <c r="AA1330" s="22" t="str">
        <f>IFERROR(__xludf.DUMMYFUNCTION("""COMPUTED_VALUE"""),"3012 Fairmont St.")</f>
        <v>3012 Fairmont St.</v>
      </c>
      <c r="AB1330" s="22" t="str">
        <f>IFERROR(__xludf.DUMMYFUNCTION("""COMPUTED_VALUE"""),"Dallas, TX 75201")</f>
        <v>Dallas, TX 75201</v>
      </c>
      <c r="AC1330" s="31" t="s">
        <v>2860</v>
      </c>
      <c r="AD1330" s="22"/>
      <c r="AE1330" s="22"/>
      <c r="AF1330" s="22"/>
      <c r="AG1330" s="22" t="s">
        <v>60</v>
      </c>
      <c r="AH1330" s="54">
        <v>2493.0</v>
      </c>
      <c r="AI1330" s="22" t="s">
        <v>68</v>
      </c>
      <c r="AJ1330" s="27">
        <v>1000.0</v>
      </c>
      <c r="AK1330" s="31" t="s">
        <v>34</v>
      </c>
      <c r="AL1330" s="28">
        <v>44841.0</v>
      </c>
      <c r="AM1330" s="29">
        <v>44943.30391203704</v>
      </c>
      <c r="AN1330" s="30">
        <v>2.0</v>
      </c>
      <c r="AO1330" s="22"/>
      <c r="AP1330" s="22"/>
      <c r="AQ1330" s="22"/>
      <c r="AR1330" s="22"/>
      <c r="AS1330" s="22"/>
      <c r="AT1330" s="70"/>
      <c r="AU1330" s="22"/>
      <c r="AV1330" s="57"/>
      <c r="AW1330" s="57"/>
      <c r="AX1330" s="70"/>
      <c r="AY1330" s="29"/>
      <c r="AZ1330" s="30"/>
      <c r="CU1330" s="55"/>
      <c r="CV1330" s="55"/>
      <c r="CW1330" s="55"/>
      <c r="CX1330" s="55"/>
      <c r="CY1330" s="55"/>
      <c r="CZ1330" s="55"/>
      <c r="DA1330" s="82"/>
      <c r="DB1330" s="55"/>
      <c r="DC1330" s="55"/>
      <c r="DD1330" s="55"/>
      <c r="DE1330" s="55"/>
      <c r="DF1330" s="55"/>
      <c r="DG1330" s="55"/>
      <c r="DH1330" s="55"/>
      <c r="DI1330" s="55"/>
      <c r="DJ1330" s="55"/>
      <c r="DK1330" s="55"/>
      <c r="DL1330" s="55"/>
      <c r="DM1330" s="55"/>
      <c r="DN1330" s="55"/>
      <c r="DO1330" s="55"/>
      <c r="DP1330" s="55"/>
      <c r="DQ1330" s="55"/>
      <c r="DR1330" s="55"/>
      <c r="DS1330" s="55"/>
      <c r="DT1330" s="55"/>
      <c r="DU1330" s="55"/>
      <c r="DV1330" s="55"/>
      <c r="DW1330" s="55"/>
    </row>
    <row r="1331">
      <c r="A1331" s="40" t="s">
        <v>55</v>
      </c>
      <c r="B1331" s="41" t="s">
        <v>56</v>
      </c>
      <c r="C1331" s="31" t="s">
        <v>2861</v>
      </c>
      <c r="D1331" s="25" t="str">
        <f>IFERROR(__xludf.DUMMYFUNCTION("SPLIT(C1331,"" "")"),"Martin,")</f>
        <v>Martin,</v>
      </c>
      <c r="E1331" s="40" t="str">
        <f>IFERROR(__xludf.DUMMYFUNCTION("""COMPUTED_VALUE"""),"VJ
8230")</f>
        <v>VJ
8230</v>
      </c>
      <c r="F1331" s="40" t="str">
        <f>IFERROR(__xludf.DUMMYFUNCTION("""COMPUTED_VALUE"""),"
Dallas,")</f>
        <v>
Dallas,</v>
      </c>
      <c r="G1331" s="40" t="str">
        <f>IFERROR(__xludf.DUMMYFUNCTION("""COMPUTED_VALUE"""),"TX")</f>
        <v>TX</v>
      </c>
      <c r="H1331" s="40">
        <f>IFERROR(__xludf.DUMMYFUNCTION("""COMPUTED_VALUE"""),75228.0)</f>
        <v>75228</v>
      </c>
      <c r="I1331" s="40"/>
      <c r="J1331" s="40"/>
      <c r="K1331" s="40"/>
      <c r="L1331" s="40"/>
      <c r="M1331" s="40"/>
      <c r="N1331" s="40"/>
      <c r="O1331" s="40"/>
      <c r="P1331" s="40"/>
      <c r="Q1331" s="40"/>
      <c r="R1331" s="40"/>
      <c r="S1331" s="40"/>
      <c r="T1331" s="40"/>
      <c r="U1331" s="24" t="str">
        <f>IFERROR(__xludf.DUMMYFUNCTION("SPLIT(E1331,""01234567890"")"),"VJ
")</f>
        <v>VJ
</v>
      </c>
      <c r="V1331" s="24" t="str">
        <f>IFERROR(__xludf.DUMMYFUNCTION("SPLIT(D1331,"","")"),"Martin")</f>
        <v>Martin</v>
      </c>
      <c r="W1331" s="25" t="str">
        <f t="shared" si="1"/>
        <v>VJ
 MARTIN</v>
      </c>
      <c r="X1331" s="40"/>
      <c r="Y1331" s="40"/>
      <c r="Z1331" s="25" t="str">
        <f>IFERROR(__xludf.DUMMYFUNCTION("SPLIT(C1331,""
"")"),"Martin, VJ")</f>
        <v>Martin, VJ</v>
      </c>
      <c r="AA1331" s="40">
        <f>IFERROR(__xludf.DUMMYFUNCTION("""COMPUTED_VALUE"""),8230.0)</f>
        <v>8230</v>
      </c>
      <c r="AB1331" s="40" t="str">
        <f>IFERROR(__xludf.DUMMYFUNCTION("""COMPUTED_VALUE"""),"Dallas, TX 75228")</f>
        <v>Dallas, TX 75228</v>
      </c>
      <c r="AC1331" s="31" t="s">
        <v>1312</v>
      </c>
      <c r="AD1331" s="40"/>
      <c r="AE1331" s="40"/>
      <c r="AF1331" s="40"/>
      <c r="AG1331" s="40" t="s">
        <v>60</v>
      </c>
      <c r="AH1331" s="42">
        <v>2500.0</v>
      </c>
      <c r="AI1331" s="40" t="s">
        <v>68</v>
      </c>
      <c r="AJ1331" s="27">
        <v>50.0</v>
      </c>
      <c r="AK1331" s="31" t="s">
        <v>23</v>
      </c>
      <c r="AL1331" s="43">
        <v>44760.0</v>
      </c>
      <c r="AM1331" s="44">
        <v>44941.874814814815</v>
      </c>
      <c r="AN1331" s="30">
        <v>2.0</v>
      </c>
      <c r="AO1331" s="40"/>
      <c r="AP1331" s="40"/>
      <c r="AQ1331" s="40"/>
      <c r="AR1331" s="40"/>
      <c r="AS1331" s="40"/>
      <c r="AT1331" s="47"/>
      <c r="AU1331" s="40"/>
      <c r="AV1331" s="46"/>
      <c r="AW1331" s="46"/>
      <c r="AX1331" s="47"/>
      <c r="AY1331" s="44"/>
      <c r="AZ1331" s="30"/>
      <c r="CU1331" s="55"/>
      <c r="CV1331" s="55"/>
      <c r="CW1331" s="55"/>
      <c r="CX1331" s="55"/>
      <c r="CY1331" s="55"/>
      <c r="CZ1331" s="55"/>
      <c r="DA1331" s="82"/>
      <c r="DB1331" s="55"/>
      <c r="DC1331" s="55"/>
      <c r="DD1331" s="55"/>
      <c r="DE1331" s="55"/>
      <c r="DF1331" s="55"/>
      <c r="DG1331" s="55"/>
      <c r="DH1331" s="55"/>
      <c r="DI1331" s="55"/>
      <c r="DJ1331" s="55"/>
      <c r="DK1331" s="55"/>
      <c r="DL1331" s="55"/>
      <c r="DM1331" s="55"/>
      <c r="DN1331" s="55"/>
      <c r="DO1331" s="55"/>
      <c r="DP1331" s="55"/>
      <c r="DQ1331" s="55"/>
      <c r="DR1331" s="55"/>
      <c r="DS1331" s="55"/>
      <c r="DT1331" s="55"/>
      <c r="DU1331" s="55"/>
      <c r="DV1331" s="55"/>
      <c r="DW1331" s="55"/>
    </row>
    <row r="1332">
      <c r="A1332" s="23" t="s">
        <v>64</v>
      </c>
      <c r="B1332" s="23" t="s">
        <v>56</v>
      </c>
      <c r="C1332" s="31" t="s">
        <v>2862</v>
      </c>
      <c r="D1332" s="25" t="str">
        <f>IFERROR(__xludf.DUMMYFUNCTION("SPLIT(C1332,"" "")"),"Norris,")</f>
        <v>Norris,</v>
      </c>
      <c r="E1332" s="22" t="str">
        <f>IFERROR(__xludf.DUMMYFUNCTION("""COMPUTED_VALUE"""),"Gina
4240")</f>
        <v>Gina
4240</v>
      </c>
      <c r="F1332" s="22" t="str">
        <f>IFERROR(__xludf.DUMMYFUNCTION("""COMPUTED_VALUE"""),"
Dallas,")</f>
        <v>
Dallas,</v>
      </c>
      <c r="G1332" s="22" t="str">
        <f>IFERROR(__xludf.DUMMYFUNCTION("""COMPUTED_VALUE"""),"TX")</f>
        <v>TX</v>
      </c>
      <c r="H1332" s="22">
        <f>IFERROR(__xludf.DUMMYFUNCTION("""COMPUTED_VALUE"""),75219.0)</f>
        <v>75219</v>
      </c>
      <c r="I1332" s="22"/>
      <c r="J1332" s="22"/>
      <c r="K1332" s="22"/>
      <c r="L1332" s="22"/>
      <c r="M1332" s="22"/>
      <c r="N1332" s="22"/>
      <c r="O1332" s="22"/>
      <c r="P1332" s="22"/>
      <c r="Q1332" s="22"/>
      <c r="R1332" s="22"/>
      <c r="S1332" s="22"/>
      <c r="T1332" s="22"/>
      <c r="U1332" s="24" t="str">
        <f>IFERROR(__xludf.DUMMYFUNCTION("SPLIT(E1332,""01234567890"")"),"Gina
")</f>
        <v>Gina
</v>
      </c>
      <c r="V1332" s="24" t="str">
        <f>IFERROR(__xludf.DUMMYFUNCTION("SPLIT(D1332,"","")"),"Norris")</f>
        <v>Norris</v>
      </c>
      <c r="W1332" s="25" t="str">
        <f t="shared" si="1"/>
        <v>GINA
 NORRIS</v>
      </c>
      <c r="X1332" s="22"/>
      <c r="Y1332" s="22"/>
      <c r="Z1332" s="25" t="str">
        <f>IFERROR(__xludf.DUMMYFUNCTION("SPLIT(C1332,""
"")"),"Norris, Gina")</f>
        <v>Norris, Gina</v>
      </c>
      <c r="AA1332" s="22">
        <f>IFERROR(__xludf.DUMMYFUNCTION("""COMPUTED_VALUE"""),4240.0)</f>
        <v>4240</v>
      </c>
      <c r="AB1332" s="22" t="str">
        <f>IFERROR(__xludf.DUMMYFUNCTION("""COMPUTED_VALUE"""),"Dallas, TX 75219")</f>
        <v>Dallas, TX 75219</v>
      </c>
      <c r="AC1332" s="31" t="s">
        <v>802</v>
      </c>
      <c r="AD1332" s="22"/>
      <c r="AE1332" s="22"/>
      <c r="AF1332" s="22"/>
      <c r="AG1332" s="22" t="s">
        <v>60</v>
      </c>
      <c r="AH1332" s="54">
        <v>2500.0</v>
      </c>
      <c r="AI1332" s="22" t="s">
        <v>68</v>
      </c>
      <c r="AJ1332" s="27">
        <v>500.0</v>
      </c>
      <c r="AK1332" s="31" t="s">
        <v>23</v>
      </c>
      <c r="AL1332" s="28">
        <v>44762.0</v>
      </c>
      <c r="AM1332" s="29">
        <v>44941.874814814815</v>
      </c>
      <c r="AN1332" s="30">
        <v>2.0</v>
      </c>
      <c r="AO1332" s="22"/>
      <c r="AP1332" s="22"/>
      <c r="AQ1332" s="22"/>
      <c r="AR1332" s="22"/>
      <c r="AS1332" s="22"/>
      <c r="AT1332" s="70"/>
      <c r="AU1332" s="22"/>
      <c r="AV1332" s="57"/>
      <c r="AW1332" s="57"/>
      <c r="AX1332" s="70"/>
      <c r="AY1332" s="29"/>
      <c r="AZ1332" s="30"/>
      <c r="CU1332" s="55"/>
      <c r="CV1332" s="55"/>
      <c r="CW1332" s="55"/>
      <c r="CX1332" s="55"/>
      <c r="CY1332" s="55"/>
      <c r="CZ1332" s="55"/>
      <c r="DA1332" s="82"/>
      <c r="DB1332" s="55"/>
      <c r="DC1332" s="55"/>
      <c r="DD1332" s="55"/>
      <c r="DE1332" s="55"/>
      <c r="DF1332" s="55"/>
      <c r="DG1332" s="55"/>
      <c r="DH1332" s="55"/>
      <c r="DI1332" s="55"/>
      <c r="DJ1332" s="55"/>
      <c r="DK1332" s="55"/>
      <c r="DL1332" s="55"/>
      <c r="DM1332" s="55"/>
      <c r="DN1332" s="55"/>
      <c r="DO1332" s="55"/>
      <c r="DP1332" s="55"/>
      <c r="DQ1332" s="55"/>
      <c r="DR1332" s="55"/>
      <c r="DS1332" s="55"/>
      <c r="DT1332" s="55"/>
      <c r="DU1332" s="55"/>
      <c r="DV1332" s="55"/>
      <c r="DW1332" s="55"/>
    </row>
    <row r="1333">
      <c r="A1333" s="40" t="s">
        <v>55</v>
      </c>
      <c r="B1333" s="41" t="s">
        <v>56</v>
      </c>
      <c r="C1333" s="31" t="s">
        <v>2863</v>
      </c>
      <c r="D1333" s="25" t="str">
        <f>IFERROR(__xludf.DUMMYFUNCTION("SPLIT(C1333,"" "")"),"Linebarger")</f>
        <v>Linebarger</v>
      </c>
      <c r="E1333" s="40" t="str">
        <f>IFERROR(__xludf.DUMMYFUNCTION("""COMPUTED_VALUE"""),"Goggan")</f>
        <v>Goggan</v>
      </c>
      <c r="F1333" s="40" t="str">
        <f>IFERROR(__xludf.DUMMYFUNCTION("""COMPUTED_VALUE"""),"Blair")</f>
        <v>Blair</v>
      </c>
      <c r="G1333" s="40" t="str">
        <f>IFERROR(__xludf.DUMMYFUNCTION("""COMPUTED_VALUE"""),"&amp;")</f>
        <v>&amp;</v>
      </c>
      <c r="H1333" s="40" t="str">
        <f>IFERROR(__xludf.DUMMYFUNCTION("""COMPUTED_VALUE"""),"Sampson,")</f>
        <v>Sampson,</v>
      </c>
      <c r="I1333" s="40" t="str">
        <f>IFERROR(__xludf.DUMMYFUNCTION("""COMPUTED_VALUE"""),"LLC
PO")</f>
        <v>LLC
PO</v>
      </c>
      <c r="J1333" s="40" t="str">
        <f>IFERROR(__xludf.DUMMYFUNCTION("""COMPUTED_VALUE"""),"Box")</f>
        <v>Box</v>
      </c>
      <c r="K1333" s="40" t="str">
        <f>IFERROR(__xludf.DUMMYFUNCTION("""COMPUTED_VALUE"""),"17428
Austin,")</f>
        <v>17428
Austin,</v>
      </c>
      <c r="L1333" s="40" t="str">
        <f>IFERROR(__xludf.DUMMYFUNCTION("""COMPUTED_VALUE"""),"TX")</f>
        <v>TX</v>
      </c>
      <c r="M1333" s="40">
        <f>IFERROR(__xludf.DUMMYFUNCTION("""COMPUTED_VALUE"""),78760.0)</f>
        <v>78760</v>
      </c>
      <c r="N1333" s="40"/>
      <c r="O1333" s="40"/>
      <c r="P1333" s="40"/>
      <c r="Q1333" s="40"/>
      <c r="R1333" s="40"/>
      <c r="S1333" s="40"/>
      <c r="T1333" s="40"/>
      <c r="U1333" s="24" t="str">
        <f>IFERROR(__xludf.DUMMYFUNCTION("SPLIT(E1333,""01234567890"")"),"Goggan")</f>
        <v>Goggan</v>
      </c>
      <c r="V1333" s="24" t="str">
        <f>IFERROR(__xludf.DUMMYFUNCTION("SPLIT(D1333,"","")"),"Linebarger")</f>
        <v>Linebarger</v>
      </c>
      <c r="W1333" s="25" t="str">
        <f t="shared" si="1"/>
        <v>GOGGAN LINEBARGER</v>
      </c>
      <c r="X1333" s="40"/>
      <c r="Y1333" s="40"/>
      <c r="Z1333" s="25" t="str">
        <f>IFERROR(__xludf.DUMMYFUNCTION("SPLIT(C1333,""
"")"),"Linebarger Goggan Blair &amp; Sampson, LLC")</f>
        <v>Linebarger Goggan Blair &amp; Sampson, LLC</v>
      </c>
      <c r="AA1333" s="40" t="str">
        <f>IFERROR(__xludf.DUMMYFUNCTION("""COMPUTED_VALUE"""),"PO Box 17428")</f>
        <v>PO Box 17428</v>
      </c>
      <c r="AB1333" s="40" t="str">
        <f>IFERROR(__xludf.DUMMYFUNCTION("""COMPUTED_VALUE"""),"Austin, TX 78760")</f>
        <v>Austin, TX 78760</v>
      </c>
      <c r="AC1333" s="31" t="s">
        <v>2864</v>
      </c>
      <c r="AD1333" s="40"/>
      <c r="AE1333" s="40"/>
      <c r="AF1333" s="40"/>
      <c r="AG1333" s="40" t="s">
        <v>60</v>
      </c>
      <c r="AH1333" s="42">
        <v>2500.0</v>
      </c>
      <c r="AI1333" s="40" t="s">
        <v>68</v>
      </c>
      <c r="AJ1333" s="27">
        <v>1000.0</v>
      </c>
      <c r="AK1333" s="31" t="s">
        <v>23</v>
      </c>
      <c r="AL1333" s="43">
        <v>44763.0</v>
      </c>
      <c r="AM1333" s="44">
        <v>44941.874814814815</v>
      </c>
      <c r="AN1333" s="30">
        <v>2.0</v>
      </c>
      <c r="AO1333" s="40"/>
      <c r="AP1333" s="40"/>
      <c r="AQ1333" s="40"/>
      <c r="AR1333" s="40"/>
      <c r="AS1333" s="40"/>
      <c r="AT1333" s="47"/>
      <c r="AU1333" s="40"/>
      <c r="AV1333" s="46"/>
      <c r="AW1333" s="46"/>
      <c r="AX1333" s="47"/>
      <c r="AY1333" s="44"/>
      <c r="AZ1333" s="30"/>
      <c r="CU1333" s="55"/>
      <c r="CV1333" s="55"/>
      <c r="CW1333" s="55"/>
      <c r="CX1333" s="55"/>
      <c r="CY1333" s="55"/>
      <c r="CZ1333" s="55"/>
      <c r="DA1333" s="82"/>
      <c r="DB1333" s="55"/>
      <c r="DC1333" s="55"/>
      <c r="DD1333" s="55"/>
      <c r="DE1333" s="55"/>
      <c r="DF1333" s="55"/>
      <c r="DG1333" s="55"/>
      <c r="DH1333" s="55"/>
      <c r="DI1333" s="55"/>
      <c r="DJ1333" s="55"/>
      <c r="DK1333" s="55"/>
      <c r="DL1333" s="55"/>
      <c r="DM1333" s="55"/>
      <c r="DN1333" s="55"/>
      <c r="DO1333" s="55"/>
      <c r="DP1333" s="55"/>
      <c r="DQ1333" s="55"/>
      <c r="DR1333" s="55"/>
      <c r="DS1333" s="55"/>
      <c r="DT1333" s="55"/>
      <c r="DU1333" s="55"/>
      <c r="DV1333" s="55"/>
      <c r="DW1333" s="55"/>
    </row>
    <row r="1334">
      <c r="A1334" s="23" t="s">
        <v>64</v>
      </c>
      <c r="B1334" s="23" t="s">
        <v>56</v>
      </c>
      <c r="C1334" s="31" t="s">
        <v>2865</v>
      </c>
      <c r="D1334" s="25" t="str">
        <f>IFERROR(__xludf.DUMMYFUNCTION("SPLIT(C1334,"" "")"),"Sifford,")</f>
        <v>Sifford,</v>
      </c>
      <c r="E1334" s="22" t="str">
        <f>IFERROR(__xludf.DUMMYFUNCTION("""COMPUTED_VALUE"""),"Bruce
12221")</f>
        <v>Bruce
12221</v>
      </c>
      <c r="F1334" s="22" t="str">
        <f>IFERROR(__xludf.DUMMYFUNCTION("""COMPUTED_VALUE"""),"
Dallas,")</f>
        <v>
Dallas,</v>
      </c>
      <c r="G1334" s="22" t="str">
        <f>IFERROR(__xludf.DUMMYFUNCTION("""COMPUTED_VALUE"""),"TX")</f>
        <v>TX</v>
      </c>
      <c r="H1334" s="22">
        <f>IFERROR(__xludf.DUMMYFUNCTION("""COMPUTED_VALUE"""),75251.0)</f>
        <v>75251</v>
      </c>
      <c r="I1334" s="22"/>
      <c r="J1334" s="22"/>
      <c r="K1334" s="22"/>
      <c r="L1334" s="22"/>
      <c r="M1334" s="22"/>
      <c r="N1334" s="22"/>
      <c r="O1334" s="22"/>
      <c r="P1334" s="22"/>
      <c r="Q1334" s="22"/>
      <c r="R1334" s="22"/>
      <c r="S1334" s="22"/>
      <c r="T1334" s="22"/>
      <c r="U1334" s="24" t="str">
        <f>IFERROR(__xludf.DUMMYFUNCTION("SPLIT(E1334,""01234567890"")"),"Bruce
")</f>
        <v>Bruce
</v>
      </c>
      <c r="V1334" s="24" t="str">
        <f>IFERROR(__xludf.DUMMYFUNCTION("SPLIT(D1334,"","")"),"Sifford")</f>
        <v>Sifford</v>
      </c>
      <c r="W1334" s="25" t="str">
        <f t="shared" si="1"/>
        <v>BRUCE
 SIFFORD</v>
      </c>
      <c r="X1334" s="22"/>
      <c r="Y1334" s="22"/>
      <c r="Z1334" s="25" t="str">
        <f>IFERROR(__xludf.DUMMYFUNCTION("SPLIT(C1334,""
"")"),"Sifford, Bruce")</f>
        <v>Sifford, Bruce</v>
      </c>
      <c r="AA1334" s="22">
        <f>IFERROR(__xludf.DUMMYFUNCTION("""COMPUTED_VALUE"""),12221.0)</f>
        <v>12221</v>
      </c>
      <c r="AB1334" s="22" t="str">
        <f>IFERROR(__xludf.DUMMYFUNCTION("""COMPUTED_VALUE"""),"Dallas, TX 75251")</f>
        <v>Dallas, TX 75251</v>
      </c>
      <c r="AC1334" s="31" t="s">
        <v>2866</v>
      </c>
      <c r="AD1334" s="22"/>
      <c r="AE1334" s="22"/>
      <c r="AF1334" s="22"/>
      <c r="AG1334" s="22" t="s">
        <v>60</v>
      </c>
      <c r="AH1334" s="54">
        <v>2500.0</v>
      </c>
      <c r="AI1334" s="22" t="s">
        <v>68</v>
      </c>
      <c r="AJ1334" s="27">
        <v>500.0</v>
      </c>
      <c r="AK1334" s="31" t="s">
        <v>23</v>
      </c>
      <c r="AL1334" s="28">
        <v>44769.0</v>
      </c>
      <c r="AM1334" s="29">
        <v>44941.874814814815</v>
      </c>
      <c r="AN1334" s="30">
        <v>2.0</v>
      </c>
      <c r="AO1334" s="22"/>
      <c r="AP1334" s="22"/>
      <c r="AQ1334" s="22"/>
      <c r="AR1334" s="22"/>
      <c r="AS1334" s="22"/>
      <c r="AT1334" s="70"/>
      <c r="AU1334" s="22"/>
      <c r="AV1334" s="57"/>
      <c r="AW1334" s="57"/>
      <c r="AX1334" s="70"/>
      <c r="AY1334" s="29"/>
      <c r="AZ1334" s="30"/>
      <c r="CU1334" s="55"/>
      <c r="CV1334" s="55"/>
      <c r="CW1334" s="55"/>
      <c r="CX1334" s="55"/>
      <c r="CY1334" s="55"/>
      <c r="CZ1334" s="55"/>
      <c r="DA1334" s="82"/>
      <c r="DB1334" s="55"/>
      <c r="DC1334" s="55"/>
      <c r="DD1334" s="55"/>
      <c r="DE1334" s="55"/>
      <c r="DF1334" s="55"/>
      <c r="DG1334" s="55"/>
      <c r="DH1334" s="55"/>
      <c r="DI1334" s="55"/>
      <c r="DJ1334" s="55"/>
      <c r="DK1334" s="55"/>
      <c r="DL1334" s="55"/>
      <c r="DM1334" s="55"/>
      <c r="DN1334" s="55"/>
      <c r="DO1334" s="55"/>
      <c r="DP1334" s="55"/>
      <c r="DQ1334" s="55"/>
      <c r="DR1334" s="55"/>
      <c r="DS1334" s="55"/>
      <c r="DT1334" s="55"/>
      <c r="DU1334" s="55"/>
      <c r="DV1334" s="55"/>
      <c r="DW1334" s="55"/>
    </row>
    <row r="1335">
      <c r="A1335" s="40" t="s">
        <v>55</v>
      </c>
      <c r="B1335" s="41" t="s">
        <v>56</v>
      </c>
      <c r="C1335" s="31" t="s">
        <v>2867</v>
      </c>
      <c r="D1335" s="25" t="str">
        <f>IFERROR(__xludf.DUMMYFUNCTION("SPLIT(C1335,"" "")"),"Hebeler,")</f>
        <v>Hebeler,</v>
      </c>
      <c r="E1335" s="40" t="str">
        <f>IFERROR(__xludf.DUMMYFUNCTION("""COMPUTED_VALUE"""),"Rulan
3600")</f>
        <v>Rulan
3600</v>
      </c>
      <c r="F1335" s="40" t="str">
        <f>IFERROR(__xludf.DUMMYFUNCTION("""COMPUTED_VALUE"""),"
Dallas,")</f>
        <v>
Dallas,</v>
      </c>
      <c r="G1335" s="40" t="str">
        <f>IFERROR(__xludf.DUMMYFUNCTION("""COMPUTED_VALUE"""),"TX")</f>
        <v>TX</v>
      </c>
      <c r="H1335" s="40">
        <f>IFERROR(__xludf.DUMMYFUNCTION("""COMPUTED_VALUE"""),75205.0)</f>
        <v>75205</v>
      </c>
      <c r="I1335" s="40"/>
      <c r="J1335" s="40"/>
      <c r="K1335" s="40"/>
      <c r="L1335" s="40"/>
      <c r="M1335" s="40"/>
      <c r="N1335" s="40"/>
      <c r="O1335" s="40"/>
      <c r="P1335" s="40"/>
      <c r="Q1335" s="40"/>
      <c r="R1335" s="40"/>
      <c r="S1335" s="40"/>
      <c r="T1335" s="40"/>
      <c r="U1335" s="24" t="str">
        <f>IFERROR(__xludf.DUMMYFUNCTION("SPLIT(E1335,""01234567890"")"),"Rulan
")</f>
        <v>Rulan
</v>
      </c>
      <c r="V1335" s="24" t="str">
        <f>IFERROR(__xludf.DUMMYFUNCTION("SPLIT(D1335,"","")"),"Hebeler")</f>
        <v>Hebeler</v>
      </c>
      <c r="W1335" s="25" t="str">
        <f t="shared" si="1"/>
        <v>RULAN
 HEBELER</v>
      </c>
      <c r="X1335" s="40"/>
      <c r="Y1335" s="40"/>
      <c r="Z1335" s="25" t="str">
        <f>IFERROR(__xludf.DUMMYFUNCTION("SPLIT(C1335,""
"")"),"Hebeler, Rulan")</f>
        <v>Hebeler, Rulan</v>
      </c>
      <c r="AA1335" s="40">
        <f>IFERROR(__xludf.DUMMYFUNCTION("""COMPUTED_VALUE"""),3600.0)</f>
        <v>3600</v>
      </c>
      <c r="AB1335" s="40" t="str">
        <f>IFERROR(__xludf.DUMMYFUNCTION("""COMPUTED_VALUE"""),"Dallas, TX 75205")</f>
        <v>Dallas, TX 75205</v>
      </c>
      <c r="AC1335" s="31" t="s">
        <v>2868</v>
      </c>
      <c r="AD1335" s="40"/>
      <c r="AE1335" s="40"/>
      <c r="AF1335" s="40"/>
      <c r="AG1335" s="40" t="s">
        <v>60</v>
      </c>
      <c r="AH1335" s="42">
        <v>2500.0</v>
      </c>
      <c r="AI1335" s="40" t="s">
        <v>68</v>
      </c>
      <c r="AJ1335" s="27">
        <v>100.0</v>
      </c>
      <c r="AK1335" s="31" t="s">
        <v>23</v>
      </c>
      <c r="AL1335" s="43">
        <v>44774.0</v>
      </c>
      <c r="AM1335" s="44">
        <v>44941.874814814815</v>
      </c>
      <c r="AN1335" s="30">
        <v>2.0</v>
      </c>
      <c r="AO1335" s="40"/>
      <c r="AP1335" s="40"/>
      <c r="AQ1335" s="40"/>
      <c r="AR1335" s="40"/>
      <c r="AS1335" s="40"/>
      <c r="AT1335" s="47"/>
      <c r="AU1335" s="40"/>
      <c r="AV1335" s="46"/>
      <c r="AW1335" s="46"/>
      <c r="AX1335" s="47"/>
      <c r="AY1335" s="44"/>
      <c r="AZ1335" s="30"/>
      <c r="CU1335" s="55"/>
      <c r="CV1335" s="55"/>
      <c r="CW1335" s="55"/>
      <c r="CX1335" s="55"/>
      <c r="CY1335" s="55"/>
      <c r="CZ1335" s="55"/>
      <c r="DA1335" s="82"/>
      <c r="DB1335" s="55"/>
      <c r="DC1335" s="55"/>
      <c r="DD1335" s="55"/>
      <c r="DE1335" s="55"/>
      <c r="DF1335" s="55"/>
      <c r="DG1335" s="55"/>
      <c r="DH1335" s="55"/>
      <c r="DI1335" s="55"/>
      <c r="DJ1335" s="55"/>
      <c r="DK1335" s="55"/>
      <c r="DL1335" s="55"/>
      <c r="DM1335" s="55"/>
      <c r="DN1335" s="55"/>
      <c r="DO1335" s="55"/>
      <c r="DP1335" s="55"/>
      <c r="DQ1335" s="55"/>
      <c r="DR1335" s="55"/>
      <c r="DS1335" s="55"/>
      <c r="DT1335" s="55"/>
      <c r="DU1335" s="55"/>
      <c r="DV1335" s="55"/>
      <c r="DW1335" s="55"/>
    </row>
    <row r="1336">
      <c r="A1336" s="23" t="s">
        <v>64</v>
      </c>
      <c r="B1336" s="23" t="s">
        <v>56</v>
      </c>
      <c r="C1336" s="31" t="s">
        <v>2869</v>
      </c>
      <c r="D1336" s="25" t="str">
        <f>IFERROR(__xludf.DUMMYFUNCTION("SPLIT(C1336,"" "")"),"Brundage,")</f>
        <v>Brundage,</v>
      </c>
      <c r="E1336" s="22" t="str">
        <f>IFERROR(__xludf.DUMMYFUNCTION("""COMPUTED_VALUE"""),"Ashley
408")</f>
        <v>Ashley
408</v>
      </c>
      <c r="F1336" s="22" t="str">
        <f>IFERROR(__xludf.DUMMYFUNCTION("""COMPUTED_VALUE"""),"
Coppell,")</f>
        <v>
Coppell,</v>
      </c>
      <c r="G1336" s="22" t="str">
        <f>IFERROR(__xludf.DUMMYFUNCTION("""COMPUTED_VALUE"""),"TX")</f>
        <v>TX</v>
      </c>
      <c r="H1336" s="22">
        <f>IFERROR(__xludf.DUMMYFUNCTION("""COMPUTED_VALUE"""),75019.0)</f>
        <v>75019</v>
      </c>
      <c r="I1336" s="22"/>
      <c r="J1336" s="22"/>
      <c r="K1336" s="22"/>
      <c r="L1336" s="22"/>
      <c r="M1336" s="22"/>
      <c r="N1336" s="22"/>
      <c r="O1336" s="22"/>
      <c r="P1336" s="22"/>
      <c r="Q1336" s="22"/>
      <c r="R1336" s="22"/>
      <c r="S1336" s="22"/>
      <c r="T1336" s="22"/>
      <c r="U1336" s="24" t="str">
        <f>IFERROR(__xludf.DUMMYFUNCTION("SPLIT(E1336,""01234567890"")"),"Ashley
")</f>
        <v>Ashley
</v>
      </c>
      <c r="V1336" s="24" t="str">
        <f>IFERROR(__xludf.DUMMYFUNCTION("SPLIT(D1336,"","")"),"Brundage")</f>
        <v>Brundage</v>
      </c>
      <c r="W1336" s="25" t="str">
        <f t="shared" si="1"/>
        <v>ASHLEY
 BRUNDAGE</v>
      </c>
      <c r="X1336" s="22"/>
      <c r="Y1336" s="22"/>
      <c r="Z1336" s="25" t="str">
        <f>IFERROR(__xludf.DUMMYFUNCTION("SPLIT(C1336,""
"")"),"Brundage, Ashley")</f>
        <v>Brundage, Ashley</v>
      </c>
      <c r="AA1336" s="22">
        <f>IFERROR(__xludf.DUMMYFUNCTION("""COMPUTED_VALUE"""),408.0)</f>
        <v>408</v>
      </c>
      <c r="AB1336" s="22" t="str">
        <f>IFERROR(__xludf.DUMMYFUNCTION("""COMPUTED_VALUE"""),"Coppell, TX 75019")</f>
        <v>Coppell, TX 75019</v>
      </c>
      <c r="AC1336" s="31" t="s">
        <v>2870</v>
      </c>
      <c r="AD1336" s="22"/>
      <c r="AE1336" s="22"/>
      <c r="AF1336" s="22"/>
      <c r="AG1336" s="22" t="s">
        <v>60</v>
      </c>
      <c r="AH1336" s="54">
        <v>2500.0</v>
      </c>
      <c r="AI1336" s="22" t="s">
        <v>68</v>
      </c>
      <c r="AJ1336" s="27">
        <v>50.0</v>
      </c>
      <c r="AK1336" s="31" t="s">
        <v>23</v>
      </c>
      <c r="AL1336" s="28">
        <v>44776.0</v>
      </c>
      <c r="AM1336" s="29">
        <v>44941.874814814815</v>
      </c>
      <c r="AN1336" s="30">
        <v>2.0</v>
      </c>
      <c r="AO1336" s="22"/>
      <c r="AP1336" s="22"/>
      <c r="AQ1336" s="22"/>
      <c r="AR1336" s="22"/>
      <c r="AS1336" s="22"/>
      <c r="AT1336" s="70"/>
      <c r="AU1336" s="22"/>
      <c r="AV1336" s="57"/>
      <c r="AW1336" s="57"/>
      <c r="AX1336" s="70"/>
      <c r="AY1336" s="29"/>
      <c r="AZ1336" s="30"/>
      <c r="CU1336" s="55"/>
      <c r="CV1336" s="55"/>
      <c r="CW1336" s="55"/>
      <c r="CX1336" s="55"/>
      <c r="CY1336" s="55"/>
      <c r="CZ1336" s="55"/>
      <c r="DA1336" s="82"/>
      <c r="DB1336" s="55"/>
      <c r="DC1336" s="55"/>
      <c r="DD1336" s="55"/>
      <c r="DE1336" s="55"/>
      <c r="DF1336" s="55"/>
      <c r="DG1336" s="55"/>
      <c r="DH1336" s="55"/>
      <c r="DI1336" s="55"/>
      <c r="DJ1336" s="55"/>
      <c r="DK1336" s="55"/>
      <c r="DL1336" s="55"/>
      <c r="DM1336" s="55"/>
      <c r="DN1336" s="55"/>
      <c r="DO1336" s="55"/>
      <c r="DP1336" s="55"/>
      <c r="DQ1336" s="55"/>
      <c r="DR1336" s="55"/>
      <c r="DS1336" s="55"/>
      <c r="DT1336" s="55"/>
      <c r="DU1336" s="55"/>
      <c r="DV1336" s="55"/>
      <c r="DW1336" s="55"/>
    </row>
    <row r="1337">
      <c r="A1337" s="40" t="s">
        <v>55</v>
      </c>
      <c r="B1337" s="41" t="s">
        <v>56</v>
      </c>
      <c r="C1337" s="31" t="s">
        <v>2871</v>
      </c>
      <c r="D1337" s="25" t="str">
        <f>IFERROR(__xludf.DUMMYFUNCTION("SPLIT(C1337,"" "")"),"Lamont,")</f>
        <v>Lamont,</v>
      </c>
      <c r="E1337" s="40" t="str">
        <f>IFERROR(__xludf.DUMMYFUNCTION("""COMPUTED_VALUE"""),"Adam
9432")</f>
        <v>Adam
9432</v>
      </c>
      <c r="F1337" s="40" t="str">
        <f>IFERROR(__xludf.DUMMYFUNCTION("""COMPUTED_VALUE"""),"
Dallas,")</f>
        <v>
Dallas,</v>
      </c>
      <c r="G1337" s="40" t="str">
        <f>IFERROR(__xludf.DUMMYFUNCTION("""COMPUTED_VALUE"""),"TX")</f>
        <v>TX</v>
      </c>
      <c r="H1337" s="40">
        <f>IFERROR(__xludf.DUMMYFUNCTION("""COMPUTED_VALUE"""),75243.0)</f>
        <v>75243</v>
      </c>
      <c r="I1337" s="40"/>
      <c r="J1337" s="40"/>
      <c r="K1337" s="40"/>
      <c r="L1337" s="40"/>
      <c r="M1337" s="40"/>
      <c r="N1337" s="40"/>
      <c r="O1337" s="40"/>
      <c r="P1337" s="40"/>
      <c r="Q1337" s="40"/>
      <c r="R1337" s="40"/>
      <c r="S1337" s="40"/>
      <c r="T1337" s="40"/>
      <c r="U1337" s="24" t="str">
        <f>IFERROR(__xludf.DUMMYFUNCTION("SPLIT(E1337,""01234567890"")"),"Adam
")</f>
        <v>Adam
</v>
      </c>
      <c r="V1337" s="24" t="str">
        <f>IFERROR(__xludf.DUMMYFUNCTION("SPLIT(D1337,"","")"),"Lamont")</f>
        <v>Lamont</v>
      </c>
      <c r="W1337" s="25" t="str">
        <f t="shared" si="1"/>
        <v>ADAM
 LAMONT</v>
      </c>
      <c r="X1337" s="40"/>
      <c r="Y1337" s="40"/>
      <c r="Z1337" s="25" t="str">
        <f>IFERROR(__xludf.DUMMYFUNCTION("SPLIT(C1337,""
"")"),"Lamont, Adam")</f>
        <v>Lamont, Adam</v>
      </c>
      <c r="AA1337" s="40">
        <f>IFERROR(__xludf.DUMMYFUNCTION("""COMPUTED_VALUE"""),9432.0)</f>
        <v>9432</v>
      </c>
      <c r="AB1337" s="40" t="str">
        <f>IFERROR(__xludf.DUMMYFUNCTION("""COMPUTED_VALUE"""),"Dallas, TX 75243")</f>
        <v>Dallas, TX 75243</v>
      </c>
      <c r="AC1337" s="31" t="s">
        <v>2872</v>
      </c>
      <c r="AD1337" s="40"/>
      <c r="AE1337" s="40"/>
      <c r="AF1337" s="40"/>
      <c r="AG1337" s="40" t="s">
        <v>60</v>
      </c>
      <c r="AH1337" s="42">
        <v>2500.0</v>
      </c>
      <c r="AI1337" s="40" t="s">
        <v>68</v>
      </c>
      <c r="AJ1337" s="27">
        <v>50.0</v>
      </c>
      <c r="AK1337" s="31" t="s">
        <v>23</v>
      </c>
      <c r="AL1337" s="43">
        <v>44781.0</v>
      </c>
      <c r="AM1337" s="44">
        <v>44941.874814814815</v>
      </c>
      <c r="AN1337" s="30">
        <v>2.0</v>
      </c>
      <c r="AO1337" s="40"/>
      <c r="AP1337" s="40"/>
      <c r="AQ1337" s="40"/>
      <c r="AR1337" s="40"/>
      <c r="AS1337" s="40"/>
      <c r="AT1337" s="47"/>
      <c r="AU1337" s="40"/>
      <c r="AV1337" s="46"/>
      <c r="AW1337" s="46"/>
      <c r="AX1337" s="47"/>
      <c r="AY1337" s="44"/>
      <c r="AZ1337" s="30"/>
      <c r="CU1337" s="55"/>
      <c r="CV1337" s="55"/>
      <c r="CW1337" s="55"/>
      <c r="CX1337" s="55"/>
      <c r="CY1337" s="55"/>
      <c r="CZ1337" s="55"/>
      <c r="DA1337" s="82"/>
      <c r="DB1337" s="55"/>
      <c r="DC1337" s="55"/>
      <c r="DD1337" s="55"/>
      <c r="DE1337" s="55"/>
      <c r="DF1337" s="55"/>
      <c r="DG1337" s="55"/>
      <c r="DH1337" s="55"/>
      <c r="DI1337" s="55"/>
      <c r="DJ1337" s="55"/>
      <c r="DK1337" s="55"/>
      <c r="DL1337" s="55"/>
      <c r="DM1337" s="55"/>
      <c r="DN1337" s="55"/>
      <c r="DO1337" s="55"/>
      <c r="DP1337" s="55"/>
      <c r="DQ1337" s="55"/>
      <c r="DR1337" s="55"/>
      <c r="DS1337" s="55"/>
      <c r="DT1337" s="55"/>
      <c r="DU1337" s="55"/>
      <c r="DV1337" s="55"/>
      <c r="DW1337" s="55"/>
    </row>
    <row r="1338">
      <c r="A1338" s="23" t="s">
        <v>64</v>
      </c>
      <c r="B1338" s="23" t="s">
        <v>56</v>
      </c>
      <c r="C1338" s="31" t="s">
        <v>2873</v>
      </c>
      <c r="D1338" s="25" t="str">
        <f>IFERROR(__xludf.DUMMYFUNCTION("SPLIT(C1338,"" "")"),"Laster,")</f>
        <v>Laster,</v>
      </c>
      <c r="E1338" s="22" t="str">
        <f>IFERROR(__xludf.DUMMYFUNCTION("""COMPUTED_VALUE"""),"Joseph
2721")</f>
        <v>Joseph
2721</v>
      </c>
      <c r="F1338" s="22" t="str">
        <f>IFERROR(__xludf.DUMMYFUNCTION("""COMPUTED_VALUE"""),"
Dallas,")</f>
        <v>
Dallas,</v>
      </c>
      <c r="G1338" s="22" t="str">
        <f>IFERROR(__xludf.DUMMYFUNCTION("""COMPUTED_VALUE"""),"TX")</f>
        <v>TX</v>
      </c>
      <c r="H1338" s="22">
        <f>IFERROR(__xludf.DUMMYFUNCTION("""COMPUTED_VALUE"""),75215.0)</f>
        <v>75215</v>
      </c>
      <c r="I1338" s="22"/>
      <c r="J1338" s="22"/>
      <c r="K1338" s="22"/>
      <c r="L1338" s="22"/>
      <c r="M1338" s="22"/>
      <c r="N1338" s="22"/>
      <c r="O1338" s="22"/>
      <c r="P1338" s="22"/>
      <c r="Q1338" s="22"/>
      <c r="R1338" s="22"/>
      <c r="S1338" s="22"/>
      <c r="T1338" s="22"/>
      <c r="U1338" s="24" t="str">
        <f>IFERROR(__xludf.DUMMYFUNCTION("SPLIT(E1338,""01234567890"")"),"Joseph
")</f>
        <v>Joseph
</v>
      </c>
      <c r="V1338" s="24" t="str">
        <f>IFERROR(__xludf.DUMMYFUNCTION("SPLIT(D1338,"","")"),"Laster")</f>
        <v>Laster</v>
      </c>
      <c r="W1338" s="25" t="str">
        <f t="shared" si="1"/>
        <v>JOSEPH
 LASTER</v>
      </c>
      <c r="X1338" s="22"/>
      <c r="Y1338" s="22"/>
      <c r="Z1338" s="25" t="str">
        <f>IFERROR(__xludf.DUMMYFUNCTION("SPLIT(C1338,""
"")"),"Laster, Joseph")</f>
        <v>Laster, Joseph</v>
      </c>
      <c r="AA1338" s="22">
        <f>IFERROR(__xludf.DUMMYFUNCTION("""COMPUTED_VALUE"""),2721.0)</f>
        <v>2721</v>
      </c>
      <c r="AB1338" s="22" t="str">
        <f>IFERROR(__xludf.DUMMYFUNCTION("""COMPUTED_VALUE"""),"Dallas, TX 75215")</f>
        <v>Dallas, TX 75215</v>
      </c>
      <c r="AC1338" s="31" t="s">
        <v>2874</v>
      </c>
      <c r="AD1338" s="22"/>
      <c r="AE1338" s="22"/>
      <c r="AF1338" s="22"/>
      <c r="AG1338" s="22" t="s">
        <v>60</v>
      </c>
      <c r="AH1338" s="54">
        <v>2500.0</v>
      </c>
      <c r="AI1338" s="22" t="s">
        <v>68</v>
      </c>
      <c r="AJ1338" s="27">
        <v>1000.0</v>
      </c>
      <c r="AK1338" s="31" t="s">
        <v>23</v>
      </c>
      <c r="AL1338" s="28">
        <v>44782.0</v>
      </c>
      <c r="AM1338" s="29">
        <v>44941.874814814815</v>
      </c>
      <c r="AN1338" s="30">
        <v>2.0</v>
      </c>
      <c r="AO1338" s="22"/>
      <c r="AP1338" s="22"/>
      <c r="AQ1338" s="22"/>
      <c r="AR1338" s="22"/>
      <c r="AS1338" s="22"/>
      <c r="AT1338" s="70"/>
      <c r="AU1338" s="22"/>
      <c r="AV1338" s="57"/>
      <c r="AW1338" s="57"/>
      <c r="AX1338" s="70"/>
      <c r="AY1338" s="29"/>
      <c r="AZ1338" s="30"/>
      <c r="CU1338" s="55"/>
      <c r="CV1338" s="55"/>
      <c r="CW1338" s="55"/>
      <c r="CX1338" s="55"/>
      <c r="CY1338" s="55"/>
      <c r="CZ1338" s="55"/>
      <c r="DA1338" s="82"/>
      <c r="DB1338" s="55"/>
      <c r="DC1338" s="55"/>
      <c r="DD1338" s="55"/>
      <c r="DE1338" s="55"/>
      <c r="DF1338" s="55"/>
      <c r="DG1338" s="55"/>
      <c r="DH1338" s="55"/>
      <c r="DI1338" s="55"/>
      <c r="DJ1338" s="55"/>
      <c r="DK1338" s="55"/>
      <c r="DL1338" s="55"/>
      <c r="DM1338" s="55"/>
      <c r="DN1338" s="55"/>
      <c r="DO1338" s="55"/>
      <c r="DP1338" s="55"/>
      <c r="DQ1338" s="55"/>
      <c r="DR1338" s="55"/>
      <c r="DS1338" s="55"/>
      <c r="DT1338" s="55"/>
      <c r="DU1338" s="55"/>
      <c r="DV1338" s="55"/>
      <c r="DW1338" s="55"/>
    </row>
    <row r="1339">
      <c r="A1339" s="40" t="s">
        <v>55</v>
      </c>
      <c r="B1339" s="41" t="s">
        <v>56</v>
      </c>
      <c r="C1339" s="31" t="s">
        <v>2875</v>
      </c>
      <c r="D1339" s="25" t="str">
        <f>IFERROR(__xludf.DUMMYFUNCTION("SPLIT(C1339,"" "")"),"Cambpell,")</f>
        <v>Cambpell,</v>
      </c>
      <c r="E1339" s="40" t="str">
        <f>IFERROR(__xludf.DUMMYFUNCTION("""COMPUTED_VALUE"""),"Stewart
6427")</f>
        <v>Stewart
6427</v>
      </c>
      <c r="F1339" s="40" t="str">
        <f>IFERROR(__xludf.DUMMYFUNCTION("""COMPUTED_VALUE"""),"
Dallas,")</f>
        <v>
Dallas,</v>
      </c>
      <c r="G1339" s="40" t="str">
        <f>IFERROR(__xludf.DUMMYFUNCTION("""COMPUTED_VALUE"""),"TX")</f>
        <v>TX</v>
      </c>
      <c r="H1339" s="40">
        <f>IFERROR(__xludf.DUMMYFUNCTION("""COMPUTED_VALUE"""),75214.0)</f>
        <v>75214</v>
      </c>
      <c r="I1339" s="40"/>
      <c r="J1339" s="40"/>
      <c r="K1339" s="40"/>
      <c r="L1339" s="40"/>
      <c r="M1339" s="40"/>
      <c r="N1339" s="40"/>
      <c r="O1339" s="40"/>
      <c r="P1339" s="40"/>
      <c r="Q1339" s="40"/>
      <c r="R1339" s="40"/>
      <c r="S1339" s="40"/>
      <c r="T1339" s="40"/>
      <c r="U1339" s="24" t="str">
        <f>IFERROR(__xludf.DUMMYFUNCTION("SPLIT(E1339,""01234567890"")"),"Stewart
")</f>
        <v>Stewart
</v>
      </c>
      <c r="V1339" s="24" t="str">
        <f>IFERROR(__xludf.DUMMYFUNCTION("SPLIT(D1339,"","")"),"Cambpell")</f>
        <v>Cambpell</v>
      </c>
      <c r="W1339" s="25" t="str">
        <f t="shared" si="1"/>
        <v>STEWART
 CAMBPELL</v>
      </c>
      <c r="X1339" s="40"/>
      <c r="Y1339" s="40"/>
      <c r="Z1339" s="25" t="str">
        <f>IFERROR(__xludf.DUMMYFUNCTION("SPLIT(C1339,""
"")"),"Cambpell, Stewart")</f>
        <v>Cambpell, Stewart</v>
      </c>
      <c r="AA1339" s="40">
        <f>IFERROR(__xludf.DUMMYFUNCTION("""COMPUTED_VALUE"""),6427.0)</f>
        <v>6427</v>
      </c>
      <c r="AB1339" s="40" t="str">
        <f>IFERROR(__xludf.DUMMYFUNCTION("""COMPUTED_VALUE"""),"Dallas, TX 75214")</f>
        <v>Dallas, TX 75214</v>
      </c>
      <c r="AC1339" s="31" t="s">
        <v>2876</v>
      </c>
      <c r="AD1339" s="40"/>
      <c r="AE1339" s="40"/>
      <c r="AF1339" s="40"/>
      <c r="AG1339" s="40" t="s">
        <v>60</v>
      </c>
      <c r="AH1339" s="42">
        <v>2500.0</v>
      </c>
      <c r="AI1339" s="40" t="s">
        <v>68</v>
      </c>
      <c r="AJ1339" s="27">
        <v>200.0</v>
      </c>
      <c r="AK1339" s="31" t="s">
        <v>23</v>
      </c>
      <c r="AL1339" s="43">
        <v>44783.0</v>
      </c>
      <c r="AM1339" s="44">
        <v>44941.874814814815</v>
      </c>
      <c r="AN1339" s="30">
        <v>2.0</v>
      </c>
      <c r="AO1339" s="40"/>
      <c r="AP1339" s="40"/>
      <c r="AQ1339" s="40"/>
      <c r="AR1339" s="40"/>
      <c r="AS1339" s="40"/>
      <c r="AT1339" s="47"/>
      <c r="AU1339" s="40"/>
      <c r="AV1339" s="46"/>
      <c r="AW1339" s="46"/>
      <c r="AX1339" s="47"/>
      <c r="AY1339" s="44"/>
      <c r="AZ1339" s="30"/>
      <c r="CU1339" s="55"/>
      <c r="CV1339" s="55"/>
      <c r="CW1339" s="55"/>
      <c r="CX1339" s="55"/>
      <c r="CY1339" s="55"/>
      <c r="CZ1339" s="55"/>
      <c r="DA1339" s="82"/>
      <c r="DB1339" s="55"/>
      <c r="DC1339" s="55"/>
      <c r="DD1339" s="55"/>
      <c r="DE1339" s="55"/>
      <c r="DF1339" s="55"/>
      <c r="DG1339" s="55"/>
      <c r="DH1339" s="55"/>
      <c r="DI1339" s="55"/>
      <c r="DJ1339" s="55"/>
      <c r="DK1339" s="55"/>
      <c r="DL1339" s="55"/>
      <c r="DM1339" s="55"/>
      <c r="DN1339" s="55"/>
      <c r="DO1339" s="55"/>
      <c r="DP1339" s="55"/>
      <c r="DQ1339" s="55"/>
      <c r="DR1339" s="55"/>
      <c r="DS1339" s="55"/>
      <c r="DT1339" s="55"/>
      <c r="DU1339" s="55"/>
      <c r="DV1339" s="55"/>
      <c r="DW1339" s="55"/>
    </row>
    <row r="1340">
      <c r="A1340" s="23" t="s">
        <v>64</v>
      </c>
      <c r="B1340" s="23" t="s">
        <v>56</v>
      </c>
      <c r="C1340" s="31" t="s">
        <v>2877</v>
      </c>
      <c r="D1340" s="25" t="str">
        <f>IFERROR(__xludf.DUMMYFUNCTION("SPLIT(C1340,"" "")"),"Krochtengel,")</f>
        <v>Krochtengel,</v>
      </c>
      <c r="E1340" s="22" t="str">
        <f>IFERROR(__xludf.DUMMYFUNCTION("""COMPUTED_VALUE"""),"Zachary
17014")</f>
        <v>Zachary
17014</v>
      </c>
      <c r="F1340" s="22" t="str">
        <f>IFERROR(__xludf.DUMMYFUNCTION("""COMPUTED_VALUE"""),"
Dallas,")</f>
        <v>
Dallas,</v>
      </c>
      <c r="G1340" s="22" t="str">
        <f>IFERROR(__xludf.DUMMYFUNCTION("""COMPUTED_VALUE"""),"TX")</f>
        <v>TX</v>
      </c>
      <c r="H1340" s="22">
        <f>IFERROR(__xludf.DUMMYFUNCTION("""COMPUTED_VALUE"""),75248.0)</f>
        <v>75248</v>
      </c>
      <c r="I1340" s="22"/>
      <c r="J1340" s="22"/>
      <c r="K1340" s="22"/>
      <c r="L1340" s="22"/>
      <c r="M1340" s="22"/>
      <c r="N1340" s="22"/>
      <c r="O1340" s="22"/>
      <c r="P1340" s="22"/>
      <c r="Q1340" s="22"/>
      <c r="R1340" s="22"/>
      <c r="S1340" s="22"/>
      <c r="T1340" s="22"/>
      <c r="U1340" s="24" t="str">
        <f>IFERROR(__xludf.DUMMYFUNCTION("SPLIT(E1340,""01234567890"")"),"Zachary
")</f>
        <v>Zachary
</v>
      </c>
      <c r="V1340" s="24" t="str">
        <f>IFERROR(__xludf.DUMMYFUNCTION("SPLIT(D1340,"","")"),"Krochtengel")</f>
        <v>Krochtengel</v>
      </c>
      <c r="W1340" s="25" t="str">
        <f t="shared" si="1"/>
        <v>ZACHARY
 KROCHTENGEL</v>
      </c>
      <c r="X1340" s="22"/>
      <c r="Y1340" s="22"/>
      <c r="Z1340" s="25" t="str">
        <f>IFERROR(__xludf.DUMMYFUNCTION("SPLIT(C1340,""
"")"),"Krochtengel, Zachary")</f>
        <v>Krochtengel, Zachary</v>
      </c>
      <c r="AA1340" s="22">
        <f>IFERROR(__xludf.DUMMYFUNCTION("""COMPUTED_VALUE"""),17014.0)</f>
        <v>17014</v>
      </c>
      <c r="AB1340" s="22" t="str">
        <f>IFERROR(__xludf.DUMMYFUNCTION("""COMPUTED_VALUE"""),"Dallas, TX 75248")</f>
        <v>Dallas, TX 75248</v>
      </c>
      <c r="AC1340" s="31" t="s">
        <v>2878</v>
      </c>
      <c r="AD1340" s="22"/>
      <c r="AE1340" s="22"/>
      <c r="AF1340" s="22"/>
      <c r="AG1340" s="22" t="s">
        <v>60</v>
      </c>
      <c r="AH1340" s="54">
        <v>2500.0</v>
      </c>
      <c r="AI1340" s="22" t="s">
        <v>68</v>
      </c>
      <c r="AJ1340" s="27">
        <v>250.0</v>
      </c>
      <c r="AK1340" s="31" t="s">
        <v>23</v>
      </c>
      <c r="AL1340" s="28">
        <v>44783.0</v>
      </c>
      <c r="AM1340" s="29">
        <v>44941.874814814815</v>
      </c>
      <c r="AN1340" s="30">
        <v>2.0</v>
      </c>
      <c r="AO1340" s="22"/>
      <c r="AP1340" s="22"/>
      <c r="AQ1340" s="22"/>
      <c r="AR1340" s="22"/>
      <c r="AS1340" s="22"/>
      <c r="AT1340" s="70"/>
      <c r="AU1340" s="22"/>
      <c r="AV1340" s="57"/>
      <c r="AW1340" s="57"/>
      <c r="AX1340" s="70"/>
      <c r="AY1340" s="29"/>
      <c r="AZ1340" s="30"/>
      <c r="CU1340" s="55"/>
      <c r="CV1340" s="55"/>
      <c r="CW1340" s="55"/>
      <c r="CX1340" s="55"/>
      <c r="CY1340" s="55"/>
      <c r="CZ1340" s="55"/>
      <c r="DA1340" s="82"/>
      <c r="DB1340" s="55"/>
      <c r="DC1340" s="55"/>
      <c r="DD1340" s="55"/>
      <c r="DE1340" s="55"/>
      <c r="DF1340" s="55"/>
      <c r="DG1340" s="55"/>
      <c r="DH1340" s="55"/>
      <c r="DI1340" s="55"/>
      <c r="DJ1340" s="55"/>
      <c r="DK1340" s="55"/>
      <c r="DL1340" s="55"/>
      <c r="DM1340" s="55"/>
      <c r="DN1340" s="55"/>
      <c r="DO1340" s="55"/>
      <c r="DP1340" s="55"/>
      <c r="DQ1340" s="55"/>
      <c r="DR1340" s="55"/>
      <c r="DS1340" s="55"/>
      <c r="DT1340" s="55"/>
      <c r="DU1340" s="55"/>
      <c r="DV1340" s="55"/>
      <c r="DW1340" s="55"/>
    </row>
    <row r="1341">
      <c r="A1341" s="40" t="s">
        <v>55</v>
      </c>
      <c r="B1341" s="41" t="s">
        <v>56</v>
      </c>
      <c r="C1341" s="31" t="s">
        <v>2879</v>
      </c>
      <c r="D1341" s="25" t="str">
        <f>IFERROR(__xludf.DUMMYFUNCTION("SPLIT(C1341,"" "")"),"Blackmon,")</f>
        <v>Blackmon,</v>
      </c>
      <c r="E1341" s="40" t="str">
        <f>IFERROR(__xludf.DUMMYFUNCTION("""COMPUTED_VALUE"""),"Paula
6333")</f>
        <v>Paula
6333</v>
      </c>
      <c r="F1341" s="40" t="str">
        <f>IFERROR(__xludf.DUMMYFUNCTION("""COMPUTED_VALUE"""),"
Dallas,")</f>
        <v>
Dallas,</v>
      </c>
      <c r="G1341" s="40" t="str">
        <f>IFERROR(__xludf.DUMMYFUNCTION("""COMPUTED_VALUE"""),"TX")</f>
        <v>TX</v>
      </c>
      <c r="H1341" s="40">
        <f>IFERROR(__xludf.DUMMYFUNCTION("""COMPUTED_VALUE"""),75214.0)</f>
        <v>75214</v>
      </c>
      <c r="I1341" s="40"/>
      <c r="J1341" s="40"/>
      <c r="K1341" s="40"/>
      <c r="L1341" s="40"/>
      <c r="M1341" s="40"/>
      <c r="N1341" s="40"/>
      <c r="O1341" s="40"/>
      <c r="P1341" s="40"/>
      <c r="Q1341" s="40"/>
      <c r="R1341" s="40"/>
      <c r="S1341" s="40"/>
      <c r="T1341" s="40"/>
      <c r="U1341" s="24" t="str">
        <f>IFERROR(__xludf.DUMMYFUNCTION("SPLIT(E1341,""01234567890"")"),"Paula
")</f>
        <v>Paula
</v>
      </c>
      <c r="V1341" s="24" t="str">
        <f>IFERROR(__xludf.DUMMYFUNCTION("SPLIT(D1341,"","")"),"Blackmon")</f>
        <v>Blackmon</v>
      </c>
      <c r="W1341" s="25" t="str">
        <f t="shared" si="1"/>
        <v>PAULA
 BLACKMON</v>
      </c>
      <c r="X1341" s="40"/>
      <c r="Y1341" s="40"/>
      <c r="Z1341" s="25" t="str">
        <f>IFERROR(__xludf.DUMMYFUNCTION("SPLIT(C1341,""
"")"),"Blackmon, Paula")</f>
        <v>Blackmon, Paula</v>
      </c>
      <c r="AA1341" s="40">
        <f>IFERROR(__xludf.DUMMYFUNCTION("""COMPUTED_VALUE"""),6333.0)</f>
        <v>6333</v>
      </c>
      <c r="AB1341" s="40" t="str">
        <f>IFERROR(__xludf.DUMMYFUNCTION("""COMPUTED_VALUE"""),"Dallas, TX 75214")</f>
        <v>Dallas, TX 75214</v>
      </c>
      <c r="AC1341" s="31" t="s">
        <v>2880</v>
      </c>
      <c r="AD1341" s="40"/>
      <c r="AE1341" s="40"/>
      <c r="AF1341" s="40"/>
      <c r="AG1341" s="40" t="s">
        <v>60</v>
      </c>
      <c r="AH1341" s="42">
        <v>2500.0</v>
      </c>
      <c r="AI1341" s="40" t="s">
        <v>68</v>
      </c>
      <c r="AJ1341" s="27">
        <v>200.0</v>
      </c>
      <c r="AK1341" s="31" t="s">
        <v>23</v>
      </c>
      <c r="AL1341" s="43">
        <v>44783.0</v>
      </c>
      <c r="AM1341" s="44">
        <v>44941.874814814815</v>
      </c>
      <c r="AN1341" s="30">
        <v>2.0</v>
      </c>
      <c r="AO1341" s="40"/>
      <c r="AP1341" s="40"/>
      <c r="AQ1341" s="40"/>
      <c r="AR1341" s="40"/>
      <c r="AS1341" s="40"/>
      <c r="AT1341" s="47"/>
      <c r="AU1341" s="40"/>
      <c r="AV1341" s="46"/>
      <c r="AW1341" s="46"/>
      <c r="AX1341" s="47"/>
      <c r="AY1341" s="44"/>
      <c r="AZ1341" s="30"/>
      <c r="CU1341" s="55"/>
      <c r="CV1341" s="55"/>
      <c r="CW1341" s="55"/>
      <c r="CX1341" s="55"/>
      <c r="CY1341" s="55"/>
      <c r="CZ1341" s="55"/>
      <c r="DA1341" s="82"/>
      <c r="DB1341" s="55"/>
      <c r="DC1341" s="55"/>
      <c r="DD1341" s="55"/>
      <c r="DE1341" s="55"/>
      <c r="DF1341" s="55"/>
      <c r="DG1341" s="55"/>
      <c r="DH1341" s="55"/>
      <c r="DI1341" s="55"/>
      <c r="DJ1341" s="55"/>
      <c r="DK1341" s="55"/>
      <c r="DL1341" s="55"/>
      <c r="DM1341" s="55"/>
      <c r="DN1341" s="55"/>
      <c r="DO1341" s="55"/>
      <c r="DP1341" s="55"/>
      <c r="DQ1341" s="55"/>
      <c r="DR1341" s="55"/>
      <c r="DS1341" s="55"/>
      <c r="DT1341" s="55"/>
      <c r="DU1341" s="55"/>
      <c r="DV1341" s="55"/>
      <c r="DW1341" s="55"/>
    </row>
    <row r="1342">
      <c r="A1342" s="23" t="s">
        <v>64</v>
      </c>
      <c r="B1342" s="23" t="s">
        <v>56</v>
      </c>
      <c r="C1342" s="31" t="s">
        <v>2881</v>
      </c>
      <c r="D1342" s="25" t="str">
        <f>IFERROR(__xludf.DUMMYFUNCTION("SPLIT(C1342,"" "")"),"Creuzot,")</f>
        <v>Creuzot,</v>
      </c>
      <c r="E1342" s="22" t="str">
        <f>IFERROR(__xludf.DUMMYFUNCTION("""COMPUTED_VALUE"""),"John
8185")</f>
        <v>John
8185</v>
      </c>
      <c r="F1342" s="22" t="str">
        <f>IFERROR(__xludf.DUMMYFUNCTION("""COMPUTED_VALUE"""),"
Dallas,")</f>
        <v>
Dallas,</v>
      </c>
      <c r="G1342" s="22" t="str">
        <f>IFERROR(__xludf.DUMMYFUNCTION("""COMPUTED_VALUE"""),"TX")</f>
        <v>TX</v>
      </c>
      <c r="H1342" s="22">
        <f>IFERROR(__xludf.DUMMYFUNCTION("""COMPUTED_VALUE"""),75218.0)</f>
        <v>75218</v>
      </c>
      <c r="I1342" s="22"/>
      <c r="J1342" s="22"/>
      <c r="K1342" s="22"/>
      <c r="L1342" s="22"/>
      <c r="M1342" s="22"/>
      <c r="N1342" s="22"/>
      <c r="O1342" s="22"/>
      <c r="P1342" s="22"/>
      <c r="Q1342" s="22"/>
      <c r="R1342" s="22"/>
      <c r="S1342" s="22"/>
      <c r="T1342" s="22"/>
      <c r="U1342" s="24" t="str">
        <f>IFERROR(__xludf.DUMMYFUNCTION("SPLIT(E1342,""01234567890"")"),"John
")</f>
        <v>John
</v>
      </c>
      <c r="V1342" s="24" t="str">
        <f>IFERROR(__xludf.DUMMYFUNCTION("SPLIT(D1342,"","")"),"Creuzot")</f>
        <v>Creuzot</v>
      </c>
      <c r="W1342" s="25" t="str">
        <f t="shared" si="1"/>
        <v>JOHN
 CREUZOT</v>
      </c>
      <c r="X1342" s="22"/>
      <c r="Y1342" s="22"/>
      <c r="Z1342" s="25" t="str">
        <f>IFERROR(__xludf.DUMMYFUNCTION("SPLIT(C1342,""
"")"),"Creuzot, John")</f>
        <v>Creuzot, John</v>
      </c>
      <c r="AA1342" s="22">
        <f>IFERROR(__xludf.DUMMYFUNCTION("""COMPUTED_VALUE"""),8185.0)</f>
        <v>8185</v>
      </c>
      <c r="AB1342" s="22" t="str">
        <f>IFERROR(__xludf.DUMMYFUNCTION("""COMPUTED_VALUE"""),"Dallas, TX 75218")</f>
        <v>Dallas, TX 75218</v>
      </c>
      <c r="AC1342" s="31" t="s">
        <v>1607</v>
      </c>
      <c r="AD1342" s="22"/>
      <c r="AE1342" s="22"/>
      <c r="AF1342" s="22"/>
      <c r="AG1342" s="22" t="s">
        <v>60</v>
      </c>
      <c r="AH1342" s="54">
        <v>2500.0</v>
      </c>
      <c r="AI1342" s="22" t="s">
        <v>68</v>
      </c>
      <c r="AJ1342" s="27">
        <v>250.0</v>
      </c>
      <c r="AK1342" s="31" t="s">
        <v>23</v>
      </c>
      <c r="AL1342" s="28">
        <v>44784.0</v>
      </c>
      <c r="AM1342" s="29">
        <v>44941.874814814815</v>
      </c>
      <c r="AN1342" s="30">
        <v>2.0</v>
      </c>
      <c r="AO1342" s="22"/>
      <c r="AP1342" s="22"/>
      <c r="AQ1342" s="22"/>
      <c r="AR1342" s="22"/>
      <c r="AS1342" s="22"/>
      <c r="AT1342" s="70"/>
      <c r="AU1342" s="22"/>
      <c r="AV1342" s="57"/>
      <c r="AW1342" s="57"/>
      <c r="AX1342" s="70"/>
      <c r="AY1342" s="29"/>
      <c r="AZ1342" s="30"/>
      <c r="CU1342" s="55"/>
      <c r="CV1342" s="55"/>
      <c r="CW1342" s="55"/>
      <c r="CX1342" s="55"/>
      <c r="CY1342" s="55"/>
      <c r="CZ1342" s="55"/>
      <c r="DA1342" s="82"/>
      <c r="DB1342" s="55"/>
      <c r="DC1342" s="55"/>
      <c r="DD1342" s="55"/>
      <c r="DE1342" s="55"/>
      <c r="DF1342" s="55"/>
      <c r="DG1342" s="55"/>
      <c r="DH1342" s="55"/>
      <c r="DI1342" s="55"/>
      <c r="DJ1342" s="55"/>
      <c r="DK1342" s="55"/>
      <c r="DL1342" s="55"/>
      <c r="DM1342" s="55"/>
      <c r="DN1342" s="55"/>
      <c r="DO1342" s="55"/>
      <c r="DP1342" s="55"/>
      <c r="DQ1342" s="55"/>
      <c r="DR1342" s="55"/>
      <c r="DS1342" s="55"/>
      <c r="DT1342" s="55"/>
      <c r="DU1342" s="55"/>
      <c r="DV1342" s="55"/>
      <c r="DW1342" s="55"/>
    </row>
    <row r="1343">
      <c r="A1343" s="40" t="s">
        <v>55</v>
      </c>
      <c r="B1343" s="41" t="s">
        <v>56</v>
      </c>
      <c r="C1343" s="31" t="s">
        <v>2882</v>
      </c>
      <c r="D1343" s="25" t="str">
        <f>IFERROR(__xludf.DUMMYFUNCTION("SPLIT(C1343,"" "")"),"Foy,")</f>
        <v>Foy,</v>
      </c>
      <c r="E1343" s="40" t="str">
        <f>IFERROR(__xludf.DUMMYFUNCTION("""COMPUTED_VALUE"""),"Morgan
1777")</f>
        <v>Morgan
1777</v>
      </c>
      <c r="F1343" s="40" t="str">
        <f>IFERROR(__xludf.DUMMYFUNCTION("""COMPUTED_VALUE"""),"
Dallas,")</f>
        <v>
Dallas,</v>
      </c>
      <c r="G1343" s="40" t="str">
        <f>IFERROR(__xludf.DUMMYFUNCTION("""COMPUTED_VALUE"""),"TX")</f>
        <v>TX</v>
      </c>
      <c r="H1343" s="40">
        <f>IFERROR(__xludf.DUMMYFUNCTION("""COMPUTED_VALUE"""),75202.0)</f>
        <v>75202</v>
      </c>
      <c r="I1343" s="40"/>
      <c r="J1343" s="40"/>
      <c r="K1343" s="40"/>
      <c r="L1343" s="40"/>
      <c r="M1343" s="40"/>
      <c r="N1343" s="40"/>
      <c r="O1343" s="40"/>
      <c r="P1343" s="40"/>
      <c r="Q1343" s="40"/>
      <c r="R1343" s="40"/>
      <c r="S1343" s="40"/>
      <c r="T1343" s="40"/>
      <c r="U1343" s="24" t="str">
        <f>IFERROR(__xludf.DUMMYFUNCTION("SPLIT(E1343,""01234567890"")"),"Morgan
")</f>
        <v>Morgan
</v>
      </c>
      <c r="V1343" s="24" t="str">
        <f>IFERROR(__xludf.DUMMYFUNCTION("SPLIT(D1343,"","")"),"Foy")</f>
        <v>Foy</v>
      </c>
      <c r="W1343" s="25" t="str">
        <f t="shared" si="1"/>
        <v>MORGAN
 FOY</v>
      </c>
      <c r="X1343" s="40"/>
      <c r="Y1343" s="40"/>
      <c r="Z1343" s="25" t="str">
        <f>IFERROR(__xludf.DUMMYFUNCTION("SPLIT(C1343,""
"")"),"Foy, Morgan")</f>
        <v>Foy, Morgan</v>
      </c>
      <c r="AA1343" s="40">
        <f>IFERROR(__xludf.DUMMYFUNCTION("""COMPUTED_VALUE"""),1777.0)</f>
        <v>1777</v>
      </c>
      <c r="AB1343" s="40" t="str">
        <f>IFERROR(__xludf.DUMMYFUNCTION("""COMPUTED_VALUE"""),"Dallas, TX 75202")</f>
        <v>Dallas, TX 75202</v>
      </c>
      <c r="AC1343" s="31" t="s">
        <v>2883</v>
      </c>
      <c r="AD1343" s="40"/>
      <c r="AE1343" s="40"/>
      <c r="AF1343" s="40"/>
      <c r="AG1343" s="40" t="s">
        <v>60</v>
      </c>
      <c r="AH1343" s="42">
        <v>2500.0</v>
      </c>
      <c r="AI1343" s="40" t="s">
        <v>68</v>
      </c>
      <c r="AJ1343" s="27">
        <v>100.0</v>
      </c>
      <c r="AK1343" s="31" t="s">
        <v>23</v>
      </c>
      <c r="AL1343" s="43">
        <v>44784.0</v>
      </c>
      <c r="AM1343" s="44">
        <v>44941.874814814815</v>
      </c>
      <c r="AN1343" s="30">
        <v>2.0</v>
      </c>
      <c r="AO1343" s="40"/>
      <c r="AP1343" s="40"/>
      <c r="AQ1343" s="40"/>
      <c r="AR1343" s="40"/>
      <c r="AS1343" s="40"/>
      <c r="AT1343" s="47"/>
      <c r="AU1343" s="40"/>
      <c r="AV1343" s="46"/>
      <c r="AW1343" s="46"/>
      <c r="AX1343" s="47"/>
      <c r="AY1343" s="44"/>
      <c r="AZ1343" s="30"/>
      <c r="CU1343" s="55"/>
      <c r="CV1343" s="55"/>
      <c r="CW1343" s="55"/>
      <c r="CX1343" s="55"/>
      <c r="CY1343" s="55"/>
      <c r="CZ1343" s="55"/>
      <c r="DA1343" s="82"/>
      <c r="DB1343" s="55"/>
      <c r="DC1343" s="55"/>
      <c r="DD1343" s="55"/>
      <c r="DE1343" s="55"/>
      <c r="DF1343" s="55"/>
      <c r="DG1343" s="55"/>
      <c r="DH1343" s="55"/>
      <c r="DI1343" s="55"/>
      <c r="DJ1343" s="55"/>
      <c r="DK1343" s="55"/>
      <c r="DL1343" s="55"/>
      <c r="DM1343" s="55"/>
      <c r="DN1343" s="55"/>
      <c r="DO1343" s="55"/>
      <c r="DP1343" s="55"/>
      <c r="DQ1343" s="55"/>
      <c r="DR1343" s="55"/>
      <c r="DS1343" s="55"/>
      <c r="DT1343" s="55"/>
      <c r="DU1343" s="55"/>
      <c r="DV1343" s="55"/>
      <c r="DW1343" s="55"/>
    </row>
    <row r="1344">
      <c r="A1344" s="23" t="s">
        <v>64</v>
      </c>
      <c r="B1344" s="23" t="s">
        <v>56</v>
      </c>
      <c r="C1344" s="31" t="s">
        <v>2884</v>
      </c>
      <c r="D1344" s="25" t="str">
        <f>IFERROR(__xludf.DUMMYFUNCTION("SPLIT(C1344,"" "")"),"Wear,")</f>
        <v>Wear,</v>
      </c>
      <c r="E1344" s="22" t="str">
        <f>IFERROR(__xludf.DUMMYFUNCTION("""COMPUTED_VALUE"""),"Tyler
5955")</f>
        <v>Tyler
5955</v>
      </c>
      <c r="F1344" s="22" t="str">
        <f>IFERROR(__xludf.DUMMYFUNCTION("""COMPUTED_VALUE"""),"
Dallas,")</f>
        <v>
Dallas,</v>
      </c>
      <c r="G1344" s="22" t="str">
        <f>IFERROR(__xludf.DUMMYFUNCTION("""COMPUTED_VALUE"""),"TX")</f>
        <v>TX</v>
      </c>
      <c r="H1344" s="22">
        <f>IFERROR(__xludf.DUMMYFUNCTION("""COMPUTED_VALUE"""),75206.0)</f>
        <v>75206</v>
      </c>
      <c r="I1344" s="22"/>
      <c r="J1344" s="22"/>
      <c r="K1344" s="22"/>
      <c r="L1344" s="22"/>
      <c r="M1344" s="22"/>
      <c r="N1344" s="22"/>
      <c r="O1344" s="22"/>
      <c r="P1344" s="22"/>
      <c r="Q1344" s="22"/>
      <c r="R1344" s="22"/>
      <c r="S1344" s="22"/>
      <c r="T1344" s="22"/>
      <c r="U1344" s="24" t="str">
        <f>IFERROR(__xludf.DUMMYFUNCTION("SPLIT(E1344,""01234567890"")"),"Tyler
")</f>
        <v>Tyler
</v>
      </c>
      <c r="V1344" s="24" t="str">
        <f>IFERROR(__xludf.DUMMYFUNCTION("SPLIT(D1344,"","")"),"Wear")</f>
        <v>Wear</v>
      </c>
      <c r="W1344" s="25" t="str">
        <f t="shared" si="1"/>
        <v>TYLER
 WEAR</v>
      </c>
      <c r="X1344" s="22"/>
      <c r="Y1344" s="22"/>
      <c r="Z1344" s="25" t="str">
        <f>IFERROR(__xludf.DUMMYFUNCTION("SPLIT(C1344,""
"")"),"Wear, Tyler")</f>
        <v>Wear, Tyler</v>
      </c>
      <c r="AA1344" s="22">
        <f>IFERROR(__xludf.DUMMYFUNCTION("""COMPUTED_VALUE"""),5955.0)</f>
        <v>5955</v>
      </c>
      <c r="AB1344" s="22" t="str">
        <f>IFERROR(__xludf.DUMMYFUNCTION("""COMPUTED_VALUE"""),"Dallas, TX 75206")</f>
        <v>Dallas, TX 75206</v>
      </c>
      <c r="AC1344" s="31" t="s">
        <v>2885</v>
      </c>
      <c r="AD1344" s="22"/>
      <c r="AE1344" s="22"/>
      <c r="AF1344" s="22"/>
      <c r="AG1344" s="22" t="s">
        <v>60</v>
      </c>
      <c r="AH1344" s="54">
        <v>2500.0</v>
      </c>
      <c r="AI1344" s="22" t="s">
        <v>68</v>
      </c>
      <c r="AJ1344" s="27">
        <v>100.0</v>
      </c>
      <c r="AK1344" s="31" t="s">
        <v>23</v>
      </c>
      <c r="AL1344" s="28">
        <v>44784.0</v>
      </c>
      <c r="AM1344" s="29">
        <v>44941.874814814815</v>
      </c>
      <c r="AN1344" s="30">
        <v>2.0</v>
      </c>
      <c r="AO1344" s="22"/>
      <c r="AP1344" s="22"/>
      <c r="AQ1344" s="22"/>
      <c r="AR1344" s="22"/>
      <c r="AS1344" s="22"/>
      <c r="AT1344" s="70"/>
      <c r="AU1344" s="22"/>
      <c r="AV1344" s="57"/>
      <c r="AW1344" s="57"/>
      <c r="AX1344" s="70"/>
      <c r="AY1344" s="29"/>
      <c r="AZ1344" s="30"/>
      <c r="CU1344" s="55"/>
      <c r="CV1344" s="55"/>
      <c r="CW1344" s="55"/>
      <c r="CX1344" s="55"/>
      <c r="CY1344" s="55"/>
      <c r="CZ1344" s="55"/>
      <c r="DA1344" s="82"/>
      <c r="DB1344" s="55"/>
      <c r="DC1344" s="55"/>
      <c r="DD1344" s="55"/>
      <c r="DE1344" s="55"/>
      <c r="DF1344" s="55"/>
      <c r="DG1344" s="55"/>
      <c r="DH1344" s="55"/>
      <c r="DI1344" s="55"/>
      <c r="DJ1344" s="55"/>
      <c r="DK1344" s="55"/>
      <c r="DL1344" s="55"/>
      <c r="DM1344" s="55"/>
      <c r="DN1344" s="55"/>
      <c r="DO1344" s="55"/>
      <c r="DP1344" s="55"/>
      <c r="DQ1344" s="55"/>
      <c r="DR1344" s="55"/>
      <c r="DS1344" s="55"/>
      <c r="DT1344" s="55"/>
      <c r="DU1344" s="55"/>
      <c r="DV1344" s="55"/>
      <c r="DW1344" s="55"/>
    </row>
    <row r="1345">
      <c r="A1345" s="40" t="s">
        <v>55</v>
      </c>
      <c r="B1345" s="41" t="s">
        <v>56</v>
      </c>
      <c r="C1345" s="31" t="s">
        <v>2886</v>
      </c>
      <c r="D1345" s="25" t="str">
        <f>IFERROR(__xludf.DUMMYFUNCTION("SPLIT(C1345,"" "")"),"Melton,")</f>
        <v>Melton,</v>
      </c>
      <c r="E1345" s="40" t="str">
        <f>IFERROR(__xludf.DUMMYFUNCTION("""COMPUTED_VALUE"""),"Lauren
2921")</f>
        <v>Lauren
2921</v>
      </c>
      <c r="F1345" s="40" t="str">
        <f>IFERROR(__xludf.DUMMYFUNCTION("""COMPUTED_VALUE"""),"
Dallas,")</f>
        <v>
Dallas,</v>
      </c>
      <c r="G1345" s="40" t="str">
        <f>IFERROR(__xludf.DUMMYFUNCTION("""COMPUTED_VALUE"""),"TX")</f>
        <v>TX</v>
      </c>
      <c r="H1345" s="40">
        <f>IFERROR(__xludf.DUMMYFUNCTION("""COMPUTED_VALUE"""),75228.0)</f>
        <v>75228</v>
      </c>
      <c r="I1345" s="40"/>
      <c r="J1345" s="40"/>
      <c r="K1345" s="40"/>
      <c r="L1345" s="40"/>
      <c r="M1345" s="40"/>
      <c r="N1345" s="40"/>
      <c r="O1345" s="40"/>
      <c r="P1345" s="40"/>
      <c r="Q1345" s="40"/>
      <c r="R1345" s="40"/>
      <c r="S1345" s="40"/>
      <c r="T1345" s="40"/>
      <c r="U1345" s="24" t="str">
        <f>IFERROR(__xludf.DUMMYFUNCTION("SPLIT(E1345,""01234567890"")"),"Lauren
")</f>
        <v>Lauren
</v>
      </c>
      <c r="V1345" s="24" t="str">
        <f>IFERROR(__xludf.DUMMYFUNCTION("SPLIT(D1345,"","")"),"Melton")</f>
        <v>Melton</v>
      </c>
      <c r="W1345" s="25" t="str">
        <f t="shared" si="1"/>
        <v>LAUREN
 MELTON</v>
      </c>
      <c r="X1345" s="40"/>
      <c r="Y1345" s="40"/>
      <c r="Z1345" s="25" t="str">
        <f>IFERROR(__xludf.DUMMYFUNCTION("SPLIT(C1345,""
"")"),"Melton, Lauren")</f>
        <v>Melton, Lauren</v>
      </c>
      <c r="AA1345" s="40">
        <f>IFERROR(__xludf.DUMMYFUNCTION("""COMPUTED_VALUE"""),2921.0)</f>
        <v>2921</v>
      </c>
      <c r="AB1345" s="40" t="str">
        <f>IFERROR(__xludf.DUMMYFUNCTION("""COMPUTED_VALUE"""),"Dallas, TX 75228")</f>
        <v>Dallas, TX 75228</v>
      </c>
      <c r="AC1345" s="31" t="s">
        <v>2887</v>
      </c>
      <c r="AD1345" s="40"/>
      <c r="AE1345" s="40"/>
      <c r="AF1345" s="40"/>
      <c r="AG1345" s="40" t="s">
        <v>60</v>
      </c>
      <c r="AH1345" s="42">
        <v>2500.0</v>
      </c>
      <c r="AI1345" s="40" t="s">
        <v>68</v>
      </c>
      <c r="AJ1345" s="27">
        <v>1000.0</v>
      </c>
      <c r="AK1345" s="31" t="s">
        <v>23</v>
      </c>
      <c r="AL1345" s="43">
        <v>44784.0</v>
      </c>
      <c r="AM1345" s="44">
        <v>44941.874814814815</v>
      </c>
      <c r="AN1345" s="30">
        <v>2.0</v>
      </c>
      <c r="AO1345" s="40"/>
      <c r="AP1345" s="40"/>
      <c r="AQ1345" s="40"/>
      <c r="AR1345" s="40"/>
      <c r="AS1345" s="40"/>
      <c r="AT1345" s="47"/>
      <c r="AU1345" s="40"/>
      <c r="AV1345" s="46"/>
      <c r="AW1345" s="46"/>
      <c r="AX1345" s="47"/>
      <c r="AY1345" s="44"/>
      <c r="AZ1345" s="30"/>
      <c r="CU1345" s="55"/>
      <c r="CV1345" s="55"/>
      <c r="CW1345" s="55"/>
      <c r="CX1345" s="55"/>
      <c r="CY1345" s="55"/>
      <c r="CZ1345" s="55"/>
      <c r="DA1345" s="82"/>
      <c r="DB1345" s="55"/>
      <c r="DC1345" s="55"/>
      <c r="DD1345" s="55"/>
      <c r="DE1345" s="55"/>
      <c r="DF1345" s="55"/>
      <c r="DG1345" s="55"/>
      <c r="DH1345" s="55"/>
      <c r="DI1345" s="55"/>
      <c r="DJ1345" s="55"/>
      <c r="DK1345" s="55"/>
      <c r="DL1345" s="55"/>
      <c r="DM1345" s="55"/>
      <c r="DN1345" s="55"/>
      <c r="DO1345" s="55"/>
      <c r="DP1345" s="55"/>
      <c r="DQ1345" s="55"/>
      <c r="DR1345" s="55"/>
      <c r="DS1345" s="55"/>
      <c r="DT1345" s="55"/>
      <c r="DU1345" s="55"/>
      <c r="DV1345" s="55"/>
      <c r="DW1345" s="55"/>
    </row>
    <row r="1346">
      <c r="A1346" s="23" t="s">
        <v>64</v>
      </c>
      <c r="B1346" s="23" t="s">
        <v>56</v>
      </c>
      <c r="C1346" s="31" t="s">
        <v>2888</v>
      </c>
      <c r="D1346" s="25" t="str">
        <f>IFERROR(__xludf.DUMMYFUNCTION("SPLIT(C1346,"" "")"),"Melton,")</f>
        <v>Melton,</v>
      </c>
      <c r="E1346" s="22" t="str">
        <f>IFERROR(__xludf.DUMMYFUNCTION("""COMPUTED_VALUE"""),"Mark
2921")</f>
        <v>Mark
2921</v>
      </c>
      <c r="F1346" s="22" t="str">
        <f>IFERROR(__xludf.DUMMYFUNCTION("""COMPUTED_VALUE"""),"
Dallas,")</f>
        <v>
Dallas,</v>
      </c>
      <c r="G1346" s="22" t="str">
        <f>IFERROR(__xludf.DUMMYFUNCTION("""COMPUTED_VALUE"""),"TX")</f>
        <v>TX</v>
      </c>
      <c r="H1346" s="22">
        <f>IFERROR(__xludf.DUMMYFUNCTION("""COMPUTED_VALUE"""),75228.0)</f>
        <v>75228</v>
      </c>
      <c r="I1346" s="22"/>
      <c r="J1346" s="22"/>
      <c r="K1346" s="22"/>
      <c r="L1346" s="22"/>
      <c r="M1346" s="22"/>
      <c r="N1346" s="22"/>
      <c r="O1346" s="22"/>
      <c r="P1346" s="22"/>
      <c r="Q1346" s="22"/>
      <c r="R1346" s="22"/>
      <c r="S1346" s="22"/>
      <c r="T1346" s="22"/>
      <c r="U1346" s="24" t="str">
        <f>IFERROR(__xludf.DUMMYFUNCTION("SPLIT(E1346,""01234567890"")"),"Mark
")</f>
        <v>Mark
</v>
      </c>
      <c r="V1346" s="24" t="str">
        <f>IFERROR(__xludf.DUMMYFUNCTION("SPLIT(D1346,"","")"),"Melton")</f>
        <v>Melton</v>
      </c>
      <c r="W1346" s="25" t="str">
        <f t="shared" si="1"/>
        <v>MARK
 MELTON</v>
      </c>
      <c r="X1346" s="22"/>
      <c r="Y1346" s="22"/>
      <c r="Z1346" s="25" t="str">
        <f>IFERROR(__xludf.DUMMYFUNCTION("SPLIT(C1346,""
"")"),"Melton, Mark")</f>
        <v>Melton, Mark</v>
      </c>
      <c r="AA1346" s="22">
        <f>IFERROR(__xludf.DUMMYFUNCTION("""COMPUTED_VALUE"""),2921.0)</f>
        <v>2921</v>
      </c>
      <c r="AB1346" s="22" t="str">
        <f>IFERROR(__xludf.DUMMYFUNCTION("""COMPUTED_VALUE"""),"Dallas, TX 75228")</f>
        <v>Dallas, TX 75228</v>
      </c>
      <c r="AC1346" s="31" t="s">
        <v>2889</v>
      </c>
      <c r="AD1346" s="22"/>
      <c r="AE1346" s="22"/>
      <c r="AF1346" s="22"/>
      <c r="AG1346" s="22" t="s">
        <v>60</v>
      </c>
      <c r="AH1346" s="54">
        <v>2500.0</v>
      </c>
      <c r="AI1346" s="22" t="s">
        <v>68</v>
      </c>
      <c r="AJ1346" s="27">
        <v>1000.0</v>
      </c>
      <c r="AK1346" s="31" t="s">
        <v>23</v>
      </c>
      <c r="AL1346" s="28">
        <v>44784.0</v>
      </c>
      <c r="AM1346" s="29">
        <v>44941.874814814815</v>
      </c>
      <c r="AN1346" s="30">
        <v>2.0</v>
      </c>
      <c r="AO1346" s="22"/>
      <c r="AP1346" s="22"/>
      <c r="AQ1346" s="22"/>
      <c r="AR1346" s="22"/>
      <c r="AS1346" s="22"/>
      <c r="AT1346" s="70"/>
      <c r="AU1346" s="22"/>
      <c r="AV1346" s="57"/>
      <c r="AW1346" s="57"/>
      <c r="AX1346" s="70"/>
      <c r="AY1346" s="29"/>
      <c r="AZ1346" s="30"/>
      <c r="CU1346" s="55"/>
      <c r="CV1346" s="55"/>
      <c r="CW1346" s="55"/>
      <c r="CX1346" s="55"/>
      <c r="CY1346" s="55"/>
      <c r="CZ1346" s="55"/>
      <c r="DA1346" s="82"/>
      <c r="DB1346" s="55"/>
      <c r="DC1346" s="55"/>
      <c r="DD1346" s="55"/>
      <c r="DE1346" s="55"/>
      <c r="DF1346" s="55"/>
      <c r="DG1346" s="55"/>
      <c r="DH1346" s="55"/>
      <c r="DI1346" s="55"/>
      <c r="DJ1346" s="55"/>
      <c r="DK1346" s="55"/>
      <c r="DL1346" s="55"/>
      <c r="DM1346" s="55"/>
      <c r="DN1346" s="55"/>
      <c r="DO1346" s="55"/>
      <c r="DP1346" s="55"/>
      <c r="DQ1346" s="55"/>
      <c r="DR1346" s="55"/>
      <c r="DS1346" s="55"/>
      <c r="DT1346" s="55"/>
      <c r="DU1346" s="55"/>
      <c r="DV1346" s="55"/>
      <c r="DW1346" s="55"/>
    </row>
    <row r="1347">
      <c r="A1347" s="40" t="s">
        <v>55</v>
      </c>
      <c r="B1347" s="41" t="s">
        <v>56</v>
      </c>
      <c r="C1347" s="31" t="s">
        <v>2890</v>
      </c>
      <c r="D1347" s="25" t="str">
        <f>IFERROR(__xludf.DUMMYFUNCTION("SPLIT(C1347,"" "")"),"Leal,")</f>
        <v>Leal,</v>
      </c>
      <c r="E1347" s="40" t="str">
        <f>IFERROR(__xludf.DUMMYFUNCTION("""COMPUTED_VALUE"""),"Chris
1777")</f>
        <v>Chris
1777</v>
      </c>
      <c r="F1347" s="40" t="str">
        <f>IFERROR(__xludf.DUMMYFUNCTION("""COMPUTED_VALUE"""),"
Dallas,")</f>
        <v>
Dallas,</v>
      </c>
      <c r="G1347" s="40" t="str">
        <f>IFERROR(__xludf.DUMMYFUNCTION("""COMPUTED_VALUE"""),"TX")</f>
        <v>TX</v>
      </c>
      <c r="H1347" s="40">
        <f>IFERROR(__xludf.DUMMYFUNCTION("""COMPUTED_VALUE"""),75202.0)</f>
        <v>75202</v>
      </c>
      <c r="I1347" s="40"/>
      <c r="J1347" s="40"/>
      <c r="K1347" s="40"/>
      <c r="L1347" s="40"/>
      <c r="M1347" s="40"/>
      <c r="N1347" s="40"/>
      <c r="O1347" s="40"/>
      <c r="P1347" s="40"/>
      <c r="Q1347" s="40"/>
      <c r="R1347" s="40"/>
      <c r="S1347" s="40"/>
      <c r="T1347" s="40"/>
      <c r="U1347" s="24" t="str">
        <f>IFERROR(__xludf.DUMMYFUNCTION("SPLIT(E1347,""01234567890"")"),"Chris
")</f>
        <v>Chris
</v>
      </c>
      <c r="V1347" s="24" t="str">
        <f>IFERROR(__xludf.DUMMYFUNCTION("SPLIT(D1347,"","")"),"Leal")</f>
        <v>Leal</v>
      </c>
      <c r="W1347" s="25" t="str">
        <f t="shared" si="1"/>
        <v>CHRIS
 LEAL</v>
      </c>
      <c r="X1347" s="40"/>
      <c r="Y1347" s="40"/>
      <c r="Z1347" s="25" t="str">
        <f>IFERROR(__xludf.DUMMYFUNCTION("SPLIT(C1347,""
"")"),"Leal, Chris")</f>
        <v>Leal, Chris</v>
      </c>
      <c r="AA1347" s="40">
        <f>IFERROR(__xludf.DUMMYFUNCTION("""COMPUTED_VALUE"""),1777.0)</f>
        <v>1777</v>
      </c>
      <c r="AB1347" s="40" t="str">
        <f>IFERROR(__xludf.DUMMYFUNCTION("""COMPUTED_VALUE"""),"Dallas, TX 75202")</f>
        <v>Dallas, TX 75202</v>
      </c>
      <c r="AC1347" s="31" t="s">
        <v>1748</v>
      </c>
      <c r="AD1347" s="40"/>
      <c r="AE1347" s="40"/>
      <c r="AF1347" s="40"/>
      <c r="AG1347" s="40" t="s">
        <v>60</v>
      </c>
      <c r="AH1347" s="42">
        <v>2500.0</v>
      </c>
      <c r="AI1347" s="40" t="s">
        <v>68</v>
      </c>
      <c r="AJ1347" s="27">
        <v>100.0</v>
      </c>
      <c r="AK1347" s="31" t="s">
        <v>23</v>
      </c>
      <c r="AL1347" s="43">
        <v>44784.0</v>
      </c>
      <c r="AM1347" s="44">
        <v>44941.874814814815</v>
      </c>
      <c r="AN1347" s="30">
        <v>2.0</v>
      </c>
      <c r="AO1347" s="40"/>
      <c r="AP1347" s="40"/>
      <c r="AQ1347" s="40"/>
      <c r="AR1347" s="40"/>
      <c r="AS1347" s="40"/>
      <c r="AT1347" s="47"/>
      <c r="AU1347" s="40"/>
      <c r="AV1347" s="46"/>
      <c r="AW1347" s="46"/>
      <c r="AX1347" s="47"/>
      <c r="AY1347" s="44"/>
      <c r="AZ1347" s="30"/>
      <c r="CU1347" s="55"/>
      <c r="CV1347" s="55"/>
      <c r="CW1347" s="55"/>
      <c r="CX1347" s="55"/>
      <c r="CY1347" s="55"/>
      <c r="CZ1347" s="55"/>
      <c r="DA1347" s="82"/>
      <c r="DB1347" s="55"/>
      <c r="DC1347" s="55"/>
      <c r="DD1347" s="55"/>
      <c r="DE1347" s="55"/>
      <c r="DF1347" s="55"/>
      <c r="DG1347" s="55"/>
      <c r="DH1347" s="55"/>
      <c r="DI1347" s="55"/>
      <c r="DJ1347" s="55"/>
      <c r="DK1347" s="55"/>
      <c r="DL1347" s="55"/>
      <c r="DM1347" s="55"/>
      <c r="DN1347" s="55"/>
      <c r="DO1347" s="55"/>
      <c r="DP1347" s="55"/>
      <c r="DQ1347" s="55"/>
      <c r="DR1347" s="55"/>
      <c r="DS1347" s="55"/>
      <c r="DT1347" s="55"/>
      <c r="DU1347" s="55"/>
      <c r="DV1347" s="55"/>
      <c r="DW1347" s="55"/>
    </row>
    <row r="1348">
      <c r="A1348" s="23" t="s">
        <v>64</v>
      </c>
      <c r="B1348" s="23" t="s">
        <v>56</v>
      </c>
      <c r="C1348" s="31" t="s">
        <v>2891</v>
      </c>
      <c r="D1348" s="25" t="str">
        <f>IFERROR(__xludf.DUMMYFUNCTION("SPLIT(C1348,"" "")"),"Matthews,")</f>
        <v>Matthews,</v>
      </c>
      <c r="E1348" s="22" t="str">
        <f>IFERROR(__xludf.DUMMYFUNCTION("""COMPUTED_VALUE"""),"Jack
320")</f>
        <v>Jack
320</v>
      </c>
      <c r="F1348" s="22" t="str">
        <f>IFERROR(__xludf.DUMMYFUNCTION("""COMPUTED_VALUE"""),"
Lewisville,")</f>
        <v>
Lewisville,</v>
      </c>
      <c r="G1348" s="22" t="str">
        <f>IFERROR(__xludf.DUMMYFUNCTION("""COMPUTED_VALUE"""),"TX")</f>
        <v>TX</v>
      </c>
      <c r="H1348" s="22">
        <f>IFERROR(__xludf.DUMMYFUNCTION("""COMPUTED_VALUE"""),75057.0)</f>
        <v>75057</v>
      </c>
      <c r="I1348" s="22"/>
      <c r="J1348" s="22"/>
      <c r="K1348" s="22"/>
      <c r="L1348" s="22"/>
      <c r="M1348" s="22"/>
      <c r="N1348" s="22"/>
      <c r="O1348" s="22"/>
      <c r="P1348" s="22"/>
      <c r="Q1348" s="22"/>
      <c r="R1348" s="22"/>
      <c r="S1348" s="22"/>
      <c r="T1348" s="22"/>
      <c r="U1348" s="24" t="str">
        <f>IFERROR(__xludf.DUMMYFUNCTION("SPLIT(E1348,""01234567890"")"),"Jack
")</f>
        <v>Jack
</v>
      </c>
      <c r="V1348" s="24" t="str">
        <f>IFERROR(__xludf.DUMMYFUNCTION("SPLIT(D1348,"","")"),"Matthews")</f>
        <v>Matthews</v>
      </c>
      <c r="W1348" s="25" t="str">
        <f t="shared" si="1"/>
        <v>JACK
 MATTHEWS</v>
      </c>
      <c r="X1348" s="22"/>
      <c r="Y1348" s="22"/>
      <c r="Z1348" s="25" t="str">
        <f>IFERROR(__xludf.DUMMYFUNCTION("SPLIT(C1348,""
"")"),"Matthews, Jack")</f>
        <v>Matthews, Jack</v>
      </c>
      <c r="AA1348" s="22">
        <f>IFERROR(__xludf.DUMMYFUNCTION("""COMPUTED_VALUE"""),320.0)</f>
        <v>320</v>
      </c>
      <c r="AB1348" s="22" t="str">
        <f>IFERROR(__xludf.DUMMYFUNCTION("""COMPUTED_VALUE"""),"Lewisville, TX 75057")</f>
        <v>Lewisville, TX 75057</v>
      </c>
      <c r="AC1348" s="31" t="s">
        <v>2348</v>
      </c>
      <c r="AD1348" s="22"/>
      <c r="AE1348" s="22"/>
      <c r="AF1348" s="22"/>
      <c r="AG1348" s="22" t="s">
        <v>60</v>
      </c>
      <c r="AH1348" s="54">
        <v>2500.0</v>
      </c>
      <c r="AI1348" s="22" t="s">
        <v>68</v>
      </c>
      <c r="AJ1348" s="27">
        <v>1000.0</v>
      </c>
      <c r="AK1348" s="31" t="s">
        <v>23</v>
      </c>
      <c r="AL1348" s="28">
        <v>44785.0</v>
      </c>
      <c r="AM1348" s="29">
        <v>44941.874814814815</v>
      </c>
      <c r="AN1348" s="30">
        <v>2.0</v>
      </c>
      <c r="AO1348" s="22"/>
      <c r="AP1348" s="22"/>
      <c r="AQ1348" s="22"/>
      <c r="AR1348" s="22"/>
      <c r="AS1348" s="22"/>
      <c r="AT1348" s="70"/>
      <c r="AU1348" s="22"/>
      <c r="AV1348" s="57"/>
      <c r="AW1348" s="57"/>
      <c r="AX1348" s="70"/>
      <c r="AY1348" s="29"/>
      <c r="AZ1348" s="30"/>
      <c r="CU1348" s="55"/>
      <c r="CV1348" s="55"/>
      <c r="CW1348" s="55"/>
      <c r="CX1348" s="55"/>
      <c r="CY1348" s="55"/>
      <c r="CZ1348" s="55"/>
      <c r="DA1348" s="82"/>
      <c r="DB1348" s="55"/>
      <c r="DC1348" s="55"/>
      <c r="DD1348" s="55"/>
      <c r="DE1348" s="55"/>
      <c r="DF1348" s="55"/>
      <c r="DG1348" s="55"/>
      <c r="DH1348" s="55"/>
      <c r="DI1348" s="55"/>
      <c r="DJ1348" s="55"/>
      <c r="DK1348" s="55"/>
      <c r="DL1348" s="55"/>
      <c r="DM1348" s="55"/>
      <c r="DN1348" s="55"/>
      <c r="DO1348" s="55"/>
      <c r="DP1348" s="55"/>
      <c r="DQ1348" s="55"/>
      <c r="DR1348" s="55"/>
      <c r="DS1348" s="55"/>
      <c r="DT1348" s="55"/>
      <c r="DU1348" s="55"/>
      <c r="DV1348" s="55"/>
      <c r="DW1348" s="55"/>
    </row>
    <row r="1349">
      <c r="A1349" s="40" t="s">
        <v>55</v>
      </c>
      <c r="B1349" s="41" t="s">
        <v>56</v>
      </c>
      <c r="C1349" s="31" t="s">
        <v>2892</v>
      </c>
      <c r="D1349" s="25" t="str">
        <f>IFERROR(__xludf.DUMMYFUNCTION("SPLIT(C1349,"" "")"),"Crockett,")</f>
        <v>Crockett,</v>
      </c>
      <c r="E1349" s="40" t="str">
        <f>IFERROR(__xludf.DUMMYFUNCTION("""COMPUTED_VALUE"""),"Jasmine
PO")</f>
        <v>Jasmine
PO</v>
      </c>
      <c r="F1349" s="40" t="str">
        <f>IFERROR(__xludf.DUMMYFUNCTION("""COMPUTED_VALUE"""),"Box")</f>
        <v>Box</v>
      </c>
      <c r="G1349" s="40" t="str">
        <f>IFERROR(__xludf.DUMMYFUNCTION("""COMPUTED_VALUE"""),"227235
Dallas,")</f>
        <v>227235
Dallas,</v>
      </c>
      <c r="H1349" s="40" t="str">
        <f>IFERROR(__xludf.DUMMYFUNCTION("""COMPUTED_VALUE"""),"TX")</f>
        <v>TX</v>
      </c>
      <c r="I1349" s="40">
        <f>IFERROR(__xludf.DUMMYFUNCTION("""COMPUTED_VALUE"""),75222.0)</f>
        <v>75222</v>
      </c>
      <c r="J1349" s="40"/>
      <c r="K1349" s="40"/>
      <c r="L1349" s="40"/>
      <c r="M1349" s="40"/>
      <c r="N1349" s="40"/>
      <c r="O1349" s="40"/>
      <c r="P1349" s="40"/>
      <c r="Q1349" s="40"/>
      <c r="R1349" s="40"/>
      <c r="S1349" s="40"/>
      <c r="T1349" s="40"/>
      <c r="U1349" s="24" t="str">
        <f>IFERROR(__xludf.DUMMYFUNCTION("SPLIT(E1349,""01234567890"")"),"Jasmine
PO")</f>
        <v>Jasmine
PO</v>
      </c>
      <c r="V1349" s="24" t="str">
        <f>IFERROR(__xludf.DUMMYFUNCTION("SPLIT(D1349,"","")"),"Crockett")</f>
        <v>Crockett</v>
      </c>
      <c r="W1349" s="25" t="str">
        <f t="shared" si="1"/>
        <v>JASMINE
PO CROCKETT</v>
      </c>
      <c r="X1349" s="40"/>
      <c r="Y1349" s="40"/>
      <c r="Z1349" s="25" t="str">
        <f>IFERROR(__xludf.DUMMYFUNCTION("SPLIT(C1349,""
"")"),"Crockett, Jasmine")</f>
        <v>Crockett, Jasmine</v>
      </c>
      <c r="AA1349" s="40" t="str">
        <f>IFERROR(__xludf.DUMMYFUNCTION("""COMPUTED_VALUE"""),"PO Box 227235")</f>
        <v>PO Box 227235</v>
      </c>
      <c r="AB1349" s="40" t="str">
        <f>IFERROR(__xludf.DUMMYFUNCTION("""COMPUTED_VALUE"""),"Dallas, TX 75222")</f>
        <v>Dallas, TX 75222</v>
      </c>
      <c r="AC1349" s="31" t="s">
        <v>2893</v>
      </c>
      <c r="AD1349" s="40"/>
      <c r="AE1349" s="40"/>
      <c r="AF1349" s="40"/>
      <c r="AG1349" s="40" t="s">
        <v>60</v>
      </c>
      <c r="AH1349" s="42">
        <v>2500.0</v>
      </c>
      <c r="AI1349" s="40" t="s">
        <v>68</v>
      </c>
      <c r="AJ1349" s="27">
        <v>500.0</v>
      </c>
      <c r="AK1349" s="31" t="s">
        <v>23</v>
      </c>
      <c r="AL1349" s="43">
        <v>44788.0</v>
      </c>
      <c r="AM1349" s="44">
        <v>44941.874814814815</v>
      </c>
      <c r="AN1349" s="30">
        <v>2.0</v>
      </c>
      <c r="AO1349" s="40"/>
      <c r="AP1349" s="40"/>
      <c r="AQ1349" s="40"/>
      <c r="AR1349" s="40"/>
      <c r="AS1349" s="40"/>
      <c r="AT1349" s="47"/>
      <c r="AU1349" s="40"/>
      <c r="AV1349" s="46"/>
      <c r="AW1349" s="46"/>
      <c r="AX1349" s="47"/>
      <c r="AY1349" s="44"/>
      <c r="AZ1349" s="30"/>
      <c r="CU1349" s="55"/>
      <c r="CV1349" s="55"/>
      <c r="CW1349" s="55"/>
      <c r="CX1349" s="55"/>
      <c r="CY1349" s="55"/>
      <c r="CZ1349" s="55"/>
      <c r="DA1349" s="82"/>
      <c r="DB1349" s="55"/>
      <c r="DC1349" s="55"/>
      <c r="DD1349" s="55"/>
      <c r="DE1349" s="55"/>
      <c r="DF1349" s="55"/>
      <c r="DG1349" s="55"/>
      <c r="DH1349" s="55"/>
      <c r="DI1349" s="55"/>
      <c r="DJ1349" s="55"/>
      <c r="DK1349" s="55"/>
      <c r="DL1349" s="55"/>
      <c r="DM1349" s="55"/>
      <c r="DN1349" s="55"/>
      <c r="DO1349" s="55"/>
      <c r="DP1349" s="55"/>
      <c r="DQ1349" s="55"/>
      <c r="DR1349" s="55"/>
      <c r="DS1349" s="55"/>
      <c r="DT1349" s="55"/>
      <c r="DU1349" s="55"/>
      <c r="DV1349" s="55"/>
      <c r="DW1349" s="55"/>
    </row>
    <row r="1350">
      <c r="A1350" s="23" t="s">
        <v>64</v>
      </c>
      <c r="B1350" s="23" t="s">
        <v>56</v>
      </c>
      <c r="C1350" s="31" t="s">
        <v>2894</v>
      </c>
      <c r="D1350" s="25" t="str">
        <f>IFERROR(__xludf.DUMMYFUNCTION("SPLIT(C1350,"" "")"),"McBee,")</f>
        <v>McBee,</v>
      </c>
      <c r="E1350" s="22" t="str">
        <f>IFERROR(__xludf.DUMMYFUNCTION("""COMPUTED_VALUE"""),"Lynn
3925")</f>
        <v>Lynn
3925</v>
      </c>
      <c r="F1350" s="22" t="str">
        <f>IFERROR(__xludf.DUMMYFUNCTION("""COMPUTED_VALUE"""),"
Dallas,")</f>
        <v>
Dallas,</v>
      </c>
      <c r="G1350" s="22" t="str">
        <f>IFERROR(__xludf.DUMMYFUNCTION("""COMPUTED_VALUE"""),"TX")</f>
        <v>TX</v>
      </c>
      <c r="H1350" s="22">
        <f>IFERROR(__xludf.DUMMYFUNCTION("""COMPUTED_VALUE"""),75204.0)</f>
        <v>75204</v>
      </c>
      <c r="I1350" s="22"/>
      <c r="J1350" s="22"/>
      <c r="K1350" s="22"/>
      <c r="L1350" s="22"/>
      <c r="M1350" s="22"/>
      <c r="N1350" s="22"/>
      <c r="O1350" s="22"/>
      <c r="P1350" s="22"/>
      <c r="Q1350" s="22"/>
      <c r="R1350" s="22"/>
      <c r="S1350" s="22"/>
      <c r="T1350" s="22"/>
      <c r="U1350" s="24" t="str">
        <f>IFERROR(__xludf.DUMMYFUNCTION("SPLIT(E1350,""01234567890"")"),"Lynn
")</f>
        <v>Lynn
</v>
      </c>
      <c r="V1350" s="24" t="str">
        <f>IFERROR(__xludf.DUMMYFUNCTION("SPLIT(D1350,"","")"),"McBee")</f>
        <v>McBee</v>
      </c>
      <c r="W1350" s="25" t="str">
        <f t="shared" si="1"/>
        <v>LYNN
 MCBEE</v>
      </c>
      <c r="X1350" s="22"/>
      <c r="Y1350" s="22"/>
      <c r="Z1350" s="25" t="str">
        <f>IFERROR(__xludf.DUMMYFUNCTION("SPLIT(C1350,""
"")"),"McBee, Lynn")</f>
        <v>McBee, Lynn</v>
      </c>
      <c r="AA1350" s="22">
        <f>IFERROR(__xludf.DUMMYFUNCTION("""COMPUTED_VALUE"""),3925.0)</f>
        <v>3925</v>
      </c>
      <c r="AB1350" s="22" t="str">
        <f>IFERROR(__xludf.DUMMYFUNCTION("""COMPUTED_VALUE"""),"Dallas, TX 75204")</f>
        <v>Dallas, TX 75204</v>
      </c>
      <c r="AC1350" s="31" t="s">
        <v>1049</v>
      </c>
      <c r="AD1350" s="22"/>
      <c r="AE1350" s="22"/>
      <c r="AF1350" s="22"/>
      <c r="AG1350" s="22" t="s">
        <v>60</v>
      </c>
      <c r="AH1350" s="54">
        <v>2500.0</v>
      </c>
      <c r="AI1350" s="22" t="s">
        <v>68</v>
      </c>
      <c r="AJ1350" s="27">
        <v>150.0</v>
      </c>
      <c r="AK1350" s="31" t="s">
        <v>23</v>
      </c>
      <c r="AL1350" s="28">
        <v>44790.0</v>
      </c>
      <c r="AM1350" s="29">
        <v>44941.874814814815</v>
      </c>
      <c r="AN1350" s="30">
        <v>2.0</v>
      </c>
      <c r="AO1350" s="22"/>
      <c r="AP1350" s="22"/>
      <c r="AQ1350" s="22"/>
      <c r="AR1350" s="22"/>
      <c r="AS1350" s="22"/>
      <c r="AT1350" s="70"/>
      <c r="AU1350" s="22"/>
      <c r="AV1350" s="57"/>
      <c r="AW1350" s="57"/>
      <c r="AX1350" s="70"/>
      <c r="AY1350" s="29"/>
      <c r="AZ1350" s="30"/>
      <c r="CU1350" s="55"/>
      <c r="CV1350" s="55"/>
      <c r="CW1350" s="55"/>
      <c r="CX1350" s="55"/>
      <c r="CY1350" s="55"/>
      <c r="CZ1350" s="55"/>
      <c r="DA1350" s="82"/>
      <c r="DB1350" s="55"/>
      <c r="DC1350" s="55"/>
      <c r="DD1350" s="55"/>
      <c r="DE1350" s="55"/>
      <c r="DF1350" s="55"/>
      <c r="DG1350" s="55"/>
      <c r="DH1350" s="55"/>
      <c r="DI1350" s="55"/>
      <c r="DJ1350" s="55"/>
      <c r="DK1350" s="55"/>
      <c r="DL1350" s="55"/>
      <c r="DM1350" s="55"/>
      <c r="DN1350" s="55"/>
      <c r="DO1350" s="55"/>
      <c r="DP1350" s="55"/>
      <c r="DQ1350" s="55"/>
      <c r="DR1350" s="55"/>
      <c r="DS1350" s="55"/>
      <c r="DT1350" s="55"/>
      <c r="DU1350" s="55"/>
      <c r="DV1350" s="55"/>
      <c r="DW1350" s="55"/>
    </row>
    <row r="1351">
      <c r="A1351" s="40" t="s">
        <v>55</v>
      </c>
      <c r="B1351" s="41" t="s">
        <v>56</v>
      </c>
      <c r="C1351" s="31" t="s">
        <v>2895</v>
      </c>
      <c r="D1351" s="25" t="str">
        <f>IFERROR(__xludf.DUMMYFUNCTION("SPLIT(C1351,"" "")"),"Sanders,")</f>
        <v>Sanders,</v>
      </c>
      <c r="E1351" s="40" t="str">
        <f>IFERROR(__xludf.DUMMYFUNCTION("""COMPUTED_VALUE"""),"Tricia
4930")</f>
        <v>Tricia
4930</v>
      </c>
      <c r="F1351" s="40" t="str">
        <f>IFERROR(__xludf.DUMMYFUNCTION("""COMPUTED_VALUE"""),"
Garland,")</f>
        <v>
Garland,</v>
      </c>
      <c r="G1351" s="40" t="str">
        <f>IFERROR(__xludf.DUMMYFUNCTION("""COMPUTED_VALUE"""),"TX")</f>
        <v>TX</v>
      </c>
      <c r="H1351" s="40">
        <f>IFERROR(__xludf.DUMMYFUNCTION("""COMPUTED_VALUE"""),75044.0)</f>
        <v>75044</v>
      </c>
      <c r="I1351" s="40"/>
      <c r="J1351" s="40"/>
      <c r="K1351" s="40"/>
      <c r="L1351" s="40"/>
      <c r="M1351" s="40"/>
      <c r="N1351" s="40"/>
      <c r="O1351" s="40"/>
      <c r="P1351" s="40"/>
      <c r="Q1351" s="40"/>
      <c r="R1351" s="40"/>
      <c r="S1351" s="40"/>
      <c r="T1351" s="40"/>
      <c r="U1351" s="24" t="str">
        <f>IFERROR(__xludf.DUMMYFUNCTION("SPLIT(E1351,""01234567890"")"),"Tricia
")</f>
        <v>Tricia
</v>
      </c>
      <c r="V1351" s="24" t="str">
        <f>IFERROR(__xludf.DUMMYFUNCTION("SPLIT(D1351,"","")"),"Sanders")</f>
        <v>Sanders</v>
      </c>
      <c r="W1351" s="25" t="str">
        <f t="shared" si="1"/>
        <v>TRICIA
 SANDERS</v>
      </c>
      <c r="X1351" s="40"/>
      <c r="Y1351" s="40"/>
      <c r="Z1351" s="25" t="str">
        <f>IFERROR(__xludf.DUMMYFUNCTION("SPLIT(C1351,""
"")"),"Sanders, Tricia")</f>
        <v>Sanders, Tricia</v>
      </c>
      <c r="AA1351" s="40">
        <f>IFERROR(__xludf.DUMMYFUNCTION("""COMPUTED_VALUE"""),4930.0)</f>
        <v>4930</v>
      </c>
      <c r="AB1351" s="40" t="str">
        <f>IFERROR(__xludf.DUMMYFUNCTION("""COMPUTED_VALUE"""),"Garland, TX 75044")</f>
        <v>Garland, TX 75044</v>
      </c>
      <c r="AC1351" s="31" t="s">
        <v>2896</v>
      </c>
      <c r="AD1351" s="40"/>
      <c r="AE1351" s="40"/>
      <c r="AF1351" s="40"/>
      <c r="AG1351" s="40" t="s">
        <v>60</v>
      </c>
      <c r="AH1351" s="42">
        <v>2500.0</v>
      </c>
      <c r="AI1351" s="40" t="s">
        <v>68</v>
      </c>
      <c r="AJ1351" s="27">
        <v>100.0</v>
      </c>
      <c r="AK1351" s="31" t="s">
        <v>23</v>
      </c>
      <c r="AL1351" s="43">
        <v>44791.0</v>
      </c>
      <c r="AM1351" s="44">
        <v>44941.874814814815</v>
      </c>
      <c r="AN1351" s="30">
        <v>2.0</v>
      </c>
      <c r="AO1351" s="40"/>
      <c r="AP1351" s="40"/>
      <c r="AQ1351" s="40"/>
      <c r="AR1351" s="40"/>
      <c r="AS1351" s="40"/>
      <c r="AT1351" s="47"/>
      <c r="AU1351" s="40"/>
      <c r="AV1351" s="46"/>
      <c r="AW1351" s="46"/>
      <c r="AX1351" s="47"/>
      <c r="AY1351" s="44"/>
      <c r="AZ1351" s="30"/>
      <c r="CU1351" s="55"/>
      <c r="CV1351" s="55"/>
      <c r="CW1351" s="55"/>
      <c r="CX1351" s="55"/>
      <c r="CY1351" s="55"/>
      <c r="CZ1351" s="55"/>
      <c r="DA1351" s="82"/>
      <c r="DB1351" s="55"/>
      <c r="DC1351" s="55"/>
      <c r="DD1351" s="55"/>
      <c r="DE1351" s="55"/>
      <c r="DF1351" s="55"/>
      <c r="DG1351" s="55"/>
      <c r="DH1351" s="55"/>
      <c r="DI1351" s="55"/>
      <c r="DJ1351" s="55"/>
      <c r="DK1351" s="55"/>
      <c r="DL1351" s="55"/>
      <c r="DM1351" s="55"/>
      <c r="DN1351" s="55"/>
      <c r="DO1351" s="55"/>
      <c r="DP1351" s="55"/>
      <c r="DQ1351" s="55"/>
      <c r="DR1351" s="55"/>
      <c r="DS1351" s="55"/>
      <c r="DT1351" s="55"/>
      <c r="DU1351" s="55"/>
      <c r="DV1351" s="55"/>
      <c r="DW1351" s="55"/>
    </row>
    <row r="1352">
      <c r="A1352" s="23" t="s">
        <v>64</v>
      </c>
      <c r="B1352" s="23" t="s">
        <v>56</v>
      </c>
      <c r="C1352" s="31" t="s">
        <v>2897</v>
      </c>
      <c r="D1352" s="25" t="str">
        <f>IFERROR(__xludf.DUMMYFUNCTION("SPLIT(C1352,"" "")"),"Rogers,")</f>
        <v>Rogers,</v>
      </c>
      <c r="E1352" s="22" t="str">
        <f>IFERROR(__xludf.DUMMYFUNCTION("""COMPUTED_VALUE"""),"Kevin
6312")</f>
        <v>Kevin
6312</v>
      </c>
      <c r="F1352" s="22" t="str">
        <f>IFERROR(__xludf.DUMMYFUNCTION("""COMPUTED_VALUE"""),"
Dallas,")</f>
        <v>
Dallas,</v>
      </c>
      <c r="G1352" s="22" t="str">
        <f>IFERROR(__xludf.DUMMYFUNCTION("""COMPUTED_VALUE"""),"TX")</f>
        <v>TX</v>
      </c>
      <c r="H1352" s="22">
        <f>IFERROR(__xludf.DUMMYFUNCTION("""COMPUTED_VALUE"""),75214.0)</f>
        <v>75214</v>
      </c>
      <c r="I1352" s="22"/>
      <c r="J1352" s="22"/>
      <c r="K1352" s="22"/>
      <c r="L1352" s="22"/>
      <c r="M1352" s="22"/>
      <c r="N1352" s="22"/>
      <c r="O1352" s="22"/>
      <c r="P1352" s="22"/>
      <c r="Q1352" s="22"/>
      <c r="R1352" s="22"/>
      <c r="S1352" s="22"/>
      <c r="T1352" s="22"/>
      <c r="U1352" s="24" t="str">
        <f>IFERROR(__xludf.DUMMYFUNCTION("SPLIT(E1352,""01234567890"")"),"Kevin
")</f>
        <v>Kevin
</v>
      </c>
      <c r="V1352" s="24" t="str">
        <f>IFERROR(__xludf.DUMMYFUNCTION("SPLIT(D1352,"","")"),"Rogers")</f>
        <v>Rogers</v>
      </c>
      <c r="W1352" s="25" t="str">
        <f t="shared" si="1"/>
        <v>KEVIN
 ROGERS</v>
      </c>
      <c r="X1352" s="22"/>
      <c r="Y1352" s="22"/>
      <c r="Z1352" s="25" t="str">
        <f>IFERROR(__xludf.DUMMYFUNCTION("SPLIT(C1352,""
"")"),"Rogers, Kevin")</f>
        <v>Rogers, Kevin</v>
      </c>
      <c r="AA1352" s="22">
        <f>IFERROR(__xludf.DUMMYFUNCTION("""COMPUTED_VALUE"""),6312.0)</f>
        <v>6312</v>
      </c>
      <c r="AB1352" s="22" t="str">
        <f>IFERROR(__xludf.DUMMYFUNCTION("""COMPUTED_VALUE"""),"Dallas, TX 75214")</f>
        <v>Dallas, TX 75214</v>
      </c>
      <c r="AC1352" s="31" t="s">
        <v>2898</v>
      </c>
      <c r="AD1352" s="22"/>
      <c r="AE1352" s="22"/>
      <c r="AF1352" s="22"/>
      <c r="AG1352" s="22" t="s">
        <v>60</v>
      </c>
      <c r="AH1352" s="54">
        <v>2500.0</v>
      </c>
      <c r="AI1352" s="22" t="s">
        <v>68</v>
      </c>
      <c r="AJ1352" s="27">
        <v>100.0</v>
      </c>
      <c r="AK1352" s="31" t="s">
        <v>23</v>
      </c>
      <c r="AL1352" s="28">
        <v>44791.0</v>
      </c>
      <c r="AM1352" s="29">
        <v>44941.874814814815</v>
      </c>
      <c r="AN1352" s="30">
        <v>2.0</v>
      </c>
      <c r="AO1352" s="22"/>
      <c r="AP1352" s="22"/>
      <c r="AQ1352" s="22"/>
      <c r="AR1352" s="22"/>
      <c r="AS1352" s="22"/>
      <c r="AT1352" s="70"/>
      <c r="AU1352" s="22"/>
      <c r="AV1352" s="57"/>
      <c r="AW1352" s="57"/>
      <c r="AX1352" s="70"/>
      <c r="AY1352" s="29"/>
      <c r="AZ1352" s="30"/>
      <c r="CU1352" s="55"/>
      <c r="CV1352" s="55"/>
      <c r="CW1352" s="55"/>
      <c r="CX1352" s="55"/>
      <c r="CY1352" s="55"/>
      <c r="CZ1352" s="55"/>
      <c r="DA1352" s="82"/>
      <c r="DB1352" s="55"/>
      <c r="DC1352" s="55"/>
      <c r="DD1352" s="55"/>
      <c r="DE1352" s="55"/>
      <c r="DF1352" s="55"/>
      <c r="DG1352" s="55"/>
      <c r="DH1352" s="55"/>
      <c r="DI1352" s="55"/>
      <c r="DJ1352" s="55"/>
      <c r="DK1352" s="55"/>
      <c r="DL1352" s="55"/>
      <c r="DM1352" s="55"/>
      <c r="DN1352" s="55"/>
      <c r="DO1352" s="55"/>
      <c r="DP1352" s="55"/>
      <c r="DQ1352" s="55"/>
      <c r="DR1352" s="55"/>
      <c r="DS1352" s="55"/>
      <c r="DT1352" s="55"/>
      <c r="DU1352" s="55"/>
      <c r="DV1352" s="55"/>
      <c r="DW1352" s="55"/>
    </row>
    <row r="1353">
      <c r="A1353" s="40" t="s">
        <v>55</v>
      </c>
      <c r="B1353" s="41" t="s">
        <v>56</v>
      </c>
      <c r="C1353" s="31" t="s">
        <v>2899</v>
      </c>
      <c r="D1353" s="25" t="str">
        <f>IFERROR(__xludf.DUMMYFUNCTION("SPLIT(C1353,"" "")"),"Silhan,")</f>
        <v>Silhan,</v>
      </c>
      <c r="E1353" s="40" t="str">
        <f>IFERROR(__xludf.DUMMYFUNCTION("""COMPUTED_VALUE"""),"Gailya
6918")</f>
        <v>Gailya
6918</v>
      </c>
      <c r="F1353" s="40" t="str">
        <f>IFERROR(__xludf.DUMMYFUNCTION("""COMPUTED_VALUE"""),"
Dallas,")</f>
        <v>
Dallas,</v>
      </c>
      <c r="G1353" s="40" t="str">
        <f>IFERROR(__xludf.DUMMYFUNCTION("""COMPUTED_VALUE"""),"TX")</f>
        <v>TX</v>
      </c>
      <c r="H1353" s="40">
        <f>IFERROR(__xludf.DUMMYFUNCTION("""COMPUTED_VALUE"""),75223.0)</f>
        <v>75223</v>
      </c>
      <c r="I1353" s="40"/>
      <c r="J1353" s="40"/>
      <c r="K1353" s="40"/>
      <c r="L1353" s="40"/>
      <c r="M1353" s="40"/>
      <c r="N1353" s="40"/>
      <c r="O1353" s="40"/>
      <c r="P1353" s="40"/>
      <c r="Q1353" s="40"/>
      <c r="R1353" s="40"/>
      <c r="S1353" s="40"/>
      <c r="T1353" s="40"/>
      <c r="U1353" s="24" t="str">
        <f>IFERROR(__xludf.DUMMYFUNCTION("SPLIT(E1353,""01234567890"")"),"Gailya
")</f>
        <v>Gailya
</v>
      </c>
      <c r="V1353" s="24" t="str">
        <f>IFERROR(__xludf.DUMMYFUNCTION("SPLIT(D1353,"","")"),"Silhan")</f>
        <v>Silhan</v>
      </c>
      <c r="W1353" s="25" t="str">
        <f t="shared" si="1"/>
        <v>GAILYA
 SILHAN</v>
      </c>
      <c r="X1353" s="40"/>
      <c r="Y1353" s="40"/>
      <c r="Z1353" s="25" t="str">
        <f>IFERROR(__xludf.DUMMYFUNCTION("SPLIT(C1353,""
"")"),"Silhan, Gailya")</f>
        <v>Silhan, Gailya</v>
      </c>
      <c r="AA1353" s="40">
        <f>IFERROR(__xludf.DUMMYFUNCTION("""COMPUTED_VALUE"""),6918.0)</f>
        <v>6918</v>
      </c>
      <c r="AB1353" s="40" t="str">
        <f>IFERROR(__xludf.DUMMYFUNCTION("""COMPUTED_VALUE"""),"Dallas, TX 75223")</f>
        <v>Dallas, TX 75223</v>
      </c>
      <c r="AC1353" s="31" t="s">
        <v>2900</v>
      </c>
      <c r="AD1353" s="40"/>
      <c r="AE1353" s="40"/>
      <c r="AF1353" s="40"/>
      <c r="AG1353" s="40" t="s">
        <v>60</v>
      </c>
      <c r="AH1353" s="42">
        <v>2500.0</v>
      </c>
      <c r="AI1353" s="40" t="s">
        <v>68</v>
      </c>
      <c r="AJ1353" s="27">
        <v>200.0</v>
      </c>
      <c r="AK1353" s="31" t="s">
        <v>23</v>
      </c>
      <c r="AL1353" s="43">
        <v>44791.0</v>
      </c>
      <c r="AM1353" s="44">
        <v>44941.874814814815</v>
      </c>
      <c r="AN1353" s="30">
        <v>2.0</v>
      </c>
      <c r="AO1353" s="40"/>
      <c r="AP1353" s="40"/>
      <c r="AQ1353" s="40"/>
      <c r="AR1353" s="40"/>
      <c r="AS1353" s="40"/>
      <c r="AT1353" s="47"/>
      <c r="AU1353" s="40"/>
      <c r="AV1353" s="46"/>
      <c r="AW1353" s="46"/>
      <c r="AX1353" s="47"/>
      <c r="AY1353" s="44"/>
      <c r="AZ1353" s="30"/>
      <c r="CU1353" s="55"/>
      <c r="CV1353" s="55"/>
      <c r="CW1353" s="55"/>
      <c r="CX1353" s="55"/>
      <c r="CY1353" s="55"/>
      <c r="CZ1353" s="55"/>
      <c r="DA1353" s="82"/>
      <c r="DB1353" s="55"/>
      <c r="DC1353" s="55"/>
      <c r="DD1353" s="55"/>
      <c r="DE1353" s="55"/>
      <c r="DF1353" s="55"/>
      <c r="DG1353" s="55"/>
      <c r="DH1353" s="55"/>
      <c r="DI1353" s="55"/>
      <c r="DJ1353" s="55"/>
      <c r="DK1353" s="55"/>
      <c r="DL1353" s="55"/>
      <c r="DM1353" s="55"/>
      <c r="DN1353" s="55"/>
      <c r="DO1353" s="55"/>
      <c r="DP1353" s="55"/>
      <c r="DQ1353" s="55"/>
      <c r="DR1353" s="55"/>
      <c r="DS1353" s="55"/>
      <c r="DT1353" s="55"/>
      <c r="DU1353" s="55"/>
      <c r="DV1353" s="55"/>
      <c r="DW1353" s="55"/>
    </row>
    <row r="1354">
      <c r="A1354" s="23" t="s">
        <v>64</v>
      </c>
      <c r="B1354" s="23" t="s">
        <v>56</v>
      </c>
      <c r="C1354" s="31" t="s">
        <v>2901</v>
      </c>
      <c r="D1354" s="25" t="str">
        <f>IFERROR(__xludf.DUMMYFUNCTION("SPLIT(C1354,"" "")"),"Freeland,")</f>
        <v>Freeland,</v>
      </c>
      <c r="E1354" s="22" t="str">
        <f>IFERROR(__xludf.DUMMYFUNCTION("""COMPUTED_VALUE"""),"Steve
14801")</f>
        <v>Steve
14801</v>
      </c>
      <c r="F1354" s="22" t="str">
        <f>IFERROR(__xludf.DUMMYFUNCTION("""COMPUTED_VALUE"""),"
Dallas,")</f>
        <v>
Dallas,</v>
      </c>
      <c r="G1354" s="22" t="str">
        <f>IFERROR(__xludf.DUMMYFUNCTION("""COMPUTED_VALUE"""),"TX")</f>
        <v>TX</v>
      </c>
      <c r="H1354" s="22">
        <f>IFERROR(__xludf.DUMMYFUNCTION("""COMPUTED_VALUE"""),75254.0)</f>
        <v>75254</v>
      </c>
      <c r="I1354" s="22"/>
      <c r="J1354" s="22"/>
      <c r="K1354" s="22"/>
      <c r="L1354" s="22"/>
      <c r="M1354" s="22"/>
      <c r="N1354" s="22"/>
      <c r="O1354" s="22"/>
      <c r="P1354" s="22"/>
      <c r="Q1354" s="22"/>
      <c r="R1354" s="22"/>
      <c r="S1354" s="22"/>
      <c r="T1354" s="22"/>
      <c r="U1354" s="24" t="str">
        <f>IFERROR(__xludf.DUMMYFUNCTION("SPLIT(E1354,""01234567890"")"),"Steve
")</f>
        <v>Steve
</v>
      </c>
      <c r="V1354" s="24" t="str">
        <f>IFERROR(__xludf.DUMMYFUNCTION("SPLIT(D1354,"","")"),"Freeland")</f>
        <v>Freeland</v>
      </c>
      <c r="W1354" s="25" t="str">
        <f t="shared" si="1"/>
        <v>STEVE
 FREELAND</v>
      </c>
      <c r="X1354" s="22"/>
      <c r="Y1354" s="22"/>
      <c r="Z1354" s="25" t="str">
        <f>IFERROR(__xludf.DUMMYFUNCTION("SPLIT(C1354,""
"")"),"Freeland, Steve")</f>
        <v>Freeland, Steve</v>
      </c>
      <c r="AA1354" s="22">
        <f>IFERROR(__xludf.DUMMYFUNCTION("""COMPUTED_VALUE"""),14801.0)</f>
        <v>14801</v>
      </c>
      <c r="AB1354" s="22" t="str">
        <f>IFERROR(__xludf.DUMMYFUNCTION("""COMPUTED_VALUE"""),"Dallas, TX 75254")</f>
        <v>Dallas, TX 75254</v>
      </c>
      <c r="AC1354" s="31" t="s">
        <v>2902</v>
      </c>
      <c r="AD1354" s="22"/>
      <c r="AE1354" s="22"/>
      <c r="AF1354" s="22"/>
      <c r="AG1354" s="22" t="s">
        <v>60</v>
      </c>
      <c r="AH1354" s="54">
        <v>2500.0</v>
      </c>
      <c r="AI1354" s="22" t="s">
        <v>68</v>
      </c>
      <c r="AJ1354" s="27">
        <v>100.0</v>
      </c>
      <c r="AK1354" s="31" t="s">
        <v>23</v>
      </c>
      <c r="AL1354" s="28">
        <v>44791.0</v>
      </c>
      <c r="AM1354" s="29">
        <v>44941.874814814815</v>
      </c>
      <c r="AN1354" s="30">
        <v>2.0</v>
      </c>
      <c r="AO1354" s="22"/>
      <c r="AP1354" s="22"/>
      <c r="AQ1354" s="22"/>
      <c r="AR1354" s="22"/>
      <c r="AS1354" s="22"/>
      <c r="AT1354" s="70"/>
      <c r="AU1354" s="22"/>
      <c r="AV1354" s="57"/>
      <c r="AW1354" s="57"/>
      <c r="AX1354" s="70"/>
      <c r="AY1354" s="29"/>
      <c r="AZ1354" s="30"/>
      <c r="CU1354" s="55"/>
      <c r="CV1354" s="55"/>
      <c r="CW1354" s="55"/>
      <c r="CX1354" s="55"/>
      <c r="CY1354" s="55"/>
      <c r="CZ1354" s="55"/>
      <c r="DA1354" s="82"/>
      <c r="DB1354" s="55"/>
      <c r="DC1354" s="55"/>
      <c r="DD1354" s="55"/>
      <c r="DE1354" s="55"/>
      <c r="DF1354" s="55"/>
      <c r="DG1354" s="55"/>
      <c r="DH1354" s="55"/>
      <c r="DI1354" s="55"/>
      <c r="DJ1354" s="55"/>
      <c r="DK1354" s="55"/>
      <c r="DL1354" s="55"/>
      <c r="DM1354" s="55"/>
      <c r="DN1354" s="55"/>
      <c r="DO1354" s="55"/>
      <c r="DP1354" s="55"/>
      <c r="DQ1354" s="55"/>
      <c r="DR1354" s="55"/>
      <c r="DS1354" s="55"/>
      <c r="DT1354" s="55"/>
      <c r="DU1354" s="55"/>
      <c r="DV1354" s="55"/>
      <c r="DW1354" s="55"/>
    </row>
    <row r="1355">
      <c r="A1355" s="40" t="s">
        <v>55</v>
      </c>
      <c r="B1355" s="41" t="s">
        <v>56</v>
      </c>
      <c r="C1355" s="31" t="s">
        <v>2903</v>
      </c>
      <c r="D1355" s="25" t="str">
        <f>IFERROR(__xludf.DUMMYFUNCTION("SPLIT(C1355,"" "")"),"Johnson,")</f>
        <v>Johnson,</v>
      </c>
      <c r="E1355" s="40" t="str">
        <f>IFERROR(__xludf.DUMMYFUNCTION("""COMPUTED_VALUE"""),"Eric
3525")</f>
        <v>Eric
3525</v>
      </c>
      <c r="F1355" s="40" t="str">
        <f>IFERROR(__xludf.DUMMYFUNCTION("""COMPUTED_VALUE"""),"
Dallas,")</f>
        <v>
Dallas,</v>
      </c>
      <c r="G1355" s="40" t="str">
        <f>IFERROR(__xludf.DUMMYFUNCTION("""COMPUTED_VALUE"""),"TX")</f>
        <v>TX</v>
      </c>
      <c r="H1355" s="40">
        <f>IFERROR(__xludf.DUMMYFUNCTION("""COMPUTED_VALUE"""),75219.0)</f>
        <v>75219</v>
      </c>
      <c r="I1355" s="40"/>
      <c r="J1355" s="40"/>
      <c r="K1355" s="40"/>
      <c r="L1355" s="40"/>
      <c r="M1355" s="40"/>
      <c r="N1355" s="40"/>
      <c r="O1355" s="40"/>
      <c r="P1355" s="40"/>
      <c r="Q1355" s="40"/>
      <c r="R1355" s="40"/>
      <c r="S1355" s="40"/>
      <c r="T1355" s="40"/>
      <c r="U1355" s="24" t="str">
        <f>IFERROR(__xludf.DUMMYFUNCTION("SPLIT(E1355,""01234567890"")"),"Eric
")</f>
        <v>Eric
</v>
      </c>
      <c r="V1355" s="24" t="str">
        <f>IFERROR(__xludf.DUMMYFUNCTION("SPLIT(D1355,"","")"),"Johnson")</f>
        <v>Johnson</v>
      </c>
      <c r="W1355" s="25" t="str">
        <f t="shared" si="1"/>
        <v>ERIC
 JOHNSON</v>
      </c>
      <c r="X1355" s="40"/>
      <c r="Y1355" s="40"/>
      <c r="Z1355" s="25" t="str">
        <f>IFERROR(__xludf.DUMMYFUNCTION("SPLIT(C1355,""
"")"),"Johnson, Eric")</f>
        <v>Johnson, Eric</v>
      </c>
      <c r="AA1355" s="40">
        <f>IFERROR(__xludf.DUMMYFUNCTION("""COMPUTED_VALUE"""),3525.0)</f>
        <v>3525</v>
      </c>
      <c r="AB1355" s="40" t="str">
        <f>IFERROR(__xludf.DUMMYFUNCTION("""COMPUTED_VALUE"""),"Dallas, TX 75219")</f>
        <v>Dallas, TX 75219</v>
      </c>
      <c r="AC1355" s="31" t="s">
        <v>652</v>
      </c>
      <c r="AD1355" s="40"/>
      <c r="AE1355" s="40"/>
      <c r="AF1355" s="40"/>
      <c r="AG1355" s="40" t="s">
        <v>60</v>
      </c>
      <c r="AH1355" s="42">
        <v>2500.0</v>
      </c>
      <c r="AI1355" s="40" t="s">
        <v>68</v>
      </c>
      <c r="AJ1355" s="27">
        <v>250.0</v>
      </c>
      <c r="AK1355" s="31" t="s">
        <v>23</v>
      </c>
      <c r="AL1355" s="43">
        <v>44791.0</v>
      </c>
      <c r="AM1355" s="44">
        <v>44941.874814814815</v>
      </c>
      <c r="AN1355" s="30">
        <v>2.0</v>
      </c>
      <c r="AO1355" s="40"/>
      <c r="AP1355" s="40"/>
      <c r="AQ1355" s="40"/>
      <c r="AR1355" s="40"/>
      <c r="AS1355" s="40"/>
      <c r="AT1355" s="47"/>
      <c r="AU1355" s="40"/>
      <c r="AV1355" s="46"/>
      <c r="AW1355" s="46"/>
      <c r="AX1355" s="47"/>
      <c r="AY1355" s="44"/>
      <c r="AZ1355" s="30"/>
      <c r="CU1355" s="55"/>
      <c r="CV1355" s="55"/>
      <c r="CW1355" s="55"/>
      <c r="CX1355" s="55"/>
      <c r="CY1355" s="55"/>
      <c r="CZ1355" s="55"/>
      <c r="DA1355" s="82"/>
      <c r="DB1355" s="55"/>
      <c r="DC1355" s="55"/>
      <c r="DD1355" s="55"/>
      <c r="DE1355" s="55"/>
      <c r="DF1355" s="55"/>
      <c r="DG1355" s="55"/>
      <c r="DH1355" s="55"/>
      <c r="DI1355" s="55"/>
      <c r="DJ1355" s="55"/>
      <c r="DK1355" s="55"/>
      <c r="DL1355" s="55"/>
      <c r="DM1355" s="55"/>
      <c r="DN1355" s="55"/>
      <c r="DO1355" s="55"/>
      <c r="DP1355" s="55"/>
      <c r="DQ1355" s="55"/>
      <c r="DR1355" s="55"/>
      <c r="DS1355" s="55"/>
      <c r="DT1355" s="55"/>
      <c r="DU1355" s="55"/>
      <c r="DV1355" s="55"/>
      <c r="DW1355" s="55"/>
    </row>
    <row r="1356">
      <c r="A1356" s="23" t="s">
        <v>64</v>
      </c>
      <c r="B1356" s="23" t="s">
        <v>56</v>
      </c>
      <c r="C1356" s="31" t="s">
        <v>2904</v>
      </c>
      <c r="D1356" s="25" t="str">
        <f>IFERROR(__xludf.DUMMYFUNCTION("SPLIT(C1356,"" "")"),"Montano,")</f>
        <v>Montano,</v>
      </c>
      <c r="E1356" s="22" t="str">
        <f>IFERROR(__xludf.DUMMYFUNCTION("""COMPUTED_VALUE"""),"Bradley
3525")</f>
        <v>Bradley
3525</v>
      </c>
      <c r="F1356" s="22" t="str">
        <f>IFERROR(__xludf.DUMMYFUNCTION("""COMPUTED_VALUE"""),"
Dallas,")</f>
        <v>
Dallas,</v>
      </c>
      <c r="G1356" s="22" t="str">
        <f>IFERROR(__xludf.DUMMYFUNCTION("""COMPUTED_VALUE"""),"TX")</f>
        <v>TX</v>
      </c>
      <c r="H1356" s="22">
        <f>IFERROR(__xludf.DUMMYFUNCTION("""COMPUTED_VALUE"""),75219.0)</f>
        <v>75219</v>
      </c>
      <c r="I1356" s="22"/>
      <c r="J1356" s="22"/>
      <c r="K1356" s="22"/>
      <c r="L1356" s="22"/>
      <c r="M1356" s="22"/>
      <c r="N1356" s="22"/>
      <c r="O1356" s="22"/>
      <c r="P1356" s="22"/>
      <c r="Q1356" s="22"/>
      <c r="R1356" s="22"/>
      <c r="S1356" s="22"/>
      <c r="T1356" s="22"/>
      <c r="U1356" s="24" t="str">
        <f>IFERROR(__xludf.DUMMYFUNCTION("SPLIT(E1356,""01234567890"")"),"Bradley
")</f>
        <v>Bradley
</v>
      </c>
      <c r="V1356" s="24" t="str">
        <f>IFERROR(__xludf.DUMMYFUNCTION("SPLIT(D1356,"","")"),"Montano")</f>
        <v>Montano</v>
      </c>
      <c r="W1356" s="25" t="str">
        <f t="shared" si="1"/>
        <v>BRADLEY
 MONTANO</v>
      </c>
      <c r="X1356" s="22"/>
      <c r="Y1356" s="22"/>
      <c r="Z1356" s="25" t="str">
        <f>IFERROR(__xludf.DUMMYFUNCTION("SPLIT(C1356,""
"")"),"Montano, Bradley")</f>
        <v>Montano, Bradley</v>
      </c>
      <c r="AA1356" s="22">
        <f>IFERROR(__xludf.DUMMYFUNCTION("""COMPUTED_VALUE"""),3525.0)</f>
        <v>3525</v>
      </c>
      <c r="AB1356" s="22" t="str">
        <f>IFERROR(__xludf.DUMMYFUNCTION("""COMPUTED_VALUE"""),"Dallas, TX 75219")</f>
        <v>Dallas, TX 75219</v>
      </c>
      <c r="AC1356" s="31" t="s">
        <v>2905</v>
      </c>
      <c r="AD1356" s="22"/>
      <c r="AE1356" s="22"/>
      <c r="AF1356" s="22"/>
      <c r="AG1356" s="22" t="s">
        <v>60</v>
      </c>
      <c r="AH1356" s="54">
        <v>2500.0</v>
      </c>
      <c r="AI1356" s="22" t="s">
        <v>68</v>
      </c>
      <c r="AJ1356" s="27">
        <v>50.0</v>
      </c>
      <c r="AK1356" s="31" t="s">
        <v>23</v>
      </c>
      <c r="AL1356" s="28">
        <v>44791.0</v>
      </c>
      <c r="AM1356" s="29">
        <v>44941.874814814815</v>
      </c>
      <c r="AN1356" s="30">
        <v>2.0</v>
      </c>
      <c r="AO1356" s="22"/>
      <c r="AP1356" s="22"/>
      <c r="AQ1356" s="22"/>
      <c r="AR1356" s="22"/>
      <c r="AS1356" s="22"/>
      <c r="AT1356" s="70"/>
      <c r="AU1356" s="22"/>
      <c r="AV1356" s="57"/>
      <c r="AW1356" s="57"/>
      <c r="AX1356" s="70"/>
      <c r="AY1356" s="29"/>
      <c r="AZ1356" s="30"/>
      <c r="CU1356" s="55"/>
      <c r="CV1356" s="55"/>
      <c r="CW1356" s="55"/>
      <c r="CX1356" s="55"/>
      <c r="CY1356" s="55"/>
      <c r="CZ1356" s="55"/>
      <c r="DA1356" s="82"/>
      <c r="DB1356" s="55"/>
      <c r="DC1356" s="55"/>
      <c r="DD1356" s="55"/>
      <c r="DE1356" s="55"/>
      <c r="DF1356" s="55"/>
      <c r="DG1356" s="55"/>
      <c r="DH1356" s="55"/>
      <c r="DI1356" s="55"/>
      <c r="DJ1356" s="55"/>
      <c r="DK1356" s="55"/>
      <c r="DL1356" s="55"/>
      <c r="DM1356" s="55"/>
      <c r="DN1356" s="55"/>
      <c r="DO1356" s="55"/>
      <c r="DP1356" s="55"/>
      <c r="DQ1356" s="55"/>
      <c r="DR1356" s="55"/>
      <c r="DS1356" s="55"/>
      <c r="DT1356" s="55"/>
      <c r="DU1356" s="55"/>
      <c r="DV1356" s="55"/>
      <c r="DW1356" s="55"/>
    </row>
    <row r="1357">
      <c r="A1357" s="40" t="s">
        <v>55</v>
      </c>
      <c r="B1357" s="41" t="s">
        <v>56</v>
      </c>
      <c r="C1357" s="31" t="s">
        <v>2906</v>
      </c>
      <c r="D1357" s="25" t="str">
        <f>IFERROR(__xludf.DUMMYFUNCTION("SPLIT(C1357,"" "")"),"Bracken,")</f>
        <v>Bracken,</v>
      </c>
      <c r="E1357" s="40" t="str">
        <f>IFERROR(__xludf.DUMMYFUNCTION("""COMPUTED_VALUE"""),"Robert
6114")</f>
        <v>Robert
6114</v>
      </c>
      <c r="F1357" s="40" t="str">
        <f>IFERROR(__xludf.DUMMYFUNCTION("""COMPUTED_VALUE"""),"
Dallas,")</f>
        <v>
Dallas,</v>
      </c>
      <c r="G1357" s="40" t="str">
        <f>IFERROR(__xludf.DUMMYFUNCTION("""COMPUTED_VALUE"""),"TX")</f>
        <v>TX</v>
      </c>
      <c r="H1357" s="40">
        <f>IFERROR(__xludf.DUMMYFUNCTION("""COMPUTED_VALUE"""),75206.0)</f>
        <v>75206</v>
      </c>
      <c r="I1357" s="40"/>
      <c r="J1357" s="40"/>
      <c r="K1357" s="40"/>
      <c r="L1357" s="40"/>
      <c r="M1357" s="40"/>
      <c r="N1357" s="40"/>
      <c r="O1357" s="40"/>
      <c r="P1357" s="40"/>
      <c r="Q1357" s="40"/>
      <c r="R1357" s="40"/>
      <c r="S1357" s="40"/>
      <c r="T1357" s="40"/>
      <c r="U1357" s="24" t="str">
        <f>IFERROR(__xludf.DUMMYFUNCTION("SPLIT(E1357,""01234567890"")"),"Robert
")</f>
        <v>Robert
</v>
      </c>
      <c r="V1357" s="24" t="str">
        <f>IFERROR(__xludf.DUMMYFUNCTION("SPLIT(D1357,"","")"),"Bracken")</f>
        <v>Bracken</v>
      </c>
      <c r="W1357" s="25" t="str">
        <f t="shared" si="1"/>
        <v>ROBERT
 BRACKEN</v>
      </c>
      <c r="X1357" s="40"/>
      <c r="Y1357" s="40"/>
      <c r="Z1357" s="25" t="str">
        <f>IFERROR(__xludf.DUMMYFUNCTION("SPLIT(C1357,""
"")"),"Bracken, Robert")</f>
        <v>Bracken, Robert</v>
      </c>
      <c r="AA1357" s="40">
        <f>IFERROR(__xludf.DUMMYFUNCTION("""COMPUTED_VALUE"""),6114.0)</f>
        <v>6114</v>
      </c>
      <c r="AB1357" s="40" t="str">
        <f>IFERROR(__xludf.DUMMYFUNCTION("""COMPUTED_VALUE"""),"Dallas, TX 75206")</f>
        <v>Dallas, TX 75206</v>
      </c>
      <c r="AC1357" s="31" t="s">
        <v>2907</v>
      </c>
      <c r="AD1357" s="40"/>
      <c r="AE1357" s="40"/>
      <c r="AF1357" s="40"/>
      <c r="AG1357" s="40" t="s">
        <v>60</v>
      </c>
      <c r="AH1357" s="42">
        <v>2500.0</v>
      </c>
      <c r="AI1357" s="40" t="s">
        <v>68</v>
      </c>
      <c r="AJ1357" s="27">
        <v>100.0</v>
      </c>
      <c r="AK1357" s="31" t="s">
        <v>23</v>
      </c>
      <c r="AL1357" s="43">
        <v>44791.0</v>
      </c>
      <c r="AM1357" s="44">
        <v>44941.874814814815</v>
      </c>
      <c r="AN1357" s="30">
        <v>2.0</v>
      </c>
      <c r="AO1357" s="40"/>
      <c r="AP1357" s="40"/>
      <c r="AQ1357" s="40"/>
      <c r="AR1357" s="40"/>
      <c r="AS1357" s="40"/>
      <c r="AT1357" s="47"/>
      <c r="AU1357" s="40"/>
      <c r="AV1357" s="46"/>
      <c r="AW1357" s="46"/>
      <c r="AX1357" s="47"/>
      <c r="AY1357" s="44"/>
      <c r="AZ1357" s="30"/>
      <c r="CU1357" s="55"/>
      <c r="CV1357" s="55"/>
      <c r="CW1357" s="55"/>
      <c r="CX1357" s="55"/>
      <c r="CY1357" s="55"/>
      <c r="CZ1357" s="55"/>
      <c r="DA1357" s="82"/>
      <c r="DB1357" s="55"/>
      <c r="DC1357" s="55"/>
      <c r="DD1357" s="55"/>
      <c r="DE1357" s="55"/>
      <c r="DF1357" s="55"/>
      <c r="DG1357" s="55"/>
      <c r="DH1357" s="55"/>
      <c r="DI1357" s="55"/>
      <c r="DJ1357" s="55"/>
      <c r="DK1357" s="55"/>
      <c r="DL1357" s="55"/>
      <c r="DM1357" s="55"/>
      <c r="DN1357" s="55"/>
      <c r="DO1357" s="55"/>
      <c r="DP1357" s="55"/>
      <c r="DQ1357" s="55"/>
      <c r="DR1357" s="55"/>
      <c r="DS1357" s="55"/>
      <c r="DT1357" s="55"/>
      <c r="DU1357" s="55"/>
      <c r="DV1357" s="55"/>
      <c r="DW1357" s="55"/>
    </row>
    <row r="1358">
      <c r="A1358" s="23" t="s">
        <v>64</v>
      </c>
      <c r="B1358" s="23" t="s">
        <v>56</v>
      </c>
      <c r="C1358" s="31" t="s">
        <v>2908</v>
      </c>
      <c r="D1358" s="25" t="str">
        <f>IFERROR(__xludf.DUMMYFUNCTION("SPLIT(C1358,"" "")"),"Shelton,")</f>
        <v>Shelton,</v>
      </c>
      <c r="E1358" s="22" t="str">
        <f>IFERROR(__xludf.DUMMYFUNCTION("""COMPUTED_VALUE"""),"Nancy
3913")</f>
        <v>Nancy
3913</v>
      </c>
      <c r="F1358" s="22" t="str">
        <f>IFERROR(__xludf.DUMMYFUNCTION("""COMPUTED_VALUE"""),"
Dallas,")</f>
        <v>
Dallas,</v>
      </c>
      <c r="G1358" s="22" t="str">
        <f>IFERROR(__xludf.DUMMYFUNCTION("""COMPUTED_VALUE"""),"TX")</f>
        <v>TX</v>
      </c>
      <c r="H1358" s="22">
        <f>IFERROR(__xludf.DUMMYFUNCTION("""COMPUTED_VALUE"""),75205.0)</f>
        <v>75205</v>
      </c>
      <c r="I1358" s="22"/>
      <c r="J1358" s="22"/>
      <c r="K1358" s="22"/>
      <c r="L1358" s="22"/>
      <c r="M1358" s="22"/>
      <c r="N1358" s="22"/>
      <c r="O1358" s="22"/>
      <c r="P1358" s="22"/>
      <c r="Q1358" s="22"/>
      <c r="R1358" s="22"/>
      <c r="S1358" s="22"/>
      <c r="T1358" s="22"/>
      <c r="U1358" s="24" t="str">
        <f>IFERROR(__xludf.DUMMYFUNCTION("SPLIT(E1358,""01234567890"")"),"Nancy
")</f>
        <v>Nancy
</v>
      </c>
      <c r="V1358" s="24" t="str">
        <f>IFERROR(__xludf.DUMMYFUNCTION("SPLIT(D1358,"","")"),"Shelton")</f>
        <v>Shelton</v>
      </c>
      <c r="W1358" s="25" t="str">
        <f t="shared" si="1"/>
        <v>NANCY
 SHELTON</v>
      </c>
      <c r="X1358" s="22"/>
      <c r="Y1358" s="22"/>
      <c r="Z1358" s="25" t="str">
        <f>IFERROR(__xludf.DUMMYFUNCTION("SPLIT(C1358,""
"")"),"Shelton, Nancy")</f>
        <v>Shelton, Nancy</v>
      </c>
      <c r="AA1358" s="22">
        <f>IFERROR(__xludf.DUMMYFUNCTION("""COMPUTED_VALUE"""),3913.0)</f>
        <v>3913</v>
      </c>
      <c r="AB1358" s="22" t="str">
        <f>IFERROR(__xludf.DUMMYFUNCTION("""COMPUTED_VALUE"""),"Dallas, TX 75205")</f>
        <v>Dallas, TX 75205</v>
      </c>
      <c r="AC1358" s="31" t="s">
        <v>2909</v>
      </c>
      <c r="AD1358" s="22"/>
      <c r="AE1358" s="22"/>
      <c r="AF1358" s="22"/>
      <c r="AG1358" s="22" t="s">
        <v>60</v>
      </c>
      <c r="AH1358" s="54">
        <v>2500.0</v>
      </c>
      <c r="AI1358" s="22" t="s">
        <v>68</v>
      </c>
      <c r="AJ1358" s="27">
        <v>200.0</v>
      </c>
      <c r="AK1358" s="31" t="s">
        <v>23</v>
      </c>
      <c r="AL1358" s="28">
        <v>44791.0</v>
      </c>
      <c r="AM1358" s="29">
        <v>44941.874814814815</v>
      </c>
      <c r="AN1358" s="30">
        <v>2.0</v>
      </c>
      <c r="AO1358" s="22"/>
      <c r="AP1358" s="22"/>
      <c r="AQ1358" s="22"/>
      <c r="AR1358" s="22"/>
      <c r="AS1358" s="22"/>
      <c r="AT1358" s="70"/>
      <c r="AU1358" s="22"/>
      <c r="AV1358" s="57"/>
      <c r="AW1358" s="57"/>
      <c r="AX1358" s="70"/>
      <c r="AY1358" s="29"/>
      <c r="AZ1358" s="30"/>
      <c r="CU1358" s="55"/>
      <c r="CV1358" s="55"/>
      <c r="CW1358" s="55"/>
      <c r="CX1358" s="55"/>
      <c r="CY1358" s="55"/>
      <c r="CZ1358" s="55"/>
      <c r="DA1358" s="82"/>
      <c r="DB1358" s="55"/>
      <c r="DC1358" s="55"/>
      <c r="DD1358" s="55"/>
      <c r="DE1358" s="55"/>
      <c r="DF1358" s="55"/>
      <c r="DG1358" s="55"/>
      <c r="DH1358" s="55"/>
      <c r="DI1358" s="55"/>
      <c r="DJ1358" s="55"/>
      <c r="DK1358" s="55"/>
      <c r="DL1358" s="55"/>
      <c r="DM1358" s="55"/>
      <c r="DN1358" s="55"/>
      <c r="DO1358" s="55"/>
      <c r="DP1358" s="55"/>
      <c r="DQ1358" s="55"/>
      <c r="DR1358" s="55"/>
      <c r="DS1358" s="55"/>
      <c r="DT1358" s="55"/>
      <c r="DU1358" s="55"/>
      <c r="DV1358" s="55"/>
      <c r="DW1358" s="55"/>
    </row>
    <row r="1359">
      <c r="A1359" s="40" t="s">
        <v>55</v>
      </c>
      <c r="B1359" s="41" t="s">
        <v>56</v>
      </c>
      <c r="C1359" s="31" t="s">
        <v>2910</v>
      </c>
      <c r="D1359" s="25" t="str">
        <f>IFERROR(__xludf.DUMMYFUNCTION("SPLIT(C1359,"" "")"),"Neil,")</f>
        <v>Neil,</v>
      </c>
      <c r="E1359" s="40" t="str">
        <f>IFERROR(__xludf.DUMMYFUNCTION("""COMPUTED_VALUE"""),"JoDee
3253")</f>
        <v>JoDee
3253</v>
      </c>
      <c r="F1359" s="40" t="str">
        <f>IFERROR(__xludf.DUMMYFUNCTION("""COMPUTED_VALUE"""),"
Dallas,")</f>
        <v>
Dallas,</v>
      </c>
      <c r="G1359" s="40" t="str">
        <f>IFERROR(__xludf.DUMMYFUNCTION("""COMPUTED_VALUE"""),"TX")</f>
        <v>TX</v>
      </c>
      <c r="H1359" s="40">
        <f>IFERROR(__xludf.DUMMYFUNCTION("""COMPUTED_VALUE"""),75229.0)</f>
        <v>75229</v>
      </c>
      <c r="I1359" s="40"/>
      <c r="J1359" s="40"/>
      <c r="K1359" s="40"/>
      <c r="L1359" s="40"/>
      <c r="M1359" s="40"/>
      <c r="N1359" s="40"/>
      <c r="O1359" s="40"/>
      <c r="P1359" s="40"/>
      <c r="Q1359" s="40"/>
      <c r="R1359" s="40"/>
      <c r="S1359" s="40"/>
      <c r="T1359" s="40"/>
      <c r="U1359" s="24" t="str">
        <f>IFERROR(__xludf.DUMMYFUNCTION("SPLIT(E1359,""01234567890"")"),"JoDee
")</f>
        <v>JoDee
</v>
      </c>
      <c r="V1359" s="24" t="str">
        <f>IFERROR(__xludf.DUMMYFUNCTION("SPLIT(D1359,"","")"),"Neil")</f>
        <v>Neil</v>
      </c>
      <c r="W1359" s="25" t="str">
        <f t="shared" si="1"/>
        <v>JODEE
 NEIL</v>
      </c>
      <c r="X1359" s="40"/>
      <c r="Y1359" s="40"/>
      <c r="Z1359" s="25" t="str">
        <f>IFERROR(__xludf.DUMMYFUNCTION("SPLIT(C1359,""
"")"),"Neil, JoDee")</f>
        <v>Neil, JoDee</v>
      </c>
      <c r="AA1359" s="40">
        <f>IFERROR(__xludf.DUMMYFUNCTION("""COMPUTED_VALUE"""),3253.0)</f>
        <v>3253</v>
      </c>
      <c r="AB1359" s="40" t="str">
        <f>IFERROR(__xludf.DUMMYFUNCTION("""COMPUTED_VALUE"""),"Dallas, TX 75229")</f>
        <v>Dallas, TX 75229</v>
      </c>
      <c r="AC1359" s="31" t="s">
        <v>2911</v>
      </c>
      <c r="AD1359" s="40"/>
      <c r="AE1359" s="40"/>
      <c r="AF1359" s="40"/>
      <c r="AG1359" s="40" t="s">
        <v>60</v>
      </c>
      <c r="AH1359" s="42">
        <v>2500.0</v>
      </c>
      <c r="AI1359" s="40" t="s">
        <v>68</v>
      </c>
      <c r="AJ1359" s="27">
        <v>100.0</v>
      </c>
      <c r="AK1359" s="31" t="s">
        <v>23</v>
      </c>
      <c r="AL1359" s="43">
        <v>44792.0</v>
      </c>
      <c r="AM1359" s="44">
        <v>44941.874814814815</v>
      </c>
      <c r="AN1359" s="30">
        <v>2.0</v>
      </c>
      <c r="AO1359" s="40"/>
      <c r="AP1359" s="40"/>
      <c r="AQ1359" s="40"/>
      <c r="AR1359" s="40"/>
      <c r="AS1359" s="40"/>
      <c r="AT1359" s="47"/>
      <c r="AU1359" s="40"/>
      <c r="AV1359" s="46"/>
      <c r="AW1359" s="46"/>
      <c r="AX1359" s="47"/>
      <c r="AY1359" s="44"/>
      <c r="AZ1359" s="30"/>
      <c r="CU1359" s="55"/>
      <c r="CV1359" s="55"/>
      <c r="CW1359" s="55"/>
      <c r="CX1359" s="55"/>
      <c r="CY1359" s="55"/>
      <c r="CZ1359" s="55"/>
      <c r="DA1359" s="82"/>
      <c r="DB1359" s="55"/>
      <c r="DC1359" s="55"/>
      <c r="DD1359" s="55"/>
      <c r="DE1359" s="55"/>
      <c r="DF1359" s="55"/>
      <c r="DG1359" s="55"/>
      <c r="DH1359" s="55"/>
      <c r="DI1359" s="55"/>
      <c r="DJ1359" s="55"/>
      <c r="DK1359" s="55"/>
      <c r="DL1359" s="55"/>
      <c r="DM1359" s="55"/>
      <c r="DN1359" s="55"/>
      <c r="DO1359" s="55"/>
      <c r="DP1359" s="55"/>
      <c r="DQ1359" s="55"/>
      <c r="DR1359" s="55"/>
      <c r="DS1359" s="55"/>
      <c r="DT1359" s="55"/>
      <c r="DU1359" s="55"/>
      <c r="DV1359" s="55"/>
      <c r="DW1359" s="55"/>
    </row>
    <row r="1360">
      <c r="A1360" s="23" t="s">
        <v>64</v>
      </c>
      <c r="B1360" s="23" t="s">
        <v>56</v>
      </c>
      <c r="C1360" s="31" t="s">
        <v>2912</v>
      </c>
      <c r="D1360" s="25" t="str">
        <f>IFERROR(__xludf.DUMMYFUNCTION("SPLIT(C1360,"" "")"),"Bland,")</f>
        <v>Bland,</v>
      </c>
      <c r="E1360" s="22" t="str">
        <f>IFERROR(__xludf.DUMMYFUNCTION("""COMPUTED_VALUE"""),"Jody
3010")</f>
        <v>Jody
3010</v>
      </c>
      <c r="F1360" s="22" t="str">
        <f>IFERROR(__xludf.DUMMYFUNCTION("""COMPUTED_VALUE"""),"
Dallas,")</f>
        <v>
Dallas,</v>
      </c>
      <c r="G1360" s="22" t="str">
        <f>IFERROR(__xludf.DUMMYFUNCTION("""COMPUTED_VALUE"""),"TX")</f>
        <v>TX</v>
      </c>
      <c r="H1360" s="22">
        <f>IFERROR(__xludf.DUMMYFUNCTION("""COMPUTED_VALUE"""),75204.0)</f>
        <v>75204</v>
      </c>
      <c r="I1360" s="22"/>
      <c r="J1360" s="22"/>
      <c r="K1360" s="22"/>
      <c r="L1360" s="22"/>
      <c r="M1360" s="22"/>
      <c r="N1360" s="22"/>
      <c r="O1360" s="22"/>
      <c r="P1360" s="22"/>
      <c r="Q1360" s="22"/>
      <c r="R1360" s="22"/>
      <c r="S1360" s="22"/>
      <c r="T1360" s="22"/>
      <c r="U1360" s="24" t="str">
        <f>IFERROR(__xludf.DUMMYFUNCTION("SPLIT(E1360,""01234567890"")"),"Jody
")</f>
        <v>Jody
</v>
      </c>
      <c r="V1360" s="24" t="str">
        <f>IFERROR(__xludf.DUMMYFUNCTION("SPLIT(D1360,"","")"),"Bland")</f>
        <v>Bland</v>
      </c>
      <c r="W1360" s="25" t="str">
        <f t="shared" si="1"/>
        <v>JODY
 BLAND</v>
      </c>
      <c r="X1360" s="22"/>
      <c r="Y1360" s="22"/>
      <c r="Z1360" s="25" t="str">
        <f>IFERROR(__xludf.DUMMYFUNCTION("SPLIT(C1360,""
"")"),"Bland, Jody")</f>
        <v>Bland, Jody</v>
      </c>
      <c r="AA1360" s="22">
        <f>IFERROR(__xludf.DUMMYFUNCTION("""COMPUTED_VALUE"""),3010.0)</f>
        <v>3010</v>
      </c>
      <c r="AB1360" s="22" t="str">
        <f>IFERROR(__xludf.DUMMYFUNCTION("""COMPUTED_VALUE"""),"Dallas, TX 75204")</f>
        <v>Dallas, TX 75204</v>
      </c>
      <c r="AC1360" s="31" t="s">
        <v>2913</v>
      </c>
      <c r="AD1360" s="22"/>
      <c r="AE1360" s="22"/>
      <c r="AF1360" s="22"/>
      <c r="AG1360" s="22" t="s">
        <v>60</v>
      </c>
      <c r="AH1360" s="54">
        <v>2500.0</v>
      </c>
      <c r="AI1360" s="22" t="s">
        <v>68</v>
      </c>
      <c r="AJ1360" s="27">
        <v>100.0</v>
      </c>
      <c r="AK1360" s="31" t="s">
        <v>23</v>
      </c>
      <c r="AL1360" s="28">
        <v>44792.0</v>
      </c>
      <c r="AM1360" s="29">
        <v>44941.874814814815</v>
      </c>
      <c r="AN1360" s="30">
        <v>2.0</v>
      </c>
      <c r="AO1360" s="22"/>
      <c r="AP1360" s="22"/>
      <c r="AQ1360" s="22"/>
      <c r="AR1360" s="22"/>
      <c r="AS1360" s="22"/>
      <c r="AT1360" s="70"/>
      <c r="AU1360" s="22"/>
      <c r="AV1360" s="57"/>
      <c r="AW1360" s="57"/>
      <c r="AX1360" s="70"/>
      <c r="AY1360" s="29"/>
      <c r="AZ1360" s="30"/>
      <c r="CU1360" s="55"/>
      <c r="CV1360" s="55"/>
      <c r="CW1360" s="55"/>
      <c r="CX1360" s="55"/>
      <c r="CY1360" s="55"/>
      <c r="CZ1360" s="55"/>
      <c r="DA1360" s="82"/>
      <c r="DB1360" s="55"/>
      <c r="DC1360" s="55"/>
      <c r="DD1360" s="55"/>
      <c r="DE1360" s="55"/>
      <c r="DF1360" s="55"/>
      <c r="DG1360" s="55"/>
      <c r="DH1360" s="55"/>
      <c r="DI1360" s="55"/>
      <c r="DJ1360" s="55"/>
      <c r="DK1360" s="55"/>
      <c r="DL1360" s="55"/>
      <c r="DM1360" s="55"/>
      <c r="DN1360" s="55"/>
      <c r="DO1360" s="55"/>
      <c r="DP1360" s="55"/>
      <c r="DQ1360" s="55"/>
      <c r="DR1360" s="55"/>
      <c r="DS1360" s="55"/>
      <c r="DT1360" s="55"/>
      <c r="DU1360" s="55"/>
      <c r="DV1360" s="55"/>
      <c r="DW1360" s="55"/>
    </row>
    <row r="1361">
      <c r="A1361" s="40" t="s">
        <v>55</v>
      </c>
      <c r="B1361" s="41" t="s">
        <v>56</v>
      </c>
      <c r="C1361" s="31" t="s">
        <v>2914</v>
      </c>
      <c r="D1361" s="25" t="str">
        <f>IFERROR(__xludf.DUMMYFUNCTION("SPLIT(C1361,"" "")"),"Mccrea,")</f>
        <v>Mccrea,</v>
      </c>
      <c r="E1361" s="40" t="str">
        <f>IFERROR(__xludf.DUMMYFUNCTION("""COMPUTED_VALUE"""),"Mitchell
5750")</f>
        <v>Mitchell
5750</v>
      </c>
      <c r="F1361" s="40" t="str">
        <f>IFERROR(__xludf.DUMMYFUNCTION("""COMPUTED_VALUE"""),"
Dallas,")</f>
        <v>
Dallas,</v>
      </c>
      <c r="G1361" s="40" t="str">
        <f>IFERROR(__xludf.DUMMYFUNCTION("""COMPUTED_VALUE"""),"TX")</f>
        <v>TX</v>
      </c>
      <c r="H1361" s="40">
        <f>IFERROR(__xludf.DUMMYFUNCTION("""COMPUTED_VALUE"""),75214.0)</f>
        <v>75214</v>
      </c>
      <c r="I1361" s="40"/>
      <c r="J1361" s="40"/>
      <c r="K1361" s="40"/>
      <c r="L1361" s="40"/>
      <c r="M1361" s="40"/>
      <c r="N1361" s="40"/>
      <c r="O1361" s="40"/>
      <c r="P1361" s="40"/>
      <c r="Q1361" s="40"/>
      <c r="R1361" s="40"/>
      <c r="S1361" s="40"/>
      <c r="T1361" s="40"/>
      <c r="U1361" s="24" t="str">
        <f>IFERROR(__xludf.DUMMYFUNCTION("SPLIT(E1361,""01234567890"")"),"Mitchell
")</f>
        <v>Mitchell
</v>
      </c>
      <c r="V1361" s="24" t="str">
        <f>IFERROR(__xludf.DUMMYFUNCTION("SPLIT(D1361,"","")"),"Mccrea")</f>
        <v>Mccrea</v>
      </c>
      <c r="W1361" s="25" t="str">
        <f t="shared" si="1"/>
        <v>MITCHELL
 MCCREA</v>
      </c>
      <c r="X1361" s="40"/>
      <c r="Y1361" s="40"/>
      <c r="Z1361" s="25" t="str">
        <f>IFERROR(__xludf.DUMMYFUNCTION("SPLIT(C1361,""
"")"),"Mccrea, Mitchell")</f>
        <v>Mccrea, Mitchell</v>
      </c>
      <c r="AA1361" s="40">
        <f>IFERROR(__xludf.DUMMYFUNCTION("""COMPUTED_VALUE"""),5750.0)</f>
        <v>5750</v>
      </c>
      <c r="AB1361" s="40" t="str">
        <f>IFERROR(__xludf.DUMMYFUNCTION("""COMPUTED_VALUE"""),"Dallas, TX 75214")</f>
        <v>Dallas, TX 75214</v>
      </c>
      <c r="AC1361" s="31" t="s">
        <v>2915</v>
      </c>
      <c r="AD1361" s="40"/>
      <c r="AE1361" s="40"/>
      <c r="AF1361" s="40"/>
      <c r="AG1361" s="40" t="s">
        <v>60</v>
      </c>
      <c r="AH1361" s="42">
        <v>2500.0</v>
      </c>
      <c r="AI1361" s="40" t="s">
        <v>68</v>
      </c>
      <c r="AJ1361" s="27">
        <v>500.0</v>
      </c>
      <c r="AK1361" s="31" t="s">
        <v>23</v>
      </c>
      <c r="AL1361" s="43">
        <v>44794.0</v>
      </c>
      <c r="AM1361" s="44">
        <v>44941.874814814815</v>
      </c>
      <c r="AN1361" s="30">
        <v>2.0</v>
      </c>
      <c r="AO1361" s="40"/>
      <c r="AP1361" s="40"/>
      <c r="AQ1361" s="40"/>
      <c r="AR1361" s="40"/>
      <c r="AS1361" s="40"/>
      <c r="AT1361" s="47"/>
      <c r="AU1361" s="40"/>
      <c r="AV1361" s="46"/>
      <c r="AW1361" s="46"/>
      <c r="AX1361" s="47"/>
      <c r="AY1361" s="44"/>
      <c r="AZ1361" s="30"/>
      <c r="CU1361" s="55"/>
      <c r="CV1361" s="55"/>
      <c r="CW1361" s="55"/>
      <c r="CX1361" s="55"/>
      <c r="CY1361" s="55"/>
      <c r="CZ1361" s="55"/>
      <c r="DA1361" s="82"/>
      <c r="DB1361" s="55"/>
      <c r="DC1361" s="55"/>
      <c r="DD1361" s="55"/>
      <c r="DE1361" s="55"/>
      <c r="DF1361" s="55"/>
      <c r="DG1361" s="55"/>
      <c r="DH1361" s="55"/>
      <c r="DI1361" s="55"/>
      <c r="DJ1361" s="55"/>
      <c r="DK1361" s="55"/>
      <c r="DL1361" s="55"/>
      <c r="DM1361" s="55"/>
      <c r="DN1361" s="55"/>
      <c r="DO1361" s="55"/>
      <c r="DP1361" s="55"/>
      <c r="DQ1361" s="55"/>
      <c r="DR1361" s="55"/>
      <c r="DS1361" s="55"/>
      <c r="DT1361" s="55"/>
      <c r="DU1361" s="55"/>
      <c r="DV1361" s="55"/>
      <c r="DW1361" s="55"/>
    </row>
    <row r="1362">
      <c r="A1362" s="23" t="s">
        <v>64</v>
      </c>
      <c r="B1362" s="23" t="s">
        <v>56</v>
      </c>
      <c r="C1362" s="31" t="s">
        <v>2916</v>
      </c>
      <c r="D1362" s="25" t="str">
        <f>IFERROR(__xludf.DUMMYFUNCTION("SPLIT(C1362,"" "")"),"Keyes,")</f>
        <v>Keyes,</v>
      </c>
      <c r="E1362" s="22" t="str">
        <f>IFERROR(__xludf.DUMMYFUNCTION("""COMPUTED_VALUE"""),"Katrina
3839")</f>
        <v>Katrina
3839</v>
      </c>
      <c r="F1362" s="22" t="str">
        <f>IFERROR(__xludf.DUMMYFUNCTION("""COMPUTED_VALUE"""),"
Dallas,")</f>
        <v>
Dallas,</v>
      </c>
      <c r="G1362" s="22" t="str">
        <f>IFERROR(__xludf.DUMMYFUNCTION("""COMPUTED_VALUE"""),"TX")</f>
        <v>TX</v>
      </c>
      <c r="H1362" s="22">
        <f>IFERROR(__xludf.DUMMYFUNCTION("""COMPUTED_VALUE"""),75204.0)</f>
        <v>75204</v>
      </c>
      <c r="I1362" s="22"/>
      <c r="J1362" s="22"/>
      <c r="K1362" s="22"/>
      <c r="L1362" s="22"/>
      <c r="M1362" s="22"/>
      <c r="N1362" s="22"/>
      <c r="O1362" s="22"/>
      <c r="P1362" s="22"/>
      <c r="Q1362" s="22"/>
      <c r="R1362" s="22"/>
      <c r="S1362" s="22"/>
      <c r="T1362" s="22"/>
      <c r="U1362" s="24" t="str">
        <f>IFERROR(__xludf.DUMMYFUNCTION("SPLIT(E1362,""01234567890"")"),"Katrina
")</f>
        <v>Katrina
</v>
      </c>
      <c r="V1362" s="24" t="str">
        <f>IFERROR(__xludf.DUMMYFUNCTION("SPLIT(D1362,"","")"),"Keyes")</f>
        <v>Keyes</v>
      </c>
      <c r="W1362" s="25" t="str">
        <f t="shared" si="1"/>
        <v>KATRINA
 KEYES</v>
      </c>
      <c r="X1362" s="22"/>
      <c r="Y1362" s="22"/>
      <c r="Z1362" s="25" t="str">
        <f>IFERROR(__xludf.DUMMYFUNCTION("SPLIT(C1362,""
"")"),"Keyes, Katrina")</f>
        <v>Keyes, Katrina</v>
      </c>
      <c r="AA1362" s="22">
        <f>IFERROR(__xludf.DUMMYFUNCTION("""COMPUTED_VALUE"""),3839.0)</f>
        <v>3839</v>
      </c>
      <c r="AB1362" s="22" t="str">
        <f>IFERROR(__xludf.DUMMYFUNCTION("""COMPUTED_VALUE"""),"Dallas, TX 75204")</f>
        <v>Dallas, TX 75204</v>
      </c>
      <c r="AC1362" s="31" t="s">
        <v>2378</v>
      </c>
      <c r="AD1362" s="22"/>
      <c r="AE1362" s="22"/>
      <c r="AF1362" s="22"/>
      <c r="AG1362" s="22" t="s">
        <v>60</v>
      </c>
      <c r="AH1362" s="54">
        <v>2500.0</v>
      </c>
      <c r="AI1362" s="22" t="s">
        <v>68</v>
      </c>
      <c r="AJ1362" s="27">
        <v>250.0</v>
      </c>
      <c r="AK1362" s="31" t="s">
        <v>23</v>
      </c>
      <c r="AL1362" s="28">
        <v>44802.0</v>
      </c>
      <c r="AM1362" s="29">
        <v>44941.874814814815</v>
      </c>
      <c r="AN1362" s="30">
        <v>2.0</v>
      </c>
      <c r="AO1362" s="22"/>
      <c r="AP1362" s="22"/>
      <c r="AQ1362" s="22"/>
      <c r="AR1362" s="22"/>
      <c r="AS1362" s="22"/>
      <c r="AT1362" s="70"/>
      <c r="AU1362" s="22"/>
      <c r="AV1362" s="57"/>
      <c r="AW1362" s="57"/>
      <c r="AX1362" s="70"/>
      <c r="AY1362" s="29"/>
      <c r="AZ1362" s="30"/>
      <c r="CU1362" s="55"/>
      <c r="CV1362" s="55"/>
      <c r="CW1362" s="55"/>
      <c r="CX1362" s="55"/>
      <c r="CY1362" s="55"/>
      <c r="CZ1362" s="55"/>
      <c r="DA1362" s="82"/>
      <c r="DB1362" s="55"/>
      <c r="DC1362" s="55"/>
      <c r="DD1362" s="55"/>
      <c r="DE1362" s="55"/>
      <c r="DF1362" s="55"/>
      <c r="DG1362" s="55"/>
      <c r="DH1362" s="55"/>
      <c r="DI1362" s="55"/>
      <c r="DJ1362" s="55"/>
      <c r="DK1362" s="55"/>
      <c r="DL1362" s="55"/>
      <c r="DM1362" s="55"/>
      <c r="DN1362" s="55"/>
      <c r="DO1362" s="55"/>
      <c r="DP1362" s="55"/>
      <c r="DQ1362" s="55"/>
      <c r="DR1362" s="55"/>
      <c r="DS1362" s="55"/>
      <c r="DT1362" s="55"/>
      <c r="DU1362" s="55"/>
      <c r="DV1362" s="55"/>
      <c r="DW1362" s="55"/>
    </row>
    <row r="1363">
      <c r="A1363" s="40" t="s">
        <v>55</v>
      </c>
      <c r="B1363" s="41" t="s">
        <v>56</v>
      </c>
      <c r="C1363" s="31" t="s">
        <v>2917</v>
      </c>
      <c r="D1363" s="25" t="str">
        <f>IFERROR(__xludf.DUMMYFUNCTION("SPLIT(C1363,"" "")"),"Mihalopoulos,")</f>
        <v>Mihalopoulos,</v>
      </c>
      <c r="E1363" s="40" t="str">
        <f>IFERROR(__xludf.DUMMYFUNCTION("""COMPUTED_VALUE"""),"Frank
4645")</f>
        <v>Frank
4645</v>
      </c>
      <c r="F1363" s="40" t="str">
        <f>IFERROR(__xludf.DUMMYFUNCTION("""COMPUTED_VALUE"""),"
Dallas,")</f>
        <v>
Dallas,</v>
      </c>
      <c r="G1363" s="40" t="str">
        <f>IFERROR(__xludf.DUMMYFUNCTION("""COMPUTED_VALUE"""),"TX")</f>
        <v>TX</v>
      </c>
      <c r="H1363" s="40">
        <f>IFERROR(__xludf.DUMMYFUNCTION("""COMPUTED_VALUE"""),75205.0)</f>
        <v>75205</v>
      </c>
      <c r="I1363" s="40"/>
      <c r="J1363" s="40"/>
      <c r="K1363" s="40"/>
      <c r="L1363" s="40"/>
      <c r="M1363" s="40"/>
      <c r="N1363" s="40"/>
      <c r="O1363" s="40"/>
      <c r="P1363" s="40"/>
      <c r="Q1363" s="40"/>
      <c r="R1363" s="40"/>
      <c r="S1363" s="40"/>
      <c r="T1363" s="40"/>
      <c r="U1363" s="24" t="str">
        <f>IFERROR(__xludf.DUMMYFUNCTION("SPLIT(E1363,""01234567890"")"),"Frank
")</f>
        <v>Frank
</v>
      </c>
      <c r="V1363" s="24" t="str">
        <f>IFERROR(__xludf.DUMMYFUNCTION("SPLIT(D1363,"","")"),"Mihalopoulos")</f>
        <v>Mihalopoulos</v>
      </c>
      <c r="W1363" s="25" t="str">
        <f t="shared" si="1"/>
        <v>FRANK
 MIHALOPOULOS</v>
      </c>
      <c r="X1363" s="40"/>
      <c r="Y1363" s="40"/>
      <c r="Z1363" s="25" t="str">
        <f>IFERROR(__xludf.DUMMYFUNCTION("SPLIT(C1363,""
"")"),"Mihalopoulos, Frank")</f>
        <v>Mihalopoulos, Frank</v>
      </c>
      <c r="AA1363" s="40">
        <f>IFERROR(__xludf.DUMMYFUNCTION("""COMPUTED_VALUE"""),4645.0)</f>
        <v>4645</v>
      </c>
      <c r="AB1363" s="40" t="str">
        <f>IFERROR(__xludf.DUMMYFUNCTION("""COMPUTED_VALUE"""),"Dallas, TX 75205")</f>
        <v>Dallas, TX 75205</v>
      </c>
      <c r="AC1363" s="31" t="s">
        <v>793</v>
      </c>
      <c r="AD1363" s="40"/>
      <c r="AE1363" s="40"/>
      <c r="AF1363" s="40"/>
      <c r="AG1363" s="40" t="s">
        <v>60</v>
      </c>
      <c r="AH1363" s="42">
        <v>2500.0</v>
      </c>
      <c r="AI1363" s="40" t="s">
        <v>68</v>
      </c>
      <c r="AJ1363" s="27">
        <v>500.0</v>
      </c>
      <c r="AK1363" s="31" t="s">
        <v>23</v>
      </c>
      <c r="AL1363" s="43">
        <v>44804.0</v>
      </c>
      <c r="AM1363" s="44">
        <v>44941.874814814815</v>
      </c>
      <c r="AN1363" s="30">
        <v>2.0</v>
      </c>
      <c r="AO1363" s="40"/>
      <c r="AP1363" s="40"/>
      <c r="AQ1363" s="40"/>
      <c r="AR1363" s="40"/>
      <c r="AS1363" s="40"/>
      <c r="AT1363" s="47"/>
      <c r="AU1363" s="40"/>
      <c r="AV1363" s="46"/>
      <c r="AW1363" s="46"/>
      <c r="AX1363" s="47"/>
      <c r="AY1363" s="44"/>
      <c r="AZ1363" s="30"/>
      <c r="CU1363" s="55"/>
      <c r="CV1363" s="55"/>
      <c r="CW1363" s="55"/>
      <c r="CX1363" s="55"/>
      <c r="CY1363" s="55"/>
      <c r="CZ1363" s="55"/>
      <c r="DA1363" s="82"/>
      <c r="DB1363" s="55"/>
      <c r="DC1363" s="55"/>
      <c r="DD1363" s="55"/>
      <c r="DE1363" s="55"/>
      <c r="DF1363" s="55"/>
      <c r="DG1363" s="55"/>
      <c r="DH1363" s="55"/>
      <c r="DI1363" s="55"/>
      <c r="DJ1363" s="55"/>
      <c r="DK1363" s="55"/>
      <c r="DL1363" s="55"/>
      <c r="DM1363" s="55"/>
      <c r="DN1363" s="55"/>
      <c r="DO1363" s="55"/>
      <c r="DP1363" s="55"/>
      <c r="DQ1363" s="55"/>
      <c r="DR1363" s="55"/>
      <c r="DS1363" s="55"/>
      <c r="DT1363" s="55"/>
      <c r="DU1363" s="55"/>
      <c r="DV1363" s="55"/>
      <c r="DW1363" s="55"/>
    </row>
    <row r="1364">
      <c r="A1364" s="23" t="s">
        <v>64</v>
      </c>
      <c r="B1364" s="23" t="s">
        <v>56</v>
      </c>
      <c r="C1364" s="31" t="s">
        <v>2918</v>
      </c>
      <c r="D1364" s="25" t="str">
        <f>IFERROR(__xludf.DUMMYFUNCTION("SPLIT(C1364,"" "")"),"Price,")</f>
        <v>Price,</v>
      </c>
      <c r="E1364" s="22" t="str">
        <f>IFERROR(__xludf.DUMMYFUNCTION("""COMPUTED_VALUE"""),"John
510")</f>
        <v>John
510</v>
      </c>
      <c r="F1364" s="22" t="str">
        <f>IFERROR(__xludf.DUMMYFUNCTION("""COMPUTED_VALUE"""),"
Dallas,")</f>
        <v>
Dallas,</v>
      </c>
      <c r="G1364" s="22" t="str">
        <f>IFERROR(__xludf.DUMMYFUNCTION("""COMPUTED_VALUE"""),"TX")</f>
        <v>TX</v>
      </c>
      <c r="H1364" s="22">
        <f>IFERROR(__xludf.DUMMYFUNCTION("""COMPUTED_VALUE"""),75203.0)</f>
        <v>75203</v>
      </c>
      <c r="I1364" s="22"/>
      <c r="J1364" s="22"/>
      <c r="K1364" s="22"/>
      <c r="L1364" s="22"/>
      <c r="M1364" s="22"/>
      <c r="N1364" s="22"/>
      <c r="O1364" s="22"/>
      <c r="P1364" s="22"/>
      <c r="Q1364" s="22"/>
      <c r="R1364" s="22"/>
      <c r="S1364" s="22"/>
      <c r="T1364" s="22"/>
      <c r="U1364" s="24" t="str">
        <f>IFERROR(__xludf.DUMMYFUNCTION("SPLIT(E1364,""01234567890"")"),"John
")</f>
        <v>John
</v>
      </c>
      <c r="V1364" s="24" t="str">
        <f>IFERROR(__xludf.DUMMYFUNCTION("SPLIT(D1364,"","")"),"Price")</f>
        <v>Price</v>
      </c>
      <c r="W1364" s="25" t="str">
        <f t="shared" si="1"/>
        <v>JOHN
 PRICE</v>
      </c>
      <c r="X1364" s="22"/>
      <c r="Y1364" s="22"/>
      <c r="Z1364" s="25" t="str">
        <f>IFERROR(__xludf.DUMMYFUNCTION("SPLIT(C1364,""
"")"),"Price, John")</f>
        <v>Price, John</v>
      </c>
      <c r="AA1364" s="22">
        <f>IFERROR(__xludf.DUMMYFUNCTION("""COMPUTED_VALUE"""),510.0)</f>
        <v>510</v>
      </c>
      <c r="AB1364" s="22" t="str">
        <f>IFERROR(__xludf.DUMMYFUNCTION("""COMPUTED_VALUE"""),"Dallas, TX 75203")</f>
        <v>Dallas, TX 75203</v>
      </c>
      <c r="AC1364" s="31" t="s">
        <v>2919</v>
      </c>
      <c r="AD1364" s="22"/>
      <c r="AE1364" s="22"/>
      <c r="AF1364" s="22"/>
      <c r="AG1364" s="22" t="s">
        <v>60</v>
      </c>
      <c r="AH1364" s="54">
        <v>2500.0</v>
      </c>
      <c r="AI1364" s="22" t="s">
        <v>68</v>
      </c>
      <c r="AJ1364" s="27">
        <v>500.0</v>
      </c>
      <c r="AK1364" s="31" t="s">
        <v>23</v>
      </c>
      <c r="AL1364" s="28">
        <v>44804.0</v>
      </c>
      <c r="AM1364" s="29">
        <v>44941.874814814815</v>
      </c>
      <c r="AN1364" s="30">
        <v>2.0</v>
      </c>
      <c r="AO1364" s="22"/>
      <c r="AP1364" s="22"/>
      <c r="AQ1364" s="22"/>
      <c r="AR1364" s="22"/>
      <c r="AS1364" s="22"/>
      <c r="AT1364" s="70"/>
      <c r="AU1364" s="22"/>
      <c r="AV1364" s="57"/>
      <c r="AW1364" s="57"/>
      <c r="AX1364" s="70"/>
      <c r="AY1364" s="29"/>
      <c r="AZ1364" s="30"/>
      <c r="CU1364" s="55"/>
      <c r="CV1364" s="55"/>
      <c r="CW1364" s="55"/>
      <c r="CX1364" s="55"/>
      <c r="CY1364" s="55"/>
      <c r="CZ1364" s="55"/>
      <c r="DA1364" s="82"/>
      <c r="DB1364" s="55"/>
      <c r="DC1364" s="55"/>
      <c r="DD1364" s="55"/>
      <c r="DE1364" s="55"/>
      <c r="DF1364" s="55"/>
      <c r="DG1364" s="55"/>
      <c r="DH1364" s="55"/>
      <c r="DI1364" s="55"/>
      <c r="DJ1364" s="55"/>
      <c r="DK1364" s="55"/>
      <c r="DL1364" s="55"/>
      <c r="DM1364" s="55"/>
      <c r="DN1364" s="55"/>
      <c r="DO1364" s="55"/>
      <c r="DP1364" s="55"/>
      <c r="DQ1364" s="55"/>
      <c r="DR1364" s="55"/>
      <c r="DS1364" s="55"/>
      <c r="DT1364" s="55"/>
      <c r="DU1364" s="55"/>
      <c r="DV1364" s="55"/>
      <c r="DW1364" s="55"/>
    </row>
    <row r="1365">
      <c r="A1365" s="40" t="s">
        <v>55</v>
      </c>
      <c r="B1365" s="41" t="s">
        <v>56</v>
      </c>
      <c r="C1365" s="31" t="s">
        <v>2920</v>
      </c>
      <c r="D1365" s="25" t="str">
        <f>IFERROR(__xludf.DUMMYFUNCTION("SPLIT(C1365,"" "")"),"Emery,")</f>
        <v>Emery,</v>
      </c>
      <c r="E1365" s="40" t="str">
        <f>IFERROR(__xludf.DUMMYFUNCTION("""COMPUTED_VALUE"""),"Janice
160")</f>
        <v>Janice
160</v>
      </c>
      <c r="F1365" s="40" t="str">
        <f>IFERROR(__xludf.DUMMYFUNCTION("""COMPUTED_VALUE"""),"
Swannanoa,")</f>
        <v>
Swannanoa,</v>
      </c>
      <c r="G1365" s="40" t="str">
        <f>IFERROR(__xludf.DUMMYFUNCTION("""COMPUTED_VALUE"""),"NC")</f>
        <v>NC</v>
      </c>
      <c r="H1365" s="40">
        <f>IFERROR(__xludf.DUMMYFUNCTION("""COMPUTED_VALUE"""),28778.0)</f>
        <v>28778</v>
      </c>
      <c r="I1365" s="40"/>
      <c r="J1365" s="40"/>
      <c r="K1365" s="40"/>
      <c r="L1365" s="40"/>
      <c r="M1365" s="40"/>
      <c r="N1365" s="40"/>
      <c r="O1365" s="40"/>
      <c r="P1365" s="40"/>
      <c r="Q1365" s="40"/>
      <c r="R1365" s="40"/>
      <c r="S1365" s="40"/>
      <c r="T1365" s="40"/>
      <c r="U1365" s="24" t="str">
        <f>IFERROR(__xludf.DUMMYFUNCTION("SPLIT(E1365,""01234567890"")"),"Janice
")</f>
        <v>Janice
</v>
      </c>
      <c r="V1365" s="24" t="str">
        <f>IFERROR(__xludf.DUMMYFUNCTION("SPLIT(D1365,"","")"),"Emery")</f>
        <v>Emery</v>
      </c>
      <c r="W1365" s="25" t="str">
        <f t="shared" si="1"/>
        <v>JANICE
 EMERY</v>
      </c>
      <c r="X1365" s="40"/>
      <c r="Y1365" s="40"/>
      <c r="Z1365" s="25" t="str">
        <f>IFERROR(__xludf.DUMMYFUNCTION("SPLIT(C1365,""
"")"),"Emery, Janice")</f>
        <v>Emery, Janice</v>
      </c>
      <c r="AA1365" s="40">
        <f>IFERROR(__xludf.DUMMYFUNCTION("""COMPUTED_VALUE"""),160.0)</f>
        <v>160</v>
      </c>
      <c r="AB1365" s="40" t="str">
        <f>IFERROR(__xludf.DUMMYFUNCTION("""COMPUTED_VALUE"""),"Swannanoa, NC 28778")</f>
        <v>Swannanoa, NC 28778</v>
      </c>
      <c r="AC1365" s="31" t="s">
        <v>2921</v>
      </c>
      <c r="AD1365" s="40"/>
      <c r="AE1365" s="40"/>
      <c r="AF1365" s="40"/>
      <c r="AG1365" s="40" t="s">
        <v>60</v>
      </c>
      <c r="AH1365" s="42">
        <v>2500.0</v>
      </c>
      <c r="AI1365" s="40" t="s">
        <v>68</v>
      </c>
      <c r="AJ1365" s="27">
        <v>50.0</v>
      </c>
      <c r="AK1365" s="31" t="s">
        <v>23</v>
      </c>
      <c r="AL1365" s="43">
        <v>44804.0</v>
      </c>
      <c r="AM1365" s="44">
        <v>44941.874814814815</v>
      </c>
      <c r="AN1365" s="30">
        <v>2.0</v>
      </c>
      <c r="AO1365" s="40"/>
      <c r="AP1365" s="40"/>
      <c r="AQ1365" s="40"/>
      <c r="AR1365" s="40"/>
      <c r="AS1365" s="40"/>
      <c r="AT1365" s="47"/>
      <c r="AU1365" s="40"/>
      <c r="AV1365" s="46"/>
      <c r="AW1365" s="46"/>
      <c r="AX1365" s="47"/>
      <c r="AY1365" s="44"/>
      <c r="AZ1365" s="30"/>
      <c r="CU1365" s="55"/>
      <c r="CV1365" s="55"/>
      <c r="CW1365" s="55"/>
      <c r="CX1365" s="55"/>
      <c r="CY1365" s="55"/>
      <c r="CZ1365" s="55"/>
      <c r="DA1365" s="82"/>
      <c r="DB1365" s="55"/>
      <c r="DC1365" s="55"/>
      <c r="DD1365" s="55"/>
      <c r="DE1365" s="55"/>
      <c r="DF1365" s="55"/>
      <c r="DG1365" s="55"/>
      <c r="DH1365" s="55"/>
      <c r="DI1365" s="55"/>
      <c r="DJ1365" s="55"/>
      <c r="DK1365" s="55"/>
      <c r="DL1365" s="55"/>
      <c r="DM1365" s="55"/>
      <c r="DN1365" s="55"/>
      <c r="DO1365" s="55"/>
      <c r="DP1365" s="55"/>
      <c r="DQ1365" s="55"/>
      <c r="DR1365" s="55"/>
      <c r="DS1365" s="55"/>
      <c r="DT1365" s="55"/>
      <c r="DU1365" s="55"/>
      <c r="DV1365" s="55"/>
      <c r="DW1365" s="55"/>
    </row>
    <row r="1366">
      <c r="A1366" s="23" t="s">
        <v>64</v>
      </c>
      <c r="B1366" s="23" t="s">
        <v>56</v>
      </c>
      <c r="C1366" s="31" t="s">
        <v>2922</v>
      </c>
      <c r="D1366" s="25" t="str">
        <f>IFERROR(__xludf.DUMMYFUNCTION("SPLIT(C1366,"" "")"),"Kraus,")</f>
        <v>Kraus,</v>
      </c>
      <c r="E1366" s="22" t="str">
        <f>IFERROR(__xludf.DUMMYFUNCTION("""COMPUTED_VALUE"""),"Peter
4906")</f>
        <v>Peter
4906</v>
      </c>
      <c r="F1366" s="22" t="str">
        <f>IFERROR(__xludf.DUMMYFUNCTION("""COMPUTED_VALUE"""),"
Dallas,")</f>
        <v>
Dallas,</v>
      </c>
      <c r="G1366" s="22" t="str">
        <f>IFERROR(__xludf.DUMMYFUNCTION("""COMPUTED_VALUE"""),"TX")</f>
        <v>TX</v>
      </c>
      <c r="H1366" s="22">
        <f>IFERROR(__xludf.DUMMYFUNCTION("""COMPUTED_VALUE"""),75209.0)</f>
        <v>75209</v>
      </c>
      <c r="I1366" s="22"/>
      <c r="J1366" s="22"/>
      <c r="K1366" s="22"/>
      <c r="L1366" s="22"/>
      <c r="M1366" s="22"/>
      <c r="N1366" s="22"/>
      <c r="O1366" s="22"/>
      <c r="P1366" s="22"/>
      <c r="Q1366" s="22"/>
      <c r="R1366" s="22"/>
      <c r="S1366" s="22"/>
      <c r="T1366" s="22"/>
      <c r="U1366" s="24" t="str">
        <f>IFERROR(__xludf.DUMMYFUNCTION("SPLIT(E1366,""01234567890"")"),"Peter
")</f>
        <v>Peter
</v>
      </c>
      <c r="V1366" s="24" t="str">
        <f>IFERROR(__xludf.DUMMYFUNCTION("SPLIT(D1366,"","")"),"Kraus")</f>
        <v>Kraus</v>
      </c>
      <c r="W1366" s="25" t="str">
        <f t="shared" si="1"/>
        <v>PETER
 KRAUS</v>
      </c>
      <c r="X1366" s="22"/>
      <c r="Y1366" s="22"/>
      <c r="Z1366" s="25" t="str">
        <f>IFERROR(__xludf.DUMMYFUNCTION("SPLIT(C1366,""
"")"),"Kraus, Peter")</f>
        <v>Kraus, Peter</v>
      </c>
      <c r="AA1366" s="22">
        <f>IFERROR(__xludf.DUMMYFUNCTION("""COMPUTED_VALUE"""),4906.0)</f>
        <v>4906</v>
      </c>
      <c r="AB1366" s="22" t="str">
        <f>IFERROR(__xludf.DUMMYFUNCTION("""COMPUTED_VALUE"""),"Dallas, TX 75209")</f>
        <v>Dallas, TX 75209</v>
      </c>
      <c r="AC1366" s="31" t="s">
        <v>2923</v>
      </c>
      <c r="AD1366" s="22"/>
      <c r="AE1366" s="22"/>
      <c r="AF1366" s="22"/>
      <c r="AG1366" s="22" t="s">
        <v>60</v>
      </c>
      <c r="AH1366" s="54">
        <v>2500.0</v>
      </c>
      <c r="AI1366" s="22" t="s">
        <v>68</v>
      </c>
      <c r="AJ1366" s="27">
        <v>500.0</v>
      </c>
      <c r="AK1366" s="31" t="s">
        <v>23</v>
      </c>
      <c r="AL1366" s="28">
        <v>44805.0</v>
      </c>
      <c r="AM1366" s="29">
        <v>44941.874814814815</v>
      </c>
      <c r="AN1366" s="30">
        <v>2.0</v>
      </c>
      <c r="AO1366" s="22"/>
      <c r="AP1366" s="22"/>
      <c r="AQ1366" s="22"/>
      <c r="AR1366" s="22"/>
      <c r="AS1366" s="22"/>
      <c r="AT1366" s="70"/>
      <c r="AU1366" s="22"/>
      <c r="AV1366" s="57"/>
      <c r="AW1366" s="57"/>
      <c r="AX1366" s="70"/>
      <c r="AY1366" s="29"/>
      <c r="AZ1366" s="30"/>
      <c r="CU1366" s="55"/>
      <c r="CV1366" s="55"/>
      <c r="CW1366" s="55"/>
      <c r="CX1366" s="55"/>
      <c r="CY1366" s="55"/>
      <c r="CZ1366" s="55"/>
      <c r="DA1366" s="82"/>
      <c r="DB1366" s="55"/>
      <c r="DC1366" s="55"/>
      <c r="DD1366" s="55"/>
      <c r="DE1366" s="55"/>
      <c r="DF1366" s="55"/>
      <c r="DG1366" s="55"/>
      <c r="DH1366" s="55"/>
      <c r="DI1366" s="55"/>
      <c r="DJ1366" s="55"/>
      <c r="DK1366" s="55"/>
      <c r="DL1366" s="55"/>
      <c r="DM1366" s="55"/>
      <c r="DN1366" s="55"/>
      <c r="DO1366" s="55"/>
      <c r="DP1366" s="55"/>
      <c r="DQ1366" s="55"/>
      <c r="DR1366" s="55"/>
      <c r="DS1366" s="55"/>
      <c r="DT1366" s="55"/>
      <c r="DU1366" s="55"/>
      <c r="DV1366" s="55"/>
      <c r="DW1366" s="55"/>
    </row>
    <row r="1367">
      <c r="A1367" s="40" t="s">
        <v>55</v>
      </c>
      <c r="B1367" s="41" t="s">
        <v>56</v>
      </c>
      <c r="C1367" s="31" t="s">
        <v>451</v>
      </c>
      <c r="D1367" s="25" t="str">
        <f>IFERROR(__xludf.DUMMYFUNCTION("SPLIT(C1367,"" "")"),"Black,")</f>
        <v>Black,</v>
      </c>
      <c r="E1367" s="40" t="str">
        <f>IFERROR(__xludf.DUMMYFUNCTION("""COMPUTED_VALUE"""),"Tre
751")</f>
        <v>Tre
751</v>
      </c>
      <c r="F1367" s="40" t="str">
        <f>IFERROR(__xludf.DUMMYFUNCTION("""COMPUTED_VALUE"""),"
Dallas,")</f>
        <v>
Dallas,</v>
      </c>
      <c r="G1367" s="40" t="str">
        <f>IFERROR(__xludf.DUMMYFUNCTION("""COMPUTED_VALUE"""),"TX")</f>
        <v>TX</v>
      </c>
      <c r="H1367" s="40">
        <f>IFERROR(__xludf.DUMMYFUNCTION("""COMPUTED_VALUE"""),75208.0)</f>
        <v>75208</v>
      </c>
      <c r="I1367" s="40"/>
      <c r="J1367" s="40"/>
      <c r="K1367" s="40"/>
      <c r="L1367" s="40"/>
      <c r="M1367" s="40"/>
      <c r="N1367" s="40"/>
      <c r="O1367" s="40"/>
      <c r="P1367" s="40"/>
      <c r="Q1367" s="40"/>
      <c r="R1367" s="40"/>
      <c r="S1367" s="40"/>
      <c r="T1367" s="40"/>
      <c r="U1367" s="24" t="str">
        <f>IFERROR(__xludf.DUMMYFUNCTION("SPLIT(E1367,""01234567890"")"),"Tre
")</f>
        <v>Tre
</v>
      </c>
      <c r="V1367" s="24" t="str">
        <f>IFERROR(__xludf.DUMMYFUNCTION("SPLIT(D1367,"","")"),"Black")</f>
        <v>Black</v>
      </c>
      <c r="W1367" s="25" t="str">
        <f t="shared" si="1"/>
        <v>TRE
 BLACK</v>
      </c>
      <c r="X1367" s="40"/>
      <c r="Y1367" s="40"/>
      <c r="Z1367" s="25" t="str">
        <f>IFERROR(__xludf.DUMMYFUNCTION("SPLIT(C1367,""
"")"),"Black, Tre")</f>
        <v>Black, Tre</v>
      </c>
      <c r="AA1367" s="40">
        <f>IFERROR(__xludf.DUMMYFUNCTION("""COMPUTED_VALUE"""),751.0)</f>
        <v>751</v>
      </c>
      <c r="AB1367" s="40" t="str">
        <f>IFERROR(__xludf.DUMMYFUNCTION("""COMPUTED_VALUE"""),"Dallas, TX 75208")</f>
        <v>Dallas, TX 75208</v>
      </c>
      <c r="AC1367" s="31" t="s">
        <v>453</v>
      </c>
      <c r="AD1367" s="40"/>
      <c r="AE1367" s="40"/>
      <c r="AF1367" s="40"/>
      <c r="AG1367" s="40" t="s">
        <v>60</v>
      </c>
      <c r="AH1367" s="42">
        <v>2500.0</v>
      </c>
      <c r="AI1367" s="40" t="s">
        <v>68</v>
      </c>
      <c r="AJ1367" s="27">
        <v>1000.0</v>
      </c>
      <c r="AK1367" s="31" t="s">
        <v>23</v>
      </c>
      <c r="AL1367" s="43">
        <v>44820.0</v>
      </c>
      <c r="AM1367" s="44">
        <v>44941.874814814815</v>
      </c>
      <c r="AN1367" s="30">
        <v>2.0</v>
      </c>
      <c r="AO1367" s="40"/>
      <c r="AP1367" s="40"/>
      <c r="AQ1367" s="40"/>
      <c r="AR1367" s="40"/>
      <c r="AS1367" s="40"/>
      <c r="AT1367" s="47"/>
      <c r="AU1367" s="40"/>
      <c r="AV1367" s="46"/>
      <c r="AW1367" s="46"/>
      <c r="AX1367" s="47"/>
      <c r="AY1367" s="44"/>
      <c r="AZ1367" s="30"/>
      <c r="CU1367" s="55"/>
      <c r="CV1367" s="55"/>
      <c r="CW1367" s="55"/>
      <c r="CX1367" s="55"/>
      <c r="CY1367" s="55"/>
      <c r="CZ1367" s="55"/>
      <c r="DA1367" s="82"/>
      <c r="DB1367" s="55"/>
      <c r="DC1367" s="55"/>
      <c r="DD1367" s="55"/>
      <c r="DE1367" s="55"/>
      <c r="DF1367" s="55"/>
      <c r="DG1367" s="55"/>
      <c r="DH1367" s="55"/>
      <c r="DI1367" s="55"/>
      <c r="DJ1367" s="55"/>
      <c r="DK1367" s="55"/>
      <c r="DL1367" s="55"/>
      <c r="DM1367" s="55"/>
      <c r="DN1367" s="55"/>
      <c r="DO1367" s="55"/>
      <c r="DP1367" s="55"/>
      <c r="DQ1367" s="55"/>
      <c r="DR1367" s="55"/>
      <c r="DS1367" s="55"/>
      <c r="DT1367" s="55"/>
      <c r="DU1367" s="55"/>
      <c r="DV1367" s="55"/>
      <c r="DW1367" s="55"/>
    </row>
    <row r="1368">
      <c r="A1368" s="23" t="s">
        <v>64</v>
      </c>
      <c r="B1368" s="23" t="s">
        <v>56</v>
      </c>
      <c r="C1368" s="31" t="s">
        <v>2922</v>
      </c>
      <c r="D1368" s="25" t="str">
        <f>IFERROR(__xludf.DUMMYFUNCTION("SPLIT(C1368,"" "")"),"Kraus,")</f>
        <v>Kraus,</v>
      </c>
      <c r="E1368" s="22" t="str">
        <f>IFERROR(__xludf.DUMMYFUNCTION("""COMPUTED_VALUE"""),"Peter
4906")</f>
        <v>Peter
4906</v>
      </c>
      <c r="F1368" s="22" t="str">
        <f>IFERROR(__xludf.DUMMYFUNCTION("""COMPUTED_VALUE"""),"
Dallas,")</f>
        <v>
Dallas,</v>
      </c>
      <c r="G1368" s="22" t="str">
        <f>IFERROR(__xludf.DUMMYFUNCTION("""COMPUTED_VALUE"""),"TX")</f>
        <v>TX</v>
      </c>
      <c r="H1368" s="22">
        <f>IFERROR(__xludf.DUMMYFUNCTION("""COMPUTED_VALUE"""),75209.0)</f>
        <v>75209</v>
      </c>
      <c r="I1368" s="22"/>
      <c r="J1368" s="22"/>
      <c r="K1368" s="22"/>
      <c r="L1368" s="22"/>
      <c r="M1368" s="22"/>
      <c r="N1368" s="22"/>
      <c r="O1368" s="22"/>
      <c r="P1368" s="22"/>
      <c r="Q1368" s="22"/>
      <c r="R1368" s="22"/>
      <c r="S1368" s="22"/>
      <c r="T1368" s="22"/>
      <c r="U1368" s="24" t="str">
        <f>IFERROR(__xludf.DUMMYFUNCTION("SPLIT(E1368,""01234567890"")"),"Peter
")</f>
        <v>Peter
</v>
      </c>
      <c r="V1368" s="24" t="str">
        <f>IFERROR(__xludf.DUMMYFUNCTION("SPLIT(D1368,"","")"),"Kraus")</f>
        <v>Kraus</v>
      </c>
      <c r="W1368" s="25" t="str">
        <f t="shared" si="1"/>
        <v>PETER
 KRAUS</v>
      </c>
      <c r="X1368" s="22"/>
      <c r="Y1368" s="22"/>
      <c r="Z1368" s="25" t="str">
        <f>IFERROR(__xludf.DUMMYFUNCTION("SPLIT(C1368,""
"")"),"Kraus, Peter")</f>
        <v>Kraus, Peter</v>
      </c>
      <c r="AA1368" s="22">
        <f>IFERROR(__xludf.DUMMYFUNCTION("""COMPUTED_VALUE"""),4906.0)</f>
        <v>4906</v>
      </c>
      <c r="AB1368" s="22" t="str">
        <f>IFERROR(__xludf.DUMMYFUNCTION("""COMPUTED_VALUE"""),"Dallas, TX 75209")</f>
        <v>Dallas, TX 75209</v>
      </c>
      <c r="AC1368" s="31" t="s">
        <v>2923</v>
      </c>
      <c r="AD1368" s="22"/>
      <c r="AE1368" s="22"/>
      <c r="AF1368" s="22"/>
      <c r="AG1368" s="22" t="s">
        <v>60</v>
      </c>
      <c r="AH1368" s="54">
        <v>2500.0</v>
      </c>
      <c r="AI1368" s="22" t="s">
        <v>68</v>
      </c>
      <c r="AJ1368" s="27">
        <v>500.0</v>
      </c>
      <c r="AK1368" s="31" t="s">
        <v>23</v>
      </c>
      <c r="AL1368" s="28">
        <v>44820.0</v>
      </c>
      <c r="AM1368" s="29">
        <v>44941.874814814815</v>
      </c>
      <c r="AN1368" s="30">
        <v>2.0</v>
      </c>
      <c r="AO1368" s="22"/>
      <c r="AP1368" s="22"/>
      <c r="AQ1368" s="22"/>
      <c r="AR1368" s="22"/>
      <c r="AS1368" s="22"/>
      <c r="AT1368" s="70"/>
      <c r="AU1368" s="22"/>
      <c r="AV1368" s="57"/>
      <c r="AW1368" s="57"/>
      <c r="AX1368" s="70"/>
      <c r="AY1368" s="29"/>
      <c r="AZ1368" s="30"/>
      <c r="CU1368" s="55"/>
      <c r="CV1368" s="55"/>
      <c r="CW1368" s="55"/>
      <c r="CX1368" s="55"/>
      <c r="CY1368" s="55"/>
      <c r="CZ1368" s="55"/>
      <c r="DA1368" s="82"/>
      <c r="DB1368" s="55"/>
      <c r="DC1368" s="55"/>
      <c r="DD1368" s="55"/>
      <c r="DE1368" s="55"/>
      <c r="DF1368" s="55"/>
      <c r="DG1368" s="55"/>
      <c r="DH1368" s="55"/>
      <c r="DI1368" s="55"/>
      <c r="DJ1368" s="55"/>
      <c r="DK1368" s="55"/>
      <c r="DL1368" s="55"/>
      <c r="DM1368" s="55"/>
      <c r="DN1368" s="55"/>
      <c r="DO1368" s="55"/>
      <c r="DP1368" s="55"/>
      <c r="DQ1368" s="55"/>
      <c r="DR1368" s="55"/>
      <c r="DS1368" s="55"/>
      <c r="DT1368" s="55"/>
      <c r="DU1368" s="55"/>
      <c r="DV1368" s="55"/>
      <c r="DW1368" s="55"/>
    </row>
    <row r="1369">
      <c r="A1369" s="40" t="s">
        <v>55</v>
      </c>
      <c r="B1369" s="41" t="s">
        <v>56</v>
      </c>
      <c r="C1369" s="31" t="s">
        <v>2924</v>
      </c>
      <c r="D1369" s="25" t="str">
        <f>IFERROR(__xludf.DUMMYFUNCTION("SPLIT(C1369,"" "")"),"Bazaldua,")</f>
        <v>Bazaldua,</v>
      </c>
      <c r="E1369" s="40" t="str">
        <f>IFERROR(__xludf.DUMMYFUNCTION("""COMPUTED_VALUE"""),"Daniel
6404")</f>
        <v>Daniel
6404</v>
      </c>
      <c r="F1369" s="40" t="str">
        <f>IFERROR(__xludf.DUMMYFUNCTION("""COMPUTED_VALUE"""),"
Arlington,")</f>
        <v>
Arlington,</v>
      </c>
      <c r="G1369" s="40" t="str">
        <f>IFERROR(__xludf.DUMMYFUNCTION("""COMPUTED_VALUE"""),"TX")</f>
        <v>TX</v>
      </c>
      <c r="H1369" s="40">
        <f>IFERROR(__xludf.DUMMYFUNCTION("""COMPUTED_VALUE"""),76001.0)</f>
        <v>76001</v>
      </c>
      <c r="I1369" s="40"/>
      <c r="J1369" s="40"/>
      <c r="K1369" s="40"/>
      <c r="L1369" s="40"/>
      <c r="M1369" s="40"/>
      <c r="N1369" s="40"/>
      <c r="O1369" s="40"/>
      <c r="P1369" s="40"/>
      <c r="Q1369" s="40"/>
      <c r="R1369" s="40"/>
      <c r="S1369" s="40"/>
      <c r="T1369" s="40"/>
      <c r="U1369" s="24" t="str">
        <f>IFERROR(__xludf.DUMMYFUNCTION("SPLIT(E1369,""01234567890"")"),"Daniel
")</f>
        <v>Daniel
</v>
      </c>
      <c r="V1369" s="24" t="str">
        <f>IFERROR(__xludf.DUMMYFUNCTION("SPLIT(D1369,"","")"),"Bazaldua")</f>
        <v>Bazaldua</v>
      </c>
      <c r="W1369" s="25" t="str">
        <f t="shared" si="1"/>
        <v>DANIEL
 BAZALDUA</v>
      </c>
      <c r="X1369" s="40"/>
      <c r="Y1369" s="40"/>
      <c r="Z1369" s="25" t="str">
        <f>IFERROR(__xludf.DUMMYFUNCTION("SPLIT(C1369,""
"")"),"Bazaldua, Daniel")</f>
        <v>Bazaldua, Daniel</v>
      </c>
      <c r="AA1369" s="40">
        <f>IFERROR(__xludf.DUMMYFUNCTION("""COMPUTED_VALUE"""),6404.0)</f>
        <v>6404</v>
      </c>
      <c r="AB1369" s="40" t="str">
        <f>IFERROR(__xludf.DUMMYFUNCTION("""COMPUTED_VALUE"""),"Arlington, TX 76001")</f>
        <v>Arlington, TX 76001</v>
      </c>
      <c r="AC1369" s="31" t="s">
        <v>2925</v>
      </c>
      <c r="AD1369" s="40"/>
      <c r="AE1369" s="40"/>
      <c r="AF1369" s="40"/>
      <c r="AG1369" s="40" t="s">
        <v>60</v>
      </c>
      <c r="AH1369" s="42">
        <v>2500.0</v>
      </c>
      <c r="AI1369" s="40" t="s">
        <v>68</v>
      </c>
      <c r="AJ1369" s="27">
        <v>200.0</v>
      </c>
      <c r="AK1369" s="31" t="s">
        <v>23</v>
      </c>
      <c r="AL1369" s="43">
        <v>44824.0</v>
      </c>
      <c r="AM1369" s="44">
        <v>44941.874814814815</v>
      </c>
      <c r="AN1369" s="30">
        <v>2.0</v>
      </c>
      <c r="AO1369" s="40"/>
      <c r="AP1369" s="40"/>
      <c r="AQ1369" s="40"/>
      <c r="AR1369" s="40"/>
      <c r="AS1369" s="40"/>
      <c r="AT1369" s="47"/>
      <c r="AU1369" s="40"/>
      <c r="AV1369" s="46"/>
      <c r="AW1369" s="46"/>
      <c r="AX1369" s="47"/>
      <c r="AY1369" s="44"/>
      <c r="AZ1369" s="30"/>
      <c r="CU1369" s="55"/>
      <c r="CV1369" s="55"/>
      <c r="CW1369" s="55"/>
      <c r="CX1369" s="55"/>
      <c r="CY1369" s="55"/>
      <c r="CZ1369" s="55"/>
      <c r="DA1369" s="82"/>
      <c r="DB1369" s="55"/>
      <c r="DC1369" s="55"/>
      <c r="DD1369" s="55"/>
      <c r="DE1369" s="55"/>
      <c r="DF1369" s="55"/>
      <c r="DG1369" s="55"/>
      <c r="DH1369" s="55"/>
      <c r="DI1369" s="55"/>
      <c r="DJ1369" s="55"/>
      <c r="DK1369" s="55"/>
      <c r="DL1369" s="55"/>
      <c r="DM1369" s="55"/>
      <c r="DN1369" s="55"/>
      <c r="DO1369" s="55"/>
      <c r="DP1369" s="55"/>
      <c r="DQ1369" s="55"/>
      <c r="DR1369" s="55"/>
      <c r="DS1369" s="55"/>
      <c r="DT1369" s="55"/>
      <c r="DU1369" s="55"/>
      <c r="DV1369" s="55"/>
      <c r="DW1369" s="55"/>
    </row>
    <row r="1370">
      <c r="A1370" s="23" t="s">
        <v>64</v>
      </c>
      <c r="B1370" s="23" t="s">
        <v>56</v>
      </c>
      <c r="C1370" s="31" t="s">
        <v>2926</v>
      </c>
      <c r="D1370" s="25" t="str">
        <f>IFERROR(__xludf.DUMMYFUNCTION("SPLIT(C1370,"" "")"),"Myers,")</f>
        <v>Myers,</v>
      </c>
      <c r="E1370" s="22" t="str">
        <f>IFERROR(__xludf.DUMMYFUNCTION("""COMPUTED_VALUE"""),"Kirk
1604")</f>
        <v>Kirk
1604</v>
      </c>
      <c r="F1370" s="22" t="str">
        <f>IFERROR(__xludf.DUMMYFUNCTION("""COMPUTED_VALUE"""),"
Desoto,")</f>
        <v>
Desoto,</v>
      </c>
      <c r="G1370" s="22" t="str">
        <f>IFERROR(__xludf.DUMMYFUNCTION("""COMPUTED_VALUE"""),"TX")</f>
        <v>TX</v>
      </c>
      <c r="H1370" s="22">
        <f>IFERROR(__xludf.DUMMYFUNCTION("""COMPUTED_VALUE"""),75115.0)</f>
        <v>75115</v>
      </c>
      <c r="I1370" s="22"/>
      <c r="J1370" s="22"/>
      <c r="K1370" s="22"/>
      <c r="L1370" s="22"/>
      <c r="M1370" s="22"/>
      <c r="N1370" s="22"/>
      <c r="O1370" s="22"/>
      <c r="P1370" s="22"/>
      <c r="Q1370" s="22"/>
      <c r="R1370" s="22"/>
      <c r="S1370" s="22"/>
      <c r="T1370" s="22"/>
      <c r="U1370" s="24" t="str">
        <f>IFERROR(__xludf.DUMMYFUNCTION("SPLIT(E1370,""01234567890"")"),"Kirk
")</f>
        <v>Kirk
</v>
      </c>
      <c r="V1370" s="24" t="str">
        <f>IFERROR(__xludf.DUMMYFUNCTION("SPLIT(D1370,"","")"),"Myers")</f>
        <v>Myers</v>
      </c>
      <c r="W1370" s="25" t="str">
        <f t="shared" si="1"/>
        <v>KIRK
 MYERS</v>
      </c>
      <c r="X1370" s="22"/>
      <c r="Y1370" s="22"/>
      <c r="Z1370" s="25" t="str">
        <f>IFERROR(__xludf.DUMMYFUNCTION("SPLIT(C1370,""
"")"),"Myers, Kirk")</f>
        <v>Myers, Kirk</v>
      </c>
      <c r="AA1370" s="22">
        <f>IFERROR(__xludf.DUMMYFUNCTION("""COMPUTED_VALUE"""),1604.0)</f>
        <v>1604</v>
      </c>
      <c r="AB1370" s="22" t="str">
        <f>IFERROR(__xludf.DUMMYFUNCTION("""COMPUTED_VALUE"""),"Desoto, TX 75115")</f>
        <v>Desoto, TX 75115</v>
      </c>
      <c r="AC1370" s="31" t="s">
        <v>2927</v>
      </c>
      <c r="AD1370" s="22"/>
      <c r="AE1370" s="22"/>
      <c r="AF1370" s="22"/>
      <c r="AG1370" s="22" t="s">
        <v>60</v>
      </c>
      <c r="AH1370" s="54">
        <v>2500.0</v>
      </c>
      <c r="AI1370" s="22" t="s">
        <v>68</v>
      </c>
      <c r="AJ1370" s="27">
        <v>1000.0</v>
      </c>
      <c r="AK1370" s="31" t="s">
        <v>23</v>
      </c>
      <c r="AL1370" s="28">
        <v>44826.0</v>
      </c>
      <c r="AM1370" s="29">
        <v>44941.874814814815</v>
      </c>
      <c r="AN1370" s="30">
        <v>2.0</v>
      </c>
      <c r="AO1370" s="22"/>
      <c r="AP1370" s="22"/>
      <c r="AQ1370" s="22"/>
      <c r="AR1370" s="22"/>
      <c r="AS1370" s="22"/>
      <c r="AT1370" s="70"/>
      <c r="AU1370" s="22"/>
      <c r="AV1370" s="57"/>
      <c r="AW1370" s="57"/>
      <c r="AX1370" s="70"/>
      <c r="AY1370" s="29"/>
      <c r="AZ1370" s="30"/>
      <c r="CU1370" s="55"/>
      <c r="CV1370" s="55"/>
      <c r="CW1370" s="55"/>
      <c r="CX1370" s="55"/>
      <c r="CY1370" s="55"/>
      <c r="CZ1370" s="55"/>
      <c r="DA1370" s="82"/>
      <c r="DB1370" s="55"/>
      <c r="DC1370" s="55"/>
      <c r="DD1370" s="55"/>
      <c r="DE1370" s="55"/>
      <c r="DF1370" s="55"/>
      <c r="DG1370" s="55"/>
      <c r="DH1370" s="55"/>
      <c r="DI1370" s="55"/>
      <c r="DJ1370" s="55"/>
      <c r="DK1370" s="55"/>
      <c r="DL1370" s="55"/>
      <c r="DM1370" s="55"/>
      <c r="DN1370" s="55"/>
      <c r="DO1370" s="55"/>
      <c r="DP1370" s="55"/>
      <c r="DQ1370" s="55"/>
      <c r="DR1370" s="55"/>
      <c r="DS1370" s="55"/>
      <c r="DT1370" s="55"/>
      <c r="DU1370" s="55"/>
      <c r="DV1370" s="55"/>
      <c r="DW1370" s="55"/>
    </row>
    <row r="1371">
      <c r="A1371" s="40" t="s">
        <v>55</v>
      </c>
      <c r="B1371" s="41" t="s">
        <v>56</v>
      </c>
      <c r="C1371" s="31" t="s">
        <v>2928</v>
      </c>
      <c r="D1371" s="25" t="str">
        <f>IFERROR(__xludf.DUMMYFUNCTION("SPLIT(C1371,"" "")"),"Luallen,")</f>
        <v>Luallen,</v>
      </c>
      <c r="E1371" s="40" t="str">
        <f>IFERROR(__xludf.DUMMYFUNCTION("""COMPUTED_VALUE"""),"Brian
2772")</f>
        <v>Brian
2772</v>
      </c>
      <c r="F1371" s="40" t="str">
        <f>IFERROR(__xludf.DUMMYFUNCTION("""COMPUTED_VALUE"""),"
Dallas,")</f>
        <v>
Dallas,</v>
      </c>
      <c r="G1371" s="40" t="str">
        <f>IFERROR(__xludf.DUMMYFUNCTION("""COMPUTED_VALUE"""),"TX")</f>
        <v>TX</v>
      </c>
      <c r="H1371" s="40">
        <f>IFERROR(__xludf.DUMMYFUNCTION("""COMPUTED_VALUE"""),75226.0)</f>
        <v>75226</v>
      </c>
      <c r="I1371" s="40"/>
      <c r="J1371" s="40"/>
      <c r="K1371" s="40"/>
      <c r="L1371" s="40"/>
      <c r="M1371" s="40"/>
      <c r="N1371" s="40"/>
      <c r="O1371" s="40"/>
      <c r="P1371" s="40"/>
      <c r="Q1371" s="40"/>
      <c r="R1371" s="40"/>
      <c r="S1371" s="40"/>
      <c r="T1371" s="40"/>
      <c r="U1371" s="24" t="str">
        <f>IFERROR(__xludf.DUMMYFUNCTION("SPLIT(E1371,""01234567890"")"),"Brian
")</f>
        <v>Brian
</v>
      </c>
      <c r="V1371" s="24" t="str">
        <f>IFERROR(__xludf.DUMMYFUNCTION("SPLIT(D1371,"","")"),"Luallen")</f>
        <v>Luallen</v>
      </c>
      <c r="W1371" s="25" t="str">
        <f t="shared" si="1"/>
        <v>BRIAN
 LUALLEN</v>
      </c>
      <c r="X1371" s="40"/>
      <c r="Y1371" s="40"/>
      <c r="Z1371" s="25" t="str">
        <f>IFERROR(__xludf.DUMMYFUNCTION("SPLIT(C1371,""
"")"),"Luallen, Brian")</f>
        <v>Luallen, Brian</v>
      </c>
      <c r="AA1371" s="40">
        <f>IFERROR(__xludf.DUMMYFUNCTION("""COMPUTED_VALUE"""),2772.0)</f>
        <v>2772</v>
      </c>
      <c r="AB1371" s="40" t="str">
        <f>IFERROR(__xludf.DUMMYFUNCTION("""COMPUTED_VALUE"""),"Dallas, TX 75226")</f>
        <v>Dallas, TX 75226</v>
      </c>
      <c r="AC1371" s="31" t="s">
        <v>2179</v>
      </c>
      <c r="AD1371" s="40"/>
      <c r="AE1371" s="40"/>
      <c r="AF1371" s="40"/>
      <c r="AG1371" s="40" t="s">
        <v>60</v>
      </c>
      <c r="AH1371" s="42">
        <v>2500.0</v>
      </c>
      <c r="AI1371" s="40" t="s">
        <v>68</v>
      </c>
      <c r="AJ1371" s="27">
        <v>250.0</v>
      </c>
      <c r="AK1371" s="31" t="s">
        <v>23</v>
      </c>
      <c r="AL1371" s="43">
        <v>44832.0</v>
      </c>
      <c r="AM1371" s="44">
        <v>44941.874814814815</v>
      </c>
      <c r="AN1371" s="30">
        <v>2.0</v>
      </c>
      <c r="AO1371" s="40"/>
      <c r="AP1371" s="40"/>
      <c r="AQ1371" s="40"/>
      <c r="AR1371" s="40"/>
      <c r="AS1371" s="40"/>
      <c r="AT1371" s="47"/>
      <c r="AU1371" s="40"/>
      <c r="AV1371" s="46"/>
      <c r="AW1371" s="46"/>
      <c r="AX1371" s="47"/>
      <c r="AY1371" s="44"/>
      <c r="AZ1371" s="30"/>
      <c r="CU1371" s="55"/>
      <c r="CV1371" s="55"/>
      <c r="CW1371" s="55"/>
      <c r="CX1371" s="55"/>
      <c r="CY1371" s="55"/>
      <c r="CZ1371" s="55"/>
      <c r="DA1371" s="82"/>
      <c r="DB1371" s="55"/>
      <c r="DC1371" s="55"/>
      <c r="DD1371" s="55"/>
      <c r="DE1371" s="55"/>
      <c r="DF1371" s="55"/>
      <c r="DG1371" s="55"/>
      <c r="DH1371" s="55"/>
      <c r="DI1371" s="55"/>
      <c r="DJ1371" s="55"/>
      <c r="DK1371" s="55"/>
      <c r="DL1371" s="55"/>
      <c r="DM1371" s="55"/>
      <c r="DN1371" s="55"/>
      <c r="DO1371" s="55"/>
      <c r="DP1371" s="55"/>
      <c r="DQ1371" s="55"/>
      <c r="DR1371" s="55"/>
      <c r="DS1371" s="55"/>
      <c r="DT1371" s="55"/>
      <c r="DU1371" s="55"/>
      <c r="DV1371" s="55"/>
      <c r="DW1371" s="55"/>
    </row>
    <row r="1372">
      <c r="A1372" s="23" t="s">
        <v>64</v>
      </c>
      <c r="B1372" s="23" t="s">
        <v>56</v>
      </c>
      <c r="C1372" s="31" t="s">
        <v>115</v>
      </c>
      <c r="D1372" s="25" t="str">
        <f>IFERROR(__xludf.DUMMYFUNCTION("SPLIT(C1372,"" "")"),"Agarwal,")</f>
        <v>Agarwal,</v>
      </c>
      <c r="E1372" s="22" t="str">
        <f>IFERROR(__xludf.DUMMYFUNCTION("""COMPUTED_VALUE"""),"Arun
123")</f>
        <v>Arun
123</v>
      </c>
      <c r="F1372" s="22" t="str">
        <f>IFERROR(__xludf.DUMMYFUNCTION("""COMPUTED_VALUE"""),"
Dallas,")</f>
        <v>
Dallas,</v>
      </c>
      <c r="G1372" s="22" t="str">
        <f>IFERROR(__xludf.DUMMYFUNCTION("""COMPUTED_VALUE"""),"TX")</f>
        <v>TX</v>
      </c>
      <c r="H1372" s="22">
        <f>IFERROR(__xludf.DUMMYFUNCTION("""COMPUTED_VALUE"""),75207.0)</f>
        <v>75207</v>
      </c>
      <c r="I1372" s="22"/>
      <c r="J1372" s="22"/>
      <c r="K1372" s="22"/>
      <c r="L1372" s="22"/>
      <c r="M1372" s="22"/>
      <c r="N1372" s="22"/>
      <c r="O1372" s="22"/>
      <c r="P1372" s="22"/>
      <c r="Q1372" s="22"/>
      <c r="R1372" s="22"/>
      <c r="S1372" s="22"/>
      <c r="T1372" s="22"/>
      <c r="U1372" s="24" t="str">
        <f>IFERROR(__xludf.DUMMYFUNCTION("SPLIT(E1372,""01234567890"")"),"Arun
")</f>
        <v>Arun
</v>
      </c>
      <c r="V1372" s="24" t="str">
        <f>IFERROR(__xludf.DUMMYFUNCTION("SPLIT(D1372,"","")"),"Agarwal")</f>
        <v>Agarwal</v>
      </c>
      <c r="W1372" s="25" t="str">
        <f t="shared" si="1"/>
        <v>ARUN
 AGARWAL</v>
      </c>
      <c r="X1372" s="22"/>
      <c r="Y1372" s="22"/>
      <c r="Z1372" s="25" t="str">
        <f>IFERROR(__xludf.DUMMYFUNCTION("SPLIT(C1372,""
"")"),"Agarwal, Arun")</f>
        <v>Agarwal, Arun</v>
      </c>
      <c r="AA1372" s="22">
        <f>IFERROR(__xludf.DUMMYFUNCTION("""COMPUTED_VALUE"""),123.0)</f>
        <v>123</v>
      </c>
      <c r="AB1372" s="22" t="str">
        <f>IFERROR(__xludf.DUMMYFUNCTION("""COMPUTED_VALUE"""),"Dallas, TX 75207")</f>
        <v>Dallas, TX 75207</v>
      </c>
      <c r="AC1372" s="31" t="s">
        <v>117</v>
      </c>
      <c r="AD1372" s="22"/>
      <c r="AE1372" s="22"/>
      <c r="AF1372" s="22"/>
      <c r="AG1372" s="22" t="s">
        <v>60</v>
      </c>
      <c r="AH1372" s="54">
        <v>2500.0</v>
      </c>
      <c r="AI1372" s="22" t="s">
        <v>68</v>
      </c>
      <c r="AJ1372" s="27">
        <v>1000.0</v>
      </c>
      <c r="AK1372" s="31" t="s">
        <v>23</v>
      </c>
      <c r="AL1372" s="28">
        <v>44833.0</v>
      </c>
      <c r="AM1372" s="29">
        <v>44941.874814814815</v>
      </c>
      <c r="AN1372" s="30">
        <v>2.0</v>
      </c>
      <c r="AO1372" s="22"/>
      <c r="AP1372" s="22"/>
      <c r="AQ1372" s="22"/>
      <c r="AR1372" s="22"/>
      <c r="AS1372" s="22"/>
      <c r="AT1372" s="70"/>
      <c r="AU1372" s="22"/>
      <c r="AV1372" s="57"/>
      <c r="AW1372" s="57"/>
      <c r="AX1372" s="70"/>
      <c r="AY1372" s="29"/>
      <c r="AZ1372" s="30"/>
      <c r="CU1372" s="55"/>
      <c r="CV1372" s="55"/>
      <c r="CW1372" s="55"/>
      <c r="CX1372" s="55"/>
      <c r="CY1372" s="55"/>
      <c r="CZ1372" s="55"/>
      <c r="DA1372" s="82"/>
      <c r="DB1372" s="55"/>
      <c r="DC1372" s="55"/>
      <c r="DD1372" s="55"/>
      <c r="DE1372" s="55"/>
      <c r="DF1372" s="55"/>
      <c r="DG1372" s="55"/>
      <c r="DH1372" s="55"/>
      <c r="DI1372" s="55"/>
      <c r="DJ1372" s="55"/>
      <c r="DK1372" s="55"/>
      <c r="DL1372" s="55"/>
      <c r="DM1372" s="55"/>
      <c r="DN1372" s="55"/>
      <c r="DO1372" s="55"/>
      <c r="DP1372" s="55"/>
      <c r="DQ1372" s="55"/>
      <c r="DR1372" s="55"/>
      <c r="DS1372" s="55"/>
      <c r="DT1372" s="55"/>
      <c r="DU1372" s="55"/>
      <c r="DV1372" s="55"/>
      <c r="DW1372" s="55"/>
    </row>
    <row r="1373">
      <c r="A1373" s="40" t="s">
        <v>55</v>
      </c>
      <c r="B1373" s="41" t="s">
        <v>56</v>
      </c>
      <c r="C1373" s="31" t="s">
        <v>2929</v>
      </c>
      <c r="D1373" s="25" t="str">
        <f>IFERROR(__xludf.DUMMYFUNCTION("SPLIT(C1373,"" "")"),"Heinbaugh,")</f>
        <v>Heinbaugh,</v>
      </c>
      <c r="E1373" s="40" t="str">
        <f>IFERROR(__xludf.DUMMYFUNCTION("""COMPUTED_VALUE"""),"Chris
1801")</f>
        <v>Chris
1801</v>
      </c>
      <c r="F1373" s="40" t="str">
        <f>IFERROR(__xludf.DUMMYFUNCTION("""COMPUTED_VALUE"""),"
Dallas,")</f>
        <v>
Dallas,</v>
      </c>
      <c r="G1373" s="40" t="str">
        <f>IFERROR(__xludf.DUMMYFUNCTION("""COMPUTED_VALUE"""),"TX")</f>
        <v>TX</v>
      </c>
      <c r="H1373" s="40">
        <f>IFERROR(__xludf.DUMMYFUNCTION("""COMPUTED_VALUE"""),75204.0)</f>
        <v>75204</v>
      </c>
      <c r="I1373" s="40"/>
      <c r="J1373" s="40"/>
      <c r="K1373" s="40"/>
      <c r="L1373" s="40"/>
      <c r="M1373" s="40"/>
      <c r="N1373" s="40"/>
      <c r="O1373" s="40"/>
      <c r="P1373" s="40"/>
      <c r="Q1373" s="40"/>
      <c r="R1373" s="40"/>
      <c r="S1373" s="40"/>
      <c r="T1373" s="40"/>
      <c r="U1373" s="24" t="str">
        <f>IFERROR(__xludf.DUMMYFUNCTION("SPLIT(E1373,""01234567890"")"),"Chris
")</f>
        <v>Chris
</v>
      </c>
      <c r="V1373" s="24" t="str">
        <f>IFERROR(__xludf.DUMMYFUNCTION("SPLIT(D1373,"","")"),"Heinbaugh")</f>
        <v>Heinbaugh</v>
      </c>
      <c r="W1373" s="25" t="str">
        <f t="shared" si="1"/>
        <v>CHRIS
 HEINBAUGH</v>
      </c>
      <c r="X1373" s="40"/>
      <c r="Y1373" s="40"/>
      <c r="Z1373" s="25" t="str">
        <f>IFERROR(__xludf.DUMMYFUNCTION("SPLIT(C1373,""
"")"),"Heinbaugh, Chris")</f>
        <v>Heinbaugh, Chris</v>
      </c>
      <c r="AA1373" s="40">
        <f>IFERROR(__xludf.DUMMYFUNCTION("""COMPUTED_VALUE"""),1801.0)</f>
        <v>1801</v>
      </c>
      <c r="AB1373" s="40" t="str">
        <f>IFERROR(__xludf.DUMMYFUNCTION("""COMPUTED_VALUE"""),"Dallas, TX 75204")</f>
        <v>Dallas, TX 75204</v>
      </c>
      <c r="AC1373" s="31" t="s">
        <v>1100</v>
      </c>
      <c r="AD1373" s="40"/>
      <c r="AE1373" s="40"/>
      <c r="AF1373" s="40"/>
      <c r="AG1373" s="40" t="s">
        <v>60</v>
      </c>
      <c r="AH1373" s="42">
        <v>2500.0</v>
      </c>
      <c r="AI1373" s="40" t="s">
        <v>68</v>
      </c>
      <c r="AJ1373" s="27">
        <v>50.0</v>
      </c>
      <c r="AK1373" s="31" t="s">
        <v>23</v>
      </c>
      <c r="AL1373" s="43">
        <v>44837.0</v>
      </c>
      <c r="AM1373" s="44">
        <v>44941.874814814815</v>
      </c>
      <c r="AN1373" s="30">
        <v>2.0</v>
      </c>
      <c r="AO1373" s="40"/>
      <c r="AP1373" s="40"/>
      <c r="AQ1373" s="40"/>
      <c r="AR1373" s="40"/>
      <c r="AS1373" s="40"/>
      <c r="AT1373" s="47"/>
      <c r="AU1373" s="40"/>
      <c r="AV1373" s="46"/>
      <c r="AW1373" s="46"/>
      <c r="AX1373" s="47"/>
      <c r="AY1373" s="44"/>
      <c r="AZ1373" s="30"/>
      <c r="CU1373" s="55"/>
      <c r="CV1373" s="55"/>
      <c r="CW1373" s="55"/>
      <c r="CX1373" s="55"/>
      <c r="CY1373" s="55"/>
      <c r="CZ1373" s="55"/>
      <c r="DA1373" s="82"/>
      <c r="DB1373" s="55"/>
      <c r="DC1373" s="55"/>
      <c r="DD1373" s="55"/>
      <c r="DE1373" s="55"/>
      <c r="DF1373" s="55"/>
      <c r="DG1373" s="55"/>
      <c r="DH1373" s="55"/>
      <c r="DI1373" s="55"/>
      <c r="DJ1373" s="55"/>
      <c r="DK1373" s="55"/>
      <c r="DL1373" s="55"/>
      <c r="DM1373" s="55"/>
      <c r="DN1373" s="55"/>
      <c r="DO1373" s="55"/>
      <c r="DP1373" s="55"/>
      <c r="DQ1373" s="55"/>
      <c r="DR1373" s="55"/>
      <c r="DS1373" s="55"/>
      <c r="DT1373" s="55"/>
      <c r="DU1373" s="55"/>
      <c r="DV1373" s="55"/>
      <c r="DW1373" s="55"/>
    </row>
    <row r="1374">
      <c r="A1374" s="23" t="s">
        <v>64</v>
      </c>
      <c r="B1374" s="23" t="s">
        <v>56</v>
      </c>
      <c r="C1374" s="31" t="s">
        <v>2930</v>
      </c>
      <c r="D1374" s="25" t="str">
        <f>IFERROR(__xludf.DUMMYFUNCTION("SPLIT(C1374,"" "")"),"Abrac")</f>
        <v>Abrac</v>
      </c>
      <c r="E1374" s="22" t="str">
        <f>IFERROR(__xludf.DUMMYFUNCTION("""COMPUTED_VALUE"""),"LLC
2600")</f>
        <v>LLC
2600</v>
      </c>
      <c r="F1374" s="22" t="str">
        <f>IFERROR(__xludf.DUMMYFUNCTION("""COMPUTED_VALUE"""),"
Dallas,")</f>
        <v>
Dallas,</v>
      </c>
      <c r="G1374" s="22" t="str">
        <f>IFERROR(__xludf.DUMMYFUNCTION("""COMPUTED_VALUE"""),"TX")</f>
        <v>TX</v>
      </c>
      <c r="H1374" s="22">
        <f>IFERROR(__xludf.DUMMYFUNCTION("""COMPUTED_VALUE"""),75201.0)</f>
        <v>75201</v>
      </c>
      <c r="I1374" s="22"/>
      <c r="J1374" s="22"/>
      <c r="K1374" s="22"/>
      <c r="L1374" s="22"/>
      <c r="M1374" s="22"/>
      <c r="N1374" s="22"/>
      <c r="O1374" s="22"/>
      <c r="P1374" s="22"/>
      <c r="Q1374" s="22"/>
      <c r="R1374" s="22"/>
      <c r="S1374" s="22"/>
      <c r="T1374" s="22"/>
      <c r="U1374" s="24" t="str">
        <f>IFERROR(__xludf.DUMMYFUNCTION("SPLIT(E1374,""01234567890"")"),"LLC
")</f>
        <v>LLC
</v>
      </c>
      <c r="V1374" s="24" t="str">
        <f>IFERROR(__xludf.DUMMYFUNCTION("SPLIT(D1374,"","")"),"Abrac")</f>
        <v>Abrac</v>
      </c>
      <c r="W1374" s="25" t="str">
        <f t="shared" si="1"/>
        <v>LLC
 ABRAC</v>
      </c>
      <c r="X1374" s="22"/>
      <c r="Y1374" s="22"/>
      <c r="Z1374" s="25" t="str">
        <f>IFERROR(__xludf.DUMMYFUNCTION("SPLIT(C1374,""
"")"),"Abrac LLC")</f>
        <v>Abrac LLC</v>
      </c>
      <c r="AA1374" s="22">
        <f>IFERROR(__xludf.DUMMYFUNCTION("""COMPUTED_VALUE"""),2600.0)</f>
        <v>2600</v>
      </c>
      <c r="AB1374" s="22" t="str">
        <f>IFERROR(__xludf.DUMMYFUNCTION("""COMPUTED_VALUE"""),"Dallas, TX 75201")</f>
        <v>Dallas, TX 75201</v>
      </c>
      <c r="AC1374" s="31" t="s">
        <v>2931</v>
      </c>
      <c r="AD1374" s="22"/>
      <c r="AE1374" s="22"/>
      <c r="AF1374" s="22"/>
      <c r="AG1374" s="22" t="s">
        <v>60</v>
      </c>
      <c r="AH1374" s="54">
        <v>2500.0</v>
      </c>
      <c r="AI1374" s="22" t="s">
        <v>68</v>
      </c>
      <c r="AJ1374" s="27">
        <v>100.0</v>
      </c>
      <c r="AK1374" s="31" t="s">
        <v>23</v>
      </c>
      <c r="AL1374" s="28">
        <v>44837.0</v>
      </c>
      <c r="AM1374" s="29">
        <v>44941.874814814815</v>
      </c>
      <c r="AN1374" s="30">
        <v>2.0</v>
      </c>
      <c r="AO1374" s="22"/>
      <c r="AP1374" s="22"/>
      <c r="AQ1374" s="22"/>
      <c r="AR1374" s="22"/>
      <c r="AS1374" s="22"/>
      <c r="AT1374" s="70"/>
      <c r="AU1374" s="22"/>
      <c r="AV1374" s="57"/>
      <c r="AW1374" s="57"/>
      <c r="AX1374" s="70"/>
      <c r="AY1374" s="29"/>
      <c r="AZ1374" s="30"/>
      <c r="CU1374" s="55"/>
      <c r="CV1374" s="55"/>
      <c r="CW1374" s="55"/>
      <c r="CX1374" s="55"/>
      <c r="CY1374" s="55"/>
      <c r="CZ1374" s="55"/>
      <c r="DA1374" s="82"/>
      <c r="DB1374" s="55"/>
      <c r="DC1374" s="55"/>
      <c r="DD1374" s="55"/>
      <c r="DE1374" s="55"/>
      <c r="DF1374" s="55"/>
      <c r="DG1374" s="55"/>
      <c r="DH1374" s="55"/>
      <c r="DI1374" s="55"/>
      <c r="DJ1374" s="55"/>
      <c r="DK1374" s="55"/>
      <c r="DL1374" s="55"/>
      <c r="DM1374" s="55"/>
      <c r="DN1374" s="55"/>
      <c r="DO1374" s="55"/>
      <c r="DP1374" s="55"/>
      <c r="DQ1374" s="55"/>
      <c r="DR1374" s="55"/>
      <c r="DS1374" s="55"/>
      <c r="DT1374" s="55"/>
      <c r="DU1374" s="55"/>
      <c r="DV1374" s="55"/>
      <c r="DW1374" s="55"/>
    </row>
    <row r="1375">
      <c r="A1375" s="40" t="s">
        <v>55</v>
      </c>
      <c r="B1375" s="41" t="s">
        <v>56</v>
      </c>
      <c r="C1375" s="31" t="s">
        <v>2932</v>
      </c>
      <c r="D1375" s="25" t="str">
        <f>IFERROR(__xludf.DUMMYFUNCTION("SPLIT(C1375,"" "")"),"Deleon")</f>
        <v>Deleon</v>
      </c>
      <c r="E1375" s="40" t="str">
        <f>IFERROR(__xludf.DUMMYFUNCTION("""COMPUTED_VALUE"""),"Provisions
1450")</f>
        <v>Provisions
1450</v>
      </c>
      <c r="F1375" s="40" t="str">
        <f>IFERROR(__xludf.DUMMYFUNCTION("""COMPUTED_VALUE"""),"
Dallas,")</f>
        <v>
Dallas,</v>
      </c>
      <c r="G1375" s="40" t="str">
        <f>IFERROR(__xludf.DUMMYFUNCTION("""COMPUTED_VALUE"""),"TX")</f>
        <v>TX</v>
      </c>
      <c r="H1375" s="40">
        <f>IFERROR(__xludf.DUMMYFUNCTION("""COMPUTED_VALUE"""),75218.0)</f>
        <v>75218</v>
      </c>
      <c r="I1375" s="40"/>
      <c r="J1375" s="40"/>
      <c r="K1375" s="40"/>
      <c r="L1375" s="40"/>
      <c r="M1375" s="40"/>
      <c r="N1375" s="40"/>
      <c r="O1375" s="40"/>
      <c r="P1375" s="40"/>
      <c r="Q1375" s="40"/>
      <c r="R1375" s="40"/>
      <c r="S1375" s="40"/>
      <c r="T1375" s="40"/>
      <c r="U1375" s="24" t="str">
        <f>IFERROR(__xludf.DUMMYFUNCTION("SPLIT(E1375,""01234567890"")"),"Provisions
")</f>
        <v>Provisions
</v>
      </c>
      <c r="V1375" s="24" t="str">
        <f>IFERROR(__xludf.DUMMYFUNCTION("SPLIT(D1375,"","")"),"Deleon")</f>
        <v>Deleon</v>
      </c>
      <c r="W1375" s="25" t="str">
        <f t="shared" si="1"/>
        <v>PROVISIONS
 DELEON</v>
      </c>
      <c r="X1375" s="40"/>
      <c r="Y1375" s="40"/>
      <c r="Z1375" s="25" t="str">
        <f>IFERROR(__xludf.DUMMYFUNCTION("SPLIT(C1375,""
"")"),"Deleon Provisions")</f>
        <v>Deleon Provisions</v>
      </c>
      <c r="AA1375" s="40">
        <f>IFERROR(__xludf.DUMMYFUNCTION("""COMPUTED_VALUE"""),1450.0)</f>
        <v>1450</v>
      </c>
      <c r="AB1375" s="40" t="str">
        <f>IFERROR(__xludf.DUMMYFUNCTION("""COMPUTED_VALUE"""),"Dallas, TX 75218")</f>
        <v>Dallas, TX 75218</v>
      </c>
      <c r="AC1375" s="31" t="s">
        <v>2933</v>
      </c>
      <c r="AD1375" s="40"/>
      <c r="AE1375" s="40"/>
      <c r="AF1375" s="40"/>
      <c r="AG1375" s="40" t="s">
        <v>60</v>
      </c>
      <c r="AH1375" s="42">
        <v>2500.0</v>
      </c>
      <c r="AI1375" s="40" t="s">
        <v>68</v>
      </c>
      <c r="AJ1375" s="27">
        <v>50.0</v>
      </c>
      <c r="AK1375" s="31" t="s">
        <v>23</v>
      </c>
      <c r="AL1375" s="43">
        <v>44837.0</v>
      </c>
      <c r="AM1375" s="44">
        <v>44941.874814814815</v>
      </c>
      <c r="AN1375" s="30">
        <v>2.0</v>
      </c>
      <c r="AO1375" s="40"/>
      <c r="AP1375" s="40"/>
      <c r="AQ1375" s="40"/>
      <c r="AR1375" s="40"/>
      <c r="AS1375" s="40"/>
      <c r="AT1375" s="47"/>
      <c r="AU1375" s="40"/>
      <c r="AV1375" s="46"/>
      <c r="AW1375" s="46"/>
      <c r="AX1375" s="47"/>
      <c r="AY1375" s="44"/>
      <c r="AZ1375" s="30"/>
      <c r="CU1375" s="55"/>
      <c r="CV1375" s="55"/>
      <c r="CW1375" s="55"/>
      <c r="CX1375" s="55"/>
      <c r="CY1375" s="55"/>
      <c r="CZ1375" s="55"/>
      <c r="DA1375" s="82"/>
      <c r="DB1375" s="55"/>
      <c r="DC1375" s="55"/>
      <c r="DD1375" s="55"/>
      <c r="DE1375" s="55"/>
      <c r="DF1375" s="55"/>
      <c r="DG1375" s="55"/>
      <c r="DH1375" s="55"/>
      <c r="DI1375" s="55"/>
      <c r="DJ1375" s="55"/>
      <c r="DK1375" s="55"/>
      <c r="DL1375" s="55"/>
      <c r="DM1375" s="55"/>
      <c r="DN1375" s="55"/>
      <c r="DO1375" s="55"/>
      <c r="DP1375" s="55"/>
      <c r="DQ1375" s="55"/>
      <c r="DR1375" s="55"/>
      <c r="DS1375" s="55"/>
      <c r="DT1375" s="55"/>
      <c r="DU1375" s="55"/>
      <c r="DV1375" s="55"/>
      <c r="DW1375" s="55"/>
    </row>
    <row r="1376">
      <c r="A1376" s="23" t="s">
        <v>64</v>
      </c>
      <c r="B1376" s="23" t="s">
        <v>56</v>
      </c>
      <c r="C1376" s="31" t="s">
        <v>2934</v>
      </c>
      <c r="D1376" s="25" t="str">
        <f>IFERROR(__xludf.DUMMYFUNCTION("SPLIT(C1376,"" "")"),"Winn,")</f>
        <v>Winn,</v>
      </c>
      <c r="E1376" s="22" t="str">
        <f>IFERROR(__xludf.DUMMYFUNCTION("""COMPUTED_VALUE"""),"Tim
398")</f>
        <v>Tim
398</v>
      </c>
      <c r="F1376" s="22" t="str">
        <f>IFERROR(__xludf.DUMMYFUNCTION("""COMPUTED_VALUE"""),"
Kosse,")</f>
        <v>
Kosse,</v>
      </c>
      <c r="G1376" s="22" t="str">
        <f>IFERROR(__xludf.DUMMYFUNCTION("""COMPUTED_VALUE"""),"TX")</f>
        <v>TX</v>
      </c>
      <c r="H1376" s="22">
        <f>IFERROR(__xludf.DUMMYFUNCTION("""COMPUTED_VALUE"""),76653.0)</f>
        <v>76653</v>
      </c>
      <c r="I1376" s="22"/>
      <c r="J1376" s="22"/>
      <c r="K1376" s="22"/>
      <c r="L1376" s="22"/>
      <c r="M1376" s="22"/>
      <c r="N1376" s="22"/>
      <c r="O1376" s="22"/>
      <c r="P1376" s="22"/>
      <c r="Q1376" s="22"/>
      <c r="R1376" s="22"/>
      <c r="S1376" s="22"/>
      <c r="T1376" s="22"/>
      <c r="U1376" s="24" t="str">
        <f>IFERROR(__xludf.DUMMYFUNCTION("SPLIT(E1376,""01234567890"")"),"Tim
")</f>
        <v>Tim
</v>
      </c>
      <c r="V1376" s="24" t="str">
        <f>IFERROR(__xludf.DUMMYFUNCTION("SPLIT(D1376,"","")"),"Winn")</f>
        <v>Winn</v>
      </c>
      <c r="W1376" s="25" t="str">
        <f t="shared" si="1"/>
        <v>TIM
 WINN</v>
      </c>
      <c r="X1376" s="22"/>
      <c r="Y1376" s="22"/>
      <c r="Z1376" s="25" t="str">
        <f>IFERROR(__xludf.DUMMYFUNCTION("SPLIT(C1376,""
"")"),"Winn, Tim")</f>
        <v>Winn, Tim</v>
      </c>
      <c r="AA1376" s="22">
        <f>IFERROR(__xludf.DUMMYFUNCTION("""COMPUTED_VALUE"""),398.0)</f>
        <v>398</v>
      </c>
      <c r="AB1376" s="22" t="str">
        <f>IFERROR(__xludf.DUMMYFUNCTION("""COMPUTED_VALUE"""),"Kosse, TX 76653")</f>
        <v>Kosse, TX 76653</v>
      </c>
      <c r="AC1376" s="31" t="s">
        <v>2935</v>
      </c>
      <c r="AD1376" s="22"/>
      <c r="AE1376" s="22"/>
      <c r="AF1376" s="22"/>
      <c r="AG1376" s="22" t="s">
        <v>60</v>
      </c>
      <c r="AH1376" s="54">
        <v>2500.0</v>
      </c>
      <c r="AI1376" s="22" t="s">
        <v>68</v>
      </c>
      <c r="AJ1376" s="27">
        <v>500.0</v>
      </c>
      <c r="AK1376" s="31" t="s">
        <v>23</v>
      </c>
      <c r="AL1376" s="28">
        <v>44837.0</v>
      </c>
      <c r="AM1376" s="29">
        <v>44941.874814814815</v>
      </c>
      <c r="AN1376" s="30">
        <v>2.0</v>
      </c>
      <c r="AO1376" s="22"/>
      <c r="AP1376" s="22"/>
      <c r="AQ1376" s="22"/>
      <c r="AR1376" s="22"/>
      <c r="AS1376" s="22"/>
      <c r="AT1376" s="70"/>
      <c r="AU1376" s="22"/>
      <c r="AV1376" s="57"/>
      <c r="AW1376" s="57"/>
      <c r="AX1376" s="70"/>
      <c r="AY1376" s="29"/>
      <c r="AZ1376" s="30"/>
      <c r="CU1376" s="55"/>
      <c r="CV1376" s="55"/>
      <c r="CW1376" s="55"/>
      <c r="CX1376" s="55"/>
      <c r="CY1376" s="55"/>
      <c r="CZ1376" s="55"/>
      <c r="DA1376" s="82"/>
      <c r="DB1376" s="55"/>
      <c r="DC1376" s="55"/>
      <c r="DD1376" s="55"/>
      <c r="DE1376" s="55"/>
      <c r="DF1376" s="55"/>
      <c r="DG1376" s="55"/>
      <c r="DH1376" s="55"/>
      <c r="DI1376" s="55"/>
      <c r="DJ1376" s="55"/>
      <c r="DK1376" s="55"/>
      <c r="DL1376" s="55"/>
      <c r="DM1376" s="55"/>
      <c r="DN1376" s="55"/>
      <c r="DO1376" s="55"/>
      <c r="DP1376" s="55"/>
      <c r="DQ1376" s="55"/>
      <c r="DR1376" s="55"/>
      <c r="DS1376" s="55"/>
      <c r="DT1376" s="55"/>
      <c r="DU1376" s="55"/>
      <c r="DV1376" s="55"/>
      <c r="DW1376" s="55"/>
    </row>
    <row r="1377">
      <c r="A1377" s="40" t="s">
        <v>55</v>
      </c>
      <c r="B1377" s="41" t="s">
        <v>56</v>
      </c>
      <c r="C1377" s="31" t="s">
        <v>398</v>
      </c>
      <c r="D1377" s="25" t="str">
        <f>IFERROR(__xludf.DUMMYFUNCTION("SPLIT(C1377,"" "")"),"Best,")</f>
        <v>Best,</v>
      </c>
      <c r="E1377" s="40" t="str">
        <f>IFERROR(__xludf.DUMMYFUNCTION("""COMPUTED_VALUE"""),"Nancy
9762")</f>
        <v>Nancy
9762</v>
      </c>
      <c r="F1377" s="40" t="str">
        <f>IFERROR(__xludf.DUMMYFUNCTION("""COMPUTED_VALUE"""),"
Dallas,")</f>
        <v>
Dallas,</v>
      </c>
      <c r="G1377" s="40" t="str">
        <f>IFERROR(__xludf.DUMMYFUNCTION("""COMPUTED_VALUE"""),"TX")</f>
        <v>TX</v>
      </c>
      <c r="H1377" s="40">
        <f>IFERROR(__xludf.DUMMYFUNCTION("""COMPUTED_VALUE"""),75220.0)</f>
        <v>75220</v>
      </c>
      <c r="I1377" s="40"/>
      <c r="J1377" s="40"/>
      <c r="K1377" s="40"/>
      <c r="L1377" s="40"/>
      <c r="M1377" s="40"/>
      <c r="N1377" s="40"/>
      <c r="O1377" s="40"/>
      <c r="P1377" s="40"/>
      <c r="Q1377" s="40"/>
      <c r="R1377" s="40"/>
      <c r="S1377" s="40"/>
      <c r="T1377" s="40"/>
      <c r="U1377" s="24" t="str">
        <f>IFERROR(__xludf.DUMMYFUNCTION("SPLIT(E1377,""01234567890"")"),"Nancy
")</f>
        <v>Nancy
</v>
      </c>
      <c r="V1377" s="24" t="str">
        <f>IFERROR(__xludf.DUMMYFUNCTION("SPLIT(D1377,"","")"),"Best")</f>
        <v>Best</v>
      </c>
      <c r="W1377" s="25" t="str">
        <f t="shared" si="1"/>
        <v>NANCY
 BEST</v>
      </c>
      <c r="X1377" s="40"/>
      <c r="Y1377" s="40"/>
      <c r="Z1377" s="25" t="str">
        <f>IFERROR(__xludf.DUMMYFUNCTION("SPLIT(C1377,""
"")"),"Best, Nancy")</f>
        <v>Best, Nancy</v>
      </c>
      <c r="AA1377" s="40">
        <f>IFERROR(__xludf.DUMMYFUNCTION("""COMPUTED_VALUE"""),9762.0)</f>
        <v>9762</v>
      </c>
      <c r="AB1377" s="40" t="str">
        <f>IFERROR(__xludf.DUMMYFUNCTION("""COMPUTED_VALUE"""),"Dallas, TX 75220")</f>
        <v>Dallas, TX 75220</v>
      </c>
      <c r="AC1377" s="31" t="s">
        <v>400</v>
      </c>
      <c r="AD1377" s="40"/>
      <c r="AE1377" s="40"/>
      <c r="AF1377" s="40"/>
      <c r="AG1377" s="40" t="s">
        <v>60</v>
      </c>
      <c r="AH1377" s="42">
        <v>2500.0</v>
      </c>
      <c r="AI1377" s="40" t="s">
        <v>68</v>
      </c>
      <c r="AJ1377" s="27">
        <v>1000.0</v>
      </c>
      <c r="AK1377" s="31" t="s">
        <v>23</v>
      </c>
      <c r="AL1377" s="43">
        <v>44846.0</v>
      </c>
      <c r="AM1377" s="44">
        <v>44941.874814814815</v>
      </c>
      <c r="AN1377" s="30">
        <v>2.0</v>
      </c>
      <c r="AO1377" s="40"/>
      <c r="AP1377" s="40"/>
      <c r="AQ1377" s="40"/>
      <c r="AR1377" s="40"/>
      <c r="AS1377" s="40"/>
      <c r="AT1377" s="47"/>
      <c r="AU1377" s="40"/>
      <c r="AV1377" s="46"/>
      <c r="AW1377" s="46"/>
      <c r="AX1377" s="47"/>
      <c r="AY1377" s="44"/>
      <c r="AZ1377" s="30"/>
      <c r="CU1377" s="55"/>
      <c r="CV1377" s="55"/>
      <c r="CW1377" s="55"/>
      <c r="CX1377" s="55"/>
      <c r="CY1377" s="55"/>
      <c r="CZ1377" s="55"/>
      <c r="DA1377" s="82"/>
      <c r="DB1377" s="55"/>
      <c r="DC1377" s="55"/>
      <c r="DD1377" s="55"/>
      <c r="DE1377" s="55"/>
      <c r="DF1377" s="55"/>
      <c r="DG1377" s="55"/>
      <c r="DH1377" s="55"/>
      <c r="DI1377" s="55"/>
      <c r="DJ1377" s="55"/>
      <c r="DK1377" s="55"/>
      <c r="DL1377" s="55"/>
      <c r="DM1377" s="55"/>
      <c r="DN1377" s="55"/>
      <c r="DO1377" s="55"/>
      <c r="DP1377" s="55"/>
      <c r="DQ1377" s="55"/>
      <c r="DR1377" s="55"/>
      <c r="DS1377" s="55"/>
      <c r="DT1377" s="55"/>
      <c r="DU1377" s="55"/>
      <c r="DV1377" s="55"/>
      <c r="DW1377" s="55"/>
    </row>
    <row r="1378">
      <c r="A1378" s="23" t="s">
        <v>64</v>
      </c>
      <c r="B1378" s="23" t="s">
        <v>56</v>
      </c>
      <c r="C1378" s="31" t="s">
        <v>2936</v>
      </c>
      <c r="D1378" s="25" t="str">
        <f>IFERROR(__xludf.DUMMYFUNCTION("SPLIT(C1378,"" "")"),"Chase,")</f>
        <v>Chase,</v>
      </c>
      <c r="E1378" s="22" t="str">
        <f>IFERROR(__xludf.DUMMYFUNCTION("""COMPUTED_VALUE"""),"Scott
1700")</f>
        <v>Scott
1700</v>
      </c>
      <c r="F1378" s="22" t="str">
        <f>IFERROR(__xludf.DUMMYFUNCTION("""COMPUTED_VALUE"""),"
Dallas,")</f>
        <v>
Dallas,</v>
      </c>
      <c r="G1378" s="22" t="str">
        <f>IFERROR(__xludf.DUMMYFUNCTION("""COMPUTED_VALUE"""),"TX")</f>
        <v>TX</v>
      </c>
      <c r="H1378" s="22">
        <f>IFERROR(__xludf.DUMMYFUNCTION("""COMPUTED_VALUE"""),75201.0)</f>
        <v>75201</v>
      </c>
      <c r="I1378" s="22"/>
      <c r="J1378" s="22"/>
      <c r="K1378" s="22"/>
      <c r="L1378" s="22"/>
      <c r="M1378" s="22"/>
      <c r="N1378" s="22"/>
      <c r="O1378" s="22"/>
      <c r="P1378" s="22"/>
      <c r="Q1378" s="22"/>
      <c r="R1378" s="22"/>
      <c r="S1378" s="22"/>
      <c r="T1378" s="22"/>
      <c r="U1378" s="24" t="str">
        <f>IFERROR(__xludf.DUMMYFUNCTION("SPLIT(E1378,""01234567890"")"),"Scott
")</f>
        <v>Scott
</v>
      </c>
      <c r="V1378" s="24" t="str">
        <f>IFERROR(__xludf.DUMMYFUNCTION("SPLIT(D1378,"","")"),"Chase")</f>
        <v>Chase</v>
      </c>
      <c r="W1378" s="25" t="str">
        <f t="shared" si="1"/>
        <v>SCOTT
 CHASE</v>
      </c>
      <c r="X1378" s="22"/>
      <c r="Y1378" s="22"/>
      <c r="Z1378" s="25" t="str">
        <f>IFERROR(__xludf.DUMMYFUNCTION("SPLIT(C1378,""
"")"),"Chase, Scott")</f>
        <v>Chase, Scott</v>
      </c>
      <c r="AA1378" s="22">
        <f>IFERROR(__xludf.DUMMYFUNCTION("""COMPUTED_VALUE"""),1700.0)</f>
        <v>1700</v>
      </c>
      <c r="AB1378" s="22" t="str">
        <f>IFERROR(__xludf.DUMMYFUNCTION("""COMPUTED_VALUE"""),"Dallas, TX 75201")</f>
        <v>Dallas, TX 75201</v>
      </c>
      <c r="AC1378" s="31" t="s">
        <v>1344</v>
      </c>
      <c r="AD1378" s="22"/>
      <c r="AE1378" s="22"/>
      <c r="AF1378" s="22"/>
      <c r="AG1378" s="22" t="s">
        <v>60</v>
      </c>
      <c r="AH1378" s="54">
        <v>2500.0</v>
      </c>
      <c r="AI1378" s="22" t="s">
        <v>68</v>
      </c>
      <c r="AJ1378" s="27">
        <v>50.0</v>
      </c>
      <c r="AK1378" s="31" t="s">
        <v>23</v>
      </c>
      <c r="AL1378" s="28">
        <v>44846.0</v>
      </c>
      <c r="AM1378" s="29">
        <v>44941.874814814815</v>
      </c>
      <c r="AN1378" s="30">
        <v>2.0</v>
      </c>
      <c r="AO1378" s="22"/>
      <c r="AP1378" s="22"/>
      <c r="AQ1378" s="22"/>
      <c r="AR1378" s="22"/>
      <c r="AS1378" s="22"/>
      <c r="AT1378" s="70"/>
      <c r="AU1378" s="22"/>
      <c r="AV1378" s="57"/>
      <c r="AW1378" s="57"/>
      <c r="AX1378" s="70"/>
      <c r="AY1378" s="29"/>
      <c r="AZ1378" s="30"/>
      <c r="CU1378" s="55"/>
      <c r="CV1378" s="55"/>
      <c r="CW1378" s="55"/>
      <c r="CX1378" s="55"/>
      <c r="CY1378" s="55"/>
      <c r="CZ1378" s="55"/>
      <c r="DA1378" s="82"/>
      <c r="DB1378" s="55"/>
      <c r="DC1378" s="55"/>
      <c r="DD1378" s="55"/>
      <c r="DE1378" s="55"/>
      <c r="DF1378" s="55"/>
      <c r="DG1378" s="55"/>
      <c r="DH1378" s="55"/>
      <c r="DI1378" s="55"/>
      <c r="DJ1378" s="55"/>
      <c r="DK1378" s="55"/>
      <c r="DL1378" s="55"/>
      <c r="DM1378" s="55"/>
      <c r="DN1378" s="55"/>
      <c r="DO1378" s="55"/>
      <c r="DP1378" s="55"/>
      <c r="DQ1378" s="55"/>
      <c r="DR1378" s="55"/>
      <c r="DS1378" s="55"/>
      <c r="DT1378" s="55"/>
      <c r="DU1378" s="55"/>
      <c r="DV1378" s="55"/>
      <c r="DW1378" s="55"/>
    </row>
    <row r="1379">
      <c r="A1379" s="40" t="s">
        <v>55</v>
      </c>
      <c r="B1379" s="41" t="s">
        <v>56</v>
      </c>
      <c r="C1379" s="31" t="s">
        <v>2937</v>
      </c>
      <c r="D1379" s="25" t="str">
        <f>IFERROR(__xludf.DUMMYFUNCTION("SPLIT(C1379,"" "")"),"Dewar,")</f>
        <v>Dewar,</v>
      </c>
      <c r="E1379" s="40" t="str">
        <f>IFERROR(__xludf.DUMMYFUNCTION("""COMPUTED_VALUE"""),"Clarie
5359")</f>
        <v>Clarie
5359</v>
      </c>
      <c r="F1379" s="40" t="str">
        <f>IFERROR(__xludf.DUMMYFUNCTION("""COMPUTED_VALUE"""),"
Dallas,")</f>
        <v>
Dallas,</v>
      </c>
      <c r="G1379" s="40" t="str">
        <f>IFERROR(__xludf.DUMMYFUNCTION("""COMPUTED_VALUE"""),"TX")</f>
        <v>TX</v>
      </c>
      <c r="H1379" s="40">
        <f>IFERROR(__xludf.DUMMYFUNCTION("""COMPUTED_VALUE"""),75209.0)</f>
        <v>75209</v>
      </c>
      <c r="I1379" s="40"/>
      <c r="J1379" s="40"/>
      <c r="K1379" s="40"/>
      <c r="L1379" s="40"/>
      <c r="M1379" s="40"/>
      <c r="N1379" s="40"/>
      <c r="O1379" s="40"/>
      <c r="P1379" s="40"/>
      <c r="Q1379" s="40"/>
      <c r="R1379" s="40"/>
      <c r="S1379" s="40"/>
      <c r="T1379" s="40"/>
      <c r="U1379" s="24" t="str">
        <f>IFERROR(__xludf.DUMMYFUNCTION("SPLIT(E1379,""01234567890"")"),"Clarie
")</f>
        <v>Clarie
</v>
      </c>
      <c r="V1379" s="24" t="str">
        <f>IFERROR(__xludf.DUMMYFUNCTION("SPLIT(D1379,"","")"),"Dewar")</f>
        <v>Dewar</v>
      </c>
      <c r="W1379" s="25" t="str">
        <f t="shared" si="1"/>
        <v>CLARIE
 DEWAR</v>
      </c>
      <c r="X1379" s="40"/>
      <c r="Y1379" s="40"/>
      <c r="Z1379" s="25" t="str">
        <f>IFERROR(__xludf.DUMMYFUNCTION("SPLIT(C1379,""
"")"),"Dewar, Clarie")</f>
        <v>Dewar, Clarie</v>
      </c>
      <c r="AA1379" s="40">
        <f>IFERROR(__xludf.DUMMYFUNCTION("""COMPUTED_VALUE"""),5359.0)</f>
        <v>5359</v>
      </c>
      <c r="AB1379" s="40" t="str">
        <f>IFERROR(__xludf.DUMMYFUNCTION("""COMPUTED_VALUE"""),"Dallas, TX 75209")</f>
        <v>Dallas, TX 75209</v>
      </c>
      <c r="AC1379" s="31" t="s">
        <v>2938</v>
      </c>
      <c r="AD1379" s="40"/>
      <c r="AE1379" s="40"/>
      <c r="AF1379" s="40"/>
      <c r="AG1379" s="40" t="s">
        <v>60</v>
      </c>
      <c r="AH1379" s="42">
        <v>2500.0</v>
      </c>
      <c r="AI1379" s="40" t="s">
        <v>68</v>
      </c>
      <c r="AJ1379" s="27">
        <v>1000.0</v>
      </c>
      <c r="AK1379" s="31" t="s">
        <v>23</v>
      </c>
      <c r="AL1379" s="43">
        <v>44864.0</v>
      </c>
      <c r="AM1379" s="44">
        <v>44941.874814814815</v>
      </c>
      <c r="AN1379" s="30">
        <v>2.0</v>
      </c>
      <c r="AO1379" s="40"/>
      <c r="AP1379" s="40"/>
      <c r="AQ1379" s="40"/>
      <c r="AR1379" s="40"/>
      <c r="AS1379" s="40"/>
      <c r="AT1379" s="47"/>
      <c r="AU1379" s="40"/>
      <c r="AV1379" s="46"/>
      <c r="AW1379" s="46"/>
      <c r="AX1379" s="47"/>
      <c r="AY1379" s="44"/>
      <c r="AZ1379" s="30"/>
      <c r="CU1379" s="55"/>
      <c r="CV1379" s="55"/>
      <c r="CW1379" s="55"/>
      <c r="CX1379" s="55"/>
      <c r="CY1379" s="55"/>
      <c r="CZ1379" s="55"/>
      <c r="DA1379" s="82"/>
      <c r="DB1379" s="55"/>
      <c r="DC1379" s="55"/>
      <c r="DD1379" s="55"/>
      <c r="DE1379" s="55"/>
      <c r="DF1379" s="55"/>
      <c r="DG1379" s="55"/>
      <c r="DH1379" s="55"/>
      <c r="DI1379" s="55"/>
      <c r="DJ1379" s="55"/>
      <c r="DK1379" s="55"/>
      <c r="DL1379" s="55"/>
      <c r="DM1379" s="55"/>
      <c r="DN1379" s="55"/>
      <c r="DO1379" s="55"/>
      <c r="DP1379" s="55"/>
      <c r="DQ1379" s="55"/>
      <c r="DR1379" s="55"/>
      <c r="DS1379" s="55"/>
      <c r="DT1379" s="55"/>
      <c r="DU1379" s="55"/>
      <c r="DV1379" s="55"/>
      <c r="DW1379" s="55"/>
    </row>
    <row r="1380">
      <c r="A1380" s="23" t="s">
        <v>64</v>
      </c>
      <c r="B1380" s="23" t="s">
        <v>56</v>
      </c>
      <c r="C1380" s="31" t="s">
        <v>2939</v>
      </c>
      <c r="D1380" s="25" t="str">
        <f>IFERROR(__xludf.DUMMYFUNCTION("SPLIT(C1380,"" "")"),"Sullivan,")</f>
        <v>Sullivan,</v>
      </c>
      <c r="E1380" s="22" t="str">
        <f>IFERROR(__xludf.DUMMYFUNCTION("""COMPUTED_VALUE"""),"Peter
5947")</f>
        <v>Peter
5947</v>
      </c>
      <c r="F1380" s="22" t="str">
        <f>IFERROR(__xludf.DUMMYFUNCTION("""COMPUTED_VALUE"""),"
Dallas,")</f>
        <v>
Dallas,</v>
      </c>
      <c r="G1380" s="22" t="str">
        <f>IFERROR(__xludf.DUMMYFUNCTION("""COMPUTED_VALUE"""),"TX")</f>
        <v>TX</v>
      </c>
      <c r="H1380" s="22">
        <f>IFERROR(__xludf.DUMMYFUNCTION("""COMPUTED_VALUE"""),75206.0)</f>
        <v>75206</v>
      </c>
      <c r="I1380" s="22"/>
      <c r="J1380" s="22"/>
      <c r="K1380" s="22"/>
      <c r="L1380" s="22"/>
      <c r="M1380" s="22"/>
      <c r="N1380" s="22"/>
      <c r="O1380" s="22"/>
      <c r="P1380" s="22"/>
      <c r="Q1380" s="22"/>
      <c r="R1380" s="22"/>
      <c r="S1380" s="22"/>
      <c r="T1380" s="22"/>
      <c r="U1380" s="24" t="str">
        <f>IFERROR(__xludf.DUMMYFUNCTION("SPLIT(E1380,""01234567890"")"),"Peter
")</f>
        <v>Peter
</v>
      </c>
      <c r="V1380" s="24" t="str">
        <f>IFERROR(__xludf.DUMMYFUNCTION("SPLIT(D1380,"","")"),"Sullivan")</f>
        <v>Sullivan</v>
      </c>
      <c r="W1380" s="25" t="str">
        <f t="shared" si="1"/>
        <v>PETER
 SULLIVAN</v>
      </c>
      <c r="X1380" s="22"/>
      <c r="Y1380" s="22"/>
      <c r="Z1380" s="25" t="str">
        <f>IFERROR(__xludf.DUMMYFUNCTION("SPLIT(C1380,""
"")"),"Sullivan, Peter")</f>
        <v>Sullivan, Peter</v>
      </c>
      <c r="AA1380" s="22">
        <f>IFERROR(__xludf.DUMMYFUNCTION("""COMPUTED_VALUE"""),5947.0)</f>
        <v>5947</v>
      </c>
      <c r="AB1380" s="22" t="str">
        <f>IFERROR(__xludf.DUMMYFUNCTION("""COMPUTED_VALUE"""),"Dallas, TX 75206")</f>
        <v>Dallas, TX 75206</v>
      </c>
      <c r="AC1380" s="31" t="s">
        <v>2940</v>
      </c>
      <c r="AD1380" s="22"/>
      <c r="AE1380" s="22"/>
      <c r="AF1380" s="22"/>
      <c r="AG1380" s="22" t="s">
        <v>60</v>
      </c>
      <c r="AH1380" s="54">
        <v>2500.0</v>
      </c>
      <c r="AI1380" s="22" t="s">
        <v>68</v>
      </c>
      <c r="AJ1380" s="27">
        <v>150.0</v>
      </c>
      <c r="AK1380" s="31" t="s">
        <v>23</v>
      </c>
      <c r="AL1380" s="28">
        <v>44866.0</v>
      </c>
      <c r="AM1380" s="29">
        <v>44941.874814814815</v>
      </c>
      <c r="AN1380" s="30">
        <v>2.0</v>
      </c>
      <c r="AO1380" s="22"/>
      <c r="AP1380" s="22"/>
      <c r="AQ1380" s="22"/>
      <c r="AR1380" s="22"/>
      <c r="AS1380" s="22"/>
      <c r="AT1380" s="70"/>
      <c r="AU1380" s="22"/>
      <c r="AV1380" s="57"/>
      <c r="AW1380" s="57"/>
      <c r="AX1380" s="70"/>
      <c r="AY1380" s="29"/>
      <c r="AZ1380" s="30"/>
      <c r="CU1380" s="55"/>
      <c r="CV1380" s="55"/>
      <c r="CW1380" s="55"/>
      <c r="CX1380" s="55"/>
      <c r="CY1380" s="55"/>
      <c r="CZ1380" s="55"/>
      <c r="DA1380" s="82"/>
      <c r="DB1380" s="55"/>
      <c r="DC1380" s="55"/>
      <c r="DD1380" s="55"/>
      <c r="DE1380" s="55"/>
      <c r="DF1380" s="55"/>
      <c r="DG1380" s="55"/>
      <c r="DH1380" s="55"/>
      <c r="DI1380" s="55"/>
      <c r="DJ1380" s="55"/>
      <c r="DK1380" s="55"/>
      <c r="DL1380" s="55"/>
      <c r="DM1380" s="55"/>
      <c r="DN1380" s="55"/>
      <c r="DO1380" s="55"/>
      <c r="DP1380" s="55"/>
      <c r="DQ1380" s="55"/>
      <c r="DR1380" s="55"/>
      <c r="DS1380" s="55"/>
      <c r="DT1380" s="55"/>
      <c r="DU1380" s="55"/>
      <c r="DV1380" s="55"/>
      <c r="DW1380" s="55"/>
    </row>
    <row r="1381">
      <c r="A1381" s="40" t="s">
        <v>55</v>
      </c>
      <c r="B1381" s="41" t="s">
        <v>56</v>
      </c>
      <c r="C1381" s="31" t="s">
        <v>102</v>
      </c>
      <c r="D1381" s="25" t="str">
        <f>IFERROR(__xludf.DUMMYFUNCTION("SPLIT(C1381,"" "")"),"Addy,")</f>
        <v>Addy,</v>
      </c>
      <c r="E1381" s="40" t="str">
        <f>IFERROR(__xludf.DUMMYFUNCTION("""COMPUTED_VALUE"""),"William
3805")</f>
        <v>William
3805</v>
      </c>
      <c r="F1381" s="40" t="str">
        <f>IFERROR(__xludf.DUMMYFUNCTION("""COMPUTED_VALUE"""),"
Dallas,")</f>
        <v>
Dallas,</v>
      </c>
      <c r="G1381" s="40" t="str">
        <f>IFERROR(__xludf.DUMMYFUNCTION("""COMPUTED_VALUE"""),"TX")</f>
        <v>TX</v>
      </c>
      <c r="H1381" s="40">
        <f>IFERROR(__xludf.DUMMYFUNCTION("""COMPUTED_VALUE"""),75205.0)</f>
        <v>75205</v>
      </c>
      <c r="I1381" s="40"/>
      <c r="J1381" s="40"/>
      <c r="K1381" s="40"/>
      <c r="L1381" s="40"/>
      <c r="M1381" s="40"/>
      <c r="N1381" s="40"/>
      <c r="O1381" s="40"/>
      <c r="P1381" s="40"/>
      <c r="Q1381" s="40"/>
      <c r="R1381" s="40"/>
      <c r="S1381" s="40"/>
      <c r="T1381" s="40"/>
      <c r="U1381" s="24" t="str">
        <f>IFERROR(__xludf.DUMMYFUNCTION("SPLIT(E1381,""01234567890"")"),"William
")</f>
        <v>William
</v>
      </c>
      <c r="V1381" s="24" t="str">
        <f>IFERROR(__xludf.DUMMYFUNCTION("SPLIT(D1381,"","")"),"Addy")</f>
        <v>Addy</v>
      </c>
      <c r="W1381" s="25" t="str">
        <f t="shared" si="1"/>
        <v>WILLIAM
 ADDY</v>
      </c>
      <c r="X1381" s="40"/>
      <c r="Y1381" s="40"/>
      <c r="Z1381" s="25" t="str">
        <f>IFERROR(__xludf.DUMMYFUNCTION("SPLIT(C1381,""
"")"),"Addy, William")</f>
        <v>Addy, William</v>
      </c>
      <c r="AA1381" s="40">
        <f>IFERROR(__xludf.DUMMYFUNCTION("""COMPUTED_VALUE"""),3805.0)</f>
        <v>3805</v>
      </c>
      <c r="AB1381" s="40" t="str">
        <f>IFERROR(__xludf.DUMMYFUNCTION("""COMPUTED_VALUE"""),"Dallas, TX 75205")</f>
        <v>Dallas, TX 75205</v>
      </c>
      <c r="AC1381" s="31" t="s">
        <v>104</v>
      </c>
      <c r="AD1381" s="40"/>
      <c r="AE1381" s="40"/>
      <c r="AF1381" s="40"/>
      <c r="AG1381" s="40" t="s">
        <v>60</v>
      </c>
      <c r="AH1381" s="42">
        <v>2500.0</v>
      </c>
      <c r="AI1381" s="40" t="s">
        <v>68</v>
      </c>
      <c r="AJ1381" s="27">
        <v>1000.0</v>
      </c>
      <c r="AK1381" s="31" t="s">
        <v>23</v>
      </c>
      <c r="AL1381" s="43">
        <v>44887.0</v>
      </c>
      <c r="AM1381" s="44">
        <v>44941.874814814815</v>
      </c>
      <c r="AN1381" s="30">
        <v>2.0</v>
      </c>
      <c r="AO1381" s="40"/>
      <c r="AP1381" s="40"/>
      <c r="AQ1381" s="40"/>
      <c r="AR1381" s="40"/>
      <c r="AS1381" s="40"/>
      <c r="AT1381" s="47"/>
      <c r="AU1381" s="40"/>
      <c r="AV1381" s="46"/>
      <c r="AW1381" s="46"/>
      <c r="AX1381" s="47"/>
      <c r="AY1381" s="44"/>
      <c r="AZ1381" s="30"/>
      <c r="CU1381" s="55"/>
      <c r="CV1381" s="55"/>
      <c r="CW1381" s="55"/>
      <c r="CX1381" s="55"/>
      <c r="CY1381" s="55"/>
      <c r="CZ1381" s="55"/>
      <c r="DA1381" s="82"/>
      <c r="DB1381" s="55"/>
      <c r="DC1381" s="55"/>
      <c r="DD1381" s="55"/>
      <c r="DE1381" s="55"/>
      <c r="DF1381" s="55"/>
      <c r="DG1381" s="55"/>
      <c r="DH1381" s="55"/>
      <c r="DI1381" s="55"/>
      <c r="DJ1381" s="55"/>
      <c r="DK1381" s="55"/>
      <c r="DL1381" s="55"/>
      <c r="DM1381" s="55"/>
      <c r="DN1381" s="55"/>
      <c r="DO1381" s="55"/>
      <c r="DP1381" s="55"/>
      <c r="DQ1381" s="55"/>
      <c r="DR1381" s="55"/>
      <c r="DS1381" s="55"/>
      <c r="DT1381" s="55"/>
      <c r="DU1381" s="55"/>
      <c r="DV1381" s="55"/>
      <c r="DW1381" s="55"/>
    </row>
    <row r="1382">
      <c r="A1382" s="23" t="s">
        <v>64</v>
      </c>
      <c r="B1382" s="23" t="s">
        <v>56</v>
      </c>
      <c r="C1382" s="31" t="s">
        <v>2941</v>
      </c>
      <c r="D1382" s="25" t="str">
        <f>IFERROR(__xludf.DUMMYFUNCTION("SPLIT(C1382,"" "")"),"Addy,")</f>
        <v>Addy,</v>
      </c>
      <c r="E1382" s="22" t="str">
        <f>IFERROR(__xludf.DUMMYFUNCTION("""COMPUTED_VALUE"""),"Lydia
3805")</f>
        <v>Lydia
3805</v>
      </c>
      <c r="F1382" s="22" t="str">
        <f>IFERROR(__xludf.DUMMYFUNCTION("""COMPUTED_VALUE"""),"
Dallas,")</f>
        <v>
Dallas,</v>
      </c>
      <c r="G1382" s="22" t="str">
        <f>IFERROR(__xludf.DUMMYFUNCTION("""COMPUTED_VALUE"""),"TX")</f>
        <v>TX</v>
      </c>
      <c r="H1382" s="22">
        <f>IFERROR(__xludf.DUMMYFUNCTION("""COMPUTED_VALUE"""),75205.0)</f>
        <v>75205</v>
      </c>
      <c r="I1382" s="22"/>
      <c r="J1382" s="22"/>
      <c r="K1382" s="22"/>
      <c r="L1382" s="22"/>
      <c r="M1382" s="22"/>
      <c r="N1382" s="22"/>
      <c r="O1382" s="22"/>
      <c r="P1382" s="22"/>
      <c r="Q1382" s="22"/>
      <c r="R1382" s="22"/>
      <c r="S1382" s="22"/>
      <c r="T1382" s="22"/>
      <c r="U1382" s="24" t="str">
        <f>IFERROR(__xludf.DUMMYFUNCTION("SPLIT(E1382,""01234567890"")"),"Lydia
")</f>
        <v>Lydia
</v>
      </c>
      <c r="V1382" s="24" t="str">
        <f>IFERROR(__xludf.DUMMYFUNCTION("SPLIT(D1382,"","")"),"Addy")</f>
        <v>Addy</v>
      </c>
      <c r="W1382" s="25" t="str">
        <f t="shared" si="1"/>
        <v>LYDIA
 ADDY</v>
      </c>
      <c r="X1382" s="22"/>
      <c r="Y1382" s="22"/>
      <c r="Z1382" s="25" t="str">
        <f>IFERROR(__xludf.DUMMYFUNCTION("SPLIT(C1382,""
"")"),"Addy, Lydia")</f>
        <v>Addy, Lydia</v>
      </c>
      <c r="AA1382" s="22">
        <f>IFERROR(__xludf.DUMMYFUNCTION("""COMPUTED_VALUE"""),3805.0)</f>
        <v>3805</v>
      </c>
      <c r="AB1382" s="22" t="str">
        <f>IFERROR(__xludf.DUMMYFUNCTION("""COMPUTED_VALUE"""),"Dallas, TX 75205")</f>
        <v>Dallas, TX 75205</v>
      </c>
      <c r="AC1382" s="31" t="s">
        <v>99</v>
      </c>
      <c r="AD1382" s="22"/>
      <c r="AE1382" s="22"/>
      <c r="AF1382" s="22"/>
      <c r="AG1382" s="22" t="s">
        <v>60</v>
      </c>
      <c r="AH1382" s="54">
        <v>2500.0</v>
      </c>
      <c r="AI1382" s="22" t="s">
        <v>68</v>
      </c>
      <c r="AJ1382" s="27">
        <v>1000.0</v>
      </c>
      <c r="AK1382" s="31" t="s">
        <v>23</v>
      </c>
      <c r="AL1382" s="28">
        <v>44887.0</v>
      </c>
      <c r="AM1382" s="29">
        <v>44941.874814814815</v>
      </c>
      <c r="AN1382" s="30">
        <v>2.0</v>
      </c>
      <c r="AO1382" s="22"/>
      <c r="AP1382" s="22"/>
      <c r="AQ1382" s="22"/>
      <c r="AR1382" s="22"/>
      <c r="AS1382" s="22"/>
      <c r="AT1382" s="70"/>
      <c r="AU1382" s="22"/>
      <c r="AV1382" s="57"/>
      <c r="AW1382" s="57"/>
      <c r="AX1382" s="70"/>
      <c r="AY1382" s="29"/>
      <c r="AZ1382" s="30"/>
      <c r="CU1382" s="55"/>
      <c r="CV1382" s="55"/>
      <c r="CW1382" s="55"/>
      <c r="CX1382" s="55"/>
      <c r="CY1382" s="55"/>
      <c r="CZ1382" s="55"/>
      <c r="DA1382" s="82"/>
      <c r="DB1382" s="55"/>
      <c r="DC1382" s="55"/>
      <c r="DD1382" s="55"/>
      <c r="DE1382" s="55"/>
      <c r="DF1382" s="55"/>
      <c r="DG1382" s="55"/>
      <c r="DH1382" s="55"/>
      <c r="DI1382" s="55"/>
      <c r="DJ1382" s="55"/>
      <c r="DK1382" s="55"/>
      <c r="DL1382" s="55"/>
      <c r="DM1382" s="55"/>
      <c r="DN1382" s="55"/>
      <c r="DO1382" s="55"/>
      <c r="DP1382" s="55"/>
      <c r="DQ1382" s="55"/>
      <c r="DR1382" s="55"/>
      <c r="DS1382" s="55"/>
      <c r="DT1382" s="55"/>
      <c r="DU1382" s="55"/>
      <c r="DV1382" s="55"/>
      <c r="DW1382" s="55"/>
    </row>
    <row r="1383">
      <c r="A1383" s="40" t="s">
        <v>55</v>
      </c>
      <c r="B1383" s="41" t="s">
        <v>56</v>
      </c>
      <c r="C1383" s="31" t="s">
        <v>2942</v>
      </c>
      <c r="D1383" s="25" t="str">
        <f>IFERROR(__xludf.DUMMYFUNCTION("SPLIT(C1383,"" "")"),"Patel,")</f>
        <v>Patel,</v>
      </c>
      <c r="E1383" s="40" t="str">
        <f>IFERROR(__xludf.DUMMYFUNCTION("""COMPUTED_VALUE"""),"Sunil
5122")</f>
        <v>Sunil
5122</v>
      </c>
      <c r="F1383" s="40" t="str">
        <f>IFERROR(__xludf.DUMMYFUNCTION("""COMPUTED_VALUE"""),"
Dallas,")</f>
        <v>
Dallas,</v>
      </c>
      <c r="G1383" s="40" t="str">
        <f>IFERROR(__xludf.DUMMYFUNCTION("""COMPUTED_VALUE"""),"TX")</f>
        <v>TX</v>
      </c>
      <c r="H1383" s="40">
        <f>IFERROR(__xludf.DUMMYFUNCTION("""COMPUTED_VALUE"""),75210.0)</f>
        <v>75210</v>
      </c>
      <c r="I1383" s="40"/>
      <c r="J1383" s="40"/>
      <c r="K1383" s="40"/>
      <c r="L1383" s="40"/>
      <c r="M1383" s="40"/>
      <c r="N1383" s="40"/>
      <c r="O1383" s="40"/>
      <c r="P1383" s="40"/>
      <c r="Q1383" s="40"/>
      <c r="R1383" s="40"/>
      <c r="S1383" s="40"/>
      <c r="T1383" s="40"/>
      <c r="U1383" s="24" t="str">
        <f>IFERROR(__xludf.DUMMYFUNCTION("SPLIT(E1383,""01234567890"")"),"Sunil
")</f>
        <v>Sunil
</v>
      </c>
      <c r="V1383" s="24" t="str">
        <f>IFERROR(__xludf.DUMMYFUNCTION("SPLIT(D1383,"","")"),"Patel")</f>
        <v>Patel</v>
      </c>
      <c r="W1383" s="25" t="str">
        <f t="shared" si="1"/>
        <v>SUNIL
 PATEL</v>
      </c>
      <c r="X1383" s="40"/>
      <c r="Y1383" s="40"/>
      <c r="Z1383" s="25" t="str">
        <f>IFERROR(__xludf.DUMMYFUNCTION("SPLIT(C1383,""
"")"),"Patel, Sunil")</f>
        <v>Patel, Sunil</v>
      </c>
      <c r="AA1383" s="40">
        <f>IFERROR(__xludf.DUMMYFUNCTION("""COMPUTED_VALUE"""),5122.0)</f>
        <v>5122</v>
      </c>
      <c r="AB1383" s="40" t="str">
        <f>IFERROR(__xludf.DUMMYFUNCTION("""COMPUTED_VALUE"""),"Dallas, TX 75210")</f>
        <v>Dallas, TX 75210</v>
      </c>
      <c r="AC1383" s="31" t="s">
        <v>2943</v>
      </c>
      <c r="AD1383" s="40"/>
      <c r="AE1383" s="40"/>
      <c r="AF1383" s="40"/>
      <c r="AG1383" s="40" t="s">
        <v>60</v>
      </c>
      <c r="AH1383" s="42">
        <v>2500.0</v>
      </c>
      <c r="AI1383" s="40" t="s">
        <v>68</v>
      </c>
      <c r="AJ1383" s="27">
        <v>500.0</v>
      </c>
      <c r="AK1383" s="31" t="s">
        <v>23</v>
      </c>
      <c r="AL1383" s="43">
        <v>44892.0</v>
      </c>
      <c r="AM1383" s="44">
        <v>44941.874814814815</v>
      </c>
      <c r="AN1383" s="30">
        <v>2.0</v>
      </c>
      <c r="AO1383" s="40"/>
      <c r="AP1383" s="40"/>
      <c r="AQ1383" s="40"/>
      <c r="AR1383" s="40"/>
      <c r="AS1383" s="40"/>
      <c r="AT1383" s="47"/>
      <c r="AU1383" s="40"/>
      <c r="AV1383" s="46"/>
      <c r="AW1383" s="46"/>
      <c r="AX1383" s="47"/>
      <c r="AY1383" s="44"/>
      <c r="AZ1383" s="30"/>
      <c r="CU1383" s="55"/>
      <c r="CV1383" s="55"/>
      <c r="CW1383" s="55"/>
      <c r="CX1383" s="55"/>
      <c r="CY1383" s="55"/>
      <c r="CZ1383" s="55"/>
      <c r="DA1383" s="82"/>
      <c r="DB1383" s="55"/>
      <c r="DC1383" s="55"/>
      <c r="DD1383" s="55"/>
      <c r="DE1383" s="55"/>
      <c r="DF1383" s="55"/>
      <c r="DG1383" s="55"/>
      <c r="DH1383" s="55"/>
      <c r="DI1383" s="55"/>
      <c r="DJ1383" s="55"/>
      <c r="DK1383" s="55"/>
      <c r="DL1383" s="55"/>
      <c r="DM1383" s="55"/>
      <c r="DN1383" s="55"/>
      <c r="DO1383" s="55"/>
      <c r="DP1383" s="55"/>
      <c r="DQ1383" s="55"/>
      <c r="DR1383" s="55"/>
      <c r="DS1383" s="55"/>
      <c r="DT1383" s="55"/>
      <c r="DU1383" s="55"/>
      <c r="DV1383" s="55"/>
      <c r="DW1383" s="55"/>
    </row>
    <row r="1384">
      <c r="A1384" s="23" t="s">
        <v>64</v>
      </c>
      <c r="B1384" s="23" t="s">
        <v>56</v>
      </c>
      <c r="C1384" s="31" t="s">
        <v>2944</v>
      </c>
      <c r="D1384" s="25" t="str">
        <f>IFERROR(__xludf.DUMMYFUNCTION("SPLIT(C1384,"" "")"),"Scudder,")</f>
        <v>Scudder,</v>
      </c>
      <c r="E1384" s="22" t="str">
        <f>IFERROR(__xludf.DUMMYFUNCTION("""COMPUTED_VALUE"""),"Kendall
2158")</f>
        <v>Kendall
2158</v>
      </c>
      <c r="F1384" s="22" t="str">
        <f>IFERROR(__xludf.DUMMYFUNCTION("""COMPUTED_VALUE"""),"
Dallas,")</f>
        <v>
Dallas,</v>
      </c>
      <c r="G1384" s="22" t="str">
        <f>IFERROR(__xludf.DUMMYFUNCTION("""COMPUTED_VALUE"""),"TX")</f>
        <v>TX</v>
      </c>
      <c r="H1384" s="22">
        <f>IFERROR(__xludf.DUMMYFUNCTION("""COMPUTED_VALUE"""),75228.0)</f>
        <v>75228</v>
      </c>
      <c r="I1384" s="22"/>
      <c r="J1384" s="22"/>
      <c r="K1384" s="22"/>
      <c r="L1384" s="22"/>
      <c r="M1384" s="22"/>
      <c r="N1384" s="22"/>
      <c r="O1384" s="22"/>
      <c r="P1384" s="22"/>
      <c r="Q1384" s="22"/>
      <c r="R1384" s="22"/>
      <c r="S1384" s="22"/>
      <c r="T1384" s="22"/>
      <c r="U1384" s="24" t="str">
        <f>IFERROR(__xludf.DUMMYFUNCTION("SPLIT(E1384,""01234567890"")"),"Kendall
")</f>
        <v>Kendall
</v>
      </c>
      <c r="V1384" s="24" t="str">
        <f>IFERROR(__xludf.DUMMYFUNCTION("SPLIT(D1384,"","")"),"Scudder")</f>
        <v>Scudder</v>
      </c>
      <c r="W1384" s="25" t="str">
        <f t="shared" si="1"/>
        <v>KENDALL
 SCUDDER</v>
      </c>
      <c r="X1384" s="22"/>
      <c r="Y1384" s="22"/>
      <c r="Z1384" s="25" t="str">
        <f>IFERROR(__xludf.DUMMYFUNCTION("SPLIT(C1384,""
"")"),"Scudder, Kendall")</f>
        <v>Scudder, Kendall</v>
      </c>
      <c r="AA1384" s="22">
        <f>IFERROR(__xludf.DUMMYFUNCTION("""COMPUTED_VALUE"""),2158.0)</f>
        <v>2158</v>
      </c>
      <c r="AB1384" s="22" t="str">
        <f>IFERROR(__xludf.DUMMYFUNCTION("""COMPUTED_VALUE"""),"Dallas, TX 75228")</f>
        <v>Dallas, TX 75228</v>
      </c>
      <c r="AC1384" s="31" t="s">
        <v>2945</v>
      </c>
      <c r="AD1384" s="22"/>
      <c r="AE1384" s="22"/>
      <c r="AF1384" s="22"/>
      <c r="AG1384" s="22" t="s">
        <v>60</v>
      </c>
      <c r="AH1384" s="54">
        <v>2500.0</v>
      </c>
      <c r="AI1384" s="22" t="s">
        <v>68</v>
      </c>
      <c r="AJ1384" s="27">
        <v>1000.0</v>
      </c>
      <c r="AK1384" s="31" t="s">
        <v>23</v>
      </c>
      <c r="AL1384" s="28">
        <v>44898.0</v>
      </c>
      <c r="AM1384" s="29">
        <v>44941.874814814815</v>
      </c>
      <c r="AN1384" s="30">
        <v>2.0</v>
      </c>
      <c r="AO1384" s="22"/>
      <c r="AP1384" s="22"/>
      <c r="AQ1384" s="22"/>
      <c r="AR1384" s="22"/>
      <c r="AS1384" s="22"/>
      <c r="AT1384" s="70"/>
      <c r="AU1384" s="22"/>
      <c r="AV1384" s="57"/>
      <c r="AW1384" s="57"/>
      <c r="AX1384" s="70"/>
      <c r="AY1384" s="29"/>
      <c r="AZ1384" s="30"/>
      <c r="CU1384" s="55"/>
      <c r="CV1384" s="55"/>
      <c r="CW1384" s="55"/>
      <c r="CX1384" s="55"/>
      <c r="CY1384" s="55"/>
      <c r="CZ1384" s="55"/>
      <c r="DA1384" s="82"/>
      <c r="DB1384" s="55"/>
      <c r="DC1384" s="55"/>
      <c r="DD1384" s="55"/>
      <c r="DE1384" s="55"/>
      <c r="DF1384" s="55"/>
      <c r="DG1384" s="55"/>
      <c r="DH1384" s="55"/>
      <c r="DI1384" s="55"/>
      <c r="DJ1384" s="55"/>
      <c r="DK1384" s="55"/>
      <c r="DL1384" s="55"/>
      <c r="DM1384" s="55"/>
      <c r="DN1384" s="55"/>
      <c r="DO1384" s="55"/>
      <c r="DP1384" s="55"/>
      <c r="DQ1384" s="55"/>
      <c r="DR1384" s="55"/>
      <c r="DS1384" s="55"/>
      <c r="DT1384" s="55"/>
      <c r="DU1384" s="55"/>
      <c r="DV1384" s="55"/>
      <c r="DW1384" s="55"/>
    </row>
    <row r="1385">
      <c r="A1385" s="40" t="s">
        <v>55</v>
      </c>
      <c r="B1385" s="41" t="s">
        <v>56</v>
      </c>
      <c r="C1385" s="31" t="s">
        <v>2946</v>
      </c>
      <c r="D1385" s="25" t="str">
        <f>IFERROR(__xludf.DUMMYFUNCTION("SPLIT(C1385,"" "")"),"Valach,")</f>
        <v>Valach,</v>
      </c>
      <c r="E1385" s="40" t="str">
        <f>IFERROR(__xludf.DUMMYFUNCTION("""COMPUTED_VALUE"""),"Kenneth
5")</f>
        <v>Kenneth
5</v>
      </c>
      <c r="F1385" s="40" t="str">
        <f>IFERROR(__xludf.DUMMYFUNCTION("""COMPUTED_VALUE"""),"
Houston,")</f>
        <v>
Houston,</v>
      </c>
      <c r="G1385" s="40" t="str">
        <f>IFERROR(__xludf.DUMMYFUNCTION("""COMPUTED_VALUE"""),"TX")</f>
        <v>TX</v>
      </c>
      <c r="H1385" s="40">
        <f>IFERROR(__xludf.DUMMYFUNCTION("""COMPUTED_VALUE"""),77024.0)</f>
        <v>77024</v>
      </c>
      <c r="I1385" s="40"/>
      <c r="J1385" s="40"/>
      <c r="K1385" s="40"/>
      <c r="L1385" s="40"/>
      <c r="M1385" s="40"/>
      <c r="N1385" s="40"/>
      <c r="O1385" s="40"/>
      <c r="P1385" s="40"/>
      <c r="Q1385" s="40"/>
      <c r="R1385" s="40"/>
      <c r="S1385" s="40"/>
      <c r="T1385" s="40"/>
      <c r="U1385" s="24" t="str">
        <f>IFERROR(__xludf.DUMMYFUNCTION("SPLIT(E1385,""01234567890"")"),"Kenneth
")</f>
        <v>Kenneth
</v>
      </c>
      <c r="V1385" s="24" t="str">
        <f>IFERROR(__xludf.DUMMYFUNCTION("SPLIT(D1385,"","")"),"Valach")</f>
        <v>Valach</v>
      </c>
      <c r="W1385" s="25" t="str">
        <f t="shared" si="1"/>
        <v>KENNETH
 VALACH</v>
      </c>
      <c r="X1385" s="40"/>
      <c r="Y1385" s="40"/>
      <c r="Z1385" s="25" t="str">
        <f>IFERROR(__xludf.DUMMYFUNCTION("SPLIT(C1385,""
"")"),"Valach, Kenneth")</f>
        <v>Valach, Kenneth</v>
      </c>
      <c r="AA1385" s="40">
        <f>IFERROR(__xludf.DUMMYFUNCTION("""COMPUTED_VALUE"""),5.0)</f>
        <v>5</v>
      </c>
      <c r="AB1385" s="40" t="str">
        <f>IFERROR(__xludf.DUMMYFUNCTION("""COMPUTED_VALUE"""),"Houston, TX 77024")</f>
        <v>Houston, TX 77024</v>
      </c>
      <c r="AC1385" s="31" t="s">
        <v>2747</v>
      </c>
      <c r="AD1385" s="40"/>
      <c r="AE1385" s="40"/>
      <c r="AF1385" s="40"/>
      <c r="AG1385" s="40" t="s">
        <v>60</v>
      </c>
      <c r="AH1385" s="42">
        <v>2500.0</v>
      </c>
      <c r="AI1385" s="40" t="s">
        <v>68</v>
      </c>
      <c r="AJ1385" s="27">
        <v>1000.0</v>
      </c>
      <c r="AK1385" s="31" t="s">
        <v>23</v>
      </c>
      <c r="AL1385" s="43">
        <v>44911.0</v>
      </c>
      <c r="AM1385" s="44">
        <v>44941.874814814815</v>
      </c>
      <c r="AN1385" s="30">
        <v>2.0</v>
      </c>
      <c r="AO1385" s="40"/>
      <c r="AP1385" s="40"/>
      <c r="AQ1385" s="40"/>
      <c r="AR1385" s="40"/>
      <c r="AS1385" s="40"/>
      <c r="AT1385" s="47"/>
      <c r="AU1385" s="40"/>
      <c r="AV1385" s="46"/>
      <c r="AW1385" s="46"/>
      <c r="AX1385" s="47"/>
      <c r="AY1385" s="44"/>
      <c r="AZ1385" s="30"/>
      <c r="CU1385" s="55"/>
      <c r="CV1385" s="55"/>
      <c r="CW1385" s="55"/>
      <c r="CX1385" s="55"/>
      <c r="CY1385" s="55"/>
      <c r="CZ1385" s="55"/>
      <c r="DA1385" s="82"/>
      <c r="DB1385" s="55"/>
      <c r="DC1385" s="55"/>
      <c r="DD1385" s="55"/>
      <c r="DE1385" s="55"/>
      <c r="DF1385" s="55"/>
      <c r="DG1385" s="55"/>
      <c r="DH1385" s="55"/>
      <c r="DI1385" s="55"/>
      <c r="DJ1385" s="55"/>
      <c r="DK1385" s="55"/>
      <c r="DL1385" s="55"/>
      <c r="DM1385" s="55"/>
      <c r="DN1385" s="55"/>
      <c r="DO1385" s="55"/>
      <c r="DP1385" s="55"/>
      <c r="DQ1385" s="55"/>
      <c r="DR1385" s="55"/>
      <c r="DS1385" s="55"/>
      <c r="DT1385" s="55"/>
      <c r="DU1385" s="55"/>
      <c r="DV1385" s="55"/>
      <c r="DW1385" s="55"/>
    </row>
    <row r="1386">
      <c r="A1386" s="23" t="s">
        <v>64</v>
      </c>
      <c r="B1386" s="23" t="s">
        <v>56</v>
      </c>
      <c r="C1386" s="31" t="s">
        <v>2947</v>
      </c>
      <c r="D1386" s="25" t="str">
        <f>IFERROR(__xludf.DUMMYFUNCTION("SPLIT(C1386,"" "")"),"Crow,")</f>
        <v>Crow,</v>
      </c>
      <c r="E1386" s="22" t="str">
        <f>IFERROR(__xludf.DUMMYFUNCTION("""COMPUTED_VALUE"""),"Katherine
4700")</f>
        <v>Katherine
4700</v>
      </c>
      <c r="F1386" s="22" t="str">
        <f>IFERROR(__xludf.DUMMYFUNCTION("""COMPUTED_VALUE"""),"
Dallas,")</f>
        <v>
Dallas,</v>
      </c>
      <c r="G1386" s="22" t="str">
        <f>IFERROR(__xludf.DUMMYFUNCTION("""COMPUTED_VALUE"""),"TX")</f>
        <v>TX</v>
      </c>
      <c r="H1386" s="22">
        <f>IFERROR(__xludf.DUMMYFUNCTION("""COMPUTED_VALUE"""),75205.0)</f>
        <v>75205</v>
      </c>
      <c r="I1386" s="22"/>
      <c r="J1386" s="22"/>
      <c r="K1386" s="22"/>
      <c r="L1386" s="22"/>
      <c r="M1386" s="22"/>
      <c r="N1386" s="22"/>
      <c r="O1386" s="22"/>
      <c r="P1386" s="22"/>
      <c r="Q1386" s="22"/>
      <c r="R1386" s="22"/>
      <c r="S1386" s="22"/>
      <c r="T1386" s="22"/>
      <c r="U1386" s="24" t="str">
        <f>IFERROR(__xludf.DUMMYFUNCTION("SPLIT(E1386,""01234567890"")"),"Katherine
")</f>
        <v>Katherine
</v>
      </c>
      <c r="V1386" s="24" t="str">
        <f>IFERROR(__xludf.DUMMYFUNCTION("SPLIT(D1386,"","")"),"Crow")</f>
        <v>Crow</v>
      </c>
      <c r="W1386" s="25" t="str">
        <f t="shared" si="1"/>
        <v>KATHERINE
 CROW</v>
      </c>
      <c r="X1386" s="22"/>
      <c r="Y1386" s="22"/>
      <c r="Z1386" s="25" t="str">
        <f>IFERROR(__xludf.DUMMYFUNCTION("SPLIT(C1386,""
"")"),"Crow, Katherine")</f>
        <v>Crow, Katherine</v>
      </c>
      <c r="AA1386" s="22">
        <f>IFERROR(__xludf.DUMMYFUNCTION("""COMPUTED_VALUE"""),4700.0)</f>
        <v>4700</v>
      </c>
      <c r="AB1386" s="22" t="str">
        <f>IFERROR(__xludf.DUMMYFUNCTION("""COMPUTED_VALUE"""),"Dallas, TX 75205")</f>
        <v>Dallas, TX 75205</v>
      </c>
      <c r="AC1386" s="31" t="s">
        <v>2434</v>
      </c>
      <c r="AD1386" s="22"/>
      <c r="AE1386" s="22"/>
      <c r="AF1386" s="22"/>
      <c r="AG1386" s="22" t="s">
        <v>60</v>
      </c>
      <c r="AH1386" s="54">
        <v>2500.0</v>
      </c>
      <c r="AI1386" s="22" t="s">
        <v>68</v>
      </c>
      <c r="AJ1386" s="27">
        <v>1000.0</v>
      </c>
      <c r="AK1386" s="31" t="s">
        <v>23</v>
      </c>
      <c r="AL1386" s="28">
        <v>44911.0</v>
      </c>
      <c r="AM1386" s="29">
        <v>44941.874814814815</v>
      </c>
      <c r="AN1386" s="30">
        <v>2.0</v>
      </c>
      <c r="AO1386" s="22"/>
      <c r="AP1386" s="22"/>
      <c r="AQ1386" s="22"/>
      <c r="AR1386" s="22"/>
      <c r="AS1386" s="22"/>
      <c r="AT1386" s="70"/>
      <c r="AU1386" s="22"/>
      <c r="AV1386" s="57"/>
      <c r="AW1386" s="57"/>
      <c r="AX1386" s="70"/>
      <c r="AY1386" s="29"/>
      <c r="AZ1386" s="30"/>
      <c r="CU1386" s="55"/>
      <c r="CV1386" s="55"/>
      <c r="CW1386" s="55"/>
      <c r="CX1386" s="55"/>
      <c r="CY1386" s="55"/>
      <c r="CZ1386" s="55"/>
      <c r="DA1386" s="82"/>
      <c r="DB1386" s="55"/>
      <c r="DC1386" s="55"/>
      <c r="DD1386" s="55"/>
      <c r="DE1386" s="55"/>
      <c r="DF1386" s="55"/>
      <c r="DG1386" s="55"/>
      <c r="DH1386" s="55"/>
      <c r="DI1386" s="55"/>
      <c r="DJ1386" s="55"/>
      <c r="DK1386" s="55"/>
      <c r="DL1386" s="55"/>
      <c r="DM1386" s="55"/>
      <c r="DN1386" s="55"/>
      <c r="DO1386" s="55"/>
      <c r="DP1386" s="55"/>
      <c r="DQ1386" s="55"/>
      <c r="DR1386" s="55"/>
      <c r="DS1386" s="55"/>
      <c r="DT1386" s="55"/>
      <c r="DU1386" s="55"/>
      <c r="DV1386" s="55"/>
      <c r="DW1386" s="55"/>
    </row>
    <row r="1387">
      <c r="A1387" s="40" t="s">
        <v>55</v>
      </c>
      <c r="B1387" s="41" t="s">
        <v>56</v>
      </c>
      <c r="C1387" s="31" t="s">
        <v>2948</v>
      </c>
      <c r="D1387" s="25" t="str">
        <f>IFERROR(__xludf.DUMMYFUNCTION("SPLIT(C1387,"" "")"),"Rimal,")</f>
        <v>Rimal,</v>
      </c>
      <c r="E1387" s="40" t="str">
        <f>IFERROR(__xludf.DUMMYFUNCTION("""COMPUTED_VALUE"""),"Karrol
10600")</f>
        <v>Karrol
10600</v>
      </c>
      <c r="F1387" s="40" t="str">
        <f>IFERROR(__xludf.DUMMYFUNCTION("""COMPUTED_VALUE"""),"
Austin,")</f>
        <v>
Austin,</v>
      </c>
      <c r="G1387" s="40" t="str">
        <f>IFERROR(__xludf.DUMMYFUNCTION("""COMPUTED_VALUE"""),"TX")</f>
        <v>TX</v>
      </c>
      <c r="H1387" s="40">
        <f>IFERROR(__xludf.DUMMYFUNCTION("""COMPUTED_VALUE"""),78748.0)</f>
        <v>78748</v>
      </c>
      <c r="I1387" s="40"/>
      <c r="J1387" s="40"/>
      <c r="K1387" s="40"/>
      <c r="L1387" s="40"/>
      <c r="M1387" s="40"/>
      <c r="N1387" s="40"/>
      <c r="O1387" s="40"/>
      <c r="P1387" s="40"/>
      <c r="Q1387" s="40"/>
      <c r="R1387" s="40"/>
      <c r="S1387" s="40"/>
      <c r="T1387" s="40"/>
      <c r="U1387" s="24" t="str">
        <f>IFERROR(__xludf.DUMMYFUNCTION("SPLIT(E1387,""01234567890"")"),"Karrol
")</f>
        <v>Karrol
</v>
      </c>
      <c r="V1387" s="24" t="str">
        <f>IFERROR(__xludf.DUMMYFUNCTION("SPLIT(D1387,"","")"),"Rimal")</f>
        <v>Rimal</v>
      </c>
      <c r="W1387" s="25" t="str">
        <f t="shared" si="1"/>
        <v>KARROL
 RIMAL</v>
      </c>
      <c r="X1387" s="40"/>
      <c r="Y1387" s="40"/>
      <c r="Z1387" s="25" t="str">
        <f>IFERROR(__xludf.DUMMYFUNCTION("SPLIT(C1387,""
"")"),"Rimal, Karrol")</f>
        <v>Rimal, Karrol</v>
      </c>
      <c r="AA1387" s="40">
        <f>IFERROR(__xludf.DUMMYFUNCTION("""COMPUTED_VALUE"""),10600.0)</f>
        <v>10600</v>
      </c>
      <c r="AB1387" s="40" t="str">
        <f>IFERROR(__xludf.DUMMYFUNCTION("""COMPUTED_VALUE"""),"Austin, TX 78748")</f>
        <v>Austin, TX 78748</v>
      </c>
      <c r="AC1387" s="31" t="s">
        <v>2949</v>
      </c>
      <c r="AD1387" s="40"/>
      <c r="AE1387" s="40"/>
      <c r="AF1387" s="40"/>
      <c r="AG1387" s="40" t="s">
        <v>60</v>
      </c>
      <c r="AH1387" s="42">
        <v>2500.0</v>
      </c>
      <c r="AI1387" s="40" t="s">
        <v>68</v>
      </c>
      <c r="AJ1387" s="27">
        <v>100.0</v>
      </c>
      <c r="AK1387" s="31" t="s">
        <v>23</v>
      </c>
      <c r="AL1387" s="43">
        <v>44915.0</v>
      </c>
      <c r="AM1387" s="44">
        <v>44941.874814814815</v>
      </c>
      <c r="AN1387" s="30">
        <v>2.0</v>
      </c>
      <c r="AO1387" s="40"/>
      <c r="AP1387" s="40"/>
      <c r="AQ1387" s="40"/>
      <c r="AR1387" s="40"/>
      <c r="AS1387" s="40"/>
      <c r="AT1387" s="47"/>
      <c r="AU1387" s="40"/>
      <c r="AV1387" s="46"/>
      <c r="AW1387" s="46"/>
      <c r="AX1387" s="47"/>
      <c r="AY1387" s="44"/>
      <c r="AZ1387" s="30"/>
      <c r="CU1387" s="55"/>
      <c r="CV1387" s="55"/>
      <c r="CW1387" s="55"/>
      <c r="CX1387" s="55"/>
      <c r="CY1387" s="55"/>
      <c r="CZ1387" s="55"/>
      <c r="DA1387" s="82"/>
      <c r="DB1387" s="55"/>
      <c r="DC1387" s="55"/>
      <c r="DD1387" s="55"/>
      <c r="DE1387" s="55"/>
      <c r="DF1387" s="55"/>
      <c r="DG1387" s="55"/>
      <c r="DH1387" s="55"/>
      <c r="DI1387" s="55"/>
      <c r="DJ1387" s="55"/>
      <c r="DK1387" s="55"/>
      <c r="DL1387" s="55"/>
      <c r="DM1387" s="55"/>
      <c r="DN1387" s="55"/>
      <c r="DO1387" s="55"/>
      <c r="DP1387" s="55"/>
      <c r="DQ1387" s="55"/>
      <c r="DR1387" s="55"/>
      <c r="DS1387" s="55"/>
      <c r="DT1387" s="55"/>
      <c r="DU1387" s="55"/>
      <c r="DV1387" s="55"/>
      <c r="DW1387" s="55"/>
    </row>
    <row r="1388">
      <c r="A1388" s="23" t="s">
        <v>64</v>
      </c>
      <c r="B1388" s="23" t="s">
        <v>56</v>
      </c>
      <c r="C1388" s="31" t="s">
        <v>337</v>
      </c>
      <c r="D1388" s="25" t="str">
        <f>IFERROR(__xludf.DUMMYFUNCTION("SPLIT(C1388,"" "")"),"Bazaldua,")</f>
        <v>Bazaldua,</v>
      </c>
      <c r="E1388" s="22" t="str">
        <f>IFERROR(__xludf.DUMMYFUNCTION("""COMPUTED_VALUE"""),"Karen
1649")</f>
        <v>Karen
1649</v>
      </c>
      <c r="F1388" s="22" t="str">
        <f>IFERROR(__xludf.DUMMYFUNCTION("""COMPUTED_VALUE"""),"
Midlothian,")</f>
        <v>
Midlothian,</v>
      </c>
      <c r="G1388" s="22" t="str">
        <f>IFERROR(__xludf.DUMMYFUNCTION("""COMPUTED_VALUE"""),"TX")</f>
        <v>TX</v>
      </c>
      <c r="H1388" s="22">
        <f>IFERROR(__xludf.DUMMYFUNCTION("""COMPUTED_VALUE"""),76065.0)</f>
        <v>76065</v>
      </c>
      <c r="I1388" s="22"/>
      <c r="J1388" s="22"/>
      <c r="K1388" s="22"/>
      <c r="L1388" s="22"/>
      <c r="M1388" s="22"/>
      <c r="N1388" s="22"/>
      <c r="O1388" s="22"/>
      <c r="P1388" s="22"/>
      <c r="Q1388" s="22"/>
      <c r="R1388" s="22"/>
      <c r="S1388" s="22"/>
      <c r="T1388" s="22"/>
      <c r="U1388" s="24" t="str">
        <f>IFERROR(__xludf.DUMMYFUNCTION("SPLIT(E1388,""01234567890"")"),"Karen
")</f>
        <v>Karen
</v>
      </c>
      <c r="V1388" s="24" t="str">
        <f>IFERROR(__xludf.DUMMYFUNCTION("SPLIT(D1388,"","")"),"Bazaldua")</f>
        <v>Bazaldua</v>
      </c>
      <c r="W1388" s="25" t="str">
        <f t="shared" si="1"/>
        <v>KAREN
 BAZALDUA</v>
      </c>
      <c r="X1388" s="22"/>
      <c r="Y1388" s="22"/>
      <c r="Z1388" s="25" t="str">
        <f>IFERROR(__xludf.DUMMYFUNCTION("SPLIT(C1388,""
"")"),"Bazaldua, Karen")</f>
        <v>Bazaldua, Karen</v>
      </c>
      <c r="AA1388" s="22">
        <f>IFERROR(__xludf.DUMMYFUNCTION("""COMPUTED_VALUE"""),1649.0)</f>
        <v>1649</v>
      </c>
      <c r="AB1388" s="22" t="str">
        <f>IFERROR(__xludf.DUMMYFUNCTION("""COMPUTED_VALUE"""),"Midlothian, TX 76065")</f>
        <v>Midlothian, TX 76065</v>
      </c>
      <c r="AC1388" s="31" t="s">
        <v>339</v>
      </c>
      <c r="AD1388" s="22"/>
      <c r="AE1388" s="22"/>
      <c r="AF1388" s="22"/>
      <c r="AG1388" s="22" t="s">
        <v>60</v>
      </c>
      <c r="AH1388" s="54">
        <v>2500.0</v>
      </c>
      <c r="AI1388" s="22" t="s">
        <v>68</v>
      </c>
      <c r="AJ1388" s="27">
        <v>75.0</v>
      </c>
      <c r="AK1388" s="31" t="s">
        <v>23</v>
      </c>
      <c r="AL1388" s="28">
        <v>44915.0</v>
      </c>
      <c r="AM1388" s="29">
        <v>44941.874814814815</v>
      </c>
      <c r="AN1388" s="30">
        <v>2.0</v>
      </c>
      <c r="AO1388" s="22"/>
      <c r="AP1388" s="22"/>
      <c r="AQ1388" s="22"/>
      <c r="AR1388" s="22"/>
      <c r="AS1388" s="22"/>
      <c r="AT1388" s="70"/>
      <c r="AU1388" s="22"/>
      <c r="AV1388" s="57"/>
      <c r="AW1388" s="57"/>
      <c r="AX1388" s="70"/>
      <c r="AY1388" s="29"/>
      <c r="AZ1388" s="30"/>
      <c r="CU1388" s="55"/>
      <c r="CV1388" s="55"/>
      <c r="CW1388" s="55"/>
      <c r="CX1388" s="55"/>
      <c r="CY1388" s="55"/>
      <c r="CZ1388" s="55"/>
      <c r="DA1388" s="82"/>
      <c r="DB1388" s="55"/>
      <c r="DC1388" s="55"/>
      <c r="DD1388" s="55"/>
      <c r="DE1388" s="55"/>
      <c r="DF1388" s="55"/>
      <c r="DG1388" s="55"/>
      <c r="DH1388" s="55"/>
      <c r="DI1388" s="55"/>
      <c r="DJ1388" s="55"/>
      <c r="DK1388" s="55"/>
      <c r="DL1388" s="55"/>
      <c r="DM1388" s="55"/>
      <c r="DN1388" s="55"/>
      <c r="DO1388" s="55"/>
      <c r="DP1388" s="55"/>
      <c r="DQ1388" s="55"/>
      <c r="DR1388" s="55"/>
      <c r="DS1388" s="55"/>
      <c r="DT1388" s="55"/>
      <c r="DU1388" s="55"/>
      <c r="DV1388" s="55"/>
      <c r="DW1388" s="55"/>
    </row>
    <row r="1389">
      <c r="A1389" s="40" t="s">
        <v>55</v>
      </c>
      <c r="B1389" s="41" t="s">
        <v>56</v>
      </c>
      <c r="C1389" s="31" t="s">
        <v>2950</v>
      </c>
      <c r="D1389" s="25" t="str">
        <f>IFERROR(__xludf.DUMMYFUNCTION("SPLIT(C1389,"" "")"),"Crow,")</f>
        <v>Crow,</v>
      </c>
      <c r="E1389" s="40" t="str">
        <f>IFERROR(__xludf.DUMMYFUNCTION("""COMPUTED_VALUE"""),"Harlan
3819")</f>
        <v>Harlan
3819</v>
      </c>
      <c r="F1389" s="40" t="str">
        <f>IFERROR(__xludf.DUMMYFUNCTION("""COMPUTED_VALUE"""),"
Dallas,")</f>
        <v>
Dallas,</v>
      </c>
      <c r="G1389" s="40" t="str">
        <f>IFERROR(__xludf.DUMMYFUNCTION("""COMPUTED_VALUE"""),"TX")</f>
        <v>TX</v>
      </c>
      <c r="H1389" s="40">
        <f>IFERROR(__xludf.DUMMYFUNCTION("""COMPUTED_VALUE"""),75219.0)</f>
        <v>75219</v>
      </c>
      <c r="I1389" s="40"/>
      <c r="J1389" s="40"/>
      <c r="K1389" s="40"/>
      <c r="L1389" s="40"/>
      <c r="M1389" s="40"/>
      <c r="N1389" s="40"/>
      <c r="O1389" s="40"/>
      <c r="P1389" s="40"/>
      <c r="Q1389" s="40"/>
      <c r="R1389" s="40"/>
      <c r="S1389" s="40"/>
      <c r="T1389" s="40"/>
      <c r="U1389" s="24" t="str">
        <f>IFERROR(__xludf.DUMMYFUNCTION("SPLIT(E1389,""01234567890"")"),"Harlan
")</f>
        <v>Harlan
</v>
      </c>
      <c r="V1389" s="24" t="str">
        <f>IFERROR(__xludf.DUMMYFUNCTION("SPLIT(D1389,"","")"),"Crow")</f>
        <v>Crow</v>
      </c>
      <c r="W1389" s="25" t="str">
        <f t="shared" si="1"/>
        <v>HARLAN
 CROW</v>
      </c>
      <c r="X1389" s="40"/>
      <c r="Y1389" s="40"/>
      <c r="Z1389" s="25" t="str">
        <f>IFERROR(__xludf.DUMMYFUNCTION("SPLIT(C1389,""
"")"),"Crow, Harlan")</f>
        <v>Crow, Harlan</v>
      </c>
      <c r="AA1389" s="40">
        <f>IFERROR(__xludf.DUMMYFUNCTION("""COMPUTED_VALUE"""),3819.0)</f>
        <v>3819</v>
      </c>
      <c r="AB1389" s="40" t="str">
        <f>IFERROR(__xludf.DUMMYFUNCTION("""COMPUTED_VALUE"""),"Dallas, TX 75219")</f>
        <v>Dallas, TX 75219</v>
      </c>
      <c r="AC1389" s="31" t="s">
        <v>2002</v>
      </c>
      <c r="AD1389" s="40"/>
      <c r="AE1389" s="40"/>
      <c r="AF1389" s="40"/>
      <c r="AG1389" s="40" t="s">
        <v>60</v>
      </c>
      <c r="AH1389" s="42">
        <v>2500.0</v>
      </c>
      <c r="AI1389" s="40" t="s">
        <v>68</v>
      </c>
      <c r="AJ1389" s="27">
        <v>1000.0</v>
      </c>
      <c r="AK1389" s="31" t="s">
        <v>23</v>
      </c>
      <c r="AL1389" s="43">
        <v>44915.0</v>
      </c>
      <c r="AM1389" s="44">
        <v>44941.874814814815</v>
      </c>
      <c r="AN1389" s="30">
        <v>2.0</v>
      </c>
      <c r="AO1389" s="40"/>
      <c r="AP1389" s="40"/>
      <c r="AQ1389" s="40"/>
      <c r="AR1389" s="40"/>
      <c r="AS1389" s="40"/>
      <c r="AT1389" s="47"/>
      <c r="AU1389" s="40"/>
      <c r="AV1389" s="46"/>
      <c r="AW1389" s="46"/>
      <c r="AX1389" s="47"/>
      <c r="AY1389" s="44"/>
      <c r="AZ1389" s="30"/>
      <c r="CU1389" s="55"/>
      <c r="CV1389" s="55"/>
      <c r="CW1389" s="55"/>
      <c r="CX1389" s="55"/>
      <c r="CY1389" s="55"/>
      <c r="CZ1389" s="55"/>
      <c r="DA1389" s="82"/>
      <c r="DB1389" s="55"/>
      <c r="DC1389" s="55"/>
      <c r="DD1389" s="55"/>
      <c r="DE1389" s="55"/>
      <c r="DF1389" s="55"/>
      <c r="DG1389" s="55"/>
      <c r="DH1389" s="55"/>
      <c r="DI1389" s="55"/>
      <c r="DJ1389" s="55"/>
      <c r="DK1389" s="55"/>
      <c r="DL1389" s="55"/>
      <c r="DM1389" s="55"/>
      <c r="DN1389" s="55"/>
      <c r="DO1389" s="55"/>
      <c r="DP1389" s="55"/>
      <c r="DQ1389" s="55"/>
      <c r="DR1389" s="55"/>
      <c r="DS1389" s="55"/>
      <c r="DT1389" s="55"/>
      <c r="DU1389" s="55"/>
      <c r="DV1389" s="55"/>
      <c r="DW1389" s="55"/>
    </row>
    <row r="1390">
      <c r="A1390" s="23" t="s">
        <v>64</v>
      </c>
      <c r="B1390" s="23" t="s">
        <v>56</v>
      </c>
      <c r="C1390" s="31" t="s">
        <v>2951</v>
      </c>
      <c r="D1390" s="25" t="str">
        <f>IFERROR(__xludf.DUMMYFUNCTION("SPLIT(C1390,"" "")"),"Brown,")</f>
        <v>Brown,</v>
      </c>
      <c r="E1390" s="22" t="str">
        <f>IFERROR(__xludf.DUMMYFUNCTION("""COMPUTED_VALUE"""),"Jason
2534")</f>
        <v>Jason
2534</v>
      </c>
      <c r="F1390" s="22" t="str">
        <f>IFERROR(__xludf.DUMMYFUNCTION("""COMPUTED_VALUE"""),"
Dallas,")</f>
        <v>
Dallas,</v>
      </c>
      <c r="G1390" s="22" t="str">
        <f>IFERROR(__xludf.DUMMYFUNCTION("""COMPUTED_VALUE"""),"TX")</f>
        <v>TX</v>
      </c>
      <c r="H1390" s="22">
        <f>IFERROR(__xludf.DUMMYFUNCTION("""COMPUTED_VALUE"""),75215.0)</f>
        <v>75215</v>
      </c>
      <c r="I1390" s="22"/>
      <c r="J1390" s="22"/>
      <c r="K1390" s="22"/>
      <c r="L1390" s="22"/>
      <c r="M1390" s="22"/>
      <c r="N1390" s="22"/>
      <c r="O1390" s="22"/>
      <c r="P1390" s="22"/>
      <c r="Q1390" s="22"/>
      <c r="R1390" s="22"/>
      <c r="S1390" s="22"/>
      <c r="T1390" s="22"/>
      <c r="U1390" s="24" t="str">
        <f>IFERROR(__xludf.DUMMYFUNCTION("SPLIT(E1390,""01234567890"")"),"Jason
")</f>
        <v>Jason
</v>
      </c>
      <c r="V1390" s="24" t="str">
        <f>IFERROR(__xludf.DUMMYFUNCTION("SPLIT(D1390,"","")"),"Brown")</f>
        <v>Brown</v>
      </c>
      <c r="W1390" s="25" t="str">
        <f t="shared" si="1"/>
        <v>JASON
 BROWN</v>
      </c>
      <c r="X1390" s="22"/>
      <c r="Y1390" s="22"/>
      <c r="Z1390" s="25" t="str">
        <f>IFERROR(__xludf.DUMMYFUNCTION("SPLIT(C1390,""
"")"),"Brown, Jason")</f>
        <v>Brown, Jason</v>
      </c>
      <c r="AA1390" s="22">
        <f>IFERROR(__xludf.DUMMYFUNCTION("""COMPUTED_VALUE"""),2534.0)</f>
        <v>2534</v>
      </c>
      <c r="AB1390" s="22" t="str">
        <f>IFERROR(__xludf.DUMMYFUNCTION("""COMPUTED_VALUE"""),"Dallas, TX 75215")</f>
        <v>Dallas, TX 75215</v>
      </c>
      <c r="AC1390" s="31" t="s">
        <v>2952</v>
      </c>
      <c r="AD1390" s="22"/>
      <c r="AE1390" s="22"/>
      <c r="AF1390" s="22"/>
      <c r="AG1390" s="22" t="s">
        <v>60</v>
      </c>
      <c r="AH1390" s="54">
        <v>2500.0</v>
      </c>
      <c r="AI1390" s="22" t="s">
        <v>68</v>
      </c>
      <c r="AJ1390" s="27">
        <v>500.0</v>
      </c>
      <c r="AK1390" s="31" t="s">
        <v>23</v>
      </c>
      <c r="AL1390" s="28">
        <v>44919.0</v>
      </c>
      <c r="AM1390" s="29">
        <v>44941.874814814815</v>
      </c>
      <c r="AN1390" s="30">
        <v>2.0</v>
      </c>
      <c r="AO1390" s="22"/>
      <c r="AP1390" s="22"/>
      <c r="AQ1390" s="22"/>
      <c r="AR1390" s="22"/>
      <c r="AS1390" s="22"/>
      <c r="AT1390" s="70"/>
      <c r="AU1390" s="22"/>
      <c r="AV1390" s="57"/>
      <c r="AW1390" s="57"/>
      <c r="AX1390" s="70"/>
      <c r="AY1390" s="29"/>
      <c r="AZ1390" s="30"/>
      <c r="CU1390" s="55"/>
      <c r="CV1390" s="55"/>
      <c r="CW1390" s="55"/>
      <c r="CX1390" s="55"/>
      <c r="CY1390" s="55"/>
      <c r="CZ1390" s="55"/>
      <c r="DA1390" s="82"/>
      <c r="DB1390" s="55"/>
      <c r="DC1390" s="55"/>
      <c r="DD1390" s="55"/>
      <c r="DE1390" s="55"/>
      <c r="DF1390" s="55"/>
      <c r="DG1390" s="55"/>
      <c r="DH1390" s="55"/>
      <c r="DI1390" s="55"/>
      <c r="DJ1390" s="55"/>
      <c r="DK1390" s="55"/>
      <c r="DL1390" s="55"/>
      <c r="DM1390" s="55"/>
      <c r="DN1390" s="55"/>
      <c r="DO1390" s="55"/>
      <c r="DP1390" s="55"/>
      <c r="DQ1390" s="55"/>
      <c r="DR1390" s="55"/>
      <c r="DS1390" s="55"/>
      <c r="DT1390" s="55"/>
      <c r="DU1390" s="55"/>
      <c r="DV1390" s="55"/>
      <c r="DW1390" s="55"/>
    </row>
    <row r="1391">
      <c r="A1391" s="40" t="s">
        <v>55</v>
      </c>
      <c r="B1391" s="41" t="s">
        <v>56</v>
      </c>
      <c r="C1391" s="31" t="s">
        <v>812</v>
      </c>
      <c r="D1391" s="25" t="str">
        <f>IFERROR(__xludf.DUMMYFUNCTION("SPLIT(C1391,"" "")"),"Sampson,")</f>
        <v>Sampson,</v>
      </c>
      <c r="E1391" s="40" t="str">
        <f>IFERROR(__xludf.DUMMYFUNCTION("""COMPUTED_VALUE"""),"Demetris
PO")</f>
        <v>Demetris
PO</v>
      </c>
      <c r="F1391" s="40" t="str">
        <f>IFERROR(__xludf.DUMMYFUNCTION("""COMPUTED_VALUE"""),"Box")</f>
        <v>Box</v>
      </c>
      <c r="G1391" s="40" t="str">
        <f>IFERROR(__xludf.DUMMYFUNCTION("""COMPUTED_VALUE"""),"763834
Dallas,")</f>
        <v>763834
Dallas,</v>
      </c>
      <c r="H1391" s="40" t="str">
        <f>IFERROR(__xludf.DUMMYFUNCTION("""COMPUTED_VALUE"""),"TX")</f>
        <v>TX</v>
      </c>
      <c r="I1391" s="40">
        <f>IFERROR(__xludf.DUMMYFUNCTION("""COMPUTED_VALUE"""),75376.0)</f>
        <v>75376</v>
      </c>
      <c r="J1391" s="40"/>
      <c r="K1391" s="40"/>
      <c r="L1391" s="40"/>
      <c r="M1391" s="40"/>
      <c r="N1391" s="40"/>
      <c r="O1391" s="40"/>
      <c r="P1391" s="40"/>
      <c r="Q1391" s="40"/>
      <c r="R1391" s="40"/>
      <c r="S1391" s="40"/>
      <c r="T1391" s="40"/>
      <c r="U1391" s="24" t="str">
        <f>IFERROR(__xludf.DUMMYFUNCTION("SPLIT(E1391,""01234567890"")"),"Demetris
PO")</f>
        <v>Demetris
PO</v>
      </c>
      <c r="V1391" s="24" t="str">
        <f>IFERROR(__xludf.DUMMYFUNCTION("SPLIT(D1391,"","")"),"Sampson")</f>
        <v>Sampson</v>
      </c>
      <c r="W1391" s="25" t="str">
        <f t="shared" si="1"/>
        <v>DEMETRIS
PO SAMPSON</v>
      </c>
      <c r="X1391" s="40"/>
      <c r="Y1391" s="40"/>
      <c r="Z1391" s="25" t="str">
        <f>IFERROR(__xludf.DUMMYFUNCTION("SPLIT(C1391,""
"")"),"Sampson, Demetris")</f>
        <v>Sampson, Demetris</v>
      </c>
      <c r="AA1391" s="40" t="str">
        <f>IFERROR(__xludf.DUMMYFUNCTION("""COMPUTED_VALUE"""),"PO Box 763834")</f>
        <v>PO Box 763834</v>
      </c>
      <c r="AB1391" s="40" t="str">
        <f>IFERROR(__xludf.DUMMYFUNCTION("""COMPUTED_VALUE"""),"Dallas, TX 75376")</f>
        <v>Dallas, TX 75376</v>
      </c>
      <c r="AC1391" s="31" t="s">
        <v>814</v>
      </c>
      <c r="AD1391" s="40"/>
      <c r="AE1391" s="40"/>
      <c r="AF1391" s="40"/>
      <c r="AG1391" s="40" t="s">
        <v>60</v>
      </c>
      <c r="AH1391" s="42">
        <v>2500.0</v>
      </c>
      <c r="AI1391" s="40" t="s">
        <v>68</v>
      </c>
      <c r="AJ1391" s="27">
        <v>250.0</v>
      </c>
      <c r="AK1391" s="31" t="s">
        <v>23</v>
      </c>
      <c r="AL1391" s="43">
        <v>44924.0</v>
      </c>
      <c r="AM1391" s="44">
        <v>44941.874814814815</v>
      </c>
      <c r="AN1391" s="30">
        <v>2.0</v>
      </c>
      <c r="AO1391" s="40"/>
      <c r="AP1391" s="40"/>
      <c r="AQ1391" s="40"/>
      <c r="AR1391" s="40"/>
      <c r="AS1391" s="40"/>
      <c r="AT1391" s="47"/>
      <c r="AU1391" s="40"/>
      <c r="AV1391" s="46"/>
      <c r="AW1391" s="46"/>
      <c r="AX1391" s="47"/>
      <c r="AY1391" s="44"/>
      <c r="AZ1391" s="30"/>
      <c r="CU1391" s="55"/>
      <c r="CV1391" s="55"/>
      <c r="CW1391" s="55"/>
      <c r="CX1391" s="55"/>
      <c r="CY1391" s="55"/>
      <c r="CZ1391" s="55"/>
      <c r="DA1391" s="82"/>
      <c r="DB1391" s="55"/>
      <c r="DC1391" s="55"/>
      <c r="DD1391" s="55"/>
      <c r="DE1391" s="55"/>
      <c r="DF1391" s="55"/>
      <c r="DG1391" s="55"/>
      <c r="DH1391" s="55"/>
      <c r="DI1391" s="55"/>
      <c r="DJ1391" s="55"/>
      <c r="DK1391" s="55"/>
      <c r="DL1391" s="55"/>
      <c r="DM1391" s="55"/>
      <c r="DN1391" s="55"/>
      <c r="DO1391" s="55"/>
      <c r="DP1391" s="55"/>
      <c r="DQ1391" s="55"/>
      <c r="DR1391" s="55"/>
      <c r="DS1391" s="55"/>
      <c r="DT1391" s="55"/>
      <c r="DU1391" s="55"/>
      <c r="DV1391" s="55"/>
      <c r="DW1391" s="55"/>
    </row>
    <row r="1392">
      <c r="A1392" s="23" t="s">
        <v>64</v>
      </c>
      <c r="B1392" s="23" t="s">
        <v>56</v>
      </c>
      <c r="C1392" s="31" t="s">
        <v>2953</v>
      </c>
      <c r="D1392" s="25" t="str">
        <f>IFERROR(__xludf.DUMMYFUNCTION("SPLIT(C1392,"" "")"),"Mitchell,")</f>
        <v>Mitchell,</v>
      </c>
      <c r="E1392" s="22" t="str">
        <f>IFERROR(__xludf.DUMMYFUNCTION("""COMPUTED_VALUE"""),"Elayna
5323")</f>
        <v>Elayna
5323</v>
      </c>
      <c r="F1392" s="22" t="str">
        <f>IFERROR(__xludf.DUMMYFUNCTION("""COMPUTED_VALUE"""),"
Dallas,")</f>
        <v>
Dallas,</v>
      </c>
      <c r="G1392" s="22" t="str">
        <f>IFERROR(__xludf.DUMMYFUNCTION("""COMPUTED_VALUE"""),"TX")</f>
        <v>TX</v>
      </c>
      <c r="H1392" s="22">
        <f>IFERROR(__xludf.DUMMYFUNCTION("""COMPUTED_VALUE"""),75214.0)</f>
        <v>75214</v>
      </c>
      <c r="I1392" s="22"/>
      <c r="J1392" s="22"/>
      <c r="K1392" s="22"/>
      <c r="L1392" s="22"/>
      <c r="M1392" s="22"/>
      <c r="N1392" s="22"/>
      <c r="O1392" s="22"/>
      <c r="P1392" s="22"/>
      <c r="Q1392" s="22"/>
      <c r="R1392" s="22"/>
      <c r="S1392" s="22"/>
      <c r="T1392" s="22"/>
      <c r="U1392" s="24" t="str">
        <f>IFERROR(__xludf.DUMMYFUNCTION("SPLIT(E1392,""01234567890"")"),"Elayna
")</f>
        <v>Elayna
</v>
      </c>
      <c r="V1392" s="24" t="str">
        <f>IFERROR(__xludf.DUMMYFUNCTION("SPLIT(D1392,"","")"),"Mitchell")</f>
        <v>Mitchell</v>
      </c>
      <c r="W1392" s="25" t="str">
        <f t="shared" si="1"/>
        <v>ELAYNA
 MITCHELL</v>
      </c>
      <c r="X1392" s="22"/>
      <c r="Y1392" s="22"/>
      <c r="Z1392" s="25" t="str">
        <f>IFERROR(__xludf.DUMMYFUNCTION("SPLIT(C1392,""
"")"),"Mitchell, Elayna")</f>
        <v>Mitchell, Elayna</v>
      </c>
      <c r="AA1392" s="22">
        <f>IFERROR(__xludf.DUMMYFUNCTION("""COMPUTED_VALUE"""),5323.0)</f>
        <v>5323</v>
      </c>
      <c r="AB1392" s="22" t="str">
        <f>IFERROR(__xludf.DUMMYFUNCTION("""COMPUTED_VALUE"""),"Dallas, TX 75214")</f>
        <v>Dallas, TX 75214</v>
      </c>
      <c r="AC1392" s="31" t="s">
        <v>2954</v>
      </c>
      <c r="AD1392" s="22"/>
      <c r="AE1392" s="22"/>
      <c r="AF1392" s="22"/>
      <c r="AG1392" s="22" t="s">
        <v>60</v>
      </c>
      <c r="AH1392" s="54">
        <v>2500.0</v>
      </c>
      <c r="AI1392" s="22" t="s">
        <v>68</v>
      </c>
      <c r="AJ1392" s="27">
        <v>50.0</v>
      </c>
      <c r="AK1392" s="31" t="s">
        <v>23</v>
      </c>
      <c r="AL1392" s="28">
        <v>44926.0</v>
      </c>
      <c r="AM1392" s="29">
        <v>44941.874814814815</v>
      </c>
      <c r="AN1392" s="30">
        <v>2.0</v>
      </c>
      <c r="AO1392" s="22"/>
      <c r="AP1392" s="22"/>
      <c r="AQ1392" s="22"/>
      <c r="AR1392" s="22"/>
      <c r="AS1392" s="22"/>
      <c r="AT1392" s="70"/>
      <c r="AU1392" s="22"/>
      <c r="AV1392" s="57"/>
      <c r="AW1392" s="57"/>
      <c r="AX1392" s="70"/>
      <c r="AY1392" s="29"/>
      <c r="AZ1392" s="30"/>
      <c r="CU1392" s="55"/>
      <c r="CV1392" s="55"/>
      <c r="CW1392" s="55"/>
      <c r="CX1392" s="55"/>
      <c r="CY1392" s="55"/>
      <c r="CZ1392" s="55"/>
      <c r="DA1392" s="82"/>
      <c r="DB1392" s="55"/>
      <c r="DC1392" s="55"/>
      <c r="DD1392" s="55"/>
      <c r="DE1392" s="55"/>
      <c r="DF1392" s="55"/>
      <c r="DG1392" s="55"/>
      <c r="DH1392" s="55"/>
      <c r="DI1392" s="55"/>
      <c r="DJ1392" s="55"/>
      <c r="DK1392" s="55"/>
      <c r="DL1392" s="55"/>
      <c r="DM1392" s="55"/>
      <c r="DN1392" s="55"/>
      <c r="DO1392" s="55"/>
      <c r="DP1392" s="55"/>
      <c r="DQ1392" s="55"/>
      <c r="DR1392" s="55"/>
      <c r="DS1392" s="55"/>
      <c r="DT1392" s="55"/>
      <c r="DU1392" s="55"/>
      <c r="DV1392" s="55"/>
      <c r="DW1392" s="55"/>
    </row>
    <row r="1393">
      <c r="A1393" s="40" t="s">
        <v>55</v>
      </c>
      <c r="B1393" s="41" t="s">
        <v>56</v>
      </c>
      <c r="C1393" s="31" t="s">
        <v>2955</v>
      </c>
      <c r="D1393" s="25" t="str">
        <f>IFERROR(__xludf.DUMMYFUNCTION("SPLIT(C1393,"" "")"),"Reynolds,")</f>
        <v>Reynolds,</v>
      </c>
      <c r="E1393" s="40" t="str">
        <f>IFERROR(__xludf.DUMMYFUNCTION("""COMPUTED_VALUE"""),"Melissa
713")</f>
        <v>Melissa
713</v>
      </c>
      <c r="F1393" s="40" t="str">
        <f>IFERROR(__xludf.DUMMYFUNCTION("""COMPUTED_VALUE"""),"
Denton,")</f>
        <v>
Denton,</v>
      </c>
      <c r="G1393" s="40" t="str">
        <f>IFERROR(__xludf.DUMMYFUNCTION("""COMPUTED_VALUE"""),"TX")</f>
        <v>TX</v>
      </c>
      <c r="H1393" s="40">
        <f>IFERROR(__xludf.DUMMYFUNCTION("""COMPUTED_VALUE"""),76209.0)</f>
        <v>76209</v>
      </c>
      <c r="I1393" s="40"/>
      <c r="J1393" s="40"/>
      <c r="K1393" s="40"/>
      <c r="L1393" s="40"/>
      <c r="M1393" s="40"/>
      <c r="N1393" s="40"/>
      <c r="O1393" s="40"/>
      <c r="P1393" s="40"/>
      <c r="Q1393" s="40"/>
      <c r="R1393" s="40"/>
      <c r="S1393" s="40"/>
      <c r="T1393" s="40"/>
      <c r="U1393" s="24" t="str">
        <f>IFERROR(__xludf.DUMMYFUNCTION("SPLIT(E1393,""01234567890"")"),"Melissa
")</f>
        <v>Melissa
</v>
      </c>
      <c r="V1393" s="24" t="str">
        <f>IFERROR(__xludf.DUMMYFUNCTION("SPLIT(D1393,"","")"),"Reynolds")</f>
        <v>Reynolds</v>
      </c>
      <c r="W1393" s="25" t="str">
        <f t="shared" si="1"/>
        <v>MELISSA
 REYNOLDS</v>
      </c>
      <c r="X1393" s="40"/>
      <c r="Y1393" s="40"/>
      <c r="Z1393" s="25" t="str">
        <f>IFERROR(__xludf.DUMMYFUNCTION("SPLIT(C1393,""
"")"),"Reynolds, Melissa")</f>
        <v>Reynolds, Melissa</v>
      </c>
      <c r="AA1393" s="40">
        <f>IFERROR(__xludf.DUMMYFUNCTION("""COMPUTED_VALUE"""),713.0)</f>
        <v>713</v>
      </c>
      <c r="AB1393" s="40" t="str">
        <f>IFERROR(__xludf.DUMMYFUNCTION("""COMPUTED_VALUE"""),"Denton, TX 76209")</f>
        <v>Denton, TX 76209</v>
      </c>
      <c r="AC1393" s="31" t="s">
        <v>2956</v>
      </c>
      <c r="AD1393" s="40"/>
      <c r="AE1393" s="40"/>
      <c r="AF1393" s="40"/>
      <c r="AG1393" s="40" t="s">
        <v>60</v>
      </c>
      <c r="AH1393" s="42">
        <v>2500.0</v>
      </c>
      <c r="AI1393" s="40" t="s">
        <v>68</v>
      </c>
      <c r="AJ1393" s="27">
        <v>100.0</v>
      </c>
      <c r="AK1393" s="31" t="s">
        <v>23</v>
      </c>
      <c r="AL1393" s="43">
        <v>44926.0</v>
      </c>
      <c r="AM1393" s="44">
        <v>44941.874814814815</v>
      </c>
      <c r="AN1393" s="30">
        <v>2.0</v>
      </c>
      <c r="AO1393" s="40"/>
      <c r="AP1393" s="40"/>
      <c r="AQ1393" s="40"/>
      <c r="AR1393" s="40"/>
      <c r="AS1393" s="40"/>
      <c r="AT1393" s="47"/>
      <c r="AU1393" s="40"/>
      <c r="AV1393" s="46"/>
      <c r="AW1393" s="46"/>
      <c r="AX1393" s="47"/>
      <c r="AY1393" s="44"/>
      <c r="AZ1393" s="30"/>
      <c r="CU1393" s="55"/>
      <c r="CV1393" s="55"/>
      <c r="CW1393" s="55"/>
      <c r="CX1393" s="55"/>
      <c r="CY1393" s="55"/>
      <c r="CZ1393" s="55"/>
      <c r="DA1393" s="82"/>
      <c r="DB1393" s="55"/>
      <c r="DC1393" s="55"/>
      <c r="DD1393" s="55"/>
      <c r="DE1393" s="55"/>
      <c r="DF1393" s="55"/>
      <c r="DG1393" s="55"/>
      <c r="DH1393" s="55"/>
      <c r="DI1393" s="55"/>
      <c r="DJ1393" s="55"/>
      <c r="DK1393" s="55"/>
      <c r="DL1393" s="55"/>
      <c r="DM1393" s="55"/>
      <c r="DN1393" s="55"/>
      <c r="DO1393" s="55"/>
      <c r="DP1393" s="55"/>
      <c r="DQ1393" s="55"/>
      <c r="DR1393" s="55"/>
      <c r="DS1393" s="55"/>
      <c r="DT1393" s="55"/>
      <c r="DU1393" s="55"/>
      <c r="DV1393" s="55"/>
      <c r="DW1393" s="55"/>
    </row>
    <row r="1394">
      <c r="A1394" s="23" t="s">
        <v>64</v>
      </c>
      <c r="B1394" s="23" t="s">
        <v>56</v>
      </c>
      <c r="C1394" s="31" t="s">
        <v>2957</v>
      </c>
      <c r="D1394" s="25" t="str">
        <f>IFERROR(__xludf.DUMMYFUNCTION("SPLIT(C1394,"" "")"),"Dohanian,")</f>
        <v>Dohanian,</v>
      </c>
      <c r="E1394" s="22" t="str">
        <f>IFERROR(__xludf.DUMMYFUNCTION("""COMPUTED_VALUE"""),"Armen
5859")</f>
        <v>Armen
5859</v>
      </c>
      <c r="F1394" s="22" t="str">
        <f>IFERROR(__xludf.DUMMYFUNCTION("""COMPUTED_VALUE"""),"
Dallas,")</f>
        <v>
Dallas,</v>
      </c>
      <c r="G1394" s="22" t="str">
        <f>IFERROR(__xludf.DUMMYFUNCTION("""COMPUTED_VALUE"""),"TX")</f>
        <v>TX</v>
      </c>
      <c r="H1394" s="22">
        <f>IFERROR(__xludf.DUMMYFUNCTION("""COMPUTED_VALUE"""),75227.0)</f>
        <v>75227</v>
      </c>
      <c r="I1394" s="22"/>
      <c r="J1394" s="22"/>
      <c r="K1394" s="22"/>
      <c r="L1394" s="22"/>
      <c r="M1394" s="22"/>
      <c r="N1394" s="22"/>
      <c r="O1394" s="22"/>
      <c r="P1394" s="22"/>
      <c r="Q1394" s="22"/>
      <c r="R1394" s="22"/>
      <c r="S1394" s="22"/>
      <c r="T1394" s="22"/>
      <c r="U1394" s="24" t="str">
        <f>IFERROR(__xludf.DUMMYFUNCTION("SPLIT(E1394,""01234567890"")"),"Armen
")</f>
        <v>Armen
</v>
      </c>
      <c r="V1394" s="24" t="str">
        <f>IFERROR(__xludf.DUMMYFUNCTION("SPLIT(D1394,"","")"),"Dohanian")</f>
        <v>Dohanian</v>
      </c>
      <c r="W1394" s="25" t="str">
        <f t="shared" si="1"/>
        <v>ARMEN
 DOHANIAN</v>
      </c>
      <c r="X1394" s="22"/>
      <c r="Y1394" s="22"/>
      <c r="Z1394" s="25" t="str">
        <f>IFERROR(__xludf.DUMMYFUNCTION("SPLIT(C1394,""
"")"),"Dohanian, Armen")</f>
        <v>Dohanian, Armen</v>
      </c>
      <c r="AA1394" s="22">
        <f>IFERROR(__xludf.DUMMYFUNCTION("""COMPUTED_VALUE"""),5859.0)</f>
        <v>5859</v>
      </c>
      <c r="AB1394" s="22" t="str">
        <f>IFERROR(__xludf.DUMMYFUNCTION("""COMPUTED_VALUE"""),"Dallas, TX 75227")</f>
        <v>Dallas, TX 75227</v>
      </c>
      <c r="AC1394" s="31" t="s">
        <v>2958</v>
      </c>
      <c r="AD1394" s="22"/>
      <c r="AE1394" s="22"/>
      <c r="AF1394" s="22"/>
      <c r="AG1394" s="22" t="s">
        <v>60</v>
      </c>
      <c r="AH1394" s="54">
        <v>2500.0</v>
      </c>
      <c r="AI1394" s="22" t="s">
        <v>68</v>
      </c>
      <c r="AJ1394" s="27">
        <v>100.0</v>
      </c>
      <c r="AK1394" s="31" t="s">
        <v>23</v>
      </c>
      <c r="AL1394" s="28">
        <v>44926.0</v>
      </c>
      <c r="AM1394" s="29">
        <v>44941.874814814815</v>
      </c>
      <c r="AN1394" s="30">
        <v>2.0</v>
      </c>
      <c r="AO1394" s="22"/>
      <c r="AP1394" s="22"/>
      <c r="AQ1394" s="22"/>
      <c r="AR1394" s="22"/>
      <c r="AS1394" s="22"/>
      <c r="AT1394" s="70"/>
      <c r="AU1394" s="22"/>
      <c r="AV1394" s="57"/>
      <c r="AW1394" s="57"/>
      <c r="AX1394" s="70"/>
      <c r="AY1394" s="29"/>
      <c r="AZ1394" s="30"/>
      <c r="CU1394" s="55"/>
      <c r="CV1394" s="55"/>
      <c r="CW1394" s="55"/>
      <c r="CX1394" s="55"/>
      <c r="CY1394" s="55"/>
      <c r="CZ1394" s="55"/>
      <c r="DA1394" s="82"/>
      <c r="DB1394" s="55"/>
      <c r="DC1394" s="55"/>
      <c r="DD1394" s="55"/>
      <c r="DE1394" s="55"/>
      <c r="DF1394" s="55"/>
      <c r="DG1394" s="55"/>
      <c r="DH1394" s="55"/>
      <c r="DI1394" s="55"/>
      <c r="DJ1394" s="55"/>
      <c r="DK1394" s="55"/>
      <c r="DL1394" s="55"/>
      <c r="DM1394" s="55"/>
      <c r="DN1394" s="55"/>
      <c r="DO1394" s="55"/>
      <c r="DP1394" s="55"/>
      <c r="DQ1394" s="55"/>
      <c r="DR1394" s="55"/>
      <c r="DS1394" s="55"/>
      <c r="DT1394" s="55"/>
      <c r="DU1394" s="55"/>
      <c r="DV1394" s="55"/>
      <c r="DW1394" s="55"/>
    </row>
    <row r="1395">
      <c r="A1395" s="40" t="s">
        <v>55</v>
      </c>
      <c r="B1395" s="41" t="s">
        <v>56</v>
      </c>
      <c r="C1395" s="31" t="s">
        <v>2959</v>
      </c>
      <c r="D1395" s="25" t="str">
        <f>IFERROR(__xludf.DUMMYFUNCTION("SPLIT(C1395,"" "")"),"Schenkel,")</f>
        <v>Schenkel,</v>
      </c>
      <c r="E1395" s="40" t="str">
        <f>IFERROR(__xludf.DUMMYFUNCTION("""COMPUTED_VALUE"""),"Pete
614")</f>
        <v>Pete
614</v>
      </c>
      <c r="F1395" s="40" t="str">
        <f>IFERROR(__xludf.DUMMYFUNCTION("""COMPUTED_VALUE"""),"
Dallas,")</f>
        <v>
Dallas,</v>
      </c>
      <c r="G1395" s="40" t="str">
        <f>IFERROR(__xludf.DUMMYFUNCTION("""COMPUTED_VALUE"""),"TX")</f>
        <v>TX</v>
      </c>
      <c r="H1395" s="40">
        <f>IFERROR(__xludf.DUMMYFUNCTION("""COMPUTED_VALUE"""),75208.0)</f>
        <v>75208</v>
      </c>
      <c r="I1395" s="40"/>
      <c r="J1395" s="40"/>
      <c r="K1395" s="40"/>
      <c r="L1395" s="40"/>
      <c r="M1395" s="40"/>
      <c r="N1395" s="40"/>
      <c r="O1395" s="40"/>
      <c r="P1395" s="40"/>
      <c r="Q1395" s="40"/>
      <c r="R1395" s="40"/>
      <c r="S1395" s="40"/>
      <c r="T1395" s="40"/>
      <c r="U1395" s="24" t="str">
        <f>IFERROR(__xludf.DUMMYFUNCTION("SPLIT(E1395,""01234567890"")"),"Pete
")</f>
        <v>Pete
</v>
      </c>
      <c r="V1395" s="24" t="str">
        <f>IFERROR(__xludf.DUMMYFUNCTION("SPLIT(D1395,"","")"),"Schenkel")</f>
        <v>Schenkel</v>
      </c>
      <c r="W1395" s="25" t="str">
        <f t="shared" si="1"/>
        <v>PETE
 SCHENKEL</v>
      </c>
      <c r="X1395" s="40"/>
      <c r="Y1395" s="40"/>
      <c r="Z1395" s="25" t="str">
        <f>IFERROR(__xludf.DUMMYFUNCTION("SPLIT(C1395,""
"")"),"Schenkel, Pete")</f>
        <v>Schenkel, Pete</v>
      </c>
      <c r="AA1395" s="40">
        <f>IFERROR(__xludf.DUMMYFUNCTION("""COMPUTED_VALUE"""),614.0)</f>
        <v>614</v>
      </c>
      <c r="AB1395" s="40" t="str">
        <f>IFERROR(__xludf.DUMMYFUNCTION("""COMPUTED_VALUE"""),"Dallas, TX 75208")</f>
        <v>Dallas, TX 75208</v>
      </c>
      <c r="AC1395" s="31" t="s">
        <v>1309</v>
      </c>
      <c r="AD1395" s="40"/>
      <c r="AE1395" s="40"/>
      <c r="AF1395" s="40"/>
      <c r="AG1395" s="40" t="s">
        <v>60</v>
      </c>
      <c r="AH1395" s="42">
        <v>2500.0</v>
      </c>
      <c r="AI1395" s="40" t="s">
        <v>68</v>
      </c>
      <c r="AJ1395" s="27">
        <v>500.0</v>
      </c>
      <c r="AK1395" s="31" t="s">
        <v>23</v>
      </c>
      <c r="AL1395" s="43">
        <v>44926.0</v>
      </c>
      <c r="AM1395" s="44">
        <v>44941.874814814815</v>
      </c>
      <c r="AN1395" s="30">
        <v>2.0</v>
      </c>
      <c r="AO1395" s="40"/>
      <c r="AP1395" s="40"/>
      <c r="AQ1395" s="40"/>
      <c r="AR1395" s="40"/>
      <c r="AS1395" s="40"/>
      <c r="AT1395" s="47"/>
      <c r="AU1395" s="40"/>
      <c r="AV1395" s="46"/>
      <c r="AW1395" s="46"/>
      <c r="AX1395" s="47"/>
      <c r="AY1395" s="44"/>
      <c r="AZ1395" s="30"/>
      <c r="CU1395" s="55"/>
      <c r="CV1395" s="55"/>
      <c r="CW1395" s="55"/>
      <c r="CX1395" s="55"/>
      <c r="CY1395" s="55"/>
      <c r="CZ1395" s="55"/>
      <c r="DA1395" s="82"/>
      <c r="DB1395" s="55"/>
      <c r="DC1395" s="55"/>
      <c r="DD1395" s="55"/>
      <c r="DE1395" s="55"/>
      <c r="DF1395" s="55"/>
      <c r="DG1395" s="55"/>
      <c r="DH1395" s="55"/>
      <c r="DI1395" s="55"/>
      <c r="DJ1395" s="55"/>
      <c r="DK1395" s="55"/>
      <c r="DL1395" s="55"/>
      <c r="DM1395" s="55"/>
      <c r="DN1395" s="55"/>
      <c r="DO1395" s="55"/>
      <c r="DP1395" s="55"/>
      <c r="DQ1395" s="55"/>
      <c r="DR1395" s="55"/>
      <c r="DS1395" s="55"/>
      <c r="DT1395" s="55"/>
      <c r="DU1395" s="55"/>
      <c r="DV1395" s="55"/>
      <c r="DW1395" s="55"/>
    </row>
    <row r="1396">
      <c r="A1396" s="23" t="s">
        <v>64</v>
      </c>
      <c r="B1396" s="23" t="s">
        <v>56</v>
      </c>
      <c r="C1396" s="31" t="s">
        <v>2960</v>
      </c>
      <c r="D1396" s="25" t="str">
        <f>IFERROR(__xludf.DUMMYFUNCTION("SPLIT(C1396,"" "")"),"Southwest")</f>
        <v>Southwest</v>
      </c>
      <c r="E1396" s="22" t="str">
        <f>IFERROR(__xludf.DUMMYFUNCTION("""COMPUTED_VALUE"""),"Airlines")</f>
        <v>Airlines</v>
      </c>
      <c r="F1396" s="22" t="str">
        <f>IFERROR(__xludf.DUMMYFUNCTION("""COMPUTED_VALUE"""),"Freedom")</f>
        <v>Freedom</v>
      </c>
      <c r="G1396" s="22" t="str">
        <f>IFERROR(__xludf.DUMMYFUNCTION("""COMPUTED_VALUE"""),"Fund")</f>
        <v>Fund</v>
      </c>
      <c r="H1396" s="22" t="str">
        <f>IFERROR(__xludf.DUMMYFUNCTION("""COMPUTED_VALUE"""),"PAC
PO")</f>
        <v>PAC
PO</v>
      </c>
      <c r="I1396" s="22" t="str">
        <f>IFERROR(__xludf.DUMMYFUNCTION("""COMPUTED_VALUE"""),"Box")</f>
        <v>Box</v>
      </c>
      <c r="J1396" s="22" t="str">
        <f>IFERROR(__xludf.DUMMYFUNCTION("""COMPUTED_VALUE"""),"36611
Dallas,")</f>
        <v>36611
Dallas,</v>
      </c>
      <c r="K1396" s="22" t="str">
        <f>IFERROR(__xludf.DUMMYFUNCTION("""COMPUTED_VALUE"""),"TX")</f>
        <v>TX</v>
      </c>
      <c r="L1396" s="22">
        <f>IFERROR(__xludf.DUMMYFUNCTION("""COMPUTED_VALUE"""),75235.0)</f>
        <v>75235</v>
      </c>
      <c r="M1396" s="22"/>
      <c r="N1396" s="22"/>
      <c r="O1396" s="22"/>
      <c r="P1396" s="22"/>
      <c r="Q1396" s="22"/>
      <c r="R1396" s="22"/>
      <c r="S1396" s="22"/>
      <c r="T1396" s="22"/>
      <c r="U1396" s="24" t="str">
        <f>IFERROR(__xludf.DUMMYFUNCTION("SPLIT(E1396,""01234567890"")"),"Airlines")</f>
        <v>Airlines</v>
      </c>
      <c r="V1396" s="24" t="str">
        <f>IFERROR(__xludf.DUMMYFUNCTION("SPLIT(D1396,"","")"),"Southwest")</f>
        <v>Southwest</v>
      </c>
      <c r="W1396" s="25" t="str">
        <f t="shared" si="1"/>
        <v>AIRLINES SOUTHWEST</v>
      </c>
      <c r="X1396" s="22"/>
      <c r="Y1396" s="22"/>
      <c r="Z1396" s="25" t="str">
        <f>IFERROR(__xludf.DUMMYFUNCTION("SPLIT(C1396,""
"")"),"Southwest Airlines Freedom Fund PAC")</f>
        <v>Southwest Airlines Freedom Fund PAC</v>
      </c>
      <c r="AA1396" s="22" t="str">
        <f>IFERROR(__xludf.DUMMYFUNCTION("""COMPUTED_VALUE"""),"PO Box 36611")</f>
        <v>PO Box 36611</v>
      </c>
      <c r="AB1396" s="22" t="str">
        <f>IFERROR(__xludf.DUMMYFUNCTION("""COMPUTED_VALUE"""),"Dallas, TX 75235")</f>
        <v>Dallas, TX 75235</v>
      </c>
      <c r="AC1396" s="31" t="s">
        <v>2961</v>
      </c>
      <c r="AD1396" s="22"/>
      <c r="AE1396" s="22"/>
      <c r="AF1396" s="22"/>
      <c r="AG1396" s="22" t="s">
        <v>60</v>
      </c>
      <c r="AH1396" s="54">
        <v>2503.0</v>
      </c>
      <c r="AI1396" s="22" t="s">
        <v>68</v>
      </c>
      <c r="AJ1396" s="27">
        <v>2000.0</v>
      </c>
      <c r="AK1396" s="31" t="s">
        <v>29</v>
      </c>
      <c r="AL1396" s="28">
        <v>44804.0</v>
      </c>
      <c r="AM1396" s="29">
        <v>44943.523877314816</v>
      </c>
      <c r="AN1396" s="30">
        <v>2.0</v>
      </c>
      <c r="AO1396" s="22"/>
      <c r="AP1396" s="22"/>
      <c r="AQ1396" s="22"/>
      <c r="AR1396" s="22"/>
      <c r="AS1396" s="22"/>
      <c r="AT1396" s="70"/>
      <c r="AU1396" s="22"/>
      <c r="AV1396" s="57"/>
      <c r="AW1396" s="57"/>
      <c r="AX1396" s="70"/>
      <c r="AY1396" s="29"/>
      <c r="AZ1396" s="30"/>
      <c r="CU1396" s="55"/>
      <c r="CV1396" s="55"/>
      <c r="CW1396" s="55"/>
      <c r="CX1396" s="55"/>
      <c r="CY1396" s="55"/>
      <c r="CZ1396" s="55"/>
      <c r="DA1396" s="82"/>
      <c r="DB1396" s="55"/>
      <c r="DC1396" s="55"/>
      <c r="DD1396" s="55"/>
      <c r="DE1396" s="55"/>
      <c r="DF1396" s="55"/>
      <c r="DG1396" s="55"/>
      <c r="DH1396" s="55"/>
      <c r="DI1396" s="55"/>
      <c r="DJ1396" s="55"/>
      <c r="DK1396" s="55"/>
      <c r="DL1396" s="55"/>
      <c r="DM1396" s="55"/>
      <c r="DN1396" s="55"/>
      <c r="DO1396" s="55"/>
      <c r="DP1396" s="55"/>
      <c r="DQ1396" s="55"/>
      <c r="DR1396" s="55"/>
      <c r="DS1396" s="55"/>
      <c r="DT1396" s="55"/>
      <c r="DU1396" s="55"/>
      <c r="DV1396" s="55"/>
      <c r="DW1396" s="55"/>
    </row>
    <row r="1397">
      <c r="A1397" s="40" t="s">
        <v>55</v>
      </c>
      <c r="B1397" s="41" t="s">
        <v>56</v>
      </c>
      <c r="C1397" s="31" t="s">
        <v>108</v>
      </c>
      <c r="D1397" s="25" t="str">
        <f>IFERROR(__xludf.DUMMYFUNCTION("SPLIT(C1397,"" "")"),"Addy,")</f>
        <v>Addy,</v>
      </c>
      <c r="E1397" s="40" t="str">
        <f>IFERROR(__xludf.DUMMYFUNCTION("""COMPUTED_VALUE"""),"William
3805")</f>
        <v>William
3805</v>
      </c>
      <c r="F1397" s="40" t="str">
        <f>IFERROR(__xludf.DUMMYFUNCTION("""COMPUTED_VALUE"""),"Normandy
Dallas,")</f>
        <v>Normandy
Dallas,</v>
      </c>
      <c r="G1397" s="40" t="str">
        <f>IFERROR(__xludf.DUMMYFUNCTION("""COMPUTED_VALUE"""),"TX")</f>
        <v>TX</v>
      </c>
      <c r="H1397" s="40">
        <f>IFERROR(__xludf.DUMMYFUNCTION("""COMPUTED_VALUE"""),75205.0)</f>
        <v>75205</v>
      </c>
      <c r="I1397" s="40"/>
      <c r="J1397" s="40"/>
      <c r="K1397" s="40"/>
      <c r="L1397" s="40"/>
      <c r="M1397" s="40"/>
      <c r="N1397" s="40"/>
      <c r="O1397" s="40"/>
      <c r="P1397" s="40"/>
      <c r="Q1397" s="40"/>
      <c r="R1397" s="40"/>
      <c r="S1397" s="40"/>
      <c r="T1397" s="40"/>
      <c r="U1397" s="24" t="str">
        <f>IFERROR(__xludf.DUMMYFUNCTION("SPLIT(E1397,""01234567890"")"),"William
")</f>
        <v>William
</v>
      </c>
      <c r="V1397" s="24" t="str">
        <f>IFERROR(__xludf.DUMMYFUNCTION("SPLIT(D1397,"","")"),"Addy")</f>
        <v>Addy</v>
      </c>
      <c r="W1397" s="25" t="str">
        <f t="shared" si="1"/>
        <v>WILLIAM
 ADDY</v>
      </c>
      <c r="X1397" s="40"/>
      <c r="Y1397" s="40"/>
      <c r="Z1397" s="25" t="str">
        <f>IFERROR(__xludf.DUMMYFUNCTION("SPLIT(C1397,""
"")"),"Addy, William")</f>
        <v>Addy, William</v>
      </c>
      <c r="AA1397" s="40" t="str">
        <f>IFERROR(__xludf.DUMMYFUNCTION("""COMPUTED_VALUE"""),"3805 Normandy")</f>
        <v>3805 Normandy</v>
      </c>
      <c r="AB1397" s="40" t="str">
        <f>IFERROR(__xludf.DUMMYFUNCTION("""COMPUTED_VALUE"""),"Dallas, TX 75205")</f>
        <v>Dallas, TX 75205</v>
      </c>
      <c r="AC1397" s="31" t="s">
        <v>104</v>
      </c>
      <c r="AD1397" s="40"/>
      <c r="AE1397" s="40"/>
      <c r="AF1397" s="40"/>
      <c r="AG1397" s="40" t="s">
        <v>60</v>
      </c>
      <c r="AH1397" s="42">
        <v>2503.0</v>
      </c>
      <c r="AI1397" s="40" t="s">
        <v>68</v>
      </c>
      <c r="AJ1397" s="27">
        <v>1000.0</v>
      </c>
      <c r="AK1397" s="31" t="s">
        <v>29</v>
      </c>
      <c r="AL1397" s="43">
        <v>44854.0</v>
      </c>
      <c r="AM1397" s="44">
        <v>44943.523877314816</v>
      </c>
      <c r="AN1397" s="30">
        <v>2.0</v>
      </c>
      <c r="AO1397" s="40"/>
      <c r="AP1397" s="40"/>
      <c r="AQ1397" s="40"/>
      <c r="AR1397" s="40"/>
      <c r="AS1397" s="40"/>
      <c r="AT1397" s="47"/>
      <c r="AU1397" s="40"/>
      <c r="AV1397" s="46"/>
      <c r="AW1397" s="46"/>
      <c r="AX1397" s="47"/>
      <c r="AY1397" s="44"/>
      <c r="AZ1397" s="30"/>
      <c r="CU1397" s="55"/>
      <c r="CV1397" s="55"/>
      <c r="CW1397" s="55"/>
      <c r="CX1397" s="55"/>
      <c r="CY1397" s="55"/>
      <c r="CZ1397" s="55"/>
      <c r="DA1397" s="82"/>
      <c r="DB1397" s="55"/>
      <c r="DC1397" s="55"/>
      <c r="DD1397" s="55"/>
      <c r="DE1397" s="55"/>
      <c r="DF1397" s="55"/>
      <c r="DG1397" s="55"/>
      <c r="DH1397" s="55"/>
      <c r="DI1397" s="55"/>
      <c r="DJ1397" s="55"/>
      <c r="DK1397" s="55"/>
      <c r="DL1397" s="55"/>
      <c r="DM1397" s="55"/>
      <c r="DN1397" s="55"/>
      <c r="DO1397" s="55"/>
      <c r="DP1397" s="55"/>
      <c r="DQ1397" s="55"/>
      <c r="DR1397" s="55"/>
      <c r="DS1397" s="55"/>
      <c r="DT1397" s="55"/>
      <c r="DU1397" s="55"/>
      <c r="DV1397" s="55"/>
      <c r="DW1397" s="55"/>
    </row>
    <row r="1398">
      <c r="A1398" s="23" t="s">
        <v>64</v>
      </c>
      <c r="B1398" s="23" t="s">
        <v>56</v>
      </c>
      <c r="C1398" s="31" t="s">
        <v>2962</v>
      </c>
      <c r="D1398" s="25" t="str">
        <f>IFERROR(__xludf.DUMMYFUNCTION("SPLIT(C1398,"" "")"),"Narvaez,")</f>
        <v>Narvaez,</v>
      </c>
      <c r="E1398" s="22" t="str">
        <f>IFERROR(__xludf.DUMMYFUNCTION("""COMPUTED_VALUE"""),"Sylvia
8049")</f>
        <v>Sylvia
8049</v>
      </c>
      <c r="F1398" s="22" t="str">
        <f>IFERROR(__xludf.DUMMYFUNCTION("""COMPUTED_VALUE"""),"Ridgeview
Houston,")</f>
        <v>Ridgeview
Houston,</v>
      </c>
      <c r="G1398" s="22" t="str">
        <f>IFERROR(__xludf.DUMMYFUNCTION("""COMPUTED_VALUE"""),"TX")</f>
        <v>TX</v>
      </c>
      <c r="H1398" s="22">
        <f>IFERROR(__xludf.DUMMYFUNCTION("""COMPUTED_VALUE"""),77055.0)</f>
        <v>77055</v>
      </c>
      <c r="I1398" s="22"/>
      <c r="J1398" s="22"/>
      <c r="K1398" s="22"/>
      <c r="L1398" s="22"/>
      <c r="M1398" s="22"/>
      <c r="N1398" s="22"/>
      <c r="O1398" s="22"/>
      <c r="P1398" s="22"/>
      <c r="Q1398" s="22"/>
      <c r="R1398" s="22"/>
      <c r="S1398" s="22"/>
      <c r="T1398" s="22"/>
      <c r="U1398" s="24" t="str">
        <f>IFERROR(__xludf.DUMMYFUNCTION("SPLIT(E1398,""01234567890"")"),"Sylvia
")</f>
        <v>Sylvia
</v>
      </c>
      <c r="V1398" s="24" t="str">
        <f>IFERROR(__xludf.DUMMYFUNCTION("SPLIT(D1398,"","")"),"Narvaez")</f>
        <v>Narvaez</v>
      </c>
      <c r="W1398" s="25" t="str">
        <f t="shared" si="1"/>
        <v>SYLVIA
 NARVAEZ</v>
      </c>
      <c r="X1398" s="22"/>
      <c r="Y1398" s="22"/>
      <c r="Z1398" s="25" t="str">
        <f>IFERROR(__xludf.DUMMYFUNCTION("SPLIT(C1398,""
"")"),"Narvaez, Sylvia")</f>
        <v>Narvaez, Sylvia</v>
      </c>
      <c r="AA1398" s="22" t="str">
        <f>IFERROR(__xludf.DUMMYFUNCTION("""COMPUTED_VALUE"""),"8049 Ridgeview")</f>
        <v>8049 Ridgeview</v>
      </c>
      <c r="AB1398" s="22" t="str">
        <f>IFERROR(__xludf.DUMMYFUNCTION("""COMPUTED_VALUE"""),"Houston, TX 77055")</f>
        <v>Houston, TX 77055</v>
      </c>
      <c r="AC1398" s="31" t="s">
        <v>2963</v>
      </c>
      <c r="AD1398" s="22"/>
      <c r="AE1398" s="22"/>
      <c r="AF1398" s="22"/>
      <c r="AG1398" s="22" t="s">
        <v>60</v>
      </c>
      <c r="AH1398" s="54">
        <v>2503.0</v>
      </c>
      <c r="AI1398" s="22" t="s">
        <v>68</v>
      </c>
      <c r="AJ1398" s="27">
        <v>1000.0</v>
      </c>
      <c r="AK1398" s="31" t="s">
        <v>29</v>
      </c>
      <c r="AL1398" s="28">
        <v>44896.0</v>
      </c>
      <c r="AM1398" s="29">
        <v>44943.523877314816</v>
      </c>
      <c r="AN1398" s="30">
        <v>2.0</v>
      </c>
      <c r="AO1398" s="22"/>
      <c r="AP1398" s="22"/>
      <c r="AQ1398" s="22"/>
      <c r="AR1398" s="22"/>
      <c r="AS1398" s="22"/>
      <c r="AT1398" s="70"/>
      <c r="AU1398" s="22"/>
      <c r="AV1398" s="57"/>
      <c r="AW1398" s="57"/>
      <c r="AX1398" s="70"/>
      <c r="AY1398" s="29"/>
      <c r="AZ1398" s="30"/>
      <c r="CU1398" s="55"/>
      <c r="CV1398" s="55"/>
      <c r="CW1398" s="55"/>
      <c r="CX1398" s="55"/>
      <c r="CY1398" s="55"/>
      <c r="CZ1398" s="55"/>
      <c r="DA1398" s="82"/>
      <c r="DB1398" s="55"/>
      <c r="DC1398" s="55"/>
      <c r="DD1398" s="55"/>
      <c r="DE1398" s="55"/>
      <c r="DF1398" s="55"/>
      <c r="DG1398" s="55"/>
      <c r="DH1398" s="55"/>
      <c r="DI1398" s="55"/>
      <c r="DJ1398" s="55"/>
      <c r="DK1398" s="55"/>
      <c r="DL1398" s="55"/>
      <c r="DM1398" s="55"/>
      <c r="DN1398" s="55"/>
      <c r="DO1398" s="55"/>
      <c r="DP1398" s="55"/>
      <c r="DQ1398" s="55"/>
      <c r="DR1398" s="55"/>
      <c r="DS1398" s="55"/>
      <c r="DT1398" s="55"/>
      <c r="DU1398" s="55"/>
      <c r="DV1398" s="55"/>
      <c r="DW1398" s="55"/>
    </row>
    <row r="1399">
      <c r="A1399" s="40" t="s">
        <v>55</v>
      </c>
      <c r="B1399" s="41" t="s">
        <v>56</v>
      </c>
      <c r="C1399" s="31" t="s">
        <v>2964</v>
      </c>
      <c r="D1399" s="25" t="str">
        <f>IFERROR(__xludf.DUMMYFUNCTION("SPLIT(C1399,"" "")"),"Cheema,")</f>
        <v>Cheema,</v>
      </c>
      <c r="E1399" s="40" t="str">
        <f>IFERROR(__xludf.DUMMYFUNCTION("""COMPUTED_VALUE"""),"Supreet
4753")</f>
        <v>Supreet
4753</v>
      </c>
      <c r="F1399" s="40" t="str">
        <f>IFERROR(__xludf.DUMMYFUNCTION("""COMPUTED_VALUE"""),"Harlow")</f>
        <v>Harlow</v>
      </c>
      <c r="G1399" s="40" t="str">
        <f>IFERROR(__xludf.DUMMYFUNCTION("""COMPUTED_VALUE"""),"Bend
Irving,")</f>
        <v>Bend
Irving,</v>
      </c>
      <c r="H1399" s="40" t="str">
        <f>IFERROR(__xludf.DUMMYFUNCTION("""COMPUTED_VALUE"""),"TX")</f>
        <v>TX</v>
      </c>
      <c r="I1399" s="40">
        <f>IFERROR(__xludf.DUMMYFUNCTION("""COMPUTED_VALUE"""),75038.0)</f>
        <v>75038</v>
      </c>
      <c r="J1399" s="40"/>
      <c r="K1399" s="40"/>
      <c r="L1399" s="40"/>
      <c r="M1399" s="40"/>
      <c r="N1399" s="40"/>
      <c r="O1399" s="40"/>
      <c r="P1399" s="40"/>
      <c r="Q1399" s="40"/>
      <c r="R1399" s="40"/>
      <c r="S1399" s="40"/>
      <c r="T1399" s="40"/>
      <c r="U1399" s="24" t="str">
        <f>IFERROR(__xludf.DUMMYFUNCTION("SPLIT(E1399,""01234567890"")"),"Supreet
")</f>
        <v>Supreet
</v>
      </c>
      <c r="V1399" s="24" t="str">
        <f>IFERROR(__xludf.DUMMYFUNCTION("SPLIT(D1399,"","")"),"Cheema")</f>
        <v>Cheema</v>
      </c>
      <c r="W1399" s="25" t="str">
        <f t="shared" si="1"/>
        <v>SUPREET
 CHEEMA</v>
      </c>
      <c r="X1399" s="40"/>
      <c r="Y1399" s="40"/>
      <c r="Z1399" s="25" t="str">
        <f>IFERROR(__xludf.DUMMYFUNCTION("SPLIT(C1399,""
"")"),"Cheema, Supreet")</f>
        <v>Cheema, Supreet</v>
      </c>
      <c r="AA1399" s="40" t="str">
        <f>IFERROR(__xludf.DUMMYFUNCTION("""COMPUTED_VALUE"""),"4753 Harlow Bend")</f>
        <v>4753 Harlow Bend</v>
      </c>
      <c r="AB1399" s="40" t="str">
        <f>IFERROR(__xludf.DUMMYFUNCTION("""COMPUTED_VALUE"""),"Irving, TX 75038")</f>
        <v>Irving, TX 75038</v>
      </c>
      <c r="AC1399" s="31" t="s">
        <v>2965</v>
      </c>
      <c r="AD1399" s="40"/>
      <c r="AE1399" s="40"/>
      <c r="AF1399" s="40"/>
      <c r="AG1399" s="40" t="s">
        <v>60</v>
      </c>
      <c r="AH1399" s="42">
        <v>2503.0</v>
      </c>
      <c r="AI1399" s="40" t="s">
        <v>68</v>
      </c>
      <c r="AJ1399" s="27">
        <v>1000.0</v>
      </c>
      <c r="AK1399" s="31" t="s">
        <v>29</v>
      </c>
      <c r="AL1399" s="43">
        <v>44902.0</v>
      </c>
      <c r="AM1399" s="44">
        <v>44943.523877314816</v>
      </c>
      <c r="AN1399" s="30">
        <v>2.0</v>
      </c>
      <c r="AO1399" s="40"/>
      <c r="AP1399" s="40"/>
      <c r="AQ1399" s="40"/>
      <c r="AR1399" s="40"/>
      <c r="AS1399" s="40"/>
      <c r="AT1399" s="47"/>
      <c r="AU1399" s="40"/>
      <c r="AV1399" s="46"/>
      <c r="AW1399" s="46"/>
      <c r="AX1399" s="47"/>
      <c r="AY1399" s="44"/>
      <c r="AZ1399" s="30"/>
      <c r="CU1399" s="55"/>
      <c r="CV1399" s="55"/>
      <c r="CW1399" s="55"/>
      <c r="CX1399" s="55"/>
      <c r="CY1399" s="55"/>
      <c r="CZ1399" s="55"/>
      <c r="DA1399" s="82"/>
      <c r="DB1399" s="55"/>
      <c r="DC1399" s="55"/>
      <c r="DD1399" s="55"/>
      <c r="DE1399" s="55"/>
      <c r="DF1399" s="55"/>
      <c r="DG1399" s="55"/>
      <c r="DH1399" s="55"/>
      <c r="DI1399" s="55"/>
      <c r="DJ1399" s="55"/>
      <c r="DK1399" s="55"/>
      <c r="DL1399" s="55"/>
      <c r="DM1399" s="55"/>
      <c r="DN1399" s="55"/>
      <c r="DO1399" s="55"/>
      <c r="DP1399" s="55"/>
      <c r="DQ1399" s="55"/>
      <c r="DR1399" s="55"/>
      <c r="DS1399" s="55"/>
      <c r="DT1399" s="55"/>
      <c r="DU1399" s="55"/>
      <c r="DV1399" s="55"/>
      <c r="DW1399" s="55"/>
    </row>
    <row r="1400">
      <c r="A1400" s="23" t="s">
        <v>64</v>
      </c>
      <c r="B1400" s="23" t="s">
        <v>56</v>
      </c>
      <c r="C1400" s="31" t="s">
        <v>2966</v>
      </c>
      <c r="D1400" s="25" t="str">
        <f>IFERROR(__xludf.DUMMYFUNCTION("SPLIT(C1400,"" "")"),"Davidson,")</f>
        <v>Davidson,</v>
      </c>
      <c r="E1400" s="22" t="str">
        <f>IFERROR(__xludf.DUMMYFUNCTION("""COMPUTED_VALUE"""),"Alyssa
2353")</f>
        <v>Alyssa
2353</v>
      </c>
      <c r="F1400" s="22" t="str">
        <f>IFERROR(__xludf.DUMMYFUNCTION("""COMPUTED_VALUE"""),"N")</f>
        <v>N</v>
      </c>
      <c r="G1400" s="22" t="str">
        <f>IFERROR(__xludf.DUMMYFUNCTION("""COMPUTED_VALUE"""),"Field")</f>
        <v>Field</v>
      </c>
      <c r="H1400" s="22" t="str">
        <f>IFERROR(__xludf.DUMMYFUNCTION("""COMPUTED_VALUE"""),"St
Dallas,")</f>
        <v>St
Dallas,</v>
      </c>
      <c r="I1400" s="22" t="str">
        <f>IFERROR(__xludf.DUMMYFUNCTION("""COMPUTED_VALUE"""),"TX")</f>
        <v>TX</v>
      </c>
      <c r="J1400" s="22">
        <f>IFERROR(__xludf.DUMMYFUNCTION("""COMPUTED_VALUE"""),75201.0)</f>
        <v>75201</v>
      </c>
      <c r="K1400" s="22"/>
      <c r="L1400" s="22"/>
      <c r="M1400" s="22"/>
      <c r="N1400" s="22"/>
      <c r="O1400" s="22"/>
      <c r="P1400" s="22"/>
      <c r="Q1400" s="22"/>
      <c r="R1400" s="22"/>
      <c r="S1400" s="22"/>
      <c r="T1400" s="22"/>
      <c r="U1400" s="24" t="str">
        <f>IFERROR(__xludf.DUMMYFUNCTION("SPLIT(E1400,""01234567890"")"),"Alyssa
")</f>
        <v>Alyssa
</v>
      </c>
      <c r="V1400" s="24" t="str">
        <f>IFERROR(__xludf.DUMMYFUNCTION("SPLIT(D1400,"","")"),"Davidson")</f>
        <v>Davidson</v>
      </c>
      <c r="W1400" s="25" t="str">
        <f t="shared" si="1"/>
        <v>ALYSSA
 DAVIDSON</v>
      </c>
      <c r="X1400" s="22"/>
      <c r="Y1400" s="22"/>
      <c r="Z1400" s="25" t="str">
        <f>IFERROR(__xludf.DUMMYFUNCTION("SPLIT(C1400,""
"")"),"Davidson, Alyssa")</f>
        <v>Davidson, Alyssa</v>
      </c>
      <c r="AA1400" s="22" t="str">
        <f>IFERROR(__xludf.DUMMYFUNCTION("""COMPUTED_VALUE"""),"2353 N Field St")</f>
        <v>2353 N Field St</v>
      </c>
      <c r="AB1400" s="22" t="str">
        <f>IFERROR(__xludf.DUMMYFUNCTION("""COMPUTED_VALUE"""),"Dallas, TX 75201")</f>
        <v>Dallas, TX 75201</v>
      </c>
      <c r="AC1400" s="31" t="s">
        <v>2967</v>
      </c>
      <c r="AD1400" s="22"/>
      <c r="AE1400" s="22"/>
      <c r="AF1400" s="22"/>
      <c r="AG1400" s="22" t="s">
        <v>60</v>
      </c>
      <c r="AH1400" s="54">
        <v>2503.0</v>
      </c>
      <c r="AI1400" s="22" t="s">
        <v>68</v>
      </c>
      <c r="AJ1400" s="27">
        <v>1000.0</v>
      </c>
      <c r="AK1400" s="31" t="s">
        <v>29</v>
      </c>
      <c r="AL1400" s="28">
        <v>44902.0</v>
      </c>
      <c r="AM1400" s="29">
        <v>44943.523877314816</v>
      </c>
      <c r="AN1400" s="30">
        <v>2.0</v>
      </c>
      <c r="AO1400" s="22"/>
      <c r="AP1400" s="22"/>
      <c r="AQ1400" s="22"/>
      <c r="AR1400" s="22"/>
      <c r="AS1400" s="22"/>
      <c r="AT1400" s="70"/>
      <c r="AU1400" s="22"/>
      <c r="AV1400" s="57"/>
      <c r="AW1400" s="57"/>
      <c r="AX1400" s="70"/>
      <c r="AY1400" s="29"/>
      <c r="AZ1400" s="30"/>
      <c r="CU1400" s="55"/>
      <c r="CV1400" s="55"/>
      <c r="CW1400" s="55"/>
      <c r="CX1400" s="55"/>
      <c r="CY1400" s="55"/>
      <c r="CZ1400" s="55"/>
      <c r="DA1400" s="82"/>
      <c r="DB1400" s="55"/>
      <c r="DC1400" s="55"/>
      <c r="DD1400" s="55"/>
      <c r="DE1400" s="55"/>
      <c r="DF1400" s="55"/>
      <c r="DG1400" s="55"/>
      <c r="DH1400" s="55"/>
      <c r="DI1400" s="55"/>
      <c r="DJ1400" s="55"/>
      <c r="DK1400" s="55"/>
      <c r="DL1400" s="55"/>
      <c r="DM1400" s="55"/>
      <c r="DN1400" s="55"/>
      <c r="DO1400" s="55"/>
      <c r="DP1400" s="55"/>
      <c r="DQ1400" s="55"/>
      <c r="DR1400" s="55"/>
      <c r="DS1400" s="55"/>
      <c r="DT1400" s="55"/>
      <c r="DU1400" s="55"/>
      <c r="DV1400" s="55"/>
      <c r="DW1400" s="55"/>
    </row>
    <row r="1401">
      <c r="A1401" s="40" t="s">
        <v>55</v>
      </c>
      <c r="B1401" s="41" t="s">
        <v>56</v>
      </c>
      <c r="C1401" s="31" t="s">
        <v>2968</v>
      </c>
      <c r="D1401" s="25" t="str">
        <f>IFERROR(__xludf.DUMMYFUNCTION("SPLIT(C1401,"" "")"),"Ridley,")</f>
        <v>Ridley,</v>
      </c>
      <c r="E1401" s="40" t="str">
        <f>IFERROR(__xludf.DUMMYFUNCTION("""COMPUTED_VALUE"""),"Paul
5100")</f>
        <v>Paul
5100</v>
      </c>
      <c r="F1401" s="40" t="str">
        <f>IFERROR(__xludf.DUMMYFUNCTION("""COMPUTED_VALUE"""),"Victor
Dallas,")</f>
        <v>Victor
Dallas,</v>
      </c>
      <c r="G1401" s="40" t="str">
        <f>IFERROR(__xludf.DUMMYFUNCTION("""COMPUTED_VALUE"""),"TX")</f>
        <v>TX</v>
      </c>
      <c r="H1401" s="40">
        <f>IFERROR(__xludf.DUMMYFUNCTION("""COMPUTED_VALUE"""),75214.0)</f>
        <v>75214</v>
      </c>
      <c r="I1401" s="40"/>
      <c r="J1401" s="40"/>
      <c r="K1401" s="40"/>
      <c r="L1401" s="40"/>
      <c r="M1401" s="40"/>
      <c r="N1401" s="40"/>
      <c r="O1401" s="40"/>
      <c r="P1401" s="40"/>
      <c r="Q1401" s="40"/>
      <c r="R1401" s="40"/>
      <c r="S1401" s="40"/>
      <c r="T1401" s="40"/>
      <c r="U1401" s="24" t="str">
        <f>IFERROR(__xludf.DUMMYFUNCTION("SPLIT(E1401,""01234567890"")"),"Paul
")</f>
        <v>Paul
</v>
      </c>
      <c r="V1401" s="24" t="str">
        <f>IFERROR(__xludf.DUMMYFUNCTION("SPLIT(D1401,"","")"),"Ridley")</f>
        <v>Ridley</v>
      </c>
      <c r="W1401" s="25" t="str">
        <f t="shared" si="1"/>
        <v>PAUL
 RIDLEY</v>
      </c>
      <c r="X1401" s="40"/>
      <c r="Y1401" s="40"/>
      <c r="Z1401" s="25" t="str">
        <f>IFERROR(__xludf.DUMMYFUNCTION("SPLIT(C1401,""
"")"),"Ridley, Paul")</f>
        <v>Ridley, Paul</v>
      </c>
      <c r="AA1401" s="40" t="str">
        <f>IFERROR(__xludf.DUMMYFUNCTION("""COMPUTED_VALUE"""),"5100 Victor")</f>
        <v>5100 Victor</v>
      </c>
      <c r="AB1401" s="40" t="str">
        <f>IFERROR(__xludf.DUMMYFUNCTION("""COMPUTED_VALUE"""),"Dallas, TX 75214")</f>
        <v>Dallas, TX 75214</v>
      </c>
      <c r="AC1401" s="31" t="s">
        <v>2969</v>
      </c>
      <c r="AD1401" s="40"/>
      <c r="AE1401" s="40"/>
      <c r="AF1401" s="40"/>
      <c r="AG1401" s="40" t="s">
        <v>60</v>
      </c>
      <c r="AH1401" s="42">
        <v>2503.0</v>
      </c>
      <c r="AI1401" s="40" t="s">
        <v>68</v>
      </c>
      <c r="AJ1401" s="27">
        <v>500.0</v>
      </c>
      <c r="AK1401" s="31" t="s">
        <v>29</v>
      </c>
      <c r="AL1401" s="43">
        <v>44907.0</v>
      </c>
      <c r="AM1401" s="44">
        <v>44943.523877314816</v>
      </c>
      <c r="AN1401" s="30">
        <v>2.0</v>
      </c>
      <c r="AO1401" s="40"/>
      <c r="AP1401" s="40"/>
      <c r="AQ1401" s="40"/>
      <c r="AR1401" s="40"/>
      <c r="AS1401" s="40"/>
      <c r="AT1401" s="47"/>
      <c r="AU1401" s="40"/>
      <c r="AV1401" s="46"/>
      <c r="AW1401" s="46"/>
      <c r="AX1401" s="47"/>
      <c r="AY1401" s="44"/>
      <c r="AZ1401" s="30"/>
      <c r="CU1401" s="55"/>
      <c r="CV1401" s="55"/>
      <c r="CW1401" s="55"/>
      <c r="CX1401" s="55"/>
      <c r="CY1401" s="55"/>
      <c r="CZ1401" s="55"/>
      <c r="DA1401" s="82"/>
      <c r="DB1401" s="55"/>
      <c r="DC1401" s="55"/>
      <c r="DD1401" s="55"/>
      <c r="DE1401" s="55"/>
      <c r="DF1401" s="55"/>
      <c r="DG1401" s="55"/>
      <c r="DH1401" s="55"/>
      <c r="DI1401" s="55"/>
      <c r="DJ1401" s="55"/>
      <c r="DK1401" s="55"/>
      <c r="DL1401" s="55"/>
      <c r="DM1401" s="55"/>
      <c r="DN1401" s="55"/>
      <c r="DO1401" s="55"/>
      <c r="DP1401" s="55"/>
      <c r="DQ1401" s="55"/>
      <c r="DR1401" s="55"/>
      <c r="DS1401" s="55"/>
      <c r="DT1401" s="55"/>
      <c r="DU1401" s="55"/>
      <c r="DV1401" s="55"/>
      <c r="DW1401" s="55"/>
    </row>
    <row r="1402">
      <c r="A1402" s="23" t="s">
        <v>64</v>
      </c>
      <c r="B1402" s="23" t="s">
        <v>56</v>
      </c>
      <c r="C1402" s="31" t="s">
        <v>2583</v>
      </c>
      <c r="D1402" s="25" t="str">
        <f>IFERROR(__xludf.DUMMYFUNCTION("SPLIT(C1402,"" "")"),"Johnson,")</f>
        <v>Johnson,</v>
      </c>
      <c r="E1402" s="22" t="str">
        <f>IFERROR(__xludf.DUMMYFUNCTION("""COMPUTED_VALUE"""),"Willis
1001")</f>
        <v>Willis
1001</v>
      </c>
      <c r="F1402" s="22" t="str">
        <f>IFERROR(__xludf.DUMMYFUNCTION("""COMPUTED_VALUE"""),"Belleview
Dallas,")</f>
        <v>Belleview
Dallas,</v>
      </c>
      <c r="G1402" s="22" t="str">
        <f>IFERROR(__xludf.DUMMYFUNCTION("""COMPUTED_VALUE"""),"TX")</f>
        <v>TX</v>
      </c>
      <c r="H1402" s="22">
        <f>IFERROR(__xludf.DUMMYFUNCTION("""COMPUTED_VALUE"""),75215.0)</f>
        <v>75215</v>
      </c>
      <c r="I1402" s="22"/>
      <c r="J1402" s="22"/>
      <c r="K1402" s="22"/>
      <c r="L1402" s="22"/>
      <c r="M1402" s="22"/>
      <c r="N1402" s="22"/>
      <c r="O1402" s="22"/>
      <c r="P1402" s="22"/>
      <c r="Q1402" s="22"/>
      <c r="R1402" s="22"/>
      <c r="S1402" s="22"/>
      <c r="T1402" s="22"/>
      <c r="U1402" s="24" t="str">
        <f>IFERROR(__xludf.DUMMYFUNCTION("SPLIT(E1402,""01234567890"")"),"Willis
")</f>
        <v>Willis
</v>
      </c>
      <c r="V1402" s="24" t="str">
        <f>IFERROR(__xludf.DUMMYFUNCTION("SPLIT(D1402,"","")"),"Johnson")</f>
        <v>Johnson</v>
      </c>
      <c r="W1402" s="25" t="str">
        <f t="shared" si="1"/>
        <v>WILLIS
 JOHNSON</v>
      </c>
      <c r="X1402" s="22"/>
      <c r="Y1402" s="22"/>
      <c r="Z1402" s="25" t="str">
        <f>IFERROR(__xludf.DUMMYFUNCTION("SPLIT(C1402,""
"")"),"Johnson, Willis")</f>
        <v>Johnson, Willis</v>
      </c>
      <c r="AA1402" s="22" t="str">
        <f>IFERROR(__xludf.DUMMYFUNCTION("""COMPUTED_VALUE"""),"1001 Belleview")</f>
        <v>1001 Belleview</v>
      </c>
      <c r="AB1402" s="22" t="str">
        <f>IFERROR(__xludf.DUMMYFUNCTION("""COMPUTED_VALUE"""),"Dallas, TX 75215")</f>
        <v>Dallas, TX 75215</v>
      </c>
      <c r="AC1402" s="31" t="s">
        <v>1476</v>
      </c>
      <c r="AD1402" s="22"/>
      <c r="AE1402" s="22"/>
      <c r="AF1402" s="22"/>
      <c r="AG1402" s="22" t="s">
        <v>60</v>
      </c>
      <c r="AH1402" s="54">
        <v>2503.0</v>
      </c>
      <c r="AI1402" s="22" t="s">
        <v>68</v>
      </c>
      <c r="AJ1402" s="27">
        <v>1000.0</v>
      </c>
      <c r="AK1402" s="31" t="s">
        <v>29</v>
      </c>
      <c r="AL1402" s="28">
        <v>44907.0</v>
      </c>
      <c r="AM1402" s="29">
        <v>44943.523877314816</v>
      </c>
      <c r="AN1402" s="30">
        <v>2.0</v>
      </c>
      <c r="AO1402" s="22"/>
      <c r="AP1402" s="22"/>
      <c r="AQ1402" s="22"/>
      <c r="AR1402" s="22"/>
      <c r="AS1402" s="22"/>
      <c r="AT1402" s="70"/>
      <c r="AU1402" s="22"/>
      <c r="AV1402" s="57"/>
      <c r="AW1402" s="57"/>
      <c r="AX1402" s="70"/>
      <c r="AY1402" s="29"/>
      <c r="AZ1402" s="30"/>
      <c r="CU1402" s="55"/>
      <c r="CV1402" s="55"/>
      <c r="CW1402" s="55"/>
      <c r="CX1402" s="55"/>
      <c r="CY1402" s="55"/>
      <c r="CZ1402" s="55"/>
      <c r="DA1402" s="82"/>
      <c r="DB1402" s="55"/>
      <c r="DC1402" s="55"/>
      <c r="DD1402" s="55"/>
      <c r="DE1402" s="55"/>
      <c r="DF1402" s="55"/>
      <c r="DG1402" s="55"/>
      <c r="DH1402" s="55"/>
      <c r="DI1402" s="55"/>
      <c r="DJ1402" s="55"/>
      <c r="DK1402" s="55"/>
      <c r="DL1402" s="55"/>
      <c r="DM1402" s="55"/>
      <c r="DN1402" s="55"/>
      <c r="DO1402" s="55"/>
      <c r="DP1402" s="55"/>
      <c r="DQ1402" s="55"/>
      <c r="DR1402" s="55"/>
      <c r="DS1402" s="55"/>
      <c r="DT1402" s="55"/>
      <c r="DU1402" s="55"/>
      <c r="DV1402" s="55"/>
      <c r="DW1402" s="55"/>
    </row>
    <row r="1403">
      <c r="A1403" s="40" t="s">
        <v>55</v>
      </c>
      <c r="B1403" s="41" t="s">
        <v>56</v>
      </c>
      <c r="C1403" s="31" t="s">
        <v>2970</v>
      </c>
      <c r="D1403" s="25" t="str">
        <f>IFERROR(__xludf.DUMMYFUNCTION("SPLIT(C1403,"" "")"),"Solis,")</f>
        <v>Solis,</v>
      </c>
      <c r="E1403" s="40" t="str">
        <f>IFERROR(__xludf.DUMMYFUNCTION("""COMPUTED_VALUE"""),"Diane
1551")</f>
        <v>Diane
1551</v>
      </c>
      <c r="F1403" s="40" t="str">
        <f>IFERROR(__xludf.DUMMYFUNCTION("""COMPUTED_VALUE"""),"Oak")</f>
        <v>Oak</v>
      </c>
      <c r="G1403" s="40" t="str">
        <f>IFERROR(__xludf.DUMMYFUNCTION("""COMPUTED_VALUE"""),"Lawn
Dallas,")</f>
        <v>Lawn
Dallas,</v>
      </c>
      <c r="H1403" s="40" t="str">
        <f>IFERROR(__xludf.DUMMYFUNCTION("""COMPUTED_VALUE"""),"TX")</f>
        <v>TX</v>
      </c>
      <c r="I1403" s="40">
        <f>IFERROR(__xludf.DUMMYFUNCTION("""COMPUTED_VALUE"""),75207.0)</f>
        <v>75207</v>
      </c>
      <c r="J1403" s="40"/>
      <c r="K1403" s="40"/>
      <c r="L1403" s="40"/>
      <c r="M1403" s="40"/>
      <c r="N1403" s="40"/>
      <c r="O1403" s="40"/>
      <c r="P1403" s="40"/>
      <c r="Q1403" s="40"/>
      <c r="R1403" s="40"/>
      <c r="S1403" s="40"/>
      <c r="T1403" s="40"/>
      <c r="U1403" s="24" t="str">
        <f>IFERROR(__xludf.DUMMYFUNCTION("SPLIT(E1403,""01234567890"")"),"Diane
")</f>
        <v>Diane
</v>
      </c>
      <c r="V1403" s="24" t="str">
        <f>IFERROR(__xludf.DUMMYFUNCTION("SPLIT(D1403,"","")"),"Solis")</f>
        <v>Solis</v>
      </c>
      <c r="W1403" s="25" t="str">
        <f t="shared" si="1"/>
        <v>DIANE
 SOLIS</v>
      </c>
      <c r="X1403" s="40"/>
      <c r="Y1403" s="40"/>
      <c r="Z1403" s="25" t="str">
        <f>IFERROR(__xludf.DUMMYFUNCTION("SPLIT(C1403,""
"")"),"Solis, Diane")</f>
        <v>Solis, Diane</v>
      </c>
      <c r="AA1403" s="40" t="str">
        <f>IFERROR(__xludf.DUMMYFUNCTION("""COMPUTED_VALUE"""),"1551 Oak Lawn")</f>
        <v>1551 Oak Lawn</v>
      </c>
      <c r="AB1403" s="40" t="str">
        <f>IFERROR(__xludf.DUMMYFUNCTION("""COMPUTED_VALUE"""),"Dallas, TX 75207")</f>
        <v>Dallas, TX 75207</v>
      </c>
      <c r="AC1403" s="31" t="s">
        <v>2971</v>
      </c>
      <c r="AD1403" s="40"/>
      <c r="AE1403" s="40"/>
      <c r="AF1403" s="40"/>
      <c r="AG1403" s="40" t="s">
        <v>60</v>
      </c>
      <c r="AH1403" s="42">
        <v>2503.0</v>
      </c>
      <c r="AI1403" s="40" t="s">
        <v>68</v>
      </c>
      <c r="AJ1403" s="27">
        <v>30.0</v>
      </c>
      <c r="AK1403" s="31" t="s">
        <v>29</v>
      </c>
      <c r="AL1403" s="43">
        <v>44777.0</v>
      </c>
      <c r="AM1403" s="44">
        <v>44943.523877314816</v>
      </c>
      <c r="AN1403" s="30">
        <v>2.0</v>
      </c>
      <c r="AO1403" s="40"/>
      <c r="AP1403" s="40"/>
      <c r="AQ1403" s="40"/>
      <c r="AR1403" s="40"/>
      <c r="AS1403" s="40"/>
      <c r="AT1403" s="47"/>
      <c r="AU1403" s="40"/>
      <c r="AV1403" s="46"/>
      <c r="AW1403" s="46"/>
      <c r="AX1403" s="47"/>
      <c r="AY1403" s="44"/>
      <c r="AZ1403" s="30"/>
      <c r="CU1403" s="55"/>
      <c r="CV1403" s="55"/>
      <c r="CW1403" s="55"/>
      <c r="CX1403" s="55"/>
      <c r="CY1403" s="55"/>
      <c r="CZ1403" s="55"/>
      <c r="DA1403" s="82"/>
      <c r="DB1403" s="55"/>
      <c r="DC1403" s="55"/>
      <c r="DD1403" s="55"/>
      <c r="DE1403" s="55"/>
      <c r="DF1403" s="55"/>
      <c r="DG1403" s="55"/>
      <c r="DH1403" s="55"/>
      <c r="DI1403" s="55"/>
      <c r="DJ1403" s="55"/>
      <c r="DK1403" s="55"/>
      <c r="DL1403" s="55"/>
      <c r="DM1403" s="55"/>
      <c r="DN1403" s="55"/>
      <c r="DO1403" s="55"/>
      <c r="DP1403" s="55"/>
      <c r="DQ1403" s="55"/>
      <c r="DR1403" s="55"/>
      <c r="DS1403" s="55"/>
      <c r="DT1403" s="55"/>
      <c r="DU1403" s="55"/>
      <c r="DV1403" s="55"/>
      <c r="DW1403" s="55"/>
    </row>
    <row r="1404">
      <c r="A1404" s="23" t="s">
        <v>64</v>
      </c>
      <c r="B1404" s="23" t="s">
        <v>56</v>
      </c>
      <c r="C1404" s="31" t="s">
        <v>2972</v>
      </c>
      <c r="D1404" s="25" t="str">
        <f>IFERROR(__xludf.DUMMYFUNCTION("SPLIT(C1404,"" "")"),"Flores,")</f>
        <v>Flores,</v>
      </c>
      <c r="E1404" s="22" t="str">
        <f>IFERROR(__xludf.DUMMYFUNCTION("""COMPUTED_VALUE"""),"Hector
1030")</f>
        <v>Hector
1030</v>
      </c>
      <c r="F1404" s="22" t="str">
        <f>IFERROR(__xludf.DUMMYFUNCTION("""COMPUTED_VALUE"""),"Tracy")</f>
        <v>Tracy</v>
      </c>
      <c r="G1404" s="22" t="str">
        <f>IFERROR(__xludf.DUMMYFUNCTION("""COMPUTED_VALUE"""),"Avenue
Duncanville,")</f>
        <v>Avenue
Duncanville,</v>
      </c>
      <c r="H1404" s="22" t="str">
        <f>IFERROR(__xludf.DUMMYFUNCTION("""COMPUTED_VALUE"""),"TX")</f>
        <v>TX</v>
      </c>
      <c r="I1404" s="22">
        <f>IFERROR(__xludf.DUMMYFUNCTION("""COMPUTED_VALUE"""),75137.0)</f>
        <v>75137</v>
      </c>
      <c r="J1404" s="22"/>
      <c r="K1404" s="22"/>
      <c r="L1404" s="22"/>
      <c r="M1404" s="22"/>
      <c r="N1404" s="22"/>
      <c r="O1404" s="22"/>
      <c r="P1404" s="22"/>
      <c r="Q1404" s="22"/>
      <c r="R1404" s="22"/>
      <c r="S1404" s="22"/>
      <c r="T1404" s="22"/>
      <c r="U1404" s="24" t="str">
        <f>IFERROR(__xludf.DUMMYFUNCTION("SPLIT(E1404,""01234567890"")"),"Hector
")</f>
        <v>Hector
</v>
      </c>
      <c r="V1404" s="24" t="str">
        <f>IFERROR(__xludf.DUMMYFUNCTION("SPLIT(D1404,"","")"),"Flores")</f>
        <v>Flores</v>
      </c>
      <c r="W1404" s="25" t="str">
        <f t="shared" si="1"/>
        <v>HECTOR
 FLORES</v>
      </c>
      <c r="X1404" s="22"/>
      <c r="Y1404" s="22"/>
      <c r="Z1404" s="25" t="str">
        <f>IFERROR(__xludf.DUMMYFUNCTION("SPLIT(C1404,""
"")"),"Flores, Hector")</f>
        <v>Flores, Hector</v>
      </c>
      <c r="AA1404" s="22" t="str">
        <f>IFERROR(__xludf.DUMMYFUNCTION("""COMPUTED_VALUE"""),"1030 Tracy Avenue")</f>
        <v>1030 Tracy Avenue</v>
      </c>
      <c r="AB1404" s="22" t="str">
        <f>IFERROR(__xludf.DUMMYFUNCTION("""COMPUTED_VALUE"""),"Duncanville, TX 75137")</f>
        <v>Duncanville, TX 75137</v>
      </c>
      <c r="AC1404" s="31" t="s">
        <v>2973</v>
      </c>
      <c r="AD1404" s="22"/>
      <c r="AE1404" s="22"/>
      <c r="AF1404" s="22"/>
      <c r="AG1404" s="22" t="s">
        <v>60</v>
      </c>
      <c r="AH1404" s="54">
        <v>2503.0</v>
      </c>
      <c r="AI1404" s="22" t="s">
        <v>68</v>
      </c>
      <c r="AJ1404" s="27">
        <v>100.0</v>
      </c>
      <c r="AK1404" s="31" t="s">
        <v>29</v>
      </c>
      <c r="AL1404" s="28">
        <v>44783.0</v>
      </c>
      <c r="AM1404" s="29">
        <v>44943.523877314816</v>
      </c>
      <c r="AN1404" s="30">
        <v>2.0</v>
      </c>
      <c r="AO1404" s="22"/>
      <c r="AP1404" s="22"/>
      <c r="AQ1404" s="22"/>
      <c r="AR1404" s="22"/>
      <c r="AS1404" s="22"/>
      <c r="AT1404" s="70"/>
      <c r="AU1404" s="22"/>
      <c r="AV1404" s="57"/>
      <c r="AW1404" s="57"/>
      <c r="AX1404" s="70"/>
      <c r="AY1404" s="29"/>
      <c r="AZ1404" s="30"/>
      <c r="CU1404" s="55"/>
      <c r="CV1404" s="55"/>
      <c r="CW1404" s="55"/>
      <c r="CX1404" s="55"/>
      <c r="CY1404" s="55"/>
      <c r="CZ1404" s="55"/>
      <c r="DA1404" s="82"/>
      <c r="DB1404" s="55"/>
      <c r="DC1404" s="55"/>
      <c r="DD1404" s="55"/>
      <c r="DE1404" s="55"/>
      <c r="DF1404" s="55"/>
      <c r="DG1404" s="55"/>
      <c r="DH1404" s="55"/>
      <c r="DI1404" s="55"/>
      <c r="DJ1404" s="55"/>
      <c r="DK1404" s="55"/>
      <c r="DL1404" s="55"/>
      <c r="DM1404" s="55"/>
      <c r="DN1404" s="55"/>
      <c r="DO1404" s="55"/>
      <c r="DP1404" s="55"/>
      <c r="DQ1404" s="55"/>
      <c r="DR1404" s="55"/>
      <c r="DS1404" s="55"/>
      <c r="DT1404" s="55"/>
      <c r="DU1404" s="55"/>
      <c r="DV1404" s="55"/>
      <c r="DW1404" s="55"/>
    </row>
    <row r="1405">
      <c r="A1405" s="40" t="s">
        <v>55</v>
      </c>
      <c r="B1405" s="41" t="s">
        <v>56</v>
      </c>
      <c r="C1405" s="31" t="s">
        <v>2974</v>
      </c>
      <c r="D1405" s="25" t="str">
        <f>IFERROR(__xludf.DUMMYFUNCTION("SPLIT(C1405,"" "")"),"Olivarez,")</f>
        <v>Olivarez,</v>
      </c>
      <c r="E1405" s="40" t="str">
        <f>IFERROR(__xludf.DUMMYFUNCTION("""COMPUTED_VALUE"""),"Javier
9749")</f>
        <v>Javier
9749</v>
      </c>
      <c r="F1405" s="40" t="str">
        <f>IFERROR(__xludf.DUMMYFUNCTION("""COMPUTED_VALUE"""),"Kittyhawk
Dallas,")</f>
        <v>Kittyhawk
Dallas,</v>
      </c>
      <c r="G1405" s="40" t="str">
        <f>IFERROR(__xludf.DUMMYFUNCTION("""COMPUTED_VALUE"""),"TX")</f>
        <v>TX</v>
      </c>
      <c r="H1405" s="40">
        <f>IFERROR(__xludf.DUMMYFUNCTION("""COMPUTED_VALUE"""),75217.0)</f>
        <v>75217</v>
      </c>
      <c r="I1405" s="40"/>
      <c r="J1405" s="40"/>
      <c r="K1405" s="40"/>
      <c r="L1405" s="40"/>
      <c r="M1405" s="40"/>
      <c r="N1405" s="40"/>
      <c r="O1405" s="40"/>
      <c r="P1405" s="40"/>
      <c r="Q1405" s="40"/>
      <c r="R1405" s="40"/>
      <c r="S1405" s="40"/>
      <c r="T1405" s="40"/>
      <c r="U1405" s="24" t="str">
        <f>IFERROR(__xludf.DUMMYFUNCTION("SPLIT(E1405,""01234567890"")"),"Javier
")</f>
        <v>Javier
</v>
      </c>
      <c r="V1405" s="24" t="str">
        <f>IFERROR(__xludf.DUMMYFUNCTION("SPLIT(D1405,"","")"),"Olivarez")</f>
        <v>Olivarez</v>
      </c>
      <c r="W1405" s="25" t="str">
        <f t="shared" si="1"/>
        <v>JAVIER
 OLIVAREZ</v>
      </c>
      <c r="X1405" s="40"/>
      <c r="Y1405" s="40"/>
      <c r="Z1405" s="25" t="str">
        <f>IFERROR(__xludf.DUMMYFUNCTION("SPLIT(C1405,""
"")"),"Olivarez, Javier")</f>
        <v>Olivarez, Javier</v>
      </c>
      <c r="AA1405" s="40" t="str">
        <f>IFERROR(__xludf.DUMMYFUNCTION("""COMPUTED_VALUE"""),"9749 Kittyhawk")</f>
        <v>9749 Kittyhawk</v>
      </c>
      <c r="AB1405" s="40" t="str">
        <f>IFERROR(__xludf.DUMMYFUNCTION("""COMPUTED_VALUE"""),"Dallas, TX 75217")</f>
        <v>Dallas, TX 75217</v>
      </c>
      <c r="AC1405" s="31" t="s">
        <v>2975</v>
      </c>
      <c r="AD1405" s="40"/>
      <c r="AE1405" s="40"/>
      <c r="AF1405" s="40"/>
      <c r="AG1405" s="40" t="s">
        <v>60</v>
      </c>
      <c r="AH1405" s="42">
        <v>2503.0</v>
      </c>
      <c r="AI1405" s="40" t="s">
        <v>68</v>
      </c>
      <c r="AJ1405" s="27">
        <v>50.0</v>
      </c>
      <c r="AK1405" s="31" t="s">
        <v>29</v>
      </c>
      <c r="AL1405" s="43">
        <v>44880.0</v>
      </c>
      <c r="AM1405" s="44">
        <v>44943.523877314816</v>
      </c>
      <c r="AN1405" s="30">
        <v>2.0</v>
      </c>
      <c r="AO1405" s="40"/>
      <c r="AP1405" s="40"/>
      <c r="AQ1405" s="40"/>
      <c r="AR1405" s="40"/>
      <c r="AS1405" s="40"/>
      <c r="AT1405" s="47"/>
      <c r="AU1405" s="40"/>
      <c r="AV1405" s="46"/>
      <c r="AW1405" s="46"/>
      <c r="AX1405" s="47"/>
      <c r="AY1405" s="44"/>
      <c r="AZ1405" s="30"/>
      <c r="CU1405" s="55"/>
      <c r="CV1405" s="55"/>
      <c r="CW1405" s="55"/>
      <c r="CX1405" s="55"/>
      <c r="CY1405" s="55"/>
      <c r="CZ1405" s="55"/>
      <c r="DA1405" s="82"/>
      <c r="DB1405" s="55"/>
      <c r="DC1405" s="55"/>
      <c r="DD1405" s="55"/>
      <c r="DE1405" s="55"/>
      <c r="DF1405" s="55"/>
      <c r="DG1405" s="55"/>
      <c r="DH1405" s="55"/>
      <c r="DI1405" s="55"/>
      <c r="DJ1405" s="55"/>
      <c r="DK1405" s="55"/>
      <c r="DL1405" s="55"/>
      <c r="DM1405" s="55"/>
      <c r="DN1405" s="55"/>
      <c r="DO1405" s="55"/>
      <c r="DP1405" s="55"/>
      <c r="DQ1405" s="55"/>
      <c r="DR1405" s="55"/>
      <c r="DS1405" s="55"/>
      <c r="DT1405" s="55"/>
      <c r="DU1405" s="55"/>
      <c r="DV1405" s="55"/>
      <c r="DW1405" s="55"/>
    </row>
    <row r="1406">
      <c r="A1406" s="23" t="s">
        <v>64</v>
      </c>
      <c r="B1406" s="23" t="s">
        <v>56</v>
      </c>
      <c r="C1406" s="31" t="s">
        <v>2976</v>
      </c>
      <c r="D1406" s="25" t="str">
        <f>IFERROR(__xludf.DUMMYFUNCTION("SPLIT(C1406,"" "")"),"Myers,")</f>
        <v>Myers,</v>
      </c>
      <c r="E1406" s="22" t="str">
        <f>IFERROR(__xludf.DUMMYFUNCTION("""COMPUTED_VALUE"""),"Richard
17115")</f>
        <v>Richard
17115</v>
      </c>
      <c r="F1406" s="22" t="str">
        <f>IFERROR(__xludf.DUMMYFUNCTION("""COMPUTED_VALUE"""),"Skelton")</f>
        <v>Skelton</v>
      </c>
      <c r="G1406" s="22" t="str">
        <f>IFERROR(__xludf.DUMMYFUNCTION("""COMPUTED_VALUE"""),"Place
Dallas,")</f>
        <v>Place
Dallas,</v>
      </c>
      <c r="H1406" s="22" t="str">
        <f>IFERROR(__xludf.DUMMYFUNCTION("""COMPUTED_VALUE"""),"TX")</f>
        <v>TX</v>
      </c>
      <c r="I1406" s="22">
        <f>IFERROR(__xludf.DUMMYFUNCTION("""COMPUTED_VALUE"""),75248.0)</f>
        <v>75248</v>
      </c>
      <c r="J1406" s="22"/>
      <c r="K1406" s="22"/>
      <c r="L1406" s="22"/>
      <c r="M1406" s="22"/>
      <c r="N1406" s="22"/>
      <c r="O1406" s="22"/>
      <c r="P1406" s="22"/>
      <c r="Q1406" s="22"/>
      <c r="R1406" s="22"/>
      <c r="S1406" s="22"/>
      <c r="T1406" s="22"/>
      <c r="U1406" s="24" t="str">
        <f>IFERROR(__xludf.DUMMYFUNCTION("SPLIT(E1406,""01234567890"")"),"Richard
")</f>
        <v>Richard
</v>
      </c>
      <c r="V1406" s="24" t="str">
        <f>IFERROR(__xludf.DUMMYFUNCTION("SPLIT(D1406,"","")"),"Myers")</f>
        <v>Myers</v>
      </c>
      <c r="W1406" s="25" t="str">
        <f t="shared" si="1"/>
        <v>RICHARD
 MYERS</v>
      </c>
      <c r="X1406" s="22"/>
      <c r="Y1406" s="22"/>
      <c r="Z1406" s="25" t="str">
        <f>IFERROR(__xludf.DUMMYFUNCTION("SPLIT(C1406,""
"")"),"Myers, Richard")</f>
        <v>Myers, Richard</v>
      </c>
      <c r="AA1406" s="22" t="str">
        <f>IFERROR(__xludf.DUMMYFUNCTION("""COMPUTED_VALUE"""),"17115 Skelton Place")</f>
        <v>17115 Skelton Place</v>
      </c>
      <c r="AB1406" s="22" t="str">
        <f>IFERROR(__xludf.DUMMYFUNCTION("""COMPUTED_VALUE"""),"Dallas, TX 75248")</f>
        <v>Dallas, TX 75248</v>
      </c>
      <c r="AC1406" s="31" t="s">
        <v>2977</v>
      </c>
      <c r="AD1406" s="22"/>
      <c r="AE1406" s="22"/>
      <c r="AF1406" s="22"/>
      <c r="AG1406" s="22" t="s">
        <v>60</v>
      </c>
      <c r="AH1406" s="54">
        <v>2503.0</v>
      </c>
      <c r="AI1406" s="22" t="s">
        <v>68</v>
      </c>
      <c r="AJ1406" s="27">
        <v>1000.0</v>
      </c>
      <c r="AK1406" s="31" t="s">
        <v>29</v>
      </c>
      <c r="AL1406" s="28">
        <v>44897.0</v>
      </c>
      <c r="AM1406" s="29">
        <v>44943.523877314816</v>
      </c>
      <c r="AN1406" s="30">
        <v>2.0</v>
      </c>
      <c r="AO1406" s="22"/>
      <c r="AP1406" s="22"/>
      <c r="AQ1406" s="22"/>
      <c r="AR1406" s="22"/>
      <c r="AS1406" s="22"/>
      <c r="AT1406" s="70"/>
      <c r="AU1406" s="22"/>
      <c r="AV1406" s="57"/>
      <c r="AW1406" s="57"/>
      <c r="AX1406" s="70"/>
      <c r="AY1406" s="29"/>
      <c r="AZ1406" s="30"/>
      <c r="CU1406" s="55"/>
      <c r="CV1406" s="55"/>
      <c r="CW1406" s="55"/>
      <c r="CX1406" s="55"/>
      <c r="CY1406" s="55"/>
      <c r="CZ1406" s="55"/>
      <c r="DA1406" s="82"/>
      <c r="DB1406" s="55"/>
      <c r="DC1406" s="55"/>
      <c r="DD1406" s="55"/>
      <c r="DE1406" s="55"/>
      <c r="DF1406" s="55"/>
      <c r="DG1406" s="55"/>
      <c r="DH1406" s="55"/>
      <c r="DI1406" s="55"/>
      <c r="DJ1406" s="55"/>
      <c r="DK1406" s="55"/>
      <c r="DL1406" s="55"/>
      <c r="DM1406" s="55"/>
      <c r="DN1406" s="55"/>
      <c r="DO1406" s="55"/>
      <c r="DP1406" s="55"/>
      <c r="DQ1406" s="55"/>
      <c r="DR1406" s="55"/>
      <c r="DS1406" s="55"/>
      <c r="DT1406" s="55"/>
      <c r="DU1406" s="55"/>
      <c r="DV1406" s="55"/>
      <c r="DW1406" s="55"/>
    </row>
    <row r="1407">
      <c r="A1407" s="40" t="s">
        <v>55</v>
      </c>
      <c r="B1407" s="41" t="s">
        <v>56</v>
      </c>
      <c r="C1407" s="31" t="s">
        <v>812</v>
      </c>
      <c r="D1407" s="25" t="str">
        <f>IFERROR(__xludf.DUMMYFUNCTION("SPLIT(C1407,"" "")"),"Sampson,")</f>
        <v>Sampson,</v>
      </c>
      <c r="E1407" s="40" t="str">
        <f>IFERROR(__xludf.DUMMYFUNCTION("""COMPUTED_VALUE"""),"Demetris
PO")</f>
        <v>Demetris
PO</v>
      </c>
      <c r="F1407" s="40" t="str">
        <f>IFERROR(__xludf.DUMMYFUNCTION("""COMPUTED_VALUE"""),"Box")</f>
        <v>Box</v>
      </c>
      <c r="G1407" s="40" t="str">
        <f>IFERROR(__xludf.DUMMYFUNCTION("""COMPUTED_VALUE"""),"763834
Dallas,")</f>
        <v>763834
Dallas,</v>
      </c>
      <c r="H1407" s="40" t="str">
        <f>IFERROR(__xludf.DUMMYFUNCTION("""COMPUTED_VALUE"""),"TX")</f>
        <v>TX</v>
      </c>
      <c r="I1407" s="40">
        <f>IFERROR(__xludf.DUMMYFUNCTION("""COMPUTED_VALUE"""),75376.0)</f>
        <v>75376</v>
      </c>
      <c r="J1407" s="40"/>
      <c r="K1407" s="40"/>
      <c r="L1407" s="40"/>
      <c r="M1407" s="40"/>
      <c r="N1407" s="40"/>
      <c r="O1407" s="40"/>
      <c r="P1407" s="40"/>
      <c r="Q1407" s="40"/>
      <c r="R1407" s="40"/>
      <c r="S1407" s="40"/>
      <c r="T1407" s="40"/>
      <c r="U1407" s="24" t="str">
        <f>IFERROR(__xludf.DUMMYFUNCTION("SPLIT(E1407,""01234567890"")"),"Demetris
PO")</f>
        <v>Demetris
PO</v>
      </c>
      <c r="V1407" s="24" t="str">
        <f>IFERROR(__xludf.DUMMYFUNCTION("SPLIT(D1407,"","")"),"Sampson")</f>
        <v>Sampson</v>
      </c>
      <c r="W1407" s="25" t="str">
        <f t="shared" si="1"/>
        <v>DEMETRIS
PO SAMPSON</v>
      </c>
      <c r="X1407" s="40"/>
      <c r="Y1407" s="40"/>
      <c r="Z1407" s="25" t="str">
        <f>IFERROR(__xludf.DUMMYFUNCTION("SPLIT(C1407,""
"")"),"Sampson, Demetris")</f>
        <v>Sampson, Demetris</v>
      </c>
      <c r="AA1407" s="40" t="str">
        <f>IFERROR(__xludf.DUMMYFUNCTION("""COMPUTED_VALUE"""),"PO Box 763834")</f>
        <v>PO Box 763834</v>
      </c>
      <c r="AB1407" s="40" t="str">
        <f>IFERROR(__xludf.DUMMYFUNCTION("""COMPUTED_VALUE"""),"Dallas, TX 75376")</f>
        <v>Dallas, TX 75376</v>
      </c>
      <c r="AC1407" s="31" t="s">
        <v>814</v>
      </c>
      <c r="AD1407" s="40"/>
      <c r="AE1407" s="40"/>
      <c r="AF1407" s="40"/>
      <c r="AG1407" s="40" t="s">
        <v>60</v>
      </c>
      <c r="AH1407" s="42">
        <v>2503.0</v>
      </c>
      <c r="AI1407" s="40" t="s">
        <v>68</v>
      </c>
      <c r="AJ1407" s="27">
        <v>250.0</v>
      </c>
      <c r="AK1407" s="31" t="s">
        <v>29</v>
      </c>
      <c r="AL1407" s="43">
        <v>44900.0</v>
      </c>
      <c r="AM1407" s="44">
        <v>44943.523877314816</v>
      </c>
      <c r="AN1407" s="30">
        <v>2.0</v>
      </c>
      <c r="AO1407" s="40"/>
      <c r="AP1407" s="40"/>
      <c r="AQ1407" s="40"/>
      <c r="AR1407" s="40"/>
      <c r="AS1407" s="40"/>
      <c r="AT1407" s="47"/>
      <c r="AU1407" s="40"/>
      <c r="AV1407" s="46"/>
      <c r="AW1407" s="46"/>
      <c r="AX1407" s="47"/>
      <c r="AY1407" s="44"/>
      <c r="AZ1407" s="30"/>
      <c r="CU1407" s="55"/>
      <c r="CV1407" s="55"/>
      <c r="CW1407" s="55"/>
      <c r="CX1407" s="55"/>
      <c r="CY1407" s="55"/>
      <c r="CZ1407" s="55"/>
      <c r="DA1407" s="82"/>
      <c r="DB1407" s="55"/>
      <c r="DC1407" s="55"/>
      <c r="DD1407" s="55"/>
      <c r="DE1407" s="55"/>
      <c r="DF1407" s="55"/>
      <c r="DG1407" s="55"/>
      <c r="DH1407" s="55"/>
      <c r="DI1407" s="55"/>
      <c r="DJ1407" s="55"/>
      <c r="DK1407" s="55"/>
      <c r="DL1407" s="55"/>
      <c r="DM1407" s="55"/>
      <c r="DN1407" s="55"/>
      <c r="DO1407" s="55"/>
      <c r="DP1407" s="55"/>
      <c r="DQ1407" s="55"/>
      <c r="DR1407" s="55"/>
      <c r="DS1407" s="55"/>
      <c r="DT1407" s="55"/>
      <c r="DU1407" s="55"/>
      <c r="DV1407" s="55"/>
      <c r="DW1407" s="55"/>
    </row>
    <row r="1408">
      <c r="A1408" s="23" t="s">
        <v>64</v>
      </c>
      <c r="B1408" s="23" t="s">
        <v>56</v>
      </c>
      <c r="C1408" s="31" t="s">
        <v>426</v>
      </c>
      <c r="D1408" s="25" t="str">
        <f>IFERROR(__xludf.DUMMYFUNCTION("SPLIT(C1408,"" "")"),"Billingsley,")</f>
        <v>Billingsley,</v>
      </c>
      <c r="E1408" s="22" t="str">
        <f>IFERROR(__xludf.DUMMYFUNCTION("""COMPUTED_VALUE"""),"Lucy
1722")</f>
        <v>Lucy
1722</v>
      </c>
      <c r="F1408" s="22" t="str">
        <f>IFERROR(__xludf.DUMMYFUNCTION("""COMPUTED_VALUE"""),"Routh")</f>
        <v>Routh</v>
      </c>
      <c r="G1408" s="22" t="str">
        <f>IFERROR(__xludf.DUMMYFUNCTION("""COMPUTED_VALUE"""),"St
Dallas,")</f>
        <v>St
Dallas,</v>
      </c>
      <c r="H1408" s="22" t="str">
        <f>IFERROR(__xludf.DUMMYFUNCTION("""COMPUTED_VALUE"""),"TX")</f>
        <v>TX</v>
      </c>
      <c r="I1408" s="22">
        <f>IFERROR(__xludf.DUMMYFUNCTION("""COMPUTED_VALUE"""),75201.0)</f>
        <v>75201</v>
      </c>
      <c r="J1408" s="22"/>
      <c r="K1408" s="22"/>
      <c r="L1408" s="22"/>
      <c r="M1408" s="22"/>
      <c r="N1408" s="22"/>
      <c r="O1408" s="22"/>
      <c r="P1408" s="22"/>
      <c r="Q1408" s="22"/>
      <c r="R1408" s="22"/>
      <c r="S1408" s="22"/>
      <c r="T1408" s="22"/>
      <c r="U1408" s="24" t="str">
        <f>IFERROR(__xludf.DUMMYFUNCTION("SPLIT(E1408,""01234567890"")"),"Lucy
")</f>
        <v>Lucy
</v>
      </c>
      <c r="V1408" s="24" t="str">
        <f>IFERROR(__xludf.DUMMYFUNCTION("SPLIT(D1408,"","")"),"Billingsley")</f>
        <v>Billingsley</v>
      </c>
      <c r="W1408" s="25" t="str">
        <f t="shared" si="1"/>
        <v>LUCY
 BILLINGSLEY</v>
      </c>
      <c r="X1408" s="22"/>
      <c r="Y1408" s="22"/>
      <c r="Z1408" s="25" t="str">
        <f>IFERROR(__xludf.DUMMYFUNCTION("SPLIT(C1408,""
"")"),"Billingsley, Lucy")</f>
        <v>Billingsley, Lucy</v>
      </c>
      <c r="AA1408" s="22" t="str">
        <f>IFERROR(__xludf.DUMMYFUNCTION("""COMPUTED_VALUE"""),"1722 Routh St")</f>
        <v>1722 Routh St</v>
      </c>
      <c r="AB1408" s="22" t="str">
        <f>IFERROR(__xludf.DUMMYFUNCTION("""COMPUTED_VALUE"""),"Dallas, TX 75201")</f>
        <v>Dallas, TX 75201</v>
      </c>
      <c r="AC1408" s="31" t="s">
        <v>425</v>
      </c>
      <c r="AD1408" s="22"/>
      <c r="AE1408" s="22"/>
      <c r="AF1408" s="22"/>
      <c r="AG1408" s="22" t="s">
        <v>60</v>
      </c>
      <c r="AH1408" s="54">
        <v>2503.0</v>
      </c>
      <c r="AI1408" s="22" t="s">
        <v>68</v>
      </c>
      <c r="AJ1408" s="27">
        <v>1000.0</v>
      </c>
      <c r="AK1408" s="31" t="s">
        <v>29</v>
      </c>
      <c r="AL1408" s="28">
        <v>44901.0</v>
      </c>
      <c r="AM1408" s="29">
        <v>44943.523877314816</v>
      </c>
      <c r="AN1408" s="30">
        <v>2.0</v>
      </c>
      <c r="AO1408" s="22"/>
      <c r="AP1408" s="22"/>
      <c r="AQ1408" s="22"/>
      <c r="AR1408" s="22"/>
      <c r="AS1408" s="22"/>
      <c r="AT1408" s="70"/>
      <c r="AU1408" s="22"/>
      <c r="AV1408" s="57"/>
      <c r="AW1408" s="57"/>
      <c r="AX1408" s="70"/>
      <c r="AY1408" s="29"/>
      <c r="AZ1408" s="30"/>
      <c r="CU1408" s="55"/>
      <c r="CV1408" s="55"/>
      <c r="CW1408" s="55"/>
      <c r="CX1408" s="55"/>
      <c r="CY1408" s="55"/>
      <c r="CZ1408" s="55"/>
      <c r="DA1408" s="82"/>
      <c r="DB1408" s="55"/>
      <c r="DC1408" s="55"/>
      <c r="DD1408" s="55"/>
      <c r="DE1408" s="55"/>
      <c r="DF1408" s="55"/>
      <c r="DG1408" s="55"/>
      <c r="DH1408" s="55"/>
      <c r="DI1408" s="55"/>
      <c r="DJ1408" s="55"/>
      <c r="DK1408" s="55"/>
      <c r="DL1408" s="55"/>
      <c r="DM1408" s="55"/>
      <c r="DN1408" s="55"/>
      <c r="DO1408" s="55"/>
      <c r="DP1408" s="55"/>
      <c r="DQ1408" s="55"/>
      <c r="DR1408" s="55"/>
      <c r="DS1408" s="55"/>
      <c r="DT1408" s="55"/>
      <c r="DU1408" s="55"/>
      <c r="DV1408" s="55"/>
      <c r="DW1408" s="55"/>
    </row>
    <row r="1409">
      <c r="A1409" s="40" t="s">
        <v>55</v>
      </c>
      <c r="B1409" s="41" t="s">
        <v>56</v>
      </c>
      <c r="C1409" s="31" t="s">
        <v>2978</v>
      </c>
      <c r="D1409" s="25" t="str">
        <f>IFERROR(__xludf.DUMMYFUNCTION("SPLIT(C1409,"" "")"),"Lunceford,")</f>
        <v>Lunceford,</v>
      </c>
      <c r="E1409" s="40" t="str">
        <f>IFERROR(__xludf.DUMMYFUNCTION("""COMPUTED_VALUE"""),"Michael
4440")</f>
        <v>Michael
4440</v>
      </c>
      <c r="F1409" s="40" t="str">
        <f>IFERROR(__xludf.DUMMYFUNCTION("""COMPUTED_VALUE"""),"Shady")</f>
        <v>Shady</v>
      </c>
      <c r="G1409" s="40" t="str">
        <f>IFERROR(__xludf.DUMMYFUNCTION("""COMPUTED_VALUE"""),"Hill")</f>
        <v>Hill</v>
      </c>
      <c r="H1409" s="40" t="str">
        <f>IFERROR(__xludf.DUMMYFUNCTION("""COMPUTED_VALUE"""),"Drive
Dallas,")</f>
        <v>Drive
Dallas,</v>
      </c>
      <c r="I1409" s="40" t="str">
        <f>IFERROR(__xludf.DUMMYFUNCTION("""COMPUTED_VALUE"""),"TX")</f>
        <v>TX</v>
      </c>
      <c r="J1409" s="40">
        <f>IFERROR(__xludf.DUMMYFUNCTION("""COMPUTED_VALUE"""),75229.0)</f>
        <v>75229</v>
      </c>
      <c r="K1409" s="40"/>
      <c r="L1409" s="40"/>
      <c r="M1409" s="40"/>
      <c r="N1409" s="40"/>
      <c r="O1409" s="40"/>
      <c r="P1409" s="40"/>
      <c r="Q1409" s="40"/>
      <c r="R1409" s="40"/>
      <c r="S1409" s="40"/>
      <c r="T1409" s="40"/>
      <c r="U1409" s="24" t="str">
        <f>IFERROR(__xludf.DUMMYFUNCTION("SPLIT(E1409,""01234567890"")"),"Michael
")</f>
        <v>Michael
</v>
      </c>
      <c r="V1409" s="24" t="str">
        <f>IFERROR(__xludf.DUMMYFUNCTION("SPLIT(D1409,"","")"),"Lunceford")</f>
        <v>Lunceford</v>
      </c>
      <c r="W1409" s="25" t="str">
        <f t="shared" si="1"/>
        <v>MICHAEL
 LUNCEFORD</v>
      </c>
      <c r="X1409" s="40"/>
      <c r="Y1409" s="40"/>
      <c r="Z1409" s="25" t="str">
        <f>IFERROR(__xludf.DUMMYFUNCTION("SPLIT(C1409,""
"")"),"Lunceford, Michael")</f>
        <v>Lunceford, Michael</v>
      </c>
      <c r="AA1409" s="40" t="str">
        <f>IFERROR(__xludf.DUMMYFUNCTION("""COMPUTED_VALUE"""),"4440 Shady Hill Drive")</f>
        <v>4440 Shady Hill Drive</v>
      </c>
      <c r="AB1409" s="40" t="str">
        <f>IFERROR(__xludf.DUMMYFUNCTION("""COMPUTED_VALUE"""),"Dallas, TX 75229")</f>
        <v>Dallas, TX 75229</v>
      </c>
      <c r="AC1409" s="31" t="s">
        <v>2979</v>
      </c>
      <c r="AD1409" s="40"/>
      <c r="AE1409" s="40"/>
      <c r="AF1409" s="40"/>
      <c r="AG1409" s="40" t="s">
        <v>60</v>
      </c>
      <c r="AH1409" s="42">
        <v>2503.0</v>
      </c>
      <c r="AI1409" s="40" t="s">
        <v>68</v>
      </c>
      <c r="AJ1409" s="27">
        <v>250.0</v>
      </c>
      <c r="AK1409" s="31" t="s">
        <v>29</v>
      </c>
      <c r="AL1409" s="43">
        <v>44902.0</v>
      </c>
      <c r="AM1409" s="44">
        <v>44943.523877314816</v>
      </c>
      <c r="AN1409" s="30">
        <v>2.0</v>
      </c>
      <c r="AO1409" s="40"/>
      <c r="AP1409" s="40"/>
      <c r="AQ1409" s="40"/>
      <c r="AR1409" s="40"/>
      <c r="AS1409" s="40"/>
      <c r="AT1409" s="47"/>
      <c r="AU1409" s="40"/>
      <c r="AV1409" s="46"/>
      <c r="AW1409" s="46"/>
      <c r="AX1409" s="47"/>
      <c r="AY1409" s="44"/>
      <c r="AZ1409" s="30"/>
      <c r="CU1409" s="55"/>
      <c r="CV1409" s="55"/>
      <c r="CW1409" s="55"/>
      <c r="CX1409" s="55"/>
      <c r="CY1409" s="55"/>
      <c r="CZ1409" s="55"/>
      <c r="DA1409" s="82"/>
      <c r="DB1409" s="55"/>
      <c r="DC1409" s="55"/>
      <c r="DD1409" s="55"/>
      <c r="DE1409" s="55"/>
      <c r="DF1409" s="55"/>
      <c r="DG1409" s="55"/>
      <c r="DH1409" s="55"/>
      <c r="DI1409" s="55"/>
      <c r="DJ1409" s="55"/>
      <c r="DK1409" s="55"/>
      <c r="DL1409" s="55"/>
      <c r="DM1409" s="55"/>
      <c r="DN1409" s="55"/>
      <c r="DO1409" s="55"/>
      <c r="DP1409" s="55"/>
      <c r="DQ1409" s="55"/>
      <c r="DR1409" s="55"/>
      <c r="DS1409" s="55"/>
      <c r="DT1409" s="55"/>
      <c r="DU1409" s="55"/>
      <c r="DV1409" s="55"/>
      <c r="DW1409" s="55"/>
    </row>
    <row r="1410">
      <c r="A1410" s="23" t="s">
        <v>64</v>
      </c>
      <c r="B1410" s="23" t="s">
        <v>56</v>
      </c>
      <c r="C1410" s="31" t="s">
        <v>2980</v>
      </c>
      <c r="D1410" s="25" t="str">
        <f>IFERROR(__xludf.DUMMYFUNCTION("SPLIT(C1410,"" "")"),"Forsythe-Lill,")</f>
        <v>Forsythe-Lill,</v>
      </c>
      <c r="E1410" s="22" t="str">
        <f>IFERROR(__xludf.DUMMYFUNCTION("""COMPUTED_VALUE"""),"Veletta
622")</f>
        <v>Veletta
622</v>
      </c>
      <c r="F1410" s="22" t="str">
        <f>IFERROR(__xludf.DUMMYFUNCTION("""COMPUTED_VALUE"""),"Blair")</f>
        <v>Blair</v>
      </c>
      <c r="G1410" s="22" t="str">
        <f>IFERROR(__xludf.DUMMYFUNCTION("""COMPUTED_VALUE"""),"Blvd
Dallas,")</f>
        <v>Blvd
Dallas,</v>
      </c>
      <c r="H1410" s="22" t="str">
        <f>IFERROR(__xludf.DUMMYFUNCTION("""COMPUTED_VALUE"""),"TX")</f>
        <v>TX</v>
      </c>
      <c r="I1410" s="22">
        <f>IFERROR(__xludf.DUMMYFUNCTION("""COMPUTED_VALUE"""),75223.0)</f>
        <v>75223</v>
      </c>
      <c r="J1410" s="22"/>
      <c r="K1410" s="22"/>
      <c r="L1410" s="22"/>
      <c r="M1410" s="22"/>
      <c r="N1410" s="22"/>
      <c r="O1410" s="22"/>
      <c r="P1410" s="22"/>
      <c r="Q1410" s="22"/>
      <c r="R1410" s="22"/>
      <c r="S1410" s="22"/>
      <c r="T1410" s="22"/>
      <c r="U1410" s="24" t="str">
        <f>IFERROR(__xludf.DUMMYFUNCTION("SPLIT(E1410,""01234567890"")"),"Veletta
")</f>
        <v>Veletta
</v>
      </c>
      <c r="V1410" s="24" t="str">
        <f>IFERROR(__xludf.DUMMYFUNCTION("SPLIT(D1410,"","")"),"Forsythe-Lill")</f>
        <v>Forsythe-Lill</v>
      </c>
      <c r="W1410" s="25" t="str">
        <f t="shared" si="1"/>
        <v>VELETTA
 FORSYTHE-LILL</v>
      </c>
      <c r="X1410" s="22"/>
      <c r="Y1410" s="22"/>
      <c r="Z1410" s="25" t="str">
        <f>IFERROR(__xludf.DUMMYFUNCTION("SPLIT(C1410,""
"")"),"Forsythe-Lill, Veletta")</f>
        <v>Forsythe-Lill, Veletta</v>
      </c>
      <c r="AA1410" s="22" t="str">
        <f>IFERROR(__xludf.DUMMYFUNCTION("""COMPUTED_VALUE"""),"622 Blair Blvd")</f>
        <v>622 Blair Blvd</v>
      </c>
      <c r="AB1410" s="22" t="str">
        <f>IFERROR(__xludf.DUMMYFUNCTION("""COMPUTED_VALUE"""),"Dallas, TX 75223")</f>
        <v>Dallas, TX 75223</v>
      </c>
      <c r="AC1410" s="31" t="s">
        <v>2981</v>
      </c>
      <c r="AD1410" s="22"/>
      <c r="AE1410" s="22"/>
      <c r="AF1410" s="22"/>
      <c r="AG1410" s="22" t="s">
        <v>60</v>
      </c>
      <c r="AH1410" s="54">
        <v>2503.0</v>
      </c>
      <c r="AI1410" s="22" t="s">
        <v>68</v>
      </c>
      <c r="AJ1410" s="27">
        <v>250.0</v>
      </c>
      <c r="AK1410" s="31" t="s">
        <v>29</v>
      </c>
      <c r="AL1410" s="28">
        <v>44902.0</v>
      </c>
      <c r="AM1410" s="29">
        <v>44943.523877314816</v>
      </c>
      <c r="AN1410" s="30">
        <v>2.0</v>
      </c>
      <c r="AO1410" s="22"/>
      <c r="AP1410" s="22"/>
      <c r="AQ1410" s="22"/>
      <c r="AR1410" s="22"/>
      <c r="AS1410" s="22"/>
      <c r="AT1410" s="70"/>
      <c r="AU1410" s="22"/>
      <c r="AV1410" s="57"/>
      <c r="AW1410" s="57"/>
      <c r="AX1410" s="70"/>
      <c r="AY1410" s="29"/>
      <c r="AZ1410" s="30"/>
      <c r="CU1410" s="55"/>
      <c r="CV1410" s="55"/>
      <c r="CW1410" s="55"/>
      <c r="CX1410" s="55"/>
      <c r="CY1410" s="55"/>
      <c r="CZ1410" s="55"/>
      <c r="DA1410" s="82"/>
      <c r="DB1410" s="55"/>
      <c r="DC1410" s="55"/>
      <c r="DD1410" s="55"/>
      <c r="DE1410" s="55"/>
      <c r="DF1410" s="55"/>
      <c r="DG1410" s="55"/>
      <c r="DH1410" s="55"/>
      <c r="DI1410" s="55"/>
      <c r="DJ1410" s="55"/>
      <c r="DK1410" s="55"/>
      <c r="DL1410" s="55"/>
      <c r="DM1410" s="55"/>
      <c r="DN1410" s="55"/>
      <c r="DO1410" s="55"/>
      <c r="DP1410" s="55"/>
      <c r="DQ1410" s="55"/>
      <c r="DR1410" s="55"/>
      <c r="DS1410" s="55"/>
      <c r="DT1410" s="55"/>
      <c r="DU1410" s="55"/>
      <c r="DV1410" s="55"/>
      <c r="DW1410" s="55"/>
    </row>
    <row r="1411">
      <c r="A1411" s="40" t="s">
        <v>55</v>
      </c>
      <c r="B1411" s="41" t="s">
        <v>56</v>
      </c>
      <c r="C1411" s="31" t="s">
        <v>2982</v>
      </c>
      <c r="D1411" s="25" t="str">
        <f>IFERROR(__xludf.DUMMYFUNCTION("SPLIT(C1411,"" "")"),"Watson,")</f>
        <v>Watson,</v>
      </c>
      <c r="E1411" s="40" t="str">
        <f>IFERROR(__xludf.DUMMYFUNCTION("""COMPUTED_VALUE"""),"Irish
3979")</f>
        <v>Irish
3979</v>
      </c>
      <c r="F1411" s="40" t="str">
        <f>IFERROR(__xludf.DUMMYFUNCTION("""COMPUTED_VALUE"""),"Granite")</f>
        <v>Granite</v>
      </c>
      <c r="G1411" s="40" t="str">
        <f>IFERROR(__xludf.DUMMYFUNCTION("""COMPUTED_VALUE"""),"Hill")</f>
        <v>Hill</v>
      </c>
      <c r="H1411" s="40" t="str">
        <f>IFERROR(__xludf.DUMMYFUNCTION("""COMPUTED_VALUE"""),"Dr
Dallas,")</f>
        <v>Dr
Dallas,</v>
      </c>
      <c r="I1411" s="40" t="str">
        <f>IFERROR(__xludf.DUMMYFUNCTION("""COMPUTED_VALUE"""),"TX")</f>
        <v>TX</v>
      </c>
      <c r="J1411" s="40">
        <f>IFERROR(__xludf.DUMMYFUNCTION("""COMPUTED_VALUE"""),75241.0)</f>
        <v>75241</v>
      </c>
      <c r="K1411" s="40"/>
      <c r="L1411" s="40"/>
      <c r="M1411" s="40"/>
      <c r="N1411" s="40"/>
      <c r="O1411" s="40"/>
      <c r="P1411" s="40"/>
      <c r="Q1411" s="40"/>
      <c r="R1411" s="40"/>
      <c r="S1411" s="40"/>
      <c r="T1411" s="40"/>
      <c r="U1411" s="24" t="str">
        <f>IFERROR(__xludf.DUMMYFUNCTION("SPLIT(E1411,""01234567890"")"),"Irish
")</f>
        <v>Irish
</v>
      </c>
      <c r="V1411" s="24" t="str">
        <f>IFERROR(__xludf.DUMMYFUNCTION("SPLIT(D1411,"","")"),"Watson")</f>
        <v>Watson</v>
      </c>
      <c r="W1411" s="25" t="str">
        <f t="shared" si="1"/>
        <v>IRISH
 WATSON</v>
      </c>
      <c r="X1411" s="40"/>
      <c r="Y1411" s="40"/>
      <c r="Z1411" s="25" t="str">
        <f>IFERROR(__xludf.DUMMYFUNCTION("SPLIT(C1411,""
"")"),"Watson, Irish")</f>
        <v>Watson, Irish</v>
      </c>
      <c r="AA1411" s="40" t="str">
        <f>IFERROR(__xludf.DUMMYFUNCTION("""COMPUTED_VALUE"""),"3979 Granite Hill Dr")</f>
        <v>3979 Granite Hill Dr</v>
      </c>
      <c r="AB1411" s="40" t="str">
        <f>IFERROR(__xludf.DUMMYFUNCTION("""COMPUTED_VALUE"""),"Dallas, TX 75241")</f>
        <v>Dallas, TX 75241</v>
      </c>
      <c r="AC1411" s="31" t="s">
        <v>2983</v>
      </c>
      <c r="AD1411" s="40"/>
      <c r="AE1411" s="40"/>
      <c r="AF1411" s="40"/>
      <c r="AG1411" s="40" t="s">
        <v>60</v>
      </c>
      <c r="AH1411" s="42">
        <v>2503.0</v>
      </c>
      <c r="AI1411" s="40" t="s">
        <v>68</v>
      </c>
      <c r="AJ1411" s="27">
        <v>50.0</v>
      </c>
      <c r="AK1411" s="31" t="s">
        <v>29</v>
      </c>
      <c r="AL1411" s="43">
        <v>44904.0</v>
      </c>
      <c r="AM1411" s="44">
        <v>44943.523877314816</v>
      </c>
      <c r="AN1411" s="30">
        <v>2.0</v>
      </c>
      <c r="AO1411" s="40"/>
      <c r="AP1411" s="40"/>
      <c r="AQ1411" s="40"/>
      <c r="AR1411" s="40"/>
      <c r="AS1411" s="40"/>
      <c r="AT1411" s="47"/>
      <c r="AU1411" s="40"/>
      <c r="AV1411" s="46"/>
      <c r="AW1411" s="46"/>
      <c r="AX1411" s="47"/>
      <c r="AY1411" s="44"/>
      <c r="AZ1411" s="30"/>
      <c r="CU1411" s="55"/>
      <c r="CV1411" s="55"/>
      <c r="CW1411" s="55"/>
      <c r="CX1411" s="55"/>
      <c r="CY1411" s="55"/>
      <c r="CZ1411" s="55"/>
      <c r="DA1411" s="82"/>
      <c r="DB1411" s="55"/>
      <c r="DC1411" s="55"/>
      <c r="DD1411" s="55"/>
      <c r="DE1411" s="55"/>
      <c r="DF1411" s="55"/>
      <c r="DG1411" s="55"/>
      <c r="DH1411" s="55"/>
      <c r="DI1411" s="55"/>
      <c r="DJ1411" s="55"/>
      <c r="DK1411" s="55"/>
      <c r="DL1411" s="55"/>
      <c r="DM1411" s="55"/>
      <c r="DN1411" s="55"/>
      <c r="DO1411" s="55"/>
      <c r="DP1411" s="55"/>
      <c r="DQ1411" s="55"/>
      <c r="DR1411" s="55"/>
      <c r="DS1411" s="55"/>
      <c r="DT1411" s="55"/>
      <c r="DU1411" s="55"/>
      <c r="DV1411" s="55"/>
      <c r="DW1411" s="55"/>
    </row>
    <row r="1412">
      <c r="A1412" s="23" t="s">
        <v>64</v>
      </c>
      <c r="B1412" s="23" t="s">
        <v>56</v>
      </c>
      <c r="C1412" s="31" t="s">
        <v>2984</v>
      </c>
      <c r="D1412" s="25" t="str">
        <f>IFERROR(__xludf.DUMMYFUNCTION("SPLIT(C1412,"" "")"),"Conwright,")</f>
        <v>Conwright,</v>
      </c>
      <c r="E1412" s="22" t="str">
        <f>IFERROR(__xludf.DUMMYFUNCTION("""COMPUTED_VALUE"""),"Fred
1441")</f>
        <v>Fred
1441</v>
      </c>
      <c r="F1412" s="22" t="str">
        <f>IFERROR(__xludf.DUMMYFUNCTION("""COMPUTED_VALUE"""),"Robert")</f>
        <v>Robert</v>
      </c>
      <c r="G1412" s="22" t="str">
        <f>IFERROR(__xludf.DUMMYFUNCTION("""COMPUTED_VALUE"""),"B")</f>
        <v>B</v>
      </c>
      <c r="H1412" s="22" t="str">
        <f>IFERROR(__xludf.DUMMYFUNCTION("""COMPUTED_VALUE"""),"Cullum
Dallas,")</f>
        <v>Cullum
Dallas,</v>
      </c>
      <c r="I1412" s="22" t="str">
        <f>IFERROR(__xludf.DUMMYFUNCTION("""COMPUTED_VALUE"""),"TX")</f>
        <v>TX</v>
      </c>
      <c r="J1412" s="22">
        <f>IFERROR(__xludf.DUMMYFUNCTION("""COMPUTED_VALUE"""),75210.0)</f>
        <v>75210</v>
      </c>
      <c r="K1412" s="22"/>
      <c r="L1412" s="22"/>
      <c r="M1412" s="22"/>
      <c r="N1412" s="22"/>
      <c r="O1412" s="22"/>
      <c r="P1412" s="22"/>
      <c r="Q1412" s="22"/>
      <c r="R1412" s="22"/>
      <c r="S1412" s="22"/>
      <c r="T1412" s="22"/>
      <c r="U1412" s="24" t="str">
        <f>IFERROR(__xludf.DUMMYFUNCTION("SPLIT(E1412,""01234567890"")"),"Fred
")</f>
        <v>Fred
</v>
      </c>
      <c r="V1412" s="24" t="str">
        <f>IFERROR(__xludf.DUMMYFUNCTION("SPLIT(D1412,"","")"),"Conwright")</f>
        <v>Conwright</v>
      </c>
      <c r="W1412" s="25" t="str">
        <f t="shared" si="1"/>
        <v>FRED
 CONWRIGHT</v>
      </c>
      <c r="X1412" s="22"/>
      <c r="Y1412" s="22"/>
      <c r="Z1412" s="25" t="str">
        <f>IFERROR(__xludf.DUMMYFUNCTION("SPLIT(C1412,""
"")"),"Conwright, Fred")</f>
        <v>Conwright, Fred</v>
      </c>
      <c r="AA1412" s="22" t="str">
        <f>IFERROR(__xludf.DUMMYFUNCTION("""COMPUTED_VALUE"""),"1441 Robert B Cullum")</f>
        <v>1441 Robert B Cullum</v>
      </c>
      <c r="AB1412" s="22" t="str">
        <f>IFERROR(__xludf.DUMMYFUNCTION("""COMPUTED_VALUE"""),"Dallas, TX 75210")</f>
        <v>Dallas, TX 75210</v>
      </c>
      <c r="AC1412" s="31" t="s">
        <v>2985</v>
      </c>
      <c r="AD1412" s="22"/>
      <c r="AE1412" s="22"/>
      <c r="AF1412" s="22"/>
      <c r="AG1412" s="22" t="s">
        <v>60</v>
      </c>
      <c r="AH1412" s="54">
        <v>2503.0</v>
      </c>
      <c r="AI1412" s="22" t="s">
        <v>68</v>
      </c>
      <c r="AJ1412" s="27">
        <v>100.0</v>
      </c>
      <c r="AK1412" s="31" t="s">
        <v>29</v>
      </c>
      <c r="AL1412" s="28">
        <v>44906.0</v>
      </c>
      <c r="AM1412" s="29">
        <v>44943.523877314816</v>
      </c>
      <c r="AN1412" s="30">
        <v>2.0</v>
      </c>
      <c r="AO1412" s="22"/>
      <c r="AP1412" s="22"/>
      <c r="AQ1412" s="22"/>
      <c r="AR1412" s="22"/>
      <c r="AS1412" s="22"/>
      <c r="AT1412" s="70"/>
      <c r="AU1412" s="22"/>
      <c r="AV1412" s="57"/>
      <c r="AW1412" s="57"/>
      <c r="AX1412" s="70"/>
      <c r="AY1412" s="29"/>
      <c r="AZ1412" s="30"/>
      <c r="CU1412" s="55"/>
      <c r="CV1412" s="55"/>
      <c r="CW1412" s="55"/>
      <c r="CX1412" s="55"/>
      <c r="CY1412" s="55"/>
      <c r="CZ1412" s="55"/>
      <c r="DA1412" s="82"/>
      <c r="DB1412" s="55"/>
      <c r="DC1412" s="55"/>
      <c r="DD1412" s="55"/>
      <c r="DE1412" s="55"/>
      <c r="DF1412" s="55"/>
      <c r="DG1412" s="55"/>
      <c r="DH1412" s="55"/>
      <c r="DI1412" s="55"/>
      <c r="DJ1412" s="55"/>
      <c r="DK1412" s="55"/>
      <c r="DL1412" s="55"/>
      <c r="DM1412" s="55"/>
      <c r="DN1412" s="55"/>
      <c r="DO1412" s="55"/>
      <c r="DP1412" s="55"/>
      <c r="DQ1412" s="55"/>
      <c r="DR1412" s="55"/>
      <c r="DS1412" s="55"/>
      <c r="DT1412" s="55"/>
      <c r="DU1412" s="55"/>
      <c r="DV1412" s="55"/>
      <c r="DW1412" s="55"/>
    </row>
    <row r="1413">
      <c r="A1413" s="40" t="s">
        <v>55</v>
      </c>
      <c r="B1413" s="41" t="s">
        <v>56</v>
      </c>
      <c r="C1413" s="31" t="s">
        <v>2986</v>
      </c>
      <c r="D1413" s="25" t="str">
        <f>IFERROR(__xludf.DUMMYFUNCTION("SPLIT(C1413,"" "")"),"Hill,")</f>
        <v>Hill,</v>
      </c>
      <c r="E1413" s="40" t="str">
        <f>IFERROR(__xludf.DUMMYFUNCTION("""COMPUTED_VALUE"""),"John
2820")</f>
        <v>John
2820</v>
      </c>
      <c r="F1413" s="40" t="str">
        <f>IFERROR(__xludf.DUMMYFUNCTION("""COMPUTED_VALUE"""),"Reagan")</f>
        <v>Reagan</v>
      </c>
      <c r="G1413" s="40" t="str">
        <f>IFERROR(__xludf.DUMMYFUNCTION("""COMPUTED_VALUE"""),"St
Dallas,")</f>
        <v>St
Dallas,</v>
      </c>
      <c r="H1413" s="40" t="str">
        <f>IFERROR(__xludf.DUMMYFUNCTION("""COMPUTED_VALUE"""),"TX")</f>
        <v>TX</v>
      </c>
      <c r="I1413" s="40">
        <f>IFERROR(__xludf.DUMMYFUNCTION("""COMPUTED_VALUE"""),75219.0)</f>
        <v>75219</v>
      </c>
      <c r="J1413" s="40"/>
      <c r="K1413" s="40"/>
      <c r="L1413" s="40"/>
      <c r="M1413" s="40"/>
      <c r="N1413" s="40"/>
      <c r="O1413" s="40"/>
      <c r="P1413" s="40"/>
      <c r="Q1413" s="40"/>
      <c r="R1413" s="40"/>
      <c r="S1413" s="40"/>
      <c r="T1413" s="40"/>
      <c r="U1413" s="24" t="str">
        <f>IFERROR(__xludf.DUMMYFUNCTION("SPLIT(E1413,""01234567890"")"),"John
")</f>
        <v>John
</v>
      </c>
      <c r="V1413" s="24" t="str">
        <f>IFERROR(__xludf.DUMMYFUNCTION("SPLIT(D1413,"","")"),"Hill")</f>
        <v>Hill</v>
      </c>
      <c r="W1413" s="25" t="str">
        <f t="shared" si="1"/>
        <v>JOHN
 HILL</v>
      </c>
      <c r="X1413" s="40"/>
      <c r="Y1413" s="40"/>
      <c r="Z1413" s="25" t="str">
        <f>IFERROR(__xludf.DUMMYFUNCTION("SPLIT(C1413,""
"")"),"Hill, John")</f>
        <v>Hill, John</v>
      </c>
      <c r="AA1413" s="40" t="str">
        <f>IFERROR(__xludf.DUMMYFUNCTION("""COMPUTED_VALUE"""),"2820 Reagan St")</f>
        <v>2820 Reagan St</v>
      </c>
      <c r="AB1413" s="40" t="str">
        <f>IFERROR(__xludf.DUMMYFUNCTION("""COMPUTED_VALUE"""),"Dallas, TX 75219")</f>
        <v>Dallas, TX 75219</v>
      </c>
      <c r="AC1413" s="31" t="s">
        <v>2987</v>
      </c>
      <c r="AD1413" s="40"/>
      <c r="AE1413" s="40"/>
      <c r="AF1413" s="40"/>
      <c r="AG1413" s="40" t="s">
        <v>60</v>
      </c>
      <c r="AH1413" s="42">
        <v>2503.0</v>
      </c>
      <c r="AI1413" s="40" t="s">
        <v>68</v>
      </c>
      <c r="AJ1413" s="27">
        <v>200.0</v>
      </c>
      <c r="AK1413" s="31" t="s">
        <v>29</v>
      </c>
      <c r="AL1413" s="43">
        <v>44907.0</v>
      </c>
      <c r="AM1413" s="44">
        <v>44943.523877314816</v>
      </c>
      <c r="AN1413" s="30">
        <v>2.0</v>
      </c>
      <c r="AO1413" s="40"/>
      <c r="AP1413" s="40"/>
      <c r="AQ1413" s="40"/>
      <c r="AR1413" s="40"/>
      <c r="AS1413" s="40"/>
      <c r="AT1413" s="47"/>
      <c r="AU1413" s="40"/>
      <c r="AV1413" s="46"/>
      <c r="AW1413" s="46"/>
      <c r="AX1413" s="47"/>
      <c r="AY1413" s="44"/>
      <c r="AZ1413" s="30"/>
      <c r="CU1413" s="55"/>
      <c r="CV1413" s="55"/>
      <c r="CW1413" s="55"/>
      <c r="CX1413" s="55"/>
      <c r="CY1413" s="55"/>
      <c r="CZ1413" s="55"/>
      <c r="DA1413" s="82"/>
      <c r="DB1413" s="55"/>
      <c r="DC1413" s="55"/>
      <c r="DD1413" s="55"/>
      <c r="DE1413" s="55"/>
      <c r="DF1413" s="55"/>
      <c r="DG1413" s="55"/>
      <c r="DH1413" s="55"/>
      <c r="DI1413" s="55"/>
      <c r="DJ1413" s="55"/>
      <c r="DK1413" s="55"/>
      <c r="DL1413" s="55"/>
      <c r="DM1413" s="55"/>
      <c r="DN1413" s="55"/>
      <c r="DO1413" s="55"/>
      <c r="DP1413" s="55"/>
      <c r="DQ1413" s="55"/>
      <c r="DR1413" s="55"/>
      <c r="DS1413" s="55"/>
      <c r="DT1413" s="55"/>
      <c r="DU1413" s="55"/>
      <c r="DV1413" s="55"/>
      <c r="DW1413" s="55"/>
    </row>
    <row r="1414">
      <c r="A1414" s="23" t="s">
        <v>64</v>
      </c>
      <c r="B1414" s="23" t="s">
        <v>56</v>
      </c>
      <c r="C1414" s="31" t="s">
        <v>2988</v>
      </c>
      <c r="D1414" s="25" t="str">
        <f>IFERROR(__xludf.DUMMYFUNCTION("SPLIT(C1414,"" "")"),"Hanson,")</f>
        <v>Hanson,</v>
      </c>
      <c r="E1414" s="22" t="str">
        <f>IFERROR(__xludf.DUMMYFUNCTION("""COMPUTED_VALUE"""),"Swede
9925")</f>
        <v>Swede
9925</v>
      </c>
      <c r="F1414" s="22" t="str">
        <f>IFERROR(__xludf.DUMMYFUNCTION("""COMPUTED_VALUE"""),"Lakeside
Dallas,")</f>
        <v>Lakeside
Dallas,</v>
      </c>
      <c r="G1414" s="22" t="str">
        <f>IFERROR(__xludf.DUMMYFUNCTION("""COMPUTED_VALUE"""),"TX")</f>
        <v>TX</v>
      </c>
      <c r="H1414" s="22">
        <f>IFERROR(__xludf.DUMMYFUNCTION("""COMPUTED_VALUE"""),75218.0)</f>
        <v>75218</v>
      </c>
      <c r="I1414" s="22"/>
      <c r="J1414" s="22"/>
      <c r="K1414" s="22"/>
      <c r="L1414" s="22"/>
      <c r="M1414" s="22"/>
      <c r="N1414" s="22"/>
      <c r="O1414" s="22"/>
      <c r="P1414" s="22"/>
      <c r="Q1414" s="22"/>
      <c r="R1414" s="22"/>
      <c r="S1414" s="22"/>
      <c r="T1414" s="22"/>
      <c r="U1414" s="24" t="str">
        <f>IFERROR(__xludf.DUMMYFUNCTION("SPLIT(E1414,""01234567890"")"),"Swede
")</f>
        <v>Swede
</v>
      </c>
      <c r="V1414" s="24" t="str">
        <f>IFERROR(__xludf.DUMMYFUNCTION("SPLIT(D1414,"","")"),"Hanson")</f>
        <v>Hanson</v>
      </c>
      <c r="W1414" s="25" t="str">
        <f t="shared" si="1"/>
        <v>SWEDE
 HANSON</v>
      </c>
      <c r="X1414" s="22"/>
      <c r="Y1414" s="22"/>
      <c r="Z1414" s="25" t="str">
        <f>IFERROR(__xludf.DUMMYFUNCTION("SPLIT(C1414,""
"")"),"Hanson, Swede")</f>
        <v>Hanson, Swede</v>
      </c>
      <c r="AA1414" s="22" t="str">
        <f>IFERROR(__xludf.DUMMYFUNCTION("""COMPUTED_VALUE"""),"9925 Lakeside")</f>
        <v>9925 Lakeside</v>
      </c>
      <c r="AB1414" s="22" t="str">
        <f>IFERROR(__xludf.DUMMYFUNCTION("""COMPUTED_VALUE"""),"Dallas, TX 75218")</f>
        <v>Dallas, TX 75218</v>
      </c>
      <c r="AC1414" s="31" t="s">
        <v>2989</v>
      </c>
      <c r="AD1414" s="22"/>
      <c r="AE1414" s="22"/>
      <c r="AF1414" s="22"/>
      <c r="AG1414" s="22" t="s">
        <v>60</v>
      </c>
      <c r="AH1414" s="54">
        <v>2503.0</v>
      </c>
      <c r="AI1414" s="22" t="s">
        <v>68</v>
      </c>
      <c r="AJ1414" s="27">
        <v>100.0</v>
      </c>
      <c r="AK1414" s="31" t="s">
        <v>29</v>
      </c>
      <c r="AL1414" s="28">
        <v>44908.0</v>
      </c>
      <c r="AM1414" s="29">
        <v>44943.523877314816</v>
      </c>
      <c r="AN1414" s="30">
        <v>2.0</v>
      </c>
      <c r="AO1414" s="22"/>
      <c r="AP1414" s="22"/>
      <c r="AQ1414" s="22"/>
      <c r="AR1414" s="22"/>
      <c r="AS1414" s="22"/>
      <c r="AT1414" s="70"/>
      <c r="AU1414" s="22"/>
      <c r="AV1414" s="57"/>
      <c r="AW1414" s="57"/>
      <c r="AX1414" s="70"/>
      <c r="AY1414" s="29"/>
      <c r="AZ1414" s="30"/>
      <c r="CU1414" s="55"/>
      <c r="CV1414" s="55"/>
      <c r="CW1414" s="55"/>
      <c r="CX1414" s="55"/>
      <c r="CY1414" s="55"/>
      <c r="CZ1414" s="55"/>
      <c r="DA1414" s="82"/>
      <c r="DB1414" s="55"/>
      <c r="DC1414" s="55"/>
      <c r="DD1414" s="55"/>
      <c r="DE1414" s="55"/>
      <c r="DF1414" s="55"/>
      <c r="DG1414" s="55"/>
      <c r="DH1414" s="55"/>
      <c r="DI1414" s="55"/>
      <c r="DJ1414" s="55"/>
      <c r="DK1414" s="55"/>
      <c r="DL1414" s="55"/>
      <c r="DM1414" s="55"/>
      <c r="DN1414" s="55"/>
      <c r="DO1414" s="55"/>
      <c r="DP1414" s="55"/>
      <c r="DQ1414" s="55"/>
      <c r="DR1414" s="55"/>
      <c r="DS1414" s="55"/>
      <c r="DT1414" s="55"/>
      <c r="DU1414" s="55"/>
      <c r="DV1414" s="55"/>
      <c r="DW1414" s="55"/>
    </row>
    <row r="1415">
      <c r="A1415" s="40" t="s">
        <v>55</v>
      </c>
      <c r="B1415" s="41" t="s">
        <v>56</v>
      </c>
      <c r="C1415" s="31" t="s">
        <v>2990</v>
      </c>
      <c r="D1415" s="25" t="str">
        <f>IFERROR(__xludf.DUMMYFUNCTION("SPLIT(C1415,"" "")"),"Phillips,")</f>
        <v>Phillips,</v>
      </c>
      <c r="E1415" s="40" t="str">
        <f>IFERROR(__xludf.DUMMYFUNCTION("""COMPUTED_VALUE"""),"Elizabeth
4655")</f>
        <v>Elizabeth
4655</v>
      </c>
      <c r="F1415" s="40" t="str">
        <f>IFERROR(__xludf.DUMMYFUNCTION("""COMPUTED_VALUE"""),"Ashworth
Cumming,")</f>
        <v>Ashworth
Cumming,</v>
      </c>
      <c r="G1415" s="40" t="str">
        <f>IFERROR(__xludf.DUMMYFUNCTION("""COMPUTED_VALUE"""),"GA")</f>
        <v>GA</v>
      </c>
      <c r="H1415" s="40">
        <f>IFERROR(__xludf.DUMMYFUNCTION("""COMPUTED_VALUE"""),30040.0)</f>
        <v>30040</v>
      </c>
      <c r="I1415" s="40"/>
      <c r="J1415" s="40"/>
      <c r="K1415" s="40"/>
      <c r="L1415" s="40"/>
      <c r="M1415" s="40"/>
      <c r="N1415" s="40"/>
      <c r="O1415" s="40"/>
      <c r="P1415" s="40"/>
      <c r="Q1415" s="40"/>
      <c r="R1415" s="40"/>
      <c r="S1415" s="40"/>
      <c r="T1415" s="40"/>
      <c r="U1415" s="24" t="str">
        <f>IFERROR(__xludf.DUMMYFUNCTION("SPLIT(E1415,""01234567890"")"),"Elizabeth
")</f>
        <v>Elizabeth
</v>
      </c>
      <c r="V1415" s="24" t="str">
        <f>IFERROR(__xludf.DUMMYFUNCTION("SPLIT(D1415,"","")"),"Phillips")</f>
        <v>Phillips</v>
      </c>
      <c r="W1415" s="25" t="str">
        <f t="shared" si="1"/>
        <v>ELIZABETH
 PHILLIPS</v>
      </c>
      <c r="X1415" s="40"/>
      <c r="Y1415" s="40"/>
      <c r="Z1415" s="25" t="str">
        <f>IFERROR(__xludf.DUMMYFUNCTION("SPLIT(C1415,""
"")"),"Phillips, Elizabeth")</f>
        <v>Phillips, Elizabeth</v>
      </c>
      <c r="AA1415" s="40" t="str">
        <f>IFERROR(__xludf.DUMMYFUNCTION("""COMPUTED_VALUE"""),"4655 Ashworth")</f>
        <v>4655 Ashworth</v>
      </c>
      <c r="AB1415" s="40" t="str">
        <f>IFERROR(__xludf.DUMMYFUNCTION("""COMPUTED_VALUE"""),"Cumming, GA 30040")</f>
        <v>Cumming, GA 30040</v>
      </c>
      <c r="AC1415" s="31" t="s">
        <v>2991</v>
      </c>
      <c r="AD1415" s="40"/>
      <c r="AE1415" s="40"/>
      <c r="AF1415" s="40"/>
      <c r="AG1415" s="40" t="s">
        <v>60</v>
      </c>
      <c r="AH1415" s="42">
        <v>2503.0</v>
      </c>
      <c r="AI1415" s="40" t="s">
        <v>68</v>
      </c>
      <c r="AJ1415" s="27">
        <v>1000.0</v>
      </c>
      <c r="AK1415" s="31" t="s">
        <v>29</v>
      </c>
      <c r="AL1415" s="43">
        <v>44915.0</v>
      </c>
      <c r="AM1415" s="44">
        <v>44943.523877314816</v>
      </c>
      <c r="AN1415" s="30">
        <v>2.0</v>
      </c>
      <c r="AO1415" s="40"/>
      <c r="AP1415" s="40"/>
      <c r="AQ1415" s="40"/>
      <c r="AR1415" s="40"/>
      <c r="AS1415" s="40"/>
      <c r="AT1415" s="47"/>
      <c r="AU1415" s="40"/>
      <c r="AV1415" s="46"/>
      <c r="AW1415" s="46"/>
      <c r="AX1415" s="47"/>
      <c r="AY1415" s="44"/>
      <c r="AZ1415" s="30"/>
      <c r="CU1415" s="55"/>
      <c r="CV1415" s="55"/>
      <c r="CW1415" s="55"/>
      <c r="CX1415" s="55"/>
      <c r="CY1415" s="55"/>
      <c r="CZ1415" s="55"/>
      <c r="DA1415" s="82"/>
      <c r="DB1415" s="55"/>
      <c r="DC1415" s="55"/>
      <c r="DD1415" s="55"/>
      <c r="DE1415" s="55"/>
      <c r="DF1415" s="55"/>
      <c r="DG1415" s="55"/>
      <c r="DH1415" s="55"/>
      <c r="DI1415" s="55"/>
      <c r="DJ1415" s="55"/>
      <c r="DK1415" s="55"/>
      <c r="DL1415" s="55"/>
      <c r="DM1415" s="55"/>
      <c r="DN1415" s="55"/>
      <c r="DO1415" s="55"/>
      <c r="DP1415" s="55"/>
      <c r="DQ1415" s="55"/>
      <c r="DR1415" s="55"/>
      <c r="DS1415" s="55"/>
      <c r="DT1415" s="55"/>
      <c r="DU1415" s="55"/>
      <c r="DV1415" s="55"/>
      <c r="DW1415" s="55"/>
    </row>
    <row r="1416">
      <c r="A1416" s="23" t="s">
        <v>64</v>
      </c>
      <c r="B1416" s="23" t="s">
        <v>56</v>
      </c>
      <c r="C1416" s="31" t="s">
        <v>2992</v>
      </c>
      <c r="D1416" s="25" t="str">
        <f>IFERROR(__xludf.DUMMYFUNCTION("SPLIT(C1416,"" "")"),"Montgomery,")</f>
        <v>Montgomery,</v>
      </c>
      <c r="E1416" s="22" t="str">
        <f>IFERROR(__xludf.DUMMYFUNCTION("""COMPUTED_VALUE"""),"Mike
1020")</f>
        <v>Mike
1020</v>
      </c>
      <c r="F1416" s="22" t="str">
        <f>IFERROR(__xludf.DUMMYFUNCTION("""COMPUTED_VALUE"""),"E")</f>
        <v>E</v>
      </c>
      <c r="G1416" s="22" t="str">
        <f>IFERROR(__xludf.DUMMYFUNCTION("""COMPUTED_VALUE"""),"Levee
Dallas,")</f>
        <v>Levee
Dallas,</v>
      </c>
      <c r="H1416" s="22" t="str">
        <f>IFERROR(__xludf.DUMMYFUNCTION("""COMPUTED_VALUE"""),"TX")</f>
        <v>TX</v>
      </c>
      <c r="I1416" s="22">
        <f>IFERROR(__xludf.DUMMYFUNCTION("""COMPUTED_VALUE"""),75207.0)</f>
        <v>75207</v>
      </c>
      <c r="J1416" s="22"/>
      <c r="K1416" s="22"/>
      <c r="L1416" s="22"/>
      <c r="M1416" s="22"/>
      <c r="N1416" s="22"/>
      <c r="O1416" s="22"/>
      <c r="P1416" s="22"/>
      <c r="Q1416" s="22"/>
      <c r="R1416" s="22"/>
      <c r="S1416" s="22"/>
      <c r="T1416" s="22"/>
      <c r="U1416" s="24" t="str">
        <f>IFERROR(__xludf.DUMMYFUNCTION("SPLIT(E1416,""01234567890"")"),"Mike
")</f>
        <v>Mike
</v>
      </c>
      <c r="V1416" s="24" t="str">
        <f>IFERROR(__xludf.DUMMYFUNCTION("SPLIT(D1416,"","")"),"Montgomery")</f>
        <v>Montgomery</v>
      </c>
      <c r="W1416" s="25" t="str">
        <f t="shared" si="1"/>
        <v>MIKE
 MONTGOMERY</v>
      </c>
      <c r="X1416" s="22"/>
      <c r="Y1416" s="22"/>
      <c r="Z1416" s="25" t="str">
        <f>IFERROR(__xludf.DUMMYFUNCTION("SPLIT(C1416,""
"")"),"Montgomery, Mike")</f>
        <v>Montgomery, Mike</v>
      </c>
      <c r="AA1416" s="22" t="str">
        <f>IFERROR(__xludf.DUMMYFUNCTION("""COMPUTED_VALUE"""),"1020 E Levee")</f>
        <v>1020 E Levee</v>
      </c>
      <c r="AB1416" s="22" t="str">
        <f>IFERROR(__xludf.DUMMYFUNCTION("""COMPUTED_VALUE"""),"Dallas, TX 75207")</f>
        <v>Dallas, TX 75207</v>
      </c>
      <c r="AC1416" s="31" t="s">
        <v>2993</v>
      </c>
      <c r="AD1416" s="22"/>
      <c r="AE1416" s="22"/>
      <c r="AF1416" s="22"/>
      <c r="AG1416" s="22" t="s">
        <v>60</v>
      </c>
      <c r="AH1416" s="54">
        <v>2503.0</v>
      </c>
      <c r="AI1416" s="22" t="s">
        <v>68</v>
      </c>
      <c r="AJ1416" s="27">
        <v>750.0</v>
      </c>
      <c r="AK1416" s="31" t="s">
        <v>29</v>
      </c>
      <c r="AL1416" s="28">
        <v>44917.0</v>
      </c>
      <c r="AM1416" s="29">
        <v>44943.523877314816</v>
      </c>
      <c r="AN1416" s="30">
        <v>2.0</v>
      </c>
      <c r="AO1416" s="22"/>
      <c r="AP1416" s="22"/>
      <c r="AQ1416" s="22"/>
      <c r="AR1416" s="22"/>
      <c r="AS1416" s="22"/>
      <c r="AT1416" s="70"/>
      <c r="AU1416" s="22"/>
      <c r="AV1416" s="57"/>
      <c r="AW1416" s="57"/>
      <c r="AX1416" s="70"/>
      <c r="AY1416" s="29"/>
      <c r="AZ1416" s="30"/>
      <c r="CU1416" s="55"/>
      <c r="CV1416" s="55"/>
      <c r="CW1416" s="55"/>
      <c r="CX1416" s="55"/>
      <c r="CY1416" s="55"/>
      <c r="CZ1416" s="55"/>
      <c r="DA1416" s="82"/>
      <c r="DB1416" s="55"/>
      <c r="DC1416" s="55"/>
      <c r="DD1416" s="55"/>
      <c r="DE1416" s="55"/>
      <c r="DF1416" s="55"/>
      <c r="DG1416" s="55"/>
      <c r="DH1416" s="55"/>
      <c r="DI1416" s="55"/>
      <c r="DJ1416" s="55"/>
      <c r="DK1416" s="55"/>
      <c r="DL1416" s="55"/>
      <c r="DM1416" s="55"/>
      <c r="DN1416" s="55"/>
      <c r="DO1416" s="55"/>
      <c r="DP1416" s="55"/>
      <c r="DQ1416" s="55"/>
      <c r="DR1416" s="55"/>
      <c r="DS1416" s="55"/>
      <c r="DT1416" s="55"/>
      <c r="DU1416" s="55"/>
      <c r="DV1416" s="55"/>
      <c r="DW1416" s="55"/>
    </row>
    <row r="1417">
      <c r="A1417" s="40" t="s">
        <v>55</v>
      </c>
      <c r="B1417" s="41" t="s">
        <v>56</v>
      </c>
      <c r="C1417" s="31" t="s">
        <v>228</v>
      </c>
      <c r="D1417" s="25" t="str">
        <f>IFERROR(__xludf.DUMMYFUNCTION("SPLIT(C1417,"" "")"),"Aranza,")</f>
        <v>Aranza,</v>
      </c>
      <c r="E1417" s="40" t="str">
        <f>IFERROR(__xludf.DUMMYFUNCTION("""COMPUTED_VALUE"""),"Humberto
3105")</f>
        <v>Humberto
3105</v>
      </c>
      <c r="F1417" s="40" t="str">
        <f>IFERROR(__xludf.DUMMYFUNCTION("""COMPUTED_VALUE"""),"San")</f>
        <v>San</v>
      </c>
      <c r="G1417" s="40" t="str">
        <f>IFERROR(__xludf.DUMMYFUNCTION("""COMPUTED_VALUE"""),"Jacinto
Dallas,")</f>
        <v>Jacinto
Dallas,</v>
      </c>
      <c r="H1417" s="40" t="str">
        <f>IFERROR(__xludf.DUMMYFUNCTION("""COMPUTED_VALUE"""),"TX")</f>
        <v>TX</v>
      </c>
      <c r="I1417" s="40">
        <f>IFERROR(__xludf.DUMMYFUNCTION("""COMPUTED_VALUE"""),75204.0)</f>
        <v>75204</v>
      </c>
      <c r="J1417" s="40"/>
      <c r="K1417" s="40"/>
      <c r="L1417" s="40"/>
      <c r="M1417" s="40"/>
      <c r="N1417" s="40"/>
      <c r="O1417" s="40"/>
      <c r="P1417" s="40"/>
      <c r="Q1417" s="40"/>
      <c r="R1417" s="40"/>
      <c r="S1417" s="40"/>
      <c r="T1417" s="40"/>
      <c r="U1417" s="24" t="str">
        <f>IFERROR(__xludf.DUMMYFUNCTION("SPLIT(E1417,""01234567890"")"),"Humberto
")</f>
        <v>Humberto
</v>
      </c>
      <c r="V1417" s="24" t="str">
        <f>IFERROR(__xludf.DUMMYFUNCTION("SPLIT(D1417,"","")"),"Aranza")</f>
        <v>Aranza</v>
      </c>
      <c r="W1417" s="25" t="str">
        <f t="shared" si="1"/>
        <v>HUMBERTO
 ARANZA</v>
      </c>
      <c r="X1417" s="40"/>
      <c r="Y1417" s="40"/>
      <c r="Z1417" s="25" t="str">
        <f>IFERROR(__xludf.DUMMYFUNCTION("SPLIT(C1417,""
"")"),"Aranza, Humberto")</f>
        <v>Aranza, Humberto</v>
      </c>
      <c r="AA1417" s="40" t="str">
        <f>IFERROR(__xludf.DUMMYFUNCTION("""COMPUTED_VALUE"""),"3105 San Jacinto")</f>
        <v>3105 San Jacinto</v>
      </c>
      <c r="AB1417" s="40" t="str">
        <f>IFERROR(__xludf.DUMMYFUNCTION("""COMPUTED_VALUE"""),"Dallas, TX 75204")</f>
        <v>Dallas, TX 75204</v>
      </c>
      <c r="AC1417" s="31" t="s">
        <v>230</v>
      </c>
      <c r="AD1417" s="40"/>
      <c r="AE1417" s="40"/>
      <c r="AF1417" s="40"/>
      <c r="AG1417" s="40" t="s">
        <v>60</v>
      </c>
      <c r="AH1417" s="42">
        <v>2503.0</v>
      </c>
      <c r="AI1417" s="40" t="s">
        <v>68</v>
      </c>
      <c r="AJ1417" s="27">
        <v>1000.0</v>
      </c>
      <c r="AK1417" s="31" t="s">
        <v>29</v>
      </c>
      <c r="AL1417" s="43">
        <v>44907.0</v>
      </c>
      <c r="AM1417" s="44">
        <v>44943.523877314816</v>
      </c>
      <c r="AN1417" s="30">
        <v>2.0</v>
      </c>
      <c r="AO1417" s="40"/>
      <c r="AP1417" s="40"/>
      <c r="AQ1417" s="40"/>
      <c r="AR1417" s="40"/>
      <c r="AS1417" s="40"/>
      <c r="AT1417" s="47"/>
      <c r="AU1417" s="40"/>
      <c r="AV1417" s="46"/>
      <c r="AW1417" s="46"/>
      <c r="AX1417" s="47"/>
      <c r="AY1417" s="44"/>
      <c r="AZ1417" s="30"/>
      <c r="CU1417" s="55"/>
      <c r="CV1417" s="55"/>
      <c r="CW1417" s="55"/>
      <c r="CX1417" s="55"/>
      <c r="CY1417" s="55"/>
      <c r="CZ1417" s="55"/>
      <c r="DA1417" s="82"/>
      <c r="DB1417" s="55"/>
      <c r="DC1417" s="55"/>
      <c r="DD1417" s="55"/>
      <c r="DE1417" s="55"/>
      <c r="DF1417" s="55"/>
      <c r="DG1417" s="55"/>
      <c r="DH1417" s="55"/>
      <c r="DI1417" s="55"/>
      <c r="DJ1417" s="55"/>
      <c r="DK1417" s="55"/>
      <c r="DL1417" s="55"/>
      <c r="DM1417" s="55"/>
      <c r="DN1417" s="55"/>
      <c r="DO1417" s="55"/>
      <c r="DP1417" s="55"/>
      <c r="DQ1417" s="55"/>
      <c r="DR1417" s="55"/>
      <c r="DS1417" s="55"/>
      <c r="DT1417" s="55"/>
      <c r="DU1417" s="55"/>
      <c r="DV1417" s="55"/>
      <c r="DW1417" s="55"/>
    </row>
    <row r="1418">
      <c r="A1418" s="23" t="s">
        <v>64</v>
      </c>
      <c r="B1418" s="23" t="s">
        <v>56</v>
      </c>
      <c r="C1418" s="31" t="s">
        <v>2994</v>
      </c>
      <c r="D1418" s="25" t="str">
        <f>IFERROR(__xludf.DUMMYFUNCTION("SPLIT(C1418,"" "")"),"Etheridge,")</f>
        <v>Etheridge,</v>
      </c>
      <c r="E1418" s="22" t="str">
        <f>IFERROR(__xludf.DUMMYFUNCTION("""COMPUTED_VALUE"""),"Rosalind
PO")</f>
        <v>Rosalind
PO</v>
      </c>
      <c r="F1418" s="22" t="str">
        <f>IFERROR(__xludf.DUMMYFUNCTION("""COMPUTED_VALUE"""),"Box")</f>
        <v>Box</v>
      </c>
      <c r="G1418" s="22" t="str">
        <f>IFERROR(__xludf.DUMMYFUNCTION("""COMPUTED_VALUE"""),"601527
Dallas,")</f>
        <v>601527
Dallas,</v>
      </c>
      <c r="H1418" s="22" t="str">
        <f>IFERROR(__xludf.DUMMYFUNCTION("""COMPUTED_VALUE"""),"TX")</f>
        <v>TX</v>
      </c>
      <c r="I1418" s="22">
        <f>IFERROR(__xludf.DUMMYFUNCTION("""COMPUTED_VALUE"""),75360.0)</f>
        <v>75360</v>
      </c>
      <c r="J1418" s="22"/>
      <c r="K1418" s="22"/>
      <c r="L1418" s="22"/>
      <c r="M1418" s="22"/>
      <c r="N1418" s="22"/>
      <c r="O1418" s="22"/>
      <c r="P1418" s="22"/>
      <c r="Q1418" s="22"/>
      <c r="R1418" s="22"/>
      <c r="S1418" s="22"/>
      <c r="T1418" s="22"/>
      <c r="U1418" s="24" t="str">
        <f>IFERROR(__xludf.DUMMYFUNCTION("SPLIT(E1418,""01234567890"")"),"Rosalind
PO")</f>
        <v>Rosalind
PO</v>
      </c>
      <c r="V1418" s="24" t="str">
        <f>IFERROR(__xludf.DUMMYFUNCTION("SPLIT(D1418,"","")"),"Etheridge")</f>
        <v>Etheridge</v>
      </c>
      <c r="W1418" s="25" t="str">
        <f t="shared" si="1"/>
        <v>ROSALIND
PO ETHERIDGE</v>
      </c>
      <c r="X1418" s="22"/>
      <c r="Y1418" s="22"/>
      <c r="Z1418" s="25" t="str">
        <f>IFERROR(__xludf.DUMMYFUNCTION("SPLIT(C1418,""
"")"),"Etheridge, Rosalind")</f>
        <v>Etheridge, Rosalind</v>
      </c>
      <c r="AA1418" s="22" t="str">
        <f>IFERROR(__xludf.DUMMYFUNCTION("""COMPUTED_VALUE"""),"PO Box 601527")</f>
        <v>PO Box 601527</v>
      </c>
      <c r="AB1418" s="22" t="str">
        <f>IFERROR(__xludf.DUMMYFUNCTION("""COMPUTED_VALUE"""),"Dallas, TX 75360")</f>
        <v>Dallas, TX 75360</v>
      </c>
      <c r="AC1418" s="31" t="s">
        <v>2995</v>
      </c>
      <c r="AD1418" s="22"/>
      <c r="AE1418" s="22"/>
      <c r="AF1418" s="22"/>
      <c r="AG1418" s="22" t="s">
        <v>60</v>
      </c>
      <c r="AH1418" s="54">
        <v>2503.0</v>
      </c>
      <c r="AI1418" s="22" t="s">
        <v>68</v>
      </c>
      <c r="AJ1418" s="27">
        <v>1000.0</v>
      </c>
      <c r="AK1418" s="31" t="s">
        <v>29</v>
      </c>
      <c r="AL1418" s="28">
        <v>44907.0</v>
      </c>
      <c r="AM1418" s="29">
        <v>44943.523877314816</v>
      </c>
      <c r="AN1418" s="30">
        <v>2.0</v>
      </c>
      <c r="AO1418" s="22"/>
      <c r="AP1418" s="22"/>
      <c r="AQ1418" s="22"/>
      <c r="AR1418" s="22"/>
      <c r="AS1418" s="22"/>
      <c r="AT1418" s="70"/>
      <c r="AU1418" s="22"/>
      <c r="AV1418" s="57"/>
      <c r="AW1418" s="57"/>
      <c r="AX1418" s="70"/>
      <c r="AY1418" s="29"/>
      <c r="AZ1418" s="30"/>
      <c r="CU1418" s="55"/>
      <c r="CV1418" s="55"/>
      <c r="CW1418" s="55"/>
      <c r="CX1418" s="55"/>
      <c r="CY1418" s="55"/>
      <c r="CZ1418" s="55"/>
      <c r="DA1418" s="82"/>
      <c r="DB1418" s="55"/>
      <c r="DC1418" s="55"/>
      <c r="DD1418" s="55"/>
      <c r="DE1418" s="55"/>
      <c r="DF1418" s="55"/>
      <c r="DG1418" s="55"/>
      <c r="DH1418" s="55"/>
      <c r="DI1418" s="55"/>
      <c r="DJ1418" s="55"/>
      <c r="DK1418" s="55"/>
      <c r="DL1418" s="55"/>
      <c r="DM1418" s="55"/>
      <c r="DN1418" s="55"/>
      <c r="DO1418" s="55"/>
      <c r="DP1418" s="55"/>
      <c r="DQ1418" s="55"/>
      <c r="DR1418" s="55"/>
      <c r="DS1418" s="55"/>
      <c r="DT1418" s="55"/>
      <c r="DU1418" s="55"/>
      <c r="DV1418" s="55"/>
      <c r="DW1418" s="55"/>
    </row>
    <row r="1419">
      <c r="A1419" s="41" t="s">
        <v>64</v>
      </c>
      <c r="B1419" s="41" t="s">
        <v>56</v>
      </c>
      <c r="C1419" s="31" t="s">
        <v>2996</v>
      </c>
      <c r="D1419" s="25" t="str">
        <f>IFERROR(__xludf.DUMMYFUNCTION("SPLIT(C1419,"" "")"),"Hernandez,")</f>
        <v>Hernandez,</v>
      </c>
      <c r="E1419" s="40" t="str">
        <f>IFERROR(__xludf.DUMMYFUNCTION("""COMPUTED_VALUE"""),"Gustavo
2410")</f>
        <v>Gustavo
2410</v>
      </c>
      <c r="F1419" s="40" t="str">
        <f>IFERROR(__xludf.DUMMYFUNCTION("""COMPUTED_VALUE"""),"Logan")</f>
        <v>Logan</v>
      </c>
      <c r="G1419" s="40" t="str">
        <f>IFERROR(__xludf.DUMMYFUNCTION("""COMPUTED_VALUE"""),"St
Dallas,")</f>
        <v>St
Dallas,</v>
      </c>
      <c r="H1419" s="40" t="str">
        <f>IFERROR(__xludf.DUMMYFUNCTION("""COMPUTED_VALUE"""),"TX")</f>
        <v>TX</v>
      </c>
      <c r="I1419" s="40">
        <f>IFERROR(__xludf.DUMMYFUNCTION("""COMPUTED_VALUE"""),75215.0)</f>
        <v>75215</v>
      </c>
      <c r="J1419" s="40"/>
      <c r="K1419" s="40"/>
      <c r="L1419" s="40"/>
      <c r="M1419" s="40"/>
      <c r="N1419" s="40"/>
      <c r="O1419" s="40"/>
      <c r="P1419" s="40"/>
      <c r="Q1419" s="40"/>
      <c r="R1419" s="40"/>
      <c r="S1419" s="40"/>
      <c r="T1419" s="40"/>
      <c r="U1419" s="24" t="str">
        <f>IFERROR(__xludf.DUMMYFUNCTION("SPLIT(E1419,""01234567890"")"),"Gustavo
")</f>
        <v>Gustavo
</v>
      </c>
      <c r="V1419" s="24" t="str">
        <f>IFERROR(__xludf.DUMMYFUNCTION("SPLIT(D1419,"","")"),"Hernandez")</f>
        <v>Hernandez</v>
      </c>
      <c r="W1419" s="25" t="str">
        <f t="shared" si="1"/>
        <v>GUSTAVO
 HERNANDEZ</v>
      </c>
      <c r="X1419" s="40"/>
      <c r="Y1419" s="40"/>
      <c r="Z1419" s="25" t="str">
        <f>IFERROR(__xludf.DUMMYFUNCTION("SPLIT(C1419,""
"")"),"Hernandez, Gustavo")</f>
        <v>Hernandez, Gustavo</v>
      </c>
      <c r="AA1419" s="40" t="str">
        <f>IFERROR(__xludf.DUMMYFUNCTION("""COMPUTED_VALUE"""),"2410 Logan St")</f>
        <v>2410 Logan St</v>
      </c>
      <c r="AB1419" s="40" t="str">
        <f>IFERROR(__xludf.DUMMYFUNCTION("""COMPUTED_VALUE"""),"Dallas, TX 75215")</f>
        <v>Dallas, TX 75215</v>
      </c>
      <c r="AC1419" s="31" t="s">
        <v>2997</v>
      </c>
      <c r="AD1419" s="40"/>
      <c r="AE1419" s="40"/>
      <c r="AF1419" s="40"/>
      <c r="AG1419" s="40" t="s">
        <v>60</v>
      </c>
      <c r="AH1419" s="42">
        <v>2494.0</v>
      </c>
      <c r="AI1419" s="40" t="s">
        <v>68</v>
      </c>
      <c r="AJ1419" s="27">
        <v>500.0</v>
      </c>
      <c r="AK1419" s="31" t="s">
        <v>37</v>
      </c>
      <c r="AL1419" s="43">
        <v>44926.0</v>
      </c>
      <c r="AM1419" s="44">
        <v>44943.69719907407</v>
      </c>
      <c r="AN1419" s="30">
        <v>2.0</v>
      </c>
      <c r="AO1419" s="40"/>
      <c r="AP1419" s="40"/>
      <c r="AQ1419" s="40"/>
      <c r="AR1419" s="40"/>
      <c r="AS1419" s="40"/>
      <c r="AT1419" s="47"/>
      <c r="AU1419" s="40"/>
      <c r="AV1419" s="46"/>
      <c r="AW1419" s="46"/>
      <c r="AX1419" s="47"/>
      <c r="AY1419" s="44"/>
      <c r="AZ1419" s="30"/>
      <c r="CU1419" s="55"/>
      <c r="CV1419" s="55"/>
      <c r="CW1419" s="55"/>
      <c r="CX1419" s="55"/>
      <c r="CY1419" s="55"/>
      <c r="CZ1419" s="55"/>
      <c r="DA1419" s="82"/>
      <c r="DB1419" s="55"/>
      <c r="DC1419" s="55"/>
      <c r="DD1419" s="55"/>
      <c r="DE1419" s="55"/>
      <c r="DF1419" s="55"/>
      <c r="DG1419" s="55"/>
      <c r="DH1419" s="55"/>
      <c r="DI1419" s="55"/>
      <c r="DJ1419" s="55"/>
      <c r="DK1419" s="55"/>
      <c r="DL1419" s="55"/>
      <c r="DM1419" s="55"/>
      <c r="DN1419" s="55"/>
      <c r="DO1419" s="55"/>
      <c r="DP1419" s="55"/>
      <c r="DQ1419" s="55"/>
      <c r="DR1419" s="55"/>
      <c r="DS1419" s="55"/>
      <c r="DT1419" s="55"/>
      <c r="DU1419" s="55"/>
      <c r="DV1419" s="55"/>
      <c r="DW1419" s="55"/>
    </row>
    <row r="1420">
      <c r="A1420" s="23" t="s">
        <v>64</v>
      </c>
      <c r="B1420" s="23" t="s">
        <v>56</v>
      </c>
      <c r="C1420" s="31" t="s">
        <v>2998</v>
      </c>
      <c r="D1420" s="25" t="str">
        <f>IFERROR(__xludf.DUMMYFUNCTION("SPLIT(C1420,"" "")"),"Ferdows,")</f>
        <v>Ferdows,</v>
      </c>
      <c r="E1420" s="22" t="str">
        <f>IFERROR(__xludf.DUMMYFUNCTION("""COMPUTED_VALUE"""),"Mr")</f>
        <v>Mr</v>
      </c>
      <c r="F1420" s="22" t="str">
        <f>IFERROR(__xludf.DUMMYFUNCTION("""COMPUTED_VALUE"""),"Mrs")</f>
        <v>Mrs</v>
      </c>
      <c r="G1420" s="22" t="str">
        <f>IFERROR(__xludf.DUMMYFUNCTION("""COMPUTED_VALUE"""),"Dario
10505")</f>
        <v>Dario
10505</v>
      </c>
      <c r="H1420" s="22" t="str">
        <f>IFERROR(__xludf.DUMMYFUNCTION("""COMPUTED_VALUE"""),"Shady")</f>
        <v>Shady</v>
      </c>
      <c r="I1420" s="22" t="str">
        <f>IFERROR(__xludf.DUMMYFUNCTION("""COMPUTED_VALUE"""),"Trail
Dallas,")</f>
        <v>Trail
Dallas,</v>
      </c>
      <c r="J1420" s="22" t="str">
        <f>IFERROR(__xludf.DUMMYFUNCTION("""COMPUTED_VALUE"""),"TX")</f>
        <v>TX</v>
      </c>
      <c r="K1420" s="22">
        <f>IFERROR(__xludf.DUMMYFUNCTION("""COMPUTED_VALUE"""),75220.0)</f>
        <v>75220</v>
      </c>
      <c r="L1420" s="22"/>
      <c r="M1420" s="22"/>
      <c r="N1420" s="22"/>
      <c r="O1420" s="22"/>
      <c r="P1420" s="22"/>
      <c r="Q1420" s="22"/>
      <c r="R1420" s="22"/>
      <c r="S1420" s="22"/>
      <c r="T1420" s="22"/>
      <c r="U1420" s="24" t="str">
        <f>IFERROR(__xludf.DUMMYFUNCTION("SPLIT(E1420,""01234567890"")"),"Mr")</f>
        <v>Mr</v>
      </c>
      <c r="V1420" s="24" t="str">
        <f>IFERROR(__xludf.DUMMYFUNCTION("SPLIT(D1420,"","")"),"Ferdows")</f>
        <v>Ferdows</v>
      </c>
      <c r="W1420" s="25" t="str">
        <f t="shared" si="1"/>
        <v>MR FERDOWS</v>
      </c>
      <c r="X1420" s="22"/>
      <c r="Y1420" s="22"/>
      <c r="Z1420" s="25" t="str">
        <f>IFERROR(__xludf.DUMMYFUNCTION("SPLIT(C1420,""
"")"),"Ferdows, Mr Mrs Dario")</f>
        <v>Ferdows, Mr Mrs Dario</v>
      </c>
      <c r="AA1420" s="22" t="str">
        <f>IFERROR(__xludf.DUMMYFUNCTION("""COMPUTED_VALUE"""),"10505 Shady Trail")</f>
        <v>10505 Shady Trail</v>
      </c>
      <c r="AB1420" s="22" t="str">
        <f>IFERROR(__xludf.DUMMYFUNCTION("""COMPUTED_VALUE"""),"Dallas, TX 75220")</f>
        <v>Dallas, TX 75220</v>
      </c>
      <c r="AC1420" s="31" t="s">
        <v>2999</v>
      </c>
      <c r="AD1420" s="22"/>
      <c r="AE1420" s="22"/>
      <c r="AF1420" s="22"/>
      <c r="AG1420" s="22" t="s">
        <v>60</v>
      </c>
      <c r="AH1420" s="54">
        <v>2494.0</v>
      </c>
      <c r="AI1420" s="22" t="s">
        <v>68</v>
      </c>
      <c r="AJ1420" s="27">
        <v>2000.0</v>
      </c>
      <c r="AK1420" s="31" t="s">
        <v>37</v>
      </c>
      <c r="AL1420" s="28">
        <v>44925.0</v>
      </c>
      <c r="AM1420" s="29">
        <v>44943.69719907407</v>
      </c>
      <c r="AN1420" s="30">
        <v>2.0</v>
      </c>
      <c r="AO1420" s="22"/>
      <c r="AP1420" s="22"/>
      <c r="AQ1420" s="22"/>
      <c r="AR1420" s="22"/>
      <c r="AS1420" s="22"/>
      <c r="AT1420" s="70"/>
      <c r="AU1420" s="22"/>
      <c r="AV1420" s="57"/>
      <c r="AW1420" s="57"/>
      <c r="AX1420" s="70"/>
      <c r="AY1420" s="29"/>
      <c r="AZ1420" s="30"/>
      <c r="CU1420" s="55"/>
      <c r="CV1420" s="55"/>
      <c r="CW1420" s="55"/>
      <c r="CX1420" s="55"/>
      <c r="CY1420" s="55"/>
      <c r="CZ1420" s="55"/>
      <c r="DA1420" s="82"/>
      <c r="DB1420" s="55"/>
      <c r="DC1420" s="55"/>
      <c r="DD1420" s="55"/>
      <c r="DE1420" s="55"/>
      <c r="DF1420" s="55"/>
      <c r="DG1420" s="55"/>
      <c r="DH1420" s="55"/>
      <c r="DI1420" s="55"/>
      <c r="DJ1420" s="55"/>
      <c r="DK1420" s="55"/>
      <c r="DL1420" s="55"/>
      <c r="DM1420" s="55"/>
      <c r="DN1420" s="55"/>
      <c r="DO1420" s="55"/>
      <c r="DP1420" s="55"/>
      <c r="DQ1420" s="55"/>
      <c r="DR1420" s="55"/>
      <c r="DS1420" s="55"/>
      <c r="DT1420" s="55"/>
      <c r="DU1420" s="55"/>
      <c r="DV1420" s="55"/>
      <c r="DW1420" s="55"/>
    </row>
    <row r="1421">
      <c r="A1421" s="41" t="s">
        <v>64</v>
      </c>
      <c r="B1421" s="41" t="s">
        <v>56</v>
      </c>
      <c r="C1421" s="31" t="s">
        <v>3000</v>
      </c>
      <c r="D1421" s="25" t="str">
        <f>IFERROR(__xludf.DUMMYFUNCTION("SPLIT(C1421,"" "")"),"Mahsani,")</f>
        <v>Mahsani,</v>
      </c>
      <c r="E1421" s="40" t="str">
        <f>IFERROR(__xludf.DUMMYFUNCTION("""COMPUTED_VALUE"""),"Mr")</f>
        <v>Mr</v>
      </c>
      <c r="F1421" s="40" t="str">
        <f>IFERROR(__xludf.DUMMYFUNCTION("""COMPUTED_VALUE"""),"Mrs")</f>
        <v>Mrs</v>
      </c>
      <c r="G1421" s="40" t="str">
        <f>IFERROR(__xludf.DUMMYFUNCTION("""COMPUTED_VALUE"""),"Sam
PO")</f>
        <v>Sam
PO</v>
      </c>
      <c r="H1421" s="40" t="str">
        <f>IFERROR(__xludf.DUMMYFUNCTION("""COMPUTED_VALUE"""),"Box")</f>
        <v>Box</v>
      </c>
      <c r="I1421" s="40" t="str">
        <f>IFERROR(__xludf.DUMMYFUNCTION("""COMPUTED_VALUE"""),"162327
Dallas,")</f>
        <v>162327
Dallas,</v>
      </c>
      <c r="J1421" s="40" t="str">
        <f>IFERROR(__xludf.DUMMYFUNCTION("""COMPUTED_VALUE"""),"TX")</f>
        <v>TX</v>
      </c>
      <c r="K1421" s="40">
        <f>IFERROR(__xludf.DUMMYFUNCTION("""COMPUTED_VALUE"""),75231.0)</f>
        <v>75231</v>
      </c>
      <c r="L1421" s="40"/>
      <c r="M1421" s="40"/>
      <c r="N1421" s="40"/>
      <c r="O1421" s="40"/>
      <c r="P1421" s="40"/>
      <c r="Q1421" s="40"/>
      <c r="R1421" s="40"/>
      <c r="S1421" s="40"/>
      <c r="T1421" s="40"/>
      <c r="U1421" s="24" t="str">
        <f>IFERROR(__xludf.DUMMYFUNCTION("SPLIT(E1421,""01234567890"")"),"Mr")</f>
        <v>Mr</v>
      </c>
      <c r="V1421" s="24" t="str">
        <f>IFERROR(__xludf.DUMMYFUNCTION("SPLIT(D1421,"","")"),"Mahsani")</f>
        <v>Mahsani</v>
      </c>
      <c r="W1421" s="25" t="str">
        <f t="shared" si="1"/>
        <v>MR MAHSANI</v>
      </c>
      <c r="X1421" s="40"/>
      <c r="Y1421" s="40"/>
      <c r="Z1421" s="25" t="str">
        <f>IFERROR(__xludf.DUMMYFUNCTION("SPLIT(C1421,""
"")"),"Mahsani, Mr Mrs Sam")</f>
        <v>Mahsani, Mr Mrs Sam</v>
      </c>
      <c r="AA1421" s="40" t="str">
        <f>IFERROR(__xludf.DUMMYFUNCTION("""COMPUTED_VALUE"""),"PO Box 162327")</f>
        <v>PO Box 162327</v>
      </c>
      <c r="AB1421" s="40" t="str">
        <f>IFERROR(__xludf.DUMMYFUNCTION("""COMPUTED_VALUE"""),"Dallas, TX 75231")</f>
        <v>Dallas, TX 75231</v>
      </c>
      <c r="AC1421" s="31" t="s">
        <v>3001</v>
      </c>
      <c r="AD1421" s="40"/>
      <c r="AE1421" s="40"/>
      <c r="AF1421" s="40"/>
      <c r="AG1421" s="40" t="s">
        <v>60</v>
      </c>
      <c r="AH1421" s="42">
        <v>2494.0</v>
      </c>
      <c r="AI1421" s="40" t="s">
        <v>68</v>
      </c>
      <c r="AJ1421" s="27">
        <v>2000.0</v>
      </c>
      <c r="AK1421" s="31" t="s">
        <v>37</v>
      </c>
      <c r="AL1421" s="43">
        <v>44925.0</v>
      </c>
      <c r="AM1421" s="44">
        <v>44943.69719907407</v>
      </c>
      <c r="AN1421" s="30">
        <v>2.0</v>
      </c>
      <c r="AO1421" s="40"/>
      <c r="AP1421" s="40"/>
      <c r="AQ1421" s="40"/>
      <c r="AR1421" s="40"/>
      <c r="AS1421" s="40"/>
      <c r="AT1421" s="47"/>
      <c r="AU1421" s="40"/>
      <c r="AV1421" s="46"/>
      <c r="AW1421" s="46"/>
      <c r="AX1421" s="47"/>
      <c r="AY1421" s="44"/>
      <c r="AZ1421" s="30"/>
      <c r="CU1421" s="55"/>
      <c r="CV1421" s="55"/>
      <c r="CW1421" s="55"/>
      <c r="CX1421" s="55"/>
      <c r="CY1421" s="55"/>
      <c r="CZ1421" s="55"/>
      <c r="DA1421" s="82"/>
      <c r="DB1421" s="55"/>
      <c r="DC1421" s="55"/>
      <c r="DD1421" s="55"/>
      <c r="DE1421" s="55"/>
      <c r="DF1421" s="55"/>
      <c r="DG1421" s="55"/>
      <c r="DH1421" s="55"/>
      <c r="DI1421" s="55"/>
      <c r="DJ1421" s="55"/>
      <c r="DK1421" s="55"/>
      <c r="DL1421" s="55"/>
      <c r="DM1421" s="55"/>
      <c r="DN1421" s="55"/>
      <c r="DO1421" s="55"/>
      <c r="DP1421" s="55"/>
      <c r="DQ1421" s="55"/>
      <c r="DR1421" s="55"/>
      <c r="DS1421" s="55"/>
      <c r="DT1421" s="55"/>
      <c r="DU1421" s="55"/>
      <c r="DV1421" s="55"/>
      <c r="DW1421" s="55"/>
    </row>
    <row r="1422">
      <c r="A1422" s="22" t="s">
        <v>55</v>
      </c>
      <c r="B1422" s="23" t="s">
        <v>56</v>
      </c>
      <c r="C1422" s="31" t="s">
        <v>3002</v>
      </c>
      <c r="D1422" s="25" t="str">
        <f>IFERROR(__xludf.DUMMYFUNCTION("SPLIT(C1422,"" "")"),"Dauterman,")</f>
        <v>Dauterman,</v>
      </c>
      <c r="E1422" s="22" t="str">
        <f>IFERROR(__xludf.DUMMYFUNCTION("""COMPUTED_VALUE"""),"Peter
8117")</f>
        <v>Peter
8117</v>
      </c>
      <c r="F1422" s="22" t="str">
        <f>IFERROR(__xludf.DUMMYFUNCTION("""COMPUTED_VALUE"""),"Preston")</f>
        <v>Preston</v>
      </c>
      <c r="G1422" s="22" t="str">
        <f>IFERROR(__xludf.DUMMYFUNCTION("""COMPUTED_VALUE"""),"Road
Dallas,")</f>
        <v>Road
Dallas,</v>
      </c>
      <c r="H1422" s="22" t="str">
        <f>IFERROR(__xludf.DUMMYFUNCTION("""COMPUTED_VALUE"""),"TX")</f>
        <v>TX</v>
      </c>
      <c r="I1422" s="22">
        <f>IFERROR(__xludf.DUMMYFUNCTION("""COMPUTED_VALUE"""),75225.0)</f>
        <v>75225</v>
      </c>
      <c r="J1422" s="22"/>
      <c r="K1422" s="22"/>
      <c r="L1422" s="22"/>
      <c r="M1422" s="22"/>
      <c r="N1422" s="22"/>
      <c r="O1422" s="22"/>
      <c r="P1422" s="22"/>
      <c r="Q1422" s="22"/>
      <c r="R1422" s="22"/>
      <c r="S1422" s="22"/>
      <c r="T1422" s="22"/>
      <c r="U1422" s="24" t="str">
        <f>IFERROR(__xludf.DUMMYFUNCTION("SPLIT(E1422,""01234567890"")"),"Peter
")</f>
        <v>Peter
</v>
      </c>
      <c r="V1422" s="24" t="str">
        <f>IFERROR(__xludf.DUMMYFUNCTION("SPLIT(D1422,"","")"),"Dauterman")</f>
        <v>Dauterman</v>
      </c>
      <c r="W1422" s="25" t="str">
        <f t="shared" si="1"/>
        <v>PETER
 DAUTERMAN</v>
      </c>
      <c r="X1422" s="22"/>
      <c r="Y1422" s="22"/>
      <c r="Z1422" s="25" t="str">
        <f>IFERROR(__xludf.DUMMYFUNCTION("SPLIT(C1422,""
"")"),"Dauterman, Peter")</f>
        <v>Dauterman, Peter</v>
      </c>
      <c r="AA1422" s="22" t="str">
        <f>IFERROR(__xludf.DUMMYFUNCTION("""COMPUTED_VALUE"""),"8117 Preston Road")</f>
        <v>8117 Preston Road</v>
      </c>
      <c r="AB1422" s="22" t="str">
        <f>IFERROR(__xludf.DUMMYFUNCTION("""COMPUTED_VALUE"""),"Dallas, TX 75225")</f>
        <v>Dallas, TX 75225</v>
      </c>
      <c r="AC1422" s="31" t="s">
        <v>3003</v>
      </c>
      <c r="AD1422" s="22"/>
      <c r="AE1422" s="22"/>
      <c r="AF1422" s="22"/>
      <c r="AG1422" s="22" t="s">
        <v>60</v>
      </c>
      <c r="AH1422" s="54">
        <v>2505.0</v>
      </c>
      <c r="AI1422" s="22" t="s">
        <v>68</v>
      </c>
      <c r="AJ1422" s="27">
        <v>1000.0</v>
      </c>
      <c r="AK1422" s="31" t="s">
        <v>30</v>
      </c>
      <c r="AL1422" s="28">
        <v>44745.0</v>
      </c>
      <c r="AM1422" s="29">
        <v>44943.52300925926</v>
      </c>
      <c r="AN1422" s="30">
        <v>2.0</v>
      </c>
      <c r="AO1422" s="22"/>
      <c r="AP1422" s="22"/>
      <c r="AQ1422" s="22"/>
      <c r="AR1422" s="22"/>
      <c r="AS1422" s="22"/>
      <c r="AT1422" s="70"/>
      <c r="AU1422" s="22"/>
      <c r="AV1422" s="57"/>
      <c r="AW1422" s="57"/>
      <c r="AX1422" s="70"/>
      <c r="AY1422" s="29"/>
      <c r="AZ1422" s="30"/>
      <c r="CU1422" s="55"/>
      <c r="CV1422" s="55"/>
      <c r="CW1422" s="55"/>
      <c r="CX1422" s="55"/>
      <c r="CY1422" s="55"/>
      <c r="CZ1422" s="55"/>
      <c r="DA1422" s="82"/>
      <c r="DB1422" s="55"/>
      <c r="DC1422" s="55"/>
      <c r="DD1422" s="55"/>
      <c r="DE1422" s="55"/>
      <c r="DF1422" s="55"/>
      <c r="DG1422" s="55"/>
      <c r="DH1422" s="55"/>
      <c r="DI1422" s="55"/>
      <c r="DJ1422" s="55"/>
      <c r="DK1422" s="55"/>
      <c r="DL1422" s="55"/>
      <c r="DM1422" s="55"/>
      <c r="DN1422" s="55"/>
      <c r="DO1422" s="55"/>
      <c r="DP1422" s="55"/>
      <c r="DQ1422" s="55"/>
      <c r="DR1422" s="55"/>
      <c r="DS1422" s="55"/>
      <c r="DT1422" s="55"/>
      <c r="DU1422" s="55"/>
      <c r="DV1422" s="55"/>
      <c r="DW1422" s="55"/>
    </row>
    <row r="1423">
      <c r="A1423" s="41" t="s">
        <v>64</v>
      </c>
      <c r="B1423" s="41" t="s">
        <v>56</v>
      </c>
      <c r="C1423" s="31" t="s">
        <v>3004</v>
      </c>
      <c r="D1423" s="25" t="str">
        <f>IFERROR(__xludf.DUMMYFUNCTION("SPLIT(C1423,"" "")"),"Smith,")</f>
        <v>Smith,</v>
      </c>
      <c r="E1423" s="40" t="str">
        <f>IFERROR(__xludf.DUMMYFUNCTION("""COMPUTED_VALUE"""),"Wayne
7775")</f>
        <v>Wayne
7775</v>
      </c>
      <c r="F1423" s="40" t="str">
        <f>IFERROR(__xludf.DUMMYFUNCTION("""COMPUTED_VALUE"""),"Firefall")</f>
        <v>Firefall</v>
      </c>
      <c r="G1423" s="40" t="str">
        <f>IFERROR(__xludf.DUMMYFUNCTION("""COMPUTED_VALUE"""),"Way
Dallas,")</f>
        <v>Way
Dallas,</v>
      </c>
      <c r="H1423" s="40" t="str">
        <f>IFERROR(__xludf.DUMMYFUNCTION("""COMPUTED_VALUE"""),"TX")</f>
        <v>TX</v>
      </c>
      <c r="I1423" s="40">
        <f>IFERROR(__xludf.DUMMYFUNCTION("""COMPUTED_VALUE"""),75230.0)</f>
        <v>75230</v>
      </c>
      <c r="J1423" s="40"/>
      <c r="K1423" s="40"/>
      <c r="L1423" s="40"/>
      <c r="M1423" s="40"/>
      <c r="N1423" s="40"/>
      <c r="O1423" s="40"/>
      <c r="P1423" s="40"/>
      <c r="Q1423" s="40"/>
      <c r="R1423" s="40"/>
      <c r="S1423" s="40"/>
      <c r="T1423" s="40"/>
      <c r="U1423" s="24" t="str">
        <f>IFERROR(__xludf.DUMMYFUNCTION("SPLIT(E1423,""01234567890"")"),"Wayne
")</f>
        <v>Wayne
</v>
      </c>
      <c r="V1423" s="24" t="str">
        <f>IFERROR(__xludf.DUMMYFUNCTION("SPLIT(D1423,"","")"),"Smith")</f>
        <v>Smith</v>
      </c>
      <c r="W1423" s="25" t="str">
        <f t="shared" si="1"/>
        <v>WAYNE
 SMITH</v>
      </c>
      <c r="X1423" s="40"/>
      <c r="Y1423" s="40"/>
      <c r="Z1423" s="25" t="str">
        <f>IFERROR(__xludf.DUMMYFUNCTION("SPLIT(C1423,""
"")"),"Smith, Wayne")</f>
        <v>Smith, Wayne</v>
      </c>
      <c r="AA1423" s="40" t="str">
        <f>IFERROR(__xludf.DUMMYFUNCTION("""COMPUTED_VALUE"""),"7775 Firefall Way")</f>
        <v>7775 Firefall Way</v>
      </c>
      <c r="AB1423" s="40" t="str">
        <f>IFERROR(__xludf.DUMMYFUNCTION("""COMPUTED_VALUE"""),"Dallas, TX 75230")</f>
        <v>Dallas, TX 75230</v>
      </c>
      <c r="AC1423" s="31" t="s">
        <v>3005</v>
      </c>
      <c r="AD1423" s="40"/>
      <c r="AE1423" s="40"/>
      <c r="AF1423" s="40"/>
      <c r="AG1423" s="40" t="s">
        <v>60</v>
      </c>
      <c r="AH1423" s="42">
        <v>2505.0</v>
      </c>
      <c r="AI1423" s="40" t="s">
        <v>68</v>
      </c>
      <c r="AJ1423" s="27">
        <v>500.0</v>
      </c>
      <c r="AK1423" s="31" t="s">
        <v>30</v>
      </c>
      <c r="AL1423" s="43">
        <v>44791.0</v>
      </c>
      <c r="AM1423" s="44">
        <v>44943.52300925926</v>
      </c>
      <c r="AN1423" s="30">
        <v>2.0</v>
      </c>
      <c r="AO1423" s="40"/>
      <c r="AP1423" s="40"/>
      <c r="AQ1423" s="40"/>
      <c r="AR1423" s="40"/>
      <c r="AS1423" s="40"/>
      <c r="AT1423" s="47"/>
      <c r="AU1423" s="40"/>
      <c r="AV1423" s="46"/>
      <c r="AW1423" s="46"/>
      <c r="AX1423" s="47"/>
      <c r="AY1423" s="44"/>
      <c r="AZ1423" s="30"/>
      <c r="CU1423" s="55"/>
      <c r="CV1423" s="55"/>
      <c r="CW1423" s="55"/>
      <c r="CX1423" s="55"/>
      <c r="CY1423" s="55"/>
      <c r="CZ1423" s="55"/>
      <c r="DA1423" s="82"/>
      <c r="DB1423" s="55"/>
      <c r="DC1423" s="55"/>
      <c r="DD1423" s="55"/>
      <c r="DE1423" s="55"/>
      <c r="DF1423" s="55"/>
      <c r="DG1423" s="55"/>
      <c r="DH1423" s="55"/>
      <c r="DI1423" s="55"/>
      <c r="DJ1423" s="55"/>
      <c r="DK1423" s="55"/>
      <c r="DL1423" s="55"/>
      <c r="DM1423" s="55"/>
      <c r="DN1423" s="55"/>
      <c r="DO1423" s="55"/>
      <c r="DP1423" s="55"/>
      <c r="DQ1423" s="55"/>
      <c r="DR1423" s="55"/>
      <c r="DS1423" s="55"/>
      <c r="DT1423" s="55"/>
      <c r="DU1423" s="55"/>
      <c r="DV1423" s="55"/>
      <c r="DW1423" s="55"/>
    </row>
    <row r="1424">
      <c r="A1424" s="22" t="s">
        <v>55</v>
      </c>
      <c r="B1424" s="23" t="s">
        <v>56</v>
      </c>
      <c r="C1424" s="31" t="s">
        <v>3006</v>
      </c>
      <c r="D1424" s="25" t="str">
        <f>IFERROR(__xludf.DUMMYFUNCTION("SPLIT(C1424,"" "")"),"Worsham,")</f>
        <v>Worsham,</v>
      </c>
      <c r="E1424" s="22" t="str">
        <f>IFERROR(__xludf.DUMMYFUNCTION("""COMPUTED_VALUE"""),"Raguet
PO")</f>
        <v>Raguet
PO</v>
      </c>
      <c r="F1424" s="22" t="str">
        <f>IFERROR(__xludf.DUMMYFUNCTION("""COMPUTED_VALUE"""),"Box")</f>
        <v>Box</v>
      </c>
      <c r="G1424" s="22" t="str">
        <f>IFERROR(__xludf.DUMMYFUNCTION("""COMPUTED_VALUE"""),"988
Little")</f>
        <v>988
Little</v>
      </c>
      <c r="H1424" s="22" t="str">
        <f>IFERROR(__xludf.DUMMYFUNCTION("""COMPUTED_VALUE"""),"Elm,")</f>
        <v>Elm,</v>
      </c>
      <c r="I1424" s="22" t="str">
        <f>IFERROR(__xludf.DUMMYFUNCTION("""COMPUTED_VALUE"""),"TX")</f>
        <v>TX</v>
      </c>
      <c r="J1424" s="22">
        <f>IFERROR(__xludf.DUMMYFUNCTION("""COMPUTED_VALUE"""),75068.0)</f>
        <v>75068</v>
      </c>
      <c r="K1424" s="22"/>
      <c r="L1424" s="22"/>
      <c r="M1424" s="22"/>
      <c r="N1424" s="22"/>
      <c r="O1424" s="22"/>
      <c r="P1424" s="22"/>
      <c r="Q1424" s="22"/>
      <c r="R1424" s="22"/>
      <c r="S1424" s="22"/>
      <c r="T1424" s="22"/>
      <c r="U1424" s="24" t="str">
        <f>IFERROR(__xludf.DUMMYFUNCTION("SPLIT(E1424,""01234567890"")"),"Raguet
PO")</f>
        <v>Raguet
PO</v>
      </c>
      <c r="V1424" s="24" t="str">
        <f>IFERROR(__xludf.DUMMYFUNCTION("SPLIT(D1424,"","")"),"Worsham")</f>
        <v>Worsham</v>
      </c>
      <c r="W1424" s="25" t="str">
        <f t="shared" si="1"/>
        <v>RAGUET
PO WORSHAM</v>
      </c>
      <c r="X1424" s="22"/>
      <c r="Y1424" s="22"/>
      <c r="Z1424" s="25" t="str">
        <f>IFERROR(__xludf.DUMMYFUNCTION("SPLIT(C1424,""
"")"),"Worsham, Raguet")</f>
        <v>Worsham, Raguet</v>
      </c>
      <c r="AA1424" s="22" t="str">
        <f>IFERROR(__xludf.DUMMYFUNCTION("""COMPUTED_VALUE"""),"PO Box 988")</f>
        <v>PO Box 988</v>
      </c>
      <c r="AB1424" s="22" t="str">
        <f>IFERROR(__xludf.DUMMYFUNCTION("""COMPUTED_VALUE"""),"Little Elm, TX 75068")</f>
        <v>Little Elm, TX 75068</v>
      </c>
      <c r="AC1424" s="31" t="s">
        <v>1208</v>
      </c>
      <c r="AD1424" s="22"/>
      <c r="AE1424" s="22"/>
      <c r="AF1424" s="22"/>
      <c r="AG1424" s="22" t="s">
        <v>60</v>
      </c>
      <c r="AH1424" s="54">
        <v>2505.0</v>
      </c>
      <c r="AI1424" s="22" t="s">
        <v>68</v>
      </c>
      <c r="AJ1424" s="27">
        <v>100.0</v>
      </c>
      <c r="AK1424" s="31" t="s">
        <v>30</v>
      </c>
      <c r="AL1424" s="28">
        <v>44880.0</v>
      </c>
      <c r="AM1424" s="29">
        <v>44943.52300925926</v>
      </c>
      <c r="AN1424" s="30">
        <v>2.0</v>
      </c>
      <c r="AO1424" s="22"/>
      <c r="AP1424" s="22"/>
      <c r="AQ1424" s="22"/>
      <c r="AR1424" s="22"/>
      <c r="AS1424" s="22"/>
      <c r="AT1424" s="70"/>
      <c r="AU1424" s="22"/>
      <c r="AV1424" s="57"/>
      <c r="AW1424" s="57"/>
      <c r="AX1424" s="70"/>
      <c r="AY1424" s="29"/>
      <c r="AZ1424" s="30"/>
      <c r="CU1424" s="55"/>
      <c r="CV1424" s="55"/>
      <c r="CW1424" s="55"/>
      <c r="CX1424" s="55"/>
      <c r="CY1424" s="55"/>
      <c r="CZ1424" s="55"/>
      <c r="DA1424" s="82"/>
      <c r="DB1424" s="55"/>
      <c r="DC1424" s="55"/>
      <c r="DD1424" s="55"/>
      <c r="DE1424" s="55"/>
      <c r="DF1424" s="55"/>
      <c r="DG1424" s="55"/>
      <c r="DH1424" s="55"/>
      <c r="DI1424" s="55"/>
      <c r="DJ1424" s="55"/>
      <c r="DK1424" s="55"/>
      <c r="DL1424" s="55"/>
      <c r="DM1424" s="55"/>
      <c r="DN1424" s="55"/>
      <c r="DO1424" s="55"/>
      <c r="DP1424" s="55"/>
      <c r="DQ1424" s="55"/>
      <c r="DR1424" s="55"/>
      <c r="DS1424" s="55"/>
      <c r="DT1424" s="55"/>
      <c r="DU1424" s="55"/>
      <c r="DV1424" s="55"/>
      <c r="DW1424" s="55"/>
    </row>
    <row r="1425">
      <c r="A1425" s="41" t="s">
        <v>64</v>
      </c>
      <c r="B1425" s="41" t="s">
        <v>56</v>
      </c>
      <c r="C1425" s="31" t="s">
        <v>1188</v>
      </c>
      <c r="D1425" s="25" t="str">
        <f>IFERROR(__xludf.DUMMYFUNCTION("SPLIT(C1425,"" "")"),"Lunceford,")</f>
        <v>Lunceford,</v>
      </c>
      <c r="E1425" s="40" t="str">
        <f>IFERROR(__xludf.DUMMYFUNCTION("""COMPUTED_VALUE"""),"Kay
4411")</f>
        <v>Kay
4411</v>
      </c>
      <c r="F1425" s="40" t="str">
        <f>IFERROR(__xludf.DUMMYFUNCTION("""COMPUTED_VALUE"""),"Williamsburg")</f>
        <v>Williamsburg</v>
      </c>
      <c r="G1425" s="40" t="str">
        <f>IFERROR(__xludf.DUMMYFUNCTION("""COMPUTED_VALUE"""),"Road
Dallas,")</f>
        <v>Road
Dallas,</v>
      </c>
      <c r="H1425" s="40" t="str">
        <f>IFERROR(__xludf.DUMMYFUNCTION("""COMPUTED_VALUE"""),"TX")</f>
        <v>TX</v>
      </c>
      <c r="I1425" s="40">
        <f>IFERROR(__xludf.DUMMYFUNCTION("""COMPUTED_VALUE"""),75220.0)</f>
        <v>75220</v>
      </c>
      <c r="J1425" s="40"/>
      <c r="K1425" s="40"/>
      <c r="L1425" s="40"/>
      <c r="M1425" s="40"/>
      <c r="N1425" s="40"/>
      <c r="O1425" s="40"/>
      <c r="P1425" s="40"/>
      <c r="Q1425" s="40"/>
      <c r="R1425" s="40"/>
      <c r="S1425" s="40"/>
      <c r="T1425" s="40"/>
      <c r="U1425" s="24" t="str">
        <f>IFERROR(__xludf.DUMMYFUNCTION("SPLIT(E1425,""01234567890"")"),"Kay
")</f>
        <v>Kay
</v>
      </c>
      <c r="V1425" s="24" t="str">
        <f>IFERROR(__xludf.DUMMYFUNCTION("SPLIT(D1425,"","")"),"Lunceford")</f>
        <v>Lunceford</v>
      </c>
      <c r="W1425" s="25" t="str">
        <f t="shared" si="1"/>
        <v>KAY
 LUNCEFORD</v>
      </c>
      <c r="X1425" s="40"/>
      <c r="Y1425" s="40"/>
      <c r="Z1425" s="25" t="str">
        <f>IFERROR(__xludf.DUMMYFUNCTION("SPLIT(C1425,""
"")"),"Lunceford, Kay")</f>
        <v>Lunceford, Kay</v>
      </c>
      <c r="AA1425" s="40" t="str">
        <f>IFERROR(__xludf.DUMMYFUNCTION("""COMPUTED_VALUE"""),"4411 Williamsburg Road")</f>
        <v>4411 Williamsburg Road</v>
      </c>
      <c r="AB1425" s="40" t="str">
        <f>IFERROR(__xludf.DUMMYFUNCTION("""COMPUTED_VALUE"""),"Dallas, TX 75220")</f>
        <v>Dallas, TX 75220</v>
      </c>
      <c r="AC1425" s="31" t="s">
        <v>1190</v>
      </c>
      <c r="AD1425" s="40"/>
      <c r="AE1425" s="40"/>
      <c r="AF1425" s="40"/>
      <c r="AG1425" s="40" t="s">
        <v>60</v>
      </c>
      <c r="AH1425" s="42">
        <v>2505.0</v>
      </c>
      <c r="AI1425" s="40" t="s">
        <v>68</v>
      </c>
      <c r="AJ1425" s="27">
        <v>250.0</v>
      </c>
      <c r="AK1425" s="31" t="s">
        <v>30</v>
      </c>
      <c r="AL1425" s="43">
        <v>44880.0</v>
      </c>
      <c r="AM1425" s="44">
        <v>44943.52300925926</v>
      </c>
      <c r="AN1425" s="30">
        <v>2.0</v>
      </c>
      <c r="AO1425" s="40"/>
      <c r="AP1425" s="40"/>
      <c r="AQ1425" s="40"/>
      <c r="AR1425" s="40"/>
      <c r="AS1425" s="40"/>
      <c r="AT1425" s="47"/>
      <c r="AU1425" s="40"/>
      <c r="AV1425" s="46"/>
      <c r="AW1425" s="46"/>
      <c r="AX1425" s="47"/>
      <c r="AY1425" s="44"/>
      <c r="AZ1425" s="30"/>
      <c r="CU1425" s="55"/>
      <c r="CV1425" s="55"/>
      <c r="CW1425" s="55"/>
      <c r="CX1425" s="55"/>
      <c r="CY1425" s="55"/>
      <c r="CZ1425" s="55"/>
      <c r="DA1425" s="82"/>
      <c r="DB1425" s="55"/>
      <c r="DC1425" s="55"/>
      <c r="DD1425" s="55"/>
      <c r="DE1425" s="55"/>
      <c r="DF1425" s="55"/>
      <c r="DG1425" s="55"/>
      <c r="DH1425" s="55"/>
      <c r="DI1425" s="55"/>
      <c r="DJ1425" s="55"/>
      <c r="DK1425" s="55"/>
      <c r="DL1425" s="55"/>
      <c r="DM1425" s="55"/>
      <c r="DN1425" s="55"/>
      <c r="DO1425" s="55"/>
      <c r="DP1425" s="55"/>
      <c r="DQ1425" s="55"/>
      <c r="DR1425" s="55"/>
      <c r="DS1425" s="55"/>
      <c r="DT1425" s="55"/>
      <c r="DU1425" s="55"/>
      <c r="DV1425" s="55"/>
      <c r="DW1425" s="55"/>
    </row>
    <row r="1426">
      <c r="A1426" s="22" t="s">
        <v>55</v>
      </c>
      <c r="B1426" s="23" t="s">
        <v>56</v>
      </c>
      <c r="C1426" s="31" t="s">
        <v>3007</v>
      </c>
      <c r="D1426" s="25" t="str">
        <f>IFERROR(__xludf.DUMMYFUNCTION("SPLIT(C1426,"" "")"),"Nugent,")</f>
        <v>Nugent,</v>
      </c>
      <c r="E1426" s="22" t="str">
        <f>IFERROR(__xludf.DUMMYFUNCTION("""COMPUTED_VALUE"""),"Jim
4717")</f>
        <v>Jim
4717</v>
      </c>
      <c r="F1426" s="22" t="str">
        <f>IFERROR(__xludf.DUMMYFUNCTION("""COMPUTED_VALUE"""),"Mill")</f>
        <v>Mill</v>
      </c>
      <c r="G1426" s="22" t="str">
        <f>IFERROR(__xludf.DUMMYFUNCTION("""COMPUTED_VALUE"""),"Run")</f>
        <v>Run</v>
      </c>
      <c r="H1426" s="22" t="str">
        <f>IFERROR(__xludf.DUMMYFUNCTION("""COMPUTED_VALUE"""),"Road
Dallas,")</f>
        <v>Road
Dallas,</v>
      </c>
      <c r="I1426" s="22" t="str">
        <f>IFERROR(__xludf.DUMMYFUNCTION("""COMPUTED_VALUE"""),"TX")</f>
        <v>TX</v>
      </c>
      <c r="J1426" s="22">
        <f>IFERROR(__xludf.DUMMYFUNCTION("""COMPUTED_VALUE"""),75244.0)</f>
        <v>75244</v>
      </c>
      <c r="K1426" s="22"/>
      <c r="L1426" s="22"/>
      <c r="M1426" s="22"/>
      <c r="N1426" s="22"/>
      <c r="O1426" s="22"/>
      <c r="P1426" s="22"/>
      <c r="Q1426" s="22"/>
      <c r="R1426" s="22"/>
      <c r="S1426" s="22"/>
      <c r="T1426" s="22"/>
      <c r="U1426" s="24" t="str">
        <f>IFERROR(__xludf.DUMMYFUNCTION("SPLIT(E1426,""01234567890"")"),"Jim
")</f>
        <v>Jim
</v>
      </c>
      <c r="V1426" s="24" t="str">
        <f>IFERROR(__xludf.DUMMYFUNCTION("SPLIT(D1426,"","")"),"Nugent")</f>
        <v>Nugent</v>
      </c>
      <c r="W1426" s="25" t="str">
        <f t="shared" si="1"/>
        <v>JIM
 NUGENT</v>
      </c>
      <c r="X1426" s="22"/>
      <c r="Y1426" s="22"/>
      <c r="Z1426" s="25" t="str">
        <f>IFERROR(__xludf.DUMMYFUNCTION("SPLIT(C1426,""
"")"),"Nugent, Jim")</f>
        <v>Nugent, Jim</v>
      </c>
      <c r="AA1426" s="22" t="str">
        <f>IFERROR(__xludf.DUMMYFUNCTION("""COMPUTED_VALUE"""),"4717 Mill Run Road")</f>
        <v>4717 Mill Run Road</v>
      </c>
      <c r="AB1426" s="22" t="str">
        <f>IFERROR(__xludf.DUMMYFUNCTION("""COMPUTED_VALUE"""),"Dallas, TX 75244")</f>
        <v>Dallas, TX 75244</v>
      </c>
      <c r="AC1426" s="31" t="s">
        <v>3008</v>
      </c>
      <c r="AD1426" s="22"/>
      <c r="AE1426" s="22"/>
      <c r="AF1426" s="22"/>
      <c r="AG1426" s="22" t="s">
        <v>60</v>
      </c>
      <c r="AH1426" s="54">
        <v>2505.0</v>
      </c>
      <c r="AI1426" s="22" t="s">
        <v>68</v>
      </c>
      <c r="AJ1426" s="27">
        <v>500.0</v>
      </c>
      <c r="AK1426" s="31" t="s">
        <v>30</v>
      </c>
      <c r="AL1426" s="28">
        <v>44880.0</v>
      </c>
      <c r="AM1426" s="29">
        <v>44943.52300925926</v>
      </c>
      <c r="AN1426" s="30">
        <v>2.0</v>
      </c>
      <c r="AO1426" s="22"/>
      <c r="AP1426" s="22"/>
      <c r="AQ1426" s="22"/>
      <c r="AR1426" s="22"/>
      <c r="AS1426" s="22"/>
      <c r="AT1426" s="70"/>
      <c r="AU1426" s="22"/>
      <c r="AV1426" s="57"/>
      <c r="AW1426" s="57"/>
      <c r="AX1426" s="70"/>
      <c r="AY1426" s="29"/>
      <c r="AZ1426" s="30"/>
      <c r="CU1426" s="55"/>
      <c r="CV1426" s="55"/>
      <c r="CW1426" s="55"/>
      <c r="CX1426" s="55"/>
      <c r="CY1426" s="55"/>
      <c r="CZ1426" s="55"/>
      <c r="DA1426" s="82"/>
      <c r="DB1426" s="55"/>
      <c r="DC1426" s="55"/>
      <c r="DD1426" s="55"/>
      <c r="DE1426" s="55"/>
      <c r="DF1426" s="55"/>
      <c r="DG1426" s="55"/>
      <c r="DH1426" s="55"/>
      <c r="DI1426" s="55"/>
      <c r="DJ1426" s="55"/>
      <c r="DK1426" s="55"/>
      <c r="DL1426" s="55"/>
      <c r="DM1426" s="55"/>
      <c r="DN1426" s="55"/>
      <c r="DO1426" s="55"/>
      <c r="DP1426" s="55"/>
      <c r="DQ1426" s="55"/>
      <c r="DR1426" s="55"/>
      <c r="DS1426" s="55"/>
      <c r="DT1426" s="55"/>
      <c r="DU1426" s="55"/>
      <c r="DV1426" s="55"/>
      <c r="DW1426" s="55"/>
    </row>
    <row r="1427">
      <c r="A1427" s="41" t="s">
        <v>64</v>
      </c>
      <c r="B1427" s="41" t="s">
        <v>56</v>
      </c>
      <c r="C1427" s="31" t="s">
        <v>3009</v>
      </c>
      <c r="D1427" s="25" t="str">
        <f>IFERROR(__xludf.DUMMYFUNCTION("SPLIT(C1427,"" "")"),"Gomez,")</f>
        <v>Gomez,</v>
      </c>
      <c r="E1427" s="40" t="str">
        <f>IFERROR(__xludf.DUMMYFUNCTION("""COMPUTED_VALUE"""),"Ty
3143")</f>
        <v>Ty
3143</v>
      </c>
      <c r="F1427" s="40" t="str">
        <f>IFERROR(__xludf.DUMMYFUNCTION("""COMPUTED_VALUE"""),"JubileeTrail
Dallas,")</f>
        <v>JubileeTrail
Dallas,</v>
      </c>
      <c r="G1427" s="40" t="str">
        <f>IFERROR(__xludf.DUMMYFUNCTION("""COMPUTED_VALUE"""),"TX")</f>
        <v>TX</v>
      </c>
      <c r="H1427" s="40">
        <f>IFERROR(__xludf.DUMMYFUNCTION("""COMPUTED_VALUE"""),75229.0)</f>
        <v>75229</v>
      </c>
      <c r="I1427" s="40"/>
      <c r="J1427" s="40"/>
      <c r="K1427" s="40"/>
      <c r="L1427" s="40"/>
      <c r="M1427" s="40"/>
      <c r="N1427" s="40"/>
      <c r="O1427" s="40"/>
      <c r="P1427" s="40"/>
      <c r="Q1427" s="40"/>
      <c r="R1427" s="40"/>
      <c r="S1427" s="40"/>
      <c r="T1427" s="40"/>
      <c r="U1427" s="24" t="str">
        <f>IFERROR(__xludf.DUMMYFUNCTION("SPLIT(E1427,""01234567890"")"),"Ty
")</f>
        <v>Ty
</v>
      </c>
      <c r="V1427" s="24" t="str">
        <f>IFERROR(__xludf.DUMMYFUNCTION("SPLIT(D1427,"","")"),"Gomez")</f>
        <v>Gomez</v>
      </c>
      <c r="W1427" s="25" t="str">
        <f t="shared" si="1"/>
        <v>TY
 GOMEZ</v>
      </c>
      <c r="X1427" s="40"/>
      <c r="Y1427" s="40"/>
      <c r="Z1427" s="25" t="str">
        <f>IFERROR(__xludf.DUMMYFUNCTION("SPLIT(C1427,""
"")"),"Gomez, Ty")</f>
        <v>Gomez, Ty</v>
      </c>
      <c r="AA1427" s="40" t="str">
        <f>IFERROR(__xludf.DUMMYFUNCTION("""COMPUTED_VALUE"""),"3143 JubileeTrail")</f>
        <v>3143 JubileeTrail</v>
      </c>
      <c r="AB1427" s="40" t="str">
        <f>IFERROR(__xludf.DUMMYFUNCTION("""COMPUTED_VALUE"""),"Dallas, TX 75229")</f>
        <v>Dallas, TX 75229</v>
      </c>
      <c r="AC1427" s="31" t="s">
        <v>3010</v>
      </c>
      <c r="AD1427" s="40"/>
      <c r="AE1427" s="40"/>
      <c r="AF1427" s="40"/>
      <c r="AG1427" s="40" t="s">
        <v>60</v>
      </c>
      <c r="AH1427" s="42">
        <v>2505.0</v>
      </c>
      <c r="AI1427" s="40" t="s">
        <v>68</v>
      </c>
      <c r="AJ1427" s="27">
        <v>500.0</v>
      </c>
      <c r="AK1427" s="31" t="s">
        <v>30</v>
      </c>
      <c r="AL1427" s="43">
        <v>44881.0</v>
      </c>
      <c r="AM1427" s="44">
        <v>44943.52300925926</v>
      </c>
      <c r="AN1427" s="30">
        <v>2.0</v>
      </c>
      <c r="AO1427" s="40"/>
      <c r="AP1427" s="40"/>
      <c r="AQ1427" s="40"/>
      <c r="AR1427" s="40"/>
      <c r="AS1427" s="40"/>
      <c r="AT1427" s="47"/>
      <c r="AU1427" s="40"/>
      <c r="AV1427" s="46"/>
      <c r="AW1427" s="46"/>
      <c r="AX1427" s="47"/>
      <c r="AY1427" s="44"/>
      <c r="AZ1427" s="30"/>
      <c r="CU1427" s="55"/>
      <c r="CV1427" s="55"/>
      <c r="CW1427" s="55"/>
      <c r="CX1427" s="55"/>
      <c r="CY1427" s="55"/>
      <c r="CZ1427" s="55"/>
      <c r="DA1427" s="82"/>
      <c r="DB1427" s="55"/>
      <c r="DC1427" s="55"/>
      <c r="DD1427" s="55"/>
      <c r="DE1427" s="55"/>
      <c r="DF1427" s="55"/>
      <c r="DG1427" s="55"/>
      <c r="DH1427" s="55"/>
      <c r="DI1427" s="55"/>
      <c r="DJ1427" s="55"/>
      <c r="DK1427" s="55"/>
      <c r="DL1427" s="55"/>
      <c r="DM1427" s="55"/>
      <c r="DN1427" s="55"/>
      <c r="DO1427" s="55"/>
      <c r="DP1427" s="55"/>
      <c r="DQ1427" s="55"/>
      <c r="DR1427" s="55"/>
      <c r="DS1427" s="55"/>
      <c r="DT1427" s="55"/>
      <c r="DU1427" s="55"/>
      <c r="DV1427" s="55"/>
      <c r="DW1427" s="55"/>
    </row>
    <row r="1428">
      <c r="A1428" s="22" t="s">
        <v>55</v>
      </c>
      <c r="B1428" s="23" t="s">
        <v>56</v>
      </c>
      <c r="C1428" s="31" t="s">
        <v>3011</v>
      </c>
      <c r="D1428" s="25" t="str">
        <f>IFERROR(__xludf.DUMMYFUNCTION("SPLIT(C1428,"" "")"),"Edmondson,")</f>
        <v>Edmondson,</v>
      </c>
      <c r="E1428" s="22" t="str">
        <f>IFERROR(__xludf.DUMMYFUNCTION("""COMPUTED_VALUE"""),"Mark
12523")</f>
        <v>Mark
12523</v>
      </c>
      <c r="F1428" s="22" t="str">
        <f>IFERROR(__xludf.DUMMYFUNCTION("""COMPUTED_VALUE"""),"Matisse")</f>
        <v>Matisse</v>
      </c>
      <c r="G1428" s="22" t="str">
        <f>IFERROR(__xludf.DUMMYFUNCTION("""COMPUTED_VALUE"""),"Ln,")</f>
        <v>Ln,</v>
      </c>
      <c r="H1428" s="22" t="str">
        <f>IFERROR(__xludf.DUMMYFUNCTION("""COMPUTED_VALUE"""),"Dallas,")</f>
        <v>Dallas,</v>
      </c>
      <c r="I1428" s="22" t="str">
        <f>IFERROR(__xludf.DUMMYFUNCTION("""COMPUTED_VALUE"""),"TX
Dallas,")</f>
        <v>TX
Dallas,</v>
      </c>
      <c r="J1428" s="22" t="str">
        <f>IFERROR(__xludf.DUMMYFUNCTION("""COMPUTED_VALUE"""),"TX")</f>
        <v>TX</v>
      </c>
      <c r="K1428" s="22">
        <f>IFERROR(__xludf.DUMMYFUNCTION("""COMPUTED_VALUE"""),75230.0)</f>
        <v>75230</v>
      </c>
      <c r="L1428" s="22"/>
      <c r="M1428" s="22"/>
      <c r="N1428" s="22"/>
      <c r="O1428" s="22"/>
      <c r="P1428" s="22"/>
      <c r="Q1428" s="22"/>
      <c r="R1428" s="22"/>
      <c r="S1428" s="22"/>
      <c r="T1428" s="22"/>
      <c r="U1428" s="24" t="str">
        <f>IFERROR(__xludf.DUMMYFUNCTION("SPLIT(E1428,""01234567890"")"),"Mark
")</f>
        <v>Mark
</v>
      </c>
      <c r="V1428" s="24" t="str">
        <f>IFERROR(__xludf.DUMMYFUNCTION("SPLIT(D1428,"","")"),"Edmondson")</f>
        <v>Edmondson</v>
      </c>
      <c r="W1428" s="25" t="str">
        <f t="shared" si="1"/>
        <v>MARK
 EDMONDSON</v>
      </c>
      <c r="X1428" s="22"/>
      <c r="Y1428" s="22"/>
      <c r="Z1428" s="25" t="str">
        <f>IFERROR(__xludf.DUMMYFUNCTION("SPLIT(C1428,""
"")"),"Edmondson, Mark")</f>
        <v>Edmondson, Mark</v>
      </c>
      <c r="AA1428" s="22" t="str">
        <f>IFERROR(__xludf.DUMMYFUNCTION("""COMPUTED_VALUE"""),"12523 Matisse Ln, Dallas, TX")</f>
        <v>12523 Matisse Ln, Dallas, TX</v>
      </c>
      <c r="AB1428" s="22" t="str">
        <f>IFERROR(__xludf.DUMMYFUNCTION("""COMPUTED_VALUE"""),"Dallas, TX 75230")</f>
        <v>Dallas, TX 75230</v>
      </c>
      <c r="AC1428" s="31" t="s">
        <v>1233</v>
      </c>
      <c r="AD1428" s="22"/>
      <c r="AE1428" s="22"/>
      <c r="AF1428" s="22"/>
      <c r="AG1428" s="22" t="s">
        <v>60</v>
      </c>
      <c r="AH1428" s="54">
        <v>2505.0</v>
      </c>
      <c r="AI1428" s="22" t="s">
        <v>68</v>
      </c>
      <c r="AJ1428" s="27">
        <v>200.0</v>
      </c>
      <c r="AK1428" s="31" t="s">
        <v>30</v>
      </c>
      <c r="AL1428" s="28">
        <v>44881.0</v>
      </c>
      <c r="AM1428" s="29">
        <v>44943.52300925926</v>
      </c>
      <c r="AN1428" s="30">
        <v>2.0</v>
      </c>
      <c r="AO1428" s="22"/>
      <c r="AP1428" s="22"/>
      <c r="AQ1428" s="22"/>
      <c r="AR1428" s="22"/>
      <c r="AS1428" s="22"/>
      <c r="AT1428" s="70"/>
      <c r="AU1428" s="22"/>
      <c r="AV1428" s="57"/>
      <c r="AW1428" s="57"/>
      <c r="AX1428" s="70"/>
      <c r="AY1428" s="29"/>
      <c r="AZ1428" s="30"/>
      <c r="CU1428" s="55"/>
      <c r="CV1428" s="55"/>
      <c r="CW1428" s="55"/>
      <c r="CX1428" s="55"/>
      <c r="CY1428" s="55"/>
      <c r="CZ1428" s="55"/>
      <c r="DA1428" s="82"/>
      <c r="DB1428" s="55"/>
      <c r="DC1428" s="55"/>
      <c r="DD1428" s="55"/>
      <c r="DE1428" s="55"/>
      <c r="DF1428" s="55"/>
      <c r="DG1428" s="55"/>
      <c r="DH1428" s="55"/>
      <c r="DI1428" s="55"/>
      <c r="DJ1428" s="55"/>
      <c r="DK1428" s="55"/>
      <c r="DL1428" s="55"/>
      <c r="DM1428" s="55"/>
      <c r="DN1428" s="55"/>
      <c r="DO1428" s="55"/>
      <c r="DP1428" s="55"/>
      <c r="DQ1428" s="55"/>
      <c r="DR1428" s="55"/>
      <c r="DS1428" s="55"/>
      <c r="DT1428" s="55"/>
      <c r="DU1428" s="55"/>
      <c r="DV1428" s="55"/>
      <c r="DW1428" s="55"/>
    </row>
    <row r="1429">
      <c r="A1429" s="41" t="s">
        <v>64</v>
      </c>
      <c r="B1429" s="41" t="s">
        <v>56</v>
      </c>
      <c r="C1429" s="31" t="s">
        <v>3012</v>
      </c>
      <c r="D1429" s="25" t="str">
        <f>IFERROR(__xludf.DUMMYFUNCTION("SPLIT(C1429,"" "")"),"Carafiol,")</f>
        <v>Carafiol,</v>
      </c>
      <c r="E1429" s="40" t="str">
        <f>IFERROR(__xludf.DUMMYFUNCTION("""COMPUTED_VALUE"""),"Robin
4630")</f>
        <v>Robin
4630</v>
      </c>
      <c r="F1429" s="40" t="str">
        <f>IFERROR(__xludf.DUMMYFUNCTION("""COMPUTED_VALUE"""),"Gulfstream")</f>
        <v>Gulfstream</v>
      </c>
      <c r="G1429" s="40" t="str">
        <f>IFERROR(__xludf.DUMMYFUNCTION("""COMPUTED_VALUE"""),"Drive
Dallas,")</f>
        <v>Drive
Dallas,</v>
      </c>
      <c r="H1429" s="40" t="str">
        <f>IFERROR(__xludf.DUMMYFUNCTION("""COMPUTED_VALUE"""),"TX")</f>
        <v>TX</v>
      </c>
      <c r="I1429" s="40">
        <f>IFERROR(__xludf.DUMMYFUNCTION("""COMPUTED_VALUE"""),75244.0)</f>
        <v>75244</v>
      </c>
      <c r="J1429" s="40"/>
      <c r="K1429" s="40"/>
      <c r="L1429" s="40"/>
      <c r="M1429" s="40"/>
      <c r="N1429" s="40"/>
      <c r="O1429" s="40"/>
      <c r="P1429" s="40"/>
      <c r="Q1429" s="40"/>
      <c r="R1429" s="40"/>
      <c r="S1429" s="40"/>
      <c r="T1429" s="40"/>
      <c r="U1429" s="24" t="str">
        <f>IFERROR(__xludf.DUMMYFUNCTION("SPLIT(E1429,""01234567890"")"),"Robin
")</f>
        <v>Robin
</v>
      </c>
      <c r="V1429" s="24" t="str">
        <f>IFERROR(__xludf.DUMMYFUNCTION("SPLIT(D1429,"","")"),"Carafiol")</f>
        <v>Carafiol</v>
      </c>
      <c r="W1429" s="25" t="str">
        <f t="shared" si="1"/>
        <v>ROBIN
 CARAFIOL</v>
      </c>
      <c r="X1429" s="40"/>
      <c r="Y1429" s="40"/>
      <c r="Z1429" s="25" t="str">
        <f>IFERROR(__xludf.DUMMYFUNCTION("SPLIT(C1429,""
"")"),"Carafiol, Robin")</f>
        <v>Carafiol, Robin</v>
      </c>
      <c r="AA1429" s="40" t="str">
        <f>IFERROR(__xludf.DUMMYFUNCTION("""COMPUTED_VALUE"""),"4630 Gulfstream Drive")</f>
        <v>4630 Gulfstream Drive</v>
      </c>
      <c r="AB1429" s="40" t="str">
        <f>IFERROR(__xludf.DUMMYFUNCTION("""COMPUTED_VALUE"""),"Dallas, TX 75244")</f>
        <v>Dallas, TX 75244</v>
      </c>
      <c r="AC1429" s="31" t="s">
        <v>3013</v>
      </c>
      <c r="AD1429" s="40"/>
      <c r="AE1429" s="40"/>
      <c r="AF1429" s="40"/>
      <c r="AG1429" s="40" t="s">
        <v>60</v>
      </c>
      <c r="AH1429" s="42">
        <v>2505.0</v>
      </c>
      <c r="AI1429" s="40" t="s">
        <v>68</v>
      </c>
      <c r="AJ1429" s="27">
        <v>100.0</v>
      </c>
      <c r="AK1429" s="31" t="s">
        <v>30</v>
      </c>
      <c r="AL1429" s="43">
        <v>44881.0</v>
      </c>
      <c r="AM1429" s="44">
        <v>44943.52300925926</v>
      </c>
      <c r="AN1429" s="30">
        <v>2.0</v>
      </c>
      <c r="AO1429" s="40"/>
      <c r="AP1429" s="40"/>
      <c r="AQ1429" s="40"/>
      <c r="AR1429" s="40"/>
      <c r="AS1429" s="40"/>
      <c r="AT1429" s="47"/>
      <c r="AU1429" s="40"/>
      <c r="AV1429" s="46"/>
      <c r="AW1429" s="46"/>
      <c r="AX1429" s="47"/>
      <c r="AY1429" s="44"/>
      <c r="AZ1429" s="30"/>
      <c r="CU1429" s="55"/>
      <c r="CV1429" s="55"/>
      <c r="CW1429" s="55"/>
      <c r="CX1429" s="55"/>
      <c r="CY1429" s="55"/>
      <c r="CZ1429" s="55"/>
      <c r="DA1429" s="82"/>
      <c r="DB1429" s="55"/>
      <c r="DC1429" s="55"/>
      <c r="DD1429" s="55"/>
      <c r="DE1429" s="55"/>
      <c r="DF1429" s="55"/>
      <c r="DG1429" s="55"/>
      <c r="DH1429" s="55"/>
      <c r="DI1429" s="55"/>
      <c r="DJ1429" s="55"/>
      <c r="DK1429" s="55"/>
      <c r="DL1429" s="55"/>
      <c r="DM1429" s="55"/>
      <c r="DN1429" s="55"/>
      <c r="DO1429" s="55"/>
      <c r="DP1429" s="55"/>
      <c r="DQ1429" s="55"/>
      <c r="DR1429" s="55"/>
      <c r="DS1429" s="55"/>
      <c r="DT1429" s="55"/>
      <c r="DU1429" s="55"/>
      <c r="DV1429" s="55"/>
      <c r="DW1429" s="55"/>
    </row>
    <row r="1430">
      <c r="A1430" s="22" t="s">
        <v>55</v>
      </c>
      <c r="B1430" s="23" t="s">
        <v>56</v>
      </c>
      <c r="C1430" s="31" t="s">
        <v>3014</v>
      </c>
      <c r="D1430" s="25" t="str">
        <f>IFERROR(__xludf.DUMMYFUNCTION("SPLIT(C1430,"" "")"),"McGovern,")</f>
        <v>McGovern,</v>
      </c>
      <c r="E1430" s="22" t="str">
        <f>IFERROR(__xludf.DUMMYFUNCTION("""COMPUTED_VALUE"""),"Katherine
4364")</f>
        <v>Katherine
4364</v>
      </c>
      <c r="F1430" s="22" t="str">
        <f>IFERROR(__xludf.DUMMYFUNCTION("""COMPUTED_VALUE"""),"Royal")</f>
        <v>Royal</v>
      </c>
      <c r="G1430" s="22" t="str">
        <f>IFERROR(__xludf.DUMMYFUNCTION("""COMPUTED_VALUE"""),"Ridge")</f>
        <v>Ridge</v>
      </c>
      <c r="H1430" s="22" t="str">
        <f>IFERROR(__xludf.DUMMYFUNCTION("""COMPUTED_VALUE"""),"Drive
Dallas,")</f>
        <v>Drive
Dallas,</v>
      </c>
      <c r="I1430" s="22" t="str">
        <f>IFERROR(__xludf.DUMMYFUNCTION("""COMPUTED_VALUE"""),"TX")</f>
        <v>TX</v>
      </c>
      <c r="J1430" s="22">
        <f>IFERROR(__xludf.DUMMYFUNCTION("""COMPUTED_VALUE"""),75229.0)</f>
        <v>75229</v>
      </c>
      <c r="K1430" s="22"/>
      <c r="L1430" s="22"/>
      <c r="M1430" s="22"/>
      <c r="N1430" s="22"/>
      <c r="O1430" s="22"/>
      <c r="P1430" s="22"/>
      <c r="Q1430" s="22"/>
      <c r="R1430" s="22"/>
      <c r="S1430" s="22"/>
      <c r="T1430" s="22"/>
      <c r="U1430" s="24" t="str">
        <f>IFERROR(__xludf.DUMMYFUNCTION("SPLIT(E1430,""01234567890"")"),"Katherine
")</f>
        <v>Katherine
</v>
      </c>
      <c r="V1430" s="24" t="str">
        <f>IFERROR(__xludf.DUMMYFUNCTION("SPLIT(D1430,"","")"),"McGovern")</f>
        <v>McGovern</v>
      </c>
      <c r="W1430" s="25" t="str">
        <f t="shared" si="1"/>
        <v>KATHERINE
 MCGOVERN</v>
      </c>
      <c r="X1430" s="22"/>
      <c r="Y1430" s="22"/>
      <c r="Z1430" s="25" t="str">
        <f>IFERROR(__xludf.DUMMYFUNCTION("SPLIT(C1430,""
"")"),"McGovern, Katherine")</f>
        <v>McGovern, Katherine</v>
      </c>
      <c r="AA1430" s="22" t="str">
        <f>IFERROR(__xludf.DUMMYFUNCTION("""COMPUTED_VALUE"""),"4364 Royal Ridge Drive")</f>
        <v>4364 Royal Ridge Drive</v>
      </c>
      <c r="AB1430" s="22" t="str">
        <f>IFERROR(__xludf.DUMMYFUNCTION("""COMPUTED_VALUE"""),"Dallas, TX 75229")</f>
        <v>Dallas, TX 75229</v>
      </c>
      <c r="AC1430" s="31" t="s">
        <v>3015</v>
      </c>
      <c r="AD1430" s="22"/>
      <c r="AE1430" s="22"/>
      <c r="AF1430" s="22"/>
      <c r="AG1430" s="22" t="s">
        <v>60</v>
      </c>
      <c r="AH1430" s="54">
        <v>2505.0</v>
      </c>
      <c r="AI1430" s="22" t="s">
        <v>68</v>
      </c>
      <c r="AJ1430" s="27">
        <v>100.0</v>
      </c>
      <c r="AK1430" s="31" t="s">
        <v>30</v>
      </c>
      <c r="AL1430" s="28">
        <v>44883.0</v>
      </c>
      <c r="AM1430" s="29">
        <v>44943.52300925926</v>
      </c>
      <c r="AN1430" s="30">
        <v>2.0</v>
      </c>
      <c r="AO1430" s="22"/>
      <c r="AP1430" s="22"/>
      <c r="AQ1430" s="22"/>
      <c r="AR1430" s="22"/>
      <c r="AS1430" s="22"/>
      <c r="AT1430" s="70"/>
      <c r="AU1430" s="22"/>
      <c r="AV1430" s="57"/>
      <c r="AW1430" s="57"/>
      <c r="AX1430" s="70"/>
      <c r="AY1430" s="29"/>
      <c r="AZ1430" s="30"/>
      <c r="CU1430" s="55"/>
      <c r="CV1430" s="55"/>
      <c r="CW1430" s="55"/>
      <c r="CX1430" s="55"/>
      <c r="CY1430" s="55"/>
      <c r="CZ1430" s="55"/>
      <c r="DA1430" s="82"/>
      <c r="DB1430" s="55"/>
      <c r="DC1430" s="55"/>
      <c r="DD1430" s="55"/>
      <c r="DE1430" s="55"/>
      <c r="DF1430" s="55"/>
      <c r="DG1430" s="55"/>
      <c r="DH1430" s="55"/>
      <c r="DI1430" s="55"/>
      <c r="DJ1430" s="55"/>
      <c r="DK1430" s="55"/>
      <c r="DL1430" s="55"/>
      <c r="DM1430" s="55"/>
      <c r="DN1430" s="55"/>
      <c r="DO1430" s="55"/>
      <c r="DP1430" s="55"/>
      <c r="DQ1430" s="55"/>
      <c r="DR1430" s="55"/>
      <c r="DS1430" s="55"/>
      <c r="DT1430" s="55"/>
      <c r="DU1430" s="55"/>
      <c r="DV1430" s="55"/>
      <c r="DW1430" s="55"/>
    </row>
    <row r="1431">
      <c r="A1431" s="41" t="s">
        <v>64</v>
      </c>
      <c r="B1431" s="41" t="s">
        <v>56</v>
      </c>
      <c r="C1431" s="31" t="s">
        <v>3016</v>
      </c>
      <c r="D1431" s="25" t="str">
        <f>IFERROR(__xludf.DUMMYFUNCTION("SPLIT(C1431,"" "")"),"Minic,")</f>
        <v>Minic,</v>
      </c>
      <c r="E1431" s="40" t="str">
        <f>IFERROR(__xludf.DUMMYFUNCTION("""COMPUTED_VALUE"""),"Bo
6152")</f>
        <v>Bo
6152</v>
      </c>
      <c r="F1431" s="40" t="str">
        <f>IFERROR(__xludf.DUMMYFUNCTION("""COMPUTED_VALUE"""),"Summer")</f>
        <v>Summer</v>
      </c>
      <c r="G1431" s="40" t="str">
        <f>IFERROR(__xludf.DUMMYFUNCTION("""COMPUTED_VALUE"""),"Creek")</f>
        <v>Creek</v>
      </c>
      <c r="H1431" s="40" t="str">
        <f>IFERROR(__xludf.DUMMYFUNCTION("""COMPUTED_VALUE"""),"Circle
Dallas,")</f>
        <v>Circle
Dallas,</v>
      </c>
      <c r="I1431" s="40" t="str">
        <f>IFERROR(__xludf.DUMMYFUNCTION("""COMPUTED_VALUE"""),"TX")</f>
        <v>TX</v>
      </c>
      <c r="J1431" s="40">
        <f>IFERROR(__xludf.DUMMYFUNCTION("""COMPUTED_VALUE"""),75231.0)</f>
        <v>75231</v>
      </c>
      <c r="K1431" s="40"/>
      <c r="L1431" s="40"/>
      <c r="M1431" s="40"/>
      <c r="N1431" s="40"/>
      <c r="O1431" s="40"/>
      <c r="P1431" s="40"/>
      <c r="Q1431" s="40"/>
      <c r="R1431" s="40"/>
      <c r="S1431" s="40"/>
      <c r="T1431" s="40"/>
      <c r="U1431" s="24" t="str">
        <f>IFERROR(__xludf.DUMMYFUNCTION("SPLIT(E1431,""01234567890"")"),"Bo
")</f>
        <v>Bo
</v>
      </c>
      <c r="V1431" s="24" t="str">
        <f>IFERROR(__xludf.DUMMYFUNCTION("SPLIT(D1431,"","")"),"Minic")</f>
        <v>Minic</v>
      </c>
      <c r="W1431" s="25" t="str">
        <f t="shared" si="1"/>
        <v>BO
 MINIC</v>
      </c>
      <c r="X1431" s="40"/>
      <c r="Y1431" s="40"/>
      <c r="Z1431" s="25" t="str">
        <f>IFERROR(__xludf.DUMMYFUNCTION("SPLIT(C1431,""
"")"),"Minic, Bo")</f>
        <v>Minic, Bo</v>
      </c>
      <c r="AA1431" s="40" t="str">
        <f>IFERROR(__xludf.DUMMYFUNCTION("""COMPUTED_VALUE"""),"6152 Summer Creek Circle")</f>
        <v>6152 Summer Creek Circle</v>
      </c>
      <c r="AB1431" s="40" t="str">
        <f>IFERROR(__xludf.DUMMYFUNCTION("""COMPUTED_VALUE"""),"Dallas, TX 75231")</f>
        <v>Dallas, TX 75231</v>
      </c>
      <c r="AC1431" s="31" t="s">
        <v>1202</v>
      </c>
      <c r="AD1431" s="40"/>
      <c r="AE1431" s="40"/>
      <c r="AF1431" s="40"/>
      <c r="AG1431" s="40" t="s">
        <v>60</v>
      </c>
      <c r="AH1431" s="42">
        <v>2505.0</v>
      </c>
      <c r="AI1431" s="40" t="s">
        <v>68</v>
      </c>
      <c r="AJ1431" s="27">
        <v>10.0</v>
      </c>
      <c r="AK1431" s="31" t="s">
        <v>30</v>
      </c>
      <c r="AL1431" s="43">
        <v>44883.0</v>
      </c>
      <c r="AM1431" s="44">
        <v>44943.52300925926</v>
      </c>
      <c r="AN1431" s="30">
        <v>2.0</v>
      </c>
      <c r="AO1431" s="40"/>
      <c r="AP1431" s="40"/>
      <c r="AQ1431" s="40"/>
      <c r="AR1431" s="40"/>
      <c r="AS1431" s="40"/>
      <c r="AT1431" s="47"/>
      <c r="AU1431" s="40"/>
      <c r="AV1431" s="46"/>
      <c r="AW1431" s="46"/>
      <c r="AX1431" s="47"/>
      <c r="AY1431" s="44"/>
      <c r="AZ1431" s="30"/>
      <c r="CU1431" s="55"/>
      <c r="CV1431" s="55"/>
      <c r="CW1431" s="55"/>
      <c r="CX1431" s="55"/>
      <c r="CY1431" s="55"/>
      <c r="CZ1431" s="55"/>
      <c r="DA1431" s="82"/>
      <c r="DB1431" s="55"/>
      <c r="DC1431" s="55"/>
      <c r="DD1431" s="55"/>
      <c r="DE1431" s="55"/>
      <c r="DF1431" s="55"/>
      <c r="DG1431" s="55"/>
      <c r="DH1431" s="55"/>
      <c r="DI1431" s="55"/>
      <c r="DJ1431" s="55"/>
      <c r="DK1431" s="55"/>
      <c r="DL1431" s="55"/>
      <c r="DM1431" s="55"/>
      <c r="DN1431" s="55"/>
      <c r="DO1431" s="55"/>
      <c r="DP1431" s="55"/>
      <c r="DQ1431" s="55"/>
      <c r="DR1431" s="55"/>
      <c r="DS1431" s="55"/>
      <c r="DT1431" s="55"/>
      <c r="DU1431" s="55"/>
      <c r="DV1431" s="55"/>
      <c r="DW1431" s="55"/>
    </row>
    <row r="1432">
      <c r="A1432" s="22" t="s">
        <v>55</v>
      </c>
      <c r="B1432" s="23" t="s">
        <v>56</v>
      </c>
      <c r="C1432" s="31" t="s">
        <v>3017</v>
      </c>
      <c r="D1432" s="25" t="str">
        <f>IFERROR(__xludf.DUMMYFUNCTION("SPLIT(C1432,"" "")"),"Bradford,")</f>
        <v>Bradford,</v>
      </c>
      <c r="E1432" s="22" t="str">
        <f>IFERROR(__xludf.DUMMYFUNCTION("""COMPUTED_VALUE"""),"Heather
3220")</f>
        <v>Heather
3220</v>
      </c>
      <c r="F1432" s="22" t="str">
        <f>IFERROR(__xludf.DUMMYFUNCTION("""COMPUTED_VALUE"""),"Lakenheath")</f>
        <v>Lakenheath</v>
      </c>
      <c r="G1432" s="22" t="str">
        <f>IFERROR(__xludf.DUMMYFUNCTION("""COMPUTED_VALUE"""),"Pl
Dallas,")</f>
        <v>Pl
Dallas,</v>
      </c>
      <c r="H1432" s="22" t="str">
        <f>IFERROR(__xludf.DUMMYFUNCTION("""COMPUTED_VALUE"""),"TX")</f>
        <v>TX</v>
      </c>
      <c r="I1432" s="22">
        <f>IFERROR(__xludf.DUMMYFUNCTION("""COMPUTED_VALUE"""),75204.0)</f>
        <v>75204</v>
      </c>
      <c r="J1432" s="22"/>
      <c r="K1432" s="22"/>
      <c r="L1432" s="22"/>
      <c r="M1432" s="22"/>
      <c r="N1432" s="22"/>
      <c r="O1432" s="22"/>
      <c r="P1432" s="22"/>
      <c r="Q1432" s="22"/>
      <c r="R1432" s="22"/>
      <c r="S1432" s="22"/>
      <c r="T1432" s="22"/>
      <c r="U1432" s="24" t="str">
        <f>IFERROR(__xludf.DUMMYFUNCTION("SPLIT(E1432,""01234567890"")"),"Heather
")</f>
        <v>Heather
</v>
      </c>
      <c r="V1432" s="24" t="str">
        <f>IFERROR(__xludf.DUMMYFUNCTION("SPLIT(D1432,"","")"),"Bradford")</f>
        <v>Bradford</v>
      </c>
      <c r="W1432" s="25" t="str">
        <f t="shared" si="1"/>
        <v>HEATHER
 BRADFORD</v>
      </c>
      <c r="X1432" s="22"/>
      <c r="Y1432" s="22"/>
      <c r="Z1432" s="25" t="str">
        <f>IFERROR(__xludf.DUMMYFUNCTION("SPLIT(C1432,""
"")"),"Bradford, Heather")</f>
        <v>Bradford, Heather</v>
      </c>
      <c r="AA1432" s="22" t="str">
        <f>IFERROR(__xludf.DUMMYFUNCTION("""COMPUTED_VALUE"""),"3220 Lakenheath Pl")</f>
        <v>3220 Lakenheath Pl</v>
      </c>
      <c r="AB1432" s="22" t="str">
        <f>IFERROR(__xludf.DUMMYFUNCTION("""COMPUTED_VALUE"""),"Dallas, TX 75204")</f>
        <v>Dallas, TX 75204</v>
      </c>
      <c r="AC1432" s="31" t="s">
        <v>3018</v>
      </c>
      <c r="AD1432" s="22"/>
      <c r="AE1432" s="22"/>
      <c r="AF1432" s="22"/>
      <c r="AG1432" s="22" t="s">
        <v>60</v>
      </c>
      <c r="AH1432" s="54">
        <v>2505.0</v>
      </c>
      <c r="AI1432" s="22" t="s">
        <v>68</v>
      </c>
      <c r="AJ1432" s="27">
        <v>50.0</v>
      </c>
      <c r="AK1432" s="31" t="s">
        <v>30</v>
      </c>
      <c r="AL1432" s="28">
        <v>44884.0</v>
      </c>
      <c r="AM1432" s="29">
        <v>44943.52300925926</v>
      </c>
      <c r="AN1432" s="30">
        <v>2.0</v>
      </c>
      <c r="AO1432" s="22"/>
      <c r="AP1432" s="22"/>
      <c r="AQ1432" s="22"/>
      <c r="AR1432" s="22"/>
      <c r="AS1432" s="22"/>
      <c r="AT1432" s="70"/>
      <c r="AU1432" s="22"/>
      <c r="AV1432" s="57"/>
      <c r="AW1432" s="57"/>
      <c r="AX1432" s="70"/>
      <c r="AY1432" s="29"/>
      <c r="AZ1432" s="30"/>
      <c r="CU1432" s="55"/>
      <c r="CV1432" s="55"/>
      <c r="CW1432" s="55"/>
      <c r="CX1432" s="55"/>
      <c r="CY1432" s="55"/>
      <c r="CZ1432" s="55"/>
      <c r="DA1432" s="82"/>
      <c r="DB1432" s="55"/>
      <c r="DC1432" s="55"/>
      <c r="DD1432" s="55"/>
      <c r="DE1432" s="55"/>
      <c r="DF1432" s="55"/>
      <c r="DG1432" s="55"/>
      <c r="DH1432" s="55"/>
      <c r="DI1432" s="55"/>
      <c r="DJ1432" s="55"/>
      <c r="DK1432" s="55"/>
      <c r="DL1432" s="55"/>
      <c r="DM1432" s="55"/>
      <c r="DN1432" s="55"/>
      <c r="DO1432" s="55"/>
      <c r="DP1432" s="55"/>
      <c r="DQ1432" s="55"/>
      <c r="DR1432" s="55"/>
      <c r="DS1432" s="55"/>
      <c r="DT1432" s="55"/>
      <c r="DU1432" s="55"/>
      <c r="DV1432" s="55"/>
      <c r="DW1432" s="55"/>
    </row>
    <row r="1433">
      <c r="A1433" s="41" t="s">
        <v>64</v>
      </c>
      <c r="B1433" s="41" t="s">
        <v>56</v>
      </c>
      <c r="C1433" s="31" t="s">
        <v>3019</v>
      </c>
      <c r="D1433" s="25" t="str">
        <f>IFERROR(__xludf.DUMMYFUNCTION("SPLIT(C1433,"" "")"),"Garcia,")</f>
        <v>Garcia,</v>
      </c>
      <c r="E1433" s="40" t="str">
        <f>IFERROR(__xludf.DUMMYFUNCTION("""COMPUTED_VALUE"""),"Catalina
10455")</f>
        <v>Catalina
10455</v>
      </c>
      <c r="F1433" s="40" t="str">
        <f>IFERROR(__xludf.DUMMYFUNCTION("""COMPUTED_VALUE"""),"N.")</f>
        <v>N.</v>
      </c>
      <c r="G1433" s="40" t="str">
        <f>IFERROR(__xludf.DUMMYFUNCTION("""COMPUTED_VALUE"""),"Central")</f>
        <v>Central</v>
      </c>
      <c r="H1433" s="40" t="str">
        <f>IFERROR(__xludf.DUMMYFUNCTION("""COMPUTED_VALUE"""),"Expressway
Dallas,")</f>
        <v>Expressway
Dallas,</v>
      </c>
      <c r="I1433" s="40" t="str">
        <f>IFERROR(__xludf.DUMMYFUNCTION("""COMPUTED_VALUE"""),"TX")</f>
        <v>TX</v>
      </c>
      <c r="J1433" s="40">
        <f>IFERROR(__xludf.DUMMYFUNCTION("""COMPUTED_VALUE"""),75231.0)</f>
        <v>75231</v>
      </c>
      <c r="K1433" s="40"/>
      <c r="L1433" s="40"/>
      <c r="M1433" s="40"/>
      <c r="N1433" s="40"/>
      <c r="O1433" s="40"/>
      <c r="P1433" s="40"/>
      <c r="Q1433" s="40"/>
      <c r="R1433" s="40"/>
      <c r="S1433" s="40"/>
      <c r="T1433" s="40"/>
      <c r="U1433" s="24" t="str">
        <f>IFERROR(__xludf.DUMMYFUNCTION("SPLIT(E1433,""01234567890"")"),"Catalina
")</f>
        <v>Catalina
</v>
      </c>
      <c r="V1433" s="24" t="str">
        <f>IFERROR(__xludf.DUMMYFUNCTION("SPLIT(D1433,"","")"),"Garcia")</f>
        <v>Garcia</v>
      </c>
      <c r="W1433" s="25" t="str">
        <f t="shared" si="1"/>
        <v>CATALINA
 GARCIA</v>
      </c>
      <c r="X1433" s="40"/>
      <c r="Y1433" s="40"/>
      <c r="Z1433" s="25" t="str">
        <f>IFERROR(__xludf.DUMMYFUNCTION("SPLIT(C1433,""
"")"),"Garcia, Catalina")</f>
        <v>Garcia, Catalina</v>
      </c>
      <c r="AA1433" s="40" t="str">
        <f>IFERROR(__xludf.DUMMYFUNCTION("""COMPUTED_VALUE"""),"10455 N. Central Expressway")</f>
        <v>10455 N. Central Expressway</v>
      </c>
      <c r="AB1433" s="40" t="str">
        <f>IFERROR(__xludf.DUMMYFUNCTION("""COMPUTED_VALUE"""),"Dallas, TX 75231")</f>
        <v>Dallas, TX 75231</v>
      </c>
      <c r="AC1433" s="31" t="s">
        <v>3020</v>
      </c>
      <c r="AD1433" s="40"/>
      <c r="AE1433" s="40"/>
      <c r="AF1433" s="40"/>
      <c r="AG1433" s="40" t="s">
        <v>60</v>
      </c>
      <c r="AH1433" s="42">
        <v>2505.0</v>
      </c>
      <c r="AI1433" s="40" t="s">
        <v>68</v>
      </c>
      <c r="AJ1433" s="27">
        <v>50.0</v>
      </c>
      <c r="AK1433" s="31" t="s">
        <v>30</v>
      </c>
      <c r="AL1433" s="43">
        <v>44886.0</v>
      </c>
      <c r="AM1433" s="44">
        <v>44943.52300925926</v>
      </c>
      <c r="AN1433" s="30">
        <v>2.0</v>
      </c>
      <c r="AO1433" s="40"/>
      <c r="AP1433" s="40"/>
      <c r="AQ1433" s="40"/>
      <c r="AR1433" s="40"/>
      <c r="AS1433" s="40"/>
      <c r="AT1433" s="47"/>
      <c r="AU1433" s="40"/>
      <c r="AV1433" s="46"/>
      <c r="AW1433" s="46"/>
      <c r="AX1433" s="47"/>
      <c r="AY1433" s="44"/>
      <c r="AZ1433" s="30"/>
      <c r="CU1433" s="55"/>
      <c r="CV1433" s="55"/>
      <c r="CW1433" s="55"/>
      <c r="CX1433" s="55"/>
      <c r="CY1433" s="55"/>
      <c r="CZ1433" s="55"/>
      <c r="DA1433" s="82"/>
      <c r="DB1433" s="55"/>
      <c r="DC1433" s="55"/>
      <c r="DD1433" s="55"/>
      <c r="DE1433" s="55"/>
      <c r="DF1433" s="55"/>
      <c r="DG1433" s="55"/>
      <c r="DH1433" s="55"/>
      <c r="DI1433" s="55"/>
      <c r="DJ1433" s="55"/>
      <c r="DK1433" s="55"/>
      <c r="DL1433" s="55"/>
      <c r="DM1433" s="55"/>
      <c r="DN1433" s="55"/>
      <c r="DO1433" s="55"/>
      <c r="DP1433" s="55"/>
      <c r="DQ1433" s="55"/>
      <c r="DR1433" s="55"/>
      <c r="DS1433" s="55"/>
      <c r="DT1433" s="55"/>
      <c r="DU1433" s="55"/>
      <c r="DV1433" s="55"/>
      <c r="DW1433" s="55"/>
    </row>
    <row r="1434">
      <c r="A1434" s="22" t="s">
        <v>55</v>
      </c>
      <c r="B1434" s="23" t="s">
        <v>56</v>
      </c>
      <c r="C1434" s="31" t="s">
        <v>3021</v>
      </c>
      <c r="D1434" s="25" t="str">
        <f>IFERROR(__xludf.DUMMYFUNCTION("SPLIT(C1434,"" "")"),"Orr,")</f>
        <v>Orr,</v>
      </c>
      <c r="E1434" s="22" t="str">
        <f>IFERROR(__xludf.DUMMYFUNCTION("""COMPUTED_VALUE"""),"Bruce
5639")</f>
        <v>Bruce
5639</v>
      </c>
      <c r="F1434" s="22" t="str">
        <f>IFERROR(__xludf.DUMMYFUNCTION("""COMPUTED_VALUE"""),"Willow")</f>
        <v>Willow</v>
      </c>
      <c r="G1434" s="22" t="str">
        <f>IFERROR(__xludf.DUMMYFUNCTION("""COMPUTED_VALUE"""),"Lane
Dallas,")</f>
        <v>Lane
Dallas,</v>
      </c>
      <c r="H1434" s="22" t="str">
        <f>IFERROR(__xludf.DUMMYFUNCTION("""COMPUTED_VALUE"""),"TX")</f>
        <v>TX</v>
      </c>
      <c r="I1434" s="22">
        <f>IFERROR(__xludf.DUMMYFUNCTION("""COMPUTED_VALUE"""),75230.0)</f>
        <v>75230</v>
      </c>
      <c r="J1434" s="22"/>
      <c r="K1434" s="22"/>
      <c r="L1434" s="22"/>
      <c r="M1434" s="22"/>
      <c r="N1434" s="22"/>
      <c r="O1434" s="22"/>
      <c r="P1434" s="22"/>
      <c r="Q1434" s="22"/>
      <c r="R1434" s="22"/>
      <c r="S1434" s="22"/>
      <c r="T1434" s="22"/>
      <c r="U1434" s="24" t="str">
        <f>IFERROR(__xludf.DUMMYFUNCTION("SPLIT(E1434,""01234567890"")"),"Bruce
")</f>
        <v>Bruce
</v>
      </c>
      <c r="V1434" s="24" t="str">
        <f>IFERROR(__xludf.DUMMYFUNCTION("SPLIT(D1434,"","")"),"Orr")</f>
        <v>Orr</v>
      </c>
      <c r="W1434" s="25" t="str">
        <f t="shared" si="1"/>
        <v>BRUCE
 ORR</v>
      </c>
      <c r="X1434" s="22"/>
      <c r="Y1434" s="22"/>
      <c r="Z1434" s="25" t="str">
        <f>IFERROR(__xludf.DUMMYFUNCTION("SPLIT(C1434,""
"")"),"Orr, Bruce")</f>
        <v>Orr, Bruce</v>
      </c>
      <c r="AA1434" s="22" t="str">
        <f>IFERROR(__xludf.DUMMYFUNCTION("""COMPUTED_VALUE"""),"5639 Willow Lane")</f>
        <v>5639 Willow Lane</v>
      </c>
      <c r="AB1434" s="22" t="str">
        <f>IFERROR(__xludf.DUMMYFUNCTION("""COMPUTED_VALUE"""),"Dallas, TX 75230")</f>
        <v>Dallas, TX 75230</v>
      </c>
      <c r="AC1434" s="31" t="s">
        <v>3022</v>
      </c>
      <c r="AD1434" s="22"/>
      <c r="AE1434" s="22"/>
      <c r="AF1434" s="22"/>
      <c r="AG1434" s="22" t="s">
        <v>60</v>
      </c>
      <c r="AH1434" s="54">
        <v>2505.0</v>
      </c>
      <c r="AI1434" s="22" t="s">
        <v>68</v>
      </c>
      <c r="AJ1434" s="27">
        <v>300.0</v>
      </c>
      <c r="AK1434" s="31" t="s">
        <v>30</v>
      </c>
      <c r="AL1434" s="28">
        <v>44887.0</v>
      </c>
      <c r="AM1434" s="29">
        <v>44943.52300925926</v>
      </c>
      <c r="AN1434" s="30">
        <v>2.0</v>
      </c>
      <c r="AO1434" s="22"/>
      <c r="AP1434" s="22"/>
      <c r="AQ1434" s="22"/>
      <c r="AR1434" s="22"/>
      <c r="AS1434" s="22"/>
      <c r="AT1434" s="70"/>
      <c r="AU1434" s="22"/>
      <c r="AV1434" s="57"/>
      <c r="AW1434" s="57"/>
      <c r="AX1434" s="70"/>
      <c r="AY1434" s="29"/>
      <c r="AZ1434" s="30"/>
      <c r="CU1434" s="55"/>
      <c r="CV1434" s="55"/>
      <c r="CW1434" s="55"/>
      <c r="CX1434" s="55"/>
      <c r="CY1434" s="55"/>
      <c r="CZ1434" s="55"/>
      <c r="DA1434" s="82"/>
      <c r="DB1434" s="55"/>
      <c r="DC1434" s="55"/>
      <c r="DD1434" s="55"/>
      <c r="DE1434" s="55"/>
      <c r="DF1434" s="55"/>
      <c r="DG1434" s="55"/>
      <c r="DH1434" s="55"/>
      <c r="DI1434" s="55"/>
      <c r="DJ1434" s="55"/>
      <c r="DK1434" s="55"/>
      <c r="DL1434" s="55"/>
      <c r="DM1434" s="55"/>
      <c r="DN1434" s="55"/>
      <c r="DO1434" s="55"/>
      <c r="DP1434" s="55"/>
      <c r="DQ1434" s="55"/>
      <c r="DR1434" s="55"/>
      <c r="DS1434" s="55"/>
      <c r="DT1434" s="55"/>
      <c r="DU1434" s="55"/>
      <c r="DV1434" s="55"/>
      <c r="DW1434" s="55"/>
    </row>
    <row r="1435">
      <c r="A1435" s="41" t="s">
        <v>64</v>
      </c>
      <c r="B1435" s="41" t="s">
        <v>56</v>
      </c>
      <c r="C1435" s="31" t="s">
        <v>3023</v>
      </c>
      <c r="D1435" s="25" t="str">
        <f>IFERROR(__xludf.DUMMYFUNCTION("SPLIT(C1435,"" "")"),"Olerio,")</f>
        <v>Olerio,</v>
      </c>
      <c r="E1435" s="40" t="str">
        <f>IFERROR(__xludf.DUMMYFUNCTION("""COMPUTED_VALUE"""),"Louis
4133")</f>
        <v>Louis
4133</v>
      </c>
      <c r="F1435" s="40" t="str">
        <f>IFERROR(__xludf.DUMMYFUNCTION("""COMPUTED_VALUE"""),"Hyer")</f>
        <v>Hyer</v>
      </c>
      <c r="G1435" s="40" t="str">
        <f>IFERROR(__xludf.DUMMYFUNCTION("""COMPUTED_VALUE"""),"Street")</f>
        <v>Street</v>
      </c>
      <c r="H1435" s="40" t="str">
        <f>IFERROR(__xludf.DUMMYFUNCTION("""COMPUTED_VALUE"""),"Dallas,")</f>
        <v>Dallas,</v>
      </c>
      <c r="I1435" s="40" t="str">
        <f>IFERROR(__xludf.DUMMYFUNCTION("""COMPUTED_VALUE"""),"TX
Dallas,")</f>
        <v>TX
Dallas,</v>
      </c>
      <c r="J1435" s="40" t="str">
        <f>IFERROR(__xludf.DUMMYFUNCTION("""COMPUTED_VALUE"""),"TX")</f>
        <v>TX</v>
      </c>
      <c r="K1435" s="40">
        <f>IFERROR(__xludf.DUMMYFUNCTION("""COMPUTED_VALUE"""),75205.0)</f>
        <v>75205</v>
      </c>
      <c r="L1435" s="40"/>
      <c r="M1435" s="40"/>
      <c r="N1435" s="40"/>
      <c r="O1435" s="40"/>
      <c r="P1435" s="40"/>
      <c r="Q1435" s="40"/>
      <c r="R1435" s="40"/>
      <c r="S1435" s="40"/>
      <c r="T1435" s="40"/>
      <c r="U1435" s="24" t="str">
        <f>IFERROR(__xludf.DUMMYFUNCTION("SPLIT(E1435,""01234567890"")"),"Louis
")</f>
        <v>Louis
</v>
      </c>
      <c r="V1435" s="24" t="str">
        <f>IFERROR(__xludf.DUMMYFUNCTION("SPLIT(D1435,"","")"),"Olerio")</f>
        <v>Olerio</v>
      </c>
      <c r="W1435" s="25" t="str">
        <f t="shared" si="1"/>
        <v>LOUIS
 OLERIO</v>
      </c>
      <c r="X1435" s="40"/>
      <c r="Y1435" s="40"/>
      <c r="Z1435" s="25" t="str">
        <f>IFERROR(__xludf.DUMMYFUNCTION("SPLIT(C1435,""
"")"),"Olerio, Louis")</f>
        <v>Olerio, Louis</v>
      </c>
      <c r="AA1435" s="40" t="str">
        <f>IFERROR(__xludf.DUMMYFUNCTION("""COMPUTED_VALUE"""),"4133 Hyer Street Dallas, TX")</f>
        <v>4133 Hyer Street Dallas, TX</v>
      </c>
      <c r="AB1435" s="40" t="str">
        <f>IFERROR(__xludf.DUMMYFUNCTION("""COMPUTED_VALUE"""),"Dallas, TX 75205")</f>
        <v>Dallas, TX 75205</v>
      </c>
      <c r="AC1435" s="31" t="s">
        <v>3024</v>
      </c>
      <c r="AD1435" s="40"/>
      <c r="AE1435" s="40"/>
      <c r="AF1435" s="40"/>
      <c r="AG1435" s="40" t="s">
        <v>60</v>
      </c>
      <c r="AH1435" s="42">
        <v>2505.0</v>
      </c>
      <c r="AI1435" s="40" t="s">
        <v>68</v>
      </c>
      <c r="AJ1435" s="27">
        <v>1000.0</v>
      </c>
      <c r="AK1435" s="31" t="s">
        <v>30</v>
      </c>
      <c r="AL1435" s="43">
        <v>44887.0</v>
      </c>
      <c r="AM1435" s="44">
        <v>44943.52300925926</v>
      </c>
      <c r="AN1435" s="30">
        <v>2.0</v>
      </c>
      <c r="AO1435" s="40"/>
      <c r="AP1435" s="40"/>
      <c r="AQ1435" s="40"/>
      <c r="AR1435" s="40"/>
      <c r="AS1435" s="40"/>
      <c r="AT1435" s="47"/>
      <c r="AU1435" s="40"/>
      <c r="AV1435" s="46"/>
      <c r="AW1435" s="46"/>
      <c r="AX1435" s="47"/>
      <c r="AY1435" s="44"/>
      <c r="AZ1435" s="30"/>
      <c r="CU1435" s="55"/>
      <c r="CV1435" s="55"/>
      <c r="CW1435" s="55"/>
      <c r="CX1435" s="55"/>
      <c r="CY1435" s="55"/>
      <c r="CZ1435" s="55"/>
      <c r="DA1435" s="82"/>
      <c r="DB1435" s="55"/>
      <c r="DC1435" s="55"/>
      <c r="DD1435" s="55"/>
      <c r="DE1435" s="55"/>
      <c r="DF1435" s="55"/>
      <c r="DG1435" s="55"/>
      <c r="DH1435" s="55"/>
      <c r="DI1435" s="55"/>
      <c r="DJ1435" s="55"/>
      <c r="DK1435" s="55"/>
      <c r="DL1435" s="55"/>
      <c r="DM1435" s="55"/>
      <c r="DN1435" s="55"/>
      <c r="DO1435" s="55"/>
      <c r="DP1435" s="55"/>
      <c r="DQ1435" s="55"/>
      <c r="DR1435" s="55"/>
      <c r="DS1435" s="55"/>
      <c r="DT1435" s="55"/>
      <c r="DU1435" s="55"/>
      <c r="DV1435" s="55"/>
      <c r="DW1435" s="55"/>
    </row>
    <row r="1436">
      <c r="A1436" s="22" t="s">
        <v>55</v>
      </c>
      <c r="B1436" s="23" t="s">
        <v>56</v>
      </c>
      <c r="C1436" s="31" t="s">
        <v>3025</v>
      </c>
      <c r="D1436" s="25" t="str">
        <f>IFERROR(__xludf.DUMMYFUNCTION("SPLIT(C1436,"" "")"),"McMinn,")</f>
        <v>McMinn,</v>
      </c>
      <c r="E1436" s="22" t="str">
        <f>IFERROR(__xludf.DUMMYFUNCTION("""COMPUTED_VALUE"""),"Susie
14802")</f>
        <v>Susie
14802</v>
      </c>
      <c r="F1436" s="22" t="str">
        <f>IFERROR(__xludf.DUMMYFUNCTION("""COMPUTED_VALUE"""),"ENTERPRISE")</f>
        <v>ENTERPRISE</v>
      </c>
      <c r="G1436" s="22" t="str">
        <f>IFERROR(__xludf.DUMMYFUNCTION("""COMPUTED_VALUE"""),"DR")</f>
        <v>DR</v>
      </c>
      <c r="H1436" s="22" t="str">
        <f>IFERROR(__xludf.DUMMYFUNCTION("""COMPUTED_VALUE"""),"APT")</f>
        <v>APT</v>
      </c>
      <c r="I1436" s="22" t="str">
        <f>IFERROR(__xludf.DUMMYFUNCTION("""COMPUTED_VALUE"""),"43D
Farmers")</f>
        <v>43D
Farmers</v>
      </c>
      <c r="J1436" s="22" t="str">
        <f>IFERROR(__xludf.DUMMYFUNCTION("""COMPUTED_VALUE"""),"Branch,")</f>
        <v>Branch,</v>
      </c>
      <c r="K1436" s="22" t="str">
        <f>IFERROR(__xludf.DUMMYFUNCTION("""COMPUTED_VALUE"""),"TX")</f>
        <v>TX</v>
      </c>
      <c r="L1436" s="22">
        <f>IFERROR(__xludf.DUMMYFUNCTION("""COMPUTED_VALUE"""),75234.0)</f>
        <v>75234</v>
      </c>
      <c r="M1436" s="22"/>
      <c r="N1436" s="22"/>
      <c r="O1436" s="22"/>
      <c r="P1436" s="22"/>
      <c r="Q1436" s="22"/>
      <c r="R1436" s="22"/>
      <c r="S1436" s="22"/>
      <c r="T1436" s="22"/>
      <c r="U1436" s="24" t="str">
        <f>IFERROR(__xludf.DUMMYFUNCTION("SPLIT(E1436,""01234567890"")"),"Susie
")</f>
        <v>Susie
</v>
      </c>
      <c r="V1436" s="24" t="str">
        <f>IFERROR(__xludf.DUMMYFUNCTION("SPLIT(D1436,"","")"),"McMinn")</f>
        <v>McMinn</v>
      </c>
      <c r="W1436" s="25" t="str">
        <f t="shared" si="1"/>
        <v>SUSIE
 MCMINN</v>
      </c>
      <c r="X1436" s="22"/>
      <c r="Y1436" s="22"/>
      <c r="Z1436" s="25" t="str">
        <f>IFERROR(__xludf.DUMMYFUNCTION("SPLIT(C1436,""
"")"),"McMinn, Susie")</f>
        <v>McMinn, Susie</v>
      </c>
      <c r="AA1436" s="22" t="str">
        <f>IFERROR(__xludf.DUMMYFUNCTION("""COMPUTED_VALUE"""),"14802 ENTERPRISE DR APT 43D")</f>
        <v>14802 ENTERPRISE DR APT 43D</v>
      </c>
      <c r="AB1436" s="22" t="str">
        <f>IFERROR(__xludf.DUMMYFUNCTION("""COMPUTED_VALUE"""),"Farmers Branch, TX 75234")</f>
        <v>Farmers Branch, TX 75234</v>
      </c>
      <c r="AC1436" s="31" t="s">
        <v>3026</v>
      </c>
      <c r="AD1436" s="22"/>
      <c r="AE1436" s="22"/>
      <c r="AF1436" s="22"/>
      <c r="AG1436" s="22" t="s">
        <v>60</v>
      </c>
      <c r="AH1436" s="54">
        <v>2505.0</v>
      </c>
      <c r="AI1436" s="22" t="s">
        <v>68</v>
      </c>
      <c r="AJ1436" s="27">
        <v>25.0</v>
      </c>
      <c r="AK1436" s="31" t="s">
        <v>30</v>
      </c>
      <c r="AL1436" s="28">
        <v>44887.0</v>
      </c>
      <c r="AM1436" s="29">
        <v>44943.52300925926</v>
      </c>
      <c r="AN1436" s="30">
        <v>2.0</v>
      </c>
      <c r="AO1436" s="22"/>
      <c r="AP1436" s="22"/>
      <c r="AQ1436" s="22"/>
      <c r="AR1436" s="22"/>
      <c r="AS1436" s="22"/>
      <c r="AT1436" s="70"/>
      <c r="AU1436" s="22"/>
      <c r="AV1436" s="57"/>
      <c r="AW1436" s="57"/>
      <c r="AX1436" s="70"/>
      <c r="AY1436" s="29"/>
      <c r="AZ1436" s="30"/>
      <c r="CU1436" s="55"/>
      <c r="CV1436" s="55"/>
      <c r="CW1436" s="55"/>
      <c r="CX1436" s="55"/>
      <c r="CY1436" s="55"/>
      <c r="CZ1436" s="55"/>
      <c r="DA1436" s="82"/>
      <c r="DB1436" s="55"/>
      <c r="DC1436" s="55"/>
      <c r="DD1436" s="55"/>
      <c r="DE1436" s="55"/>
      <c r="DF1436" s="55"/>
      <c r="DG1436" s="55"/>
      <c r="DH1436" s="55"/>
      <c r="DI1436" s="55"/>
      <c r="DJ1436" s="55"/>
      <c r="DK1436" s="55"/>
      <c r="DL1436" s="55"/>
      <c r="DM1436" s="55"/>
      <c r="DN1436" s="55"/>
      <c r="DO1436" s="55"/>
      <c r="DP1436" s="55"/>
      <c r="DQ1436" s="55"/>
      <c r="DR1436" s="55"/>
      <c r="DS1436" s="55"/>
      <c r="DT1436" s="55"/>
      <c r="DU1436" s="55"/>
      <c r="DV1436" s="55"/>
      <c r="DW1436" s="55"/>
    </row>
    <row r="1437">
      <c r="A1437" s="41" t="s">
        <v>64</v>
      </c>
      <c r="B1437" s="41" t="s">
        <v>56</v>
      </c>
      <c r="C1437" s="31" t="s">
        <v>3027</v>
      </c>
      <c r="D1437" s="25" t="str">
        <f>IFERROR(__xludf.DUMMYFUNCTION("SPLIT(C1437,"" "")"),"Brata,")</f>
        <v>Brata,</v>
      </c>
      <c r="E1437" s="40" t="str">
        <f>IFERROR(__xludf.DUMMYFUNCTION("""COMPUTED_VALUE"""),"James
6443")</f>
        <v>James
6443</v>
      </c>
      <c r="F1437" s="40" t="str">
        <f>IFERROR(__xludf.DUMMYFUNCTION("""COMPUTED_VALUE"""),"Del")</f>
        <v>Del</v>
      </c>
      <c r="G1437" s="40" t="str">
        <f>IFERROR(__xludf.DUMMYFUNCTION("""COMPUTED_VALUE"""),"Norte")</f>
        <v>Norte</v>
      </c>
      <c r="H1437" s="40" t="str">
        <f>IFERROR(__xludf.DUMMYFUNCTION("""COMPUTED_VALUE"""),"Lane
Dallas,")</f>
        <v>Lane
Dallas,</v>
      </c>
      <c r="I1437" s="40" t="str">
        <f>IFERROR(__xludf.DUMMYFUNCTION("""COMPUTED_VALUE"""),"TX")</f>
        <v>TX</v>
      </c>
      <c r="J1437" s="40">
        <f>IFERROR(__xludf.DUMMYFUNCTION("""COMPUTED_VALUE"""),75225.0)</f>
        <v>75225</v>
      </c>
      <c r="K1437" s="40"/>
      <c r="L1437" s="40"/>
      <c r="M1437" s="40"/>
      <c r="N1437" s="40"/>
      <c r="O1437" s="40"/>
      <c r="P1437" s="40"/>
      <c r="Q1437" s="40"/>
      <c r="R1437" s="40"/>
      <c r="S1437" s="40"/>
      <c r="T1437" s="40"/>
      <c r="U1437" s="24" t="str">
        <f>IFERROR(__xludf.DUMMYFUNCTION("SPLIT(E1437,""01234567890"")"),"James
")</f>
        <v>James
</v>
      </c>
      <c r="V1437" s="24" t="str">
        <f>IFERROR(__xludf.DUMMYFUNCTION("SPLIT(D1437,"","")"),"Brata")</f>
        <v>Brata</v>
      </c>
      <c r="W1437" s="25" t="str">
        <f t="shared" si="1"/>
        <v>JAMES
 BRATA</v>
      </c>
      <c r="X1437" s="40"/>
      <c r="Y1437" s="40"/>
      <c r="Z1437" s="25" t="str">
        <f>IFERROR(__xludf.DUMMYFUNCTION("SPLIT(C1437,""
"")"),"Brata, James")</f>
        <v>Brata, James</v>
      </c>
      <c r="AA1437" s="40" t="str">
        <f>IFERROR(__xludf.DUMMYFUNCTION("""COMPUTED_VALUE"""),"6443 Del Norte Lane")</f>
        <v>6443 Del Norte Lane</v>
      </c>
      <c r="AB1437" s="40" t="str">
        <f>IFERROR(__xludf.DUMMYFUNCTION("""COMPUTED_VALUE"""),"Dallas, TX 75225")</f>
        <v>Dallas, TX 75225</v>
      </c>
      <c r="AC1437" s="31" t="s">
        <v>3028</v>
      </c>
      <c r="AD1437" s="40"/>
      <c r="AE1437" s="40"/>
      <c r="AF1437" s="40"/>
      <c r="AG1437" s="40" t="s">
        <v>60</v>
      </c>
      <c r="AH1437" s="42">
        <v>2505.0</v>
      </c>
      <c r="AI1437" s="40" t="s">
        <v>68</v>
      </c>
      <c r="AJ1437" s="27">
        <v>500.0</v>
      </c>
      <c r="AK1437" s="31" t="s">
        <v>30</v>
      </c>
      <c r="AL1437" s="43">
        <v>44887.0</v>
      </c>
      <c r="AM1437" s="44">
        <v>44943.52300925926</v>
      </c>
      <c r="AN1437" s="30">
        <v>2.0</v>
      </c>
      <c r="AO1437" s="40"/>
      <c r="AP1437" s="40"/>
      <c r="AQ1437" s="40"/>
      <c r="AR1437" s="40"/>
      <c r="AS1437" s="40"/>
      <c r="AT1437" s="47"/>
      <c r="AU1437" s="40"/>
      <c r="AV1437" s="46"/>
      <c r="AW1437" s="46"/>
      <c r="AX1437" s="47"/>
      <c r="AY1437" s="44"/>
      <c r="AZ1437" s="30"/>
      <c r="CU1437" s="55"/>
      <c r="CV1437" s="55"/>
      <c r="CW1437" s="55"/>
      <c r="CX1437" s="55"/>
      <c r="CY1437" s="55"/>
      <c r="CZ1437" s="55"/>
      <c r="DA1437" s="82"/>
      <c r="DB1437" s="55"/>
      <c r="DC1437" s="55"/>
      <c r="DD1437" s="55"/>
      <c r="DE1437" s="55"/>
      <c r="DF1437" s="55"/>
      <c r="DG1437" s="55"/>
      <c r="DH1437" s="55"/>
      <c r="DI1437" s="55"/>
      <c r="DJ1437" s="55"/>
      <c r="DK1437" s="55"/>
      <c r="DL1437" s="55"/>
      <c r="DM1437" s="55"/>
      <c r="DN1437" s="55"/>
      <c r="DO1437" s="55"/>
      <c r="DP1437" s="55"/>
      <c r="DQ1437" s="55"/>
      <c r="DR1437" s="55"/>
      <c r="DS1437" s="55"/>
      <c r="DT1437" s="55"/>
      <c r="DU1437" s="55"/>
      <c r="DV1437" s="55"/>
      <c r="DW1437" s="55"/>
    </row>
    <row r="1438">
      <c r="A1438" s="22" t="s">
        <v>55</v>
      </c>
      <c r="B1438" s="23" t="s">
        <v>56</v>
      </c>
      <c r="C1438" s="31" t="s">
        <v>3029</v>
      </c>
      <c r="D1438" s="25" t="str">
        <f>IFERROR(__xludf.DUMMYFUNCTION("SPLIT(C1438,"" "")"),"Stewart,")</f>
        <v>Stewart,</v>
      </c>
      <c r="E1438" s="22" t="str">
        <f>IFERROR(__xludf.DUMMYFUNCTION("""COMPUTED_VALUE"""),"Kathy
9509")</f>
        <v>Kathy
9509</v>
      </c>
      <c r="F1438" s="22" t="str">
        <f>IFERROR(__xludf.DUMMYFUNCTION("""COMPUTED_VALUE"""),"Shady")</f>
        <v>Shady</v>
      </c>
      <c r="G1438" s="22" t="str">
        <f>IFERROR(__xludf.DUMMYFUNCTION("""COMPUTED_VALUE"""),"Valley")</f>
        <v>Valley</v>
      </c>
      <c r="H1438" s="22" t="str">
        <f>IFERROR(__xludf.DUMMYFUNCTION("""COMPUTED_VALUE"""),"Drive,")</f>
        <v>Drive,</v>
      </c>
      <c r="I1438" s="22" t="str">
        <f>IFERROR(__xludf.DUMMYFUNCTION("""COMPUTED_VALUE"""),"Dallas,")</f>
        <v>Dallas,</v>
      </c>
      <c r="J1438" s="22" t="str">
        <f>IFERROR(__xludf.DUMMYFUNCTION("""COMPUTED_VALUE"""),"TX
Dallas,")</f>
        <v>TX
Dallas,</v>
      </c>
      <c r="K1438" s="22" t="str">
        <f>IFERROR(__xludf.DUMMYFUNCTION("""COMPUTED_VALUE"""),"TX")</f>
        <v>TX</v>
      </c>
      <c r="L1438" s="22">
        <f>IFERROR(__xludf.DUMMYFUNCTION("""COMPUTED_VALUE"""),75238.0)</f>
        <v>75238</v>
      </c>
      <c r="M1438" s="22"/>
      <c r="N1438" s="22"/>
      <c r="O1438" s="22"/>
      <c r="P1438" s="22"/>
      <c r="Q1438" s="22"/>
      <c r="R1438" s="22"/>
      <c r="S1438" s="22"/>
      <c r="T1438" s="22"/>
      <c r="U1438" s="24" t="str">
        <f>IFERROR(__xludf.DUMMYFUNCTION("SPLIT(E1438,""01234567890"")"),"Kathy
")</f>
        <v>Kathy
</v>
      </c>
      <c r="V1438" s="24" t="str">
        <f>IFERROR(__xludf.DUMMYFUNCTION("SPLIT(D1438,"","")"),"Stewart")</f>
        <v>Stewart</v>
      </c>
      <c r="W1438" s="25" t="str">
        <f t="shared" si="1"/>
        <v>KATHY
 STEWART</v>
      </c>
      <c r="X1438" s="22"/>
      <c r="Y1438" s="22"/>
      <c r="Z1438" s="25" t="str">
        <f>IFERROR(__xludf.DUMMYFUNCTION("SPLIT(C1438,""
"")"),"Stewart, Kathy")</f>
        <v>Stewart, Kathy</v>
      </c>
      <c r="AA1438" s="22" t="str">
        <f>IFERROR(__xludf.DUMMYFUNCTION("""COMPUTED_VALUE"""),"9509 Shady Valley Drive, Dallas, TX")</f>
        <v>9509 Shady Valley Drive, Dallas, TX</v>
      </c>
      <c r="AB1438" s="22" t="str">
        <f>IFERROR(__xludf.DUMMYFUNCTION("""COMPUTED_VALUE"""),"Dallas, TX 75238")</f>
        <v>Dallas, TX 75238</v>
      </c>
      <c r="AC1438" s="31" t="s">
        <v>1766</v>
      </c>
      <c r="AD1438" s="22"/>
      <c r="AE1438" s="22"/>
      <c r="AF1438" s="22"/>
      <c r="AG1438" s="22" t="s">
        <v>60</v>
      </c>
      <c r="AH1438" s="54">
        <v>2505.0</v>
      </c>
      <c r="AI1438" s="22" t="s">
        <v>68</v>
      </c>
      <c r="AJ1438" s="27">
        <v>250.0</v>
      </c>
      <c r="AK1438" s="31" t="s">
        <v>30</v>
      </c>
      <c r="AL1438" s="28">
        <v>44887.0</v>
      </c>
      <c r="AM1438" s="29">
        <v>44943.52300925926</v>
      </c>
      <c r="AN1438" s="30">
        <v>2.0</v>
      </c>
      <c r="AO1438" s="22"/>
      <c r="AP1438" s="22"/>
      <c r="AQ1438" s="22"/>
      <c r="AR1438" s="22"/>
      <c r="AS1438" s="22"/>
      <c r="AT1438" s="70"/>
      <c r="AU1438" s="22"/>
      <c r="AV1438" s="57"/>
      <c r="AW1438" s="57"/>
      <c r="AX1438" s="70"/>
      <c r="AY1438" s="29"/>
      <c r="AZ1438" s="30"/>
      <c r="CU1438" s="55"/>
      <c r="CV1438" s="55"/>
      <c r="CW1438" s="55"/>
      <c r="CX1438" s="55"/>
      <c r="CY1438" s="55"/>
      <c r="CZ1438" s="55"/>
      <c r="DA1438" s="82"/>
      <c r="DB1438" s="55"/>
      <c r="DC1438" s="55"/>
      <c r="DD1438" s="55"/>
      <c r="DE1438" s="55"/>
      <c r="DF1438" s="55"/>
      <c r="DG1438" s="55"/>
      <c r="DH1438" s="55"/>
      <c r="DI1438" s="55"/>
      <c r="DJ1438" s="55"/>
      <c r="DK1438" s="55"/>
      <c r="DL1438" s="55"/>
      <c r="DM1438" s="55"/>
      <c r="DN1438" s="55"/>
      <c r="DO1438" s="55"/>
      <c r="DP1438" s="55"/>
      <c r="DQ1438" s="55"/>
      <c r="DR1438" s="55"/>
      <c r="DS1438" s="55"/>
      <c r="DT1438" s="55"/>
      <c r="DU1438" s="55"/>
      <c r="DV1438" s="55"/>
      <c r="DW1438" s="55"/>
    </row>
    <row r="1439">
      <c r="A1439" s="41" t="s">
        <v>64</v>
      </c>
      <c r="B1439" s="41" t="s">
        <v>56</v>
      </c>
      <c r="C1439" s="31" t="s">
        <v>3030</v>
      </c>
      <c r="D1439" s="25" t="str">
        <f>IFERROR(__xludf.DUMMYFUNCTION("SPLIT(C1439,"" "")"),"Moreno,")</f>
        <v>Moreno,</v>
      </c>
      <c r="E1439" s="40" t="str">
        <f>IFERROR(__xludf.DUMMYFUNCTION("""COMPUTED_VALUE"""),"Jesse
4809")</f>
        <v>Jesse
4809</v>
      </c>
      <c r="F1439" s="40" t="str">
        <f>IFERROR(__xludf.DUMMYFUNCTION("""COMPUTED_VALUE"""),"Victor")</f>
        <v>Victor</v>
      </c>
      <c r="G1439" s="40" t="str">
        <f>IFERROR(__xludf.DUMMYFUNCTION("""COMPUTED_VALUE"""),"Street,")</f>
        <v>Street,</v>
      </c>
      <c r="H1439" s="40" t="str">
        <f>IFERROR(__xludf.DUMMYFUNCTION("""COMPUTED_VALUE"""),"Dallas,")</f>
        <v>Dallas,</v>
      </c>
      <c r="I1439" s="40" t="str">
        <f>IFERROR(__xludf.DUMMYFUNCTION("""COMPUTED_VALUE"""),"TX
Dallas,")</f>
        <v>TX
Dallas,</v>
      </c>
      <c r="J1439" s="40" t="str">
        <f>IFERROR(__xludf.DUMMYFUNCTION("""COMPUTED_VALUE"""),"TX")</f>
        <v>TX</v>
      </c>
      <c r="K1439" s="40">
        <f>IFERROR(__xludf.DUMMYFUNCTION("""COMPUTED_VALUE"""),75246.0)</f>
        <v>75246</v>
      </c>
      <c r="L1439" s="40"/>
      <c r="M1439" s="40"/>
      <c r="N1439" s="40"/>
      <c r="O1439" s="40"/>
      <c r="P1439" s="40"/>
      <c r="Q1439" s="40"/>
      <c r="R1439" s="40"/>
      <c r="S1439" s="40"/>
      <c r="T1439" s="40"/>
      <c r="U1439" s="24" t="str">
        <f>IFERROR(__xludf.DUMMYFUNCTION("SPLIT(E1439,""01234567890"")"),"Jesse
")</f>
        <v>Jesse
</v>
      </c>
      <c r="V1439" s="24" t="str">
        <f>IFERROR(__xludf.DUMMYFUNCTION("SPLIT(D1439,"","")"),"Moreno")</f>
        <v>Moreno</v>
      </c>
      <c r="W1439" s="25" t="str">
        <f t="shared" si="1"/>
        <v>JESSE
 MORENO</v>
      </c>
      <c r="X1439" s="40"/>
      <c r="Y1439" s="40"/>
      <c r="Z1439" s="25" t="str">
        <f>IFERROR(__xludf.DUMMYFUNCTION("SPLIT(C1439,""
"")"),"Moreno, Jesse")</f>
        <v>Moreno, Jesse</v>
      </c>
      <c r="AA1439" s="40" t="str">
        <f>IFERROR(__xludf.DUMMYFUNCTION("""COMPUTED_VALUE"""),"4809 Victor Street, Dallas, TX")</f>
        <v>4809 Victor Street, Dallas, TX</v>
      </c>
      <c r="AB1439" s="40" t="str">
        <f>IFERROR(__xludf.DUMMYFUNCTION("""COMPUTED_VALUE"""),"Dallas, TX 75246")</f>
        <v>Dallas, TX 75246</v>
      </c>
      <c r="AC1439" s="31" t="s">
        <v>3031</v>
      </c>
      <c r="AD1439" s="40"/>
      <c r="AE1439" s="40"/>
      <c r="AF1439" s="40"/>
      <c r="AG1439" s="40" t="s">
        <v>60</v>
      </c>
      <c r="AH1439" s="42">
        <v>2505.0</v>
      </c>
      <c r="AI1439" s="40" t="s">
        <v>68</v>
      </c>
      <c r="AJ1439" s="27">
        <v>250.0</v>
      </c>
      <c r="AK1439" s="31" t="s">
        <v>30</v>
      </c>
      <c r="AL1439" s="43">
        <v>44887.0</v>
      </c>
      <c r="AM1439" s="44">
        <v>44943.52300925926</v>
      </c>
      <c r="AN1439" s="30">
        <v>2.0</v>
      </c>
      <c r="AO1439" s="40"/>
      <c r="AP1439" s="40"/>
      <c r="AQ1439" s="40"/>
      <c r="AR1439" s="40"/>
      <c r="AS1439" s="40"/>
      <c r="AT1439" s="47"/>
      <c r="AU1439" s="40"/>
      <c r="AV1439" s="46"/>
      <c r="AW1439" s="46"/>
      <c r="AX1439" s="47"/>
      <c r="AY1439" s="44"/>
      <c r="AZ1439" s="30"/>
      <c r="CU1439" s="55"/>
      <c r="CV1439" s="55"/>
      <c r="CW1439" s="55"/>
      <c r="CX1439" s="55"/>
      <c r="CY1439" s="55"/>
      <c r="CZ1439" s="55"/>
      <c r="DA1439" s="82"/>
      <c r="DB1439" s="55"/>
      <c r="DC1439" s="55"/>
      <c r="DD1439" s="55"/>
      <c r="DE1439" s="55"/>
      <c r="DF1439" s="55"/>
      <c r="DG1439" s="55"/>
      <c r="DH1439" s="55"/>
      <c r="DI1439" s="55"/>
      <c r="DJ1439" s="55"/>
      <c r="DK1439" s="55"/>
      <c r="DL1439" s="55"/>
      <c r="DM1439" s="55"/>
      <c r="DN1439" s="55"/>
      <c r="DO1439" s="55"/>
      <c r="DP1439" s="55"/>
      <c r="DQ1439" s="55"/>
      <c r="DR1439" s="55"/>
      <c r="DS1439" s="55"/>
      <c r="DT1439" s="55"/>
      <c r="DU1439" s="55"/>
      <c r="DV1439" s="55"/>
      <c r="DW1439" s="55"/>
    </row>
    <row r="1440">
      <c r="A1440" s="22" t="s">
        <v>55</v>
      </c>
      <c r="B1440" s="23" t="s">
        <v>56</v>
      </c>
      <c r="C1440" s="31" t="s">
        <v>3032</v>
      </c>
      <c r="D1440" s="25" t="str">
        <f>IFERROR(__xludf.DUMMYFUNCTION("SPLIT(C1440,"" "")"),"Smith,")</f>
        <v>Smith,</v>
      </c>
      <c r="E1440" s="22" t="str">
        <f>IFERROR(__xludf.DUMMYFUNCTION("""COMPUTED_VALUE"""),"Ray
12395")</f>
        <v>Ray
12395</v>
      </c>
      <c r="F1440" s="22" t="str">
        <f>IFERROR(__xludf.DUMMYFUNCTION("""COMPUTED_VALUE"""),"Crestline")</f>
        <v>Crestline</v>
      </c>
      <c r="G1440" s="22" t="str">
        <f>IFERROR(__xludf.DUMMYFUNCTION("""COMPUTED_VALUE"""),"Avenue
Dallas,")</f>
        <v>Avenue
Dallas,</v>
      </c>
      <c r="H1440" s="22" t="str">
        <f>IFERROR(__xludf.DUMMYFUNCTION("""COMPUTED_VALUE"""),"TX")</f>
        <v>TX</v>
      </c>
      <c r="I1440" s="22">
        <f>IFERROR(__xludf.DUMMYFUNCTION("""COMPUTED_VALUE"""),75244.0)</f>
        <v>75244</v>
      </c>
      <c r="J1440" s="22"/>
      <c r="K1440" s="22"/>
      <c r="L1440" s="22"/>
      <c r="M1440" s="22"/>
      <c r="N1440" s="22"/>
      <c r="O1440" s="22"/>
      <c r="P1440" s="22"/>
      <c r="Q1440" s="22"/>
      <c r="R1440" s="22"/>
      <c r="S1440" s="22"/>
      <c r="T1440" s="22"/>
      <c r="U1440" s="24" t="str">
        <f>IFERROR(__xludf.DUMMYFUNCTION("SPLIT(E1440,""01234567890"")"),"Ray
")</f>
        <v>Ray
</v>
      </c>
      <c r="V1440" s="24" t="str">
        <f>IFERROR(__xludf.DUMMYFUNCTION("SPLIT(D1440,"","")"),"Smith")</f>
        <v>Smith</v>
      </c>
      <c r="W1440" s="25" t="str">
        <f t="shared" si="1"/>
        <v>RAY
 SMITH</v>
      </c>
      <c r="X1440" s="22"/>
      <c r="Y1440" s="22"/>
      <c r="Z1440" s="25" t="str">
        <f>IFERROR(__xludf.DUMMYFUNCTION("SPLIT(C1440,""
"")"),"Smith, Ray")</f>
        <v>Smith, Ray</v>
      </c>
      <c r="AA1440" s="22" t="str">
        <f>IFERROR(__xludf.DUMMYFUNCTION("""COMPUTED_VALUE"""),"12395 Crestline Avenue")</f>
        <v>12395 Crestline Avenue</v>
      </c>
      <c r="AB1440" s="22" t="str">
        <f>IFERROR(__xludf.DUMMYFUNCTION("""COMPUTED_VALUE"""),"Dallas, TX 75244")</f>
        <v>Dallas, TX 75244</v>
      </c>
      <c r="AC1440" s="31" t="s">
        <v>3033</v>
      </c>
      <c r="AD1440" s="22"/>
      <c r="AE1440" s="22"/>
      <c r="AF1440" s="22"/>
      <c r="AG1440" s="22" t="s">
        <v>60</v>
      </c>
      <c r="AH1440" s="54">
        <v>2505.0</v>
      </c>
      <c r="AI1440" s="22" t="s">
        <v>68</v>
      </c>
      <c r="AJ1440" s="27">
        <v>100.0</v>
      </c>
      <c r="AK1440" s="31" t="s">
        <v>30</v>
      </c>
      <c r="AL1440" s="28">
        <v>44887.0</v>
      </c>
      <c r="AM1440" s="29">
        <v>44943.52300925926</v>
      </c>
      <c r="AN1440" s="30">
        <v>2.0</v>
      </c>
      <c r="AO1440" s="22"/>
      <c r="AP1440" s="22"/>
      <c r="AQ1440" s="22"/>
      <c r="AR1440" s="22"/>
      <c r="AS1440" s="22"/>
      <c r="AT1440" s="70"/>
      <c r="AU1440" s="22"/>
      <c r="AV1440" s="57"/>
      <c r="AW1440" s="57"/>
      <c r="AX1440" s="70"/>
      <c r="AY1440" s="29"/>
      <c r="AZ1440" s="30"/>
      <c r="CU1440" s="55"/>
      <c r="CV1440" s="55"/>
      <c r="CW1440" s="55"/>
      <c r="CX1440" s="55"/>
      <c r="CY1440" s="55"/>
      <c r="CZ1440" s="55"/>
      <c r="DA1440" s="82"/>
      <c r="DB1440" s="55"/>
      <c r="DC1440" s="55"/>
      <c r="DD1440" s="55"/>
      <c r="DE1440" s="55"/>
      <c r="DF1440" s="55"/>
      <c r="DG1440" s="55"/>
      <c r="DH1440" s="55"/>
      <c r="DI1440" s="55"/>
      <c r="DJ1440" s="55"/>
      <c r="DK1440" s="55"/>
      <c r="DL1440" s="55"/>
      <c r="DM1440" s="55"/>
      <c r="DN1440" s="55"/>
      <c r="DO1440" s="55"/>
      <c r="DP1440" s="55"/>
      <c r="DQ1440" s="55"/>
      <c r="DR1440" s="55"/>
      <c r="DS1440" s="55"/>
      <c r="DT1440" s="55"/>
      <c r="DU1440" s="55"/>
      <c r="DV1440" s="55"/>
      <c r="DW1440" s="55"/>
    </row>
    <row r="1441">
      <c r="A1441" s="41" t="s">
        <v>64</v>
      </c>
      <c r="B1441" s="41" t="s">
        <v>56</v>
      </c>
      <c r="C1441" s="31" t="s">
        <v>3034</v>
      </c>
      <c r="D1441" s="25" t="str">
        <f>IFERROR(__xludf.DUMMYFUNCTION("SPLIT(C1441,"" "")"),"Lovejoy,")</f>
        <v>Lovejoy,</v>
      </c>
      <c r="E1441" s="40" t="str">
        <f>IFERROR(__xludf.DUMMYFUNCTION("""COMPUTED_VALUE"""),"Jana
6542")</f>
        <v>Jana
6542</v>
      </c>
      <c r="F1441" s="40" t="str">
        <f>IFERROR(__xludf.DUMMYFUNCTION("""COMPUTED_VALUE"""),"Chevy")</f>
        <v>Chevy</v>
      </c>
      <c r="G1441" s="40" t="str">
        <f>IFERROR(__xludf.DUMMYFUNCTION("""COMPUTED_VALUE"""),"Chase")</f>
        <v>Chase</v>
      </c>
      <c r="H1441" s="40" t="str">
        <f>IFERROR(__xludf.DUMMYFUNCTION("""COMPUTED_VALUE"""),"Avenue
Dallas,")</f>
        <v>Avenue
Dallas,</v>
      </c>
      <c r="I1441" s="40" t="str">
        <f>IFERROR(__xludf.DUMMYFUNCTION("""COMPUTED_VALUE"""),"TX")</f>
        <v>TX</v>
      </c>
      <c r="J1441" s="40">
        <f>IFERROR(__xludf.DUMMYFUNCTION("""COMPUTED_VALUE"""),75225.0)</f>
        <v>75225</v>
      </c>
      <c r="K1441" s="40"/>
      <c r="L1441" s="40"/>
      <c r="M1441" s="40"/>
      <c r="N1441" s="40"/>
      <c r="O1441" s="40"/>
      <c r="P1441" s="40"/>
      <c r="Q1441" s="40"/>
      <c r="R1441" s="40"/>
      <c r="S1441" s="40"/>
      <c r="T1441" s="40"/>
      <c r="U1441" s="24" t="str">
        <f>IFERROR(__xludf.DUMMYFUNCTION("SPLIT(E1441,""01234567890"")"),"Jana
")</f>
        <v>Jana
</v>
      </c>
      <c r="V1441" s="24" t="str">
        <f>IFERROR(__xludf.DUMMYFUNCTION("SPLIT(D1441,"","")"),"Lovejoy")</f>
        <v>Lovejoy</v>
      </c>
      <c r="W1441" s="25" t="str">
        <f t="shared" si="1"/>
        <v>JANA
 LOVEJOY</v>
      </c>
      <c r="X1441" s="40"/>
      <c r="Y1441" s="40"/>
      <c r="Z1441" s="25" t="str">
        <f>IFERROR(__xludf.DUMMYFUNCTION("SPLIT(C1441,""
"")"),"Lovejoy, Jana")</f>
        <v>Lovejoy, Jana</v>
      </c>
      <c r="AA1441" s="40" t="str">
        <f>IFERROR(__xludf.DUMMYFUNCTION("""COMPUTED_VALUE"""),"6542 Chevy Chase Avenue")</f>
        <v>6542 Chevy Chase Avenue</v>
      </c>
      <c r="AB1441" s="40" t="str">
        <f>IFERROR(__xludf.DUMMYFUNCTION("""COMPUTED_VALUE"""),"Dallas, TX 75225")</f>
        <v>Dallas, TX 75225</v>
      </c>
      <c r="AC1441" s="31" t="s">
        <v>3035</v>
      </c>
      <c r="AD1441" s="40"/>
      <c r="AE1441" s="40"/>
      <c r="AF1441" s="40"/>
      <c r="AG1441" s="40" t="s">
        <v>60</v>
      </c>
      <c r="AH1441" s="42">
        <v>2505.0</v>
      </c>
      <c r="AI1441" s="40" t="s">
        <v>68</v>
      </c>
      <c r="AJ1441" s="27">
        <v>100.0</v>
      </c>
      <c r="AK1441" s="31" t="s">
        <v>30</v>
      </c>
      <c r="AL1441" s="43">
        <v>44887.0</v>
      </c>
      <c r="AM1441" s="44">
        <v>44943.52300925926</v>
      </c>
      <c r="AN1441" s="30">
        <v>2.0</v>
      </c>
      <c r="AO1441" s="40"/>
      <c r="AP1441" s="40"/>
      <c r="AQ1441" s="40"/>
      <c r="AR1441" s="40"/>
      <c r="AS1441" s="40"/>
      <c r="AT1441" s="47"/>
      <c r="AU1441" s="40"/>
      <c r="AV1441" s="46"/>
      <c r="AW1441" s="46"/>
      <c r="AX1441" s="47"/>
      <c r="AY1441" s="44"/>
      <c r="AZ1441" s="30"/>
      <c r="CU1441" s="55"/>
      <c r="CV1441" s="55"/>
      <c r="CW1441" s="55"/>
      <c r="CX1441" s="55"/>
      <c r="CY1441" s="55"/>
      <c r="CZ1441" s="55"/>
      <c r="DA1441" s="82"/>
      <c r="DB1441" s="55"/>
      <c r="DC1441" s="55"/>
      <c r="DD1441" s="55"/>
      <c r="DE1441" s="55"/>
      <c r="DF1441" s="55"/>
      <c r="DG1441" s="55"/>
      <c r="DH1441" s="55"/>
      <c r="DI1441" s="55"/>
      <c r="DJ1441" s="55"/>
      <c r="DK1441" s="55"/>
      <c r="DL1441" s="55"/>
      <c r="DM1441" s="55"/>
      <c r="DN1441" s="55"/>
      <c r="DO1441" s="55"/>
      <c r="DP1441" s="55"/>
      <c r="DQ1441" s="55"/>
      <c r="DR1441" s="55"/>
      <c r="DS1441" s="55"/>
      <c r="DT1441" s="55"/>
      <c r="DU1441" s="55"/>
      <c r="DV1441" s="55"/>
      <c r="DW1441" s="55"/>
    </row>
    <row r="1442">
      <c r="A1442" s="22" t="s">
        <v>55</v>
      </c>
      <c r="B1442" s="23" t="s">
        <v>56</v>
      </c>
      <c r="C1442" s="31" t="s">
        <v>3036</v>
      </c>
      <c r="D1442" s="25" t="str">
        <f>IFERROR(__xludf.DUMMYFUNCTION("SPLIT(C1442,"" "")"),"Stein,")</f>
        <v>Stein,</v>
      </c>
      <c r="E1442" s="22" t="str">
        <f>IFERROR(__xludf.DUMMYFUNCTION("""COMPUTED_VALUE"""),"Sheldon
9338")</f>
        <v>Sheldon
9338</v>
      </c>
      <c r="F1442" s="22" t="str">
        <f>IFERROR(__xludf.DUMMYFUNCTION("""COMPUTED_VALUE"""),"Meadowbrook")</f>
        <v>Meadowbrook</v>
      </c>
      <c r="G1442" s="22" t="str">
        <f>IFERROR(__xludf.DUMMYFUNCTION("""COMPUTED_VALUE"""),"Drive
Dallas,")</f>
        <v>Drive
Dallas,</v>
      </c>
      <c r="H1442" s="22" t="str">
        <f>IFERROR(__xludf.DUMMYFUNCTION("""COMPUTED_VALUE"""),"TX")</f>
        <v>TX</v>
      </c>
      <c r="I1442" s="22">
        <f>IFERROR(__xludf.DUMMYFUNCTION("""COMPUTED_VALUE"""),75220.0)</f>
        <v>75220</v>
      </c>
      <c r="J1442" s="22"/>
      <c r="K1442" s="22"/>
      <c r="L1442" s="22"/>
      <c r="M1442" s="22"/>
      <c r="N1442" s="22"/>
      <c r="O1442" s="22"/>
      <c r="P1442" s="22"/>
      <c r="Q1442" s="22"/>
      <c r="R1442" s="22"/>
      <c r="S1442" s="22"/>
      <c r="T1442" s="22"/>
      <c r="U1442" s="24" t="str">
        <f>IFERROR(__xludf.DUMMYFUNCTION("SPLIT(E1442,""01234567890"")"),"Sheldon
")</f>
        <v>Sheldon
</v>
      </c>
      <c r="V1442" s="24" t="str">
        <f>IFERROR(__xludf.DUMMYFUNCTION("SPLIT(D1442,"","")"),"Stein")</f>
        <v>Stein</v>
      </c>
      <c r="W1442" s="25" t="str">
        <f t="shared" si="1"/>
        <v>SHELDON
 STEIN</v>
      </c>
      <c r="X1442" s="22"/>
      <c r="Y1442" s="22"/>
      <c r="Z1442" s="25" t="str">
        <f>IFERROR(__xludf.DUMMYFUNCTION("SPLIT(C1442,""
"")"),"Stein, Sheldon")</f>
        <v>Stein, Sheldon</v>
      </c>
      <c r="AA1442" s="22" t="str">
        <f>IFERROR(__xludf.DUMMYFUNCTION("""COMPUTED_VALUE"""),"9338 Meadowbrook Drive")</f>
        <v>9338 Meadowbrook Drive</v>
      </c>
      <c r="AB1442" s="22" t="str">
        <f>IFERROR(__xludf.DUMMYFUNCTION("""COMPUTED_VALUE"""),"Dallas, TX 75220")</f>
        <v>Dallas, TX 75220</v>
      </c>
      <c r="AC1442" s="31" t="s">
        <v>969</v>
      </c>
      <c r="AD1442" s="22"/>
      <c r="AE1442" s="22"/>
      <c r="AF1442" s="22"/>
      <c r="AG1442" s="22" t="s">
        <v>60</v>
      </c>
      <c r="AH1442" s="54">
        <v>2505.0</v>
      </c>
      <c r="AI1442" s="22" t="s">
        <v>68</v>
      </c>
      <c r="AJ1442" s="27">
        <v>1000.0</v>
      </c>
      <c r="AK1442" s="31" t="s">
        <v>30</v>
      </c>
      <c r="AL1442" s="28">
        <v>44887.0</v>
      </c>
      <c r="AM1442" s="29">
        <v>44943.52300925926</v>
      </c>
      <c r="AN1442" s="30">
        <v>2.0</v>
      </c>
      <c r="AO1442" s="22"/>
      <c r="AP1442" s="22"/>
      <c r="AQ1442" s="22"/>
      <c r="AR1442" s="22"/>
      <c r="AS1442" s="22"/>
      <c r="AT1442" s="70"/>
      <c r="AU1442" s="22"/>
      <c r="AV1442" s="57"/>
      <c r="AW1442" s="57"/>
      <c r="AX1442" s="70"/>
      <c r="AY1442" s="29"/>
      <c r="AZ1442" s="30"/>
      <c r="CU1442" s="55"/>
      <c r="CV1442" s="55"/>
      <c r="CW1442" s="55"/>
      <c r="CX1442" s="55"/>
      <c r="CY1442" s="55"/>
      <c r="CZ1442" s="55"/>
      <c r="DA1442" s="82"/>
      <c r="DB1442" s="55"/>
      <c r="DC1442" s="55"/>
      <c r="DD1442" s="55"/>
      <c r="DE1442" s="55"/>
      <c r="DF1442" s="55"/>
      <c r="DG1442" s="55"/>
      <c r="DH1442" s="55"/>
      <c r="DI1442" s="55"/>
      <c r="DJ1442" s="55"/>
      <c r="DK1442" s="55"/>
      <c r="DL1442" s="55"/>
      <c r="DM1442" s="55"/>
      <c r="DN1442" s="55"/>
      <c r="DO1442" s="55"/>
      <c r="DP1442" s="55"/>
      <c r="DQ1442" s="55"/>
      <c r="DR1442" s="55"/>
      <c r="DS1442" s="55"/>
      <c r="DT1442" s="55"/>
      <c r="DU1442" s="55"/>
      <c r="DV1442" s="55"/>
      <c r="DW1442" s="55"/>
    </row>
    <row r="1443">
      <c r="A1443" s="41" t="s">
        <v>64</v>
      </c>
      <c r="B1443" s="41" t="s">
        <v>56</v>
      </c>
      <c r="C1443" s="31" t="s">
        <v>3037</v>
      </c>
      <c r="D1443" s="25" t="str">
        <f>IFERROR(__xludf.DUMMYFUNCTION("SPLIT(C1443,"" "")"),"Wood,")</f>
        <v>Wood,</v>
      </c>
      <c r="E1443" s="40" t="str">
        <f>IFERROR(__xludf.DUMMYFUNCTION("""COMPUTED_VALUE"""),"Ann
7209")</f>
        <v>Ann
7209</v>
      </c>
      <c r="F1443" s="40" t="str">
        <f>IFERROR(__xludf.DUMMYFUNCTION("""COMPUTED_VALUE"""),"Baxtershire
Dallas,")</f>
        <v>Baxtershire
Dallas,</v>
      </c>
      <c r="G1443" s="40" t="str">
        <f>IFERROR(__xludf.DUMMYFUNCTION("""COMPUTED_VALUE"""),"TX")</f>
        <v>TX</v>
      </c>
      <c r="H1443" s="40">
        <f>IFERROR(__xludf.DUMMYFUNCTION("""COMPUTED_VALUE"""),75230.0)</f>
        <v>75230</v>
      </c>
      <c r="I1443" s="40"/>
      <c r="J1443" s="40"/>
      <c r="K1443" s="40"/>
      <c r="L1443" s="40"/>
      <c r="M1443" s="40"/>
      <c r="N1443" s="40"/>
      <c r="O1443" s="40"/>
      <c r="P1443" s="40"/>
      <c r="Q1443" s="40"/>
      <c r="R1443" s="40"/>
      <c r="S1443" s="40"/>
      <c r="T1443" s="40"/>
      <c r="U1443" s="24" t="str">
        <f>IFERROR(__xludf.DUMMYFUNCTION("SPLIT(E1443,""01234567890"")"),"Ann
")</f>
        <v>Ann
</v>
      </c>
      <c r="V1443" s="24" t="str">
        <f>IFERROR(__xludf.DUMMYFUNCTION("SPLIT(D1443,"","")"),"Wood")</f>
        <v>Wood</v>
      </c>
      <c r="W1443" s="25" t="str">
        <f t="shared" si="1"/>
        <v>ANN
 WOOD</v>
      </c>
      <c r="X1443" s="40"/>
      <c r="Y1443" s="40"/>
      <c r="Z1443" s="25" t="str">
        <f>IFERROR(__xludf.DUMMYFUNCTION("SPLIT(C1443,""
"")"),"Wood, Ann")</f>
        <v>Wood, Ann</v>
      </c>
      <c r="AA1443" s="40" t="str">
        <f>IFERROR(__xludf.DUMMYFUNCTION("""COMPUTED_VALUE"""),"7209 Baxtershire")</f>
        <v>7209 Baxtershire</v>
      </c>
      <c r="AB1443" s="40" t="str">
        <f>IFERROR(__xludf.DUMMYFUNCTION("""COMPUTED_VALUE"""),"Dallas, TX 75230")</f>
        <v>Dallas, TX 75230</v>
      </c>
      <c r="AC1443" s="31" t="s">
        <v>3038</v>
      </c>
      <c r="AD1443" s="40"/>
      <c r="AE1443" s="40"/>
      <c r="AF1443" s="40"/>
      <c r="AG1443" s="40" t="s">
        <v>60</v>
      </c>
      <c r="AH1443" s="42">
        <v>2505.0</v>
      </c>
      <c r="AI1443" s="40" t="s">
        <v>68</v>
      </c>
      <c r="AJ1443" s="27">
        <v>100.0</v>
      </c>
      <c r="AK1443" s="31" t="s">
        <v>30</v>
      </c>
      <c r="AL1443" s="43">
        <v>44887.0</v>
      </c>
      <c r="AM1443" s="44">
        <v>44943.52300925926</v>
      </c>
      <c r="AN1443" s="30">
        <v>2.0</v>
      </c>
      <c r="AO1443" s="40"/>
      <c r="AP1443" s="40"/>
      <c r="AQ1443" s="40"/>
      <c r="AR1443" s="40"/>
      <c r="AS1443" s="40"/>
      <c r="AT1443" s="47"/>
      <c r="AU1443" s="40"/>
      <c r="AV1443" s="46"/>
      <c r="AW1443" s="46"/>
      <c r="AX1443" s="47"/>
      <c r="AY1443" s="44"/>
      <c r="AZ1443" s="30"/>
      <c r="CU1443" s="55"/>
      <c r="CV1443" s="55"/>
      <c r="CW1443" s="55"/>
      <c r="CX1443" s="55"/>
      <c r="CY1443" s="55"/>
      <c r="CZ1443" s="55"/>
      <c r="DA1443" s="82"/>
      <c r="DB1443" s="55"/>
      <c r="DC1443" s="55"/>
      <c r="DD1443" s="55"/>
      <c r="DE1443" s="55"/>
      <c r="DF1443" s="55"/>
      <c r="DG1443" s="55"/>
      <c r="DH1443" s="55"/>
      <c r="DI1443" s="55"/>
      <c r="DJ1443" s="55"/>
      <c r="DK1443" s="55"/>
      <c r="DL1443" s="55"/>
      <c r="DM1443" s="55"/>
      <c r="DN1443" s="55"/>
      <c r="DO1443" s="55"/>
      <c r="DP1443" s="55"/>
      <c r="DQ1443" s="55"/>
      <c r="DR1443" s="55"/>
      <c r="DS1443" s="55"/>
      <c r="DT1443" s="55"/>
      <c r="DU1443" s="55"/>
      <c r="DV1443" s="55"/>
      <c r="DW1443" s="55"/>
    </row>
    <row r="1444">
      <c r="A1444" s="22" t="s">
        <v>55</v>
      </c>
      <c r="B1444" s="23" t="s">
        <v>56</v>
      </c>
      <c r="C1444" s="31" t="s">
        <v>3039</v>
      </c>
      <c r="D1444" s="25" t="str">
        <f>IFERROR(__xludf.DUMMYFUNCTION("SPLIT(C1444,"" "")"),"Losinger,")</f>
        <v>Losinger,</v>
      </c>
      <c r="E1444" s="22" t="str">
        <f>IFERROR(__xludf.DUMMYFUNCTION("""COMPUTED_VALUE"""),"Sarah
4506")</f>
        <v>Sarah
4506</v>
      </c>
      <c r="F1444" s="22" t="str">
        <f>IFERROR(__xludf.DUMMYFUNCTION("""COMPUTED_VALUE"""),"Park")</f>
        <v>Park</v>
      </c>
      <c r="G1444" s="22" t="str">
        <f>IFERROR(__xludf.DUMMYFUNCTION("""COMPUTED_VALUE"""),"Ln
Dallas,")</f>
        <v>Ln
Dallas,</v>
      </c>
      <c r="H1444" s="22" t="str">
        <f>IFERROR(__xludf.DUMMYFUNCTION("""COMPUTED_VALUE"""),"TX")</f>
        <v>TX</v>
      </c>
      <c r="I1444" s="22">
        <f>IFERROR(__xludf.DUMMYFUNCTION("""COMPUTED_VALUE"""),75220.0)</f>
        <v>75220</v>
      </c>
      <c r="J1444" s="22"/>
      <c r="K1444" s="22"/>
      <c r="L1444" s="22"/>
      <c r="M1444" s="22"/>
      <c r="N1444" s="22"/>
      <c r="O1444" s="22"/>
      <c r="P1444" s="22"/>
      <c r="Q1444" s="22"/>
      <c r="R1444" s="22"/>
      <c r="S1444" s="22"/>
      <c r="T1444" s="22"/>
      <c r="U1444" s="24" t="str">
        <f>IFERROR(__xludf.DUMMYFUNCTION("SPLIT(E1444,""01234567890"")"),"Sarah
")</f>
        <v>Sarah
</v>
      </c>
      <c r="V1444" s="24" t="str">
        <f>IFERROR(__xludf.DUMMYFUNCTION("SPLIT(D1444,"","")"),"Losinger")</f>
        <v>Losinger</v>
      </c>
      <c r="W1444" s="25" t="str">
        <f t="shared" si="1"/>
        <v>SARAH
 LOSINGER</v>
      </c>
      <c r="X1444" s="22"/>
      <c r="Y1444" s="22"/>
      <c r="Z1444" s="25" t="str">
        <f>IFERROR(__xludf.DUMMYFUNCTION("SPLIT(C1444,""
"")"),"Losinger, Sarah")</f>
        <v>Losinger, Sarah</v>
      </c>
      <c r="AA1444" s="22" t="str">
        <f>IFERROR(__xludf.DUMMYFUNCTION("""COMPUTED_VALUE"""),"4506 Park Ln")</f>
        <v>4506 Park Ln</v>
      </c>
      <c r="AB1444" s="22" t="str">
        <f>IFERROR(__xludf.DUMMYFUNCTION("""COMPUTED_VALUE"""),"Dallas, TX 75220")</f>
        <v>Dallas, TX 75220</v>
      </c>
      <c r="AC1444" s="31" t="s">
        <v>1266</v>
      </c>
      <c r="AD1444" s="22"/>
      <c r="AE1444" s="22"/>
      <c r="AF1444" s="22"/>
      <c r="AG1444" s="22" t="s">
        <v>60</v>
      </c>
      <c r="AH1444" s="54">
        <v>2505.0</v>
      </c>
      <c r="AI1444" s="22" t="s">
        <v>68</v>
      </c>
      <c r="AJ1444" s="27">
        <v>1000.0</v>
      </c>
      <c r="AK1444" s="31" t="s">
        <v>30</v>
      </c>
      <c r="AL1444" s="28">
        <v>44888.0</v>
      </c>
      <c r="AM1444" s="29">
        <v>44943.52300925926</v>
      </c>
      <c r="AN1444" s="30">
        <v>2.0</v>
      </c>
      <c r="AO1444" s="22"/>
      <c r="AP1444" s="22"/>
      <c r="AQ1444" s="22"/>
      <c r="AR1444" s="22"/>
      <c r="AS1444" s="22"/>
      <c r="AT1444" s="70"/>
      <c r="AU1444" s="22"/>
      <c r="AV1444" s="57"/>
      <c r="AW1444" s="57"/>
      <c r="AX1444" s="70"/>
      <c r="AY1444" s="29"/>
      <c r="AZ1444" s="30"/>
      <c r="CU1444" s="55"/>
      <c r="CV1444" s="55"/>
      <c r="CW1444" s="55"/>
      <c r="CX1444" s="55"/>
      <c r="CY1444" s="55"/>
      <c r="CZ1444" s="55"/>
      <c r="DA1444" s="82"/>
      <c r="DB1444" s="55"/>
      <c r="DC1444" s="55"/>
      <c r="DD1444" s="55"/>
      <c r="DE1444" s="55"/>
      <c r="DF1444" s="55"/>
      <c r="DG1444" s="55"/>
      <c r="DH1444" s="55"/>
      <c r="DI1444" s="55"/>
      <c r="DJ1444" s="55"/>
      <c r="DK1444" s="55"/>
      <c r="DL1444" s="55"/>
      <c r="DM1444" s="55"/>
      <c r="DN1444" s="55"/>
      <c r="DO1444" s="55"/>
      <c r="DP1444" s="55"/>
      <c r="DQ1444" s="55"/>
      <c r="DR1444" s="55"/>
      <c r="DS1444" s="55"/>
      <c r="DT1444" s="55"/>
      <c r="DU1444" s="55"/>
      <c r="DV1444" s="55"/>
      <c r="DW1444" s="55"/>
    </row>
    <row r="1445">
      <c r="A1445" s="41" t="s">
        <v>64</v>
      </c>
      <c r="B1445" s="41" t="s">
        <v>56</v>
      </c>
      <c r="C1445" s="31" t="s">
        <v>1174</v>
      </c>
      <c r="D1445" s="25" t="str">
        <f>IFERROR(__xludf.DUMMYFUNCTION("SPLIT(C1445,"" "")"),"Perkins,")</f>
        <v>Perkins,</v>
      </c>
      <c r="E1445" s="40" t="str">
        <f>IFERROR(__xludf.DUMMYFUNCTION("""COMPUTED_VALUE"""),"Mark
8911")</f>
        <v>Mark
8911</v>
      </c>
      <c r="F1445" s="40" t="str">
        <f>IFERROR(__xludf.DUMMYFUNCTION("""COMPUTED_VALUE"""),"Guernsey")</f>
        <v>Guernsey</v>
      </c>
      <c r="G1445" s="40" t="str">
        <f>IFERROR(__xludf.DUMMYFUNCTION("""COMPUTED_VALUE"""),"Ln
Dallas,")</f>
        <v>Ln
Dallas,</v>
      </c>
      <c r="H1445" s="40" t="str">
        <f>IFERROR(__xludf.DUMMYFUNCTION("""COMPUTED_VALUE"""),"TX")</f>
        <v>TX</v>
      </c>
      <c r="I1445" s="40">
        <f>IFERROR(__xludf.DUMMYFUNCTION("""COMPUTED_VALUE"""),75220.0)</f>
        <v>75220</v>
      </c>
      <c r="J1445" s="40"/>
      <c r="K1445" s="40"/>
      <c r="L1445" s="40"/>
      <c r="M1445" s="40"/>
      <c r="N1445" s="40"/>
      <c r="O1445" s="40"/>
      <c r="P1445" s="40"/>
      <c r="Q1445" s="40"/>
      <c r="R1445" s="40"/>
      <c r="S1445" s="40"/>
      <c r="T1445" s="40"/>
      <c r="U1445" s="24" t="str">
        <f>IFERROR(__xludf.DUMMYFUNCTION("SPLIT(E1445,""01234567890"")"),"Mark
")</f>
        <v>Mark
</v>
      </c>
      <c r="V1445" s="24" t="str">
        <f>IFERROR(__xludf.DUMMYFUNCTION("SPLIT(D1445,"","")"),"Perkins")</f>
        <v>Perkins</v>
      </c>
      <c r="W1445" s="25" t="str">
        <f t="shared" si="1"/>
        <v>MARK
 PERKINS</v>
      </c>
      <c r="X1445" s="40"/>
      <c r="Y1445" s="40"/>
      <c r="Z1445" s="25" t="str">
        <f>IFERROR(__xludf.DUMMYFUNCTION("SPLIT(C1445,""
"")"),"Perkins, Mark")</f>
        <v>Perkins, Mark</v>
      </c>
      <c r="AA1445" s="40" t="str">
        <f>IFERROR(__xludf.DUMMYFUNCTION("""COMPUTED_VALUE"""),"8911 Guernsey Ln")</f>
        <v>8911 Guernsey Ln</v>
      </c>
      <c r="AB1445" s="40" t="str">
        <f>IFERROR(__xludf.DUMMYFUNCTION("""COMPUTED_VALUE"""),"Dallas, TX 75220")</f>
        <v>Dallas, TX 75220</v>
      </c>
      <c r="AC1445" s="31" t="s">
        <v>1176</v>
      </c>
      <c r="AD1445" s="40"/>
      <c r="AE1445" s="40"/>
      <c r="AF1445" s="40"/>
      <c r="AG1445" s="40" t="s">
        <v>60</v>
      </c>
      <c r="AH1445" s="42">
        <v>2505.0</v>
      </c>
      <c r="AI1445" s="40" t="s">
        <v>68</v>
      </c>
      <c r="AJ1445" s="27">
        <v>350.0</v>
      </c>
      <c r="AK1445" s="31" t="s">
        <v>30</v>
      </c>
      <c r="AL1445" s="43">
        <v>44888.0</v>
      </c>
      <c r="AM1445" s="44">
        <v>44943.52300925926</v>
      </c>
      <c r="AN1445" s="30">
        <v>2.0</v>
      </c>
      <c r="AO1445" s="40"/>
      <c r="AP1445" s="40"/>
      <c r="AQ1445" s="40"/>
      <c r="AR1445" s="40"/>
      <c r="AS1445" s="40"/>
      <c r="AT1445" s="47"/>
      <c r="AU1445" s="40"/>
      <c r="AV1445" s="46"/>
      <c r="AW1445" s="46"/>
      <c r="AX1445" s="47"/>
      <c r="AY1445" s="44"/>
      <c r="AZ1445" s="30"/>
      <c r="CU1445" s="55"/>
      <c r="CV1445" s="55"/>
      <c r="CW1445" s="55"/>
      <c r="CX1445" s="55"/>
      <c r="CY1445" s="55"/>
      <c r="CZ1445" s="55"/>
      <c r="DA1445" s="82"/>
      <c r="DB1445" s="55"/>
      <c r="DC1445" s="55"/>
      <c r="DD1445" s="55"/>
      <c r="DE1445" s="55"/>
      <c r="DF1445" s="55"/>
      <c r="DG1445" s="55"/>
      <c r="DH1445" s="55"/>
      <c r="DI1445" s="55"/>
      <c r="DJ1445" s="55"/>
      <c r="DK1445" s="55"/>
      <c r="DL1445" s="55"/>
      <c r="DM1445" s="55"/>
      <c r="DN1445" s="55"/>
      <c r="DO1445" s="55"/>
      <c r="DP1445" s="55"/>
      <c r="DQ1445" s="55"/>
      <c r="DR1445" s="55"/>
      <c r="DS1445" s="55"/>
      <c r="DT1445" s="55"/>
      <c r="DU1445" s="55"/>
      <c r="DV1445" s="55"/>
      <c r="DW1445" s="55"/>
    </row>
    <row r="1446">
      <c r="A1446" s="22" t="s">
        <v>55</v>
      </c>
      <c r="B1446" s="23" t="s">
        <v>56</v>
      </c>
      <c r="C1446" s="31" t="s">
        <v>2677</v>
      </c>
      <c r="D1446" s="25" t="str">
        <f>IFERROR(__xludf.DUMMYFUNCTION("SPLIT(C1446,"" "")"),"Wallace,")</f>
        <v>Wallace,</v>
      </c>
      <c r="E1446" s="22" t="str">
        <f>IFERROR(__xludf.DUMMYFUNCTION("""COMPUTED_VALUE"""),"Chris
4235")</f>
        <v>Chris
4235</v>
      </c>
      <c r="F1446" s="22" t="str">
        <f>IFERROR(__xludf.DUMMYFUNCTION("""COMPUTED_VALUE"""),"Castle")</f>
        <v>Castle</v>
      </c>
      <c r="G1446" s="22" t="str">
        <f>IFERROR(__xludf.DUMMYFUNCTION("""COMPUTED_VALUE"""),"Rock")</f>
        <v>Rock</v>
      </c>
      <c r="H1446" s="22" t="str">
        <f>IFERROR(__xludf.DUMMYFUNCTION("""COMPUTED_VALUE"""),"Court
IRVING,")</f>
        <v>Court
IRVING,</v>
      </c>
      <c r="I1446" s="22" t="str">
        <f>IFERROR(__xludf.DUMMYFUNCTION("""COMPUTED_VALUE"""),"TX")</f>
        <v>TX</v>
      </c>
      <c r="J1446" s="22">
        <f>IFERROR(__xludf.DUMMYFUNCTION("""COMPUTED_VALUE"""),75038.0)</f>
        <v>75038</v>
      </c>
      <c r="K1446" s="22"/>
      <c r="L1446" s="22"/>
      <c r="M1446" s="22"/>
      <c r="N1446" s="22"/>
      <c r="O1446" s="22"/>
      <c r="P1446" s="22"/>
      <c r="Q1446" s="22"/>
      <c r="R1446" s="22"/>
      <c r="S1446" s="22"/>
      <c r="T1446" s="22"/>
      <c r="U1446" s="24" t="str">
        <f>IFERROR(__xludf.DUMMYFUNCTION("SPLIT(E1446,""01234567890"")"),"Chris
")</f>
        <v>Chris
</v>
      </c>
      <c r="V1446" s="24" t="str">
        <f>IFERROR(__xludf.DUMMYFUNCTION("SPLIT(D1446,"","")"),"Wallace")</f>
        <v>Wallace</v>
      </c>
      <c r="W1446" s="25" t="str">
        <f t="shared" si="1"/>
        <v>CHRIS
 WALLACE</v>
      </c>
      <c r="X1446" s="22"/>
      <c r="Y1446" s="22"/>
      <c r="Z1446" s="25" t="str">
        <f>IFERROR(__xludf.DUMMYFUNCTION("SPLIT(C1446,""
"")"),"Wallace, Chris")</f>
        <v>Wallace, Chris</v>
      </c>
      <c r="AA1446" s="22" t="str">
        <f>IFERROR(__xludf.DUMMYFUNCTION("""COMPUTED_VALUE"""),"4235 Castle Rock Court")</f>
        <v>4235 Castle Rock Court</v>
      </c>
      <c r="AB1446" s="22" t="str">
        <f>IFERROR(__xludf.DUMMYFUNCTION("""COMPUTED_VALUE"""),"IRVING, TX 75038")</f>
        <v>IRVING, TX 75038</v>
      </c>
      <c r="AC1446" s="31" t="s">
        <v>1521</v>
      </c>
      <c r="AD1446" s="22"/>
      <c r="AE1446" s="22"/>
      <c r="AF1446" s="22"/>
      <c r="AG1446" s="22" t="s">
        <v>60</v>
      </c>
      <c r="AH1446" s="54">
        <v>2505.0</v>
      </c>
      <c r="AI1446" s="22" t="s">
        <v>68</v>
      </c>
      <c r="AJ1446" s="27">
        <v>100.0</v>
      </c>
      <c r="AK1446" s="31" t="s">
        <v>30</v>
      </c>
      <c r="AL1446" s="28">
        <v>44893.0</v>
      </c>
      <c r="AM1446" s="29">
        <v>44943.52300925926</v>
      </c>
      <c r="AN1446" s="30">
        <v>2.0</v>
      </c>
      <c r="AO1446" s="22"/>
      <c r="AP1446" s="22"/>
      <c r="AQ1446" s="22"/>
      <c r="AR1446" s="22"/>
      <c r="AS1446" s="22"/>
      <c r="AT1446" s="70"/>
      <c r="AU1446" s="22"/>
      <c r="AV1446" s="57"/>
      <c r="AW1446" s="57"/>
      <c r="AX1446" s="70"/>
      <c r="AY1446" s="29"/>
      <c r="AZ1446" s="30"/>
      <c r="CU1446" s="55"/>
      <c r="CV1446" s="55"/>
      <c r="CW1446" s="55"/>
      <c r="CX1446" s="55"/>
      <c r="CY1446" s="55"/>
      <c r="CZ1446" s="55"/>
      <c r="DA1446" s="82"/>
      <c r="DB1446" s="55"/>
      <c r="DC1446" s="55"/>
      <c r="DD1446" s="55"/>
      <c r="DE1446" s="55"/>
      <c r="DF1446" s="55"/>
      <c r="DG1446" s="55"/>
      <c r="DH1446" s="55"/>
      <c r="DI1446" s="55"/>
      <c r="DJ1446" s="55"/>
      <c r="DK1446" s="55"/>
      <c r="DL1446" s="55"/>
      <c r="DM1446" s="55"/>
      <c r="DN1446" s="55"/>
      <c r="DO1446" s="55"/>
      <c r="DP1446" s="55"/>
      <c r="DQ1446" s="55"/>
      <c r="DR1446" s="55"/>
      <c r="DS1446" s="55"/>
      <c r="DT1446" s="55"/>
      <c r="DU1446" s="55"/>
      <c r="DV1446" s="55"/>
      <c r="DW1446" s="55"/>
    </row>
    <row r="1447">
      <c r="A1447" s="41" t="s">
        <v>64</v>
      </c>
      <c r="B1447" s="41" t="s">
        <v>56</v>
      </c>
      <c r="C1447" s="31" t="s">
        <v>1222</v>
      </c>
      <c r="D1447" s="25" t="str">
        <f>IFERROR(__xludf.DUMMYFUNCTION("SPLIT(C1447,"" "")"),"Davis,")</f>
        <v>Davis,</v>
      </c>
      <c r="E1447" s="40" t="str">
        <f>IFERROR(__xludf.DUMMYFUNCTION("""COMPUTED_VALUE"""),"Macey
8322")</f>
        <v>Macey
8322</v>
      </c>
      <c r="F1447" s="40" t="str">
        <f>IFERROR(__xludf.DUMMYFUNCTION("""COMPUTED_VALUE"""),"Ridgelea")</f>
        <v>Ridgelea</v>
      </c>
      <c r="G1447" s="40" t="str">
        <f>IFERROR(__xludf.DUMMYFUNCTION("""COMPUTED_VALUE"""),"Street
Dallas,")</f>
        <v>Street
Dallas,</v>
      </c>
      <c r="H1447" s="40" t="str">
        <f>IFERROR(__xludf.DUMMYFUNCTION("""COMPUTED_VALUE"""),"TX")</f>
        <v>TX</v>
      </c>
      <c r="I1447" s="40">
        <f>IFERROR(__xludf.DUMMYFUNCTION("""COMPUTED_VALUE"""),75209.0)</f>
        <v>75209</v>
      </c>
      <c r="J1447" s="40"/>
      <c r="K1447" s="40"/>
      <c r="L1447" s="40"/>
      <c r="M1447" s="40"/>
      <c r="N1447" s="40"/>
      <c r="O1447" s="40"/>
      <c r="P1447" s="40"/>
      <c r="Q1447" s="40"/>
      <c r="R1447" s="40"/>
      <c r="S1447" s="40"/>
      <c r="T1447" s="40"/>
      <c r="U1447" s="24" t="str">
        <f>IFERROR(__xludf.DUMMYFUNCTION("SPLIT(E1447,""01234567890"")"),"Macey
")</f>
        <v>Macey
</v>
      </c>
      <c r="V1447" s="24" t="str">
        <f>IFERROR(__xludf.DUMMYFUNCTION("SPLIT(D1447,"","")"),"Davis")</f>
        <v>Davis</v>
      </c>
      <c r="W1447" s="25" t="str">
        <f t="shared" si="1"/>
        <v>MACEY
 DAVIS</v>
      </c>
      <c r="X1447" s="40"/>
      <c r="Y1447" s="40"/>
      <c r="Z1447" s="25" t="str">
        <f>IFERROR(__xludf.DUMMYFUNCTION("SPLIT(C1447,""
"")"),"Davis, Macey")</f>
        <v>Davis, Macey</v>
      </c>
      <c r="AA1447" s="40" t="str">
        <f>IFERROR(__xludf.DUMMYFUNCTION("""COMPUTED_VALUE"""),"8322 Ridgelea Street")</f>
        <v>8322 Ridgelea Street</v>
      </c>
      <c r="AB1447" s="40" t="str">
        <f>IFERROR(__xludf.DUMMYFUNCTION("""COMPUTED_VALUE"""),"Dallas, TX 75209")</f>
        <v>Dallas, TX 75209</v>
      </c>
      <c r="AC1447" s="31" t="s">
        <v>1224</v>
      </c>
      <c r="AD1447" s="40"/>
      <c r="AE1447" s="40"/>
      <c r="AF1447" s="40"/>
      <c r="AG1447" s="40" t="s">
        <v>60</v>
      </c>
      <c r="AH1447" s="42">
        <v>2505.0</v>
      </c>
      <c r="AI1447" s="40" t="s">
        <v>68</v>
      </c>
      <c r="AJ1447" s="27">
        <v>1000.0</v>
      </c>
      <c r="AK1447" s="31" t="s">
        <v>30</v>
      </c>
      <c r="AL1447" s="43">
        <v>44900.0</v>
      </c>
      <c r="AM1447" s="44">
        <v>44943.52300925926</v>
      </c>
      <c r="AN1447" s="30">
        <v>2.0</v>
      </c>
      <c r="AO1447" s="40"/>
      <c r="AP1447" s="40"/>
      <c r="AQ1447" s="40"/>
      <c r="AR1447" s="40"/>
      <c r="AS1447" s="40"/>
      <c r="AT1447" s="47"/>
      <c r="AU1447" s="40"/>
      <c r="AV1447" s="46"/>
      <c r="AW1447" s="46"/>
      <c r="AX1447" s="47"/>
      <c r="AY1447" s="44"/>
      <c r="AZ1447" s="30"/>
      <c r="CU1447" s="55"/>
      <c r="CV1447" s="55"/>
      <c r="CW1447" s="55"/>
      <c r="CX1447" s="55"/>
      <c r="CY1447" s="55"/>
      <c r="CZ1447" s="55"/>
      <c r="DA1447" s="82"/>
      <c r="DB1447" s="55"/>
      <c r="DC1447" s="55"/>
      <c r="DD1447" s="55"/>
      <c r="DE1447" s="55"/>
      <c r="DF1447" s="55"/>
      <c r="DG1447" s="55"/>
      <c r="DH1447" s="55"/>
      <c r="DI1447" s="55"/>
      <c r="DJ1447" s="55"/>
      <c r="DK1447" s="55"/>
      <c r="DL1447" s="55"/>
      <c r="DM1447" s="55"/>
      <c r="DN1447" s="55"/>
      <c r="DO1447" s="55"/>
      <c r="DP1447" s="55"/>
      <c r="DQ1447" s="55"/>
      <c r="DR1447" s="55"/>
      <c r="DS1447" s="55"/>
      <c r="DT1447" s="55"/>
      <c r="DU1447" s="55"/>
      <c r="DV1447" s="55"/>
      <c r="DW1447" s="55"/>
    </row>
    <row r="1448">
      <c r="A1448" s="22" t="s">
        <v>55</v>
      </c>
      <c r="B1448" s="23" t="s">
        <v>56</v>
      </c>
      <c r="C1448" s="31" t="s">
        <v>3040</v>
      </c>
      <c r="D1448" s="25" t="str">
        <f>IFERROR(__xludf.DUMMYFUNCTION("SPLIT(C1448,"" "")"),"Nix,")</f>
        <v>Nix,</v>
      </c>
      <c r="E1448" s="22" t="str">
        <f>IFERROR(__xludf.DUMMYFUNCTION("""COMPUTED_VALUE"""),"Stephen
8511")</f>
        <v>Stephen
8511</v>
      </c>
      <c r="F1448" s="22" t="str">
        <f>IFERROR(__xludf.DUMMYFUNCTION("""COMPUTED_VALUE"""),"Blue")</f>
        <v>Blue</v>
      </c>
      <c r="G1448" s="22" t="str">
        <f>IFERROR(__xludf.DUMMYFUNCTION("""COMPUTED_VALUE"""),"Bonnet")</f>
        <v>Bonnet</v>
      </c>
      <c r="H1448" s="22" t="str">
        <f>IFERROR(__xludf.DUMMYFUNCTION("""COMPUTED_VALUE"""),"Road,
Dallas,")</f>
        <v>Road,
Dallas,</v>
      </c>
      <c r="I1448" s="22" t="str">
        <f>IFERROR(__xludf.DUMMYFUNCTION("""COMPUTED_VALUE"""),"TX")</f>
        <v>TX</v>
      </c>
      <c r="J1448" s="22">
        <f>IFERROR(__xludf.DUMMYFUNCTION("""COMPUTED_VALUE"""),75209.0)</f>
        <v>75209</v>
      </c>
      <c r="K1448" s="22"/>
      <c r="L1448" s="22"/>
      <c r="M1448" s="22"/>
      <c r="N1448" s="22"/>
      <c r="O1448" s="22"/>
      <c r="P1448" s="22"/>
      <c r="Q1448" s="22"/>
      <c r="R1448" s="22"/>
      <c r="S1448" s="22"/>
      <c r="T1448" s="22"/>
      <c r="U1448" s="24" t="str">
        <f>IFERROR(__xludf.DUMMYFUNCTION("SPLIT(E1448,""01234567890"")"),"Stephen
")</f>
        <v>Stephen
</v>
      </c>
      <c r="V1448" s="24" t="str">
        <f>IFERROR(__xludf.DUMMYFUNCTION("SPLIT(D1448,"","")"),"Nix")</f>
        <v>Nix</v>
      </c>
      <c r="W1448" s="25" t="str">
        <f t="shared" si="1"/>
        <v>STEPHEN
 NIX</v>
      </c>
      <c r="X1448" s="22"/>
      <c r="Y1448" s="22"/>
      <c r="Z1448" s="25" t="str">
        <f>IFERROR(__xludf.DUMMYFUNCTION("SPLIT(C1448,""
"")"),"Nix, Stephen")</f>
        <v>Nix, Stephen</v>
      </c>
      <c r="AA1448" s="22" t="str">
        <f>IFERROR(__xludf.DUMMYFUNCTION("""COMPUTED_VALUE"""),"8511 Blue Bonnet Road,")</f>
        <v>8511 Blue Bonnet Road,</v>
      </c>
      <c r="AB1448" s="22" t="str">
        <f>IFERROR(__xludf.DUMMYFUNCTION("""COMPUTED_VALUE"""),"Dallas, TX 75209")</f>
        <v>Dallas, TX 75209</v>
      </c>
      <c r="AC1448" s="31" t="s">
        <v>3041</v>
      </c>
      <c r="AD1448" s="22"/>
      <c r="AE1448" s="22"/>
      <c r="AF1448" s="22"/>
      <c r="AG1448" s="22" t="s">
        <v>60</v>
      </c>
      <c r="AH1448" s="54">
        <v>2505.0</v>
      </c>
      <c r="AI1448" s="22" t="s">
        <v>68</v>
      </c>
      <c r="AJ1448" s="27">
        <v>300.0</v>
      </c>
      <c r="AK1448" s="31" t="s">
        <v>30</v>
      </c>
      <c r="AL1448" s="28">
        <v>44914.0</v>
      </c>
      <c r="AM1448" s="29">
        <v>44943.52300925926</v>
      </c>
      <c r="AN1448" s="30">
        <v>2.0</v>
      </c>
      <c r="AO1448" s="22"/>
      <c r="AP1448" s="22"/>
      <c r="AQ1448" s="22"/>
      <c r="AR1448" s="22"/>
      <c r="AS1448" s="22"/>
      <c r="AT1448" s="70"/>
      <c r="AU1448" s="22"/>
      <c r="AV1448" s="57"/>
      <c r="AW1448" s="57"/>
      <c r="AX1448" s="70"/>
      <c r="AY1448" s="29"/>
      <c r="AZ1448" s="30"/>
      <c r="CU1448" s="55"/>
      <c r="CV1448" s="55"/>
      <c r="CW1448" s="55"/>
      <c r="CX1448" s="55"/>
      <c r="CY1448" s="55"/>
      <c r="CZ1448" s="55"/>
      <c r="DA1448" s="82"/>
      <c r="DB1448" s="55"/>
      <c r="DC1448" s="55"/>
      <c r="DD1448" s="55"/>
      <c r="DE1448" s="55"/>
      <c r="DF1448" s="55"/>
      <c r="DG1448" s="55"/>
      <c r="DH1448" s="55"/>
      <c r="DI1448" s="55"/>
      <c r="DJ1448" s="55"/>
      <c r="DK1448" s="55"/>
      <c r="DL1448" s="55"/>
      <c r="DM1448" s="55"/>
      <c r="DN1448" s="55"/>
      <c r="DO1448" s="55"/>
      <c r="DP1448" s="55"/>
      <c r="DQ1448" s="55"/>
      <c r="DR1448" s="55"/>
      <c r="DS1448" s="55"/>
      <c r="DT1448" s="55"/>
      <c r="DU1448" s="55"/>
      <c r="DV1448" s="55"/>
      <c r="DW1448" s="55"/>
    </row>
    <row r="1449">
      <c r="A1449" s="41" t="s">
        <v>64</v>
      </c>
      <c r="B1449" s="41" t="s">
        <v>56</v>
      </c>
      <c r="C1449" s="31" t="s">
        <v>3042</v>
      </c>
      <c r="D1449" s="25" t="str">
        <f>IFERROR(__xludf.DUMMYFUNCTION("SPLIT(C1449,"" "")"),"Bryant,")</f>
        <v>Bryant,</v>
      </c>
      <c r="E1449" s="40" t="str">
        <f>IFERROR(__xludf.DUMMYFUNCTION("""COMPUTED_VALUE"""),"Kevin
4463")</f>
        <v>Kevin
4463</v>
      </c>
      <c r="F1449" s="40" t="str">
        <f>IFERROR(__xludf.DUMMYFUNCTION("""COMPUTED_VALUE"""),"Brookview")</f>
        <v>Brookview</v>
      </c>
      <c r="G1449" s="40" t="str">
        <f>IFERROR(__xludf.DUMMYFUNCTION("""COMPUTED_VALUE"""),"Dr,")</f>
        <v>Dr,</v>
      </c>
      <c r="H1449" s="40" t="str">
        <f>IFERROR(__xludf.DUMMYFUNCTION("""COMPUTED_VALUE"""),"Dallas,")</f>
        <v>Dallas,</v>
      </c>
      <c r="I1449" s="40" t="str">
        <f>IFERROR(__xludf.DUMMYFUNCTION("""COMPUTED_VALUE"""),"TX
Dallas,")</f>
        <v>TX
Dallas,</v>
      </c>
      <c r="J1449" s="40" t="str">
        <f>IFERROR(__xludf.DUMMYFUNCTION("""COMPUTED_VALUE"""),"TX")</f>
        <v>TX</v>
      </c>
      <c r="K1449" s="40">
        <f>IFERROR(__xludf.DUMMYFUNCTION("""COMPUTED_VALUE"""),75220.0)</f>
        <v>75220</v>
      </c>
      <c r="L1449" s="40"/>
      <c r="M1449" s="40"/>
      <c r="N1449" s="40"/>
      <c r="O1449" s="40"/>
      <c r="P1449" s="40"/>
      <c r="Q1449" s="40"/>
      <c r="R1449" s="40"/>
      <c r="S1449" s="40"/>
      <c r="T1449" s="40"/>
      <c r="U1449" s="24" t="str">
        <f>IFERROR(__xludf.DUMMYFUNCTION("SPLIT(E1449,""01234567890"")"),"Kevin
")</f>
        <v>Kevin
</v>
      </c>
      <c r="V1449" s="24" t="str">
        <f>IFERROR(__xludf.DUMMYFUNCTION("SPLIT(D1449,"","")"),"Bryant")</f>
        <v>Bryant</v>
      </c>
      <c r="W1449" s="25" t="str">
        <f t="shared" si="1"/>
        <v>KEVIN
 BRYANT</v>
      </c>
      <c r="X1449" s="40"/>
      <c r="Y1449" s="40"/>
      <c r="Z1449" s="25" t="str">
        <f>IFERROR(__xludf.DUMMYFUNCTION("SPLIT(C1449,""
"")"),"Bryant, Kevin")</f>
        <v>Bryant, Kevin</v>
      </c>
      <c r="AA1449" s="40" t="str">
        <f>IFERROR(__xludf.DUMMYFUNCTION("""COMPUTED_VALUE"""),"4463 Brookview Dr, Dallas, TX")</f>
        <v>4463 Brookview Dr, Dallas, TX</v>
      </c>
      <c r="AB1449" s="40" t="str">
        <f>IFERROR(__xludf.DUMMYFUNCTION("""COMPUTED_VALUE"""),"Dallas, TX 75220")</f>
        <v>Dallas, TX 75220</v>
      </c>
      <c r="AC1449" s="31" t="s">
        <v>2756</v>
      </c>
      <c r="AD1449" s="40"/>
      <c r="AE1449" s="40"/>
      <c r="AF1449" s="40"/>
      <c r="AG1449" s="40" t="s">
        <v>60</v>
      </c>
      <c r="AH1449" s="42">
        <v>2505.0</v>
      </c>
      <c r="AI1449" s="40" t="s">
        <v>68</v>
      </c>
      <c r="AJ1449" s="27">
        <v>150.0</v>
      </c>
      <c r="AK1449" s="31" t="s">
        <v>30</v>
      </c>
      <c r="AL1449" s="43">
        <v>44915.0</v>
      </c>
      <c r="AM1449" s="44">
        <v>44943.52300925926</v>
      </c>
      <c r="AN1449" s="30">
        <v>2.0</v>
      </c>
      <c r="AO1449" s="40"/>
      <c r="AP1449" s="40"/>
      <c r="AQ1449" s="40"/>
      <c r="AR1449" s="40"/>
      <c r="AS1449" s="40"/>
      <c r="AT1449" s="47"/>
      <c r="AU1449" s="40"/>
      <c r="AV1449" s="46"/>
      <c r="AW1449" s="46"/>
      <c r="AX1449" s="47"/>
      <c r="AY1449" s="44"/>
      <c r="AZ1449" s="30"/>
      <c r="CU1449" s="55"/>
      <c r="CV1449" s="55"/>
      <c r="CW1449" s="55"/>
      <c r="CX1449" s="55"/>
      <c r="CY1449" s="55"/>
      <c r="CZ1449" s="55"/>
      <c r="DA1449" s="82"/>
      <c r="DB1449" s="55"/>
      <c r="DC1449" s="55"/>
      <c r="DD1449" s="55"/>
      <c r="DE1449" s="55"/>
      <c r="DF1449" s="55"/>
      <c r="DG1449" s="55"/>
      <c r="DH1449" s="55"/>
      <c r="DI1449" s="55"/>
      <c r="DJ1449" s="55"/>
      <c r="DK1449" s="55"/>
      <c r="DL1449" s="55"/>
      <c r="DM1449" s="55"/>
      <c r="DN1449" s="55"/>
      <c r="DO1449" s="55"/>
      <c r="DP1449" s="55"/>
      <c r="DQ1449" s="55"/>
      <c r="DR1449" s="55"/>
      <c r="DS1449" s="55"/>
      <c r="DT1449" s="55"/>
      <c r="DU1449" s="55"/>
      <c r="DV1449" s="55"/>
      <c r="DW1449" s="55"/>
    </row>
    <row r="1450">
      <c r="A1450" s="22" t="s">
        <v>55</v>
      </c>
      <c r="B1450" s="23" t="s">
        <v>56</v>
      </c>
      <c r="C1450" s="31" t="s">
        <v>3043</v>
      </c>
      <c r="D1450" s="25" t="str">
        <f>IFERROR(__xludf.DUMMYFUNCTION("SPLIT(C1450,"" "")"),"Hunt,")</f>
        <v>Hunt,</v>
      </c>
      <c r="E1450" s="22" t="str">
        <f>IFERROR(__xludf.DUMMYFUNCTION("""COMPUTED_VALUE"""),"Amy
10615")</f>
        <v>Amy
10615</v>
      </c>
      <c r="F1450" s="22" t="str">
        <f>IFERROR(__xludf.DUMMYFUNCTION("""COMPUTED_VALUE"""),"ROYAL")</f>
        <v>ROYAL</v>
      </c>
      <c r="G1450" s="22" t="str">
        <f>IFERROR(__xludf.DUMMYFUNCTION("""COMPUTED_VALUE"""),"CLUB")</f>
        <v>CLUB</v>
      </c>
      <c r="H1450" s="22" t="str">
        <f>IFERROR(__xludf.DUMMYFUNCTION("""COMPUTED_VALUE"""),"LN,")</f>
        <v>LN,</v>
      </c>
      <c r="I1450" s="22" t="str">
        <f>IFERROR(__xludf.DUMMYFUNCTION("""COMPUTED_VALUE"""),"Dallas,")</f>
        <v>Dallas,</v>
      </c>
      <c r="J1450" s="22" t="str">
        <f>IFERROR(__xludf.DUMMYFUNCTION("""COMPUTED_VALUE"""),"TX
Dallas,")</f>
        <v>TX
Dallas,</v>
      </c>
      <c r="K1450" s="22" t="str">
        <f>IFERROR(__xludf.DUMMYFUNCTION("""COMPUTED_VALUE"""),"TX")</f>
        <v>TX</v>
      </c>
      <c r="L1450" s="22">
        <f>IFERROR(__xludf.DUMMYFUNCTION("""COMPUTED_VALUE"""),75229.0)</f>
        <v>75229</v>
      </c>
      <c r="M1450" s="22"/>
      <c r="N1450" s="22"/>
      <c r="O1450" s="22"/>
      <c r="P1450" s="22"/>
      <c r="Q1450" s="22"/>
      <c r="R1450" s="22"/>
      <c r="S1450" s="22"/>
      <c r="T1450" s="22"/>
      <c r="U1450" s="24" t="str">
        <f>IFERROR(__xludf.DUMMYFUNCTION("SPLIT(E1450,""01234567890"")"),"Amy
")</f>
        <v>Amy
</v>
      </c>
      <c r="V1450" s="24" t="str">
        <f>IFERROR(__xludf.DUMMYFUNCTION("SPLIT(D1450,"","")"),"Hunt")</f>
        <v>Hunt</v>
      </c>
      <c r="W1450" s="25" t="str">
        <f t="shared" si="1"/>
        <v>AMY
 HUNT</v>
      </c>
      <c r="X1450" s="22"/>
      <c r="Y1450" s="22"/>
      <c r="Z1450" s="25" t="str">
        <f>IFERROR(__xludf.DUMMYFUNCTION("SPLIT(C1450,""
"")"),"Hunt, Amy")</f>
        <v>Hunt, Amy</v>
      </c>
      <c r="AA1450" s="22" t="str">
        <f>IFERROR(__xludf.DUMMYFUNCTION("""COMPUTED_VALUE"""),"10615 ROYAL CLUB LN, Dallas, TX")</f>
        <v>10615 ROYAL CLUB LN, Dallas, TX</v>
      </c>
      <c r="AB1450" s="22" t="str">
        <f>IFERROR(__xludf.DUMMYFUNCTION("""COMPUTED_VALUE"""),"Dallas, TX 75229")</f>
        <v>Dallas, TX 75229</v>
      </c>
      <c r="AC1450" s="31" t="s">
        <v>1245</v>
      </c>
      <c r="AD1450" s="22"/>
      <c r="AE1450" s="22"/>
      <c r="AF1450" s="22"/>
      <c r="AG1450" s="22" t="s">
        <v>60</v>
      </c>
      <c r="AH1450" s="54">
        <v>2505.0</v>
      </c>
      <c r="AI1450" s="22" t="s">
        <v>68</v>
      </c>
      <c r="AJ1450" s="27">
        <v>50.0</v>
      </c>
      <c r="AK1450" s="31" t="s">
        <v>30</v>
      </c>
      <c r="AL1450" s="28">
        <v>44926.0</v>
      </c>
      <c r="AM1450" s="29">
        <v>44943.52300925926</v>
      </c>
      <c r="AN1450" s="30">
        <v>2.0</v>
      </c>
      <c r="AO1450" s="22"/>
      <c r="AP1450" s="22"/>
      <c r="AQ1450" s="22"/>
      <c r="AR1450" s="22"/>
      <c r="AS1450" s="22"/>
      <c r="AT1450" s="70"/>
      <c r="AU1450" s="22"/>
      <c r="AV1450" s="57"/>
      <c r="AW1450" s="57"/>
      <c r="AX1450" s="70"/>
      <c r="AY1450" s="29"/>
      <c r="AZ1450" s="30"/>
      <c r="CU1450" s="55"/>
      <c r="CV1450" s="55"/>
      <c r="CW1450" s="55"/>
      <c r="CX1450" s="55"/>
      <c r="CY1450" s="55"/>
      <c r="CZ1450" s="55"/>
      <c r="DA1450" s="82"/>
      <c r="DB1450" s="55"/>
      <c r="DC1450" s="55"/>
      <c r="DD1450" s="55"/>
      <c r="DE1450" s="55"/>
      <c r="DF1450" s="55"/>
      <c r="DG1450" s="55"/>
      <c r="DH1450" s="55"/>
      <c r="DI1450" s="55"/>
      <c r="DJ1450" s="55"/>
      <c r="DK1450" s="55"/>
      <c r="DL1450" s="55"/>
      <c r="DM1450" s="55"/>
      <c r="DN1450" s="55"/>
      <c r="DO1450" s="55"/>
      <c r="DP1450" s="55"/>
      <c r="DQ1450" s="55"/>
      <c r="DR1450" s="55"/>
      <c r="DS1450" s="55"/>
      <c r="DT1450" s="55"/>
      <c r="DU1450" s="55"/>
      <c r="DV1450" s="55"/>
      <c r="DW1450" s="55"/>
    </row>
    <row r="1451">
      <c r="A1451" s="41" t="s">
        <v>64</v>
      </c>
      <c r="B1451" s="41" t="s">
        <v>56</v>
      </c>
      <c r="C1451" s="31" t="s">
        <v>2496</v>
      </c>
      <c r="D1451" s="25" t="str">
        <f>IFERROR(__xludf.DUMMYFUNCTION("SPLIT(C1451,"" "")"),"Smith,")</f>
        <v>Smith,</v>
      </c>
      <c r="E1451" s="40" t="str">
        <f>IFERROR(__xludf.DUMMYFUNCTION("""COMPUTED_VALUE"""),"Suzanne
3210")</f>
        <v>Suzanne
3210</v>
      </c>
      <c r="F1451" s="40" t="str">
        <f>IFERROR(__xludf.DUMMYFUNCTION("""COMPUTED_VALUE"""),"Carlisle")</f>
        <v>Carlisle</v>
      </c>
      <c r="G1451" s="40" t="str">
        <f>IFERROR(__xludf.DUMMYFUNCTION("""COMPUTED_VALUE"""),"Street
Dallas,")</f>
        <v>Street
Dallas,</v>
      </c>
      <c r="H1451" s="40" t="str">
        <f>IFERROR(__xludf.DUMMYFUNCTION("""COMPUTED_VALUE"""),"TX")</f>
        <v>TX</v>
      </c>
      <c r="I1451" s="40">
        <f>IFERROR(__xludf.DUMMYFUNCTION("""COMPUTED_VALUE"""),75204.0)</f>
        <v>75204</v>
      </c>
      <c r="J1451" s="40"/>
      <c r="K1451" s="40"/>
      <c r="L1451" s="40"/>
      <c r="M1451" s="40"/>
      <c r="N1451" s="40"/>
      <c r="O1451" s="40"/>
      <c r="P1451" s="40"/>
      <c r="Q1451" s="40"/>
      <c r="R1451" s="40"/>
      <c r="S1451" s="40"/>
      <c r="T1451" s="40"/>
      <c r="U1451" s="24" t="str">
        <f>IFERROR(__xludf.DUMMYFUNCTION("SPLIT(E1451,""01234567890"")"),"Suzanne
")</f>
        <v>Suzanne
</v>
      </c>
      <c r="V1451" s="24" t="str">
        <f>IFERROR(__xludf.DUMMYFUNCTION("SPLIT(D1451,"","")"),"Smith")</f>
        <v>Smith</v>
      </c>
      <c r="W1451" s="25" t="str">
        <f t="shared" si="1"/>
        <v>SUZANNE
 SMITH</v>
      </c>
      <c r="X1451" s="40"/>
      <c r="Y1451" s="40"/>
      <c r="Z1451" s="25" t="str">
        <f>IFERROR(__xludf.DUMMYFUNCTION("SPLIT(C1451,""
"")"),"Smith, Suzanne")</f>
        <v>Smith, Suzanne</v>
      </c>
      <c r="AA1451" s="40" t="str">
        <f>IFERROR(__xludf.DUMMYFUNCTION("""COMPUTED_VALUE"""),"3210 Carlisle Street")</f>
        <v>3210 Carlisle Street</v>
      </c>
      <c r="AB1451" s="40" t="str">
        <f>IFERROR(__xludf.DUMMYFUNCTION("""COMPUTED_VALUE"""),"Dallas, TX 75204")</f>
        <v>Dallas, TX 75204</v>
      </c>
      <c r="AC1451" s="31" t="s">
        <v>1405</v>
      </c>
      <c r="AD1451" s="40"/>
      <c r="AE1451" s="40"/>
      <c r="AF1451" s="40"/>
      <c r="AG1451" s="40" t="s">
        <v>60</v>
      </c>
      <c r="AH1451" s="42">
        <v>2505.0</v>
      </c>
      <c r="AI1451" s="40" t="s">
        <v>68</v>
      </c>
      <c r="AJ1451" s="27">
        <v>100.0</v>
      </c>
      <c r="AK1451" s="31" t="s">
        <v>30</v>
      </c>
      <c r="AL1451" s="43">
        <v>44926.0</v>
      </c>
      <c r="AM1451" s="44">
        <v>44943.52300925926</v>
      </c>
      <c r="AN1451" s="30">
        <v>2.0</v>
      </c>
      <c r="AO1451" s="40"/>
      <c r="AP1451" s="40"/>
      <c r="AQ1451" s="40"/>
      <c r="AR1451" s="40"/>
      <c r="AS1451" s="40"/>
      <c r="AT1451" s="47"/>
      <c r="AU1451" s="40"/>
      <c r="AV1451" s="46"/>
      <c r="AW1451" s="46"/>
      <c r="AX1451" s="47"/>
      <c r="AY1451" s="44"/>
      <c r="AZ1451" s="30"/>
      <c r="CU1451" s="55"/>
      <c r="CV1451" s="55"/>
      <c r="CW1451" s="55"/>
      <c r="CX1451" s="55"/>
      <c r="CY1451" s="55"/>
      <c r="CZ1451" s="55"/>
      <c r="DA1451" s="82"/>
      <c r="DB1451" s="55"/>
      <c r="DC1451" s="55"/>
      <c r="DD1451" s="55"/>
      <c r="DE1451" s="55"/>
      <c r="DF1451" s="55"/>
      <c r="DG1451" s="55"/>
      <c r="DH1451" s="55"/>
      <c r="DI1451" s="55"/>
      <c r="DJ1451" s="55"/>
      <c r="DK1451" s="55"/>
      <c r="DL1451" s="55"/>
      <c r="DM1451" s="55"/>
      <c r="DN1451" s="55"/>
      <c r="DO1451" s="55"/>
      <c r="DP1451" s="55"/>
      <c r="DQ1451" s="55"/>
      <c r="DR1451" s="55"/>
      <c r="DS1451" s="55"/>
      <c r="DT1451" s="55"/>
      <c r="DU1451" s="55"/>
      <c r="DV1451" s="55"/>
      <c r="DW1451" s="55"/>
    </row>
    <row r="1452">
      <c r="A1452" s="22" t="s">
        <v>55</v>
      </c>
      <c r="B1452" s="23" t="s">
        <v>56</v>
      </c>
      <c r="C1452" s="31" t="s">
        <v>3044</v>
      </c>
      <c r="D1452" s="25" t="str">
        <f>IFERROR(__xludf.DUMMYFUNCTION("SPLIT(C1452,"" "")"),"Johnson,")</f>
        <v>Johnson,</v>
      </c>
      <c r="E1452" s="22" t="str">
        <f>IFERROR(__xludf.DUMMYFUNCTION("""COMPUTED_VALUE"""),"Eric
3525")</f>
        <v>Eric
3525</v>
      </c>
      <c r="F1452" s="22" t="str">
        <f>IFERROR(__xludf.DUMMYFUNCTION("""COMPUTED_VALUE"""),"Turtle")</f>
        <v>Turtle</v>
      </c>
      <c r="G1452" s="22" t="str">
        <f>IFERROR(__xludf.DUMMYFUNCTION("""COMPUTED_VALUE"""),"Creek")</f>
        <v>Creek</v>
      </c>
      <c r="H1452" s="22" t="str">
        <f>IFERROR(__xludf.DUMMYFUNCTION("""COMPUTED_VALUE"""),"Blvd
Dallas,")</f>
        <v>Blvd
Dallas,</v>
      </c>
      <c r="I1452" s="22" t="str">
        <f>IFERROR(__xludf.DUMMYFUNCTION("""COMPUTED_VALUE"""),"TX")</f>
        <v>TX</v>
      </c>
      <c r="J1452" s="22">
        <f>IFERROR(__xludf.DUMMYFUNCTION("""COMPUTED_VALUE"""),75219.0)</f>
        <v>75219</v>
      </c>
      <c r="K1452" s="22"/>
      <c r="L1452" s="22"/>
      <c r="M1452" s="22"/>
      <c r="N1452" s="22"/>
      <c r="O1452" s="22"/>
      <c r="P1452" s="22"/>
      <c r="Q1452" s="22"/>
      <c r="R1452" s="22"/>
      <c r="S1452" s="22"/>
      <c r="T1452" s="22"/>
      <c r="U1452" s="24" t="str">
        <f>IFERROR(__xludf.DUMMYFUNCTION("SPLIT(E1452,""01234567890"")"),"Eric
")</f>
        <v>Eric
</v>
      </c>
      <c r="V1452" s="24" t="str">
        <f>IFERROR(__xludf.DUMMYFUNCTION("SPLIT(D1452,"","")"),"Johnson")</f>
        <v>Johnson</v>
      </c>
      <c r="W1452" s="25" t="str">
        <f t="shared" si="1"/>
        <v>ERIC
 JOHNSON</v>
      </c>
      <c r="X1452" s="22"/>
      <c r="Y1452" s="22"/>
      <c r="Z1452" s="25" t="str">
        <f>IFERROR(__xludf.DUMMYFUNCTION("SPLIT(C1452,""
"")"),"Johnson, Eric")</f>
        <v>Johnson, Eric</v>
      </c>
      <c r="AA1452" s="22" t="str">
        <f>IFERROR(__xludf.DUMMYFUNCTION("""COMPUTED_VALUE"""),"3525 Turtle Creek Blvd")</f>
        <v>3525 Turtle Creek Blvd</v>
      </c>
      <c r="AB1452" s="22" t="str">
        <f>IFERROR(__xludf.DUMMYFUNCTION("""COMPUTED_VALUE"""),"Dallas, TX 75219")</f>
        <v>Dallas, TX 75219</v>
      </c>
      <c r="AC1452" s="31" t="s">
        <v>652</v>
      </c>
      <c r="AD1452" s="22"/>
      <c r="AE1452" s="22"/>
      <c r="AF1452" s="22"/>
      <c r="AG1452" s="22" t="s">
        <v>60</v>
      </c>
      <c r="AH1452" s="54">
        <v>2505.0</v>
      </c>
      <c r="AI1452" s="22" t="s">
        <v>68</v>
      </c>
      <c r="AJ1452" s="27">
        <v>500.0</v>
      </c>
      <c r="AK1452" s="31" t="s">
        <v>30</v>
      </c>
      <c r="AL1452" s="28">
        <v>44926.0</v>
      </c>
      <c r="AM1452" s="29">
        <v>44943.52300925926</v>
      </c>
      <c r="AN1452" s="30">
        <v>2.0</v>
      </c>
      <c r="AO1452" s="22"/>
      <c r="AP1452" s="22"/>
      <c r="AQ1452" s="22"/>
      <c r="AR1452" s="22"/>
      <c r="AS1452" s="22"/>
      <c r="AT1452" s="70"/>
      <c r="AU1452" s="22"/>
      <c r="AV1452" s="57"/>
      <c r="AW1452" s="57"/>
      <c r="AX1452" s="70"/>
      <c r="AY1452" s="29"/>
      <c r="AZ1452" s="30"/>
      <c r="CU1452" s="55"/>
      <c r="CV1452" s="55"/>
      <c r="CW1452" s="55"/>
      <c r="CX1452" s="55"/>
      <c r="CY1452" s="55"/>
      <c r="CZ1452" s="55"/>
      <c r="DA1452" s="82"/>
      <c r="DB1452" s="55"/>
      <c r="DC1452" s="55"/>
      <c r="DD1452" s="55"/>
      <c r="DE1452" s="55"/>
      <c r="DF1452" s="55"/>
      <c r="DG1452" s="55"/>
      <c r="DH1452" s="55"/>
      <c r="DI1452" s="55"/>
      <c r="DJ1452" s="55"/>
      <c r="DK1452" s="55"/>
      <c r="DL1452" s="55"/>
      <c r="DM1452" s="55"/>
      <c r="DN1452" s="55"/>
      <c r="DO1452" s="55"/>
      <c r="DP1452" s="55"/>
      <c r="DQ1452" s="55"/>
      <c r="DR1452" s="55"/>
      <c r="DS1452" s="55"/>
      <c r="DT1452" s="55"/>
      <c r="DU1452" s="55"/>
      <c r="DV1452" s="55"/>
      <c r="DW1452" s="55"/>
    </row>
    <row r="1453">
      <c r="A1453" s="41" t="s">
        <v>64</v>
      </c>
      <c r="B1453" s="41" t="s">
        <v>56</v>
      </c>
      <c r="C1453" s="31" t="s">
        <v>1246</v>
      </c>
      <c r="D1453" s="25" t="str">
        <f>IFERROR(__xludf.DUMMYFUNCTION("SPLIT(C1453,"" "")"),"Murchison,")</f>
        <v>Murchison,</v>
      </c>
      <c r="E1453" s="40" t="str">
        <f>IFERROR(__xludf.DUMMYFUNCTION("""COMPUTED_VALUE"""),"Maggie
10131")</f>
        <v>Maggie
10131</v>
      </c>
      <c r="F1453" s="40" t="str">
        <f>IFERROR(__xludf.DUMMYFUNCTION("""COMPUTED_VALUE"""),"Gaywood")</f>
        <v>Gaywood</v>
      </c>
      <c r="G1453" s="40" t="str">
        <f>IFERROR(__xludf.DUMMYFUNCTION("""COMPUTED_VALUE"""),"Rd.
Dallas,")</f>
        <v>Rd.
Dallas,</v>
      </c>
      <c r="H1453" s="40" t="str">
        <f>IFERROR(__xludf.DUMMYFUNCTION("""COMPUTED_VALUE"""),"TX")</f>
        <v>TX</v>
      </c>
      <c r="I1453" s="40">
        <f>IFERROR(__xludf.DUMMYFUNCTION("""COMPUTED_VALUE"""),75229.0)</f>
        <v>75229</v>
      </c>
      <c r="J1453" s="40"/>
      <c r="K1453" s="40"/>
      <c r="L1453" s="40"/>
      <c r="M1453" s="40"/>
      <c r="N1453" s="40"/>
      <c r="O1453" s="40"/>
      <c r="P1453" s="40"/>
      <c r="Q1453" s="40"/>
      <c r="R1453" s="40"/>
      <c r="S1453" s="40"/>
      <c r="T1453" s="40"/>
      <c r="U1453" s="24" t="str">
        <f>IFERROR(__xludf.DUMMYFUNCTION("SPLIT(E1453,""01234567890"")"),"Maggie
")</f>
        <v>Maggie
</v>
      </c>
      <c r="V1453" s="24" t="str">
        <f>IFERROR(__xludf.DUMMYFUNCTION("SPLIT(D1453,"","")"),"Murchison")</f>
        <v>Murchison</v>
      </c>
      <c r="W1453" s="25" t="str">
        <f t="shared" si="1"/>
        <v>MAGGIE
 MURCHISON</v>
      </c>
      <c r="X1453" s="40"/>
      <c r="Y1453" s="40"/>
      <c r="Z1453" s="25" t="str">
        <f>IFERROR(__xludf.DUMMYFUNCTION("SPLIT(C1453,""
"")"),"Murchison, Maggie")</f>
        <v>Murchison, Maggie</v>
      </c>
      <c r="AA1453" s="40" t="str">
        <f>IFERROR(__xludf.DUMMYFUNCTION("""COMPUTED_VALUE"""),"10131 Gaywood Rd.")</f>
        <v>10131 Gaywood Rd.</v>
      </c>
      <c r="AB1453" s="40" t="str">
        <f>IFERROR(__xludf.DUMMYFUNCTION("""COMPUTED_VALUE"""),"Dallas, TX 75229")</f>
        <v>Dallas, TX 75229</v>
      </c>
      <c r="AC1453" s="31" t="s">
        <v>1248</v>
      </c>
      <c r="AD1453" s="40"/>
      <c r="AE1453" s="40"/>
      <c r="AF1453" s="40"/>
      <c r="AG1453" s="40" t="s">
        <v>60</v>
      </c>
      <c r="AH1453" s="42">
        <v>2505.0</v>
      </c>
      <c r="AI1453" s="40" t="s">
        <v>68</v>
      </c>
      <c r="AJ1453" s="27">
        <v>1000.0</v>
      </c>
      <c r="AK1453" s="31" t="s">
        <v>30</v>
      </c>
      <c r="AL1453" s="43">
        <v>44888.0</v>
      </c>
      <c r="AM1453" s="44">
        <v>44943.52300925926</v>
      </c>
      <c r="AN1453" s="30">
        <v>2.0</v>
      </c>
      <c r="AO1453" s="40"/>
      <c r="AP1453" s="40"/>
      <c r="AQ1453" s="40"/>
      <c r="AR1453" s="40"/>
      <c r="AS1453" s="40"/>
      <c r="AT1453" s="47"/>
      <c r="AU1453" s="40"/>
      <c r="AV1453" s="46"/>
      <c r="AW1453" s="46"/>
      <c r="AX1453" s="47"/>
      <c r="AY1453" s="44"/>
      <c r="AZ1453" s="30"/>
      <c r="CU1453" s="55"/>
      <c r="CV1453" s="55"/>
      <c r="CW1453" s="55"/>
      <c r="CX1453" s="55"/>
      <c r="CY1453" s="55"/>
      <c r="CZ1453" s="55"/>
      <c r="DA1453" s="82"/>
      <c r="DB1453" s="55"/>
      <c r="DC1453" s="55"/>
      <c r="DD1453" s="55"/>
      <c r="DE1453" s="55"/>
      <c r="DF1453" s="55"/>
      <c r="DG1453" s="55"/>
      <c r="DH1453" s="55"/>
      <c r="DI1453" s="55"/>
      <c r="DJ1453" s="55"/>
      <c r="DK1453" s="55"/>
      <c r="DL1453" s="55"/>
      <c r="DM1453" s="55"/>
      <c r="DN1453" s="55"/>
      <c r="DO1453" s="55"/>
      <c r="DP1453" s="55"/>
      <c r="DQ1453" s="55"/>
      <c r="DR1453" s="55"/>
      <c r="DS1453" s="55"/>
      <c r="DT1453" s="55"/>
      <c r="DU1453" s="55"/>
      <c r="DV1453" s="55"/>
      <c r="DW1453" s="55"/>
    </row>
    <row r="1454">
      <c r="A1454" s="22" t="s">
        <v>55</v>
      </c>
      <c r="B1454" s="23" t="s">
        <v>56</v>
      </c>
      <c r="C1454" s="31" t="s">
        <v>3045</v>
      </c>
      <c r="D1454" s="25" t="str">
        <f>IFERROR(__xludf.DUMMYFUNCTION("SPLIT(C1454,"" "")"),"Crow,")</f>
        <v>Crow,</v>
      </c>
      <c r="E1454" s="22" t="str">
        <f>IFERROR(__xludf.DUMMYFUNCTION("""COMPUTED_VALUE"""),"Harlan
3819")</f>
        <v>Harlan
3819</v>
      </c>
      <c r="F1454" s="22" t="str">
        <f>IFERROR(__xludf.DUMMYFUNCTION("""COMPUTED_VALUE"""),"Maple")</f>
        <v>Maple</v>
      </c>
      <c r="G1454" s="22" t="str">
        <f>IFERROR(__xludf.DUMMYFUNCTION("""COMPUTED_VALUE"""),"Ave
Dallas,")</f>
        <v>Ave
Dallas,</v>
      </c>
      <c r="H1454" s="22" t="str">
        <f>IFERROR(__xludf.DUMMYFUNCTION("""COMPUTED_VALUE"""),"TX")</f>
        <v>TX</v>
      </c>
      <c r="I1454" s="22" t="str">
        <f>IFERROR(__xludf.DUMMYFUNCTION("""COMPUTED_VALUE"""),"75219-3919")</f>
        <v>75219-3919</v>
      </c>
      <c r="J1454" s="22"/>
      <c r="K1454" s="22"/>
      <c r="L1454" s="22"/>
      <c r="M1454" s="22"/>
      <c r="N1454" s="22"/>
      <c r="O1454" s="22"/>
      <c r="P1454" s="22"/>
      <c r="Q1454" s="22"/>
      <c r="R1454" s="22"/>
      <c r="S1454" s="22"/>
      <c r="T1454" s="22"/>
      <c r="U1454" s="24" t="str">
        <f>IFERROR(__xludf.DUMMYFUNCTION("SPLIT(E1454,""01234567890"")"),"Harlan
")</f>
        <v>Harlan
</v>
      </c>
      <c r="V1454" s="24" t="str">
        <f>IFERROR(__xludf.DUMMYFUNCTION("SPLIT(D1454,"","")"),"Crow")</f>
        <v>Crow</v>
      </c>
      <c r="W1454" s="25" t="str">
        <f t="shared" si="1"/>
        <v>HARLAN
 CROW</v>
      </c>
      <c r="X1454" s="22"/>
      <c r="Y1454" s="22"/>
      <c r="Z1454" s="25" t="str">
        <f>IFERROR(__xludf.DUMMYFUNCTION("SPLIT(C1454,""
"")"),"Crow, Harlan")</f>
        <v>Crow, Harlan</v>
      </c>
      <c r="AA1454" s="22" t="str">
        <f>IFERROR(__xludf.DUMMYFUNCTION("""COMPUTED_VALUE"""),"3819 Maple Ave")</f>
        <v>3819 Maple Ave</v>
      </c>
      <c r="AB1454" s="22" t="str">
        <f>IFERROR(__xludf.DUMMYFUNCTION("""COMPUTED_VALUE"""),"Dallas, TX 75219-3919")</f>
        <v>Dallas, TX 75219-3919</v>
      </c>
      <c r="AC1454" s="31" t="s">
        <v>2002</v>
      </c>
      <c r="AD1454" s="22"/>
      <c r="AE1454" s="22"/>
      <c r="AF1454" s="22"/>
      <c r="AG1454" s="22" t="s">
        <v>60</v>
      </c>
      <c r="AH1454" s="54">
        <v>2505.0</v>
      </c>
      <c r="AI1454" s="22" t="s">
        <v>68</v>
      </c>
      <c r="AJ1454" s="27">
        <v>1000.0</v>
      </c>
      <c r="AK1454" s="31" t="s">
        <v>30</v>
      </c>
      <c r="AL1454" s="28">
        <v>44915.0</v>
      </c>
      <c r="AM1454" s="29">
        <v>44943.52300925926</v>
      </c>
      <c r="AN1454" s="30">
        <v>2.0</v>
      </c>
      <c r="AO1454" s="22"/>
      <c r="AP1454" s="22"/>
      <c r="AQ1454" s="22"/>
      <c r="AR1454" s="22"/>
      <c r="AS1454" s="22"/>
      <c r="AT1454" s="70"/>
      <c r="AU1454" s="22"/>
      <c r="AV1454" s="57"/>
      <c r="AW1454" s="57"/>
      <c r="AX1454" s="70"/>
      <c r="AY1454" s="29"/>
      <c r="AZ1454" s="30"/>
      <c r="CU1454" s="55"/>
      <c r="CV1454" s="55"/>
      <c r="CW1454" s="55"/>
      <c r="CX1454" s="55"/>
      <c r="CY1454" s="55"/>
      <c r="CZ1454" s="55"/>
      <c r="DA1454" s="82"/>
      <c r="DB1454" s="55"/>
      <c r="DC1454" s="55"/>
      <c r="DD1454" s="55"/>
      <c r="DE1454" s="55"/>
      <c r="DF1454" s="55"/>
      <c r="DG1454" s="55"/>
      <c r="DH1454" s="55"/>
      <c r="DI1454" s="55"/>
      <c r="DJ1454" s="55"/>
      <c r="DK1454" s="55"/>
      <c r="DL1454" s="55"/>
      <c r="DM1454" s="55"/>
      <c r="DN1454" s="55"/>
      <c r="DO1454" s="55"/>
      <c r="DP1454" s="55"/>
      <c r="DQ1454" s="55"/>
      <c r="DR1454" s="55"/>
      <c r="DS1454" s="55"/>
      <c r="DT1454" s="55"/>
      <c r="DU1454" s="55"/>
      <c r="DV1454" s="55"/>
      <c r="DW1454" s="55"/>
    </row>
    <row r="1455">
      <c r="A1455" s="41" t="s">
        <v>64</v>
      </c>
      <c r="B1455" s="41" t="s">
        <v>56</v>
      </c>
      <c r="C1455" s="31" t="s">
        <v>2748</v>
      </c>
      <c r="D1455" s="25" t="str">
        <f>IFERROR(__xludf.DUMMYFUNCTION("SPLIT(C1455,"" "")"),"Crow,")</f>
        <v>Crow,</v>
      </c>
      <c r="E1455" s="40" t="str">
        <f>IFERROR(__xludf.DUMMYFUNCTION("""COMPUTED_VALUE"""),"Katherine
4700")</f>
        <v>Katherine
4700</v>
      </c>
      <c r="F1455" s="40" t="str">
        <f>IFERROR(__xludf.DUMMYFUNCTION("""COMPUTED_VALUE"""),"Preston
Dallas,")</f>
        <v>Preston
Dallas,</v>
      </c>
      <c r="G1455" s="40" t="str">
        <f>IFERROR(__xludf.DUMMYFUNCTION("""COMPUTED_VALUE"""),"TX")</f>
        <v>TX</v>
      </c>
      <c r="H1455" s="40">
        <f>IFERROR(__xludf.DUMMYFUNCTION("""COMPUTED_VALUE"""),75205.0)</f>
        <v>75205</v>
      </c>
      <c r="I1455" s="40"/>
      <c r="J1455" s="40"/>
      <c r="K1455" s="40"/>
      <c r="L1455" s="40"/>
      <c r="M1455" s="40"/>
      <c r="N1455" s="40"/>
      <c r="O1455" s="40"/>
      <c r="P1455" s="40"/>
      <c r="Q1455" s="40"/>
      <c r="R1455" s="40"/>
      <c r="S1455" s="40"/>
      <c r="T1455" s="40"/>
      <c r="U1455" s="24" t="str">
        <f>IFERROR(__xludf.DUMMYFUNCTION("SPLIT(E1455,""01234567890"")"),"Katherine
")</f>
        <v>Katherine
</v>
      </c>
      <c r="V1455" s="24" t="str">
        <f>IFERROR(__xludf.DUMMYFUNCTION("SPLIT(D1455,"","")"),"Crow")</f>
        <v>Crow</v>
      </c>
      <c r="W1455" s="25" t="str">
        <f t="shared" si="1"/>
        <v>KATHERINE
 CROW</v>
      </c>
      <c r="X1455" s="40"/>
      <c r="Y1455" s="40"/>
      <c r="Z1455" s="25" t="str">
        <f>IFERROR(__xludf.DUMMYFUNCTION("SPLIT(C1455,""
"")"),"Crow, Katherine")</f>
        <v>Crow, Katherine</v>
      </c>
      <c r="AA1455" s="40" t="str">
        <f>IFERROR(__xludf.DUMMYFUNCTION("""COMPUTED_VALUE"""),"4700 Preston")</f>
        <v>4700 Preston</v>
      </c>
      <c r="AB1455" s="40" t="str">
        <f>IFERROR(__xludf.DUMMYFUNCTION("""COMPUTED_VALUE"""),"Dallas, TX 75205")</f>
        <v>Dallas, TX 75205</v>
      </c>
      <c r="AC1455" s="31" t="s">
        <v>2434</v>
      </c>
      <c r="AD1455" s="40"/>
      <c r="AE1455" s="40"/>
      <c r="AF1455" s="40"/>
      <c r="AG1455" s="40" t="s">
        <v>60</v>
      </c>
      <c r="AH1455" s="42">
        <v>2505.0</v>
      </c>
      <c r="AI1455" s="40" t="s">
        <v>68</v>
      </c>
      <c r="AJ1455" s="27">
        <v>1000.0</v>
      </c>
      <c r="AK1455" s="31" t="s">
        <v>30</v>
      </c>
      <c r="AL1455" s="43">
        <v>44911.0</v>
      </c>
      <c r="AM1455" s="44">
        <v>44943.52300925926</v>
      </c>
      <c r="AN1455" s="30">
        <v>2.0</v>
      </c>
      <c r="AO1455" s="40"/>
      <c r="AP1455" s="40"/>
      <c r="AQ1455" s="40"/>
      <c r="AR1455" s="40"/>
      <c r="AS1455" s="40"/>
      <c r="AT1455" s="47"/>
      <c r="AU1455" s="40"/>
      <c r="AV1455" s="46"/>
      <c r="AW1455" s="46"/>
      <c r="AX1455" s="47"/>
      <c r="AY1455" s="44"/>
      <c r="AZ1455" s="30"/>
      <c r="CU1455" s="55"/>
      <c r="CV1455" s="55"/>
      <c r="CW1455" s="55"/>
      <c r="CX1455" s="55"/>
      <c r="CY1455" s="55"/>
      <c r="CZ1455" s="55"/>
      <c r="DA1455" s="82"/>
      <c r="DB1455" s="55"/>
      <c r="DC1455" s="55"/>
      <c r="DD1455" s="55"/>
      <c r="DE1455" s="55"/>
      <c r="DF1455" s="55"/>
      <c r="DG1455" s="55"/>
      <c r="DH1455" s="55"/>
      <c r="DI1455" s="55"/>
      <c r="DJ1455" s="55"/>
      <c r="DK1455" s="55"/>
      <c r="DL1455" s="55"/>
      <c r="DM1455" s="55"/>
      <c r="DN1455" s="55"/>
      <c r="DO1455" s="55"/>
      <c r="DP1455" s="55"/>
      <c r="DQ1455" s="55"/>
      <c r="DR1455" s="55"/>
      <c r="DS1455" s="55"/>
      <c r="DT1455" s="55"/>
      <c r="DU1455" s="55"/>
      <c r="DV1455" s="55"/>
      <c r="DW1455" s="55"/>
    </row>
    <row r="1456">
      <c r="A1456" s="22" t="s">
        <v>55</v>
      </c>
      <c r="B1456" s="23" t="s">
        <v>56</v>
      </c>
      <c r="C1456" s="31" t="s">
        <v>3046</v>
      </c>
      <c r="D1456" s="25" t="str">
        <f>IFERROR(__xludf.DUMMYFUNCTION("SPLIT(C1456,"" "")"),"Valach,")</f>
        <v>Valach,</v>
      </c>
      <c r="E1456" s="22" t="str">
        <f>IFERROR(__xludf.DUMMYFUNCTION("""COMPUTED_VALUE"""),"Kenneth
5")</f>
        <v>Kenneth
5</v>
      </c>
      <c r="F1456" s="22" t="str">
        <f>IFERROR(__xludf.DUMMYFUNCTION("""COMPUTED_VALUE"""),"Lazee")</f>
        <v>Lazee</v>
      </c>
      <c r="G1456" s="22" t="str">
        <f>IFERROR(__xludf.DUMMYFUNCTION("""COMPUTED_VALUE"""),"Trail
Houston,")</f>
        <v>Trail
Houston,</v>
      </c>
      <c r="H1456" s="22" t="str">
        <f>IFERROR(__xludf.DUMMYFUNCTION("""COMPUTED_VALUE"""),"TX")</f>
        <v>TX</v>
      </c>
      <c r="I1456" s="22" t="str">
        <f>IFERROR(__xludf.DUMMYFUNCTION("""COMPUTED_VALUE"""),"77024-5006")</f>
        <v>77024-5006</v>
      </c>
      <c r="J1456" s="22"/>
      <c r="K1456" s="22"/>
      <c r="L1456" s="22"/>
      <c r="M1456" s="22"/>
      <c r="N1456" s="22"/>
      <c r="O1456" s="22"/>
      <c r="P1456" s="22"/>
      <c r="Q1456" s="22"/>
      <c r="R1456" s="22"/>
      <c r="S1456" s="22"/>
      <c r="T1456" s="22"/>
      <c r="U1456" s="24" t="str">
        <f>IFERROR(__xludf.DUMMYFUNCTION("SPLIT(E1456,""01234567890"")"),"Kenneth
")</f>
        <v>Kenneth
</v>
      </c>
      <c r="V1456" s="24" t="str">
        <f>IFERROR(__xludf.DUMMYFUNCTION("SPLIT(D1456,"","")"),"Valach")</f>
        <v>Valach</v>
      </c>
      <c r="W1456" s="25" t="str">
        <f t="shared" si="1"/>
        <v>KENNETH
 VALACH</v>
      </c>
      <c r="X1456" s="22"/>
      <c r="Y1456" s="22"/>
      <c r="Z1456" s="25" t="str">
        <f>IFERROR(__xludf.DUMMYFUNCTION("SPLIT(C1456,""
"")"),"Valach, Kenneth")</f>
        <v>Valach, Kenneth</v>
      </c>
      <c r="AA1456" s="22" t="str">
        <f>IFERROR(__xludf.DUMMYFUNCTION("""COMPUTED_VALUE"""),"5 Lazee Trail")</f>
        <v>5 Lazee Trail</v>
      </c>
      <c r="AB1456" s="22" t="str">
        <f>IFERROR(__xludf.DUMMYFUNCTION("""COMPUTED_VALUE"""),"Houston, TX 77024-5006")</f>
        <v>Houston, TX 77024-5006</v>
      </c>
      <c r="AC1456" s="31" t="s">
        <v>2747</v>
      </c>
      <c r="AD1456" s="22"/>
      <c r="AE1456" s="22"/>
      <c r="AF1456" s="22"/>
      <c r="AG1456" s="22" t="s">
        <v>60</v>
      </c>
      <c r="AH1456" s="54">
        <v>2505.0</v>
      </c>
      <c r="AI1456" s="22" t="s">
        <v>68</v>
      </c>
      <c r="AJ1456" s="27">
        <v>1000.0</v>
      </c>
      <c r="AK1456" s="31" t="s">
        <v>30</v>
      </c>
      <c r="AL1456" s="28">
        <v>44911.0</v>
      </c>
      <c r="AM1456" s="29">
        <v>44943.52300925926</v>
      </c>
      <c r="AN1456" s="30">
        <v>2.0</v>
      </c>
      <c r="AO1456" s="22"/>
      <c r="AP1456" s="22"/>
      <c r="AQ1456" s="22"/>
      <c r="AR1456" s="22"/>
      <c r="AS1456" s="22"/>
      <c r="AT1456" s="70"/>
      <c r="AU1456" s="22"/>
      <c r="AV1456" s="57"/>
      <c r="AW1456" s="57"/>
      <c r="AX1456" s="70"/>
      <c r="AY1456" s="29"/>
      <c r="AZ1456" s="30"/>
      <c r="CU1456" s="55"/>
      <c r="CV1456" s="55"/>
      <c r="CW1456" s="55"/>
      <c r="CX1456" s="55"/>
      <c r="CY1456" s="55"/>
      <c r="CZ1456" s="55"/>
      <c r="DA1456" s="82"/>
      <c r="DB1456" s="55"/>
      <c r="DC1456" s="55"/>
      <c r="DD1456" s="55"/>
      <c r="DE1456" s="55"/>
      <c r="DF1456" s="55"/>
      <c r="DG1456" s="55"/>
      <c r="DH1456" s="55"/>
      <c r="DI1456" s="55"/>
      <c r="DJ1456" s="55"/>
      <c r="DK1456" s="55"/>
      <c r="DL1456" s="55"/>
      <c r="DM1456" s="55"/>
      <c r="DN1456" s="55"/>
      <c r="DO1456" s="55"/>
      <c r="DP1456" s="55"/>
      <c r="DQ1456" s="55"/>
      <c r="DR1456" s="55"/>
      <c r="DS1456" s="55"/>
      <c r="DT1456" s="55"/>
      <c r="DU1456" s="55"/>
      <c r="DV1456" s="55"/>
      <c r="DW1456" s="55"/>
    </row>
    <row r="1457">
      <c r="A1457" s="41" t="s">
        <v>64</v>
      </c>
      <c r="B1457" s="41" t="s">
        <v>56</v>
      </c>
      <c r="C1457" s="31" t="s">
        <v>3047</v>
      </c>
      <c r="D1457" s="25" t="str">
        <f>IFERROR(__xludf.DUMMYFUNCTION("SPLIT(C1457,"" "")"),"Sloan,")</f>
        <v>Sloan,</v>
      </c>
      <c r="E1457" s="40" t="str">
        <f>IFERROR(__xludf.DUMMYFUNCTION("""COMPUTED_VALUE"""),"Jamie
2829")</f>
        <v>Jamie
2829</v>
      </c>
      <c r="F1457" s="40" t="str">
        <f>IFERROR(__xludf.DUMMYFUNCTION("""COMPUTED_VALUE"""),"North")</f>
        <v>North</v>
      </c>
      <c r="G1457" s="40" t="str">
        <f>IFERROR(__xludf.DUMMYFUNCTION("""COMPUTED_VALUE"""),"Bend")</f>
        <v>Bend</v>
      </c>
      <c r="H1457" s="40" t="str">
        <f>IFERROR(__xludf.DUMMYFUNCTION("""COMPUTED_VALUE"""),"Drive
Dallas,")</f>
        <v>Drive
Dallas,</v>
      </c>
      <c r="I1457" s="40" t="str">
        <f>IFERROR(__xludf.DUMMYFUNCTION("""COMPUTED_VALUE"""),"TX")</f>
        <v>TX</v>
      </c>
      <c r="J1457" s="40">
        <f>IFERROR(__xludf.DUMMYFUNCTION("""COMPUTED_VALUE"""),75229.0)</f>
        <v>75229</v>
      </c>
      <c r="K1457" s="40"/>
      <c r="L1457" s="40"/>
      <c r="M1457" s="40"/>
      <c r="N1457" s="40"/>
      <c r="O1457" s="40"/>
      <c r="P1457" s="40"/>
      <c r="Q1457" s="40"/>
      <c r="R1457" s="40"/>
      <c r="S1457" s="40"/>
      <c r="T1457" s="40"/>
      <c r="U1457" s="24" t="str">
        <f>IFERROR(__xludf.DUMMYFUNCTION("SPLIT(E1457,""01234567890"")"),"Jamie
")</f>
        <v>Jamie
</v>
      </c>
      <c r="V1457" s="24" t="str">
        <f>IFERROR(__xludf.DUMMYFUNCTION("SPLIT(D1457,"","")"),"Sloan")</f>
        <v>Sloan</v>
      </c>
      <c r="W1457" s="25" t="str">
        <f t="shared" si="1"/>
        <v>JAMIE
 SLOAN</v>
      </c>
      <c r="X1457" s="40"/>
      <c r="Y1457" s="40"/>
      <c r="Z1457" s="25" t="str">
        <f>IFERROR(__xludf.DUMMYFUNCTION("SPLIT(C1457,""
"")"),"Sloan, Jamie")</f>
        <v>Sloan, Jamie</v>
      </c>
      <c r="AA1457" s="40" t="str">
        <f>IFERROR(__xludf.DUMMYFUNCTION("""COMPUTED_VALUE"""),"2829 North Bend Drive")</f>
        <v>2829 North Bend Drive</v>
      </c>
      <c r="AB1457" s="40" t="str">
        <f>IFERROR(__xludf.DUMMYFUNCTION("""COMPUTED_VALUE"""),"Dallas, TX 75229")</f>
        <v>Dallas, TX 75229</v>
      </c>
      <c r="AC1457" s="31" t="s">
        <v>3048</v>
      </c>
      <c r="AD1457" s="40"/>
      <c r="AE1457" s="40"/>
      <c r="AF1457" s="40"/>
      <c r="AG1457" s="40" t="s">
        <v>60</v>
      </c>
      <c r="AH1457" s="42">
        <v>2505.0</v>
      </c>
      <c r="AI1457" s="40" t="s">
        <v>68</v>
      </c>
      <c r="AJ1457" s="27">
        <v>100.0</v>
      </c>
      <c r="AK1457" s="31" t="s">
        <v>30</v>
      </c>
      <c r="AL1457" s="43">
        <v>44887.0</v>
      </c>
      <c r="AM1457" s="44">
        <v>44943.52300925926</v>
      </c>
      <c r="AN1457" s="30">
        <v>2.0</v>
      </c>
      <c r="AO1457" s="40"/>
      <c r="AP1457" s="40"/>
      <c r="AQ1457" s="40"/>
      <c r="AR1457" s="40"/>
      <c r="AS1457" s="40"/>
      <c r="AT1457" s="47"/>
      <c r="AU1457" s="40"/>
      <c r="AV1457" s="46"/>
      <c r="AW1457" s="46"/>
      <c r="AX1457" s="47"/>
      <c r="AY1457" s="44"/>
      <c r="AZ1457" s="30"/>
      <c r="CU1457" s="55"/>
      <c r="CV1457" s="55"/>
      <c r="CW1457" s="55"/>
      <c r="CX1457" s="55"/>
      <c r="CY1457" s="55"/>
      <c r="CZ1457" s="55"/>
      <c r="DA1457" s="82"/>
      <c r="DB1457" s="55"/>
      <c r="DC1457" s="55"/>
      <c r="DD1457" s="55"/>
      <c r="DE1457" s="55"/>
      <c r="DF1457" s="55"/>
      <c r="DG1457" s="55"/>
      <c r="DH1457" s="55"/>
      <c r="DI1457" s="55"/>
      <c r="DJ1457" s="55"/>
      <c r="DK1457" s="55"/>
      <c r="DL1457" s="55"/>
      <c r="DM1457" s="55"/>
      <c r="DN1457" s="55"/>
      <c r="DO1457" s="55"/>
      <c r="DP1457" s="55"/>
      <c r="DQ1457" s="55"/>
      <c r="DR1457" s="55"/>
      <c r="DS1457" s="55"/>
      <c r="DT1457" s="55"/>
      <c r="DU1457" s="55"/>
      <c r="DV1457" s="55"/>
      <c r="DW1457" s="55"/>
    </row>
    <row r="1458">
      <c r="A1458" s="22" t="s">
        <v>55</v>
      </c>
      <c r="B1458" s="23" t="s">
        <v>56</v>
      </c>
      <c r="C1458" s="31" t="s">
        <v>3049</v>
      </c>
      <c r="D1458" s="25" t="str">
        <f>IFERROR(__xludf.DUMMYFUNCTION("SPLIT(C1458,"" "")"),"Siepiela,")</f>
        <v>Siepiela,</v>
      </c>
      <c r="E1458" s="22" t="str">
        <f>IFERROR(__xludf.DUMMYFUNCTION("""COMPUTED_VALUE"""),"Mark
5437")</f>
        <v>Mark
5437</v>
      </c>
      <c r="F1458" s="22" t="str">
        <f>IFERROR(__xludf.DUMMYFUNCTION("""COMPUTED_VALUE"""),"MEADOW")</f>
        <v>MEADOW</v>
      </c>
      <c r="G1458" s="22" t="str">
        <f>IFERROR(__xludf.DUMMYFUNCTION("""COMPUTED_VALUE"""),"CREST")</f>
        <v>CREST</v>
      </c>
      <c r="H1458" s="22" t="str">
        <f>IFERROR(__xludf.DUMMYFUNCTION("""COMPUTED_VALUE"""),"DR
Dallas,")</f>
        <v>DR
Dallas,</v>
      </c>
      <c r="I1458" s="22" t="str">
        <f>IFERROR(__xludf.DUMMYFUNCTION("""COMPUTED_VALUE"""),"TX")</f>
        <v>TX</v>
      </c>
      <c r="J1458" s="22">
        <f>IFERROR(__xludf.DUMMYFUNCTION("""COMPUTED_VALUE"""),75229.0)</f>
        <v>75229</v>
      </c>
      <c r="K1458" s="22"/>
      <c r="L1458" s="22"/>
      <c r="M1458" s="22"/>
      <c r="N1458" s="22"/>
      <c r="O1458" s="22"/>
      <c r="P1458" s="22"/>
      <c r="Q1458" s="22"/>
      <c r="R1458" s="22"/>
      <c r="S1458" s="22"/>
      <c r="T1458" s="22"/>
      <c r="U1458" s="24" t="str">
        <f>IFERROR(__xludf.DUMMYFUNCTION("SPLIT(E1458,""01234567890"")"),"Mark
")</f>
        <v>Mark
</v>
      </c>
      <c r="V1458" s="24" t="str">
        <f>IFERROR(__xludf.DUMMYFUNCTION("SPLIT(D1458,"","")"),"Siepiela")</f>
        <v>Siepiela</v>
      </c>
      <c r="W1458" s="25" t="str">
        <f t="shared" si="1"/>
        <v>MARK
 SIEPIELA</v>
      </c>
      <c r="X1458" s="22"/>
      <c r="Y1458" s="22"/>
      <c r="Z1458" s="25" t="str">
        <f>IFERROR(__xludf.DUMMYFUNCTION("SPLIT(C1458,""
"")"),"Siepiela, Mark")</f>
        <v>Siepiela, Mark</v>
      </c>
      <c r="AA1458" s="22" t="str">
        <f>IFERROR(__xludf.DUMMYFUNCTION("""COMPUTED_VALUE"""),"5437 MEADOW CREST DR")</f>
        <v>5437 MEADOW CREST DR</v>
      </c>
      <c r="AB1458" s="22" t="str">
        <f>IFERROR(__xludf.DUMMYFUNCTION("""COMPUTED_VALUE"""),"Dallas, TX 75229")</f>
        <v>Dallas, TX 75229</v>
      </c>
      <c r="AC1458" s="31" t="s">
        <v>3050</v>
      </c>
      <c r="AD1458" s="22"/>
      <c r="AE1458" s="22"/>
      <c r="AF1458" s="22"/>
      <c r="AG1458" s="22" t="s">
        <v>60</v>
      </c>
      <c r="AH1458" s="54">
        <v>2505.0</v>
      </c>
      <c r="AI1458" s="22" t="s">
        <v>68</v>
      </c>
      <c r="AJ1458" s="27">
        <v>100.0</v>
      </c>
      <c r="AK1458" s="31" t="s">
        <v>30</v>
      </c>
      <c r="AL1458" s="28">
        <v>44887.0</v>
      </c>
      <c r="AM1458" s="29">
        <v>44943.52300925926</v>
      </c>
      <c r="AN1458" s="30">
        <v>2.0</v>
      </c>
      <c r="AO1458" s="22"/>
      <c r="AP1458" s="22"/>
      <c r="AQ1458" s="22"/>
      <c r="AR1458" s="22"/>
      <c r="AS1458" s="22"/>
      <c r="AT1458" s="70"/>
      <c r="AU1458" s="22"/>
      <c r="AV1458" s="57"/>
      <c r="AW1458" s="57"/>
      <c r="AX1458" s="70"/>
      <c r="AY1458" s="29"/>
      <c r="AZ1458" s="30"/>
      <c r="CU1458" s="55"/>
      <c r="CV1458" s="55"/>
      <c r="CW1458" s="55"/>
      <c r="CX1458" s="55"/>
      <c r="CY1458" s="55"/>
      <c r="CZ1458" s="55"/>
      <c r="DA1458" s="82"/>
      <c r="DB1458" s="55"/>
      <c r="DC1458" s="55"/>
      <c r="DD1458" s="55"/>
      <c r="DE1458" s="55"/>
      <c r="DF1458" s="55"/>
      <c r="DG1458" s="55"/>
      <c r="DH1458" s="55"/>
      <c r="DI1458" s="55"/>
      <c r="DJ1458" s="55"/>
      <c r="DK1458" s="55"/>
      <c r="DL1458" s="55"/>
      <c r="DM1458" s="55"/>
      <c r="DN1458" s="55"/>
      <c r="DO1458" s="55"/>
      <c r="DP1458" s="55"/>
      <c r="DQ1458" s="55"/>
      <c r="DR1458" s="55"/>
      <c r="DS1458" s="55"/>
      <c r="DT1458" s="55"/>
      <c r="DU1458" s="55"/>
      <c r="DV1458" s="55"/>
      <c r="DW1458" s="55"/>
    </row>
    <row r="1459">
      <c r="A1459" s="41" t="s">
        <v>64</v>
      </c>
      <c r="B1459" s="41" t="s">
        <v>56</v>
      </c>
      <c r="C1459" s="31" t="s">
        <v>3051</v>
      </c>
      <c r="D1459" s="25" t="str">
        <f>IFERROR(__xludf.DUMMYFUNCTION("SPLIT(C1459,"" "")"),"Groves,")</f>
        <v>Groves,</v>
      </c>
      <c r="E1459" s="40" t="str">
        <f>IFERROR(__xludf.DUMMYFUNCTION("""COMPUTED_VALUE"""),"Joseph
114")</f>
        <v>Joseph
114</v>
      </c>
      <c r="F1459" s="40" t="str">
        <f>IFERROR(__xludf.DUMMYFUNCTION("""COMPUTED_VALUE"""),"Lake")</f>
        <v>Lake</v>
      </c>
      <c r="G1459" s="40" t="str">
        <f>IFERROR(__xludf.DUMMYFUNCTION("""COMPUTED_VALUE"""),"Forest")</f>
        <v>Forest</v>
      </c>
      <c r="H1459" s="40" t="str">
        <f>IFERROR(__xludf.DUMMYFUNCTION("""COMPUTED_VALUE"""),"Ct.
Garland,")</f>
        <v>Ct.
Garland,</v>
      </c>
      <c r="I1459" s="40" t="str">
        <f>IFERROR(__xludf.DUMMYFUNCTION("""COMPUTED_VALUE"""),"TX")</f>
        <v>TX</v>
      </c>
      <c r="J1459" s="40">
        <f>IFERROR(__xludf.DUMMYFUNCTION("""COMPUTED_VALUE"""),75044.0)</f>
        <v>75044</v>
      </c>
      <c r="K1459" s="40"/>
      <c r="L1459" s="40"/>
      <c r="M1459" s="40"/>
      <c r="N1459" s="40"/>
      <c r="O1459" s="40"/>
      <c r="P1459" s="40"/>
      <c r="Q1459" s="40"/>
      <c r="R1459" s="40"/>
      <c r="S1459" s="40"/>
      <c r="T1459" s="40"/>
      <c r="U1459" s="24" t="str">
        <f>IFERROR(__xludf.DUMMYFUNCTION("SPLIT(E1459,""01234567890"")"),"Joseph
")</f>
        <v>Joseph
</v>
      </c>
      <c r="V1459" s="24" t="str">
        <f>IFERROR(__xludf.DUMMYFUNCTION("SPLIT(D1459,"","")"),"Groves")</f>
        <v>Groves</v>
      </c>
      <c r="W1459" s="25" t="str">
        <f t="shared" si="1"/>
        <v>JOSEPH
 GROVES</v>
      </c>
      <c r="X1459" s="40"/>
      <c r="Y1459" s="40"/>
      <c r="Z1459" s="25" t="str">
        <f>IFERROR(__xludf.DUMMYFUNCTION("SPLIT(C1459,""
"")"),"Groves, Joseph")</f>
        <v>Groves, Joseph</v>
      </c>
      <c r="AA1459" s="40" t="str">
        <f>IFERROR(__xludf.DUMMYFUNCTION("""COMPUTED_VALUE"""),"114 Lake Forest Ct.")</f>
        <v>114 Lake Forest Ct.</v>
      </c>
      <c r="AB1459" s="40" t="str">
        <f>IFERROR(__xludf.DUMMYFUNCTION("""COMPUTED_VALUE"""),"Garland, TX 75044")</f>
        <v>Garland, TX 75044</v>
      </c>
      <c r="AC1459" s="31" t="s">
        <v>3052</v>
      </c>
      <c r="AD1459" s="40"/>
      <c r="AE1459" s="40"/>
      <c r="AF1459" s="40"/>
      <c r="AG1459" s="40" t="s">
        <v>60</v>
      </c>
      <c r="AH1459" s="42">
        <v>2505.0</v>
      </c>
      <c r="AI1459" s="40" t="s">
        <v>68</v>
      </c>
      <c r="AJ1459" s="27">
        <v>1000.0</v>
      </c>
      <c r="AK1459" s="31" t="s">
        <v>30</v>
      </c>
      <c r="AL1459" s="43">
        <v>44887.0</v>
      </c>
      <c r="AM1459" s="44">
        <v>44943.52300925926</v>
      </c>
      <c r="AN1459" s="30">
        <v>2.0</v>
      </c>
      <c r="AO1459" s="40"/>
      <c r="AP1459" s="40"/>
      <c r="AQ1459" s="40"/>
      <c r="AR1459" s="40"/>
      <c r="AS1459" s="40"/>
      <c r="AT1459" s="47"/>
      <c r="AU1459" s="40"/>
      <c r="AV1459" s="46"/>
      <c r="AW1459" s="46"/>
      <c r="AX1459" s="47"/>
      <c r="AY1459" s="44"/>
      <c r="AZ1459" s="30"/>
      <c r="CU1459" s="55"/>
      <c r="CV1459" s="55"/>
      <c r="CW1459" s="55"/>
      <c r="CX1459" s="55"/>
      <c r="CY1459" s="55"/>
      <c r="CZ1459" s="55"/>
      <c r="DA1459" s="82"/>
      <c r="DB1459" s="55"/>
      <c r="DC1459" s="55"/>
      <c r="DD1459" s="55"/>
      <c r="DE1459" s="55"/>
      <c r="DF1459" s="55"/>
      <c r="DG1459" s="55"/>
      <c r="DH1459" s="55"/>
      <c r="DI1459" s="55"/>
      <c r="DJ1459" s="55"/>
      <c r="DK1459" s="55"/>
      <c r="DL1459" s="55"/>
      <c r="DM1459" s="55"/>
      <c r="DN1459" s="55"/>
      <c r="DO1459" s="55"/>
      <c r="DP1459" s="55"/>
      <c r="DQ1459" s="55"/>
      <c r="DR1459" s="55"/>
      <c r="DS1459" s="55"/>
      <c r="DT1459" s="55"/>
      <c r="DU1459" s="55"/>
      <c r="DV1459" s="55"/>
      <c r="DW1459" s="55"/>
    </row>
    <row r="1460">
      <c r="A1460" s="22" t="s">
        <v>55</v>
      </c>
      <c r="B1460" s="23" t="s">
        <v>56</v>
      </c>
      <c r="C1460" s="31" t="s">
        <v>3053</v>
      </c>
      <c r="D1460" s="25" t="str">
        <f>IFERROR(__xludf.DUMMYFUNCTION("SPLIT(C1460,"" "")"),"Perry,")</f>
        <v>Perry,</v>
      </c>
      <c r="E1460" s="22" t="str">
        <f>IFERROR(__xludf.DUMMYFUNCTION("""COMPUTED_VALUE"""),"Philip
3610")</f>
        <v>Philip
3610</v>
      </c>
      <c r="F1460" s="22" t="str">
        <f>IFERROR(__xludf.DUMMYFUNCTION("""COMPUTED_VALUE"""),"N.")</f>
        <v>N.</v>
      </c>
      <c r="G1460" s="22" t="str">
        <f>IFERROR(__xludf.DUMMYFUNCTION("""COMPUTED_VALUE"""),"Versailles
Dallas,")</f>
        <v>Versailles
Dallas,</v>
      </c>
      <c r="H1460" s="22" t="str">
        <f>IFERROR(__xludf.DUMMYFUNCTION("""COMPUTED_VALUE"""),"TX")</f>
        <v>TX</v>
      </c>
      <c r="I1460" s="22">
        <f>IFERROR(__xludf.DUMMYFUNCTION("""COMPUTED_VALUE"""),75092.0)</f>
        <v>75092</v>
      </c>
      <c r="J1460" s="22"/>
      <c r="K1460" s="22"/>
      <c r="L1460" s="22"/>
      <c r="M1460" s="22"/>
      <c r="N1460" s="22"/>
      <c r="O1460" s="22"/>
      <c r="P1460" s="22"/>
      <c r="Q1460" s="22"/>
      <c r="R1460" s="22"/>
      <c r="S1460" s="22"/>
      <c r="T1460" s="22"/>
      <c r="U1460" s="24" t="str">
        <f>IFERROR(__xludf.DUMMYFUNCTION("SPLIT(E1460,""01234567890"")"),"Philip
")</f>
        <v>Philip
</v>
      </c>
      <c r="V1460" s="24" t="str">
        <f>IFERROR(__xludf.DUMMYFUNCTION("SPLIT(D1460,"","")"),"Perry")</f>
        <v>Perry</v>
      </c>
      <c r="W1460" s="25" t="str">
        <f t="shared" si="1"/>
        <v>PHILIP
 PERRY</v>
      </c>
      <c r="X1460" s="22"/>
      <c r="Y1460" s="22"/>
      <c r="Z1460" s="25" t="str">
        <f>IFERROR(__xludf.DUMMYFUNCTION("SPLIT(C1460,""
"")"),"Perry, Philip")</f>
        <v>Perry, Philip</v>
      </c>
      <c r="AA1460" s="22" t="str">
        <f>IFERROR(__xludf.DUMMYFUNCTION("""COMPUTED_VALUE"""),"3610 N. Versailles")</f>
        <v>3610 N. Versailles</v>
      </c>
      <c r="AB1460" s="22" t="str">
        <f>IFERROR(__xludf.DUMMYFUNCTION("""COMPUTED_VALUE"""),"Dallas, TX 75092")</f>
        <v>Dallas, TX 75092</v>
      </c>
      <c r="AC1460" s="31" t="s">
        <v>3054</v>
      </c>
      <c r="AD1460" s="22"/>
      <c r="AE1460" s="22"/>
      <c r="AF1460" s="22"/>
      <c r="AG1460" s="22" t="s">
        <v>60</v>
      </c>
      <c r="AH1460" s="54">
        <v>2505.0</v>
      </c>
      <c r="AI1460" s="22" t="s">
        <v>68</v>
      </c>
      <c r="AJ1460" s="27">
        <v>100.0</v>
      </c>
      <c r="AK1460" s="31" t="s">
        <v>30</v>
      </c>
      <c r="AL1460" s="28">
        <v>44883.0</v>
      </c>
      <c r="AM1460" s="29">
        <v>44943.52300925926</v>
      </c>
      <c r="AN1460" s="30">
        <v>2.0</v>
      </c>
      <c r="AO1460" s="22"/>
      <c r="AP1460" s="22"/>
      <c r="AQ1460" s="22"/>
      <c r="AR1460" s="22"/>
      <c r="AS1460" s="22"/>
      <c r="AT1460" s="70"/>
      <c r="AU1460" s="22"/>
      <c r="AV1460" s="57"/>
      <c r="AW1460" s="57"/>
      <c r="AX1460" s="70"/>
      <c r="AY1460" s="29"/>
      <c r="AZ1460" s="30"/>
      <c r="CU1460" s="55"/>
      <c r="CV1460" s="55"/>
      <c r="CW1460" s="55"/>
      <c r="CX1460" s="55"/>
      <c r="CY1460" s="55"/>
      <c r="CZ1460" s="55"/>
      <c r="DA1460" s="82"/>
      <c r="DB1460" s="55"/>
      <c r="DC1460" s="55"/>
      <c r="DD1460" s="55"/>
      <c r="DE1460" s="55"/>
      <c r="DF1460" s="55"/>
      <c r="DG1460" s="55"/>
      <c r="DH1460" s="55"/>
      <c r="DI1460" s="55"/>
      <c r="DJ1460" s="55"/>
      <c r="DK1460" s="55"/>
      <c r="DL1460" s="55"/>
      <c r="DM1460" s="55"/>
      <c r="DN1460" s="55"/>
      <c r="DO1460" s="55"/>
      <c r="DP1460" s="55"/>
      <c r="DQ1460" s="55"/>
      <c r="DR1460" s="55"/>
      <c r="DS1460" s="55"/>
      <c r="DT1460" s="55"/>
      <c r="DU1460" s="55"/>
      <c r="DV1460" s="55"/>
      <c r="DW1460" s="55"/>
    </row>
    <row r="1461">
      <c r="A1461" s="41" t="s">
        <v>64</v>
      </c>
      <c r="B1461" s="41" t="s">
        <v>56</v>
      </c>
      <c r="C1461" s="31" t="s">
        <v>3055</v>
      </c>
      <c r="D1461" s="25" t="str">
        <f>IFERROR(__xludf.DUMMYFUNCTION("SPLIT(C1461,"" "")"),"Dankert,")</f>
        <v>Dankert,</v>
      </c>
      <c r="E1461" s="40" t="str">
        <f>IFERROR(__xludf.DUMMYFUNCTION("""COMPUTED_VALUE"""),"Charlie
3367")</f>
        <v>Charlie
3367</v>
      </c>
      <c r="F1461" s="40" t="str">
        <f>IFERROR(__xludf.DUMMYFUNCTION("""COMPUTED_VALUE"""),"VALIANT")</f>
        <v>VALIANT</v>
      </c>
      <c r="G1461" s="40" t="str">
        <f>IFERROR(__xludf.DUMMYFUNCTION("""COMPUTED_VALUE"""),"DR
Dallas,")</f>
        <v>DR
Dallas,</v>
      </c>
      <c r="H1461" s="40" t="str">
        <f>IFERROR(__xludf.DUMMYFUNCTION("""COMPUTED_VALUE"""),"TX")</f>
        <v>TX</v>
      </c>
      <c r="I1461" s="40">
        <f>IFERROR(__xludf.DUMMYFUNCTION("""COMPUTED_VALUE"""),75229.0)</f>
        <v>75229</v>
      </c>
      <c r="J1461" s="40"/>
      <c r="K1461" s="40"/>
      <c r="L1461" s="40"/>
      <c r="M1461" s="40"/>
      <c r="N1461" s="40"/>
      <c r="O1461" s="40"/>
      <c r="P1461" s="40"/>
      <c r="Q1461" s="40"/>
      <c r="R1461" s="40"/>
      <c r="S1461" s="40"/>
      <c r="T1461" s="40"/>
      <c r="U1461" s="24" t="str">
        <f>IFERROR(__xludf.DUMMYFUNCTION("SPLIT(E1461,""01234567890"")"),"Charlie
")</f>
        <v>Charlie
</v>
      </c>
      <c r="V1461" s="24" t="str">
        <f>IFERROR(__xludf.DUMMYFUNCTION("SPLIT(D1461,"","")"),"Dankert")</f>
        <v>Dankert</v>
      </c>
      <c r="W1461" s="25" t="str">
        <f t="shared" si="1"/>
        <v>CHARLIE
 DANKERT</v>
      </c>
      <c r="X1461" s="40"/>
      <c r="Y1461" s="40"/>
      <c r="Z1461" s="25" t="str">
        <f>IFERROR(__xludf.DUMMYFUNCTION("SPLIT(C1461,""
"")"),"Dankert, Charlie")</f>
        <v>Dankert, Charlie</v>
      </c>
      <c r="AA1461" s="40" t="str">
        <f>IFERROR(__xludf.DUMMYFUNCTION("""COMPUTED_VALUE"""),"3367 VALIANT DR")</f>
        <v>3367 VALIANT DR</v>
      </c>
      <c r="AB1461" s="40" t="str">
        <f>IFERROR(__xludf.DUMMYFUNCTION("""COMPUTED_VALUE"""),"Dallas, TX 75229")</f>
        <v>Dallas, TX 75229</v>
      </c>
      <c r="AC1461" s="31" t="s">
        <v>3056</v>
      </c>
      <c r="AD1461" s="40"/>
      <c r="AE1461" s="40"/>
      <c r="AF1461" s="40"/>
      <c r="AG1461" s="40" t="s">
        <v>60</v>
      </c>
      <c r="AH1461" s="42">
        <v>2505.0</v>
      </c>
      <c r="AI1461" s="40" t="s">
        <v>68</v>
      </c>
      <c r="AJ1461" s="27">
        <v>100.0</v>
      </c>
      <c r="AK1461" s="31" t="s">
        <v>30</v>
      </c>
      <c r="AL1461" s="43">
        <v>44887.0</v>
      </c>
      <c r="AM1461" s="44">
        <v>44943.52300925926</v>
      </c>
      <c r="AN1461" s="30">
        <v>2.0</v>
      </c>
      <c r="AO1461" s="40"/>
      <c r="AP1461" s="40"/>
      <c r="AQ1461" s="40"/>
      <c r="AR1461" s="40"/>
      <c r="AS1461" s="40"/>
      <c r="AT1461" s="47"/>
      <c r="AU1461" s="40"/>
      <c r="AV1461" s="46"/>
      <c r="AW1461" s="46"/>
      <c r="AX1461" s="47"/>
      <c r="AY1461" s="44"/>
      <c r="AZ1461" s="30"/>
      <c r="CU1461" s="55"/>
      <c r="CV1461" s="55"/>
      <c r="CW1461" s="55"/>
      <c r="CX1461" s="55"/>
      <c r="CY1461" s="55"/>
      <c r="CZ1461" s="55"/>
      <c r="DA1461" s="82"/>
      <c r="DB1461" s="55"/>
      <c r="DC1461" s="55"/>
      <c r="DD1461" s="55"/>
      <c r="DE1461" s="55"/>
      <c r="DF1461" s="55"/>
      <c r="DG1461" s="55"/>
      <c r="DH1461" s="55"/>
      <c r="DI1461" s="55"/>
      <c r="DJ1461" s="55"/>
      <c r="DK1461" s="55"/>
      <c r="DL1461" s="55"/>
      <c r="DM1461" s="55"/>
      <c r="DN1461" s="55"/>
      <c r="DO1461" s="55"/>
      <c r="DP1461" s="55"/>
      <c r="DQ1461" s="55"/>
      <c r="DR1461" s="55"/>
      <c r="DS1461" s="55"/>
      <c r="DT1461" s="55"/>
      <c r="DU1461" s="55"/>
      <c r="DV1461" s="55"/>
      <c r="DW1461" s="55"/>
    </row>
    <row r="1462">
      <c r="A1462" s="22" t="s">
        <v>55</v>
      </c>
      <c r="B1462" s="23" t="s">
        <v>56</v>
      </c>
      <c r="C1462" s="31" t="s">
        <v>3057</v>
      </c>
      <c r="D1462" s="25" t="str">
        <f>IFERROR(__xludf.DUMMYFUNCTION("SPLIT(C1462,"" "")"),"Linebarger")</f>
        <v>Linebarger</v>
      </c>
      <c r="E1462" s="22" t="str">
        <f>IFERROR(__xludf.DUMMYFUNCTION("""COMPUTED_VALUE"""),"Goggan")</f>
        <v>Goggan</v>
      </c>
      <c r="F1462" s="22" t="str">
        <f>IFERROR(__xludf.DUMMYFUNCTION("""COMPUTED_VALUE"""),"Blair")</f>
        <v>Blair</v>
      </c>
      <c r="G1462" s="22" t="str">
        <f>IFERROR(__xludf.DUMMYFUNCTION("""COMPUTED_VALUE"""),"&amp;")</f>
        <v>&amp;</v>
      </c>
      <c r="H1462" s="22" t="str">
        <f>IFERROR(__xludf.DUMMYFUNCTION("""COMPUTED_VALUE"""),"Sampson
PO")</f>
        <v>Sampson
PO</v>
      </c>
      <c r="I1462" s="22" t="str">
        <f>IFERROR(__xludf.DUMMYFUNCTION("""COMPUTED_VALUE"""),"Box")</f>
        <v>Box</v>
      </c>
      <c r="J1462" s="22" t="str">
        <f>IFERROR(__xludf.DUMMYFUNCTION("""COMPUTED_VALUE"""),"17428
Austin,")</f>
        <v>17428
Austin,</v>
      </c>
      <c r="K1462" s="22" t="str">
        <f>IFERROR(__xludf.DUMMYFUNCTION("""COMPUTED_VALUE"""),"TX")</f>
        <v>TX</v>
      </c>
      <c r="L1462" s="22">
        <f>IFERROR(__xludf.DUMMYFUNCTION("""COMPUTED_VALUE"""),78760.0)</f>
        <v>78760</v>
      </c>
      <c r="M1462" s="22"/>
      <c r="N1462" s="22"/>
      <c r="O1462" s="22"/>
      <c r="P1462" s="22"/>
      <c r="Q1462" s="22"/>
      <c r="R1462" s="22"/>
      <c r="S1462" s="22"/>
      <c r="T1462" s="22"/>
      <c r="U1462" s="24" t="str">
        <f>IFERROR(__xludf.DUMMYFUNCTION("SPLIT(E1462,""01234567890"")"),"Goggan")</f>
        <v>Goggan</v>
      </c>
      <c r="V1462" s="24" t="str">
        <f>IFERROR(__xludf.DUMMYFUNCTION("SPLIT(D1462,"","")"),"Linebarger")</f>
        <v>Linebarger</v>
      </c>
      <c r="W1462" s="25" t="str">
        <f t="shared" si="1"/>
        <v>GOGGAN LINEBARGER</v>
      </c>
      <c r="X1462" s="22"/>
      <c r="Y1462" s="22"/>
      <c r="Z1462" s="25" t="str">
        <f>IFERROR(__xludf.DUMMYFUNCTION("SPLIT(C1462,""
"")"),"Linebarger Goggan Blair &amp; Sampson")</f>
        <v>Linebarger Goggan Blair &amp; Sampson</v>
      </c>
      <c r="AA1462" s="22" t="str">
        <f>IFERROR(__xludf.DUMMYFUNCTION("""COMPUTED_VALUE"""),"PO Box 17428")</f>
        <v>PO Box 17428</v>
      </c>
      <c r="AB1462" s="22" t="str">
        <f>IFERROR(__xludf.DUMMYFUNCTION("""COMPUTED_VALUE"""),"Austin, TX 78760")</f>
        <v>Austin, TX 78760</v>
      </c>
      <c r="AC1462" s="31" t="s">
        <v>3058</v>
      </c>
      <c r="AD1462" s="22"/>
      <c r="AE1462" s="22"/>
      <c r="AF1462" s="22"/>
      <c r="AG1462" s="22" t="s">
        <v>60</v>
      </c>
      <c r="AH1462" s="54">
        <v>2505.0</v>
      </c>
      <c r="AI1462" s="22" t="s">
        <v>68</v>
      </c>
      <c r="AJ1462" s="27">
        <v>1000.0</v>
      </c>
      <c r="AK1462" s="31" t="s">
        <v>30</v>
      </c>
      <c r="AL1462" s="28">
        <v>44896.0</v>
      </c>
      <c r="AM1462" s="29">
        <v>44943.52300925926</v>
      </c>
      <c r="AN1462" s="30">
        <v>2.0</v>
      </c>
      <c r="AO1462" s="22"/>
      <c r="AP1462" s="22"/>
      <c r="AQ1462" s="22"/>
      <c r="AR1462" s="22"/>
      <c r="AS1462" s="22"/>
      <c r="AT1462" s="70"/>
      <c r="AU1462" s="22"/>
      <c r="AV1462" s="57"/>
      <c r="AW1462" s="57"/>
      <c r="AX1462" s="70"/>
      <c r="AY1462" s="29"/>
      <c r="AZ1462" s="30"/>
      <c r="CU1462" s="55"/>
      <c r="CV1462" s="55"/>
      <c r="CW1462" s="55"/>
      <c r="CX1462" s="55"/>
      <c r="CY1462" s="55"/>
      <c r="CZ1462" s="55"/>
      <c r="DA1462" s="82"/>
      <c r="DB1462" s="55"/>
      <c r="DC1462" s="55"/>
      <c r="DD1462" s="55"/>
      <c r="DE1462" s="55"/>
      <c r="DF1462" s="55"/>
      <c r="DG1462" s="55"/>
      <c r="DH1462" s="55"/>
      <c r="DI1462" s="55"/>
      <c r="DJ1462" s="55"/>
      <c r="DK1462" s="55"/>
      <c r="DL1462" s="55"/>
      <c r="DM1462" s="55"/>
      <c r="DN1462" s="55"/>
      <c r="DO1462" s="55"/>
      <c r="DP1462" s="55"/>
      <c r="DQ1462" s="55"/>
      <c r="DR1462" s="55"/>
      <c r="DS1462" s="55"/>
      <c r="DT1462" s="55"/>
      <c r="DU1462" s="55"/>
      <c r="DV1462" s="55"/>
      <c r="DW1462" s="55"/>
    </row>
    <row r="1463">
      <c r="A1463" s="41" t="s">
        <v>64</v>
      </c>
      <c r="B1463" s="41" t="s">
        <v>56</v>
      </c>
      <c r="C1463" s="31" t="s">
        <v>3059</v>
      </c>
      <c r="D1463" s="25" t="str">
        <f>IFERROR(__xludf.DUMMYFUNCTION("SPLIT(C1463,"" "")"),"Southwest")</f>
        <v>Southwest</v>
      </c>
      <c r="E1463" s="40" t="str">
        <f>IFERROR(__xludf.DUMMYFUNCTION("""COMPUTED_VALUE"""),"Freedom")</f>
        <v>Freedom</v>
      </c>
      <c r="F1463" s="40" t="str">
        <f>IFERROR(__xludf.DUMMYFUNCTION("""COMPUTED_VALUE"""),"Fund
PO")</f>
        <v>Fund
PO</v>
      </c>
      <c r="G1463" s="40" t="str">
        <f>IFERROR(__xludf.DUMMYFUNCTION("""COMPUTED_VALUE"""),"Box")</f>
        <v>Box</v>
      </c>
      <c r="H1463" s="40" t="str">
        <f>IFERROR(__xludf.DUMMYFUNCTION("""COMPUTED_VALUE"""),"3661
Dallas,")</f>
        <v>3661
Dallas,</v>
      </c>
      <c r="I1463" s="40" t="str">
        <f>IFERROR(__xludf.DUMMYFUNCTION("""COMPUTED_VALUE"""),"TX")</f>
        <v>TX</v>
      </c>
      <c r="J1463" s="40" t="str">
        <f>IFERROR(__xludf.DUMMYFUNCTION("""COMPUTED_VALUE"""),"75235-1611")</f>
        <v>75235-1611</v>
      </c>
      <c r="K1463" s="40"/>
      <c r="L1463" s="40"/>
      <c r="M1463" s="40"/>
      <c r="N1463" s="40"/>
      <c r="O1463" s="40"/>
      <c r="P1463" s="40"/>
      <c r="Q1463" s="40"/>
      <c r="R1463" s="40"/>
      <c r="S1463" s="40"/>
      <c r="T1463" s="40"/>
      <c r="U1463" s="24" t="str">
        <f>IFERROR(__xludf.DUMMYFUNCTION("SPLIT(E1463,""01234567890"")"),"Freedom")</f>
        <v>Freedom</v>
      </c>
      <c r="V1463" s="24" t="str">
        <f>IFERROR(__xludf.DUMMYFUNCTION("SPLIT(D1463,"","")"),"Southwest")</f>
        <v>Southwest</v>
      </c>
      <c r="W1463" s="25" t="str">
        <f t="shared" si="1"/>
        <v>FREEDOM SOUTHWEST</v>
      </c>
      <c r="X1463" s="40"/>
      <c r="Y1463" s="40"/>
      <c r="Z1463" s="25" t="str">
        <f>IFERROR(__xludf.DUMMYFUNCTION("SPLIT(C1463,""
"")"),"Southwest Freedom Fund")</f>
        <v>Southwest Freedom Fund</v>
      </c>
      <c r="AA1463" s="40" t="str">
        <f>IFERROR(__xludf.DUMMYFUNCTION("""COMPUTED_VALUE"""),"PO Box 3661")</f>
        <v>PO Box 3661</v>
      </c>
      <c r="AB1463" s="40" t="str">
        <f>IFERROR(__xludf.DUMMYFUNCTION("""COMPUTED_VALUE"""),"Dallas, TX 75235-1611")</f>
        <v>Dallas, TX 75235-1611</v>
      </c>
      <c r="AC1463" s="31" t="s">
        <v>3060</v>
      </c>
      <c r="AD1463" s="40"/>
      <c r="AE1463" s="40"/>
      <c r="AF1463" s="40"/>
      <c r="AG1463" s="40" t="s">
        <v>60</v>
      </c>
      <c r="AH1463" s="42">
        <v>2505.0</v>
      </c>
      <c r="AI1463" s="40" t="s">
        <v>68</v>
      </c>
      <c r="AJ1463" s="27">
        <v>1000.0</v>
      </c>
      <c r="AK1463" s="31" t="s">
        <v>30</v>
      </c>
      <c r="AL1463" s="43">
        <v>44771.0</v>
      </c>
      <c r="AM1463" s="44">
        <v>44943.52300925926</v>
      </c>
      <c r="AN1463" s="30">
        <v>2.0</v>
      </c>
      <c r="AO1463" s="40"/>
      <c r="AP1463" s="40"/>
      <c r="AQ1463" s="40"/>
      <c r="AR1463" s="40"/>
      <c r="AS1463" s="40"/>
      <c r="AT1463" s="47"/>
      <c r="AU1463" s="40"/>
      <c r="AV1463" s="46"/>
      <c r="AW1463" s="46"/>
      <c r="AX1463" s="47"/>
      <c r="AY1463" s="44"/>
      <c r="AZ1463" s="30"/>
      <c r="CU1463" s="55"/>
      <c r="CV1463" s="55"/>
      <c r="CW1463" s="55"/>
      <c r="CX1463" s="55"/>
      <c r="CY1463" s="55"/>
      <c r="CZ1463" s="55"/>
      <c r="DA1463" s="82"/>
      <c r="DB1463" s="55"/>
      <c r="DC1463" s="55"/>
      <c r="DD1463" s="55"/>
      <c r="DE1463" s="55"/>
      <c r="DF1463" s="55"/>
      <c r="DG1463" s="55"/>
      <c r="DH1463" s="55"/>
      <c r="DI1463" s="55"/>
      <c r="DJ1463" s="55"/>
      <c r="DK1463" s="55"/>
      <c r="DL1463" s="55"/>
      <c r="DM1463" s="55"/>
      <c r="DN1463" s="55"/>
      <c r="DO1463" s="55"/>
      <c r="DP1463" s="55"/>
      <c r="DQ1463" s="55"/>
      <c r="DR1463" s="55"/>
      <c r="DS1463" s="55"/>
      <c r="DT1463" s="55"/>
      <c r="DU1463" s="55"/>
      <c r="DV1463" s="55"/>
      <c r="DW1463" s="55"/>
    </row>
    <row r="1464">
      <c r="A1464" s="23" t="s">
        <v>64</v>
      </c>
      <c r="B1464" s="23" t="s">
        <v>56</v>
      </c>
      <c r="C1464" s="31" t="s">
        <v>3061</v>
      </c>
      <c r="D1464" s="25" t="str">
        <f>IFERROR(__xludf.DUMMYFUNCTION("SPLIT(C1464,"" "")"),"Mata,")</f>
        <v>Mata,</v>
      </c>
      <c r="E1464" s="22" t="str">
        <f>IFERROR(__xludf.DUMMYFUNCTION("""COMPUTED_VALUE"""),"Albert
105")</f>
        <v>Albert
105</v>
      </c>
      <c r="F1464" s="22" t="str">
        <f>IFERROR(__xludf.DUMMYFUNCTION("""COMPUTED_VALUE"""),"S")</f>
        <v>S</v>
      </c>
      <c r="G1464" s="22" t="str">
        <f>IFERROR(__xludf.DUMMYFUNCTION("""COMPUTED_VALUE"""),"Bishop")</f>
        <v>Bishop</v>
      </c>
      <c r="H1464" s="22" t="str">
        <f>IFERROR(__xludf.DUMMYFUNCTION("""COMPUTED_VALUE"""),"Ave
Dallas,")</f>
        <v>Ave
Dallas,</v>
      </c>
      <c r="I1464" s="22" t="str">
        <f>IFERROR(__xludf.DUMMYFUNCTION("""COMPUTED_VALUE"""),"TX")</f>
        <v>TX</v>
      </c>
      <c r="J1464" s="22">
        <f>IFERROR(__xludf.DUMMYFUNCTION("""COMPUTED_VALUE"""),75208.0)</f>
        <v>75208</v>
      </c>
      <c r="K1464" s="22"/>
      <c r="L1464" s="22"/>
      <c r="M1464" s="22"/>
      <c r="N1464" s="22"/>
      <c r="O1464" s="22"/>
      <c r="P1464" s="22"/>
      <c r="Q1464" s="22"/>
      <c r="R1464" s="22"/>
      <c r="S1464" s="22"/>
      <c r="T1464" s="22"/>
      <c r="U1464" s="24" t="str">
        <f>IFERROR(__xludf.DUMMYFUNCTION("SPLIT(E1464,""01234567890"")"),"Albert
")</f>
        <v>Albert
</v>
      </c>
      <c r="V1464" s="24" t="str">
        <f>IFERROR(__xludf.DUMMYFUNCTION("SPLIT(D1464,"","")"),"Mata")</f>
        <v>Mata</v>
      </c>
      <c r="W1464" s="25" t="str">
        <f t="shared" si="1"/>
        <v>ALBERT
 MATA</v>
      </c>
      <c r="X1464" s="22"/>
      <c r="Y1464" s="22"/>
      <c r="Z1464" s="25" t="str">
        <f>IFERROR(__xludf.DUMMYFUNCTION("SPLIT(C1464,""
"")"),"Mata, Albert")</f>
        <v>Mata, Albert</v>
      </c>
      <c r="AA1464" s="22" t="str">
        <f>IFERROR(__xludf.DUMMYFUNCTION("""COMPUTED_VALUE"""),"105 S Bishop Ave")</f>
        <v>105 S Bishop Ave</v>
      </c>
      <c r="AB1464" s="22" t="str">
        <f>IFERROR(__xludf.DUMMYFUNCTION("""COMPUTED_VALUE"""),"Dallas, TX 75208")</f>
        <v>Dallas, TX 75208</v>
      </c>
      <c r="AC1464" s="31" t="s">
        <v>3062</v>
      </c>
      <c r="AD1464" s="22"/>
      <c r="AE1464" s="22"/>
      <c r="AF1464" s="22"/>
      <c r="AG1464" s="22" t="s">
        <v>60</v>
      </c>
      <c r="AH1464" s="54">
        <v>2506.0</v>
      </c>
      <c r="AI1464" s="22" t="s">
        <v>68</v>
      </c>
      <c r="AJ1464" s="27">
        <v>950.0</v>
      </c>
      <c r="AK1464" s="31" t="s">
        <v>38</v>
      </c>
      <c r="AL1464" s="28">
        <v>44916.0</v>
      </c>
      <c r="AM1464" s="29">
        <v>44943.57434027778</v>
      </c>
      <c r="AN1464" s="30">
        <v>2.0</v>
      </c>
      <c r="AO1464" s="22"/>
      <c r="AP1464" s="22"/>
      <c r="AQ1464" s="22"/>
      <c r="AR1464" s="22"/>
      <c r="AS1464" s="22"/>
      <c r="AT1464" s="70"/>
      <c r="AU1464" s="22"/>
      <c r="AV1464" s="57"/>
      <c r="AW1464" s="57"/>
      <c r="AX1464" s="70"/>
      <c r="AY1464" s="29"/>
      <c r="AZ1464" s="30"/>
      <c r="CU1464" s="55"/>
      <c r="CV1464" s="55"/>
      <c r="CW1464" s="55"/>
      <c r="CX1464" s="55"/>
      <c r="CY1464" s="55"/>
      <c r="CZ1464" s="55"/>
      <c r="DA1464" s="82"/>
      <c r="DB1464" s="55"/>
      <c r="DC1464" s="55"/>
      <c r="DD1464" s="55"/>
      <c r="DE1464" s="55"/>
      <c r="DF1464" s="55"/>
      <c r="DG1464" s="55"/>
      <c r="DH1464" s="55"/>
      <c r="DI1464" s="55"/>
      <c r="DJ1464" s="55"/>
      <c r="DK1464" s="55"/>
      <c r="DL1464" s="55"/>
      <c r="DM1464" s="55"/>
      <c r="DN1464" s="55"/>
      <c r="DO1464" s="55"/>
      <c r="DP1464" s="55"/>
      <c r="DQ1464" s="55"/>
      <c r="DR1464" s="55"/>
      <c r="DS1464" s="55"/>
      <c r="DT1464" s="55"/>
      <c r="DU1464" s="55"/>
      <c r="DV1464" s="55"/>
      <c r="DW1464" s="55"/>
    </row>
    <row r="1465">
      <c r="A1465" s="41" t="s">
        <v>64</v>
      </c>
      <c r="B1465" s="41" t="s">
        <v>56</v>
      </c>
      <c r="C1465" s="31" t="s">
        <v>3063</v>
      </c>
      <c r="D1465" s="25" t="str">
        <f>IFERROR(__xludf.DUMMYFUNCTION("SPLIT(C1465,"" "")"),"Gonzales,")</f>
        <v>Gonzales,</v>
      </c>
      <c r="E1465" s="40" t="str">
        <f>IFERROR(__xludf.DUMMYFUNCTION("""COMPUTED_VALUE"""),"Nancy
105")</f>
        <v>Nancy
105</v>
      </c>
      <c r="F1465" s="40" t="str">
        <f>IFERROR(__xludf.DUMMYFUNCTION("""COMPUTED_VALUE"""),"S")</f>
        <v>S</v>
      </c>
      <c r="G1465" s="40" t="str">
        <f>IFERROR(__xludf.DUMMYFUNCTION("""COMPUTED_VALUE"""),"Bishop")</f>
        <v>Bishop</v>
      </c>
      <c r="H1465" s="40" t="str">
        <f>IFERROR(__xludf.DUMMYFUNCTION("""COMPUTED_VALUE"""),"Ave
Dallas,")</f>
        <v>Ave
Dallas,</v>
      </c>
      <c r="I1465" s="40" t="str">
        <f>IFERROR(__xludf.DUMMYFUNCTION("""COMPUTED_VALUE"""),"TX")</f>
        <v>TX</v>
      </c>
      <c r="J1465" s="40">
        <f>IFERROR(__xludf.DUMMYFUNCTION("""COMPUTED_VALUE"""),75208.0)</f>
        <v>75208</v>
      </c>
      <c r="K1465" s="40"/>
      <c r="L1465" s="40"/>
      <c r="M1465" s="40"/>
      <c r="N1465" s="40"/>
      <c r="O1465" s="40"/>
      <c r="P1465" s="40"/>
      <c r="Q1465" s="40"/>
      <c r="R1465" s="40"/>
      <c r="S1465" s="40"/>
      <c r="T1465" s="40"/>
      <c r="U1465" s="24" t="str">
        <f>IFERROR(__xludf.DUMMYFUNCTION("SPLIT(E1465,""01234567890"")"),"Nancy
")</f>
        <v>Nancy
</v>
      </c>
      <c r="V1465" s="24" t="str">
        <f>IFERROR(__xludf.DUMMYFUNCTION("SPLIT(D1465,"","")"),"Gonzales")</f>
        <v>Gonzales</v>
      </c>
      <c r="W1465" s="25" t="str">
        <f t="shared" si="1"/>
        <v>NANCY
 GONZALES</v>
      </c>
      <c r="X1465" s="40"/>
      <c r="Y1465" s="40"/>
      <c r="Z1465" s="25" t="str">
        <f>IFERROR(__xludf.DUMMYFUNCTION("SPLIT(C1465,""
"")"),"Gonzales, Nancy")</f>
        <v>Gonzales, Nancy</v>
      </c>
      <c r="AA1465" s="40" t="str">
        <f>IFERROR(__xludf.DUMMYFUNCTION("""COMPUTED_VALUE"""),"105 S Bishop Ave")</f>
        <v>105 S Bishop Ave</v>
      </c>
      <c r="AB1465" s="40" t="str">
        <f>IFERROR(__xludf.DUMMYFUNCTION("""COMPUTED_VALUE"""),"Dallas, TX 75208")</f>
        <v>Dallas, TX 75208</v>
      </c>
      <c r="AC1465" s="31" t="s">
        <v>3064</v>
      </c>
      <c r="AD1465" s="40"/>
      <c r="AE1465" s="40"/>
      <c r="AF1465" s="40"/>
      <c r="AG1465" s="40" t="s">
        <v>60</v>
      </c>
      <c r="AH1465" s="42">
        <v>2506.0</v>
      </c>
      <c r="AI1465" s="40" t="s">
        <v>68</v>
      </c>
      <c r="AJ1465" s="27">
        <v>500.0</v>
      </c>
      <c r="AK1465" s="31" t="s">
        <v>38</v>
      </c>
      <c r="AL1465" s="43">
        <v>44924.0</v>
      </c>
      <c r="AM1465" s="44">
        <v>44943.57434027778</v>
      </c>
      <c r="AN1465" s="30">
        <v>2.0</v>
      </c>
      <c r="AO1465" s="40"/>
      <c r="AP1465" s="40"/>
      <c r="AQ1465" s="40"/>
      <c r="AR1465" s="40"/>
      <c r="AS1465" s="40"/>
      <c r="AT1465" s="47"/>
      <c r="AU1465" s="40"/>
      <c r="AV1465" s="46"/>
      <c r="AW1465" s="46"/>
      <c r="AX1465" s="47"/>
      <c r="AY1465" s="44"/>
      <c r="AZ1465" s="30"/>
      <c r="CU1465" s="55"/>
      <c r="CV1465" s="55"/>
      <c r="CW1465" s="55"/>
      <c r="CX1465" s="55"/>
      <c r="CY1465" s="55"/>
      <c r="CZ1465" s="55"/>
      <c r="DA1465" s="82"/>
      <c r="DB1465" s="55"/>
      <c r="DC1465" s="55"/>
      <c r="DD1465" s="55"/>
      <c r="DE1465" s="55"/>
      <c r="DF1465" s="55"/>
      <c r="DG1465" s="55"/>
      <c r="DH1465" s="55"/>
      <c r="DI1465" s="55"/>
      <c r="DJ1465" s="55"/>
      <c r="DK1465" s="55"/>
      <c r="DL1465" s="55"/>
      <c r="DM1465" s="55"/>
      <c r="DN1465" s="55"/>
      <c r="DO1465" s="55"/>
      <c r="DP1465" s="55"/>
      <c r="DQ1465" s="55"/>
      <c r="DR1465" s="55"/>
      <c r="DS1465" s="55"/>
      <c r="DT1465" s="55"/>
      <c r="DU1465" s="55"/>
      <c r="DV1465" s="55"/>
      <c r="DW1465" s="55"/>
    </row>
    <row r="1466">
      <c r="A1466" s="23" t="s">
        <v>64</v>
      </c>
      <c r="B1466" s="23" t="s">
        <v>56</v>
      </c>
      <c r="C1466" s="31" t="s">
        <v>3065</v>
      </c>
      <c r="D1466" s="25" t="str">
        <f>IFERROR(__xludf.DUMMYFUNCTION("SPLIT(C1466,"" "")"),"Carden,")</f>
        <v>Carden,</v>
      </c>
      <c r="E1466" s="22" t="str">
        <f>IFERROR(__xludf.DUMMYFUNCTION("""COMPUTED_VALUE"""),"Paul
2007")</f>
        <v>Paul
2007</v>
      </c>
      <c r="F1466" s="22" t="str">
        <f>IFERROR(__xludf.DUMMYFUNCTION("""COMPUTED_VALUE"""),"Harlandale")</f>
        <v>Harlandale</v>
      </c>
      <c r="G1466" s="22" t="str">
        <f>IFERROR(__xludf.DUMMYFUNCTION("""COMPUTED_VALUE"""),"Ave
Dallas,")</f>
        <v>Ave
Dallas,</v>
      </c>
      <c r="H1466" s="22" t="str">
        <f>IFERROR(__xludf.DUMMYFUNCTION("""COMPUTED_VALUE"""),"TX")</f>
        <v>TX</v>
      </c>
      <c r="I1466" s="22">
        <f>IFERROR(__xludf.DUMMYFUNCTION("""COMPUTED_VALUE"""),75216.0)</f>
        <v>75216</v>
      </c>
      <c r="J1466" s="22"/>
      <c r="K1466" s="22"/>
      <c r="L1466" s="22"/>
      <c r="M1466" s="22"/>
      <c r="N1466" s="22"/>
      <c r="O1466" s="22"/>
      <c r="P1466" s="22"/>
      <c r="Q1466" s="22"/>
      <c r="R1466" s="22"/>
      <c r="S1466" s="22"/>
      <c r="T1466" s="22"/>
      <c r="U1466" s="24" t="str">
        <f>IFERROR(__xludf.DUMMYFUNCTION("SPLIT(E1466,""01234567890"")"),"Paul
")</f>
        <v>Paul
</v>
      </c>
      <c r="V1466" s="24" t="str">
        <f>IFERROR(__xludf.DUMMYFUNCTION("SPLIT(D1466,"","")"),"Carden")</f>
        <v>Carden</v>
      </c>
      <c r="W1466" s="25" t="str">
        <f t="shared" si="1"/>
        <v>PAUL
 CARDEN</v>
      </c>
      <c r="X1466" s="22"/>
      <c r="Y1466" s="22"/>
      <c r="Z1466" s="25" t="str">
        <f>IFERROR(__xludf.DUMMYFUNCTION("SPLIT(C1466,""
"")"),"Carden, Paul")</f>
        <v>Carden, Paul</v>
      </c>
      <c r="AA1466" s="22" t="str">
        <f>IFERROR(__xludf.DUMMYFUNCTION("""COMPUTED_VALUE"""),"2007 Harlandale Ave")</f>
        <v>2007 Harlandale Ave</v>
      </c>
      <c r="AB1466" s="22" t="str">
        <f>IFERROR(__xludf.DUMMYFUNCTION("""COMPUTED_VALUE"""),"Dallas, TX 75216")</f>
        <v>Dallas, TX 75216</v>
      </c>
      <c r="AC1466" s="31" t="s">
        <v>3066</v>
      </c>
      <c r="AD1466" s="22"/>
      <c r="AE1466" s="22"/>
      <c r="AF1466" s="22"/>
      <c r="AG1466" s="22" t="s">
        <v>60</v>
      </c>
      <c r="AH1466" s="54">
        <v>2506.0</v>
      </c>
      <c r="AI1466" s="22" t="s">
        <v>68</v>
      </c>
      <c r="AJ1466" s="27">
        <v>100.0</v>
      </c>
      <c r="AK1466" s="31" t="s">
        <v>38</v>
      </c>
      <c r="AL1466" s="28">
        <v>44925.0</v>
      </c>
      <c r="AM1466" s="29">
        <v>44943.57434027778</v>
      </c>
      <c r="AN1466" s="30">
        <v>2.0</v>
      </c>
      <c r="AO1466" s="22"/>
      <c r="AP1466" s="22"/>
      <c r="AQ1466" s="22"/>
      <c r="AR1466" s="22"/>
      <c r="AS1466" s="22"/>
      <c r="AT1466" s="70"/>
      <c r="AU1466" s="22"/>
      <c r="AV1466" s="57"/>
      <c r="AW1466" s="57"/>
      <c r="AX1466" s="70"/>
      <c r="AY1466" s="29"/>
      <c r="AZ1466" s="30"/>
      <c r="CU1466" s="55"/>
      <c r="CV1466" s="55"/>
      <c r="CW1466" s="55"/>
      <c r="CX1466" s="55"/>
      <c r="CY1466" s="55"/>
      <c r="CZ1466" s="55"/>
      <c r="DA1466" s="82"/>
      <c r="DB1466" s="55"/>
      <c r="DC1466" s="55"/>
      <c r="DD1466" s="55"/>
      <c r="DE1466" s="55"/>
      <c r="DF1466" s="55"/>
      <c r="DG1466" s="55"/>
      <c r="DH1466" s="55"/>
      <c r="DI1466" s="55"/>
      <c r="DJ1466" s="55"/>
      <c r="DK1466" s="55"/>
      <c r="DL1466" s="55"/>
      <c r="DM1466" s="55"/>
      <c r="DN1466" s="55"/>
      <c r="DO1466" s="55"/>
      <c r="DP1466" s="55"/>
      <c r="DQ1466" s="55"/>
      <c r="DR1466" s="55"/>
      <c r="DS1466" s="55"/>
      <c r="DT1466" s="55"/>
      <c r="DU1466" s="55"/>
      <c r="DV1466" s="55"/>
      <c r="DW1466" s="55"/>
    </row>
    <row r="1467">
      <c r="A1467" s="41" t="s">
        <v>64</v>
      </c>
      <c r="B1467" s="41" t="s">
        <v>56</v>
      </c>
      <c r="C1467" s="31" t="s">
        <v>3067</v>
      </c>
      <c r="D1467" s="25" t="str">
        <f>IFERROR(__xludf.DUMMYFUNCTION("SPLIT(C1467,"" "")"),"Amaya,")</f>
        <v>Amaya,</v>
      </c>
      <c r="E1467" s="40" t="str">
        <f>IFERROR(__xludf.DUMMYFUNCTION("""COMPUTED_VALUE"""),"Carlos
107")</f>
        <v>Carlos
107</v>
      </c>
      <c r="F1467" s="40" t="str">
        <f>IFERROR(__xludf.DUMMYFUNCTION("""COMPUTED_VALUE"""),"Garvin")</f>
        <v>Garvin</v>
      </c>
      <c r="G1467" s="40" t="str">
        <f>IFERROR(__xludf.DUMMYFUNCTION("""COMPUTED_VALUE"""),"Way
Midlothian,")</f>
        <v>Way
Midlothian,</v>
      </c>
      <c r="H1467" s="40" t="str">
        <f>IFERROR(__xludf.DUMMYFUNCTION("""COMPUTED_VALUE"""),"TX")</f>
        <v>TX</v>
      </c>
      <c r="I1467" s="40">
        <f>IFERROR(__xludf.DUMMYFUNCTION("""COMPUTED_VALUE"""),76065.0)</f>
        <v>76065</v>
      </c>
      <c r="J1467" s="40"/>
      <c r="K1467" s="40"/>
      <c r="L1467" s="40"/>
      <c r="M1467" s="40"/>
      <c r="N1467" s="40"/>
      <c r="O1467" s="40"/>
      <c r="P1467" s="40"/>
      <c r="Q1467" s="40"/>
      <c r="R1467" s="40"/>
      <c r="S1467" s="40"/>
      <c r="T1467" s="40"/>
      <c r="U1467" s="24" t="str">
        <f>IFERROR(__xludf.DUMMYFUNCTION("SPLIT(E1467,""01234567890"")"),"Carlos
")</f>
        <v>Carlos
</v>
      </c>
      <c r="V1467" s="24" t="str">
        <f>IFERROR(__xludf.DUMMYFUNCTION("SPLIT(D1467,"","")"),"Amaya")</f>
        <v>Amaya</v>
      </c>
      <c r="W1467" s="25" t="str">
        <f t="shared" si="1"/>
        <v>CARLOS
 AMAYA</v>
      </c>
      <c r="X1467" s="40"/>
      <c r="Y1467" s="40"/>
      <c r="Z1467" s="25" t="str">
        <f>IFERROR(__xludf.DUMMYFUNCTION("SPLIT(C1467,""
"")"),"Amaya, Carlos")</f>
        <v>Amaya, Carlos</v>
      </c>
      <c r="AA1467" s="40" t="str">
        <f>IFERROR(__xludf.DUMMYFUNCTION("""COMPUTED_VALUE"""),"107 Garvin Way")</f>
        <v>107 Garvin Way</v>
      </c>
      <c r="AB1467" s="40" t="str">
        <f>IFERROR(__xludf.DUMMYFUNCTION("""COMPUTED_VALUE"""),"Midlothian, TX 76065")</f>
        <v>Midlothian, TX 76065</v>
      </c>
      <c r="AC1467" s="31" t="s">
        <v>3068</v>
      </c>
      <c r="AD1467" s="40"/>
      <c r="AE1467" s="40"/>
      <c r="AF1467" s="40"/>
      <c r="AG1467" s="40" t="s">
        <v>60</v>
      </c>
      <c r="AH1467" s="42">
        <v>2506.0</v>
      </c>
      <c r="AI1467" s="40" t="s">
        <v>68</v>
      </c>
      <c r="AJ1467" s="27">
        <v>50.0</v>
      </c>
      <c r="AK1467" s="31" t="s">
        <v>38</v>
      </c>
      <c r="AL1467" s="43">
        <v>44926.0</v>
      </c>
      <c r="AM1467" s="44">
        <v>44943.57434027778</v>
      </c>
      <c r="AN1467" s="30">
        <v>2.0</v>
      </c>
      <c r="AO1467" s="40"/>
      <c r="AP1467" s="40"/>
      <c r="AQ1467" s="40"/>
      <c r="AR1467" s="40"/>
      <c r="AS1467" s="40"/>
      <c r="AT1467" s="47"/>
      <c r="AU1467" s="40"/>
      <c r="AV1467" s="46"/>
      <c r="AW1467" s="46"/>
      <c r="AX1467" s="47"/>
      <c r="AY1467" s="44"/>
      <c r="AZ1467" s="30"/>
      <c r="CU1467" s="55"/>
      <c r="CV1467" s="55"/>
      <c r="CW1467" s="55"/>
      <c r="CX1467" s="55"/>
      <c r="CY1467" s="55"/>
      <c r="CZ1467" s="55"/>
      <c r="DA1467" s="82"/>
      <c r="DB1467" s="55"/>
      <c r="DC1467" s="55"/>
      <c r="DD1467" s="55"/>
      <c r="DE1467" s="55"/>
      <c r="DF1467" s="55"/>
      <c r="DG1467" s="55"/>
      <c r="DH1467" s="55"/>
      <c r="DI1467" s="55"/>
      <c r="DJ1467" s="55"/>
      <c r="DK1467" s="55"/>
      <c r="DL1467" s="55"/>
      <c r="DM1467" s="55"/>
      <c r="DN1467" s="55"/>
      <c r="DO1467" s="55"/>
      <c r="DP1467" s="55"/>
      <c r="DQ1467" s="55"/>
      <c r="DR1467" s="55"/>
      <c r="DS1467" s="55"/>
      <c r="DT1467" s="55"/>
      <c r="DU1467" s="55"/>
      <c r="DV1467" s="55"/>
      <c r="DW1467" s="55"/>
    </row>
    <row r="1468">
      <c r="A1468" s="22" t="s">
        <v>55</v>
      </c>
      <c r="B1468" s="23" t="s">
        <v>56</v>
      </c>
      <c r="C1468" s="31" t="s">
        <v>1937</v>
      </c>
      <c r="D1468" s="25" t="str">
        <f>IFERROR(__xludf.DUMMYFUNCTION("SPLIT(C1468,"" "")"),"Hunt,")</f>
        <v>Hunt,</v>
      </c>
      <c r="E1468" s="22" t="str">
        <f>IFERROR(__xludf.DUMMYFUNCTION("""COMPUTED_VALUE"""),"Ray
1900")</f>
        <v>Ray
1900</v>
      </c>
      <c r="F1468" s="22" t="str">
        <f>IFERROR(__xludf.DUMMYFUNCTION("""COMPUTED_VALUE"""),"North")</f>
        <v>North</v>
      </c>
      <c r="G1468" s="22" t="str">
        <f>IFERROR(__xludf.DUMMYFUNCTION("""COMPUTED_VALUE"""),"Akard")</f>
        <v>Akard</v>
      </c>
      <c r="H1468" s="22" t="str">
        <f>IFERROR(__xludf.DUMMYFUNCTION("""COMPUTED_VALUE"""),"St
Dallas,")</f>
        <v>St
Dallas,</v>
      </c>
      <c r="I1468" s="22" t="str">
        <f>IFERROR(__xludf.DUMMYFUNCTION("""COMPUTED_VALUE"""),"TX")</f>
        <v>TX</v>
      </c>
      <c r="J1468" s="22">
        <f>IFERROR(__xludf.DUMMYFUNCTION("""COMPUTED_VALUE"""),75201.0)</f>
        <v>75201</v>
      </c>
      <c r="K1468" s="22"/>
      <c r="L1468" s="22"/>
      <c r="M1468" s="22"/>
      <c r="N1468" s="22"/>
      <c r="O1468" s="22"/>
      <c r="P1468" s="22"/>
      <c r="Q1468" s="22"/>
      <c r="R1468" s="22"/>
      <c r="S1468" s="22"/>
      <c r="T1468" s="22"/>
      <c r="U1468" s="24" t="str">
        <f>IFERROR(__xludf.DUMMYFUNCTION("SPLIT(E1468,""01234567890"")"),"Ray
")</f>
        <v>Ray
</v>
      </c>
      <c r="V1468" s="24" t="str">
        <f>IFERROR(__xludf.DUMMYFUNCTION("SPLIT(D1468,"","")"),"Hunt")</f>
        <v>Hunt</v>
      </c>
      <c r="W1468" s="25" t="str">
        <f t="shared" si="1"/>
        <v>RAY
 HUNT</v>
      </c>
      <c r="X1468" s="22"/>
      <c r="Y1468" s="22"/>
      <c r="Z1468" s="25" t="str">
        <f>IFERROR(__xludf.DUMMYFUNCTION("SPLIT(C1468,""
"")"),"Hunt, Ray")</f>
        <v>Hunt, Ray</v>
      </c>
      <c r="AA1468" s="22" t="str">
        <f>IFERROR(__xludf.DUMMYFUNCTION("""COMPUTED_VALUE"""),"1900 North Akard St")</f>
        <v>1900 North Akard St</v>
      </c>
      <c r="AB1468" s="22" t="str">
        <f>IFERROR(__xludf.DUMMYFUNCTION("""COMPUTED_VALUE"""),"Dallas, TX 75201")</f>
        <v>Dallas, TX 75201</v>
      </c>
      <c r="AC1468" s="31" t="s">
        <v>721</v>
      </c>
      <c r="AD1468" s="22"/>
      <c r="AE1468" s="22"/>
      <c r="AF1468" s="22"/>
      <c r="AG1468" s="22" t="s">
        <v>60</v>
      </c>
      <c r="AH1468" s="54">
        <v>2512.0</v>
      </c>
      <c r="AI1468" s="22" t="s">
        <v>68</v>
      </c>
      <c r="AJ1468" s="27">
        <v>1000.0</v>
      </c>
      <c r="AK1468" s="31" t="s">
        <v>33</v>
      </c>
      <c r="AL1468" s="28">
        <v>44865.0</v>
      </c>
      <c r="AM1468" s="29">
        <v>44943.55297453704</v>
      </c>
      <c r="AN1468" s="30">
        <v>2.0</v>
      </c>
      <c r="AO1468" s="22"/>
      <c r="AP1468" s="22"/>
      <c r="AQ1468" s="22"/>
      <c r="AR1468" s="22"/>
      <c r="AS1468" s="22"/>
      <c r="AT1468" s="70"/>
      <c r="AU1468" s="22"/>
      <c r="AV1468" s="57"/>
      <c r="AW1468" s="57"/>
      <c r="AX1468" s="70"/>
      <c r="AY1468" s="29"/>
      <c r="AZ1468" s="30"/>
      <c r="CU1468" s="55"/>
      <c r="CV1468" s="55"/>
      <c r="CW1468" s="55"/>
      <c r="CX1468" s="55"/>
      <c r="CY1468" s="55"/>
      <c r="CZ1468" s="55"/>
      <c r="DA1468" s="82"/>
      <c r="DB1468" s="55"/>
      <c r="DC1468" s="55"/>
      <c r="DD1468" s="55"/>
      <c r="DE1468" s="55"/>
      <c r="DF1468" s="55"/>
      <c r="DG1468" s="55"/>
      <c r="DH1468" s="55"/>
      <c r="DI1468" s="55"/>
      <c r="DJ1468" s="55"/>
      <c r="DK1468" s="55"/>
      <c r="DL1468" s="55"/>
      <c r="DM1468" s="55"/>
      <c r="DN1468" s="55"/>
      <c r="DO1468" s="55"/>
      <c r="DP1468" s="55"/>
      <c r="DQ1468" s="55"/>
      <c r="DR1468" s="55"/>
      <c r="DS1468" s="55"/>
      <c r="DT1468" s="55"/>
      <c r="DU1468" s="55"/>
      <c r="DV1468" s="55"/>
      <c r="DW1468" s="55"/>
    </row>
    <row r="1469">
      <c r="A1469" s="41" t="s">
        <v>64</v>
      </c>
      <c r="B1469" s="41" t="s">
        <v>56</v>
      </c>
      <c r="C1469" s="31" t="s">
        <v>226</v>
      </c>
      <c r="D1469" s="25" t="str">
        <f>IFERROR(__xludf.DUMMYFUNCTION("SPLIT(C1469,"" "")"),"Aranza,")</f>
        <v>Aranza,</v>
      </c>
      <c r="E1469" s="40" t="str">
        <f>IFERROR(__xludf.DUMMYFUNCTION("""COMPUTED_VALUE"""),"Gilbert
PO")</f>
        <v>Gilbert
PO</v>
      </c>
      <c r="F1469" s="40" t="str">
        <f>IFERROR(__xludf.DUMMYFUNCTION("""COMPUTED_VALUE"""),"Box")</f>
        <v>Box</v>
      </c>
      <c r="G1469" s="40" t="str">
        <f>IFERROR(__xludf.DUMMYFUNCTION("""COMPUTED_VALUE"""),"601527
Dallas,")</f>
        <v>601527
Dallas,</v>
      </c>
      <c r="H1469" s="40" t="str">
        <f>IFERROR(__xludf.DUMMYFUNCTION("""COMPUTED_VALUE"""),"TX")</f>
        <v>TX</v>
      </c>
      <c r="I1469" s="40">
        <f>IFERROR(__xludf.DUMMYFUNCTION("""COMPUTED_VALUE"""),75360.0)</f>
        <v>75360</v>
      </c>
      <c r="J1469" s="40"/>
      <c r="K1469" s="40"/>
      <c r="L1469" s="40"/>
      <c r="M1469" s="40"/>
      <c r="N1469" s="40"/>
      <c r="O1469" s="40"/>
      <c r="P1469" s="40"/>
      <c r="Q1469" s="40"/>
      <c r="R1469" s="40"/>
      <c r="S1469" s="40"/>
      <c r="T1469" s="40"/>
      <c r="U1469" s="24" t="str">
        <f>IFERROR(__xludf.DUMMYFUNCTION("SPLIT(E1469,""01234567890"")"),"Gilbert
PO")</f>
        <v>Gilbert
PO</v>
      </c>
      <c r="V1469" s="24" t="str">
        <f>IFERROR(__xludf.DUMMYFUNCTION("SPLIT(D1469,"","")"),"Aranza")</f>
        <v>Aranza</v>
      </c>
      <c r="W1469" s="25" t="str">
        <f t="shared" si="1"/>
        <v>GILBERT
PO ARANZA</v>
      </c>
      <c r="X1469" s="40"/>
      <c r="Y1469" s="40"/>
      <c r="Z1469" s="25" t="str">
        <f>IFERROR(__xludf.DUMMYFUNCTION("SPLIT(C1469,""
"")"),"Aranza, Gilbert")</f>
        <v>Aranza, Gilbert</v>
      </c>
      <c r="AA1469" s="40" t="str">
        <f>IFERROR(__xludf.DUMMYFUNCTION("""COMPUTED_VALUE"""),"PO Box 601527")</f>
        <v>PO Box 601527</v>
      </c>
      <c r="AB1469" s="40" t="str">
        <f>IFERROR(__xludf.DUMMYFUNCTION("""COMPUTED_VALUE"""),"Dallas, TX 75360")</f>
        <v>Dallas, TX 75360</v>
      </c>
      <c r="AC1469" s="31" t="s">
        <v>225</v>
      </c>
      <c r="AD1469" s="40"/>
      <c r="AE1469" s="40"/>
      <c r="AF1469" s="40"/>
      <c r="AG1469" s="40" t="s">
        <v>60</v>
      </c>
      <c r="AH1469" s="42">
        <v>2512.0</v>
      </c>
      <c r="AI1469" s="40" t="s">
        <v>68</v>
      </c>
      <c r="AJ1469" s="27">
        <v>1000.0</v>
      </c>
      <c r="AK1469" s="31" t="s">
        <v>33</v>
      </c>
      <c r="AL1469" s="43">
        <v>44907.0</v>
      </c>
      <c r="AM1469" s="44">
        <v>44943.55297453704</v>
      </c>
      <c r="AN1469" s="30">
        <v>2.0</v>
      </c>
      <c r="AO1469" s="40"/>
      <c r="AP1469" s="40"/>
      <c r="AQ1469" s="40"/>
      <c r="AR1469" s="40"/>
      <c r="AS1469" s="40"/>
      <c r="AT1469" s="47"/>
      <c r="AU1469" s="40"/>
      <c r="AV1469" s="46"/>
      <c r="AW1469" s="46"/>
      <c r="AX1469" s="47"/>
      <c r="AY1469" s="44"/>
      <c r="AZ1469" s="30"/>
      <c r="CU1469" s="55"/>
      <c r="CV1469" s="55"/>
      <c r="CW1469" s="55"/>
      <c r="CX1469" s="55"/>
      <c r="CY1469" s="55"/>
      <c r="CZ1469" s="55"/>
      <c r="DA1469" s="82"/>
      <c r="DB1469" s="55"/>
      <c r="DC1469" s="55"/>
      <c r="DD1469" s="55"/>
      <c r="DE1469" s="55"/>
      <c r="DF1469" s="55"/>
      <c r="DG1469" s="55"/>
      <c r="DH1469" s="55"/>
      <c r="DI1469" s="55"/>
      <c r="DJ1469" s="55"/>
      <c r="DK1469" s="55"/>
      <c r="DL1469" s="55"/>
      <c r="DM1469" s="55"/>
      <c r="DN1469" s="55"/>
      <c r="DO1469" s="55"/>
      <c r="DP1469" s="55"/>
      <c r="DQ1469" s="55"/>
      <c r="DR1469" s="55"/>
      <c r="DS1469" s="55"/>
      <c r="DT1469" s="55"/>
      <c r="DU1469" s="55"/>
      <c r="DV1469" s="55"/>
      <c r="DW1469" s="55"/>
    </row>
    <row r="1470">
      <c r="A1470" s="22" t="s">
        <v>55</v>
      </c>
      <c r="B1470" s="23" t="s">
        <v>56</v>
      </c>
      <c r="C1470" s="31" t="s">
        <v>218</v>
      </c>
      <c r="D1470" s="25" t="str">
        <f>IFERROR(__xludf.DUMMYFUNCTION("SPLIT(C1470,"" "")"),"Aranza,")</f>
        <v>Aranza,</v>
      </c>
      <c r="E1470" s="22" t="str">
        <f>IFERROR(__xludf.DUMMYFUNCTION("""COMPUTED_VALUE"""),"Anthony
1507")</f>
        <v>Anthony
1507</v>
      </c>
      <c r="F1470" s="22" t="str">
        <f>IFERROR(__xludf.DUMMYFUNCTION("""COMPUTED_VALUE"""),"Stonehedge")</f>
        <v>Stonehedge</v>
      </c>
      <c r="G1470" s="22" t="str">
        <f>IFERROR(__xludf.DUMMYFUNCTION("""COMPUTED_VALUE"""),"Bend")</f>
        <v>Bend</v>
      </c>
      <c r="H1470" s="22" t="str">
        <f>IFERROR(__xludf.DUMMYFUNCTION("""COMPUTED_VALUE"""),"Dr.
Houston,")</f>
        <v>Dr.
Houston,</v>
      </c>
      <c r="I1470" s="22" t="str">
        <f>IFERROR(__xludf.DUMMYFUNCTION("""COMPUTED_VALUE"""),"TX")</f>
        <v>TX</v>
      </c>
      <c r="J1470" s="22">
        <f>IFERROR(__xludf.DUMMYFUNCTION("""COMPUTED_VALUE"""),77073.0)</f>
        <v>77073</v>
      </c>
      <c r="K1470" s="22"/>
      <c r="L1470" s="22"/>
      <c r="M1470" s="22"/>
      <c r="N1470" s="22"/>
      <c r="O1470" s="22"/>
      <c r="P1470" s="22"/>
      <c r="Q1470" s="22"/>
      <c r="R1470" s="22"/>
      <c r="S1470" s="22"/>
      <c r="T1470" s="22"/>
      <c r="U1470" s="24" t="str">
        <f>IFERROR(__xludf.DUMMYFUNCTION("SPLIT(E1470,""01234567890"")"),"Anthony
")</f>
        <v>Anthony
</v>
      </c>
      <c r="V1470" s="24" t="str">
        <f>IFERROR(__xludf.DUMMYFUNCTION("SPLIT(D1470,"","")"),"Aranza")</f>
        <v>Aranza</v>
      </c>
      <c r="W1470" s="25" t="str">
        <f t="shared" si="1"/>
        <v>ANTHONY
 ARANZA</v>
      </c>
      <c r="X1470" s="22"/>
      <c r="Y1470" s="22"/>
      <c r="Z1470" s="25" t="str">
        <f>IFERROR(__xludf.DUMMYFUNCTION("SPLIT(C1470,""
"")"),"Aranza, Anthony")</f>
        <v>Aranza, Anthony</v>
      </c>
      <c r="AA1470" s="22" t="str">
        <f>IFERROR(__xludf.DUMMYFUNCTION("""COMPUTED_VALUE"""),"1507 Stonehedge Bend Dr.")</f>
        <v>1507 Stonehedge Bend Dr.</v>
      </c>
      <c r="AB1470" s="22" t="str">
        <f>IFERROR(__xludf.DUMMYFUNCTION("""COMPUTED_VALUE"""),"Houston, TX 77073")</f>
        <v>Houston, TX 77073</v>
      </c>
      <c r="AC1470" s="31" t="s">
        <v>220</v>
      </c>
      <c r="AD1470" s="22"/>
      <c r="AE1470" s="22"/>
      <c r="AF1470" s="22"/>
      <c r="AG1470" s="22" t="s">
        <v>60</v>
      </c>
      <c r="AH1470" s="54">
        <v>2512.0</v>
      </c>
      <c r="AI1470" s="22" t="s">
        <v>68</v>
      </c>
      <c r="AJ1470" s="27">
        <v>1000.0</v>
      </c>
      <c r="AK1470" s="31" t="s">
        <v>33</v>
      </c>
      <c r="AL1470" s="28">
        <v>44907.0</v>
      </c>
      <c r="AM1470" s="29">
        <v>44943.55297453704</v>
      </c>
      <c r="AN1470" s="30">
        <v>2.0</v>
      </c>
      <c r="AO1470" s="22"/>
      <c r="AP1470" s="22"/>
      <c r="AQ1470" s="22"/>
      <c r="AR1470" s="22"/>
      <c r="AS1470" s="22"/>
      <c r="AT1470" s="70"/>
      <c r="AU1470" s="22"/>
      <c r="AV1470" s="57"/>
      <c r="AW1470" s="57"/>
      <c r="AX1470" s="70"/>
      <c r="AY1470" s="29"/>
      <c r="AZ1470" s="30"/>
      <c r="CU1470" s="55"/>
      <c r="CV1470" s="55"/>
      <c r="CW1470" s="55"/>
      <c r="CX1470" s="55"/>
      <c r="CY1470" s="55"/>
      <c r="CZ1470" s="55"/>
      <c r="DA1470" s="82"/>
      <c r="DB1470" s="55"/>
      <c r="DC1470" s="55"/>
      <c r="DD1470" s="55"/>
      <c r="DE1470" s="55"/>
      <c r="DF1470" s="55"/>
      <c r="DG1470" s="55"/>
      <c r="DH1470" s="55"/>
      <c r="DI1470" s="55"/>
      <c r="DJ1470" s="55"/>
      <c r="DK1470" s="55"/>
      <c r="DL1470" s="55"/>
      <c r="DM1470" s="55"/>
      <c r="DN1470" s="55"/>
      <c r="DO1470" s="55"/>
      <c r="DP1470" s="55"/>
      <c r="DQ1470" s="55"/>
      <c r="DR1470" s="55"/>
      <c r="DS1470" s="55"/>
      <c r="DT1470" s="55"/>
      <c r="DU1470" s="55"/>
      <c r="DV1470" s="55"/>
      <c r="DW1470" s="55"/>
    </row>
    <row r="1471">
      <c r="A1471" s="41" t="s">
        <v>64</v>
      </c>
      <c r="B1471" s="41" t="s">
        <v>56</v>
      </c>
      <c r="C1471" s="31" t="s">
        <v>3069</v>
      </c>
      <c r="D1471" s="25" t="str">
        <f>IFERROR(__xludf.DUMMYFUNCTION("SPLIT(C1471,"" "")"),"Bolding,")</f>
        <v>Bolding,</v>
      </c>
      <c r="E1471" s="40" t="str">
        <f>IFERROR(__xludf.DUMMYFUNCTION("""COMPUTED_VALUE"""),"Chris
302")</f>
        <v>Chris
302</v>
      </c>
      <c r="F1471" s="40" t="str">
        <f>IFERROR(__xludf.DUMMYFUNCTION("""COMPUTED_VALUE"""),"S.")</f>
        <v>S.</v>
      </c>
      <c r="G1471" s="40" t="str">
        <f>IFERROR(__xludf.DUMMYFUNCTION("""COMPUTED_VALUE"""),"Rosemont")</f>
        <v>Rosemont</v>
      </c>
      <c r="H1471" s="40" t="str">
        <f>IFERROR(__xludf.DUMMYFUNCTION("""COMPUTED_VALUE"""),"Ave.
Dallas,")</f>
        <v>Ave.
Dallas,</v>
      </c>
      <c r="I1471" s="40" t="str">
        <f>IFERROR(__xludf.DUMMYFUNCTION("""COMPUTED_VALUE"""),"TX")</f>
        <v>TX</v>
      </c>
      <c r="J1471" s="40">
        <f>IFERROR(__xludf.DUMMYFUNCTION("""COMPUTED_VALUE"""),75208.0)</f>
        <v>75208</v>
      </c>
      <c r="K1471" s="40"/>
      <c r="L1471" s="40"/>
      <c r="M1471" s="40"/>
      <c r="N1471" s="40"/>
      <c r="O1471" s="40"/>
      <c r="P1471" s="40"/>
      <c r="Q1471" s="40"/>
      <c r="R1471" s="40"/>
      <c r="S1471" s="40"/>
      <c r="T1471" s="40"/>
      <c r="U1471" s="24" t="str">
        <f>IFERROR(__xludf.DUMMYFUNCTION("SPLIT(E1471,""01234567890"")"),"Chris
")</f>
        <v>Chris
</v>
      </c>
      <c r="V1471" s="24" t="str">
        <f>IFERROR(__xludf.DUMMYFUNCTION("SPLIT(D1471,"","")"),"Bolding")</f>
        <v>Bolding</v>
      </c>
      <c r="W1471" s="25" t="str">
        <f t="shared" si="1"/>
        <v>CHRIS
 BOLDING</v>
      </c>
      <c r="X1471" s="40"/>
      <c r="Y1471" s="40"/>
      <c r="Z1471" s="25" t="str">
        <f>IFERROR(__xludf.DUMMYFUNCTION("SPLIT(C1471,""
"")"),"Bolding, Chris")</f>
        <v>Bolding, Chris</v>
      </c>
      <c r="AA1471" s="40" t="str">
        <f>IFERROR(__xludf.DUMMYFUNCTION("""COMPUTED_VALUE"""),"302 S. Rosemont Ave.")</f>
        <v>302 S. Rosemont Ave.</v>
      </c>
      <c r="AB1471" s="40" t="str">
        <f>IFERROR(__xludf.DUMMYFUNCTION("""COMPUTED_VALUE"""),"Dallas, TX 75208")</f>
        <v>Dallas, TX 75208</v>
      </c>
      <c r="AC1471" s="31" t="s">
        <v>3070</v>
      </c>
      <c r="AD1471" s="40"/>
      <c r="AE1471" s="40"/>
      <c r="AF1471" s="40"/>
      <c r="AG1471" s="40" t="s">
        <v>60</v>
      </c>
      <c r="AH1471" s="42">
        <v>2501.0</v>
      </c>
      <c r="AI1471" s="40" t="s">
        <v>68</v>
      </c>
      <c r="AJ1471" s="27">
        <v>50.0</v>
      </c>
      <c r="AK1471" s="31" t="s">
        <v>21</v>
      </c>
      <c r="AL1471" s="43">
        <v>44743.0</v>
      </c>
      <c r="AM1471" s="44">
        <v>44943.63122685185</v>
      </c>
      <c r="AN1471" s="30">
        <v>2.0</v>
      </c>
      <c r="AO1471" s="40"/>
      <c r="AP1471" s="40"/>
      <c r="AQ1471" s="40"/>
      <c r="AR1471" s="40"/>
      <c r="AS1471" s="40"/>
      <c r="AT1471" s="47"/>
      <c r="AU1471" s="40"/>
      <c r="AV1471" s="46"/>
      <c r="AW1471" s="46"/>
      <c r="AX1471" s="47"/>
      <c r="AY1471" s="44"/>
      <c r="AZ1471" s="30"/>
      <c r="CU1471" s="55"/>
      <c r="CV1471" s="55"/>
      <c r="CW1471" s="55"/>
      <c r="CX1471" s="55"/>
      <c r="CY1471" s="55"/>
      <c r="CZ1471" s="55"/>
      <c r="DA1471" s="82"/>
      <c r="DB1471" s="55"/>
      <c r="DC1471" s="55"/>
      <c r="DD1471" s="55"/>
      <c r="DE1471" s="55"/>
      <c r="DF1471" s="55"/>
      <c r="DG1471" s="55"/>
      <c r="DH1471" s="55"/>
      <c r="DI1471" s="55"/>
      <c r="DJ1471" s="55"/>
      <c r="DK1471" s="55"/>
      <c r="DL1471" s="55"/>
      <c r="DM1471" s="55"/>
      <c r="DN1471" s="55"/>
      <c r="DO1471" s="55"/>
      <c r="DP1471" s="55"/>
      <c r="DQ1471" s="55"/>
      <c r="DR1471" s="55"/>
      <c r="DS1471" s="55"/>
      <c r="DT1471" s="55"/>
      <c r="DU1471" s="55"/>
      <c r="DV1471" s="55"/>
      <c r="DW1471" s="55"/>
    </row>
    <row r="1472">
      <c r="A1472" s="22" t="s">
        <v>55</v>
      </c>
      <c r="B1472" s="23" t="s">
        <v>56</v>
      </c>
      <c r="C1472" s="31" t="s">
        <v>3071</v>
      </c>
      <c r="D1472" s="25" t="str">
        <f>IFERROR(__xludf.DUMMYFUNCTION("SPLIT(C1472,"" "")"),"Revi,")</f>
        <v>Revi,</v>
      </c>
      <c r="E1472" s="22" t="str">
        <f>IFERROR(__xludf.DUMMYFUNCTION("""COMPUTED_VALUE"""),"Gay
908")</f>
        <v>Gay
908</v>
      </c>
      <c r="F1472" s="22" t="str">
        <f>IFERROR(__xludf.DUMMYFUNCTION("""COMPUTED_VALUE"""),"N.")</f>
        <v>N.</v>
      </c>
      <c r="G1472" s="22" t="str">
        <f>IFERROR(__xludf.DUMMYFUNCTION("""COMPUTED_VALUE"""),"Bishop")</f>
        <v>Bishop</v>
      </c>
      <c r="H1472" s="22" t="str">
        <f>IFERROR(__xludf.DUMMYFUNCTION("""COMPUTED_VALUE"""),"Ave.
Dallas,")</f>
        <v>Ave.
Dallas,</v>
      </c>
      <c r="I1472" s="22" t="str">
        <f>IFERROR(__xludf.DUMMYFUNCTION("""COMPUTED_VALUE"""),"TX")</f>
        <v>TX</v>
      </c>
      <c r="J1472" s="22">
        <f>IFERROR(__xludf.DUMMYFUNCTION("""COMPUTED_VALUE"""),75208.0)</f>
        <v>75208</v>
      </c>
      <c r="K1472" s="22"/>
      <c r="L1472" s="22"/>
      <c r="M1472" s="22"/>
      <c r="N1472" s="22"/>
      <c r="O1472" s="22"/>
      <c r="P1472" s="22"/>
      <c r="Q1472" s="22"/>
      <c r="R1472" s="22"/>
      <c r="S1472" s="22"/>
      <c r="T1472" s="22"/>
      <c r="U1472" s="24" t="str">
        <f>IFERROR(__xludf.DUMMYFUNCTION("SPLIT(E1472,""01234567890"")"),"Gay
")</f>
        <v>Gay
</v>
      </c>
      <c r="V1472" s="24" t="str">
        <f>IFERROR(__xludf.DUMMYFUNCTION("SPLIT(D1472,"","")"),"Revi")</f>
        <v>Revi</v>
      </c>
      <c r="W1472" s="25" t="str">
        <f t="shared" si="1"/>
        <v>GAY
 REVI</v>
      </c>
      <c r="X1472" s="22"/>
      <c r="Y1472" s="22"/>
      <c r="Z1472" s="25" t="str">
        <f>IFERROR(__xludf.DUMMYFUNCTION("SPLIT(C1472,""
"")"),"Revi, Gay")</f>
        <v>Revi, Gay</v>
      </c>
      <c r="AA1472" s="22" t="str">
        <f>IFERROR(__xludf.DUMMYFUNCTION("""COMPUTED_VALUE"""),"908 N. Bishop Ave.")</f>
        <v>908 N. Bishop Ave.</v>
      </c>
      <c r="AB1472" s="22" t="str">
        <f>IFERROR(__xludf.DUMMYFUNCTION("""COMPUTED_VALUE"""),"Dallas, TX 75208")</f>
        <v>Dallas, TX 75208</v>
      </c>
      <c r="AC1472" s="31" t="s">
        <v>3072</v>
      </c>
      <c r="AD1472" s="22"/>
      <c r="AE1472" s="22"/>
      <c r="AF1472" s="22"/>
      <c r="AG1472" s="22" t="s">
        <v>60</v>
      </c>
      <c r="AH1472" s="54">
        <v>2501.0</v>
      </c>
      <c r="AI1472" s="22" t="s">
        <v>68</v>
      </c>
      <c r="AJ1472" s="27">
        <v>50.0</v>
      </c>
      <c r="AK1472" s="31" t="s">
        <v>21</v>
      </c>
      <c r="AL1472" s="28">
        <v>44772.0</v>
      </c>
      <c r="AM1472" s="29">
        <v>44943.63122685185</v>
      </c>
      <c r="AN1472" s="30">
        <v>2.0</v>
      </c>
      <c r="AO1472" s="22"/>
      <c r="AP1472" s="22"/>
      <c r="AQ1472" s="22"/>
      <c r="AR1472" s="22"/>
      <c r="AS1472" s="22"/>
      <c r="AT1472" s="70"/>
      <c r="AU1472" s="22"/>
      <c r="AV1472" s="57"/>
      <c r="AW1472" s="57"/>
      <c r="AX1472" s="70"/>
      <c r="AY1472" s="29"/>
      <c r="AZ1472" s="30"/>
      <c r="CU1472" s="55"/>
      <c r="CV1472" s="55"/>
      <c r="CW1472" s="55"/>
      <c r="CX1472" s="55"/>
      <c r="CY1472" s="55"/>
      <c r="CZ1472" s="55"/>
      <c r="DA1472" s="82"/>
      <c r="DB1472" s="55"/>
      <c r="DC1472" s="55"/>
      <c r="DD1472" s="55"/>
      <c r="DE1472" s="55"/>
      <c r="DF1472" s="55"/>
      <c r="DG1472" s="55"/>
      <c r="DH1472" s="55"/>
      <c r="DI1472" s="55"/>
      <c r="DJ1472" s="55"/>
      <c r="DK1472" s="55"/>
      <c r="DL1472" s="55"/>
      <c r="DM1472" s="55"/>
      <c r="DN1472" s="55"/>
      <c r="DO1472" s="55"/>
      <c r="DP1472" s="55"/>
      <c r="DQ1472" s="55"/>
      <c r="DR1472" s="55"/>
      <c r="DS1472" s="55"/>
      <c r="DT1472" s="55"/>
      <c r="DU1472" s="55"/>
      <c r="DV1472" s="55"/>
      <c r="DW1472" s="55"/>
    </row>
    <row r="1473">
      <c r="A1473" s="41" t="s">
        <v>64</v>
      </c>
      <c r="B1473" s="41" t="s">
        <v>56</v>
      </c>
      <c r="C1473" s="31" t="s">
        <v>3073</v>
      </c>
      <c r="D1473" s="25" t="str">
        <f>IFERROR(__xludf.DUMMYFUNCTION("SPLIT(C1473,"" "")"),"Melnick,")</f>
        <v>Melnick,</v>
      </c>
      <c r="E1473" s="40" t="str">
        <f>IFERROR(__xludf.DUMMYFUNCTION("""COMPUTED_VALUE"""),"Susan
2316")</f>
        <v>Susan
2316</v>
      </c>
      <c r="F1473" s="40" t="str">
        <f>IFERROR(__xludf.DUMMYFUNCTION("""COMPUTED_VALUE"""),"Kessler")</f>
        <v>Kessler</v>
      </c>
      <c r="G1473" s="40" t="str">
        <f>IFERROR(__xludf.DUMMYFUNCTION("""COMPUTED_VALUE"""),"Pkwy
Dallas,")</f>
        <v>Pkwy
Dallas,</v>
      </c>
      <c r="H1473" s="40" t="str">
        <f>IFERROR(__xludf.DUMMYFUNCTION("""COMPUTED_VALUE"""),"TX")</f>
        <v>TX</v>
      </c>
      <c r="I1473" s="40">
        <f>IFERROR(__xludf.DUMMYFUNCTION("""COMPUTED_VALUE"""),75208.0)</f>
        <v>75208</v>
      </c>
      <c r="J1473" s="40"/>
      <c r="K1473" s="40"/>
      <c r="L1473" s="40"/>
      <c r="M1473" s="40"/>
      <c r="N1473" s="40"/>
      <c r="O1473" s="40"/>
      <c r="P1473" s="40"/>
      <c r="Q1473" s="40"/>
      <c r="R1473" s="40"/>
      <c r="S1473" s="40"/>
      <c r="T1473" s="40"/>
      <c r="U1473" s="24" t="str">
        <f>IFERROR(__xludf.DUMMYFUNCTION("SPLIT(E1473,""01234567890"")"),"Susan
")</f>
        <v>Susan
</v>
      </c>
      <c r="V1473" s="24" t="str">
        <f>IFERROR(__xludf.DUMMYFUNCTION("SPLIT(D1473,"","")"),"Melnick")</f>
        <v>Melnick</v>
      </c>
      <c r="W1473" s="25" t="str">
        <f t="shared" si="1"/>
        <v>SUSAN
 MELNICK</v>
      </c>
      <c r="X1473" s="40"/>
      <c r="Y1473" s="40"/>
      <c r="Z1473" s="25" t="str">
        <f>IFERROR(__xludf.DUMMYFUNCTION("SPLIT(C1473,""
"")"),"Melnick, Susan")</f>
        <v>Melnick, Susan</v>
      </c>
      <c r="AA1473" s="40" t="str">
        <f>IFERROR(__xludf.DUMMYFUNCTION("""COMPUTED_VALUE"""),"2316 Kessler Pkwy")</f>
        <v>2316 Kessler Pkwy</v>
      </c>
      <c r="AB1473" s="40" t="str">
        <f>IFERROR(__xludf.DUMMYFUNCTION("""COMPUTED_VALUE"""),"Dallas, TX 75208")</f>
        <v>Dallas, TX 75208</v>
      </c>
      <c r="AC1473" s="31" t="s">
        <v>3074</v>
      </c>
      <c r="AD1473" s="40"/>
      <c r="AE1473" s="40"/>
      <c r="AF1473" s="40"/>
      <c r="AG1473" s="40" t="s">
        <v>60</v>
      </c>
      <c r="AH1473" s="42">
        <v>2501.0</v>
      </c>
      <c r="AI1473" s="40" t="s">
        <v>68</v>
      </c>
      <c r="AJ1473" s="27">
        <v>100.0</v>
      </c>
      <c r="AK1473" s="31" t="s">
        <v>21</v>
      </c>
      <c r="AL1473" s="43">
        <v>44788.0</v>
      </c>
      <c r="AM1473" s="44">
        <v>44943.63122685185</v>
      </c>
      <c r="AN1473" s="30">
        <v>2.0</v>
      </c>
      <c r="AO1473" s="40"/>
      <c r="AP1473" s="40"/>
      <c r="AQ1473" s="40"/>
      <c r="AR1473" s="40"/>
      <c r="AS1473" s="40"/>
      <c r="AT1473" s="47"/>
      <c r="AU1473" s="40"/>
      <c r="AV1473" s="46"/>
      <c r="AW1473" s="46"/>
      <c r="AX1473" s="47"/>
      <c r="AY1473" s="44"/>
      <c r="AZ1473" s="30"/>
      <c r="CU1473" s="55"/>
      <c r="CV1473" s="55"/>
      <c r="CW1473" s="55"/>
      <c r="CX1473" s="55"/>
      <c r="CY1473" s="55"/>
      <c r="CZ1473" s="55"/>
      <c r="DA1473" s="82"/>
      <c r="DB1473" s="55"/>
      <c r="DC1473" s="55"/>
      <c r="DD1473" s="55"/>
      <c r="DE1473" s="55"/>
      <c r="DF1473" s="55"/>
      <c r="DG1473" s="55"/>
      <c r="DH1473" s="55"/>
      <c r="DI1473" s="55"/>
      <c r="DJ1473" s="55"/>
      <c r="DK1473" s="55"/>
      <c r="DL1473" s="55"/>
      <c r="DM1473" s="55"/>
      <c r="DN1473" s="55"/>
      <c r="DO1473" s="55"/>
      <c r="DP1473" s="55"/>
      <c r="DQ1473" s="55"/>
      <c r="DR1473" s="55"/>
      <c r="DS1473" s="55"/>
      <c r="DT1473" s="55"/>
      <c r="DU1473" s="55"/>
      <c r="DV1473" s="55"/>
      <c r="DW1473" s="55"/>
    </row>
    <row r="1474">
      <c r="A1474" s="22" t="s">
        <v>55</v>
      </c>
      <c r="B1474" s="23" t="s">
        <v>56</v>
      </c>
      <c r="C1474" s="31" t="s">
        <v>3075</v>
      </c>
      <c r="D1474" s="25" t="str">
        <f>IFERROR(__xludf.DUMMYFUNCTION("SPLIT(C1474,"" "")"),"Schultz,")</f>
        <v>Schultz,</v>
      </c>
      <c r="E1474" s="22" t="str">
        <f>IFERROR(__xludf.DUMMYFUNCTION("""COMPUTED_VALUE"""),"Jaynie
11222")</f>
        <v>Jaynie
11222</v>
      </c>
      <c r="F1474" s="22" t="str">
        <f>IFERROR(__xludf.DUMMYFUNCTION("""COMPUTED_VALUE"""),"St.")</f>
        <v>St.</v>
      </c>
      <c r="G1474" s="22" t="str">
        <f>IFERROR(__xludf.DUMMYFUNCTION("""COMPUTED_VALUE"""),"Michaels")</f>
        <v>Michaels</v>
      </c>
      <c r="H1474" s="22" t="str">
        <f>IFERROR(__xludf.DUMMYFUNCTION("""COMPUTED_VALUE"""),"Dr.
Dallas,")</f>
        <v>Dr.
Dallas,</v>
      </c>
      <c r="I1474" s="22" t="str">
        <f>IFERROR(__xludf.DUMMYFUNCTION("""COMPUTED_VALUE"""),"TX")</f>
        <v>TX</v>
      </c>
      <c r="J1474" s="22">
        <f>IFERROR(__xludf.DUMMYFUNCTION("""COMPUTED_VALUE"""),75230.0)</f>
        <v>75230</v>
      </c>
      <c r="K1474" s="22"/>
      <c r="L1474" s="22"/>
      <c r="M1474" s="22"/>
      <c r="N1474" s="22"/>
      <c r="O1474" s="22"/>
      <c r="P1474" s="22"/>
      <c r="Q1474" s="22"/>
      <c r="R1474" s="22"/>
      <c r="S1474" s="22"/>
      <c r="T1474" s="22"/>
      <c r="U1474" s="24" t="str">
        <f>IFERROR(__xludf.DUMMYFUNCTION("SPLIT(E1474,""01234567890"")"),"Jaynie
")</f>
        <v>Jaynie
</v>
      </c>
      <c r="V1474" s="24" t="str">
        <f>IFERROR(__xludf.DUMMYFUNCTION("SPLIT(D1474,"","")"),"Schultz")</f>
        <v>Schultz</v>
      </c>
      <c r="W1474" s="25" t="str">
        <f t="shared" si="1"/>
        <v>JAYNIE
 SCHULTZ</v>
      </c>
      <c r="X1474" s="22"/>
      <c r="Y1474" s="22"/>
      <c r="Z1474" s="25" t="str">
        <f>IFERROR(__xludf.DUMMYFUNCTION("SPLIT(C1474,""
"")"),"Schultz, Jaynie")</f>
        <v>Schultz, Jaynie</v>
      </c>
      <c r="AA1474" s="22" t="str">
        <f>IFERROR(__xludf.DUMMYFUNCTION("""COMPUTED_VALUE"""),"11222 St. Michaels Dr.")</f>
        <v>11222 St. Michaels Dr.</v>
      </c>
      <c r="AB1474" s="22" t="str">
        <f>IFERROR(__xludf.DUMMYFUNCTION("""COMPUTED_VALUE"""),"Dallas, TX 75230")</f>
        <v>Dallas, TX 75230</v>
      </c>
      <c r="AC1474" s="31" t="s">
        <v>3076</v>
      </c>
      <c r="AD1474" s="22"/>
      <c r="AE1474" s="22"/>
      <c r="AF1474" s="22"/>
      <c r="AG1474" s="22" t="s">
        <v>60</v>
      </c>
      <c r="AH1474" s="54">
        <v>2501.0</v>
      </c>
      <c r="AI1474" s="22" t="s">
        <v>68</v>
      </c>
      <c r="AJ1474" s="27">
        <v>250.0</v>
      </c>
      <c r="AK1474" s="31" t="s">
        <v>21</v>
      </c>
      <c r="AL1474" s="28">
        <v>44805.0</v>
      </c>
      <c r="AM1474" s="29">
        <v>44943.63122685185</v>
      </c>
      <c r="AN1474" s="30">
        <v>2.0</v>
      </c>
      <c r="AO1474" s="22"/>
      <c r="AP1474" s="22"/>
      <c r="AQ1474" s="22"/>
      <c r="AR1474" s="22"/>
      <c r="AS1474" s="22"/>
      <c r="AT1474" s="70"/>
      <c r="AU1474" s="22"/>
      <c r="AV1474" s="57"/>
      <c r="AW1474" s="57"/>
      <c r="AX1474" s="70"/>
      <c r="AY1474" s="29"/>
      <c r="AZ1474" s="30"/>
      <c r="CU1474" s="55"/>
      <c r="CV1474" s="55"/>
      <c r="CW1474" s="55"/>
      <c r="CX1474" s="55"/>
      <c r="CY1474" s="55"/>
      <c r="CZ1474" s="55"/>
      <c r="DA1474" s="82"/>
      <c r="DB1474" s="55"/>
      <c r="DC1474" s="55"/>
      <c r="DD1474" s="55"/>
      <c r="DE1474" s="55"/>
      <c r="DF1474" s="55"/>
      <c r="DG1474" s="55"/>
      <c r="DH1474" s="55"/>
      <c r="DI1474" s="55"/>
      <c r="DJ1474" s="55"/>
      <c r="DK1474" s="55"/>
      <c r="DL1474" s="55"/>
      <c r="DM1474" s="55"/>
      <c r="DN1474" s="55"/>
      <c r="DO1474" s="55"/>
      <c r="DP1474" s="55"/>
      <c r="DQ1474" s="55"/>
      <c r="DR1474" s="55"/>
      <c r="DS1474" s="55"/>
      <c r="DT1474" s="55"/>
      <c r="DU1474" s="55"/>
      <c r="DV1474" s="55"/>
      <c r="DW1474" s="55"/>
    </row>
    <row r="1475">
      <c r="A1475" s="41" t="s">
        <v>64</v>
      </c>
      <c r="B1475" s="41" t="s">
        <v>56</v>
      </c>
      <c r="C1475" s="31" t="s">
        <v>3077</v>
      </c>
      <c r="D1475" s="25" t="str">
        <f>IFERROR(__xludf.DUMMYFUNCTION("SPLIT(C1475,"" "")"),"Dingman,")</f>
        <v>Dingman,</v>
      </c>
      <c r="E1475" s="40" t="str">
        <f>IFERROR(__xludf.DUMMYFUNCTION("""COMPUTED_VALUE"""),"Carol
13223")</f>
        <v>Carol
13223</v>
      </c>
      <c r="F1475" s="40" t="str">
        <f>IFERROR(__xludf.DUMMYFUNCTION("""COMPUTED_VALUE"""),"Glad")</f>
        <v>Glad</v>
      </c>
      <c r="G1475" s="40" t="str">
        <f>IFERROR(__xludf.DUMMYFUNCTION("""COMPUTED_VALUE"""),"Acres")</f>
        <v>Acres</v>
      </c>
      <c r="H1475" s="40" t="str">
        <f>IFERROR(__xludf.DUMMYFUNCTION("""COMPUTED_VALUE"""),"Dr.
Dallas,")</f>
        <v>Dr.
Dallas,</v>
      </c>
      <c r="I1475" s="40" t="str">
        <f>IFERROR(__xludf.DUMMYFUNCTION("""COMPUTED_VALUE"""),"TX")</f>
        <v>TX</v>
      </c>
      <c r="J1475" s="40">
        <f>IFERROR(__xludf.DUMMYFUNCTION("""COMPUTED_VALUE"""),75234.0)</f>
        <v>75234</v>
      </c>
      <c r="K1475" s="40"/>
      <c r="L1475" s="40"/>
      <c r="M1475" s="40"/>
      <c r="N1475" s="40"/>
      <c r="O1475" s="40"/>
      <c r="P1475" s="40"/>
      <c r="Q1475" s="40"/>
      <c r="R1475" s="40"/>
      <c r="S1475" s="40"/>
      <c r="T1475" s="40"/>
      <c r="U1475" s="24" t="str">
        <f>IFERROR(__xludf.DUMMYFUNCTION("SPLIT(E1475,""01234567890"")"),"Carol
")</f>
        <v>Carol
</v>
      </c>
      <c r="V1475" s="24" t="str">
        <f>IFERROR(__xludf.DUMMYFUNCTION("SPLIT(D1475,"","")"),"Dingman")</f>
        <v>Dingman</v>
      </c>
      <c r="W1475" s="25" t="str">
        <f t="shared" si="1"/>
        <v>CAROL
 DINGMAN</v>
      </c>
      <c r="X1475" s="40"/>
      <c r="Y1475" s="40"/>
      <c r="Z1475" s="25" t="str">
        <f>IFERROR(__xludf.DUMMYFUNCTION("SPLIT(C1475,""
"")"),"Dingman, Carol")</f>
        <v>Dingman, Carol</v>
      </c>
      <c r="AA1475" s="40" t="str">
        <f>IFERROR(__xludf.DUMMYFUNCTION("""COMPUTED_VALUE"""),"13223 Glad Acres Dr.")</f>
        <v>13223 Glad Acres Dr.</v>
      </c>
      <c r="AB1475" s="40" t="str">
        <f>IFERROR(__xludf.DUMMYFUNCTION("""COMPUTED_VALUE"""),"Dallas, TX 75234")</f>
        <v>Dallas, TX 75234</v>
      </c>
      <c r="AC1475" s="31" t="s">
        <v>3078</v>
      </c>
      <c r="AD1475" s="40"/>
      <c r="AE1475" s="40"/>
      <c r="AF1475" s="40"/>
      <c r="AG1475" s="40" t="s">
        <v>60</v>
      </c>
      <c r="AH1475" s="42">
        <v>2501.0</v>
      </c>
      <c r="AI1475" s="40" t="s">
        <v>68</v>
      </c>
      <c r="AJ1475" s="27">
        <v>1000.0</v>
      </c>
      <c r="AK1475" s="31" t="s">
        <v>21</v>
      </c>
      <c r="AL1475" s="43">
        <v>44871.0</v>
      </c>
      <c r="AM1475" s="44">
        <v>44943.63122685185</v>
      </c>
      <c r="AN1475" s="30">
        <v>2.0</v>
      </c>
      <c r="AO1475" s="40"/>
      <c r="AP1475" s="40"/>
      <c r="AQ1475" s="40"/>
      <c r="AR1475" s="40"/>
      <c r="AS1475" s="40"/>
      <c r="AT1475" s="47"/>
      <c r="AU1475" s="40"/>
      <c r="AV1475" s="46"/>
      <c r="AW1475" s="46"/>
      <c r="AX1475" s="47"/>
      <c r="AY1475" s="44"/>
      <c r="AZ1475" s="30"/>
      <c r="CU1475" s="55"/>
      <c r="CV1475" s="55"/>
      <c r="CW1475" s="55"/>
      <c r="CX1475" s="55"/>
      <c r="CY1475" s="55"/>
      <c r="CZ1475" s="55"/>
      <c r="DA1475" s="82"/>
      <c r="DB1475" s="55"/>
      <c r="DC1475" s="55"/>
      <c r="DD1475" s="55"/>
      <c r="DE1475" s="55"/>
      <c r="DF1475" s="55"/>
      <c r="DG1475" s="55"/>
      <c r="DH1475" s="55"/>
      <c r="DI1475" s="55"/>
      <c r="DJ1475" s="55"/>
      <c r="DK1475" s="55"/>
      <c r="DL1475" s="55"/>
      <c r="DM1475" s="55"/>
      <c r="DN1475" s="55"/>
      <c r="DO1475" s="55"/>
      <c r="DP1475" s="55"/>
      <c r="DQ1475" s="55"/>
      <c r="DR1475" s="55"/>
      <c r="DS1475" s="55"/>
      <c r="DT1475" s="55"/>
      <c r="DU1475" s="55"/>
      <c r="DV1475" s="55"/>
      <c r="DW1475" s="55"/>
    </row>
    <row r="1476">
      <c r="A1476" s="22" t="s">
        <v>55</v>
      </c>
      <c r="B1476" s="23" t="s">
        <v>56</v>
      </c>
      <c r="C1476" s="31" t="s">
        <v>3079</v>
      </c>
      <c r="D1476" s="25" t="str">
        <f>IFERROR(__xludf.DUMMYFUNCTION("SPLIT(C1476,"" "")"),"Burns,")</f>
        <v>Burns,</v>
      </c>
      <c r="E1476" s="22" t="str">
        <f>IFERROR(__xludf.DUMMYFUNCTION("""COMPUTED_VALUE"""),"Joel
2420")</f>
        <v>Joel
2420</v>
      </c>
      <c r="F1476" s="22" t="str">
        <f>IFERROR(__xludf.DUMMYFUNCTION("""COMPUTED_VALUE"""),"S.")</f>
        <v>S.</v>
      </c>
      <c r="G1476" s="22" t="str">
        <f>IFERROR(__xludf.DUMMYFUNCTION("""COMPUTED_VALUE"""),"Adams")</f>
        <v>Adams</v>
      </c>
      <c r="H1476" s="22" t="str">
        <f>IFERROR(__xludf.DUMMYFUNCTION("""COMPUTED_VALUE"""),"St.
Ft.")</f>
        <v>St.
Ft.</v>
      </c>
      <c r="I1476" s="22" t="str">
        <f>IFERROR(__xludf.DUMMYFUNCTION("""COMPUTED_VALUE"""),"Worth,")</f>
        <v>Worth,</v>
      </c>
      <c r="J1476" s="22" t="str">
        <f>IFERROR(__xludf.DUMMYFUNCTION("""COMPUTED_VALUE"""),"TX")</f>
        <v>TX</v>
      </c>
      <c r="K1476" s="22">
        <f>IFERROR(__xludf.DUMMYFUNCTION("""COMPUTED_VALUE"""),76110.0)</f>
        <v>76110</v>
      </c>
      <c r="L1476" s="22"/>
      <c r="M1476" s="22"/>
      <c r="N1476" s="22"/>
      <c r="O1476" s="22"/>
      <c r="P1476" s="22"/>
      <c r="Q1476" s="22"/>
      <c r="R1476" s="22"/>
      <c r="S1476" s="22"/>
      <c r="T1476" s="22"/>
      <c r="U1476" s="24" t="str">
        <f>IFERROR(__xludf.DUMMYFUNCTION("SPLIT(E1476,""01234567890"")"),"Joel
")</f>
        <v>Joel
</v>
      </c>
      <c r="V1476" s="24" t="str">
        <f>IFERROR(__xludf.DUMMYFUNCTION("SPLIT(D1476,"","")"),"Burns")</f>
        <v>Burns</v>
      </c>
      <c r="W1476" s="25" t="str">
        <f t="shared" si="1"/>
        <v>JOEL
 BURNS</v>
      </c>
      <c r="X1476" s="22"/>
      <c r="Y1476" s="22"/>
      <c r="Z1476" s="25" t="str">
        <f>IFERROR(__xludf.DUMMYFUNCTION("SPLIT(C1476,""
"")"),"Burns, Joel")</f>
        <v>Burns, Joel</v>
      </c>
      <c r="AA1476" s="22" t="str">
        <f>IFERROR(__xludf.DUMMYFUNCTION("""COMPUTED_VALUE"""),"2420 S. Adams St.")</f>
        <v>2420 S. Adams St.</v>
      </c>
      <c r="AB1476" s="22" t="str">
        <f>IFERROR(__xludf.DUMMYFUNCTION("""COMPUTED_VALUE"""),"Ft. Worth, TX 76110")</f>
        <v>Ft. Worth, TX 76110</v>
      </c>
      <c r="AC1476" s="31" t="s">
        <v>3080</v>
      </c>
      <c r="AD1476" s="22"/>
      <c r="AE1476" s="22"/>
      <c r="AF1476" s="22"/>
      <c r="AG1476" s="22" t="s">
        <v>60</v>
      </c>
      <c r="AH1476" s="54">
        <v>2501.0</v>
      </c>
      <c r="AI1476" s="22" t="s">
        <v>68</v>
      </c>
      <c r="AJ1476" s="27">
        <v>474.7</v>
      </c>
      <c r="AK1476" s="31" t="s">
        <v>21</v>
      </c>
      <c r="AL1476" s="28">
        <v>44888.0</v>
      </c>
      <c r="AM1476" s="29">
        <v>44943.63122685185</v>
      </c>
      <c r="AN1476" s="30">
        <v>2.0</v>
      </c>
      <c r="AO1476" s="22"/>
      <c r="AP1476" s="22"/>
      <c r="AQ1476" s="22"/>
      <c r="AR1476" s="22"/>
      <c r="AS1476" s="22"/>
      <c r="AT1476" s="70"/>
      <c r="AU1476" s="22"/>
      <c r="AV1476" s="57"/>
      <c r="AW1476" s="57"/>
      <c r="AX1476" s="70"/>
      <c r="AY1476" s="29"/>
      <c r="AZ1476" s="30"/>
      <c r="CU1476" s="55"/>
      <c r="CV1476" s="55"/>
      <c r="CW1476" s="55"/>
      <c r="CX1476" s="55"/>
      <c r="CY1476" s="55"/>
      <c r="CZ1476" s="55"/>
      <c r="DA1476" s="82"/>
      <c r="DB1476" s="55"/>
      <c r="DC1476" s="55"/>
      <c r="DD1476" s="55"/>
      <c r="DE1476" s="55"/>
      <c r="DF1476" s="55"/>
      <c r="DG1476" s="55"/>
      <c r="DH1476" s="55"/>
      <c r="DI1476" s="55"/>
      <c r="DJ1476" s="55"/>
      <c r="DK1476" s="55"/>
      <c r="DL1476" s="55"/>
      <c r="DM1476" s="55"/>
      <c r="DN1476" s="55"/>
      <c r="DO1476" s="55"/>
      <c r="DP1476" s="55"/>
      <c r="DQ1476" s="55"/>
      <c r="DR1476" s="55"/>
      <c r="DS1476" s="55"/>
      <c r="DT1476" s="55"/>
      <c r="DU1476" s="55"/>
      <c r="DV1476" s="55"/>
      <c r="DW1476" s="55"/>
    </row>
    <row r="1477">
      <c r="A1477" s="41" t="s">
        <v>64</v>
      </c>
      <c r="B1477" s="41" t="s">
        <v>56</v>
      </c>
      <c r="C1477" s="31" t="s">
        <v>2675</v>
      </c>
      <c r="D1477" s="25" t="str">
        <f>IFERROR(__xludf.DUMMYFUNCTION("SPLIT(C1477,"" "")"),"Forsythe")</f>
        <v>Forsythe</v>
      </c>
      <c r="E1477" s="40" t="str">
        <f>IFERROR(__xludf.DUMMYFUNCTION("""COMPUTED_VALUE"""),"Lill,")</f>
        <v>Lill,</v>
      </c>
      <c r="F1477" s="40" t="str">
        <f>IFERROR(__xludf.DUMMYFUNCTION("""COMPUTED_VALUE"""),"Veletta
622")</f>
        <v>Veletta
622</v>
      </c>
      <c r="G1477" s="40" t="str">
        <f>IFERROR(__xludf.DUMMYFUNCTION("""COMPUTED_VALUE"""),"Blair")</f>
        <v>Blair</v>
      </c>
      <c r="H1477" s="40" t="str">
        <f>IFERROR(__xludf.DUMMYFUNCTION("""COMPUTED_VALUE"""),"Blvd.
Dallas,")</f>
        <v>Blvd.
Dallas,</v>
      </c>
      <c r="I1477" s="40" t="str">
        <f>IFERROR(__xludf.DUMMYFUNCTION("""COMPUTED_VALUE"""),"TX")</f>
        <v>TX</v>
      </c>
      <c r="J1477" s="40">
        <f>IFERROR(__xludf.DUMMYFUNCTION("""COMPUTED_VALUE"""),75223.0)</f>
        <v>75223</v>
      </c>
      <c r="K1477" s="40"/>
      <c r="L1477" s="40"/>
      <c r="M1477" s="40"/>
      <c r="N1477" s="40"/>
      <c r="O1477" s="40"/>
      <c r="P1477" s="40"/>
      <c r="Q1477" s="40"/>
      <c r="R1477" s="40"/>
      <c r="S1477" s="40"/>
      <c r="T1477" s="40"/>
      <c r="U1477" s="24" t="str">
        <f>IFERROR(__xludf.DUMMYFUNCTION("SPLIT(E1477,""01234567890"")"),"Lill,")</f>
        <v>Lill,</v>
      </c>
      <c r="V1477" s="24" t="str">
        <f>IFERROR(__xludf.DUMMYFUNCTION("SPLIT(D1477,"","")"),"Forsythe")</f>
        <v>Forsythe</v>
      </c>
      <c r="W1477" s="25" t="str">
        <f t="shared" si="1"/>
        <v>LILL, FORSYTHE</v>
      </c>
      <c r="X1477" s="40"/>
      <c r="Y1477" s="40"/>
      <c r="Z1477" s="25" t="str">
        <f>IFERROR(__xludf.DUMMYFUNCTION("SPLIT(C1477,""
"")"),"Forsythe Lill, Veletta")</f>
        <v>Forsythe Lill, Veletta</v>
      </c>
      <c r="AA1477" s="40" t="str">
        <f>IFERROR(__xludf.DUMMYFUNCTION("""COMPUTED_VALUE"""),"622 Blair Blvd.")</f>
        <v>622 Blair Blvd.</v>
      </c>
      <c r="AB1477" s="40" t="str">
        <f>IFERROR(__xludf.DUMMYFUNCTION("""COMPUTED_VALUE"""),"Dallas, TX 75223")</f>
        <v>Dallas, TX 75223</v>
      </c>
      <c r="AC1477" s="31" t="s">
        <v>2676</v>
      </c>
      <c r="AD1477" s="40"/>
      <c r="AE1477" s="40"/>
      <c r="AF1477" s="40"/>
      <c r="AG1477" s="40" t="s">
        <v>60</v>
      </c>
      <c r="AH1477" s="42">
        <v>2501.0</v>
      </c>
      <c r="AI1477" s="40" t="s">
        <v>68</v>
      </c>
      <c r="AJ1477" s="27">
        <v>100.0</v>
      </c>
      <c r="AK1477" s="31" t="s">
        <v>21</v>
      </c>
      <c r="AL1477" s="43">
        <v>44888.0</v>
      </c>
      <c r="AM1477" s="44">
        <v>44943.63122685185</v>
      </c>
      <c r="AN1477" s="30">
        <v>2.0</v>
      </c>
      <c r="AO1477" s="40"/>
      <c r="AP1477" s="40"/>
      <c r="AQ1477" s="40"/>
      <c r="AR1477" s="40"/>
      <c r="AS1477" s="40"/>
      <c r="AT1477" s="47"/>
      <c r="AU1477" s="40"/>
      <c r="AV1477" s="46"/>
      <c r="AW1477" s="46"/>
      <c r="AX1477" s="47"/>
      <c r="AY1477" s="44"/>
      <c r="AZ1477" s="30"/>
      <c r="CU1477" s="55"/>
      <c r="CV1477" s="55"/>
      <c r="CW1477" s="55"/>
      <c r="CX1477" s="55"/>
      <c r="CY1477" s="55"/>
      <c r="CZ1477" s="55"/>
      <c r="DA1477" s="82"/>
      <c r="DB1477" s="55"/>
      <c r="DC1477" s="55"/>
      <c r="DD1477" s="55"/>
      <c r="DE1477" s="55"/>
      <c r="DF1477" s="55"/>
      <c r="DG1477" s="55"/>
      <c r="DH1477" s="55"/>
      <c r="DI1477" s="55"/>
      <c r="DJ1477" s="55"/>
      <c r="DK1477" s="55"/>
      <c r="DL1477" s="55"/>
      <c r="DM1477" s="55"/>
      <c r="DN1477" s="55"/>
      <c r="DO1477" s="55"/>
      <c r="DP1477" s="55"/>
      <c r="DQ1477" s="55"/>
      <c r="DR1477" s="55"/>
      <c r="DS1477" s="55"/>
      <c r="DT1477" s="55"/>
      <c r="DU1477" s="55"/>
      <c r="DV1477" s="55"/>
      <c r="DW1477" s="55"/>
    </row>
    <row r="1478">
      <c r="A1478" s="22" t="s">
        <v>55</v>
      </c>
      <c r="B1478" s="23" t="s">
        <v>56</v>
      </c>
      <c r="C1478" s="31" t="s">
        <v>3081</v>
      </c>
      <c r="D1478" s="25" t="str">
        <f>IFERROR(__xludf.DUMMYFUNCTION("SPLIT(C1478,"" "")"),"Urby,")</f>
        <v>Urby,</v>
      </c>
      <c r="E1478" s="22" t="str">
        <f>IFERROR(__xludf.DUMMYFUNCTION("""COMPUTED_VALUE"""),"Joe
1364")</f>
        <v>Joe
1364</v>
      </c>
      <c r="F1478" s="22" t="str">
        <f>IFERROR(__xludf.DUMMYFUNCTION("""COMPUTED_VALUE"""),"Romano")</f>
        <v>Romano</v>
      </c>
      <c r="G1478" s="22" t="str">
        <f>IFERROR(__xludf.DUMMYFUNCTION("""COMPUTED_VALUE"""),"Place
Dallas,")</f>
        <v>Place
Dallas,</v>
      </c>
      <c r="H1478" s="22" t="str">
        <f>IFERROR(__xludf.DUMMYFUNCTION("""COMPUTED_VALUE"""),"TX")</f>
        <v>TX</v>
      </c>
      <c r="I1478" s="22">
        <f>IFERROR(__xludf.DUMMYFUNCTION("""COMPUTED_VALUE"""),75215.0)</f>
        <v>75215</v>
      </c>
      <c r="J1478" s="22"/>
      <c r="K1478" s="22"/>
      <c r="L1478" s="22"/>
      <c r="M1478" s="22"/>
      <c r="N1478" s="22"/>
      <c r="O1478" s="22"/>
      <c r="P1478" s="22"/>
      <c r="Q1478" s="22"/>
      <c r="R1478" s="22"/>
      <c r="S1478" s="22"/>
      <c r="T1478" s="22"/>
      <c r="U1478" s="24" t="str">
        <f>IFERROR(__xludf.DUMMYFUNCTION("SPLIT(E1478,""01234567890"")"),"Joe
")</f>
        <v>Joe
</v>
      </c>
      <c r="V1478" s="24" t="str">
        <f>IFERROR(__xludf.DUMMYFUNCTION("SPLIT(D1478,"","")"),"Urby")</f>
        <v>Urby</v>
      </c>
      <c r="W1478" s="25" t="str">
        <f t="shared" si="1"/>
        <v>JOE
 URBY</v>
      </c>
      <c r="X1478" s="22"/>
      <c r="Y1478" s="22"/>
      <c r="Z1478" s="25" t="str">
        <f>IFERROR(__xludf.DUMMYFUNCTION("SPLIT(C1478,""
"")"),"Urby, Joe")</f>
        <v>Urby, Joe</v>
      </c>
      <c r="AA1478" s="22" t="str">
        <f>IFERROR(__xludf.DUMMYFUNCTION("""COMPUTED_VALUE"""),"1364 Romano Place")</f>
        <v>1364 Romano Place</v>
      </c>
      <c r="AB1478" s="22" t="str">
        <f>IFERROR(__xludf.DUMMYFUNCTION("""COMPUTED_VALUE"""),"Dallas, TX 75215")</f>
        <v>Dallas, TX 75215</v>
      </c>
      <c r="AC1478" s="31" t="s">
        <v>3082</v>
      </c>
      <c r="AD1478" s="22"/>
      <c r="AE1478" s="22"/>
      <c r="AF1478" s="22"/>
      <c r="AG1478" s="22" t="s">
        <v>60</v>
      </c>
      <c r="AH1478" s="54">
        <v>2501.0</v>
      </c>
      <c r="AI1478" s="22" t="s">
        <v>68</v>
      </c>
      <c r="AJ1478" s="27">
        <v>250.0</v>
      </c>
      <c r="AK1478" s="31" t="s">
        <v>21</v>
      </c>
      <c r="AL1478" s="28">
        <v>44888.0</v>
      </c>
      <c r="AM1478" s="29">
        <v>44943.63122685185</v>
      </c>
      <c r="AN1478" s="30">
        <v>2.0</v>
      </c>
      <c r="AO1478" s="22"/>
      <c r="AP1478" s="22"/>
      <c r="AQ1478" s="22"/>
      <c r="AR1478" s="22"/>
      <c r="AS1478" s="22"/>
      <c r="AT1478" s="70"/>
      <c r="AU1478" s="22"/>
      <c r="AV1478" s="57"/>
      <c r="AW1478" s="57"/>
      <c r="AX1478" s="70"/>
      <c r="AY1478" s="29"/>
      <c r="AZ1478" s="30"/>
      <c r="CU1478" s="55"/>
      <c r="CV1478" s="55"/>
      <c r="CW1478" s="55"/>
      <c r="CX1478" s="55"/>
      <c r="CY1478" s="55"/>
      <c r="CZ1478" s="55"/>
      <c r="DA1478" s="82"/>
      <c r="DB1478" s="55"/>
      <c r="DC1478" s="55"/>
      <c r="DD1478" s="55"/>
      <c r="DE1478" s="55"/>
      <c r="DF1478" s="55"/>
      <c r="DG1478" s="55"/>
      <c r="DH1478" s="55"/>
      <c r="DI1478" s="55"/>
      <c r="DJ1478" s="55"/>
      <c r="DK1478" s="55"/>
      <c r="DL1478" s="55"/>
      <c r="DM1478" s="55"/>
      <c r="DN1478" s="55"/>
      <c r="DO1478" s="55"/>
      <c r="DP1478" s="55"/>
      <c r="DQ1478" s="55"/>
      <c r="DR1478" s="55"/>
      <c r="DS1478" s="55"/>
      <c r="DT1478" s="55"/>
      <c r="DU1478" s="55"/>
      <c r="DV1478" s="55"/>
      <c r="DW1478" s="55"/>
    </row>
    <row r="1479">
      <c r="A1479" s="41" t="s">
        <v>64</v>
      </c>
      <c r="B1479" s="41" t="s">
        <v>56</v>
      </c>
      <c r="C1479" s="31" t="s">
        <v>3083</v>
      </c>
      <c r="D1479" s="25" t="str">
        <f>IFERROR(__xludf.DUMMYFUNCTION("SPLIT(C1479,"" "")"),"Bradshaw,")</f>
        <v>Bradshaw,</v>
      </c>
      <c r="E1479" s="40" t="str">
        <f>IFERROR(__xludf.DUMMYFUNCTION("""COMPUTED_VALUE"""),"Stefani
2929")</f>
        <v>Stefani
2929</v>
      </c>
      <c r="F1479" s="40" t="str">
        <f>IFERROR(__xludf.DUMMYFUNCTION("""COMPUTED_VALUE"""),"Wycliff")</f>
        <v>Wycliff</v>
      </c>
      <c r="G1479" s="40" t="str">
        <f>IFERROR(__xludf.DUMMYFUNCTION("""COMPUTED_VALUE"""),"Ave.
Dallas,")</f>
        <v>Ave.
Dallas,</v>
      </c>
      <c r="H1479" s="40" t="str">
        <f>IFERROR(__xludf.DUMMYFUNCTION("""COMPUTED_VALUE"""),"TX")</f>
        <v>TX</v>
      </c>
      <c r="I1479" s="40">
        <f>IFERROR(__xludf.DUMMYFUNCTION("""COMPUTED_VALUE"""),75219.0)</f>
        <v>75219</v>
      </c>
      <c r="J1479" s="40"/>
      <c r="K1479" s="40"/>
      <c r="L1479" s="40"/>
      <c r="M1479" s="40"/>
      <c r="N1479" s="40"/>
      <c r="O1479" s="40"/>
      <c r="P1479" s="40"/>
      <c r="Q1479" s="40"/>
      <c r="R1479" s="40"/>
      <c r="S1479" s="40"/>
      <c r="T1479" s="40"/>
      <c r="U1479" s="24" t="str">
        <f>IFERROR(__xludf.DUMMYFUNCTION("SPLIT(E1479,""01234567890"")"),"Stefani
")</f>
        <v>Stefani
</v>
      </c>
      <c r="V1479" s="24" t="str">
        <f>IFERROR(__xludf.DUMMYFUNCTION("SPLIT(D1479,"","")"),"Bradshaw")</f>
        <v>Bradshaw</v>
      </c>
      <c r="W1479" s="25" t="str">
        <f t="shared" si="1"/>
        <v>STEFANI
 BRADSHAW</v>
      </c>
      <c r="X1479" s="40"/>
      <c r="Y1479" s="40"/>
      <c r="Z1479" s="25" t="str">
        <f>IFERROR(__xludf.DUMMYFUNCTION("SPLIT(C1479,""
"")"),"Bradshaw, Stefani")</f>
        <v>Bradshaw, Stefani</v>
      </c>
      <c r="AA1479" s="40" t="str">
        <f>IFERROR(__xludf.DUMMYFUNCTION("""COMPUTED_VALUE"""),"2929 Wycliff Ave.")</f>
        <v>2929 Wycliff Ave.</v>
      </c>
      <c r="AB1479" s="40" t="str">
        <f>IFERROR(__xludf.DUMMYFUNCTION("""COMPUTED_VALUE"""),"Dallas, TX 75219")</f>
        <v>Dallas, TX 75219</v>
      </c>
      <c r="AC1479" s="31" t="s">
        <v>3084</v>
      </c>
      <c r="AD1479" s="40"/>
      <c r="AE1479" s="40"/>
      <c r="AF1479" s="40"/>
      <c r="AG1479" s="40" t="s">
        <v>60</v>
      </c>
      <c r="AH1479" s="42">
        <v>2501.0</v>
      </c>
      <c r="AI1479" s="40" t="s">
        <v>68</v>
      </c>
      <c r="AJ1479" s="27">
        <v>500.0</v>
      </c>
      <c r="AK1479" s="31" t="s">
        <v>21</v>
      </c>
      <c r="AL1479" s="43">
        <v>44889.0</v>
      </c>
      <c r="AM1479" s="44">
        <v>44943.63122685185</v>
      </c>
      <c r="AN1479" s="30">
        <v>2.0</v>
      </c>
      <c r="AO1479" s="40"/>
      <c r="AP1479" s="40"/>
      <c r="AQ1479" s="40"/>
      <c r="AR1479" s="40"/>
      <c r="AS1479" s="40"/>
      <c r="AT1479" s="47"/>
      <c r="AU1479" s="40"/>
      <c r="AV1479" s="46"/>
      <c r="AW1479" s="46"/>
      <c r="AX1479" s="47"/>
      <c r="AY1479" s="44"/>
      <c r="AZ1479" s="30"/>
      <c r="CU1479" s="55"/>
      <c r="CV1479" s="55"/>
      <c r="CW1479" s="55"/>
      <c r="CX1479" s="55"/>
      <c r="CY1479" s="55"/>
      <c r="CZ1479" s="55"/>
      <c r="DA1479" s="82"/>
      <c r="DB1479" s="55"/>
      <c r="DC1479" s="55"/>
      <c r="DD1479" s="55"/>
      <c r="DE1479" s="55"/>
      <c r="DF1479" s="55"/>
      <c r="DG1479" s="55"/>
      <c r="DH1479" s="55"/>
      <c r="DI1479" s="55"/>
      <c r="DJ1479" s="55"/>
      <c r="DK1479" s="55"/>
      <c r="DL1479" s="55"/>
      <c r="DM1479" s="55"/>
      <c r="DN1479" s="55"/>
      <c r="DO1479" s="55"/>
      <c r="DP1479" s="55"/>
      <c r="DQ1479" s="55"/>
      <c r="DR1479" s="55"/>
      <c r="DS1479" s="55"/>
      <c r="DT1479" s="55"/>
      <c r="DU1479" s="55"/>
      <c r="DV1479" s="55"/>
      <c r="DW1479" s="55"/>
    </row>
    <row r="1480">
      <c r="A1480" s="22" t="s">
        <v>55</v>
      </c>
      <c r="B1480" s="23" t="s">
        <v>56</v>
      </c>
      <c r="C1480" s="31" t="s">
        <v>3085</v>
      </c>
      <c r="D1480" s="25" t="str">
        <f>IFERROR(__xludf.DUMMYFUNCTION("SPLIT(C1480,"" "")"),"Hill,")</f>
        <v>Hill,</v>
      </c>
      <c r="E1480" s="22" t="str">
        <f>IFERROR(__xludf.DUMMYFUNCTION("""COMPUTED_VALUE"""),"Todd
PO")</f>
        <v>Todd
PO</v>
      </c>
      <c r="F1480" s="22" t="str">
        <f>IFERROR(__xludf.DUMMYFUNCTION("""COMPUTED_VALUE"""),"Box")</f>
        <v>Box</v>
      </c>
      <c r="G1480" s="22" t="str">
        <f>IFERROR(__xludf.DUMMYFUNCTION("""COMPUTED_VALUE"""),"192305
Dallas,")</f>
        <v>192305
Dallas,</v>
      </c>
      <c r="H1480" s="22" t="str">
        <f>IFERROR(__xludf.DUMMYFUNCTION("""COMPUTED_VALUE"""),"TX")</f>
        <v>TX</v>
      </c>
      <c r="I1480" s="22">
        <f>IFERROR(__xludf.DUMMYFUNCTION("""COMPUTED_VALUE"""),75219.0)</f>
        <v>75219</v>
      </c>
      <c r="J1480" s="22"/>
      <c r="K1480" s="22"/>
      <c r="L1480" s="22"/>
      <c r="M1480" s="22"/>
      <c r="N1480" s="22"/>
      <c r="O1480" s="22"/>
      <c r="P1480" s="22"/>
      <c r="Q1480" s="22"/>
      <c r="R1480" s="22"/>
      <c r="S1480" s="22"/>
      <c r="T1480" s="22"/>
      <c r="U1480" s="24" t="str">
        <f>IFERROR(__xludf.DUMMYFUNCTION("SPLIT(E1480,""01234567890"")"),"Todd
PO")</f>
        <v>Todd
PO</v>
      </c>
      <c r="V1480" s="24" t="str">
        <f>IFERROR(__xludf.DUMMYFUNCTION("SPLIT(D1480,"","")"),"Hill")</f>
        <v>Hill</v>
      </c>
      <c r="W1480" s="25" t="str">
        <f t="shared" si="1"/>
        <v>TODD
PO HILL</v>
      </c>
      <c r="X1480" s="22"/>
      <c r="Y1480" s="22"/>
      <c r="Z1480" s="25" t="str">
        <f>IFERROR(__xludf.DUMMYFUNCTION("SPLIT(C1480,""
"")"),"Hill, Todd")</f>
        <v>Hill, Todd</v>
      </c>
      <c r="AA1480" s="22" t="str">
        <f>IFERROR(__xludf.DUMMYFUNCTION("""COMPUTED_VALUE"""),"PO Box 192305")</f>
        <v>PO Box 192305</v>
      </c>
      <c r="AB1480" s="22" t="str">
        <f>IFERROR(__xludf.DUMMYFUNCTION("""COMPUTED_VALUE"""),"Dallas, TX 75219")</f>
        <v>Dallas, TX 75219</v>
      </c>
      <c r="AC1480" s="31" t="s">
        <v>1739</v>
      </c>
      <c r="AD1480" s="22"/>
      <c r="AE1480" s="22"/>
      <c r="AF1480" s="22"/>
      <c r="AG1480" s="22" t="s">
        <v>60</v>
      </c>
      <c r="AH1480" s="54">
        <v>2501.0</v>
      </c>
      <c r="AI1480" s="22" t="s">
        <v>68</v>
      </c>
      <c r="AJ1480" s="27">
        <v>250.0</v>
      </c>
      <c r="AK1480" s="31" t="s">
        <v>21</v>
      </c>
      <c r="AL1480" s="28">
        <v>44889.0</v>
      </c>
      <c r="AM1480" s="29">
        <v>44943.63122685185</v>
      </c>
      <c r="AN1480" s="30">
        <v>2.0</v>
      </c>
      <c r="AO1480" s="22"/>
      <c r="AP1480" s="22"/>
      <c r="AQ1480" s="22"/>
      <c r="AR1480" s="22"/>
      <c r="AS1480" s="22"/>
      <c r="AT1480" s="70"/>
      <c r="AU1480" s="22"/>
      <c r="AV1480" s="57"/>
      <c r="AW1480" s="57"/>
      <c r="AX1480" s="70"/>
      <c r="AY1480" s="29"/>
      <c r="AZ1480" s="30"/>
      <c r="CU1480" s="55"/>
      <c r="CV1480" s="55"/>
      <c r="CW1480" s="55"/>
      <c r="CX1480" s="55"/>
      <c r="CY1480" s="55"/>
      <c r="CZ1480" s="55"/>
      <c r="DA1480" s="82"/>
      <c r="DB1480" s="55"/>
      <c r="DC1480" s="55"/>
      <c r="DD1480" s="55"/>
      <c r="DE1480" s="55"/>
      <c r="DF1480" s="55"/>
      <c r="DG1480" s="55"/>
      <c r="DH1480" s="55"/>
      <c r="DI1480" s="55"/>
      <c r="DJ1480" s="55"/>
      <c r="DK1480" s="55"/>
      <c r="DL1480" s="55"/>
      <c r="DM1480" s="55"/>
      <c r="DN1480" s="55"/>
      <c r="DO1480" s="55"/>
      <c r="DP1480" s="55"/>
      <c r="DQ1480" s="55"/>
      <c r="DR1480" s="55"/>
      <c r="DS1480" s="55"/>
      <c r="DT1480" s="55"/>
      <c r="DU1480" s="55"/>
      <c r="DV1480" s="55"/>
      <c r="DW1480" s="55"/>
    </row>
    <row r="1481">
      <c r="A1481" s="41" t="s">
        <v>64</v>
      </c>
      <c r="B1481" s="41" t="s">
        <v>56</v>
      </c>
      <c r="C1481" s="31" t="s">
        <v>531</v>
      </c>
      <c r="D1481" s="25" t="str">
        <f>IFERROR(__xludf.DUMMYFUNCTION("SPLIT(C1481,"" "")"),"Gilbreath,")</f>
        <v>Gilbreath,</v>
      </c>
      <c r="E1481" s="40" t="str">
        <f>IFERROR(__xludf.DUMMYFUNCTION("""COMPUTED_VALUE"""),"Jake
2102")</f>
        <v>Jake
2102</v>
      </c>
      <c r="F1481" s="40" t="str">
        <f>IFERROR(__xludf.DUMMYFUNCTION("""COMPUTED_VALUE"""),"Sharon")</f>
        <v>Sharon</v>
      </c>
      <c r="G1481" s="40" t="str">
        <f>IFERROR(__xludf.DUMMYFUNCTION("""COMPUTED_VALUE"""),"Ln.
Austin,")</f>
        <v>Ln.
Austin,</v>
      </c>
      <c r="H1481" s="40" t="str">
        <f>IFERROR(__xludf.DUMMYFUNCTION("""COMPUTED_VALUE"""),"TX")</f>
        <v>TX</v>
      </c>
      <c r="I1481" s="40">
        <f>IFERROR(__xludf.DUMMYFUNCTION("""COMPUTED_VALUE"""),78703.0)</f>
        <v>78703</v>
      </c>
      <c r="J1481" s="40"/>
      <c r="K1481" s="40"/>
      <c r="L1481" s="40"/>
      <c r="M1481" s="40"/>
      <c r="N1481" s="40"/>
      <c r="O1481" s="40"/>
      <c r="P1481" s="40"/>
      <c r="Q1481" s="40"/>
      <c r="R1481" s="40"/>
      <c r="S1481" s="40"/>
      <c r="T1481" s="40"/>
      <c r="U1481" s="24" t="str">
        <f>IFERROR(__xludf.DUMMYFUNCTION("SPLIT(E1481,""01234567890"")"),"Jake
")</f>
        <v>Jake
</v>
      </c>
      <c r="V1481" s="24" t="str">
        <f>IFERROR(__xludf.DUMMYFUNCTION("SPLIT(D1481,"","")"),"Gilbreath")</f>
        <v>Gilbreath</v>
      </c>
      <c r="W1481" s="25" t="str">
        <f t="shared" si="1"/>
        <v>JAKE
 GILBREATH</v>
      </c>
      <c r="X1481" s="40"/>
      <c r="Y1481" s="40"/>
      <c r="Z1481" s="25" t="str">
        <f>IFERROR(__xludf.DUMMYFUNCTION("SPLIT(C1481,""
"")"),"Gilbreath, Jake")</f>
        <v>Gilbreath, Jake</v>
      </c>
      <c r="AA1481" s="40" t="str">
        <f>IFERROR(__xludf.DUMMYFUNCTION("""COMPUTED_VALUE"""),"2102 Sharon Ln.")</f>
        <v>2102 Sharon Ln.</v>
      </c>
      <c r="AB1481" s="40" t="str">
        <f>IFERROR(__xludf.DUMMYFUNCTION("""COMPUTED_VALUE"""),"Austin, TX 78703")</f>
        <v>Austin, TX 78703</v>
      </c>
      <c r="AC1481" s="31" t="s">
        <v>533</v>
      </c>
      <c r="AD1481" s="40"/>
      <c r="AE1481" s="40"/>
      <c r="AF1481" s="40"/>
      <c r="AG1481" s="40" t="s">
        <v>60</v>
      </c>
      <c r="AH1481" s="42">
        <v>2501.0</v>
      </c>
      <c r="AI1481" s="40" t="s">
        <v>68</v>
      </c>
      <c r="AJ1481" s="27">
        <v>500.0</v>
      </c>
      <c r="AK1481" s="31" t="s">
        <v>21</v>
      </c>
      <c r="AL1481" s="43">
        <v>44891.0</v>
      </c>
      <c r="AM1481" s="44">
        <v>44943.63122685185</v>
      </c>
      <c r="AN1481" s="30">
        <v>2.0</v>
      </c>
      <c r="AO1481" s="40"/>
      <c r="AP1481" s="40"/>
      <c r="AQ1481" s="40"/>
      <c r="AR1481" s="40"/>
      <c r="AS1481" s="40"/>
      <c r="AT1481" s="47"/>
      <c r="AU1481" s="40"/>
      <c r="AV1481" s="46"/>
      <c r="AW1481" s="46"/>
      <c r="AX1481" s="47"/>
      <c r="AY1481" s="44"/>
      <c r="AZ1481" s="30"/>
      <c r="CU1481" s="55"/>
      <c r="CV1481" s="55"/>
      <c r="CW1481" s="55"/>
      <c r="CX1481" s="55"/>
      <c r="CY1481" s="55"/>
      <c r="CZ1481" s="55"/>
      <c r="DA1481" s="82"/>
      <c r="DB1481" s="55"/>
      <c r="DC1481" s="55"/>
      <c r="DD1481" s="55"/>
      <c r="DE1481" s="55"/>
      <c r="DF1481" s="55"/>
      <c r="DG1481" s="55"/>
      <c r="DH1481" s="55"/>
      <c r="DI1481" s="55"/>
      <c r="DJ1481" s="55"/>
      <c r="DK1481" s="55"/>
      <c r="DL1481" s="55"/>
      <c r="DM1481" s="55"/>
      <c r="DN1481" s="55"/>
      <c r="DO1481" s="55"/>
      <c r="DP1481" s="55"/>
      <c r="DQ1481" s="55"/>
      <c r="DR1481" s="55"/>
      <c r="DS1481" s="55"/>
      <c r="DT1481" s="55"/>
      <c r="DU1481" s="55"/>
      <c r="DV1481" s="55"/>
      <c r="DW1481" s="55"/>
    </row>
    <row r="1482">
      <c r="A1482" s="22" t="s">
        <v>55</v>
      </c>
      <c r="B1482" s="23" t="s">
        <v>56</v>
      </c>
      <c r="C1482" s="31" t="s">
        <v>3086</v>
      </c>
      <c r="D1482" s="25" t="str">
        <f>IFERROR(__xludf.DUMMYFUNCTION("SPLIT(C1482,"" "")"),"Hargraves,")</f>
        <v>Hargraves,</v>
      </c>
      <c r="E1482" s="22" t="str">
        <f>IFERROR(__xludf.DUMMYFUNCTION("""COMPUTED_VALUE"""),"Jennifer
4201")</f>
        <v>Jennifer
4201</v>
      </c>
      <c r="F1482" s="22" t="str">
        <f>IFERROR(__xludf.DUMMYFUNCTION("""COMPUTED_VALUE"""),"Spring")</f>
        <v>Spring</v>
      </c>
      <c r="G1482" s="22" t="str">
        <f>IFERROR(__xludf.DUMMYFUNCTION("""COMPUTED_VALUE"""),"Valley")</f>
        <v>Valley</v>
      </c>
      <c r="H1482" s="22" t="str">
        <f>IFERROR(__xludf.DUMMYFUNCTION("""COMPUTED_VALUE"""),"Rd.
Dallas,")</f>
        <v>Rd.
Dallas,</v>
      </c>
      <c r="I1482" s="22" t="str">
        <f>IFERROR(__xludf.DUMMYFUNCTION("""COMPUTED_VALUE"""),"TX")</f>
        <v>TX</v>
      </c>
      <c r="J1482" s="22">
        <f>IFERROR(__xludf.DUMMYFUNCTION("""COMPUTED_VALUE"""),75244.0)</f>
        <v>75244</v>
      </c>
      <c r="K1482" s="22"/>
      <c r="L1482" s="22"/>
      <c r="M1482" s="22"/>
      <c r="N1482" s="22"/>
      <c r="O1482" s="22"/>
      <c r="P1482" s="22"/>
      <c r="Q1482" s="22"/>
      <c r="R1482" s="22"/>
      <c r="S1482" s="22"/>
      <c r="T1482" s="22"/>
      <c r="U1482" s="24" t="str">
        <f>IFERROR(__xludf.DUMMYFUNCTION("SPLIT(E1482,""01234567890"")"),"Jennifer
")</f>
        <v>Jennifer
</v>
      </c>
      <c r="V1482" s="24" t="str">
        <f>IFERROR(__xludf.DUMMYFUNCTION("SPLIT(D1482,"","")"),"Hargraves")</f>
        <v>Hargraves</v>
      </c>
      <c r="W1482" s="25" t="str">
        <f t="shared" si="1"/>
        <v>JENNIFER
 HARGRAVES</v>
      </c>
      <c r="X1482" s="22"/>
      <c r="Y1482" s="22"/>
      <c r="Z1482" s="25" t="str">
        <f>IFERROR(__xludf.DUMMYFUNCTION("SPLIT(C1482,""
"")"),"Hargraves, Jennifer")</f>
        <v>Hargraves, Jennifer</v>
      </c>
      <c r="AA1482" s="22" t="str">
        <f>IFERROR(__xludf.DUMMYFUNCTION("""COMPUTED_VALUE"""),"4201 Spring Valley Rd.")</f>
        <v>4201 Spring Valley Rd.</v>
      </c>
      <c r="AB1482" s="22" t="str">
        <f>IFERROR(__xludf.DUMMYFUNCTION("""COMPUTED_VALUE"""),"Dallas, TX 75244")</f>
        <v>Dallas, TX 75244</v>
      </c>
      <c r="AC1482" s="31" t="s">
        <v>3087</v>
      </c>
      <c r="AD1482" s="22"/>
      <c r="AE1482" s="22"/>
      <c r="AF1482" s="22"/>
      <c r="AG1482" s="22" t="s">
        <v>60</v>
      </c>
      <c r="AH1482" s="54">
        <v>2501.0</v>
      </c>
      <c r="AI1482" s="22" t="s">
        <v>68</v>
      </c>
      <c r="AJ1482" s="27">
        <v>1000.0</v>
      </c>
      <c r="AK1482" s="31" t="s">
        <v>21</v>
      </c>
      <c r="AL1482" s="28">
        <v>44891.0</v>
      </c>
      <c r="AM1482" s="29">
        <v>44943.63122685185</v>
      </c>
      <c r="AN1482" s="30">
        <v>2.0</v>
      </c>
      <c r="AO1482" s="22"/>
      <c r="AP1482" s="22"/>
      <c r="AQ1482" s="22"/>
      <c r="AR1482" s="22"/>
      <c r="AS1482" s="22"/>
      <c r="AT1482" s="70"/>
      <c r="AU1482" s="22"/>
      <c r="AV1482" s="57"/>
      <c r="AW1482" s="57"/>
      <c r="AX1482" s="70"/>
      <c r="AY1482" s="29"/>
      <c r="AZ1482" s="30"/>
      <c r="CU1482" s="55"/>
      <c r="CV1482" s="55"/>
      <c r="CW1482" s="55"/>
      <c r="CX1482" s="55"/>
      <c r="CY1482" s="55"/>
      <c r="CZ1482" s="55"/>
      <c r="DA1482" s="82"/>
      <c r="DB1482" s="55"/>
      <c r="DC1482" s="55"/>
      <c r="DD1482" s="55"/>
      <c r="DE1482" s="55"/>
      <c r="DF1482" s="55"/>
      <c r="DG1482" s="55"/>
      <c r="DH1482" s="55"/>
      <c r="DI1482" s="55"/>
      <c r="DJ1482" s="55"/>
      <c r="DK1482" s="55"/>
      <c r="DL1482" s="55"/>
      <c r="DM1482" s="55"/>
      <c r="DN1482" s="55"/>
      <c r="DO1482" s="55"/>
      <c r="DP1482" s="55"/>
      <c r="DQ1482" s="55"/>
      <c r="DR1482" s="55"/>
      <c r="DS1482" s="55"/>
      <c r="DT1482" s="55"/>
      <c r="DU1482" s="55"/>
      <c r="DV1482" s="55"/>
      <c r="DW1482" s="55"/>
    </row>
    <row r="1483">
      <c r="A1483" s="41" t="s">
        <v>64</v>
      </c>
      <c r="B1483" s="41" t="s">
        <v>56</v>
      </c>
      <c r="C1483" s="31" t="s">
        <v>3088</v>
      </c>
      <c r="D1483" s="25" t="str">
        <f>IFERROR(__xludf.DUMMYFUNCTION("SPLIT(C1483,"" "")"),"Woodruff,")</f>
        <v>Woodruff,</v>
      </c>
      <c r="E1483" s="40" t="str">
        <f>IFERROR(__xludf.DUMMYFUNCTION("""COMPUTED_VALUE"""),"Grant
8315")</f>
        <v>Grant
8315</v>
      </c>
      <c r="F1483" s="40" t="str">
        <f>IFERROR(__xludf.DUMMYFUNCTION("""COMPUTED_VALUE"""),"Cabrera")</f>
        <v>Cabrera</v>
      </c>
      <c r="G1483" s="40" t="str">
        <f>IFERROR(__xludf.DUMMYFUNCTION("""COMPUTED_VALUE"""),"Dr.
Dallas,")</f>
        <v>Dr.
Dallas,</v>
      </c>
      <c r="H1483" s="40" t="str">
        <f>IFERROR(__xludf.DUMMYFUNCTION("""COMPUTED_VALUE"""),"TX")</f>
        <v>TX</v>
      </c>
      <c r="I1483" s="40">
        <f>IFERROR(__xludf.DUMMYFUNCTION("""COMPUTED_VALUE"""),75228.0)</f>
        <v>75228</v>
      </c>
      <c r="J1483" s="40"/>
      <c r="K1483" s="40"/>
      <c r="L1483" s="40"/>
      <c r="M1483" s="40"/>
      <c r="N1483" s="40"/>
      <c r="O1483" s="40"/>
      <c r="P1483" s="40"/>
      <c r="Q1483" s="40"/>
      <c r="R1483" s="40"/>
      <c r="S1483" s="40"/>
      <c r="T1483" s="40"/>
      <c r="U1483" s="24" t="str">
        <f>IFERROR(__xludf.DUMMYFUNCTION("SPLIT(E1483,""01234567890"")"),"Grant
")</f>
        <v>Grant
</v>
      </c>
      <c r="V1483" s="24" t="str">
        <f>IFERROR(__xludf.DUMMYFUNCTION("SPLIT(D1483,"","")"),"Woodruff")</f>
        <v>Woodruff</v>
      </c>
      <c r="W1483" s="25" t="str">
        <f t="shared" si="1"/>
        <v>GRANT
 WOODRUFF</v>
      </c>
      <c r="X1483" s="40"/>
      <c r="Y1483" s="40"/>
      <c r="Z1483" s="25" t="str">
        <f>IFERROR(__xludf.DUMMYFUNCTION("SPLIT(C1483,""
"")"),"Woodruff, Grant")</f>
        <v>Woodruff, Grant</v>
      </c>
      <c r="AA1483" s="40" t="str">
        <f>IFERROR(__xludf.DUMMYFUNCTION("""COMPUTED_VALUE"""),"8315 Cabrera Dr.")</f>
        <v>8315 Cabrera Dr.</v>
      </c>
      <c r="AB1483" s="40" t="str">
        <f>IFERROR(__xludf.DUMMYFUNCTION("""COMPUTED_VALUE"""),"Dallas, TX 75228")</f>
        <v>Dallas, TX 75228</v>
      </c>
      <c r="AC1483" s="31" t="s">
        <v>3089</v>
      </c>
      <c r="AD1483" s="40"/>
      <c r="AE1483" s="40"/>
      <c r="AF1483" s="40"/>
      <c r="AG1483" s="40" t="s">
        <v>60</v>
      </c>
      <c r="AH1483" s="42">
        <v>2501.0</v>
      </c>
      <c r="AI1483" s="40" t="s">
        <v>68</v>
      </c>
      <c r="AJ1483" s="27">
        <v>1000.0</v>
      </c>
      <c r="AK1483" s="31" t="s">
        <v>21</v>
      </c>
      <c r="AL1483" s="43">
        <v>44891.0</v>
      </c>
      <c r="AM1483" s="44">
        <v>44943.63122685185</v>
      </c>
      <c r="AN1483" s="30">
        <v>2.0</v>
      </c>
      <c r="AO1483" s="40"/>
      <c r="AP1483" s="40"/>
      <c r="AQ1483" s="40"/>
      <c r="AR1483" s="40"/>
      <c r="AS1483" s="40"/>
      <c r="AT1483" s="47"/>
      <c r="AU1483" s="40"/>
      <c r="AV1483" s="46"/>
      <c r="AW1483" s="46"/>
      <c r="AX1483" s="47"/>
      <c r="AY1483" s="44"/>
      <c r="AZ1483" s="30"/>
      <c r="CU1483" s="55"/>
      <c r="CV1483" s="55"/>
      <c r="CW1483" s="55"/>
      <c r="CX1483" s="55"/>
      <c r="CY1483" s="55"/>
      <c r="CZ1483" s="55"/>
      <c r="DA1483" s="82"/>
      <c r="DB1483" s="55"/>
      <c r="DC1483" s="55"/>
      <c r="DD1483" s="55"/>
      <c r="DE1483" s="55"/>
      <c r="DF1483" s="55"/>
      <c r="DG1483" s="55"/>
      <c r="DH1483" s="55"/>
      <c r="DI1483" s="55"/>
      <c r="DJ1483" s="55"/>
      <c r="DK1483" s="55"/>
      <c r="DL1483" s="55"/>
      <c r="DM1483" s="55"/>
      <c r="DN1483" s="55"/>
      <c r="DO1483" s="55"/>
      <c r="DP1483" s="55"/>
      <c r="DQ1483" s="55"/>
      <c r="DR1483" s="55"/>
      <c r="DS1483" s="55"/>
      <c r="DT1483" s="55"/>
      <c r="DU1483" s="55"/>
      <c r="DV1483" s="55"/>
      <c r="DW1483" s="55"/>
    </row>
    <row r="1484">
      <c r="A1484" s="22" t="s">
        <v>55</v>
      </c>
      <c r="B1484" s="23" t="s">
        <v>56</v>
      </c>
      <c r="C1484" s="31" t="s">
        <v>3090</v>
      </c>
      <c r="D1484" s="25" t="str">
        <f>IFERROR(__xludf.DUMMYFUNCTION("SPLIT(C1484,"" "")"),"Dalheim,")</f>
        <v>Dalheim,</v>
      </c>
      <c r="E1484" s="22" t="str">
        <f>IFERROR(__xludf.DUMMYFUNCTION("""COMPUTED_VALUE"""),"Cullen
127")</f>
        <v>Cullen
127</v>
      </c>
      <c r="F1484" s="22" t="str">
        <f>IFERROR(__xludf.DUMMYFUNCTION("""COMPUTED_VALUE"""),"Pittsburgh")</f>
        <v>Pittsburgh</v>
      </c>
      <c r="G1484" s="22" t="str">
        <f>IFERROR(__xludf.DUMMYFUNCTION("""COMPUTED_VALUE"""),"St.
Dallas,")</f>
        <v>St.
Dallas,</v>
      </c>
      <c r="H1484" s="22" t="str">
        <f>IFERROR(__xludf.DUMMYFUNCTION("""COMPUTED_VALUE"""),"TX")</f>
        <v>TX</v>
      </c>
      <c r="I1484" s="22">
        <f>IFERROR(__xludf.DUMMYFUNCTION("""COMPUTED_VALUE"""),75207.0)</f>
        <v>75207</v>
      </c>
      <c r="J1484" s="22"/>
      <c r="K1484" s="22"/>
      <c r="L1484" s="22"/>
      <c r="M1484" s="22"/>
      <c r="N1484" s="22"/>
      <c r="O1484" s="22"/>
      <c r="P1484" s="22"/>
      <c r="Q1484" s="22"/>
      <c r="R1484" s="22"/>
      <c r="S1484" s="22"/>
      <c r="T1484" s="22"/>
      <c r="U1484" s="24" t="str">
        <f>IFERROR(__xludf.DUMMYFUNCTION("SPLIT(E1484,""01234567890"")"),"Cullen
")</f>
        <v>Cullen
</v>
      </c>
      <c r="V1484" s="24" t="str">
        <f>IFERROR(__xludf.DUMMYFUNCTION("SPLIT(D1484,"","")"),"Dalheim")</f>
        <v>Dalheim</v>
      </c>
      <c r="W1484" s="25" t="str">
        <f t="shared" si="1"/>
        <v>CULLEN
 DALHEIM</v>
      </c>
      <c r="X1484" s="22"/>
      <c r="Y1484" s="22"/>
      <c r="Z1484" s="25" t="str">
        <f>IFERROR(__xludf.DUMMYFUNCTION("SPLIT(C1484,""
"")"),"Dalheim, Cullen")</f>
        <v>Dalheim, Cullen</v>
      </c>
      <c r="AA1484" s="22" t="str">
        <f>IFERROR(__xludf.DUMMYFUNCTION("""COMPUTED_VALUE"""),"127 Pittsburgh St.")</f>
        <v>127 Pittsburgh St.</v>
      </c>
      <c r="AB1484" s="22" t="str">
        <f>IFERROR(__xludf.DUMMYFUNCTION("""COMPUTED_VALUE"""),"Dallas, TX 75207")</f>
        <v>Dallas, TX 75207</v>
      </c>
      <c r="AC1484" s="31" t="s">
        <v>3091</v>
      </c>
      <c r="AD1484" s="22"/>
      <c r="AE1484" s="22"/>
      <c r="AF1484" s="22"/>
      <c r="AG1484" s="22" t="s">
        <v>60</v>
      </c>
      <c r="AH1484" s="54">
        <v>2501.0</v>
      </c>
      <c r="AI1484" s="22" t="s">
        <v>68</v>
      </c>
      <c r="AJ1484" s="27">
        <v>500.0</v>
      </c>
      <c r="AK1484" s="31" t="s">
        <v>21</v>
      </c>
      <c r="AL1484" s="28">
        <v>44893.0</v>
      </c>
      <c r="AM1484" s="29">
        <v>44943.63122685185</v>
      </c>
      <c r="AN1484" s="30">
        <v>2.0</v>
      </c>
      <c r="AO1484" s="22"/>
      <c r="AP1484" s="22"/>
      <c r="AQ1484" s="22"/>
      <c r="AR1484" s="22"/>
      <c r="AS1484" s="22"/>
      <c r="AT1484" s="70"/>
      <c r="AU1484" s="22"/>
      <c r="AV1484" s="57"/>
      <c r="AW1484" s="57"/>
      <c r="AX1484" s="70"/>
      <c r="AY1484" s="29"/>
      <c r="AZ1484" s="30"/>
      <c r="CU1484" s="55"/>
      <c r="CV1484" s="55"/>
      <c r="CW1484" s="55"/>
      <c r="CX1484" s="55"/>
      <c r="CY1484" s="55"/>
      <c r="CZ1484" s="55"/>
      <c r="DA1484" s="82"/>
      <c r="DB1484" s="55"/>
      <c r="DC1484" s="55"/>
      <c r="DD1484" s="55"/>
      <c r="DE1484" s="55"/>
      <c r="DF1484" s="55"/>
      <c r="DG1484" s="55"/>
      <c r="DH1484" s="55"/>
      <c r="DI1484" s="55"/>
      <c r="DJ1484" s="55"/>
      <c r="DK1484" s="55"/>
      <c r="DL1484" s="55"/>
      <c r="DM1484" s="55"/>
      <c r="DN1484" s="55"/>
      <c r="DO1484" s="55"/>
      <c r="DP1484" s="55"/>
      <c r="DQ1484" s="55"/>
      <c r="DR1484" s="55"/>
      <c r="DS1484" s="55"/>
      <c r="DT1484" s="55"/>
      <c r="DU1484" s="55"/>
      <c r="DV1484" s="55"/>
      <c r="DW1484" s="55"/>
    </row>
    <row r="1485">
      <c r="A1485" s="41" t="s">
        <v>64</v>
      </c>
      <c r="B1485" s="41" t="s">
        <v>56</v>
      </c>
      <c r="C1485" s="31" t="s">
        <v>3092</v>
      </c>
      <c r="D1485" s="25" t="str">
        <f>IFERROR(__xludf.DUMMYFUNCTION("SPLIT(C1485,"" "")"),"Edwards,")</f>
        <v>Edwards,</v>
      </c>
      <c r="E1485" s="40" t="str">
        <f>IFERROR(__xludf.DUMMYFUNCTION("""COMPUTED_VALUE"""),"Dianne
223")</f>
        <v>Dianne
223</v>
      </c>
      <c r="F1485" s="40" t="str">
        <f>IFERROR(__xludf.DUMMYFUNCTION("""COMPUTED_VALUE"""),"S.")</f>
        <v>S.</v>
      </c>
      <c r="G1485" s="40" t="str">
        <f>IFERROR(__xludf.DUMMYFUNCTION("""COMPUTED_VALUE"""),"Marlborough")</f>
        <v>Marlborough</v>
      </c>
      <c r="H1485" s="40" t="str">
        <f>IFERROR(__xludf.DUMMYFUNCTION("""COMPUTED_VALUE"""),"Ave.
Dallas,")</f>
        <v>Ave.
Dallas,</v>
      </c>
      <c r="I1485" s="40" t="str">
        <f>IFERROR(__xludf.DUMMYFUNCTION("""COMPUTED_VALUE"""),"TX")</f>
        <v>TX</v>
      </c>
      <c r="J1485" s="40">
        <f>IFERROR(__xludf.DUMMYFUNCTION("""COMPUTED_VALUE"""),75208.0)</f>
        <v>75208</v>
      </c>
      <c r="K1485" s="40"/>
      <c r="L1485" s="40"/>
      <c r="M1485" s="40"/>
      <c r="N1485" s="40"/>
      <c r="O1485" s="40"/>
      <c r="P1485" s="40"/>
      <c r="Q1485" s="40"/>
      <c r="R1485" s="40"/>
      <c r="S1485" s="40"/>
      <c r="T1485" s="40"/>
      <c r="U1485" s="24" t="str">
        <f>IFERROR(__xludf.DUMMYFUNCTION("SPLIT(E1485,""01234567890"")"),"Dianne
")</f>
        <v>Dianne
</v>
      </c>
      <c r="V1485" s="24" t="str">
        <f>IFERROR(__xludf.DUMMYFUNCTION("SPLIT(D1485,"","")"),"Edwards")</f>
        <v>Edwards</v>
      </c>
      <c r="W1485" s="25" t="str">
        <f t="shared" si="1"/>
        <v>DIANNE
 EDWARDS</v>
      </c>
      <c r="X1485" s="40"/>
      <c r="Y1485" s="40"/>
      <c r="Z1485" s="25" t="str">
        <f>IFERROR(__xludf.DUMMYFUNCTION("SPLIT(C1485,""
"")"),"Edwards, Dianne")</f>
        <v>Edwards, Dianne</v>
      </c>
      <c r="AA1485" s="40" t="str">
        <f>IFERROR(__xludf.DUMMYFUNCTION("""COMPUTED_VALUE"""),"223 S. Marlborough Ave.")</f>
        <v>223 S. Marlborough Ave.</v>
      </c>
      <c r="AB1485" s="40" t="str">
        <f>IFERROR(__xludf.DUMMYFUNCTION("""COMPUTED_VALUE"""),"Dallas, TX 75208")</f>
        <v>Dallas, TX 75208</v>
      </c>
      <c r="AC1485" s="31" t="s">
        <v>3093</v>
      </c>
      <c r="AD1485" s="40"/>
      <c r="AE1485" s="40"/>
      <c r="AF1485" s="40"/>
      <c r="AG1485" s="40" t="s">
        <v>60</v>
      </c>
      <c r="AH1485" s="42">
        <v>2501.0</v>
      </c>
      <c r="AI1485" s="40" t="s">
        <v>68</v>
      </c>
      <c r="AJ1485" s="27">
        <v>100.0</v>
      </c>
      <c r="AK1485" s="31" t="s">
        <v>21</v>
      </c>
      <c r="AL1485" s="43">
        <v>44893.0</v>
      </c>
      <c r="AM1485" s="44">
        <v>44943.63122685185</v>
      </c>
      <c r="AN1485" s="30">
        <v>2.0</v>
      </c>
      <c r="AO1485" s="40"/>
      <c r="AP1485" s="40"/>
      <c r="AQ1485" s="40"/>
      <c r="AR1485" s="40"/>
      <c r="AS1485" s="40"/>
      <c r="AT1485" s="47"/>
      <c r="AU1485" s="40"/>
      <c r="AV1485" s="46"/>
      <c r="AW1485" s="46"/>
      <c r="AX1485" s="47"/>
      <c r="AY1485" s="44"/>
      <c r="AZ1485" s="30"/>
      <c r="CU1485" s="55"/>
      <c r="CV1485" s="55"/>
      <c r="CW1485" s="55"/>
      <c r="CX1485" s="55"/>
      <c r="CY1485" s="55"/>
      <c r="CZ1485" s="55"/>
      <c r="DA1485" s="82"/>
      <c r="DB1485" s="55"/>
      <c r="DC1485" s="55"/>
      <c r="DD1485" s="55"/>
      <c r="DE1485" s="55"/>
      <c r="DF1485" s="55"/>
      <c r="DG1485" s="55"/>
      <c r="DH1485" s="55"/>
      <c r="DI1485" s="55"/>
      <c r="DJ1485" s="55"/>
      <c r="DK1485" s="55"/>
      <c r="DL1485" s="55"/>
      <c r="DM1485" s="55"/>
      <c r="DN1485" s="55"/>
      <c r="DO1485" s="55"/>
      <c r="DP1485" s="55"/>
      <c r="DQ1485" s="55"/>
      <c r="DR1485" s="55"/>
      <c r="DS1485" s="55"/>
      <c r="DT1485" s="55"/>
      <c r="DU1485" s="55"/>
      <c r="DV1485" s="55"/>
      <c r="DW1485" s="55"/>
    </row>
    <row r="1486">
      <c r="A1486" s="22" t="s">
        <v>55</v>
      </c>
      <c r="B1486" s="23" t="s">
        <v>56</v>
      </c>
      <c r="C1486" s="31" t="s">
        <v>3094</v>
      </c>
      <c r="D1486" s="25" t="str">
        <f>IFERROR(__xludf.DUMMYFUNCTION("SPLIT(C1486,"" "")"),"Clark,")</f>
        <v>Clark,</v>
      </c>
      <c r="E1486" s="22" t="str">
        <f>IFERROR(__xludf.DUMMYFUNCTION("""COMPUTED_VALUE"""),"Michael
6750")</f>
        <v>Michael
6750</v>
      </c>
      <c r="F1486" s="22" t="str">
        <f>IFERROR(__xludf.DUMMYFUNCTION("""COMPUTED_VALUE"""),"Hillcrest")</f>
        <v>Hillcrest</v>
      </c>
      <c r="G1486" s="22" t="str">
        <f>IFERROR(__xludf.DUMMYFUNCTION("""COMPUTED_VALUE"""),"Plaza")</f>
        <v>Plaza</v>
      </c>
      <c r="H1486" s="22" t="str">
        <f>IFERROR(__xludf.DUMMYFUNCTION("""COMPUTED_VALUE"""),"Dr.
Dallas,")</f>
        <v>Dr.
Dallas,</v>
      </c>
      <c r="I1486" s="22" t="str">
        <f>IFERROR(__xludf.DUMMYFUNCTION("""COMPUTED_VALUE"""),"TX")</f>
        <v>TX</v>
      </c>
      <c r="J1486" s="22">
        <f>IFERROR(__xludf.DUMMYFUNCTION("""COMPUTED_VALUE"""),75230.0)</f>
        <v>75230</v>
      </c>
      <c r="K1486" s="22"/>
      <c r="L1486" s="22"/>
      <c r="M1486" s="22"/>
      <c r="N1486" s="22"/>
      <c r="O1486" s="22"/>
      <c r="P1486" s="22"/>
      <c r="Q1486" s="22"/>
      <c r="R1486" s="22"/>
      <c r="S1486" s="22"/>
      <c r="T1486" s="22"/>
      <c r="U1486" s="24" t="str">
        <f>IFERROR(__xludf.DUMMYFUNCTION("SPLIT(E1486,""01234567890"")"),"Michael
")</f>
        <v>Michael
</v>
      </c>
      <c r="V1486" s="24" t="str">
        <f>IFERROR(__xludf.DUMMYFUNCTION("SPLIT(D1486,"","")"),"Clark")</f>
        <v>Clark</v>
      </c>
      <c r="W1486" s="25" t="str">
        <f t="shared" si="1"/>
        <v>MICHAEL
 CLARK</v>
      </c>
      <c r="X1486" s="22"/>
      <c r="Y1486" s="22"/>
      <c r="Z1486" s="25" t="str">
        <f>IFERROR(__xludf.DUMMYFUNCTION("SPLIT(C1486,""
"")"),"Clark, Michael")</f>
        <v>Clark, Michael</v>
      </c>
      <c r="AA1486" s="22" t="str">
        <f>IFERROR(__xludf.DUMMYFUNCTION("""COMPUTED_VALUE"""),"6750 Hillcrest Plaza Dr.")</f>
        <v>6750 Hillcrest Plaza Dr.</v>
      </c>
      <c r="AB1486" s="22" t="str">
        <f>IFERROR(__xludf.DUMMYFUNCTION("""COMPUTED_VALUE"""),"Dallas, TX 75230")</f>
        <v>Dallas, TX 75230</v>
      </c>
      <c r="AC1486" s="31" t="s">
        <v>3095</v>
      </c>
      <c r="AD1486" s="22"/>
      <c r="AE1486" s="22"/>
      <c r="AF1486" s="22"/>
      <c r="AG1486" s="22" t="s">
        <v>60</v>
      </c>
      <c r="AH1486" s="54">
        <v>2501.0</v>
      </c>
      <c r="AI1486" s="22" t="s">
        <v>68</v>
      </c>
      <c r="AJ1486" s="27">
        <v>1000.0</v>
      </c>
      <c r="AK1486" s="31" t="s">
        <v>21</v>
      </c>
      <c r="AL1486" s="28">
        <v>44894.0</v>
      </c>
      <c r="AM1486" s="29">
        <v>44943.63122685185</v>
      </c>
      <c r="AN1486" s="30">
        <v>2.0</v>
      </c>
      <c r="AO1486" s="22"/>
      <c r="AP1486" s="22"/>
      <c r="AQ1486" s="22"/>
      <c r="AR1486" s="22"/>
      <c r="AS1486" s="22"/>
      <c r="AT1486" s="70"/>
      <c r="AU1486" s="22"/>
      <c r="AV1486" s="57"/>
      <c r="AW1486" s="57"/>
      <c r="AX1486" s="70"/>
      <c r="AY1486" s="29"/>
      <c r="AZ1486" s="30"/>
      <c r="CU1486" s="55"/>
      <c r="CV1486" s="55"/>
      <c r="CW1486" s="55"/>
      <c r="CX1486" s="55"/>
      <c r="CY1486" s="55"/>
      <c r="CZ1486" s="55"/>
      <c r="DA1486" s="82"/>
      <c r="DB1486" s="55"/>
      <c r="DC1486" s="55"/>
      <c r="DD1486" s="55"/>
      <c r="DE1486" s="55"/>
      <c r="DF1486" s="55"/>
      <c r="DG1486" s="55"/>
      <c r="DH1486" s="55"/>
      <c r="DI1486" s="55"/>
      <c r="DJ1486" s="55"/>
      <c r="DK1486" s="55"/>
      <c r="DL1486" s="55"/>
      <c r="DM1486" s="55"/>
      <c r="DN1486" s="55"/>
      <c r="DO1486" s="55"/>
      <c r="DP1486" s="55"/>
      <c r="DQ1486" s="55"/>
      <c r="DR1486" s="55"/>
      <c r="DS1486" s="55"/>
      <c r="DT1486" s="55"/>
      <c r="DU1486" s="55"/>
      <c r="DV1486" s="55"/>
      <c r="DW1486" s="55"/>
    </row>
    <row r="1487">
      <c r="A1487" s="41" t="s">
        <v>64</v>
      </c>
      <c r="B1487" s="41" t="s">
        <v>56</v>
      </c>
      <c r="C1487" s="31" t="s">
        <v>3096</v>
      </c>
      <c r="D1487" s="25" t="str">
        <f>IFERROR(__xludf.DUMMYFUNCTION("SPLIT(C1487,"" "")"),"Ginsburg,")</f>
        <v>Ginsburg,</v>
      </c>
      <c r="E1487" s="40" t="str">
        <f>IFERROR(__xludf.DUMMYFUNCTION("""COMPUTED_VALUE"""),"Harold
2610")</f>
        <v>Harold
2610</v>
      </c>
      <c r="F1487" s="40" t="str">
        <f>IFERROR(__xludf.DUMMYFUNCTION("""COMPUTED_VALUE"""),"Fairmount")</f>
        <v>Fairmount</v>
      </c>
      <c r="G1487" s="40" t="str">
        <f>IFERROR(__xludf.DUMMYFUNCTION("""COMPUTED_VALUE"""),"St.
Dallas,")</f>
        <v>St.
Dallas,</v>
      </c>
      <c r="H1487" s="40" t="str">
        <f>IFERROR(__xludf.DUMMYFUNCTION("""COMPUTED_VALUE"""),"TX")</f>
        <v>TX</v>
      </c>
      <c r="I1487" s="40">
        <f>IFERROR(__xludf.DUMMYFUNCTION("""COMPUTED_VALUE"""),75201.0)</f>
        <v>75201</v>
      </c>
      <c r="J1487" s="40"/>
      <c r="K1487" s="40"/>
      <c r="L1487" s="40"/>
      <c r="M1487" s="40"/>
      <c r="N1487" s="40"/>
      <c r="O1487" s="40"/>
      <c r="P1487" s="40"/>
      <c r="Q1487" s="40"/>
      <c r="R1487" s="40"/>
      <c r="S1487" s="40"/>
      <c r="T1487" s="40"/>
      <c r="U1487" s="24" t="str">
        <f>IFERROR(__xludf.DUMMYFUNCTION("SPLIT(E1487,""01234567890"")"),"Harold
")</f>
        <v>Harold
</v>
      </c>
      <c r="V1487" s="24" t="str">
        <f>IFERROR(__xludf.DUMMYFUNCTION("SPLIT(D1487,"","")"),"Ginsburg")</f>
        <v>Ginsburg</v>
      </c>
      <c r="W1487" s="25" t="str">
        <f t="shared" si="1"/>
        <v>HAROLD
 GINSBURG</v>
      </c>
      <c r="X1487" s="40"/>
      <c r="Y1487" s="40"/>
      <c r="Z1487" s="25" t="str">
        <f>IFERROR(__xludf.DUMMYFUNCTION("SPLIT(C1487,""
"")"),"Ginsburg, Harold")</f>
        <v>Ginsburg, Harold</v>
      </c>
      <c r="AA1487" s="40" t="str">
        <f>IFERROR(__xludf.DUMMYFUNCTION("""COMPUTED_VALUE"""),"2610 Fairmount St.")</f>
        <v>2610 Fairmount St.</v>
      </c>
      <c r="AB1487" s="40" t="str">
        <f>IFERROR(__xludf.DUMMYFUNCTION("""COMPUTED_VALUE"""),"Dallas, TX 75201")</f>
        <v>Dallas, TX 75201</v>
      </c>
      <c r="AC1487" s="31" t="s">
        <v>3097</v>
      </c>
      <c r="AD1487" s="40"/>
      <c r="AE1487" s="40"/>
      <c r="AF1487" s="40"/>
      <c r="AG1487" s="40" t="s">
        <v>60</v>
      </c>
      <c r="AH1487" s="42">
        <v>2501.0</v>
      </c>
      <c r="AI1487" s="40" t="s">
        <v>68</v>
      </c>
      <c r="AJ1487" s="27">
        <v>500.0</v>
      </c>
      <c r="AK1487" s="31" t="s">
        <v>21</v>
      </c>
      <c r="AL1487" s="43">
        <v>44894.0</v>
      </c>
      <c r="AM1487" s="44">
        <v>44943.63122685185</v>
      </c>
      <c r="AN1487" s="30">
        <v>2.0</v>
      </c>
      <c r="AO1487" s="40"/>
      <c r="AP1487" s="40"/>
      <c r="AQ1487" s="40"/>
      <c r="AR1487" s="40"/>
      <c r="AS1487" s="40"/>
      <c r="AT1487" s="47"/>
      <c r="AU1487" s="40"/>
      <c r="AV1487" s="46"/>
      <c r="AW1487" s="46"/>
      <c r="AX1487" s="47"/>
      <c r="AY1487" s="44"/>
      <c r="AZ1487" s="30"/>
      <c r="CU1487" s="55"/>
      <c r="CV1487" s="55"/>
      <c r="CW1487" s="55"/>
      <c r="CX1487" s="55"/>
      <c r="CY1487" s="55"/>
      <c r="CZ1487" s="55"/>
      <c r="DA1487" s="82"/>
      <c r="DB1487" s="55"/>
      <c r="DC1487" s="55"/>
      <c r="DD1487" s="55"/>
      <c r="DE1487" s="55"/>
      <c r="DF1487" s="55"/>
      <c r="DG1487" s="55"/>
      <c r="DH1487" s="55"/>
      <c r="DI1487" s="55"/>
      <c r="DJ1487" s="55"/>
      <c r="DK1487" s="55"/>
      <c r="DL1487" s="55"/>
      <c r="DM1487" s="55"/>
      <c r="DN1487" s="55"/>
      <c r="DO1487" s="55"/>
      <c r="DP1487" s="55"/>
      <c r="DQ1487" s="55"/>
      <c r="DR1487" s="55"/>
      <c r="DS1487" s="55"/>
      <c r="DT1487" s="55"/>
      <c r="DU1487" s="55"/>
      <c r="DV1487" s="55"/>
      <c r="DW1487" s="55"/>
    </row>
    <row r="1488">
      <c r="A1488" s="22" t="s">
        <v>55</v>
      </c>
      <c r="B1488" s="23" t="s">
        <v>56</v>
      </c>
      <c r="C1488" s="31" t="s">
        <v>3098</v>
      </c>
      <c r="D1488" s="25" t="str">
        <f>IFERROR(__xludf.DUMMYFUNCTION("SPLIT(C1488,"" "")"),"Spence,")</f>
        <v>Spence,</v>
      </c>
      <c r="E1488" s="22" t="str">
        <f>IFERROR(__xludf.DUMMYFUNCTION("""COMPUTED_VALUE"""),"David
408")</f>
        <v>David
408</v>
      </c>
      <c r="F1488" s="22" t="str">
        <f>IFERROR(__xludf.DUMMYFUNCTION("""COMPUTED_VALUE"""),"W.")</f>
        <v>W.</v>
      </c>
      <c r="G1488" s="22" t="str">
        <f>IFERROR(__xludf.DUMMYFUNCTION("""COMPUTED_VALUE"""),"8th")</f>
        <v>8th</v>
      </c>
      <c r="H1488" s="22" t="str">
        <f>IFERROR(__xludf.DUMMYFUNCTION("""COMPUTED_VALUE"""),"St.
Dallas,")</f>
        <v>St.
Dallas,</v>
      </c>
      <c r="I1488" s="22" t="str">
        <f>IFERROR(__xludf.DUMMYFUNCTION("""COMPUTED_VALUE"""),"TX")</f>
        <v>TX</v>
      </c>
      <c r="J1488" s="22">
        <f>IFERROR(__xludf.DUMMYFUNCTION("""COMPUTED_VALUE"""),75208.0)</f>
        <v>75208</v>
      </c>
      <c r="K1488" s="22"/>
      <c r="L1488" s="22"/>
      <c r="M1488" s="22"/>
      <c r="N1488" s="22"/>
      <c r="O1488" s="22"/>
      <c r="P1488" s="22"/>
      <c r="Q1488" s="22"/>
      <c r="R1488" s="22"/>
      <c r="S1488" s="22"/>
      <c r="T1488" s="22"/>
      <c r="U1488" s="24" t="str">
        <f>IFERROR(__xludf.DUMMYFUNCTION("SPLIT(E1488,""01234567890"")"),"David
")</f>
        <v>David
</v>
      </c>
      <c r="V1488" s="24" t="str">
        <f>IFERROR(__xludf.DUMMYFUNCTION("SPLIT(D1488,"","")"),"Spence")</f>
        <v>Spence</v>
      </c>
      <c r="W1488" s="25" t="str">
        <f t="shared" si="1"/>
        <v>DAVID
 SPENCE</v>
      </c>
      <c r="X1488" s="22"/>
      <c r="Y1488" s="22"/>
      <c r="Z1488" s="25" t="str">
        <f>IFERROR(__xludf.DUMMYFUNCTION("SPLIT(C1488,""
"")"),"Spence, David")</f>
        <v>Spence, David</v>
      </c>
      <c r="AA1488" s="22" t="str">
        <f>IFERROR(__xludf.DUMMYFUNCTION("""COMPUTED_VALUE"""),"408 W. 8th St.")</f>
        <v>408 W. 8th St.</v>
      </c>
      <c r="AB1488" s="22" t="str">
        <f>IFERROR(__xludf.DUMMYFUNCTION("""COMPUTED_VALUE"""),"Dallas, TX 75208")</f>
        <v>Dallas, TX 75208</v>
      </c>
      <c r="AC1488" s="31" t="s">
        <v>3099</v>
      </c>
      <c r="AD1488" s="22"/>
      <c r="AE1488" s="22"/>
      <c r="AF1488" s="22"/>
      <c r="AG1488" s="22" t="s">
        <v>60</v>
      </c>
      <c r="AH1488" s="54">
        <v>2501.0</v>
      </c>
      <c r="AI1488" s="22" t="s">
        <v>68</v>
      </c>
      <c r="AJ1488" s="27">
        <v>1000.0</v>
      </c>
      <c r="AK1488" s="31" t="s">
        <v>21</v>
      </c>
      <c r="AL1488" s="28">
        <v>44895.0</v>
      </c>
      <c r="AM1488" s="29">
        <v>44943.63122685185</v>
      </c>
      <c r="AN1488" s="30">
        <v>2.0</v>
      </c>
      <c r="AO1488" s="22"/>
      <c r="AP1488" s="22"/>
      <c r="AQ1488" s="22"/>
      <c r="AR1488" s="22"/>
      <c r="AS1488" s="22"/>
      <c r="AT1488" s="70"/>
      <c r="AU1488" s="22"/>
      <c r="AV1488" s="57"/>
      <c r="AW1488" s="57"/>
      <c r="AX1488" s="70"/>
      <c r="AY1488" s="29"/>
      <c r="AZ1488" s="30"/>
      <c r="CU1488" s="55"/>
      <c r="CV1488" s="55"/>
      <c r="CW1488" s="55"/>
      <c r="CX1488" s="55"/>
      <c r="CY1488" s="55"/>
      <c r="CZ1488" s="55"/>
      <c r="DA1488" s="82"/>
      <c r="DB1488" s="55"/>
      <c r="DC1488" s="55"/>
      <c r="DD1488" s="55"/>
      <c r="DE1488" s="55"/>
      <c r="DF1488" s="55"/>
      <c r="DG1488" s="55"/>
      <c r="DH1488" s="55"/>
      <c r="DI1488" s="55"/>
      <c r="DJ1488" s="55"/>
      <c r="DK1488" s="55"/>
      <c r="DL1488" s="55"/>
      <c r="DM1488" s="55"/>
      <c r="DN1488" s="55"/>
      <c r="DO1488" s="55"/>
      <c r="DP1488" s="55"/>
      <c r="DQ1488" s="55"/>
      <c r="DR1488" s="55"/>
      <c r="DS1488" s="55"/>
      <c r="DT1488" s="55"/>
      <c r="DU1488" s="55"/>
      <c r="DV1488" s="55"/>
      <c r="DW1488" s="55"/>
    </row>
    <row r="1489">
      <c r="A1489" s="41" t="s">
        <v>64</v>
      </c>
      <c r="B1489" s="41" t="s">
        <v>56</v>
      </c>
      <c r="C1489" s="31" t="s">
        <v>3100</v>
      </c>
      <c r="D1489" s="25" t="str">
        <f>IFERROR(__xludf.DUMMYFUNCTION("SPLIT(C1489,"" "")"),"Chase,")</f>
        <v>Chase,</v>
      </c>
      <c r="E1489" s="40" t="str">
        <f>IFERROR(__xludf.DUMMYFUNCTION("""COMPUTED_VALUE"""),"Scott
1700")</f>
        <v>Scott
1700</v>
      </c>
      <c r="F1489" s="40" t="str">
        <f>IFERROR(__xludf.DUMMYFUNCTION("""COMPUTED_VALUE"""),"Pacific")</f>
        <v>Pacific</v>
      </c>
      <c r="G1489" s="40" t="str">
        <f>IFERROR(__xludf.DUMMYFUNCTION("""COMPUTED_VALUE"""),"Ave.
Dallas,")</f>
        <v>Ave.
Dallas,</v>
      </c>
      <c r="H1489" s="40" t="str">
        <f>IFERROR(__xludf.DUMMYFUNCTION("""COMPUTED_VALUE"""),"TX")</f>
        <v>TX</v>
      </c>
      <c r="I1489" s="40">
        <f>IFERROR(__xludf.DUMMYFUNCTION("""COMPUTED_VALUE"""),75201.0)</f>
        <v>75201</v>
      </c>
      <c r="J1489" s="40"/>
      <c r="K1489" s="40"/>
      <c r="L1489" s="40"/>
      <c r="M1489" s="40"/>
      <c r="N1489" s="40"/>
      <c r="O1489" s="40"/>
      <c r="P1489" s="40"/>
      <c r="Q1489" s="40"/>
      <c r="R1489" s="40"/>
      <c r="S1489" s="40"/>
      <c r="T1489" s="40"/>
      <c r="U1489" s="24" t="str">
        <f>IFERROR(__xludf.DUMMYFUNCTION("SPLIT(E1489,""01234567890"")"),"Scott
")</f>
        <v>Scott
</v>
      </c>
      <c r="V1489" s="24" t="str">
        <f>IFERROR(__xludf.DUMMYFUNCTION("SPLIT(D1489,"","")"),"Chase")</f>
        <v>Chase</v>
      </c>
      <c r="W1489" s="25" t="str">
        <f t="shared" si="1"/>
        <v>SCOTT
 CHASE</v>
      </c>
      <c r="X1489" s="40"/>
      <c r="Y1489" s="40"/>
      <c r="Z1489" s="25" t="str">
        <f>IFERROR(__xludf.DUMMYFUNCTION("SPLIT(C1489,""
"")"),"Chase, Scott")</f>
        <v>Chase, Scott</v>
      </c>
      <c r="AA1489" s="40" t="str">
        <f>IFERROR(__xludf.DUMMYFUNCTION("""COMPUTED_VALUE"""),"1700 Pacific Ave.")</f>
        <v>1700 Pacific Ave.</v>
      </c>
      <c r="AB1489" s="40" t="str">
        <f>IFERROR(__xludf.DUMMYFUNCTION("""COMPUTED_VALUE"""),"Dallas, TX 75201")</f>
        <v>Dallas, TX 75201</v>
      </c>
      <c r="AC1489" s="31" t="s">
        <v>1344</v>
      </c>
      <c r="AD1489" s="40"/>
      <c r="AE1489" s="40"/>
      <c r="AF1489" s="40"/>
      <c r="AG1489" s="40" t="s">
        <v>60</v>
      </c>
      <c r="AH1489" s="42">
        <v>2501.0</v>
      </c>
      <c r="AI1489" s="40" t="s">
        <v>68</v>
      </c>
      <c r="AJ1489" s="27">
        <v>250.0</v>
      </c>
      <c r="AK1489" s="31" t="s">
        <v>21</v>
      </c>
      <c r="AL1489" s="43">
        <v>44897.0</v>
      </c>
      <c r="AM1489" s="44">
        <v>44943.63122685185</v>
      </c>
      <c r="AN1489" s="30">
        <v>2.0</v>
      </c>
      <c r="AO1489" s="40"/>
      <c r="AP1489" s="40"/>
      <c r="AQ1489" s="40"/>
      <c r="AR1489" s="40"/>
      <c r="AS1489" s="40"/>
      <c r="AT1489" s="47"/>
      <c r="AU1489" s="40"/>
      <c r="AV1489" s="46"/>
      <c r="AW1489" s="46"/>
      <c r="AX1489" s="47"/>
      <c r="AY1489" s="44"/>
      <c r="AZ1489" s="30"/>
      <c r="CU1489" s="55"/>
      <c r="CV1489" s="55"/>
      <c r="CW1489" s="55"/>
      <c r="CX1489" s="55"/>
      <c r="CY1489" s="55"/>
      <c r="CZ1489" s="55"/>
      <c r="DA1489" s="82"/>
      <c r="DB1489" s="55"/>
      <c r="DC1489" s="55"/>
      <c r="DD1489" s="55"/>
      <c r="DE1489" s="55"/>
      <c r="DF1489" s="55"/>
      <c r="DG1489" s="55"/>
      <c r="DH1489" s="55"/>
      <c r="DI1489" s="55"/>
      <c r="DJ1489" s="55"/>
      <c r="DK1489" s="55"/>
      <c r="DL1489" s="55"/>
      <c r="DM1489" s="55"/>
      <c r="DN1489" s="55"/>
      <c r="DO1489" s="55"/>
      <c r="DP1489" s="55"/>
      <c r="DQ1489" s="55"/>
      <c r="DR1489" s="55"/>
      <c r="DS1489" s="55"/>
      <c r="DT1489" s="55"/>
      <c r="DU1489" s="55"/>
      <c r="DV1489" s="55"/>
      <c r="DW1489" s="55"/>
    </row>
    <row r="1490">
      <c r="A1490" s="22" t="s">
        <v>55</v>
      </c>
      <c r="B1490" s="23" t="s">
        <v>56</v>
      </c>
      <c r="C1490" s="31" t="s">
        <v>198</v>
      </c>
      <c r="D1490" s="25" t="str">
        <f>IFERROR(__xludf.DUMMYFUNCTION("SPLIT(C1490,"" "")"),"Andres,")</f>
        <v>Andres,</v>
      </c>
      <c r="E1490" s="22" t="str">
        <f>IFERROR(__xludf.DUMMYFUNCTION("""COMPUTED_VALUE"""),"Marc
2800")</f>
        <v>Marc
2800</v>
      </c>
      <c r="F1490" s="22" t="str">
        <f>IFERROR(__xludf.DUMMYFUNCTION("""COMPUTED_VALUE"""),"N.")</f>
        <v>N.</v>
      </c>
      <c r="G1490" s="22" t="str">
        <f>IFERROR(__xludf.DUMMYFUNCTION("""COMPUTED_VALUE"""),"Henderson")</f>
        <v>Henderson</v>
      </c>
      <c r="H1490" s="22" t="str">
        <f>IFERROR(__xludf.DUMMYFUNCTION("""COMPUTED_VALUE"""),"Ave.
Dallas,")</f>
        <v>Ave.
Dallas,</v>
      </c>
      <c r="I1490" s="22" t="str">
        <f>IFERROR(__xludf.DUMMYFUNCTION("""COMPUTED_VALUE"""),"TX")</f>
        <v>TX</v>
      </c>
      <c r="J1490" s="22">
        <f>IFERROR(__xludf.DUMMYFUNCTION("""COMPUTED_VALUE"""),75206.0)</f>
        <v>75206</v>
      </c>
      <c r="K1490" s="22"/>
      <c r="L1490" s="22"/>
      <c r="M1490" s="22"/>
      <c r="N1490" s="22"/>
      <c r="O1490" s="22"/>
      <c r="P1490" s="22"/>
      <c r="Q1490" s="22"/>
      <c r="R1490" s="22"/>
      <c r="S1490" s="22"/>
      <c r="T1490" s="22"/>
      <c r="U1490" s="24" t="str">
        <f>IFERROR(__xludf.DUMMYFUNCTION("SPLIT(E1490,""01234567890"")"),"Marc
")</f>
        <v>Marc
</v>
      </c>
      <c r="V1490" s="24" t="str">
        <f>IFERROR(__xludf.DUMMYFUNCTION("SPLIT(D1490,"","")"),"Andres")</f>
        <v>Andres</v>
      </c>
      <c r="W1490" s="25" t="str">
        <f t="shared" si="1"/>
        <v>MARC
 ANDRES</v>
      </c>
      <c r="X1490" s="22"/>
      <c r="Y1490" s="22"/>
      <c r="Z1490" s="25" t="str">
        <f>IFERROR(__xludf.DUMMYFUNCTION("SPLIT(C1490,""
"")"),"Andres, Marc")</f>
        <v>Andres, Marc</v>
      </c>
      <c r="AA1490" s="22" t="str">
        <f>IFERROR(__xludf.DUMMYFUNCTION("""COMPUTED_VALUE"""),"2800 N. Henderson Ave.")</f>
        <v>2800 N. Henderson Ave.</v>
      </c>
      <c r="AB1490" s="22" t="str">
        <f>IFERROR(__xludf.DUMMYFUNCTION("""COMPUTED_VALUE"""),"Dallas, TX 75206")</f>
        <v>Dallas, TX 75206</v>
      </c>
      <c r="AC1490" s="31" t="s">
        <v>197</v>
      </c>
      <c r="AD1490" s="22"/>
      <c r="AE1490" s="22"/>
      <c r="AF1490" s="22"/>
      <c r="AG1490" s="22" t="s">
        <v>60</v>
      </c>
      <c r="AH1490" s="54">
        <v>2501.0</v>
      </c>
      <c r="AI1490" s="22" t="s">
        <v>68</v>
      </c>
      <c r="AJ1490" s="27">
        <v>250.0</v>
      </c>
      <c r="AK1490" s="31" t="s">
        <v>21</v>
      </c>
      <c r="AL1490" s="28">
        <v>44900.0</v>
      </c>
      <c r="AM1490" s="29">
        <v>44943.63122685185</v>
      </c>
      <c r="AN1490" s="30">
        <v>2.0</v>
      </c>
      <c r="AO1490" s="22"/>
      <c r="AP1490" s="22"/>
      <c r="AQ1490" s="22"/>
      <c r="AR1490" s="22"/>
      <c r="AS1490" s="22"/>
      <c r="AT1490" s="70"/>
      <c r="AU1490" s="22"/>
      <c r="AV1490" s="57"/>
      <c r="AW1490" s="57"/>
      <c r="AX1490" s="70"/>
      <c r="AY1490" s="29"/>
      <c r="AZ1490" s="30"/>
      <c r="CU1490" s="55"/>
      <c r="CV1490" s="55"/>
      <c r="CW1490" s="55"/>
      <c r="CX1490" s="55"/>
      <c r="CY1490" s="55"/>
      <c r="CZ1490" s="55"/>
      <c r="DA1490" s="82"/>
      <c r="DB1490" s="55"/>
      <c r="DC1490" s="55"/>
      <c r="DD1490" s="55"/>
      <c r="DE1490" s="55"/>
      <c r="DF1490" s="55"/>
      <c r="DG1490" s="55"/>
      <c r="DH1490" s="55"/>
      <c r="DI1490" s="55"/>
      <c r="DJ1490" s="55"/>
      <c r="DK1490" s="55"/>
      <c r="DL1490" s="55"/>
      <c r="DM1490" s="55"/>
      <c r="DN1490" s="55"/>
      <c r="DO1490" s="55"/>
      <c r="DP1490" s="55"/>
      <c r="DQ1490" s="55"/>
      <c r="DR1490" s="55"/>
      <c r="DS1490" s="55"/>
      <c r="DT1490" s="55"/>
      <c r="DU1490" s="55"/>
      <c r="DV1490" s="55"/>
      <c r="DW1490" s="55"/>
    </row>
    <row r="1491">
      <c r="A1491" s="41" t="s">
        <v>64</v>
      </c>
      <c r="B1491" s="41" t="s">
        <v>56</v>
      </c>
      <c r="C1491" s="31" t="s">
        <v>263</v>
      </c>
      <c r="D1491" s="25" t="str">
        <f>IFERROR(__xludf.DUMMYFUNCTION("SPLIT(C1491,"" "")"),"Aukeman,")</f>
        <v>Aukeman,</v>
      </c>
      <c r="E1491" s="40" t="str">
        <f>IFERROR(__xludf.DUMMYFUNCTION("""COMPUTED_VALUE"""),"Cheryl
1915")</f>
        <v>Cheryl
1915</v>
      </c>
      <c r="F1491" s="40" t="str">
        <f>IFERROR(__xludf.DUMMYFUNCTION("""COMPUTED_VALUE"""),"W.")</f>
        <v>W.</v>
      </c>
      <c r="G1491" s="40" t="str">
        <f>IFERROR(__xludf.DUMMYFUNCTION("""COMPUTED_VALUE"""),"Colorado")</f>
        <v>Colorado</v>
      </c>
      <c r="H1491" s="40" t="str">
        <f>IFERROR(__xludf.DUMMYFUNCTION("""COMPUTED_VALUE"""),"Blvd
Dallas,")</f>
        <v>Blvd
Dallas,</v>
      </c>
      <c r="I1491" s="40" t="str">
        <f>IFERROR(__xludf.DUMMYFUNCTION("""COMPUTED_VALUE"""),"TX")</f>
        <v>TX</v>
      </c>
      <c r="J1491" s="40">
        <f>IFERROR(__xludf.DUMMYFUNCTION("""COMPUTED_VALUE"""),75208.0)</f>
        <v>75208</v>
      </c>
      <c r="K1491" s="40"/>
      <c r="L1491" s="40"/>
      <c r="M1491" s="40"/>
      <c r="N1491" s="40"/>
      <c r="O1491" s="40"/>
      <c r="P1491" s="40"/>
      <c r="Q1491" s="40"/>
      <c r="R1491" s="40"/>
      <c r="S1491" s="40"/>
      <c r="T1491" s="40"/>
      <c r="U1491" s="24" t="str">
        <f>IFERROR(__xludf.DUMMYFUNCTION("SPLIT(E1491,""01234567890"")"),"Cheryl
")</f>
        <v>Cheryl
</v>
      </c>
      <c r="V1491" s="24" t="str">
        <f>IFERROR(__xludf.DUMMYFUNCTION("SPLIT(D1491,"","")"),"Aukeman")</f>
        <v>Aukeman</v>
      </c>
      <c r="W1491" s="25" t="str">
        <f t="shared" si="1"/>
        <v>CHERYL
 AUKEMAN</v>
      </c>
      <c r="X1491" s="40"/>
      <c r="Y1491" s="40"/>
      <c r="Z1491" s="25" t="str">
        <f>IFERROR(__xludf.DUMMYFUNCTION("SPLIT(C1491,""
"")"),"Aukeman, Cheryl")</f>
        <v>Aukeman, Cheryl</v>
      </c>
      <c r="AA1491" s="40" t="str">
        <f>IFERROR(__xludf.DUMMYFUNCTION("""COMPUTED_VALUE"""),"1915 W. Colorado Blvd")</f>
        <v>1915 W. Colorado Blvd</v>
      </c>
      <c r="AB1491" s="40" t="str">
        <f>IFERROR(__xludf.DUMMYFUNCTION("""COMPUTED_VALUE"""),"Dallas, TX 75208")</f>
        <v>Dallas, TX 75208</v>
      </c>
      <c r="AC1491" s="31" t="s">
        <v>265</v>
      </c>
      <c r="AD1491" s="40"/>
      <c r="AE1491" s="40"/>
      <c r="AF1491" s="40"/>
      <c r="AG1491" s="40" t="s">
        <v>60</v>
      </c>
      <c r="AH1491" s="42">
        <v>2501.0</v>
      </c>
      <c r="AI1491" s="40" t="s">
        <v>68</v>
      </c>
      <c r="AJ1491" s="27">
        <v>100.0</v>
      </c>
      <c r="AK1491" s="31" t="s">
        <v>21</v>
      </c>
      <c r="AL1491" s="43">
        <v>44900.0</v>
      </c>
      <c r="AM1491" s="44">
        <v>44943.63122685185</v>
      </c>
      <c r="AN1491" s="30">
        <v>2.0</v>
      </c>
      <c r="AO1491" s="40"/>
      <c r="AP1491" s="40"/>
      <c r="AQ1491" s="40"/>
      <c r="AR1491" s="40"/>
      <c r="AS1491" s="40"/>
      <c r="AT1491" s="47"/>
      <c r="AU1491" s="40"/>
      <c r="AV1491" s="46"/>
      <c r="AW1491" s="46"/>
      <c r="AX1491" s="47"/>
      <c r="AY1491" s="44"/>
      <c r="AZ1491" s="30"/>
      <c r="CU1491" s="55"/>
      <c r="CV1491" s="55"/>
      <c r="CW1491" s="55"/>
      <c r="CX1491" s="55"/>
      <c r="CY1491" s="55"/>
      <c r="CZ1491" s="55"/>
      <c r="DA1491" s="82"/>
      <c r="DB1491" s="55"/>
      <c r="DC1491" s="55"/>
      <c r="DD1491" s="55"/>
      <c r="DE1491" s="55"/>
      <c r="DF1491" s="55"/>
      <c r="DG1491" s="55"/>
      <c r="DH1491" s="55"/>
      <c r="DI1491" s="55"/>
      <c r="DJ1491" s="55"/>
      <c r="DK1491" s="55"/>
      <c r="DL1491" s="55"/>
      <c r="DM1491" s="55"/>
      <c r="DN1491" s="55"/>
      <c r="DO1491" s="55"/>
      <c r="DP1491" s="55"/>
      <c r="DQ1491" s="55"/>
      <c r="DR1491" s="55"/>
      <c r="DS1491" s="55"/>
      <c r="DT1491" s="55"/>
      <c r="DU1491" s="55"/>
      <c r="DV1491" s="55"/>
      <c r="DW1491" s="55"/>
    </row>
    <row r="1492">
      <c r="A1492" s="22" t="s">
        <v>55</v>
      </c>
      <c r="B1492" s="23" t="s">
        <v>56</v>
      </c>
      <c r="C1492" s="31" t="s">
        <v>3101</v>
      </c>
      <c r="D1492" s="25" t="str">
        <f>IFERROR(__xludf.DUMMYFUNCTION("SPLIT(C1492,"" "")"),"Evans,")</f>
        <v>Evans,</v>
      </c>
      <c r="E1492" s="22" t="str">
        <f>IFERROR(__xludf.DUMMYFUNCTION("""COMPUTED_VALUE"""),"Nate
3572")</f>
        <v>Nate
3572</v>
      </c>
      <c r="F1492" s="22" t="str">
        <f>IFERROR(__xludf.DUMMYFUNCTION("""COMPUTED_VALUE"""),"Boone")</f>
        <v>Boone</v>
      </c>
      <c r="G1492" s="22" t="str">
        <f>IFERROR(__xludf.DUMMYFUNCTION("""COMPUTED_VALUE"""),"Park")</f>
        <v>Park</v>
      </c>
      <c r="H1492" s="22" t="str">
        <f>IFERROR(__xludf.DUMMYFUNCTION("""COMPUTED_VALUE"""),"Ave.
Jacksonville,")</f>
        <v>Ave.
Jacksonville,</v>
      </c>
      <c r="I1492" s="22" t="str">
        <f>IFERROR(__xludf.DUMMYFUNCTION("""COMPUTED_VALUE"""),"FL")</f>
        <v>FL</v>
      </c>
      <c r="J1492" s="22">
        <f>IFERROR(__xludf.DUMMYFUNCTION("""COMPUTED_VALUE"""),32205.0)</f>
        <v>32205</v>
      </c>
      <c r="K1492" s="22"/>
      <c r="L1492" s="22"/>
      <c r="M1492" s="22"/>
      <c r="N1492" s="22"/>
      <c r="O1492" s="22"/>
      <c r="P1492" s="22"/>
      <c r="Q1492" s="22"/>
      <c r="R1492" s="22"/>
      <c r="S1492" s="22"/>
      <c r="T1492" s="22"/>
      <c r="U1492" s="24" t="str">
        <f>IFERROR(__xludf.DUMMYFUNCTION("SPLIT(E1492,""01234567890"")"),"Nate
")</f>
        <v>Nate
</v>
      </c>
      <c r="V1492" s="24" t="str">
        <f>IFERROR(__xludf.DUMMYFUNCTION("SPLIT(D1492,"","")"),"Evans")</f>
        <v>Evans</v>
      </c>
      <c r="W1492" s="25" t="str">
        <f t="shared" si="1"/>
        <v>NATE
 EVANS</v>
      </c>
      <c r="X1492" s="22"/>
      <c r="Y1492" s="22"/>
      <c r="Z1492" s="25" t="str">
        <f>IFERROR(__xludf.DUMMYFUNCTION("SPLIT(C1492,""
"")"),"Evans, Nate")</f>
        <v>Evans, Nate</v>
      </c>
      <c r="AA1492" s="22" t="str">
        <f>IFERROR(__xludf.DUMMYFUNCTION("""COMPUTED_VALUE"""),"3572 Boone Park Ave.")</f>
        <v>3572 Boone Park Ave.</v>
      </c>
      <c r="AB1492" s="22" t="str">
        <f>IFERROR(__xludf.DUMMYFUNCTION("""COMPUTED_VALUE"""),"Jacksonville, FL 32205")</f>
        <v>Jacksonville, FL 32205</v>
      </c>
      <c r="AC1492" s="31" t="s">
        <v>3102</v>
      </c>
      <c r="AD1492" s="22"/>
      <c r="AE1492" s="22"/>
      <c r="AF1492" s="22"/>
      <c r="AG1492" s="22" t="s">
        <v>60</v>
      </c>
      <c r="AH1492" s="54">
        <v>2501.0</v>
      </c>
      <c r="AI1492" s="22" t="s">
        <v>68</v>
      </c>
      <c r="AJ1492" s="27">
        <v>250.0</v>
      </c>
      <c r="AK1492" s="31" t="s">
        <v>21</v>
      </c>
      <c r="AL1492" s="28">
        <v>44900.0</v>
      </c>
      <c r="AM1492" s="29">
        <v>44943.63122685185</v>
      </c>
      <c r="AN1492" s="30">
        <v>2.0</v>
      </c>
      <c r="AO1492" s="22"/>
      <c r="AP1492" s="22"/>
      <c r="AQ1492" s="22"/>
      <c r="AR1492" s="22"/>
      <c r="AS1492" s="22"/>
      <c r="AT1492" s="70"/>
      <c r="AU1492" s="22"/>
      <c r="AV1492" s="57"/>
      <c r="AW1492" s="57"/>
      <c r="AX1492" s="70"/>
      <c r="AY1492" s="29"/>
      <c r="AZ1492" s="30"/>
      <c r="CU1492" s="55"/>
      <c r="CV1492" s="55"/>
      <c r="CW1492" s="55"/>
      <c r="CX1492" s="55"/>
      <c r="CY1492" s="55"/>
      <c r="CZ1492" s="55"/>
      <c r="DA1492" s="82"/>
      <c r="DB1492" s="55"/>
      <c r="DC1492" s="55"/>
      <c r="DD1492" s="55"/>
      <c r="DE1492" s="55"/>
      <c r="DF1492" s="55"/>
      <c r="DG1492" s="55"/>
      <c r="DH1492" s="55"/>
      <c r="DI1492" s="55"/>
      <c r="DJ1492" s="55"/>
      <c r="DK1492" s="55"/>
      <c r="DL1492" s="55"/>
      <c r="DM1492" s="55"/>
      <c r="DN1492" s="55"/>
      <c r="DO1492" s="55"/>
      <c r="DP1492" s="55"/>
      <c r="DQ1492" s="55"/>
      <c r="DR1492" s="55"/>
      <c r="DS1492" s="55"/>
      <c r="DT1492" s="55"/>
      <c r="DU1492" s="55"/>
      <c r="DV1492" s="55"/>
      <c r="DW1492" s="55"/>
    </row>
    <row r="1493">
      <c r="A1493" s="41" t="s">
        <v>64</v>
      </c>
      <c r="B1493" s="41" t="s">
        <v>56</v>
      </c>
      <c r="C1493" s="31" t="s">
        <v>3103</v>
      </c>
      <c r="D1493" s="25" t="str">
        <f>IFERROR(__xludf.DUMMYFUNCTION("SPLIT(C1493,"" "")"),"Garza,")</f>
        <v>Garza,</v>
      </c>
      <c r="E1493" s="40" t="str">
        <f>IFERROR(__xludf.DUMMYFUNCTION("""COMPUTED_VALUE"""),"Rick
101")</f>
        <v>Rick
101</v>
      </c>
      <c r="F1493" s="40" t="str">
        <f>IFERROR(__xludf.DUMMYFUNCTION("""COMPUTED_VALUE"""),"S.")</f>
        <v>S.</v>
      </c>
      <c r="G1493" s="40" t="str">
        <f>IFERROR(__xludf.DUMMYFUNCTION("""COMPUTED_VALUE"""),"Jennings")</f>
        <v>Jennings</v>
      </c>
      <c r="H1493" s="40" t="str">
        <f>IFERROR(__xludf.DUMMYFUNCTION("""COMPUTED_VALUE"""),"Ave.
Ft.")</f>
        <v>Ave.
Ft.</v>
      </c>
      <c r="I1493" s="40" t="str">
        <f>IFERROR(__xludf.DUMMYFUNCTION("""COMPUTED_VALUE"""),"Worth,")</f>
        <v>Worth,</v>
      </c>
      <c r="J1493" s="40" t="str">
        <f>IFERROR(__xludf.DUMMYFUNCTION("""COMPUTED_VALUE"""),"TX")</f>
        <v>TX</v>
      </c>
      <c r="K1493" s="40">
        <f>IFERROR(__xludf.DUMMYFUNCTION("""COMPUTED_VALUE"""),76104.0)</f>
        <v>76104</v>
      </c>
      <c r="L1493" s="40"/>
      <c r="M1493" s="40"/>
      <c r="N1493" s="40"/>
      <c r="O1493" s="40"/>
      <c r="P1493" s="40"/>
      <c r="Q1493" s="40"/>
      <c r="R1493" s="40"/>
      <c r="S1493" s="40"/>
      <c r="T1493" s="40"/>
      <c r="U1493" s="24" t="str">
        <f>IFERROR(__xludf.DUMMYFUNCTION("SPLIT(E1493,""01234567890"")"),"Rick
")</f>
        <v>Rick
</v>
      </c>
      <c r="V1493" s="24" t="str">
        <f>IFERROR(__xludf.DUMMYFUNCTION("SPLIT(D1493,"","")"),"Garza")</f>
        <v>Garza</v>
      </c>
      <c r="W1493" s="25" t="str">
        <f t="shared" si="1"/>
        <v>RICK
 GARZA</v>
      </c>
      <c r="X1493" s="40"/>
      <c r="Y1493" s="40"/>
      <c r="Z1493" s="25" t="str">
        <f>IFERROR(__xludf.DUMMYFUNCTION("SPLIT(C1493,""
"")"),"Garza, Rick")</f>
        <v>Garza, Rick</v>
      </c>
      <c r="AA1493" s="40" t="str">
        <f>IFERROR(__xludf.DUMMYFUNCTION("""COMPUTED_VALUE"""),"101 S. Jennings Ave.")</f>
        <v>101 S. Jennings Ave.</v>
      </c>
      <c r="AB1493" s="40" t="str">
        <f>IFERROR(__xludf.DUMMYFUNCTION("""COMPUTED_VALUE"""),"Ft. Worth, TX 76104")</f>
        <v>Ft. Worth, TX 76104</v>
      </c>
      <c r="AC1493" s="31" t="s">
        <v>3104</v>
      </c>
      <c r="AD1493" s="40"/>
      <c r="AE1493" s="40"/>
      <c r="AF1493" s="40"/>
      <c r="AG1493" s="40" t="s">
        <v>60</v>
      </c>
      <c r="AH1493" s="42">
        <v>2501.0</v>
      </c>
      <c r="AI1493" s="40" t="s">
        <v>68</v>
      </c>
      <c r="AJ1493" s="27">
        <v>1000.0</v>
      </c>
      <c r="AK1493" s="31" t="s">
        <v>21</v>
      </c>
      <c r="AL1493" s="43">
        <v>44900.0</v>
      </c>
      <c r="AM1493" s="44">
        <v>44943.63122685185</v>
      </c>
      <c r="AN1493" s="30">
        <v>2.0</v>
      </c>
      <c r="AO1493" s="40"/>
      <c r="AP1493" s="40"/>
      <c r="AQ1493" s="40"/>
      <c r="AR1493" s="40"/>
      <c r="AS1493" s="40"/>
      <c r="AT1493" s="47"/>
      <c r="AU1493" s="40"/>
      <c r="AV1493" s="46"/>
      <c r="AW1493" s="46"/>
      <c r="AX1493" s="47"/>
      <c r="AY1493" s="44"/>
      <c r="AZ1493" s="30"/>
      <c r="CU1493" s="55"/>
      <c r="CV1493" s="55"/>
      <c r="CW1493" s="55"/>
      <c r="CX1493" s="55"/>
      <c r="CY1493" s="55"/>
      <c r="CZ1493" s="55"/>
      <c r="DA1493" s="82"/>
      <c r="DB1493" s="55"/>
      <c r="DC1493" s="55"/>
      <c r="DD1493" s="55"/>
      <c r="DE1493" s="55"/>
      <c r="DF1493" s="55"/>
      <c r="DG1493" s="55"/>
      <c r="DH1493" s="55"/>
      <c r="DI1493" s="55"/>
      <c r="DJ1493" s="55"/>
      <c r="DK1493" s="55"/>
      <c r="DL1493" s="55"/>
      <c r="DM1493" s="55"/>
      <c r="DN1493" s="55"/>
      <c r="DO1493" s="55"/>
      <c r="DP1493" s="55"/>
      <c r="DQ1493" s="55"/>
      <c r="DR1493" s="55"/>
      <c r="DS1493" s="55"/>
      <c r="DT1493" s="55"/>
      <c r="DU1493" s="55"/>
      <c r="DV1493" s="55"/>
      <c r="DW1493" s="55"/>
    </row>
    <row r="1494">
      <c r="A1494" s="22" t="s">
        <v>55</v>
      </c>
      <c r="B1494" s="23" t="s">
        <v>56</v>
      </c>
      <c r="C1494" s="31" t="s">
        <v>543</v>
      </c>
      <c r="D1494" s="25" t="str">
        <f>IFERROR(__xludf.DUMMYFUNCTION("SPLIT(C1494,"" "")"),"Preziosi,")</f>
        <v>Preziosi,</v>
      </c>
      <c r="E1494" s="22" t="str">
        <f>IFERROR(__xludf.DUMMYFUNCTION("""COMPUTED_VALUE"""),"David
2229")</f>
        <v>David
2229</v>
      </c>
      <c r="F1494" s="22" t="str">
        <f>IFERROR(__xludf.DUMMYFUNCTION("""COMPUTED_VALUE"""),"Lawndale")</f>
        <v>Lawndale</v>
      </c>
      <c r="G1494" s="22" t="str">
        <f>IFERROR(__xludf.DUMMYFUNCTION("""COMPUTED_VALUE"""),"Dr.
Dallas,")</f>
        <v>Dr.
Dallas,</v>
      </c>
      <c r="H1494" s="22" t="str">
        <f>IFERROR(__xludf.DUMMYFUNCTION("""COMPUTED_VALUE"""),"TX")</f>
        <v>TX</v>
      </c>
      <c r="I1494" s="22">
        <f>IFERROR(__xludf.DUMMYFUNCTION("""COMPUTED_VALUE"""),75211.0)</f>
        <v>75211</v>
      </c>
      <c r="J1494" s="22"/>
      <c r="K1494" s="22"/>
      <c r="L1494" s="22"/>
      <c r="M1494" s="22"/>
      <c r="N1494" s="22"/>
      <c r="O1494" s="22"/>
      <c r="P1494" s="22"/>
      <c r="Q1494" s="22"/>
      <c r="R1494" s="22"/>
      <c r="S1494" s="22"/>
      <c r="T1494" s="22"/>
      <c r="U1494" s="24" t="str">
        <f>IFERROR(__xludf.DUMMYFUNCTION("SPLIT(E1494,""01234567890"")"),"David
")</f>
        <v>David
</v>
      </c>
      <c r="V1494" s="24" t="str">
        <f>IFERROR(__xludf.DUMMYFUNCTION("SPLIT(D1494,"","")"),"Preziosi")</f>
        <v>Preziosi</v>
      </c>
      <c r="W1494" s="25" t="str">
        <f t="shared" si="1"/>
        <v>DAVID
 PREZIOSI</v>
      </c>
      <c r="X1494" s="22"/>
      <c r="Y1494" s="22"/>
      <c r="Z1494" s="25" t="str">
        <f>IFERROR(__xludf.DUMMYFUNCTION("SPLIT(C1494,""
"")"),"Preziosi, David")</f>
        <v>Preziosi, David</v>
      </c>
      <c r="AA1494" s="22" t="str">
        <f>IFERROR(__xludf.DUMMYFUNCTION("""COMPUTED_VALUE"""),"2229 Lawndale Dr.")</f>
        <v>2229 Lawndale Dr.</v>
      </c>
      <c r="AB1494" s="22" t="str">
        <f>IFERROR(__xludf.DUMMYFUNCTION("""COMPUTED_VALUE"""),"Dallas, TX 75211")</f>
        <v>Dallas, TX 75211</v>
      </c>
      <c r="AC1494" s="31" t="s">
        <v>545</v>
      </c>
      <c r="AD1494" s="22"/>
      <c r="AE1494" s="22"/>
      <c r="AF1494" s="22"/>
      <c r="AG1494" s="22" t="s">
        <v>60</v>
      </c>
      <c r="AH1494" s="54">
        <v>2501.0</v>
      </c>
      <c r="AI1494" s="22" t="s">
        <v>68</v>
      </c>
      <c r="AJ1494" s="27">
        <v>250.0</v>
      </c>
      <c r="AK1494" s="31" t="s">
        <v>21</v>
      </c>
      <c r="AL1494" s="28">
        <v>44900.0</v>
      </c>
      <c r="AM1494" s="29">
        <v>44943.63122685185</v>
      </c>
      <c r="AN1494" s="30">
        <v>2.0</v>
      </c>
      <c r="AO1494" s="22"/>
      <c r="AP1494" s="22"/>
      <c r="AQ1494" s="22"/>
      <c r="AR1494" s="22"/>
      <c r="AS1494" s="22"/>
      <c r="AT1494" s="70"/>
      <c r="AU1494" s="22"/>
      <c r="AV1494" s="57"/>
      <c r="AW1494" s="57"/>
      <c r="AX1494" s="70"/>
      <c r="AY1494" s="29"/>
      <c r="AZ1494" s="30"/>
      <c r="CU1494" s="55"/>
      <c r="CV1494" s="55"/>
      <c r="CW1494" s="55"/>
      <c r="CX1494" s="55"/>
      <c r="CY1494" s="55"/>
      <c r="CZ1494" s="55"/>
      <c r="DA1494" s="82"/>
      <c r="DB1494" s="55"/>
      <c r="DC1494" s="55"/>
      <c r="DD1494" s="55"/>
      <c r="DE1494" s="55"/>
      <c r="DF1494" s="55"/>
      <c r="DG1494" s="55"/>
      <c r="DH1494" s="55"/>
      <c r="DI1494" s="55"/>
      <c r="DJ1494" s="55"/>
      <c r="DK1494" s="55"/>
      <c r="DL1494" s="55"/>
      <c r="DM1494" s="55"/>
      <c r="DN1494" s="55"/>
      <c r="DO1494" s="55"/>
      <c r="DP1494" s="55"/>
      <c r="DQ1494" s="55"/>
      <c r="DR1494" s="55"/>
      <c r="DS1494" s="55"/>
      <c r="DT1494" s="55"/>
      <c r="DU1494" s="55"/>
      <c r="DV1494" s="55"/>
      <c r="DW1494" s="55"/>
    </row>
    <row r="1495">
      <c r="A1495" s="41" t="s">
        <v>64</v>
      </c>
      <c r="B1495" s="41" t="s">
        <v>56</v>
      </c>
      <c r="C1495" s="31" t="s">
        <v>3105</v>
      </c>
      <c r="D1495" s="25" t="str">
        <f>IFERROR(__xludf.DUMMYFUNCTION("SPLIT(C1495,"" "")"),"Gruber,")</f>
        <v>Gruber,</v>
      </c>
      <c r="E1495" s="40" t="str">
        <f>IFERROR(__xludf.DUMMYFUNCTION("""COMPUTED_VALUE"""),"Mike
1918")</f>
        <v>Mike
1918</v>
      </c>
      <c r="F1495" s="40" t="str">
        <f>IFERROR(__xludf.DUMMYFUNCTION("""COMPUTED_VALUE"""),"Olive")</f>
        <v>Olive</v>
      </c>
      <c r="G1495" s="40" t="str">
        <f>IFERROR(__xludf.DUMMYFUNCTION("""COMPUTED_VALUE"""),"St.
Dallas,")</f>
        <v>St.
Dallas,</v>
      </c>
      <c r="H1495" s="40" t="str">
        <f>IFERROR(__xludf.DUMMYFUNCTION("""COMPUTED_VALUE"""),"TX")</f>
        <v>TX</v>
      </c>
      <c r="I1495" s="40">
        <f>IFERROR(__xludf.DUMMYFUNCTION("""COMPUTED_VALUE"""),75201.0)</f>
        <v>75201</v>
      </c>
      <c r="J1495" s="40"/>
      <c r="K1495" s="40"/>
      <c r="L1495" s="40"/>
      <c r="M1495" s="40"/>
      <c r="N1495" s="40"/>
      <c r="O1495" s="40"/>
      <c r="P1495" s="40"/>
      <c r="Q1495" s="40"/>
      <c r="R1495" s="40"/>
      <c r="S1495" s="40"/>
      <c r="T1495" s="40"/>
      <c r="U1495" s="24" t="str">
        <f>IFERROR(__xludf.DUMMYFUNCTION("SPLIT(E1495,""01234567890"")"),"Mike
")</f>
        <v>Mike
</v>
      </c>
      <c r="V1495" s="24" t="str">
        <f>IFERROR(__xludf.DUMMYFUNCTION("SPLIT(D1495,"","")"),"Gruber")</f>
        <v>Gruber</v>
      </c>
      <c r="W1495" s="25" t="str">
        <f t="shared" si="1"/>
        <v>MIKE
 GRUBER</v>
      </c>
      <c r="X1495" s="40"/>
      <c r="Y1495" s="40"/>
      <c r="Z1495" s="25" t="str">
        <f>IFERROR(__xludf.DUMMYFUNCTION("SPLIT(C1495,""
"")"),"Gruber, Mike")</f>
        <v>Gruber, Mike</v>
      </c>
      <c r="AA1495" s="40" t="str">
        <f>IFERROR(__xludf.DUMMYFUNCTION("""COMPUTED_VALUE"""),"1918 Olive St.")</f>
        <v>1918 Olive St.</v>
      </c>
      <c r="AB1495" s="40" t="str">
        <f>IFERROR(__xludf.DUMMYFUNCTION("""COMPUTED_VALUE"""),"Dallas, TX 75201")</f>
        <v>Dallas, TX 75201</v>
      </c>
      <c r="AC1495" s="31" t="s">
        <v>1118</v>
      </c>
      <c r="AD1495" s="40"/>
      <c r="AE1495" s="40"/>
      <c r="AF1495" s="40"/>
      <c r="AG1495" s="40" t="s">
        <v>60</v>
      </c>
      <c r="AH1495" s="42">
        <v>2501.0</v>
      </c>
      <c r="AI1495" s="40" t="s">
        <v>68</v>
      </c>
      <c r="AJ1495" s="27">
        <v>1000.0</v>
      </c>
      <c r="AK1495" s="31" t="s">
        <v>21</v>
      </c>
      <c r="AL1495" s="43">
        <v>44901.0</v>
      </c>
      <c r="AM1495" s="44">
        <v>44943.63122685185</v>
      </c>
      <c r="AN1495" s="30">
        <v>2.0</v>
      </c>
      <c r="AO1495" s="40"/>
      <c r="AP1495" s="40"/>
      <c r="AQ1495" s="40"/>
      <c r="AR1495" s="40"/>
      <c r="AS1495" s="40"/>
      <c r="AT1495" s="47"/>
      <c r="AU1495" s="40"/>
      <c r="AV1495" s="46"/>
      <c r="AW1495" s="46"/>
      <c r="AX1495" s="47"/>
      <c r="AY1495" s="44"/>
      <c r="AZ1495" s="30"/>
      <c r="CU1495" s="55"/>
      <c r="CV1495" s="55"/>
      <c r="CW1495" s="55"/>
      <c r="CX1495" s="55"/>
      <c r="CY1495" s="55"/>
      <c r="CZ1495" s="55"/>
      <c r="DA1495" s="82"/>
      <c r="DB1495" s="55"/>
      <c r="DC1495" s="55"/>
      <c r="DD1495" s="55"/>
      <c r="DE1495" s="55"/>
      <c r="DF1495" s="55"/>
      <c r="DG1495" s="55"/>
      <c r="DH1495" s="55"/>
      <c r="DI1495" s="55"/>
      <c r="DJ1495" s="55"/>
      <c r="DK1495" s="55"/>
      <c r="DL1495" s="55"/>
      <c r="DM1495" s="55"/>
      <c r="DN1495" s="55"/>
      <c r="DO1495" s="55"/>
      <c r="DP1495" s="55"/>
      <c r="DQ1495" s="55"/>
      <c r="DR1495" s="55"/>
      <c r="DS1495" s="55"/>
      <c r="DT1495" s="55"/>
      <c r="DU1495" s="55"/>
      <c r="DV1495" s="55"/>
      <c r="DW1495" s="55"/>
    </row>
    <row r="1496">
      <c r="A1496" s="22" t="s">
        <v>55</v>
      </c>
      <c r="B1496" s="23" t="s">
        <v>56</v>
      </c>
      <c r="C1496" s="31" t="s">
        <v>3106</v>
      </c>
      <c r="D1496" s="25" t="str">
        <f>IFERROR(__xludf.DUMMYFUNCTION("SPLIT(C1496,"" "")"),"Peña,")</f>
        <v>Peña,</v>
      </c>
      <c r="E1496" s="22" t="str">
        <f>IFERROR(__xludf.DUMMYFUNCTION("""COMPUTED_VALUE"""),"Lucilo
1717")</f>
        <v>Lucilo
1717</v>
      </c>
      <c r="F1496" s="22" t="str">
        <f>IFERROR(__xludf.DUMMYFUNCTION("""COMPUTED_VALUE"""),"Arts")</f>
        <v>Arts</v>
      </c>
      <c r="G1496" s="22" t="str">
        <f>IFERROR(__xludf.DUMMYFUNCTION("""COMPUTED_VALUE"""),"Plaza
Dallas,")</f>
        <v>Plaza
Dallas,</v>
      </c>
      <c r="H1496" s="22" t="str">
        <f>IFERROR(__xludf.DUMMYFUNCTION("""COMPUTED_VALUE"""),"TX")</f>
        <v>TX</v>
      </c>
      <c r="I1496" s="22">
        <f>IFERROR(__xludf.DUMMYFUNCTION("""COMPUTED_VALUE"""),75201.0)</f>
        <v>75201</v>
      </c>
      <c r="J1496" s="22"/>
      <c r="K1496" s="22"/>
      <c r="L1496" s="22"/>
      <c r="M1496" s="22"/>
      <c r="N1496" s="22"/>
      <c r="O1496" s="22"/>
      <c r="P1496" s="22"/>
      <c r="Q1496" s="22"/>
      <c r="R1496" s="22"/>
      <c r="S1496" s="22"/>
      <c r="T1496" s="22"/>
      <c r="U1496" s="24" t="str">
        <f>IFERROR(__xludf.DUMMYFUNCTION("SPLIT(E1496,""01234567890"")"),"Lucilo
")</f>
        <v>Lucilo
</v>
      </c>
      <c r="V1496" s="24" t="str">
        <f>IFERROR(__xludf.DUMMYFUNCTION("SPLIT(D1496,"","")"),"Peña")</f>
        <v>Peña</v>
      </c>
      <c r="W1496" s="25" t="str">
        <f t="shared" si="1"/>
        <v>LUCILO
 PEÑA</v>
      </c>
      <c r="X1496" s="22"/>
      <c r="Y1496" s="22"/>
      <c r="Z1496" s="25" t="str">
        <f>IFERROR(__xludf.DUMMYFUNCTION("SPLIT(C1496,""
"")"),"Peña, Lucilo")</f>
        <v>Peña, Lucilo</v>
      </c>
      <c r="AA1496" s="22" t="str">
        <f>IFERROR(__xludf.DUMMYFUNCTION("""COMPUTED_VALUE"""),"1717 Arts Plaza")</f>
        <v>1717 Arts Plaza</v>
      </c>
      <c r="AB1496" s="22" t="str">
        <f>IFERROR(__xludf.DUMMYFUNCTION("""COMPUTED_VALUE"""),"Dallas, TX 75201")</f>
        <v>Dallas, TX 75201</v>
      </c>
      <c r="AC1496" s="31" t="s">
        <v>3107</v>
      </c>
      <c r="AD1496" s="22"/>
      <c r="AE1496" s="22"/>
      <c r="AF1496" s="22"/>
      <c r="AG1496" s="22" t="s">
        <v>60</v>
      </c>
      <c r="AH1496" s="54">
        <v>2501.0</v>
      </c>
      <c r="AI1496" s="22" t="s">
        <v>68</v>
      </c>
      <c r="AJ1496" s="27">
        <v>474.7</v>
      </c>
      <c r="AK1496" s="31" t="s">
        <v>21</v>
      </c>
      <c r="AL1496" s="28">
        <v>44904.0</v>
      </c>
      <c r="AM1496" s="29">
        <v>44943.63122685185</v>
      </c>
      <c r="AN1496" s="30">
        <v>2.0</v>
      </c>
      <c r="AO1496" s="22"/>
      <c r="AP1496" s="22"/>
      <c r="AQ1496" s="22"/>
      <c r="AR1496" s="22"/>
      <c r="AS1496" s="22"/>
      <c r="AT1496" s="70"/>
      <c r="AU1496" s="22"/>
      <c r="AV1496" s="57"/>
      <c r="AW1496" s="57"/>
      <c r="AX1496" s="70"/>
      <c r="AY1496" s="29"/>
      <c r="AZ1496" s="30"/>
      <c r="CU1496" s="55"/>
      <c r="CV1496" s="55"/>
      <c r="CW1496" s="55"/>
      <c r="CX1496" s="55"/>
      <c r="CY1496" s="55"/>
      <c r="CZ1496" s="55"/>
      <c r="DA1496" s="82"/>
      <c r="DB1496" s="55"/>
      <c r="DC1496" s="55"/>
      <c r="DD1496" s="55"/>
      <c r="DE1496" s="55"/>
      <c r="DF1496" s="55"/>
      <c r="DG1496" s="55"/>
      <c r="DH1496" s="55"/>
      <c r="DI1496" s="55"/>
      <c r="DJ1496" s="55"/>
      <c r="DK1496" s="55"/>
      <c r="DL1496" s="55"/>
      <c r="DM1496" s="55"/>
      <c r="DN1496" s="55"/>
      <c r="DO1496" s="55"/>
      <c r="DP1496" s="55"/>
      <c r="DQ1496" s="55"/>
      <c r="DR1496" s="55"/>
      <c r="DS1496" s="55"/>
      <c r="DT1496" s="55"/>
      <c r="DU1496" s="55"/>
      <c r="DV1496" s="55"/>
      <c r="DW1496" s="55"/>
    </row>
    <row r="1497">
      <c r="A1497" s="41" t="s">
        <v>64</v>
      </c>
      <c r="B1497" s="41" t="s">
        <v>56</v>
      </c>
      <c r="C1497" s="31" t="s">
        <v>3108</v>
      </c>
      <c r="D1497" s="25" t="str">
        <f>IFERROR(__xludf.DUMMYFUNCTION("SPLIT(C1497,"" "")"),"Schorman,")</f>
        <v>Schorman,</v>
      </c>
      <c r="E1497" s="40" t="str">
        <f>IFERROR(__xludf.DUMMYFUNCTION("""COMPUTED_VALUE"""),"Elizabeth
1219")</f>
        <v>Elizabeth
1219</v>
      </c>
      <c r="F1497" s="40" t="str">
        <f>IFERROR(__xludf.DUMMYFUNCTION("""COMPUTED_VALUE"""),"N.")</f>
        <v>N.</v>
      </c>
      <c r="G1497" s="40" t="str">
        <f>IFERROR(__xludf.DUMMYFUNCTION("""COMPUTED_VALUE"""),"Winnetka")</f>
        <v>Winnetka</v>
      </c>
      <c r="H1497" s="40" t="str">
        <f>IFERROR(__xludf.DUMMYFUNCTION("""COMPUTED_VALUE"""),"Ave.
Dallas,")</f>
        <v>Ave.
Dallas,</v>
      </c>
      <c r="I1497" s="40" t="str">
        <f>IFERROR(__xludf.DUMMYFUNCTION("""COMPUTED_VALUE"""),"TX")</f>
        <v>TX</v>
      </c>
      <c r="J1497" s="40">
        <f>IFERROR(__xludf.DUMMYFUNCTION("""COMPUTED_VALUE"""),75208.0)</f>
        <v>75208</v>
      </c>
      <c r="K1497" s="40"/>
      <c r="L1497" s="40"/>
      <c r="M1497" s="40"/>
      <c r="N1497" s="40"/>
      <c r="O1497" s="40"/>
      <c r="P1497" s="40"/>
      <c r="Q1497" s="40"/>
      <c r="R1497" s="40"/>
      <c r="S1497" s="40"/>
      <c r="T1497" s="40"/>
      <c r="U1497" s="24" t="str">
        <f>IFERROR(__xludf.DUMMYFUNCTION("SPLIT(E1497,""01234567890"")"),"Elizabeth
")</f>
        <v>Elizabeth
</v>
      </c>
      <c r="V1497" s="24" t="str">
        <f>IFERROR(__xludf.DUMMYFUNCTION("SPLIT(D1497,"","")"),"Schorman")</f>
        <v>Schorman</v>
      </c>
      <c r="W1497" s="25" t="str">
        <f t="shared" si="1"/>
        <v>ELIZABETH
 SCHORMAN</v>
      </c>
      <c r="X1497" s="40"/>
      <c r="Y1497" s="40"/>
      <c r="Z1497" s="25" t="str">
        <f>IFERROR(__xludf.DUMMYFUNCTION("SPLIT(C1497,""
"")"),"Schorman, Elizabeth")</f>
        <v>Schorman, Elizabeth</v>
      </c>
      <c r="AA1497" s="40" t="str">
        <f>IFERROR(__xludf.DUMMYFUNCTION("""COMPUTED_VALUE"""),"1219 N. Winnetka Ave.")</f>
        <v>1219 N. Winnetka Ave.</v>
      </c>
      <c r="AB1497" s="40" t="str">
        <f>IFERROR(__xludf.DUMMYFUNCTION("""COMPUTED_VALUE"""),"Dallas, TX 75208")</f>
        <v>Dallas, TX 75208</v>
      </c>
      <c r="AC1497" s="31" t="s">
        <v>3109</v>
      </c>
      <c r="AD1497" s="40"/>
      <c r="AE1497" s="40"/>
      <c r="AF1497" s="40"/>
      <c r="AG1497" s="40" t="s">
        <v>60</v>
      </c>
      <c r="AH1497" s="42">
        <v>2501.0</v>
      </c>
      <c r="AI1497" s="40" t="s">
        <v>68</v>
      </c>
      <c r="AJ1497" s="27">
        <v>250.0</v>
      </c>
      <c r="AK1497" s="31" t="s">
        <v>21</v>
      </c>
      <c r="AL1497" s="43">
        <v>44904.0</v>
      </c>
      <c r="AM1497" s="44">
        <v>44943.63122685185</v>
      </c>
      <c r="AN1497" s="30">
        <v>2.0</v>
      </c>
      <c r="AO1497" s="40"/>
      <c r="AP1497" s="40"/>
      <c r="AQ1497" s="40"/>
      <c r="AR1497" s="40"/>
      <c r="AS1497" s="40"/>
      <c r="AT1497" s="47"/>
      <c r="AU1497" s="40"/>
      <c r="AV1497" s="46"/>
      <c r="AW1497" s="46"/>
      <c r="AX1497" s="47"/>
      <c r="AY1497" s="44"/>
      <c r="AZ1497" s="30"/>
      <c r="CU1497" s="55"/>
      <c r="CV1497" s="55"/>
      <c r="CW1497" s="55"/>
      <c r="CX1497" s="55"/>
      <c r="CY1497" s="55"/>
      <c r="CZ1497" s="55"/>
      <c r="DA1497" s="82"/>
      <c r="DB1497" s="55"/>
      <c r="DC1497" s="55"/>
      <c r="DD1497" s="55"/>
      <c r="DE1497" s="55"/>
      <c r="DF1497" s="55"/>
      <c r="DG1497" s="55"/>
      <c r="DH1497" s="55"/>
      <c r="DI1497" s="55"/>
      <c r="DJ1497" s="55"/>
      <c r="DK1497" s="55"/>
      <c r="DL1497" s="55"/>
      <c r="DM1497" s="55"/>
      <c r="DN1497" s="55"/>
      <c r="DO1497" s="55"/>
      <c r="DP1497" s="55"/>
      <c r="DQ1497" s="55"/>
      <c r="DR1497" s="55"/>
      <c r="DS1497" s="55"/>
      <c r="DT1497" s="55"/>
      <c r="DU1497" s="55"/>
      <c r="DV1497" s="55"/>
      <c r="DW1497" s="55"/>
    </row>
    <row r="1498">
      <c r="A1498" s="22" t="s">
        <v>55</v>
      </c>
      <c r="B1498" s="23" t="s">
        <v>56</v>
      </c>
      <c r="C1498" s="31" t="s">
        <v>163</v>
      </c>
      <c r="D1498" s="25" t="str">
        <f>IFERROR(__xludf.DUMMYFUNCTION("SPLIT(C1498,"" "")"),"Alvarado,")</f>
        <v>Alvarado,</v>
      </c>
      <c r="E1498" s="22" t="str">
        <f>IFERROR(__xludf.DUMMYFUNCTION("""COMPUTED_VALUE"""),"Barbara
318")</f>
        <v>Barbara
318</v>
      </c>
      <c r="F1498" s="22" t="str">
        <f>IFERROR(__xludf.DUMMYFUNCTION("""COMPUTED_VALUE"""),"S.")</f>
        <v>S.</v>
      </c>
      <c r="G1498" s="22" t="str">
        <f>IFERROR(__xludf.DUMMYFUNCTION("""COMPUTED_VALUE"""),"Waverly")</f>
        <v>Waverly</v>
      </c>
      <c r="H1498" s="22" t="str">
        <f>IFERROR(__xludf.DUMMYFUNCTION("""COMPUTED_VALUE"""),"Dr.
Dallas,")</f>
        <v>Dr.
Dallas,</v>
      </c>
      <c r="I1498" s="22" t="str">
        <f>IFERROR(__xludf.DUMMYFUNCTION("""COMPUTED_VALUE"""),"TX")</f>
        <v>TX</v>
      </c>
      <c r="J1498" s="22">
        <f>IFERROR(__xludf.DUMMYFUNCTION("""COMPUTED_VALUE"""),75208.0)</f>
        <v>75208</v>
      </c>
      <c r="K1498" s="22"/>
      <c r="L1498" s="22"/>
      <c r="M1498" s="22"/>
      <c r="N1498" s="22"/>
      <c r="O1498" s="22"/>
      <c r="P1498" s="22"/>
      <c r="Q1498" s="22"/>
      <c r="R1498" s="22"/>
      <c r="S1498" s="22"/>
      <c r="T1498" s="22"/>
      <c r="U1498" s="24" t="str">
        <f>IFERROR(__xludf.DUMMYFUNCTION("SPLIT(E1498,""01234567890"")"),"Barbara
")</f>
        <v>Barbara
</v>
      </c>
      <c r="V1498" s="24" t="str">
        <f>IFERROR(__xludf.DUMMYFUNCTION("SPLIT(D1498,"","")"),"Alvarado")</f>
        <v>Alvarado</v>
      </c>
      <c r="W1498" s="25" t="str">
        <f t="shared" si="1"/>
        <v>BARBARA
 ALVARADO</v>
      </c>
      <c r="X1498" s="22"/>
      <c r="Y1498" s="22"/>
      <c r="Z1498" s="25" t="str">
        <f>IFERROR(__xludf.DUMMYFUNCTION("SPLIT(C1498,""
"")"),"Alvarado, Barbara")</f>
        <v>Alvarado, Barbara</v>
      </c>
      <c r="AA1498" s="22" t="str">
        <f>IFERROR(__xludf.DUMMYFUNCTION("""COMPUTED_VALUE"""),"318 S. Waverly Dr.")</f>
        <v>318 S. Waverly Dr.</v>
      </c>
      <c r="AB1498" s="22" t="str">
        <f>IFERROR(__xludf.DUMMYFUNCTION("""COMPUTED_VALUE"""),"Dallas, TX 75208")</f>
        <v>Dallas, TX 75208</v>
      </c>
      <c r="AC1498" s="31" t="s">
        <v>165</v>
      </c>
      <c r="AD1498" s="22"/>
      <c r="AE1498" s="22"/>
      <c r="AF1498" s="22"/>
      <c r="AG1498" s="22" t="s">
        <v>60</v>
      </c>
      <c r="AH1498" s="54">
        <v>2501.0</v>
      </c>
      <c r="AI1498" s="22" t="s">
        <v>68</v>
      </c>
      <c r="AJ1498" s="27">
        <v>100.0</v>
      </c>
      <c r="AK1498" s="31" t="s">
        <v>21</v>
      </c>
      <c r="AL1498" s="28">
        <v>44905.0</v>
      </c>
      <c r="AM1498" s="29">
        <v>44943.63122685185</v>
      </c>
      <c r="AN1498" s="30">
        <v>2.0</v>
      </c>
      <c r="AO1498" s="22"/>
      <c r="AP1498" s="22"/>
      <c r="AQ1498" s="22"/>
      <c r="AR1498" s="22"/>
      <c r="AS1498" s="22"/>
      <c r="AT1498" s="70"/>
      <c r="AU1498" s="22"/>
      <c r="AV1498" s="57"/>
      <c r="AW1498" s="57"/>
      <c r="AX1498" s="70"/>
      <c r="AY1498" s="29"/>
      <c r="AZ1498" s="30"/>
      <c r="CU1498" s="55"/>
      <c r="CV1498" s="55"/>
      <c r="CW1498" s="55"/>
      <c r="CX1498" s="55"/>
      <c r="CY1498" s="55"/>
      <c r="CZ1498" s="55"/>
      <c r="DA1498" s="82"/>
      <c r="DB1498" s="55"/>
      <c r="DC1498" s="55"/>
      <c r="DD1498" s="55"/>
      <c r="DE1498" s="55"/>
      <c r="DF1498" s="55"/>
      <c r="DG1498" s="55"/>
      <c r="DH1498" s="55"/>
      <c r="DI1498" s="55"/>
      <c r="DJ1498" s="55"/>
      <c r="DK1498" s="55"/>
      <c r="DL1498" s="55"/>
      <c r="DM1498" s="55"/>
      <c r="DN1498" s="55"/>
      <c r="DO1498" s="55"/>
      <c r="DP1498" s="55"/>
      <c r="DQ1498" s="55"/>
      <c r="DR1498" s="55"/>
      <c r="DS1498" s="55"/>
      <c r="DT1498" s="55"/>
      <c r="DU1498" s="55"/>
      <c r="DV1498" s="55"/>
      <c r="DW1498" s="55"/>
    </row>
    <row r="1499">
      <c r="A1499" s="41" t="s">
        <v>64</v>
      </c>
      <c r="B1499" s="41" t="s">
        <v>56</v>
      </c>
      <c r="C1499" s="31" t="s">
        <v>3110</v>
      </c>
      <c r="D1499" s="25" t="str">
        <f>IFERROR(__xludf.DUMMYFUNCTION("SPLIT(C1499,"" "")"),"Headington,")</f>
        <v>Headington,</v>
      </c>
      <c r="E1499" s="40" t="str">
        <f>IFERROR(__xludf.DUMMYFUNCTION("""COMPUTED_VALUE"""),"Timothy
1608")</f>
        <v>Timothy
1608</v>
      </c>
      <c r="F1499" s="40" t="str">
        <f>IFERROR(__xludf.DUMMYFUNCTION("""COMPUTED_VALUE"""),"Main")</f>
        <v>Main</v>
      </c>
      <c r="G1499" s="40" t="str">
        <f>IFERROR(__xludf.DUMMYFUNCTION("""COMPUTED_VALUE"""),"St.
Dallas,")</f>
        <v>St.
Dallas,</v>
      </c>
      <c r="H1499" s="40" t="str">
        <f>IFERROR(__xludf.DUMMYFUNCTION("""COMPUTED_VALUE"""),"TX")</f>
        <v>TX</v>
      </c>
      <c r="I1499" s="40">
        <f>IFERROR(__xludf.DUMMYFUNCTION("""COMPUTED_VALUE"""),75201.0)</f>
        <v>75201</v>
      </c>
      <c r="J1499" s="40"/>
      <c r="K1499" s="40"/>
      <c r="L1499" s="40"/>
      <c r="M1499" s="40"/>
      <c r="N1499" s="40"/>
      <c r="O1499" s="40"/>
      <c r="P1499" s="40"/>
      <c r="Q1499" s="40"/>
      <c r="R1499" s="40"/>
      <c r="S1499" s="40"/>
      <c r="T1499" s="40"/>
      <c r="U1499" s="24" t="str">
        <f>IFERROR(__xludf.DUMMYFUNCTION("SPLIT(E1499,""01234567890"")"),"Timothy
")</f>
        <v>Timothy
</v>
      </c>
      <c r="V1499" s="24" t="str">
        <f>IFERROR(__xludf.DUMMYFUNCTION("SPLIT(D1499,"","")"),"Headington")</f>
        <v>Headington</v>
      </c>
      <c r="W1499" s="25" t="str">
        <f t="shared" si="1"/>
        <v>TIMOTHY
 HEADINGTON</v>
      </c>
      <c r="X1499" s="40"/>
      <c r="Y1499" s="40"/>
      <c r="Z1499" s="25" t="str">
        <f>IFERROR(__xludf.DUMMYFUNCTION("SPLIT(C1499,""
"")"),"Headington, Timothy")</f>
        <v>Headington, Timothy</v>
      </c>
      <c r="AA1499" s="40" t="str">
        <f>IFERROR(__xludf.DUMMYFUNCTION("""COMPUTED_VALUE"""),"1608 Main St.")</f>
        <v>1608 Main St.</v>
      </c>
      <c r="AB1499" s="40" t="str">
        <f>IFERROR(__xludf.DUMMYFUNCTION("""COMPUTED_VALUE"""),"Dallas, TX 75201")</f>
        <v>Dallas, TX 75201</v>
      </c>
      <c r="AC1499" s="31" t="s">
        <v>3111</v>
      </c>
      <c r="AD1499" s="40"/>
      <c r="AE1499" s="40"/>
      <c r="AF1499" s="40"/>
      <c r="AG1499" s="40" t="s">
        <v>60</v>
      </c>
      <c r="AH1499" s="42">
        <v>2501.0</v>
      </c>
      <c r="AI1499" s="40" t="s">
        <v>68</v>
      </c>
      <c r="AJ1499" s="27">
        <v>1000.0</v>
      </c>
      <c r="AK1499" s="31" t="s">
        <v>21</v>
      </c>
      <c r="AL1499" s="43">
        <v>44902.0</v>
      </c>
      <c r="AM1499" s="44">
        <v>44943.63122685185</v>
      </c>
      <c r="AN1499" s="30">
        <v>2.0</v>
      </c>
      <c r="AO1499" s="40"/>
      <c r="AP1499" s="40"/>
      <c r="AQ1499" s="40"/>
      <c r="AR1499" s="40"/>
      <c r="AS1499" s="40"/>
      <c r="AT1499" s="47"/>
      <c r="AU1499" s="40"/>
      <c r="AV1499" s="46"/>
      <c r="AW1499" s="46"/>
      <c r="AX1499" s="47"/>
      <c r="AY1499" s="44"/>
      <c r="AZ1499" s="30"/>
      <c r="CU1499" s="55"/>
      <c r="CV1499" s="55"/>
      <c r="CW1499" s="55"/>
      <c r="CX1499" s="55"/>
      <c r="CY1499" s="55"/>
      <c r="CZ1499" s="55"/>
      <c r="DA1499" s="82"/>
      <c r="DB1499" s="55"/>
      <c r="DC1499" s="55"/>
      <c r="DD1499" s="55"/>
      <c r="DE1499" s="55"/>
      <c r="DF1499" s="55"/>
      <c r="DG1499" s="55"/>
      <c r="DH1499" s="55"/>
      <c r="DI1499" s="55"/>
      <c r="DJ1499" s="55"/>
      <c r="DK1499" s="55"/>
      <c r="DL1499" s="55"/>
      <c r="DM1499" s="55"/>
      <c r="DN1499" s="55"/>
      <c r="DO1499" s="55"/>
      <c r="DP1499" s="55"/>
      <c r="DQ1499" s="55"/>
      <c r="DR1499" s="55"/>
      <c r="DS1499" s="55"/>
      <c r="DT1499" s="55"/>
      <c r="DU1499" s="55"/>
      <c r="DV1499" s="55"/>
      <c r="DW1499" s="55"/>
    </row>
    <row r="1500">
      <c r="A1500" s="22" t="s">
        <v>55</v>
      </c>
      <c r="B1500" s="23" t="s">
        <v>56</v>
      </c>
      <c r="C1500" s="31" t="s">
        <v>3112</v>
      </c>
      <c r="D1500" s="25" t="str">
        <f>IFERROR(__xludf.DUMMYFUNCTION("SPLIT(C1500,"" "")"),"Pirkey,")</f>
        <v>Pirkey,</v>
      </c>
      <c r="E1500" s="22" t="str">
        <f>IFERROR(__xludf.DUMMYFUNCTION("""COMPUTED_VALUE"""),"Melissa
1525")</f>
        <v>Melissa
1525</v>
      </c>
      <c r="F1500" s="22" t="str">
        <f>IFERROR(__xludf.DUMMYFUNCTION("""COMPUTED_VALUE"""),"Parliament")</f>
        <v>Parliament</v>
      </c>
      <c r="G1500" s="22" t="str">
        <f>IFERROR(__xludf.DUMMYFUNCTION("""COMPUTED_VALUE"""),"Ln.
Plano,")</f>
        <v>Ln.
Plano,</v>
      </c>
      <c r="H1500" s="22" t="str">
        <f>IFERROR(__xludf.DUMMYFUNCTION("""COMPUTED_VALUE"""),"TX")</f>
        <v>TX</v>
      </c>
      <c r="I1500" s="22">
        <f>IFERROR(__xludf.DUMMYFUNCTION("""COMPUTED_VALUE"""),75093.0)</f>
        <v>75093</v>
      </c>
      <c r="J1500" s="22"/>
      <c r="K1500" s="22"/>
      <c r="L1500" s="22"/>
      <c r="M1500" s="22"/>
      <c r="N1500" s="22"/>
      <c r="O1500" s="22"/>
      <c r="P1500" s="22"/>
      <c r="Q1500" s="22"/>
      <c r="R1500" s="22"/>
      <c r="S1500" s="22"/>
      <c r="T1500" s="22"/>
      <c r="U1500" s="24" t="str">
        <f>IFERROR(__xludf.DUMMYFUNCTION("SPLIT(E1500,""01234567890"")"),"Melissa
")</f>
        <v>Melissa
</v>
      </c>
      <c r="V1500" s="24" t="str">
        <f>IFERROR(__xludf.DUMMYFUNCTION("SPLIT(D1500,"","")"),"Pirkey")</f>
        <v>Pirkey</v>
      </c>
      <c r="W1500" s="25" t="str">
        <f t="shared" si="1"/>
        <v>MELISSA
 PIRKEY</v>
      </c>
      <c r="X1500" s="22"/>
      <c r="Y1500" s="22"/>
      <c r="Z1500" s="25" t="str">
        <f>IFERROR(__xludf.DUMMYFUNCTION("SPLIT(C1500,""
"")"),"Pirkey, Melissa")</f>
        <v>Pirkey, Melissa</v>
      </c>
      <c r="AA1500" s="22" t="str">
        <f>IFERROR(__xludf.DUMMYFUNCTION("""COMPUTED_VALUE"""),"1525 Parliament Ln.")</f>
        <v>1525 Parliament Ln.</v>
      </c>
      <c r="AB1500" s="22" t="str">
        <f>IFERROR(__xludf.DUMMYFUNCTION("""COMPUTED_VALUE"""),"Plano, TX 75093")</f>
        <v>Plano, TX 75093</v>
      </c>
      <c r="AC1500" s="31" t="s">
        <v>3113</v>
      </c>
      <c r="AD1500" s="22"/>
      <c r="AE1500" s="22"/>
      <c r="AF1500" s="22"/>
      <c r="AG1500" s="22" t="s">
        <v>60</v>
      </c>
      <c r="AH1500" s="54">
        <v>2501.0</v>
      </c>
      <c r="AI1500" s="22" t="s">
        <v>68</v>
      </c>
      <c r="AJ1500" s="27">
        <v>1000.0</v>
      </c>
      <c r="AK1500" s="31" t="s">
        <v>21</v>
      </c>
      <c r="AL1500" s="28">
        <v>44905.0</v>
      </c>
      <c r="AM1500" s="29">
        <v>44943.63122685185</v>
      </c>
      <c r="AN1500" s="30">
        <v>2.0</v>
      </c>
      <c r="AO1500" s="22"/>
      <c r="AP1500" s="22"/>
      <c r="AQ1500" s="22"/>
      <c r="AR1500" s="22"/>
      <c r="AS1500" s="22"/>
      <c r="AT1500" s="70"/>
      <c r="AU1500" s="22"/>
      <c r="AV1500" s="57"/>
      <c r="AW1500" s="57"/>
      <c r="AX1500" s="70"/>
      <c r="AY1500" s="29"/>
      <c r="AZ1500" s="30"/>
      <c r="CU1500" s="55"/>
      <c r="CV1500" s="55"/>
      <c r="CW1500" s="55"/>
      <c r="CX1500" s="55"/>
      <c r="CY1500" s="55"/>
      <c r="CZ1500" s="55"/>
      <c r="DA1500" s="82"/>
      <c r="DB1500" s="55"/>
      <c r="DC1500" s="55"/>
      <c r="DD1500" s="55"/>
      <c r="DE1500" s="55"/>
      <c r="DF1500" s="55"/>
      <c r="DG1500" s="55"/>
      <c r="DH1500" s="55"/>
      <c r="DI1500" s="55"/>
      <c r="DJ1500" s="55"/>
      <c r="DK1500" s="55"/>
      <c r="DL1500" s="55"/>
      <c r="DM1500" s="55"/>
      <c r="DN1500" s="55"/>
      <c r="DO1500" s="55"/>
      <c r="DP1500" s="55"/>
      <c r="DQ1500" s="55"/>
      <c r="DR1500" s="55"/>
      <c r="DS1500" s="55"/>
      <c r="DT1500" s="55"/>
      <c r="DU1500" s="55"/>
      <c r="DV1500" s="55"/>
      <c r="DW1500" s="55"/>
    </row>
    <row r="1501">
      <c r="A1501" s="41" t="s">
        <v>64</v>
      </c>
      <c r="B1501" s="41" t="s">
        <v>56</v>
      </c>
      <c r="C1501" s="31" t="s">
        <v>3114</v>
      </c>
      <c r="D1501" s="25" t="str">
        <f>IFERROR(__xludf.DUMMYFUNCTION("SPLIT(C1501,"" "")"),"Wilson,")</f>
        <v>Wilson,</v>
      </c>
      <c r="E1501" s="40" t="str">
        <f>IFERROR(__xludf.DUMMYFUNCTION("""COMPUTED_VALUE"""),"Joe
6208")</f>
        <v>Joe
6208</v>
      </c>
      <c r="F1501" s="40" t="str">
        <f>IFERROR(__xludf.DUMMYFUNCTION("""COMPUTED_VALUE"""),"Copperhill")</f>
        <v>Copperhill</v>
      </c>
      <c r="G1501" s="40" t="str">
        <f>IFERROR(__xludf.DUMMYFUNCTION("""COMPUTED_VALUE"""),"Dr.
Dallas,")</f>
        <v>Dr.
Dallas,</v>
      </c>
      <c r="H1501" s="40" t="str">
        <f>IFERROR(__xludf.DUMMYFUNCTION("""COMPUTED_VALUE"""),"TX")</f>
        <v>TX</v>
      </c>
      <c r="I1501" s="40">
        <f>IFERROR(__xludf.DUMMYFUNCTION("""COMPUTED_VALUE"""),75248.0)</f>
        <v>75248</v>
      </c>
      <c r="J1501" s="40"/>
      <c r="K1501" s="40"/>
      <c r="L1501" s="40"/>
      <c r="M1501" s="40"/>
      <c r="N1501" s="40"/>
      <c r="O1501" s="40"/>
      <c r="P1501" s="40"/>
      <c r="Q1501" s="40"/>
      <c r="R1501" s="40"/>
      <c r="S1501" s="40"/>
      <c r="T1501" s="40"/>
      <c r="U1501" s="24" t="str">
        <f>IFERROR(__xludf.DUMMYFUNCTION("SPLIT(E1501,""01234567890"")"),"Joe
")</f>
        <v>Joe
</v>
      </c>
      <c r="V1501" s="24" t="str">
        <f>IFERROR(__xludf.DUMMYFUNCTION("SPLIT(D1501,"","")"),"Wilson")</f>
        <v>Wilson</v>
      </c>
      <c r="W1501" s="25" t="str">
        <f t="shared" si="1"/>
        <v>JOE
 WILSON</v>
      </c>
      <c r="X1501" s="40"/>
      <c r="Y1501" s="40"/>
      <c r="Z1501" s="25" t="str">
        <f>IFERROR(__xludf.DUMMYFUNCTION("SPLIT(C1501,""
"")"),"Wilson, Joe")</f>
        <v>Wilson, Joe</v>
      </c>
      <c r="AA1501" s="40" t="str">
        <f>IFERROR(__xludf.DUMMYFUNCTION("""COMPUTED_VALUE"""),"6208 Copperhill Dr.")</f>
        <v>6208 Copperhill Dr.</v>
      </c>
      <c r="AB1501" s="40" t="str">
        <f>IFERROR(__xludf.DUMMYFUNCTION("""COMPUTED_VALUE"""),"Dallas, TX 75248")</f>
        <v>Dallas, TX 75248</v>
      </c>
      <c r="AC1501" s="31" t="s">
        <v>3115</v>
      </c>
      <c r="AD1501" s="40"/>
      <c r="AE1501" s="40"/>
      <c r="AF1501" s="40"/>
      <c r="AG1501" s="40" t="s">
        <v>60</v>
      </c>
      <c r="AH1501" s="42">
        <v>2501.0</v>
      </c>
      <c r="AI1501" s="40" t="s">
        <v>68</v>
      </c>
      <c r="AJ1501" s="27">
        <v>250.0</v>
      </c>
      <c r="AK1501" s="31" t="s">
        <v>21</v>
      </c>
      <c r="AL1501" s="43">
        <v>44906.0</v>
      </c>
      <c r="AM1501" s="44">
        <v>44943.63122685185</v>
      </c>
      <c r="AN1501" s="30">
        <v>2.0</v>
      </c>
      <c r="AO1501" s="40"/>
      <c r="AP1501" s="40"/>
      <c r="AQ1501" s="40"/>
      <c r="AR1501" s="40"/>
      <c r="AS1501" s="40"/>
      <c r="AT1501" s="47"/>
      <c r="AU1501" s="40"/>
      <c r="AV1501" s="46"/>
      <c r="AW1501" s="46"/>
      <c r="AX1501" s="47"/>
      <c r="AY1501" s="44"/>
      <c r="AZ1501" s="30"/>
      <c r="CU1501" s="55"/>
      <c r="CV1501" s="55"/>
      <c r="CW1501" s="55"/>
      <c r="CX1501" s="55"/>
      <c r="CY1501" s="55"/>
      <c r="CZ1501" s="55"/>
      <c r="DA1501" s="82"/>
      <c r="DB1501" s="55"/>
      <c r="DC1501" s="55"/>
      <c r="DD1501" s="55"/>
      <c r="DE1501" s="55"/>
      <c r="DF1501" s="55"/>
      <c r="DG1501" s="55"/>
      <c r="DH1501" s="55"/>
      <c r="DI1501" s="55"/>
      <c r="DJ1501" s="55"/>
      <c r="DK1501" s="55"/>
      <c r="DL1501" s="55"/>
      <c r="DM1501" s="55"/>
      <c r="DN1501" s="55"/>
      <c r="DO1501" s="55"/>
      <c r="DP1501" s="55"/>
      <c r="DQ1501" s="55"/>
      <c r="DR1501" s="55"/>
      <c r="DS1501" s="55"/>
      <c r="DT1501" s="55"/>
      <c r="DU1501" s="55"/>
      <c r="DV1501" s="55"/>
      <c r="DW1501" s="55"/>
    </row>
    <row r="1502">
      <c r="A1502" s="22" t="s">
        <v>55</v>
      </c>
      <c r="B1502" s="23" t="s">
        <v>56</v>
      </c>
      <c r="C1502" s="31" t="s">
        <v>3116</v>
      </c>
      <c r="D1502" s="25" t="str">
        <f>IFERROR(__xludf.DUMMYFUNCTION("SPLIT(C1502,"" "")"),"Beitler,")</f>
        <v>Beitler,</v>
      </c>
      <c r="E1502" s="22" t="str">
        <f>IFERROR(__xludf.DUMMYFUNCTION("""COMPUTED_VALUE"""),"Patrick
1218")</f>
        <v>Patrick
1218</v>
      </c>
      <c r="F1502" s="22" t="str">
        <f>IFERROR(__xludf.DUMMYFUNCTION("""COMPUTED_VALUE"""),"Elmwood")</f>
        <v>Elmwood</v>
      </c>
      <c r="G1502" s="22" t="str">
        <f>IFERROR(__xludf.DUMMYFUNCTION("""COMPUTED_VALUE"""),"Blvd
Dallas,")</f>
        <v>Blvd
Dallas,</v>
      </c>
      <c r="H1502" s="22" t="str">
        <f>IFERROR(__xludf.DUMMYFUNCTION("""COMPUTED_VALUE"""),"TX")</f>
        <v>TX</v>
      </c>
      <c r="I1502" s="22">
        <f>IFERROR(__xludf.DUMMYFUNCTION("""COMPUTED_VALUE"""),75224.0)</f>
        <v>75224</v>
      </c>
      <c r="J1502" s="22"/>
      <c r="K1502" s="22"/>
      <c r="L1502" s="22"/>
      <c r="M1502" s="22"/>
      <c r="N1502" s="22"/>
      <c r="O1502" s="22"/>
      <c r="P1502" s="22"/>
      <c r="Q1502" s="22"/>
      <c r="R1502" s="22"/>
      <c r="S1502" s="22"/>
      <c r="T1502" s="22"/>
      <c r="U1502" s="24" t="str">
        <f>IFERROR(__xludf.DUMMYFUNCTION("SPLIT(E1502,""01234567890"")"),"Patrick
")</f>
        <v>Patrick
</v>
      </c>
      <c r="V1502" s="24" t="str">
        <f>IFERROR(__xludf.DUMMYFUNCTION("SPLIT(D1502,"","")"),"Beitler")</f>
        <v>Beitler</v>
      </c>
      <c r="W1502" s="25" t="str">
        <f t="shared" si="1"/>
        <v>PATRICK
 BEITLER</v>
      </c>
      <c r="X1502" s="22"/>
      <c r="Y1502" s="22"/>
      <c r="Z1502" s="25" t="str">
        <f>IFERROR(__xludf.DUMMYFUNCTION("SPLIT(C1502,""
"")"),"Beitler, Patrick")</f>
        <v>Beitler, Patrick</v>
      </c>
      <c r="AA1502" s="22" t="str">
        <f>IFERROR(__xludf.DUMMYFUNCTION("""COMPUTED_VALUE"""),"1218 Elmwood Blvd")</f>
        <v>1218 Elmwood Blvd</v>
      </c>
      <c r="AB1502" s="22" t="str">
        <f>IFERROR(__xludf.DUMMYFUNCTION("""COMPUTED_VALUE"""),"Dallas, TX 75224")</f>
        <v>Dallas, TX 75224</v>
      </c>
      <c r="AC1502" s="31" t="s">
        <v>3117</v>
      </c>
      <c r="AD1502" s="22"/>
      <c r="AE1502" s="22"/>
      <c r="AF1502" s="22"/>
      <c r="AG1502" s="22" t="s">
        <v>60</v>
      </c>
      <c r="AH1502" s="54">
        <v>2501.0</v>
      </c>
      <c r="AI1502" s="22" t="s">
        <v>68</v>
      </c>
      <c r="AJ1502" s="27">
        <v>100.0</v>
      </c>
      <c r="AK1502" s="31" t="s">
        <v>21</v>
      </c>
      <c r="AL1502" s="28">
        <v>44907.0</v>
      </c>
      <c r="AM1502" s="29">
        <v>44943.63122685185</v>
      </c>
      <c r="AN1502" s="30">
        <v>2.0</v>
      </c>
      <c r="AO1502" s="22"/>
      <c r="AP1502" s="22"/>
      <c r="AQ1502" s="22"/>
      <c r="AR1502" s="22"/>
      <c r="AS1502" s="22"/>
      <c r="AT1502" s="70"/>
      <c r="AU1502" s="22"/>
      <c r="AV1502" s="57"/>
      <c r="AW1502" s="57"/>
      <c r="AX1502" s="70"/>
      <c r="AY1502" s="29"/>
      <c r="AZ1502" s="30"/>
      <c r="CU1502" s="55"/>
      <c r="CV1502" s="55"/>
      <c r="CW1502" s="55"/>
      <c r="CX1502" s="55"/>
      <c r="CY1502" s="55"/>
      <c r="CZ1502" s="55"/>
      <c r="DA1502" s="82"/>
      <c r="DB1502" s="55"/>
      <c r="DC1502" s="55"/>
      <c r="DD1502" s="55"/>
      <c r="DE1502" s="55"/>
      <c r="DF1502" s="55"/>
      <c r="DG1502" s="55"/>
      <c r="DH1502" s="55"/>
      <c r="DI1502" s="55"/>
      <c r="DJ1502" s="55"/>
      <c r="DK1502" s="55"/>
      <c r="DL1502" s="55"/>
      <c r="DM1502" s="55"/>
      <c r="DN1502" s="55"/>
      <c r="DO1502" s="55"/>
      <c r="DP1502" s="55"/>
      <c r="DQ1502" s="55"/>
      <c r="DR1502" s="55"/>
      <c r="DS1502" s="55"/>
      <c r="DT1502" s="55"/>
      <c r="DU1502" s="55"/>
      <c r="DV1502" s="55"/>
      <c r="DW1502" s="55"/>
    </row>
    <row r="1503">
      <c r="A1503" s="41" t="s">
        <v>64</v>
      </c>
      <c r="B1503" s="41" t="s">
        <v>56</v>
      </c>
      <c r="C1503" s="31" t="s">
        <v>3118</v>
      </c>
      <c r="D1503" s="25" t="str">
        <f>IFERROR(__xludf.DUMMYFUNCTION("SPLIT(C1503,"" "")"),"Camarillo,")</f>
        <v>Camarillo,</v>
      </c>
      <c r="E1503" s="40" t="str">
        <f>IFERROR(__xludf.DUMMYFUNCTION("""COMPUTED_VALUE"""),"Sylvia
3")</f>
        <v>Sylvia
3</v>
      </c>
      <c r="F1503" s="40" t="str">
        <f>IFERROR(__xludf.DUMMYFUNCTION("""COMPUTED_VALUE"""),"Richmond")</f>
        <v>Richmond</v>
      </c>
      <c r="G1503" s="40" t="str">
        <f>IFERROR(__xludf.DUMMYFUNCTION("""COMPUTED_VALUE"""),"Ct.
Mansfield,")</f>
        <v>Ct.
Mansfield,</v>
      </c>
      <c r="H1503" s="40" t="str">
        <f>IFERROR(__xludf.DUMMYFUNCTION("""COMPUTED_VALUE"""),"TX")</f>
        <v>TX</v>
      </c>
      <c r="I1503" s="40">
        <f>IFERROR(__xludf.DUMMYFUNCTION("""COMPUTED_VALUE"""),76063.0)</f>
        <v>76063</v>
      </c>
      <c r="J1503" s="40"/>
      <c r="K1503" s="40"/>
      <c r="L1503" s="40"/>
      <c r="M1503" s="40"/>
      <c r="N1503" s="40"/>
      <c r="O1503" s="40"/>
      <c r="P1503" s="40"/>
      <c r="Q1503" s="40"/>
      <c r="R1503" s="40"/>
      <c r="S1503" s="40"/>
      <c r="T1503" s="40"/>
      <c r="U1503" s="24" t="str">
        <f>IFERROR(__xludf.DUMMYFUNCTION("SPLIT(E1503,""01234567890"")"),"Sylvia
")</f>
        <v>Sylvia
</v>
      </c>
      <c r="V1503" s="24" t="str">
        <f>IFERROR(__xludf.DUMMYFUNCTION("SPLIT(D1503,"","")"),"Camarillo")</f>
        <v>Camarillo</v>
      </c>
      <c r="W1503" s="25" t="str">
        <f t="shared" si="1"/>
        <v>SYLVIA
 CAMARILLO</v>
      </c>
      <c r="X1503" s="40"/>
      <c r="Y1503" s="40"/>
      <c r="Z1503" s="25" t="str">
        <f>IFERROR(__xludf.DUMMYFUNCTION("SPLIT(C1503,""
"")"),"Camarillo, Sylvia")</f>
        <v>Camarillo, Sylvia</v>
      </c>
      <c r="AA1503" s="40" t="str">
        <f>IFERROR(__xludf.DUMMYFUNCTION("""COMPUTED_VALUE"""),"3 Richmond Ct.")</f>
        <v>3 Richmond Ct.</v>
      </c>
      <c r="AB1503" s="40" t="str">
        <f>IFERROR(__xludf.DUMMYFUNCTION("""COMPUTED_VALUE"""),"Mansfield, TX 76063")</f>
        <v>Mansfield, TX 76063</v>
      </c>
      <c r="AC1503" s="31" t="s">
        <v>3119</v>
      </c>
      <c r="AD1503" s="40"/>
      <c r="AE1503" s="40"/>
      <c r="AF1503" s="40"/>
      <c r="AG1503" s="40" t="s">
        <v>60</v>
      </c>
      <c r="AH1503" s="42">
        <v>2501.0</v>
      </c>
      <c r="AI1503" s="40" t="s">
        <v>68</v>
      </c>
      <c r="AJ1503" s="27">
        <v>500.0</v>
      </c>
      <c r="AK1503" s="31" t="s">
        <v>21</v>
      </c>
      <c r="AL1503" s="43">
        <v>44907.0</v>
      </c>
      <c r="AM1503" s="44">
        <v>44943.63122685185</v>
      </c>
      <c r="AN1503" s="30">
        <v>2.0</v>
      </c>
      <c r="AO1503" s="40"/>
      <c r="AP1503" s="40"/>
      <c r="AQ1503" s="40"/>
      <c r="AR1503" s="40"/>
      <c r="AS1503" s="40"/>
      <c r="AT1503" s="47"/>
      <c r="AU1503" s="40"/>
      <c r="AV1503" s="46"/>
      <c r="AW1503" s="46"/>
      <c r="AX1503" s="47"/>
      <c r="AY1503" s="44"/>
      <c r="AZ1503" s="30"/>
      <c r="CU1503" s="55"/>
      <c r="CV1503" s="55"/>
      <c r="CW1503" s="55"/>
      <c r="CX1503" s="55"/>
      <c r="CY1503" s="55"/>
      <c r="CZ1503" s="55"/>
      <c r="DA1503" s="82"/>
      <c r="DB1503" s="55"/>
      <c r="DC1503" s="55"/>
      <c r="DD1503" s="55"/>
      <c r="DE1503" s="55"/>
      <c r="DF1503" s="55"/>
      <c r="DG1503" s="55"/>
      <c r="DH1503" s="55"/>
      <c r="DI1503" s="55"/>
      <c r="DJ1503" s="55"/>
      <c r="DK1503" s="55"/>
      <c r="DL1503" s="55"/>
      <c r="DM1503" s="55"/>
      <c r="DN1503" s="55"/>
      <c r="DO1503" s="55"/>
      <c r="DP1503" s="55"/>
      <c r="DQ1503" s="55"/>
      <c r="DR1503" s="55"/>
      <c r="DS1503" s="55"/>
      <c r="DT1503" s="55"/>
      <c r="DU1503" s="55"/>
      <c r="DV1503" s="55"/>
      <c r="DW1503" s="55"/>
    </row>
    <row r="1504">
      <c r="A1504" s="22" t="s">
        <v>55</v>
      </c>
      <c r="B1504" s="23" t="s">
        <v>56</v>
      </c>
      <c r="C1504" s="31" t="s">
        <v>3120</v>
      </c>
      <c r="D1504" s="25" t="str">
        <f>IFERROR(__xludf.DUMMYFUNCTION("SPLIT(C1504,"" "")"),"Davis,")</f>
        <v>Davis,</v>
      </c>
      <c r="E1504" s="22" t="str">
        <f>IFERROR(__xludf.DUMMYFUNCTION("""COMPUTED_VALUE"""),"Amy
1106")</f>
        <v>Amy
1106</v>
      </c>
      <c r="F1504" s="22" t="str">
        <f>IFERROR(__xludf.DUMMYFUNCTION("""COMPUTED_VALUE"""),"N.")</f>
        <v>N.</v>
      </c>
      <c r="G1504" s="22" t="str">
        <f>IFERROR(__xludf.DUMMYFUNCTION("""COMPUTED_VALUE"""),"Clinton")</f>
        <v>Clinton</v>
      </c>
      <c r="H1504" s="22" t="str">
        <f>IFERROR(__xludf.DUMMYFUNCTION("""COMPUTED_VALUE"""),"Ave
Dallas,")</f>
        <v>Ave
Dallas,</v>
      </c>
      <c r="I1504" s="22" t="str">
        <f>IFERROR(__xludf.DUMMYFUNCTION("""COMPUTED_VALUE"""),"TX")</f>
        <v>TX</v>
      </c>
      <c r="J1504" s="22">
        <f>IFERROR(__xludf.DUMMYFUNCTION("""COMPUTED_VALUE"""),75208.0)</f>
        <v>75208</v>
      </c>
      <c r="K1504" s="22"/>
      <c r="L1504" s="22"/>
      <c r="M1504" s="22"/>
      <c r="N1504" s="22"/>
      <c r="O1504" s="22"/>
      <c r="P1504" s="22"/>
      <c r="Q1504" s="22"/>
      <c r="R1504" s="22"/>
      <c r="S1504" s="22"/>
      <c r="T1504" s="22"/>
      <c r="U1504" s="24" t="str">
        <f>IFERROR(__xludf.DUMMYFUNCTION("SPLIT(E1504,""01234567890"")"),"Amy
")</f>
        <v>Amy
</v>
      </c>
      <c r="V1504" s="24" t="str">
        <f>IFERROR(__xludf.DUMMYFUNCTION("SPLIT(D1504,"","")"),"Davis")</f>
        <v>Davis</v>
      </c>
      <c r="W1504" s="25" t="str">
        <f t="shared" si="1"/>
        <v>AMY
 DAVIS</v>
      </c>
      <c r="X1504" s="22"/>
      <c r="Y1504" s="22"/>
      <c r="Z1504" s="25" t="str">
        <f>IFERROR(__xludf.DUMMYFUNCTION("SPLIT(C1504,""
"")"),"Davis, Amy")</f>
        <v>Davis, Amy</v>
      </c>
      <c r="AA1504" s="22" t="str">
        <f>IFERROR(__xludf.DUMMYFUNCTION("""COMPUTED_VALUE"""),"1106 N. Clinton Ave")</f>
        <v>1106 N. Clinton Ave</v>
      </c>
      <c r="AB1504" s="22" t="str">
        <f>IFERROR(__xludf.DUMMYFUNCTION("""COMPUTED_VALUE"""),"Dallas, TX 75208")</f>
        <v>Dallas, TX 75208</v>
      </c>
      <c r="AC1504" s="31" t="s">
        <v>3121</v>
      </c>
      <c r="AD1504" s="22"/>
      <c r="AE1504" s="22"/>
      <c r="AF1504" s="22"/>
      <c r="AG1504" s="22" t="s">
        <v>60</v>
      </c>
      <c r="AH1504" s="54">
        <v>2501.0</v>
      </c>
      <c r="AI1504" s="22" t="s">
        <v>68</v>
      </c>
      <c r="AJ1504" s="27">
        <v>100.0</v>
      </c>
      <c r="AK1504" s="31" t="s">
        <v>21</v>
      </c>
      <c r="AL1504" s="28">
        <v>44907.0</v>
      </c>
      <c r="AM1504" s="29">
        <v>44943.63122685185</v>
      </c>
      <c r="AN1504" s="30">
        <v>2.0</v>
      </c>
      <c r="AO1504" s="22"/>
      <c r="AP1504" s="22"/>
      <c r="AQ1504" s="22"/>
      <c r="AR1504" s="22"/>
      <c r="AS1504" s="22"/>
      <c r="AT1504" s="70"/>
      <c r="AU1504" s="22"/>
      <c r="AV1504" s="57"/>
      <c r="AW1504" s="57"/>
      <c r="AX1504" s="70"/>
      <c r="AY1504" s="29"/>
      <c r="AZ1504" s="30"/>
      <c r="CU1504" s="55"/>
      <c r="CV1504" s="55"/>
      <c r="CW1504" s="55"/>
      <c r="CX1504" s="55"/>
      <c r="CY1504" s="55"/>
      <c r="CZ1504" s="55"/>
      <c r="DA1504" s="82"/>
      <c r="DB1504" s="55"/>
      <c r="DC1504" s="55"/>
      <c r="DD1504" s="55"/>
      <c r="DE1504" s="55"/>
      <c r="DF1504" s="55"/>
      <c r="DG1504" s="55"/>
      <c r="DH1504" s="55"/>
      <c r="DI1504" s="55"/>
      <c r="DJ1504" s="55"/>
      <c r="DK1504" s="55"/>
      <c r="DL1504" s="55"/>
      <c r="DM1504" s="55"/>
      <c r="DN1504" s="55"/>
      <c r="DO1504" s="55"/>
      <c r="DP1504" s="55"/>
      <c r="DQ1504" s="55"/>
      <c r="DR1504" s="55"/>
      <c r="DS1504" s="55"/>
      <c r="DT1504" s="55"/>
      <c r="DU1504" s="55"/>
      <c r="DV1504" s="55"/>
      <c r="DW1504" s="55"/>
    </row>
    <row r="1505">
      <c r="A1505" s="41" t="s">
        <v>64</v>
      </c>
      <c r="B1505" s="41" t="s">
        <v>56</v>
      </c>
      <c r="C1505" s="31" t="s">
        <v>3122</v>
      </c>
      <c r="D1505" s="25" t="str">
        <f>IFERROR(__xludf.DUMMYFUNCTION("SPLIT(C1505,"" "")"),"Dismore,")</f>
        <v>Dismore,</v>
      </c>
      <c r="E1505" s="40" t="str">
        <f>IFERROR(__xludf.DUMMYFUNCTION("""COMPUTED_VALUE"""),"Socorro
1860")</f>
        <v>Socorro
1860</v>
      </c>
      <c r="F1505" s="40" t="str">
        <f>IFERROR(__xludf.DUMMYFUNCTION("""COMPUTED_VALUE"""),"Masters")</f>
        <v>Masters</v>
      </c>
      <c r="G1505" s="40" t="str">
        <f>IFERROR(__xludf.DUMMYFUNCTION("""COMPUTED_VALUE"""),"Dr.
Dallas,")</f>
        <v>Dr.
Dallas,</v>
      </c>
      <c r="H1505" s="40" t="str">
        <f>IFERROR(__xludf.DUMMYFUNCTION("""COMPUTED_VALUE"""),"TX")</f>
        <v>TX</v>
      </c>
      <c r="I1505" s="40">
        <f>IFERROR(__xludf.DUMMYFUNCTION("""COMPUTED_VALUE"""),75115.0)</f>
        <v>75115</v>
      </c>
      <c r="J1505" s="40"/>
      <c r="K1505" s="40"/>
      <c r="L1505" s="40"/>
      <c r="M1505" s="40"/>
      <c r="N1505" s="40"/>
      <c r="O1505" s="40"/>
      <c r="P1505" s="40"/>
      <c r="Q1505" s="40"/>
      <c r="R1505" s="40"/>
      <c r="S1505" s="40"/>
      <c r="T1505" s="40"/>
      <c r="U1505" s="24" t="str">
        <f>IFERROR(__xludf.DUMMYFUNCTION("SPLIT(E1505,""01234567890"")"),"Socorro
")</f>
        <v>Socorro
</v>
      </c>
      <c r="V1505" s="24" t="str">
        <f>IFERROR(__xludf.DUMMYFUNCTION("SPLIT(D1505,"","")"),"Dismore")</f>
        <v>Dismore</v>
      </c>
      <c r="W1505" s="25" t="str">
        <f t="shared" si="1"/>
        <v>SOCORRO
 DISMORE</v>
      </c>
      <c r="X1505" s="40"/>
      <c r="Y1505" s="40"/>
      <c r="Z1505" s="25" t="str">
        <f>IFERROR(__xludf.DUMMYFUNCTION("SPLIT(C1505,""
"")"),"Dismore, Socorro")</f>
        <v>Dismore, Socorro</v>
      </c>
      <c r="AA1505" s="40" t="str">
        <f>IFERROR(__xludf.DUMMYFUNCTION("""COMPUTED_VALUE"""),"1860 Masters Dr.")</f>
        <v>1860 Masters Dr.</v>
      </c>
      <c r="AB1505" s="40" t="str">
        <f>IFERROR(__xludf.DUMMYFUNCTION("""COMPUTED_VALUE"""),"Dallas, TX 75115")</f>
        <v>Dallas, TX 75115</v>
      </c>
      <c r="AC1505" s="31" t="s">
        <v>3123</v>
      </c>
      <c r="AD1505" s="40"/>
      <c r="AE1505" s="40"/>
      <c r="AF1505" s="40"/>
      <c r="AG1505" s="40" t="s">
        <v>60</v>
      </c>
      <c r="AH1505" s="42">
        <v>2501.0</v>
      </c>
      <c r="AI1505" s="40" t="s">
        <v>68</v>
      </c>
      <c r="AJ1505" s="27">
        <v>1000.0</v>
      </c>
      <c r="AK1505" s="31" t="s">
        <v>21</v>
      </c>
      <c r="AL1505" s="43">
        <v>44907.0</v>
      </c>
      <c r="AM1505" s="44">
        <v>44943.63122685185</v>
      </c>
      <c r="AN1505" s="30">
        <v>2.0</v>
      </c>
      <c r="AO1505" s="40"/>
      <c r="AP1505" s="40"/>
      <c r="AQ1505" s="40"/>
      <c r="AR1505" s="40"/>
      <c r="AS1505" s="40"/>
      <c r="AT1505" s="47"/>
      <c r="AU1505" s="40"/>
      <c r="AV1505" s="46"/>
      <c r="AW1505" s="46"/>
      <c r="AX1505" s="47"/>
      <c r="AY1505" s="44"/>
      <c r="AZ1505" s="30"/>
      <c r="CU1505" s="55"/>
      <c r="CV1505" s="55"/>
      <c r="CW1505" s="55"/>
      <c r="CX1505" s="55"/>
      <c r="CY1505" s="55"/>
      <c r="CZ1505" s="55"/>
      <c r="DA1505" s="82"/>
      <c r="DB1505" s="55"/>
      <c r="DC1505" s="55"/>
      <c r="DD1505" s="55"/>
      <c r="DE1505" s="55"/>
      <c r="DF1505" s="55"/>
      <c r="DG1505" s="55"/>
      <c r="DH1505" s="55"/>
      <c r="DI1505" s="55"/>
      <c r="DJ1505" s="55"/>
      <c r="DK1505" s="55"/>
      <c r="DL1505" s="55"/>
      <c r="DM1505" s="55"/>
      <c r="DN1505" s="55"/>
      <c r="DO1505" s="55"/>
      <c r="DP1505" s="55"/>
      <c r="DQ1505" s="55"/>
      <c r="DR1505" s="55"/>
      <c r="DS1505" s="55"/>
      <c r="DT1505" s="55"/>
      <c r="DU1505" s="55"/>
      <c r="DV1505" s="55"/>
      <c r="DW1505" s="55"/>
    </row>
    <row r="1506">
      <c r="A1506" s="22" t="s">
        <v>55</v>
      </c>
      <c r="B1506" s="23" t="s">
        <v>56</v>
      </c>
      <c r="C1506" s="31" t="s">
        <v>573</v>
      </c>
      <c r="D1506" s="25" t="str">
        <f>IFERROR(__xludf.DUMMYFUNCTION("SPLIT(C1506,"" "")"),"Goodwin,")</f>
        <v>Goodwin,</v>
      </c>
      <c r="E1506" s="22" t="str">
        <f>IFERROR(__xludf.DUMMYFUNCTION("""COMPUTED_VALUE"""),"Elisa
2310")</f>
        <v>Elisa
2310</v>
      </c>
      <c r="F1506" s="22" t="str">
        <f>IFERROR(__xludf.DUMMYFUNCTION("""COMPUTED_VALUE"""),"Broken")</f>
        <v>Broken</v>
      </c>
      <c r="G1506" s="22" t="str">
        <f>IFERROR(__xludf.DUMMYFUNCTION("""COMPUTED_VALUE"""),"Point
McKinney,")</f>
        <v>Point
McKinney,</v>
      </c>
      <c r="H1506" s="22" t="str">
        <f>IFERROR(__xludf.DUMMYFUNCTION("""COMPUTED_VALUE"""),"TX")</f>
        <v>TX</v>
      </c>
      <c r="I1506" s="22">
        <f>IFERROR(__xludf.DUMMYFUNCTION("""COMPUTED_VALUE"""),75702.0)</f>
        <v>75702</v>
      </c>
      <c r="J1506" s="22"/>
      <c r="K1506" s="22"/>
      <c r="L1506" s="22"/>
      <c r="M1506" s="22"/>
      <c r="N1506" s="22"/>
      <c r="O1506" s="22"/>
      <c r="P1506" s="22"/>
      <c r="Q1506" s="22"/>
      <c r="R1506" s="22"/>
      <c r="S1506" s="22"/>
      <c r="T1506" s="22"/>
      <c r="U1506" s="24" t="str">
        <f>IFERROR(__xludf.DUMMYFUNCTION("SPLIT(E1506,""01234567890"")"),"Elisa
")</f>
        <v>Elisa
</v>
      </c>
      <c r="V1506" s="24" t="str">
        <f>IFERROR(__xludf.DUMMYFUNCTION("SPLIT(D1506,"","")"),"Goodwin")</f>
        <v>Goodwin</v>
      </c>
      <c r="W1506" s="25" t="str">
        <f t="shared" si="1"/>
        <v>ELISA
 GOODWIN</v>
      </c>
      <c r="X1506" s="22"/>
      <c r="Y1506" s="22"/>
      <c r="Z1506" s="25" t="str">
        <f>IFERROR(__xludf.DUMMYFUNCTION("SPLIT(C1506,""
"")"),"Goodwin, Elisa")</f>
        <v>Goodwin, Elisa</v>
      </c>
      <c r="AA1506" s="22" t="str">
        <f>IFERROR(__xludf.DUMMYFUNCTION("""COMPUTED_VALUE"""),"2310 Broken Point")</f>
        <v>2310 Broken Point</v>
      </c>
      <c r="AB1506" s="22" t="str">
        <f>IFERROR(__xludf.DUMMYFUNCTION("""COMPUTED_VALUE"""),"McKinney, TX 75702")</f>
        <v>McKinney, TX 75702</v>
      </c>
      <c r="AC1506" s="31" t="s">
        <v>575</v>
      </c>
      <c r="AD1506" s="22"/>
      <c r="AE1506" s="22"/>
      <c r="AF1506" s="22"/>
      <c r="AG1506" s="22" t="s">
        <v>60</v>
      </c>
      <c r="AH1506" s="54">
        <v>2501.0</v>
      </c>
      <c r="AI1506" s="22" t="s">
        <v>68</v>
      </c>
      <c r="AJ1506" s="27">
        <v>94.7</v>
      </c>
      <c r="AK1506" s="31" t="s">
        <v>21</v>
      </c>
      <c r="AL1506" s="28">
        <v>44907.0</v>
      </c>
      <c r="AM1506" s="29">
        <v>44943.63122685185</v>
      </c>
      <c r="AN1506" s="30">
        <v>2.0</v>
      </c>
      <c r="AO1506" s="22"/>
      <c r="AP1506" s="22"/>
      <c r="AQ1506" s="22"/>
      <c r="AR1506" s="22"/>
      <c r="AS1506" s="22"/>
      <c r="AT1506" s="70"/>
      <c r="AU1506" s="22"/>
      <c r="AV1506" s="57"/>
      <c r="AW1506" s="57"/>
      <c r="AX1506" s="70"/>
      <c r="AY1506" s="29"/>
      <c r="AZ1506" s="30"/>
      <c r="CU1506" s="55"/>
      <c r="CV1506" s="55"/>
      <c r="CW1506" s="55"/>
      <c r="CX1506" s="55"/>
      <c r="CY1506" s="55"/>
      <c r="CZ1506" s="55"/>
      <c r="DA1506" s="82"/>
      <c r="DB1506" s="55"/>
      <c r="DC1506" s="55"/>
      <c r="DD1506" s="55"/>
      <c r="DE1506" s="55"/>
      <c r="DF1506" s="55"/>
      <c r="DG1506" s="55"/>
      <c r="DH1506" s="55"/>
      <c r="DI1506" s="55"/>
      <c r="DJ1506" s="55"/>
      <c r="DK1506" s="55"/>
      <c r="DL1506" s="55"/>
      <c r="DM1506" s="55"/>
      <c r="DN1506" s="55"/>
      <c r="DO1506" s="55"/>
      <c r="DP1506" s="55"/>
      <c r="DQ1506" s="55"/>
      <c r="DR1506" s="55"/>
      <c r="DS1506" s="55"/>
      <c r="DT1506" s="55"/>
      <c r="DU1506" s="55"/>
      <c r="DV1506" s="55"/>
      <c r="DW1506" s="55"/>
    </row>
    <row r="1507">
      <c r="A1507" s="41" t="s">
        <v>64</v>
      </c>
      <c r="B1507" s="41" t="s">
        <v>56</v>
      </c>
      <c r="C1507" s="31" t="s">
        <v>3124</v>
      </c>
      <c r="D1507" s="25" t="str">
        <f>IFERROR(__xludf.DUMMYFUNCTION("SPLIT(C1507,"" "")"),"Hamilton,")</f>
        <v>Hamilton,</v>
      </c>
      <c r="E1507" s="40" t="str">
        <f>IFERROR(__xludf.DUMMYFUNCTION("""COMPUTED_VALUE"""),"Jane")</f>
        <v>Jane</v>
      </c>
      <c r="F1507" s="40" t="str">
        <f>IFERROR(__xludf.DUMMYFUNCTION("""COMPUTED_VALUE"""),"Hope
623")</f>
        <v>Hope
623</v>
      </c>
      <c r="G1507" s="40" t="str">
        <f>IFERROR(__xludf.DUMMYFUNCTION("""COMPUTED_VALUE"""),"Aspen")</f>
        <v>Aspen</v>
      </c>
      <c r="H1507" s="40" t="str">
        <f>IFERROR(__xludf.DUMMYFUNCTION("""COMPUTED_VALUE"""),"Valley")</f>
        <v>Valley</v>
      </c>
      <c r="I1507" s="40" t="str">
        <f>IFERROR(__xludf.DUMMYFUNCTION("""COMPUTED_VALUE"""),"Ln.
Dallas,")</f>
        <v>Ln.
Dallas,</v>
      </c>
      <c r="J1507" s="40" t="str">
        <f>IFERROR(__xludf.DUMMYFUNCTION("""COMPUTED_VALUE"""),"TX")</f>
        <v>TX</v>
      </c>
      <c r="K1507" s="40">
        <f>IFERROR(__xludf.DUMMYFUNCTION("""COMPUTED_VALUE"""),75208.0)</f>
        <v>75208</v>
      </c>
      <c r="L1507" s="40"/>
      <c r="M1507" s="40"/>
      <c r="N1507" s="40"/>
      <c r="O1507" s="40"/>
      <c r="P1507" s="40"/>
      <c r="Q1507" s="40"/>
      <c r="R1507" s="40"/>
      <c r="S1507" s="40"/>
      <c r="T1507" s="40"/>
      <c r="U1507" s="24" t="str">
        <f>IFERROR(__xludf.DUMMYFUNCTION("SPLIT(E1507,""01234567890"")"),"Jane")</f>
        <v>Jane</v>
      </c>
      <c r="V1507" s="24" t="str">
        <f>IFERROR(__xludf.DUMMYFUNCTION("SPLIT(D1507,"","")"),"Hamilton")</f>
        <v>Hamilton</v>
      </c>
      <c r="W1507" s="25" t="str">
        <f t="shared" si="1"/>
        <v>JANE HAMILTON</v>
      </c>
      <c r="X1507" s="40"/>
      <c r="Y1507" s="40"/>
      <c r="Z1507" s="25" t="str">
        <f>IFERROR(__xludf.DUMMYFUNCTION("SPLIT(C1507,""
"")"),"Hamilton, Jane Hope")</f>
        <v>Hamilton, Jane Hope</v>
      </c>
      <c r="AA1507" s="40" t="str">
        <f>IFERROR(__xludf.DUMMYFUNCTION("""COMPUTED_VALUE"""),"623 Aspen Valley Ln.")</f>
        <v>623 Aspen Valley Ln.</v>
      </c>
      <c r="AB1507" s="40" t="str">
        <f>IFERROR(__xludf.DUMMYFUNCTION("""COMPUTED_VALUE"""),"Dallas, TX 75208")</f>
        <v>Dallas, TX 75208</v>
      </c>
      <c r="AC1507" s="31" t="s">
        <v>2729</v>
      </c>
      <c r="AD1507" s="40"/>
      <c r="AE1507" s="40"/>
      <c r="AF1507" s="40"/>
      <c r="AG1507" s="40" t="s">
        <v>60</v>
      </c>
      <c r="AH1507" s="42">
        <v>2501.0</v>
      </c>
      <c r="AI1507" s="40" t="s">
        <v>68</v>
      </c>
      <c r="AJ1507" s="27">
        <v>250.0</v>
      </c>
      <c r="AK1507" s="31" t="s">
        <v>21</v>
      </c>
      <c r="AL1507" s="43">
        <v>44907.0</v>
      </c>
      <c r="AM1507" s="44">
        <v>44943.63122685185</v>
      </c>
      <c r="AN1507" s="30">
        <v>2.0</v>
      </c>
      <c r="AO1507" s="40"/>
      <c r="AP1507" s="40"/>
      <c r="AQ1507" s="40"/>
      <c r="AR1507" s="40"/>
      <c r="AS1507" s="40"/>
      <c r="AT1507" s="47"/>
      <c r="AU1507" s="40"/>
      <c r="AV1507" s="46"/>
      <c r="AW1507" s="46"/>
      <c r="AX1507" s="47"/>
      <c r="AY1507" s="44"/>
      <c r="AZ1507" s="30"/>
      <c r="CU1507" s="55"/>
      <c r="CV1507" s="55"/>
      <c r="CW1507" s="55"/>
      <c r="CX1507" s="55"/>
      <c r="CY1507" s="55"/>
      <c r="CZ1507" s="55"/>
      <c r="DA1507" s="82"/>
      <c r="DB1507" s="55"/>
      <c r="DC1507" s="55"/>
      <c r="DD1507" s="55"/>
      <c r="DE1507" s="55"/>
      <c r="DF1507" s="55"/>
      <c r="DG1507" s="55"/>
      <c r="DH1507" s="55"/>
      <c r="DI1507" s="55"/>
      <c r="DJ1507" s="55"/>
      <c r="DK1507" s="55"/>
      <c r="DL1507" s="55"/>
      <c r="DM1507" s="55"/>
      <c r="DN1507" s="55"/>
      <c r="DO1507" s="55"/>
      <c r="DP1507" s="55"/>
      <c r="DQ1507" s="55"/>
      <c r="DR1507" s="55"/>
      <c r="DS1507" s="55"/>
      <c r="DT1507" s="55"/>
      <c r="DU1507" s="55"/>
      <c r="DV1507" s="55"/>
      <c r="DW1507" s="55"/>
    </row>
    <row r="1508">
      <c r="A1508" s="22" t="s">
        <v>55</v>
      </c>
      <c r="B1508" s="23" t="s">
        <v>56</v>
      </c>
      <c r="C1508" s="31" t="s">
        <v>3125</v>
      </c>
      <c r="D1508" s="25" t="str">
        <f>IFERROR(__xludf.DUMMYFUNCTION("SPLIT(C1508,"" "")"),"Long,")</f>
        <v>Long,</v>
      </c>
      <c r="E1508" s="22" t="str">
        <f>IFERROR(__xludf.DUMMYFUNCTION("""COMPUTED_VALUE"""),"William
3500")</f>
        <v>William
3500</v>
      </c>
      <c r="F1508" s="22" t="str">
        <f>IFERROR(__xludf.DUMMYFUNCTION("""COMPUTED_VALUE"""),"Kim")</f>
        <v>Kim</v>
      </c>
      <c r="G1508" s="22" t="str">
        <f>IFERROR(__xludf.DUMMYFUNCTION("""COMPUTED_VALUE"""),"Dr.
Irving,")</f>
        <v>Dr.
Irving,</v>
      </c>
      <c r="H1508" s="22" t="str">
        <f>IFERROR(__xludf.DUMMYFUNCTION("""COMPUTED_VALUE"""),"TX")</f>
        <v>TX</v>
      </c>
      <c r="I1508" s="22">
        <f>IFERROR(__xludf.DUMMYFUNCTION("""COMPUTED_VALUE"""),75061.0)</f>
        <v>75061</v>
      </c>
      <c r="J1508" s="22"/>
      <c r="K1508" s="22"/>
      <c r="L1508" s="22"/>
      <c r="M1508" s="22"/>
      <c r="N1508" s="22"/>
      <c r="O1508" s="22"/>
      <c r="P1508" s="22"/>
      <c r="Q1508" s="22"/>
      <c r="R1508" s="22"/>
      <c r="S1508" s="22"/>
      <c r="T1508" s="22"/>
      <c r="U1508" s="24" t="str">
        <f>IFERROR(__xludf.DUMMYFUNCTION("SPLIT(E1508,""01234567890"")"),"William
")</f>
        <v>William
</v>
      </c>
      <c r="V1508" s="24" t="str">
        <f>IFERROR(__xludf.DUMMYFUNCTION("SPLIT(D1508,"","")"),"Long")</f>
        <v>Long</v>
      </c>
      <c r="W1508" s="25" t="str">
        <f t="shared" si="1"/>
        <v>WILLIAM
 LONG</v>
      </c>
      <c r="X1508" s="22"/>
      <c r="Y1508" s="22"/>
      <c r="Z1508" s="25" t="str">
        <f>IFERROR(__xludf.DUMMYFUNCTION("SPLIT(C1508,""
"")"),"Long, William")</f>
        <v>Long, William</v>
      </c>
      <c r="AA1508" s="22" t="str">
        <f>IFERROR(__xludf.DUMMYFUNCTION("""COMPUTED_VALUE"""),"3500 Kim Dr.")</f>
        <v>3500 Kim Dr.</v>
      </c>
      <c r="AB1508" s="22" t="str">
        <f>IFERROR(__xludf.DUMMYFUNCTION("""COMPUTED_VALUE"""),"Irving, TX 75061")</f>
        <v>Irving, TX 75061</v>
      </c>
      <c r="AC1508" s="31" t="s">
        <v>3126</v>
      </c>
      <c r="AD1508" s="22"/>
      <c r="AE1508" s="22"/>
      <c r="AF1508" s="22"/>
      <c r="AG1508" s="22" t="s">
        <v>60</v>
      </c>
      <c r="AH1508" s="54">
        <v>2501.0</v>
      </c>
      <c r="AI1508" s="22" t="s">
        <v>68</v>
      </c>
      <c r="AJ1508" s="27">
        <v>500.0</v>
      </c>
      <c r="AK1508" s="31" t="s">
        <v>21</v>
      </c>
      <c r="AL1508" s="28">
        <v>44907.0</v>
      </c>
      <c r="AM1508" s="29">
        <v>44943.63122685185</v>
      </c>
      <c r="AN1508" s="30">
        <v>2.0</v>
      </c>
      <c r="AO1508" s="22"/>
      <c r="AP1508" s="22"/>
      <c r="AQ1508" s="22"/>
      <c r="AR1508" s="22"/>
      <c r="AS1508" s="22"/>
      <c r="AT1508" s="70"/>
      <c r="AU1508" s="22"/>
      <c r="AV1508" s="57"/>
      <c r="AW1508" s="57"/>
      <c r="AX1508" s="70"/>
      <c r="AY1508" s="29"/>
      <c r="AZ1508" s="30"/>
      <c r="CU1508" s="55"/>
      <c r="CV1508" s="55"/>
      <c r="CW1508" s="55"/>
      <c r="CX1508" s="55"/>
      <c r="CY1508" s="55"/>
      <c r="CZ1508" s="55"/>
      <c r="DA1508" s="82"/>
      <c r="DB1508" s="55"/>
      <c r="DC1508" s="55"/>
      <c r="DD1508" s="55"/>
      <c r="DE1508" s="55"/>
      <c r="DF1508" s="55"/>
      <c r="DG1508" s="55"/>
      <c r="DH1508" s="55"/>
      <c r="DI1508" s="55"/>
      <c r="DJ1508" s="55"/>
      <c r="DK1508" s="55"/>
      <c r="DL1508" s="55"/>
      <c r="DM1508" s="55"/>
      <c r="DN1508" s="55"/>
      <c r="DO1508" s="55"/>
      <c r="DP1508" s="55"/>
      <c r="DQ1508" s="55"/>
      <c r="DR1508" s="55"/>
      <c r="DS1508" s="55"/>
      <c r="DT1508" s="55"/>
      <c r="DU1508" s="55"/>
      <c r="DV1508" s="55"/>
      <c r="DW1508" s="55"/>
    </row>
    <row r="1509">
      <c r="A1509" s="41" t="s">
        <v>64</v>
      </c>
      <c r="B1509" s="41" t="s">
        <v>56</v>
      </c>
      <c r="C1509" s="31" t="s">
        <v>3127</v>
      </c>
      <c r="D1509" s="25" t="str">
        <f>IFERROR(__xludf.DUMMYFUNCTION("SPLIT(C1509,"" "")"),"Krochtengel,")</f>
        <v>Krochtengel,</v>
      </c>
      <c r="E1509" s="40" t="str">
        <f>IFERROR(__xludf.DUMMYFUNCTION("""COMPUTED_VALUE"""),"Zachary
17014")</f>
        <v>Zachary
17014</v>
      </c>
      <c r="F1509" s="40" t="str">
        <f>IFERROR(__xludf.DUMMYFUNCTION("""COMPUTED_VALUE"""),"Preston")</f>
        <v>Preston</v>
      </c>
      <c r="G1509" s="40" t="str">
        <f>IFERROR(__xludf.DUMMYFUNCTION("""COMPUTED_VALUE"""),"Bend")</f>
        <v>Bend</v>
      </c>
      <c r="H1509" s="40" t="str">
        <f>IFERROR(__xludf.DUMMYFUNCTION("""COMPUTED_VALUE"""),"Dr.
Dallas,")</f>
        <v>Dr.
Dallas,</v>
      </c>
      <c r="I1509" s="40" t="str">
        <f>IFERROR(__xludf.DUMMYFUNCTION("""COMPUTED_VALUE"""),"TX")</f>
        <v>TX</v>
      </c>
      <c r="J1509" s="40">
        <f>IFERROR(__xludf.DUMMYFUNCTION("""COMPUTED_VALUE"""),75248.0)</f>
        <v>75248</v>
      </c>
      <c r="K1509" s="40"/>
      <c r="L1509" s="40"/>
      <c r="M1509" s="40"/>
      <c r="N1509" s="40"/>
      <c r="O1509" s="40"/>
      <c r="P1509" s="40"/>
      <c r="Q1509" s="40"/>
      <c r="R1509" s="40"/>
      <c r="S1509" s="40"/>
      <c r="T1509" s="40"/>
      <c r="U1509" s="24" t="str">
        <f>IFERROR(__xludf.DUMMYFUNCTION("SPLIT(E1509,""01234567890"")"),"Zachary
")</f>
        <v>Zachary
</v>
      </c>
      <c r="V1509" s="24" t="str">
        <f>IFERROR(__xludf.DUMMYFUNCTION("SPLIT(D1509,"","")"),"Krochtengel")</f>
        <v>Krochtengel</v>
      </c>
      <c r="W1509" s="25" t="str">
        <f t="shared" si="1"/>
        <v>ZACHARY
 KROCHTENGEL</v>
      </c>
      <c r="X1509" s="40"/>
      <c r="Y1509" s="40"/>
      <c r="Z1509" s="25" t="str">
        <f>IFERROR(__xludf.DUMMYFUNCTION("SPLIT(C1509,""
"")"),"Krochtengel, Zachary")</f>
        <v>Krochtengel, Zachary</v>
      </c>
      <c r="AA1509" s="40" t="str">
        <f>IFERROR(__xludf.DUMMYFUNCTION("""COMPUTED_VALUE"""),"17014 Preston Bend Dr.")</f>
        <v>17014 Preston Bend Dr.</v>
      </c>
      <c r="AB1509" s="40" t="str">
        <f>IFERROR(__xludf.DUMMYFUNCTION("""COMPUTED_VALUE"""),"Dallas, TX 75248")</f>
        <v>Dallas, TX 75248</v>
      </c>
      <c r="AC1509" s="31" t="s">
        <v>2878</v>
      </c>
      <c r="AD1509" s="40"/>
      <c r="AE1509" s="40"/>
      <c r="AF1509" s="40"/>
      <c r="AG1509" s="40" t="s">
        <v>60</v>
      </c>
      <c r="AH1509" s="42">
        <v>2501.0</v>
      </c>
      <c r="AI1509" s="40" t="s">
        <v>68</v>
      </c>
      <c r="AJ1509" s="27">
        <v>250.0</v>
      </c>
      <c r="AK1509" s="31" t="s">
        <v>21</v>
      </c>
      <c r="AL1509" s="43">
        <v>44907.0</v>
      </c>
      <c r="AM1509" s="44">
        <v>44943.63122685185</v>
      </c>
      <c r="AN1509" s="30">
        <v>2.0</v>
      </c>
      <c r="AO1509" s="40"/>
      <c r="AP1509" s="40"/>
      <c r="AQ1509" s="40"/>
      <c r="AR1509" s="40"/>
      <c r="AS1509" s="40"/>
      <c r="AT1509" s="47"/>
      <c r="AU1509" s="40"/>
      <c r="AV1509" s="46"/>
      <c r="AW1509" s="46"/>
      <c r="AX1509" s="47"/>
      <c r="AY1509" s="44"/>
      <c r="AZ1509" s="30"/>
      <c r="CU1509" s="55"/>
      <c r="CV1509" s="55"/>
      <c r="CW1509" s="55"/>
      <c r="CX1509" s="55"/>
      <c r="CY1509" s="55"/>
      <c r="CZ1509" s="55"/>
      <c r="DA1509" s="82"/>
      <c r="DB1509" s="55"/>
      <c r="DC1509" s="55"/>
      <c r="DD1509" s="55"/>
      <c r="DE1509" s="55"/>
      <c r="DF1509" s="55"/>
      <c r="DG1509" s="55"/>
      <c r="DH1509" s="55"/>
      <c r="DI1509" s="55"/>
      <c r="DJ1509" s="55"/>
      <c r="DK1509" s="55"/>
      <c r="DL1509" s="55"/>
      <c r="DM1509" s="55"/>
      <c r="DN1509" s="55"/>
      <c r="DO1509" s="55"/>
      <c r="DP1509" s="55"/>
      <c r="DQ1509" s="55"/>
      <c r="DR1509" s="55"/>
      <c r="DS1509" s="55"/>
      <c r="DT1509" s="55"/>
      <c r="DU1509" s="55"/>
      <c r="DV1509" s="55"/>
      <c r="DW1509" s="55"/>
    </row>
    <row r="1510">
      <c r="A1510" s="22" t="s">
        <v>55</v>
      </c>
      <c r="B1510" s="23" t="s">
        <v>56</v>
      </c>
      <c r="C1510" s="31" t="s">
        <v>3128</v>
      </c>
      <c r="D1510" s="25" t="str">
        <f>IFERROR(__xludf.DUMMYFUNCTION("SPLIT(C1510,"" "")"),"Andres,")</f>
        <v>Andres,</v>
      </c>
      <c r="E1510" s="22" t="str">
        <f>IFERROR(__xludf.DUMMYFUNCTION("""COMPUTED_VALUE"""),"Sarah
PO")</f>
        <v>Sarah
PO</v>
      </c>
      <c r="F1510" s="22" t="str">
        <f>IFERROR(__xludf.DUMMYFUNCTION("""COMPUTED_VALUE"""),"Box")</f>
        <v>Box</v>
      </c>
      <c r="G1510" s="22" t="str">
        <f>IFERROR(__xludf.DUMMYFUNCTION("""COMPUTED_VALUE"""),"17428
Austin,")</f>
        <v>17428
Austin,</v>
      </c>
      <c r="H1510" s="22" t="str">
        <f>IFERROR(__xludf.DUMMYFUNCTION("""COMPUTED_VALUE"""),"TX")</f>
        <v>TX</v>
      </c>
      <c r="I1510" s="22">
        <f>IFERROR(__xludf.DUMMYFUNCTION("""COMPUTED_VALUE"""),78760.0)</f>
        <v>78760</v>
      </c>
      <c r="J1510" s="22"/>
      <c r="K1510" s="22"/>
      <c r="L1510" s="22"/>
      <c r="M1510" s="22"/>
      <c r="N1510" s="22"/>
      <c r="O1510" s="22"/>
      <c r="P1510" s="22"/>
      <c r="Q1510" s="22"/>
      <c r="R1510" s="22"/>
      <c r="S1510" s="22"/>
      <c r="T1510" s="22"/>
      <c r="U1510" s="24" t="str">
        <f>IFERROR(__xludf.DUMMYFUNCTION("SPLIT(E1510,""01234567890"")"),"Sarah
PO")</f>
        <v>Sarah
PO</v>
      </c>
      <c r="V1510" s="24" t="str">
        <f>IFERROR(__xludf.DUMMYFUNCTION("SPLIT(D1510,"","")"),"Andres")</f>
        <v>Andres</v>
      </c>
      <c r="W1510" s="25" t="str">
        <f t="shared" si="1"/>
        <v>SARAH
PO ANDRES</v>
      </c>
      <c r="X1510" s="22"/>
      <c r="Y1510" s="22"/>
      <c r="Z1510" s="25" t="str">
        <f>IFERROR(__xludf.DUMMYFUNCTION("SPLIT(C1510,""
"")"),"Andres, Sarah")</f>
        <v>Andres, Sarah</v>
      </c>
      <c r="AA1510" s="22" t="str">
        <f>IFERROR(__xludf.DUMMYFUNCTION("""COMPUTED_VALUE"""),"PO Box 17428")</f>
        <v>PO Box 17428</v>
      </c>
      <c r="AB1510" s="22" t="str">
        <f>IFERROR(__xludf.DUMMYFUNCTION("""COMPUTED_VALUE"""),"Austin, TX 78760")</f>
        <v>Austin, TX 78760</v>
      </c>
      <c r="AC1510" s="31" t="s">
        <v>3129</v>
      </c>
      <c r="AD1510" s="22"/>
      <c r="AE1510" s="22"/>
      <c r="AF1510" s="22"/>
      <c r="AG1510" s="22" t="s">
        <v>60</v>
      </c>
      <c r="AH1510" s="54">
        <v>2501.0</v>
      </c>
      <c r="AI1510" s="22" t="s">
        <v>68</v>
      </c>
      <c r="AJ1510" s="27">
        <v>1000.0</v>
      </c>
      <c r="AK1510" s="31" t="s">
        <v>21</v>
      </c>
      <c r="AL1510" s="28">
        <v>44907.0</v>
      </c>
      <c r="AM1510" s="29">
        <v>44943.63122685185</v>
      </c>
      <c r="AN1510" s="30">
        <v>2.0</v>
      </c>
      <c r="AO1510" s="22"/>
      <c r="AP1510" s="22"/>
      <c r="AQ1510" s="22"/>
      <c r="AR1510" s="22"/>
      <c r="AS1510" s="22"/>
      <c r="AT1510" s="70"/>
      <c r="AU1510" s="22"/>
      <c r="AV1510" s="57"/>
      <c r="AW1510" s="57"/>
      <c r="AX1510" s="70"/>
      <c r="AY1510" s="29"/>
      <c r="AZ1510" s="30"/>
      <c r="CU1510" s="55"/>
      <c r="CV1510" s="55"/>
      <c r="CW1510" s="55"/>
      <c r="CX1510" s="55"/>
      <c r="CY1510" s="55"/>
      <c r="CZ1510" s="55"/>
      <c r="DA1510" s="82"/>
      <c r="DB1510" s="55"/>
      <c r="DC1510" s="55"/>
      <c r="DD1510" s="55"/>
      <c r="DE1510" s="55"/>
      <c r="DF1510" s="55"/>
      <c r="DG1510" s="55"/>
      <c r="DH1510" s="55"/>
      <c r="DI1510" s="55"/>
      <c r="DJ1510" s="55"/>
      <c r="DK1510" s="55"/>
      <c r="DL1510" s="55"/>
      <c r="DM1510" s="55"/>
      <c r="DN1510" s="55"/>
      <c r="DO1510" s="55"/>
      <c r="DP1510" s="55"/>
      <c r="DQ1510" s="55"/>
      <c r="DR1510" s="55"/>
      <c r="DS1510" s="55"/>
      <c r="DT1510" s="55"/>
      <c r="DU1510" s="55"/>
      <c r="DV1510" s="55"/>
      <c r="DW1510" s="55"/>
    </row>
    <row r="1511">
      <c r="A1511" s="41" t="s">
        <v>64</v>
      </c>
      <c r="B1511" s="41" t="s">
        <v>56</v>
      </c>
      <c r="C1511" s="31" t="s">
        <v>3130</v>
      </c>
      <c r="D1511" s="25" t="str">
        <f>IFERROR(__xludf.DUMMYFUNCTION("SPLIT(C1511,"" "")"),"Lopez,")</f>
        <v>Lopez,</v>
      </c>
      <c r="E1511" s="40" t="str">
        <f>IFERROR(__xludf.DUMMYFUNCTION("""COMPUTED_VALUE"""),"Bridget
4326")</f>
        <v>Bridget
4326</v>
      </c>
      <c r="F1511" s="40" t="str">
        <f>IFERROR(__xludf.DUMMYFUNCTION("""COMPUTED_VALUE"""),"Meadowdale")</f>
        <v>Meadowdale</v>
      </c>
      <c r="G1511" s="40" t="str">
        <f>IFERROR(__xludf.DUMMYFUNCTION("""COMPUTED_VALUE"""),"Ln.
Dallas,")</f>
        <v>Ln.
Dallas,</v>
      </c>
      <c r="H1511" s="40" t="str">
        <f>IFERROR(__xludf.DUMMYFUNCTION("""COMPUTED_VALUE"""),"TX")</f>
        <v>TX</v>
      </c>
      <c r="I1511" s="40">
        <f>IFERROR(__xludf.DUMMYFUNCTION("""COMPUTED_VALUE"""),75229.0)</f>
        <v>75229</v>
      </c>
      <c r="J1511" s="40"/>
      <c r="K1511" s="40"/>
      <c r="L1511" s="40"/>
      <c r="M1511" s="40"/>
      <c r="N1511" s="40"/>
      <c r="O1511" s="40"/>
      <c r="P1511" s="40"/>
      <c r="Q1511" s="40"/>
      <c r="R1511" s="40"/>
      <c r="S1511" s="40"/>
      <c r="T1511" s="40"/>
      <c r="U1511" s="24" t="str">
        <f>IFERROR(__xludf.DUMMYFUNCTION("SPLIT(E1511,""01234567890"")"),"Bridget
")</f>
        <v>Bridget
</v>
      </c>
      <c r="V1511" s="24" t="str">
        <f>IFERROR(__xludf.DUMMYFUNCTION("SPLIT(D1511,"","")"),"Lopez")</f>
        <v>Lopez</v>
      </c>
      <c r="W1511" s="25" t="str">
        <f t="shared" si="1"/>
        <v>BRIDGET
 LOPEZ</v>
      </c>
      <c r="X1511" s="40"/>
      <c r="Y1511" s="40"/>
      <c r="Z1511" s="25" t="str">
        <f>IFERROR(__xludf.DUMMYFUNCTION("SPLIT(C1511,""
"")"),"Lopez, Bridget")</f>
        <v>Lopez, Bridget</v>
      </c>
      <c r="AA1511" s="40" t="str">
        <f>IFERROR(__xludf.DUMMYFUNCTION("""COMPUTED_VALUE"""),"4326 Meadowdale Ln.")</f>
        <v>4326 Meadowdale Ln.</v>
      </c>
      <c r="AB1511" s="40" t="str">
        <f>IFERROR(__xludf.DUMMYFUNCTION("""COMPUTED_VALUE"""),"Dallas, TX 75229")</f>
        <v>Dallas, TX 75229</v>
      </c>
      <c r="AC1511" s="31" t="s">
        <v>3131</v>
      </c>
      <c r="AD1511" s="40"/>
      <c r="AE1511" s="40"/>
      <c r="AF1511" s="40"/>
      <c r="AG1511" s="40" t="s">
        <v>60</v>
      </c>
      <c r="AH1511" s="42">
        <v>2501.0</v>
      </c>
      <c r="AI1511" s="40" t="s">
        <v>68</v>
      </c>
      <c r="AJ1511" s="27">
        <v>500.0</v>
      </c>
      <c r="AK1511" s="31" t="s">
        <v>21</v>
      </c>
      <c r="AL1511" s="43">
        <v>44907.0</v>
      </c>
      <c r="AM1511" s="44">
        <v>44943.63122685185</v>
      </c>
      <c r="AN1511" s="30">
        <v>2.0</v>
      </c>
      <c r="AO1511" s="40"/>
      <c r="AP1511" s="40"/>
      <c r="AQ1511" s="40"/>
      <c r="AR1511" s="40"/>
      <c r="AS1511" s="40"/>
      <c r="AT1511" s="47"/>
      <c r="AU1511" s="40"/>
      <c r="AV1511" s="46"/>
      <c r="AW1511" s="46"/>
      <c r="AX1511" s="47"/>
      <c r="AY1511" s="44"/>
      <c r="AZ1511" s="30"/>
      <c r="CU1511" s="55"/>
      <c r="CV1511" s="55"/>
      <c r="CW1511" s="55"/>
      <c r="CX1511" s="55"/>
      <c r="CY1511" s="55"/>
      <c r="CZ1511" s="55"/>
      <c r="DA1511" s="82"/>
      <c r="DB1511" s="55"/>
      <c r="DC1511" s="55"/>
      <c r="DD1511" s="55"/>
      <c r="DE1511" s="55"/>
      <c r="DF1511" s="55"/>
      <c r="DG1511" s="55"/>
      <c r="DH1511" s="55"/>
      <c r="DI1511" s="55"/>
      <c r="DJ1511" s="55"/>
      <c r="DK1511" s="55"/>
      <c r="DL1511" s="55"/>
      <c r="DM1511" s="55"/>
      <c r="DN1511" s="55"/>
      <c r="DO1511" s="55"/>
      <c r="DP1511" s="55"/>
      <c r="DQ1511" s="55"/>
      <c r="DR1511" s="55"/>
      <c r="DS1511" s="55"/>
      <c r="DT1511" s="55"/>
      <c r="DU1511" s="55"/>
      <c r="DV1511" s="55"/>
      <c r="DW1511" s="55"/>
    </row>
    <row r="1512">
      <c r="A1512" s="22" t="s">
        <v>55</v>
      </c>
      <c r="B1512" s="23" t="s">
        <v>56</v>
      </c>
      <c r="C1512" s="31" t="s">
        <v>3132</v>
      </c>
      <c r="D1512" s="25" t="str">
        <f>IFERROR(__xludf.DUMMYFUNCTION("SPLIT(C1512,"" "")"),"Orr,")</f>
        <v>Orr,</v>
      </c>
      <c r="E1512" s="22" t="str">
        <f>IFERROR(__xludf.DUMMYFUNCTION("""COMPUTED_VALUE"""),"Marci
211")</f>
        <v>Marci
211</v>
      </c>
      <c r="F1512" s="22" t="str">
        <f>IFERROR(__xludf.DUMMYFUNCTION("""COMPUTED_VALUE"""),"S.")</f>
        <v>S.</v>
      </c>
      <c r="G1512" s="22" t="str">
        <f>IFERROR(__xludf.DUMMYFUNCTION("""COMPUTED_VALUE"""),"Tyler")</f>
        <v>Tyler</v>
      </c>
      <c r="H1512" s="22" t="str">
        <f>IFERROR(__xludf.DUMMYFUNCTION("""COMPUTED_VALUE"""),"St.
Dallas,")</f>
        <v>St.
Dallas,</v>
      </c>
      <c r="I1512" s="22" t="str">
        <f>IFERROR(__xludf.DUMMYFUNCTION("""COMPUTED_VALUE"""),"TX")</f>
        <v>TX</v>
      </c>
      <c r="J1512" s="22">
        <f>IFERROR(__xludf.DUMMYFUNCTION("""COMPUTED_VALUE"""),75224.0)</f>
        <v>75224</v>
      </c>
      <c r="K1512" s="22"/>
      <c r="L1512" s="22"/>
      <c r="M1512" s="22"/>
      <c r="N1512" s="22"/>
      <c r="O1512" s="22"/>
      <c r="P1512" s="22"/>
      <c r="Q1512" s="22"/>
      <c r="R1512" s="22"/>
      <c r="S1512" s="22"/>
      <c r="T1512" s="22"/>
      <c r="U1512" s="24" t="str">
        <f>IFERROR(__xludf.DUMMYFUNCTION("SPLIT(E1512,""01234567890"")"),"Marci
")</f>
        <v>Marci
</v>
      </c>
      <c r="V1512" s="24" t="str">
        <f>IFERROR(__xludf.DUMMYFUNCTION("SPLIT(D1512,"","")"),"Orr")</f>
        <v>Orr</v>
      </c>
      <c r="W1512" s="25" t="str">
        <f t="shared" si="1"/>
        <v>MARCI
 ORR</v>
      </c>
      <c r="X1512" s="22"/>
      <c r="Y1512" s="22"/>
      <c r="Z1512" s="25" t="str">
        <f>IFERROR(__xludf.DUMMYFUNCTION("SPLIT(C1512,""
"")"),"Orr, Marci")</f>
        <v>Orr, Marci</v>
      </c>
      <c r="AA1512" s="22" t="str">
        <f>IFERROR(__xludf.DUMMYFUNCTION("""COMPUTED_VALUE"""),"211 S. Tyler St.")</f>
        <v>211 S. Tyler St.</v>
      </c>
      <c r="AB1512" s="22" t="str">
        <f>IFERROR(__xludf.DUMMYFUNCTION("""COMPUTED_VALUE"""),"Dallas, TX 75224")</f>
        <v>Dallas, TX 75224</v>
      </c>
      <c r="AC1512" s="31" t="s">
        <v>3133</v>
      </c>
      <c r="AD1512" s="22"/>
      <c r="AE1512" s="22"/>
      <c r="AF1512" s="22"/>
      <c r="AG1512" s="22" t="s">
        <v>60</v>
      </c>
      <c r="AH1512" s="54">
        <v>2501.0</v>
      </c>
      <c r="AI1512" s="22" t="s">
        <v>68</v>
      </c>
      <c r="AJ1512" s="27">
        <v>250.0</v>
      </c>
      <c r="AK1512" s="31" t="s">
        <v>21</v>
      </c>
      <c r="AL1512" s="28">
        <v>44907.0</v>
      </c>
      <c r="AM1512" s="29">
        <v>44943.63122685185</v>
      </c>
      <c r="AN1512" s="30">
        <v>2.0</v>
      </c>
      <c r="AO1512" s="22"/>
      <c r="AP1512" s="22"/>
      <c r="AQ1512" s="22"/>
      <c r="AR1512" s="22"/>
      <c r="AS1512" s="22"/>
      <c r="AT1512" s="70"/>
      <c r="AU1512" s="22"/>
      <c r="AV1512" s="57"/>
      <c r="AW1512" s="57"/>
      <c r="AX1512" s="70"/>
      <c r="AY1512" s="29"/>
      <c r="AZ1512" s="30"/>
      <c r="CU1512" s="55"/>
      <c r="CV1512" s="55"/>
      <c r="CW1512" s="55"/>
      <c r="CX1512" s="55"/>
      <c r="CY1512" s="55"/>
      <c r="CZ1512" s="55"/>
      <c r="DA1512" s="82"/>
      <c r="DB1512" s="55"/>
      <c r="DC1512" s="55"/>
      <c r="DD1512" s="55"/>
      <c r="DE1512" s="55"/>
      <c r="DF1512" s="55"/>
      <c r="DG1512" s="55"/>
      <c r="DH1512" s="55"/>
      <c r="DI1512" s="55"/>
      <c r="DJ1512" s="55"/>
      <c r="DK1512" s="55"/>
      <c r="DL1512" s="55"/>
      <c r="DM1512" s="55"/>
      <c r="DN1512" s="55"/>
      <c r="DO1512" s="55"/>
      <c r="DP1512" s="55"/>
      <c r="DQ1512" s="55"/>
      <c r="DR1512" s="55"/>
      <c r="DS1512" s="55"/>
      <c r="DT1512" s="55"/>
      <c r="DU1512" s="55"/>
      <c r="DV1512" s="55"/>
      <c r="DW1512" s="55"/>
    </row>
    <row r="1513">
      <c r="A1513" s="41" t="s">
        <v>64</v>
      </c>
      <c r="B1513" s="41" t="s">
        <v>56</v>
      </c>
      <c r="C1513" s="31" t="s">
        <v>3134</v>
      </c>
      <c r="D1513" s="25" t="str">
        <f>IFERROR(__xludf.DUMMYFUNCTION("SPLIT(C1513,"" "")"),"Owens,")</f>
        <v>Owens,</v>
      </c>
      <c r="E1513" s="40" t="str">
        <f>IFERROR(__xludf.DUMMYFUNCTION("""COMPUTED_VALUE"""),"Gerald
1508")</f>
        <v>Gerald
1508</v>
      </c>
      <c r="F1513" s="40" t="str">
        <f>IFERROR(__xludf.DUMMYFUNCTION("""COMPUTED_VALUE"""),"Winding")</f>
        <v>Winding</v>
      </c>
      <c r="G1513" s="40" t="str">
        <f>IFERROR(__xludf.DUMMYFUNCTION("""COMPUTED_VALUE"""),"Hollow")</f>
        <v>Hollow</v>
      </c>
      <c r="H1513" s="40" t="str">
        <f>IFERROR(__xludf.DUMMYFUNCTION("""COMPUTED_VALUE"""),"Ln.
Plano,")</f>
        <v>Ln.
Plano,</v>
      </c>
      <c r="I1513" s="40" t="str">
        <f>IFERROR(__xludf.DUMMYFUNCTION("""COMPUTED_VALUE"""),"TX")</f>
        <v>TX</v>
      </c>
      <c r="J1513" s="40">
        <f>IFERROR(__xludf.DUMMYFUNCTION("""COMPUTED_VALUE"""),75093.0)</f>
        <v>75093</v>
      </c>
      <c r="K1513" s="40"/>
      <c r="L1513" s="40"/>
      <c r="M1513" s="40"/>
      <c r="N1513" s="40"/>
      <c r="O1513" s="40"/>
      <c r="P1513" s="40"/>
      <c r="Q1513" s="40"/>
      <c r="R1513" s="40"/>
      <c r="S1513" s="40"/>
      <c r="T1513" s="40"/>
      <c r="U1513" s="24" t="str">
        <f>IFERROR(__xludf.DUMMYFUNCTION("SPLIT(E1513,""01234567890"")"),"Gerald
")</f>
        <v>Gerald
</v>
      </c>
      <c r="V1513" s="24" t="str">
        <f>IFERROR(__xludf.DUMMYFUNCTION("SPLIT(D1513,"","")"),"Owens")</f>
        <v>Owens</v>
      </c>
      <c r="W1513" s="25" t="str">
        <f t="shared" si="1"/>
        <v>GERALD
 OWENS</v>
      </c>
      <c r="X1513" s="40"/>
      <c r="Y1513" s="40"/>
      <c r="Z1513" s="25" t="str">
        <f>IFERROR(__xludf.DUMMYFUNCTION("SPLIT(C1513,""
"")"),"Owens, Gerald")</f>
        <v>Owens, Gerald</v>
      </c>
      <c r="AA1513" s="40" t="str">
        <f>IFERROR(__xludf.DUMMYFUNCTION("""COMPUTED_VALUE"""),"1508 Winding Hollow Ln.")</f>
        <v>1508 Winding Hollow Ln.</v>
      </c>
      <c r="AB1513" s="40" t="str">
        <f>IFERROR(__xludf.DUMMYFUNCTION("""COMPUTED_VALUE"""),"Plano, TX 75093")</f>
        <v>Plano, TX 75093</v>
      </c>
      <c r="AC1513" s="31" t="s">
        <v>3135</v>
      </c>
      <c r="AD1513" s="40"/>
      <c r="AE1513" s="40"/>
      <c r="AF1513" s="40"/>
      <c r="AG1513" s="40" t="s">
        <v>60</v>
      </c>
      <c r="AH1513" s="42">
        <v>2501.0</v>
      </c>
      <c r="AI1513" s="40" t="s">
        <v>68</v>
      </c>
      <c r="AJ1513" s="27">
        <v>200.0</v>
      </c>
      <c r="AK1513" s="31" t="s">
        <v>21</v>
      </c>
      <c r="AL1513" s="43">
        <v>44907.0</v>
      </c>
      <c r="AM1513" s="44">
        <v>44943.63122685185</v>
      </c>
      <c r="AN1513" s="30">
        <v>2.0</v>
      </c>
      <c r="AO1513" s="40"/>
      <c r="AP1513" s="40"/>
      <c r="AQ1513" s="40"/>
      <c r="AR1513" s="40"/>
      <c r="AS1513" s="40"/>
      <c r="AT1513" s="47"/>
      <c r="AU1513" s="40"/>
      <c r="AV1513" s="46"/>
      <c r="AW1513" s="46"/>
      <c r="AX1513" s="47"/>
      <c r="AY1513" s="44"/>
      <c r="AZ1513" s="30"/>
      <c r="CU1513" s="55"/>
      <c r="CV1513" s="55"/>
      <c r="CW1513" s="55"/>
      <c r="CX1513" s="55"/>
      <c r="CY1513" s="55"/>
      <c r="CZ1513" s="55"/>
      <c r="DA1513" s="82"/>
      <c r="DB1513" s="55"/>
      <c r="DC1513" s="55"/>
      <c r="DD1513" s="55"/>
      <c r="DE1513" s="55"/>
      <c r="DF1513" s="55"/>
      <c r="DG1513" s="55"/>
      <c r="DH1513" s="55"/>
      <c r="DI1513" s="55"/>
      <c r="DJ1513" s="55"/>
      <c r="DK1513" s="55"/>
      <c r="DL1513" s="55"/>
      <c r="DM1513" s="55"/>
      <c r="DN1513" s="55"/>
      <c r="DO1513" s="55"/>
      <c r="DP1513" s="55"/>
      <c r="DQ1513" s="55"/>
      <c r="DR1513" s="55"/>
      <c r="DS1513" s="55"/>
      <c r="DT1513" s="55"/>
      <c r="DU1513" s="55"/>
      <c r="DV1513" s="55"/>
      <c r="DW1513" s="55"/>
    </row>
    <row r="1514">
      <c r="A1514" s="22" t="s">
        <v>55</v>
      </c>
      <c r="B1514" s="23" t="s">
        <v>56</v>
      </c>
      <c r="C1514" s="31" t="s">
        <v>3136</v>
      </c>
      <c r="D1514" s="25" t="str">
        <f>IFERROR(__xludf.DUMMYFUNCTION("SPLIT(C1514,"" "")"),"Santa")</f>
        <v>Santa</v>
      </c>
      <c r="E1514" s="22" t="str">
        <f>IFERROR(__xludf.DUMMYFUNCTION("""COMPUTED_VALUE"""),"Maria,")</f>
        <v>Maria,</v>
      </c>
      <c r="F1514" s="22" t="str">
        <f>IFERROR(__xludf.DUMMYFUNCTION("""COMPUTED_VALUE"""),"Arthur
785")</f>
        <v>Arthur
785</v>
      </c>
      <c r="G1514" s="22" t="str">
        <f>IFERROR(__xludf.DUMMYFUNCTION("""COMPUTED_VALUE"""),"Huntingdon")</f>
        <v>Huntingdon</v>
      </c>
      <c r="H1514" s="22" t="str">
        <f>IFERROR(__xludf.DUMMYFUNCTION("""COMPUTED_VALUE"""),"St.
Coppell,")</f>
        <v>St.
Coppell,</v>
      </c>
      <c r="I1514" s="22" t="str">
        <f>IFERROR(__xludf.DUMMYFUNCTION("""COMPUTED_VALUE"""),"TX")</f>
        <v>TX</v>
      </c>
      <c r="J1514" s="22">
        <f>IFERROR(__xludf.DUMMYFUNCTION("""COMPUTED_VALUE"""),76501.0)</f>
        <v>76501</v>
      </c>
      <c r="K1514" s="22"/>
      <c r="L1514" s="22"/>
      <c r="M1514" s="22"/>
      <c r="N1514" s="22"/>
      <c r="O1514" s="22"/>
      <c r="P1514" s="22"/>
      <c r="Q1514" s="22"/>
      <c r="R1514" s="22"/>
      <c r="S1514" s="22"/>
      <c r="T1514" s="22"/>
      <c r="U1514" s="24" t="str">
        <f>IFERROR(__xludf.DUMMYFUNCTION("SPLIT(E1514,""01234567890"")"),"Maria,")</f>
        <v>Maria,</v>
      </c>
      <c r="V1514" s="24" t="str">
        <f>IFERROR(__xludf.DUMMYFUNCTION("SPLIT(D1514,"","")"),"Santa")</f>
        <v>Santa</v>
      </c>
      <c r="W1514" s="25" t="str">
        <f t="shared" si="1"/>
        <v>MARIA, SANTA</v>
      </c>
      <c r="X1514" s="22"/>
      <c r="Y1514" s="22"/>
      <c r="Z1514" s="25" t="str">
        <f>IFERROR(__xludf.DUMMYFUNCTION("SPLIT(C1514,""
"")"),"Santa Maria, Arthur")</f>
        <v>Santa Maria, Arthur</v>
      </c>
      <c r="AA1514" s="22" t="str">
        <f>IFERROR(__xludf.DUMMYFUNCTION("""COMPUTED_VALUE"""),"785 Huntingdon St.")</f>
        <v>785 Huntingdon St.</v>
      </c>
      <c r="AB1514" s="22" t="str">
        <f>IFERROR(__xludf.DUMMYFUNCTION("""COMPUTED_VALUE"""),"Coppell, TX 76501")</f>
        <v>Coppell, TX 76501</v>
      </c>
      <c r="AC1514" s="31" t="s">
        <v>3137</v>
      </c>
      <c r="AD1514" s="22"/>
      <c r="AE1514" s="22"/>
      <c r="AF1514" s="22"/>
      <c r="AG1514" s="22" t="s">
        <v>60</v>
      </c>
      <c r="AH1514" s="54">
        <v>2501.0</v>
      </c>
      <c r="AI1514" s="22" t="s">
        <v>68</v>
      </c>
      <c r="AJ1514" s="27">
        <v>1000.0</v>
      </c>
      <c r="AK1514" s="31" t="s">
        <v>21</v>
      </c>
      <c r="AL1514" s="28">
        <v>44907.0</v>
      </c>
      <c r="AM1514" s="29">
        <v>44943.63122685185</v>
      </c>
      <c r="AN1514" s="30">
        <v>2.0</v>
      </c>
      <c r="AO1514" s="22"/>
      <c r="AP1514" s="22"/>
      <c r="AQ1514" s="22"/>
      <c r="AR1514" s="22"/>
      <c r="AS1514" s="22"/>
      <c r="AT1514" s="70"/>
      <c r="AU1514" s="22"/>
      <c r="AV1514" s="57"/>
      <c r="AW1514" s="57"/>
      <c r="AX1514" s="70"/>
      <c r="AY1514" s="29"/>
      <c r="AZ1514" s="30"/>
      <c r="CU1514" s="55"/>
      <c r="CV1514" s="55"/>
      <c r="CW1514" s="55"/>
      <c r="CX1514" s="55"/>
      <c r="CY1514" s="55"/>
      <c r="CZ1514" s="55"/>
      <c r="DA1514" s="82"/>
      <c r="DB1514" s="55"/>
      <c r="DC1514" s="55"/>
      <c r="DD1514" s="55"/>
      <c r="DE1514" s="55"/>
      <c r="DF1514" s="55"/>
      <c r="DG1514" s="55"/>
      <c r="DH1514" s="55"/>
      <c r="DI1514" s="55"/>
      <c r="DJ1514" s="55"/>
      <c r="DK1514" s="55"/>
      <c r="DL1514" s="55"/>
      <c r="DM1514" s="55"/>
      <c r="DN1514" s="55"/>
      <c r="DO1514" s="55"/>
      <c r="DP1514" s="55"/>
      <c r="DQ1514" s="55"/>
      <c r="DR1514" s="55"/>
      <c r="DS1514" s="55"/>
      <c r="DT1514" s="55"/>
      <c r="DU1514" s="55"/>
      <c r="DV1514" s="55"/>
      <c r="DW1514" s="55"/>
    </row>
    <row r="1515">
      <c r="A1515" s="41" t="s">
        <v>64</v>
      </c>
      <c r="B1515" s="41" t="s">
        <v>56</v>
      </c>
      <c r="C1515" s="31" t="s">
        <v>3138</v>
      </c>
      <c r="D1515" s="25" t="str">
        <f>IFERROR(__xludf.DUMMYFUNCTION("SPLIT(C1515,"" "")"),"Thorne,")</f>
        <v>Thorne,</v>
      </c>
      <c r="E1515" s="40" t="str">
        <f>IFERROR(__xludf.DUMMYFUNCTION("""COMPUTED_VALUE"""),"Harold
3550")</f>
        <v>Harold
3550</v>
      </c>
      <c r="F1515" s="40" t="str">
        <f>IFERROR(__xludf.DUMMYFUNCTION("""COMPUTED_VALUE"""),"Gifco")</f>
        <v>Gifco</v>
      </c>
      <c r="G1515" s="40" t="str">
        <f>IFERROR(__xludf.DUMMYFUNCTION("""COMPUTED_VALUE"""),"Rd.
Midlothian,")</f>
        <v>Rd.
Midlothian,</v>
      </c>
      <c r="H1515" s="40" t="str">
        <f>IFERROR(__xludf.DUMMYFUNCTION("""COMPUTED_VALUE"""),"TX")</f>
        <v>TX</v>
      </c>
      <c r="I1515" s="40">
        <f>IFERROR(__xludf.DUMMYFUNCTION("""COMPUTED_VALUE"""),76065.0)</f>
        <v>76065</v>
      </c>
      <c r="J1515" s="40"/>
      <c r="K1515" s="40"/>
      <c r="L1515" s="40"/>
      <c r="M1515" s="40"/>
      <c r="N1515" s="40"/>
      <c r="O1515" s="40"/>
      <c r="P1515" s="40"/>
      <c r="Q1515" s="40"/>
      <c r="R1515" s="40"/>
      <c r="S1515" s="40"/>
      <c r="T1515" s="40"/>
      <c r="U1515" s="24" t="str">
        <f>IFERROR(__xludf.DUMMYFUNCTION("SPLIT(E1515,""01234567890"")"),"Harold
")</f>
        <v>Harold
</v>
      </c>
      <c r="V1515" s="24" t="str">
        <f>IFERROR(__xludf.DUMMYFUNCTION("SPLIT(D1515,"","")"),"Thorne")</f>
        <v>Thorne</v>
      </c>
      <c r="W1515" s="25" t="str">
        <f t="shared" si="1"/>
        <v>HAROLD
 THORNE</v>
      </c>
      <c r="X1515" s="40"/>
      <c r="Y1515" s="40"/>
      <c r="Z1515" s="25" t="str">
        <f>IFERROR(__xludf.DUMMYFUNCTION("SPLIT(C1515,""
"")"),"Thorne, Harold")</f>
        <v>Thorne, Harold</v>
      </c>
      <c r="AA1515" s="40" t="str">
        <f>IFERROR(__xludf.DUMMYFUNCTION("""COMPUTED_VALUE"""),"3550 Gifco Rd.")</f>
        <v>3550 Gifco Rd.</v>
      </c>
      <c r="AB1515" s="40" t="str">
        <f>IFERROR(__xludf.DUMMYFUNCTION("""COMPUTED_VALUE"""),"Midlothian, TX 76065")</f>
        <v>Midlothian, TX 76065</v>
      </c>
      <c r="AC1515" s="31" t="s">
        <v>3139</v>
      </c>
      <c r="AD1515" s="40"/>
      <c r="AE1515" s="40"/>
      <c r="AF1515" s="40"/>
      <c r="AG1515" s="40" t="s">
        <v>60</v>
      </c>
      <c r="AH1515" s="42">
        <v>2501.0</v>
      </c>
      <c r="AI1515" s="40" t="s">
        <v>68</v>
      </c>
      <c r="AJ1515" s="27">
        <v>500.0</v>
      </c>
      <c r="AK1515" s="31" t="s">
        <v>21</v>
      </c>
      <c r="AL1515" s="43">
        <v>44907.0</v>
      </c>
      <c r="AM1515" s="44">
        <v>44943.63122685185</v>
      </c>
      <c r="AN1515" s="30">
        <v>2.0</v>
      </c>
      <c r="AO1515" s="40"/>
      <c r="AP1515" s="40"/>
      <c r="AQ1515" s="40"/>
      <c r="AR1515" s="40"/>
      <c r="AS1515" s="40"/>
      <c r="AT1515" s="47"/>
      <c r="AU1515" s="40"/>
      <c r="AV1515" s="46"/>
      <c r="AW1515" s="46"/>
      <c r="AX1515" s="47"/>
      <c r="AY1515" s="44"/>
      <c r="AZ1515" s="30"/>
      <c r="CU1515" s="55"/>
      <c r="CV1515" s="55"/>
      <c r="CW1515" s="55"/>
      <c r="CX1515" s="55"/>
      <c r="CY1515" s="55"/>
      <c r="CZ1515" s="55"/>
      <c r="DA1515" s="82"/>
      <c r="DB1515" s="55"/>
      <c r="DC1515" s="55"/>
      <c r="DD1515" s="55"/>
      <c r="DE1515" s="55"/>
      <c r="DF1515" s="55"/>
      <c r="DG1515" s="55"/>
      <c r="DH1515" s="55"/>
      <c r="DI1515" s="55"/>
      <c r="DJ1515" s="55"/>
      <c r="DK1515" s="55"/>
      <c r="DL1515" s="55"/>
      <c r="DM1515" s="55"/>
      <c r="DN1515" s="55"/>
      <c r="DO1515" s="55"/>
      <c r="DP1515" s="55"/>
      <c r="DQ1515" s="55"/>
      <c r="DR1515" s="55"/>
      <c r="DS1515" s="55"/>
      <c r="DT1515" s="55"/>
      <c r="DU1515" s="55"/>
      <c r="DV1515" s="55"/>
      <c r="DW1515" s="55"/>
    </row>
    <row r="1516">
      <c r="A1516" s="22" t="s">
        <v>55</v>
      </c>
      <c r="B1516" s="23" t="s">
        <v>56</v>
      </c>
      <c r="C1516" s="31" t="s">
        <v>3140</v>
      </c>
      <c r="D1516" s="25" t="str">
        <f>IFERROR(__xludf.DUMMYFUNCTION("SPLIT(C1516,"" "")"),"Sievers,")</f>
        <v>Sievers,</v>
      </c>
      <c r="E1516" s="22" t="str">
        <f>IFERROR(__xludf.DUMMYFUNCTION("""COMPUTED_VALUE"""),"Lisa
8238")</f>
        <v>Lisa
8238</v>
      </c>
      <c r="F1516" s="22" t="str">
        <f>IFERROR(__xludf.DUMMYFUNCTION("""COMPUTED_VALUE"""),"Barbaree")</f>
        <v>Barbaree</v>
      </c>
      <c r="G1516" s="22" t="str">
        <f>IFERROR(__xludf.DUMMYFUNCTION("""COMPUTED_VALUE"""),"Blvd.
Dallas,")</f>
        <v>Blvd.
Dallas,</v>
      </c>
      <c r="H1516" s="22" t="str">
        <f>IFERROR(__xludf.DUMMYFUNCTION("""COMPUTED_VALUE"""),"TX")</f>
        <v>TX</v>
      </c>
      <c r="I1516" s="22">
        <f>IFERROR(__xludf.DUMMYFUNCTION("""COMPUTED_VALUE"""),75228.0)</f>
        <v>75228</v>
      </c>
      <c r="J1516" s="22"/>
      <c r="K1516" s="22"/>
      <c r="L1516" s="22"/>
      <c r="M1516" s="22"/>
      <c r="N1516" s="22"/>
      <c r="O1516" s="22"/>
      <c r="P1516" s="22"/>
      <c r="Q1516" s="22"/>
      <c r="R1516" s="22"/>
      <c r="S1516" s="22"/>
      <c r="T1516" s="22"/>
      <c r="U1516" s="24" t="str">
        <f>IFERROR(__xludf.DUMMYFUNCTION("SPLIT(E1516,""01234567890"")"),"Lisa
")</f>
        <v>Lisa
</v>
      </c>
      <c r="V1516" s="24" t="str">
        <f>IFERROR(__xludf.DUMMYFUNCTION("SPLIT(D1516,"","")"),"Sievers")</f>
        <v>Sievers</v>
      </c>
      <c r="W1516" s="25" t="str">
        <f t="shared" si="1"/>
        <v>LISA
 SIEVERS</v>
      </c>
      <c r="X1516" s="22"/>
      <c r="Y1516" s="22"/>
      <c r="Z1516" s="25" t="str">
        <f>IFERROR(__xludf.DUMMYFUNCTION("SPLIT(C1516,""
"")"),"Sievers, Lisa")</f>
        <v>Sievers, Lisa</v>
      </c>
      <c r="AA1516" s="22" t="str">
        <f>IFERROR(__xludf.DUMMYFUNCTION("""COMPUTED_VALUE"""),"8238 Barbaree Blvd.")</f>
        <v>8238 Barbaree Blvd.</v>
      </c>
      <c r="AB1516" s="22" t="str">
        <f>IFERROR(__xludf.DUMMYFUNCTION("""COMPUTED_VALUE"""),"Dallas, TX 75228")</f>
        <v>Dallas, TX 75228</v>
      </c>
      <c r="AC1516" s="31" t="s">
        <v>2743</v>
      </c>
      <c r="AD1516" s="22"/>
      <c r="AE1516" s="22"/>
      <c r="AF1516" s="22"/>
      <c r="AG1516" s="22" t="s">
        <v>60</v>
      </c>
      <c r="AH1516" s="54">
        <v>2501.0</v>
      </c>
      <c r="AI1516" s="22" t="s">
        <v>68</v>
      </c>
      <c r="AJ1516" s="27">
        <v>50.0</v>
      </c>
      <c r="AK1516" s="31" t="s">
        <v>21</v>
      </c>
      <c r="AL1516" s="28">
        <v>44908.0</v>
      </c>
      <c r="AM1516" s="29">
        <v>44943.63122685185</v>
      </c>
      <c r="AN1516" s="30">
        <v>2.0</v>
      </c>
      <c r="AO1516" s="22"/>
      <c r="AP1516" s="22"/>
      <c r="AQ1516" s="22"/>
      <c r="AR1516" s="22"/>
      <c r="AS1516" s="22"/>
      <c r="AT1516" s="70"/>
      <c r="AU1516" s="22"/>
      <c r="AV1516" s="57"/>
      <c r="AW1516" s="57"/>
      <c r="AX1516" s="70"/>
      <c r="AY1516" s="29"/>
      <c r="AZ1516" s="30"/>
      <c r="CU1516" s="55"/>
      <c r="CV1516" s="55"/>
      <c r="CW1516" s="55"/>
      <c r="CX1516" s="55"/>
      <c r="CY1516" s="55"/>
      <c r="CZ1516" s="55"/>
      <c r="DA1516" s="82"/>
      <c r="DB1516" s="55"/>
      <c r="DC1516" s="55"/>
      <c r="DD1516" s="55"/>
      <c r="DE1516" s="55"/>
      <c r="DF1516" s="55"/>
      <c r="DG1516" s="55"/>
      <c r="DH1516" s="55"/>
      <c r="DI1516" s="55"/>
      <c r="DJ1516" s="55"/>
      <c r="DK1516" s="55"/>
      <c r="DL1516" s="55"/>
      <c r="DM1516" s="55"/>
      <c r="DN1516" s="55"/>
      <c r="DO1516" s="55"/>
      <c r="DP1516" s="55"/>
      <c r="DQ1516" s="55"/>
      <c r="DR1516" s="55"/>
      <c r="DS1516" s="55"/>
      <c r="DT1516" s="55"/>
      <c r="DU1516" s="55"/>
      <c r="DV1516" s="55"/>
      <c r="DW1516" s="55"/>
    </row>
    <row r="1517">
      <c r="A1517" s="41" t="s">
        <v>64</v>
      </c>
      <c r="B1517" s="41" t="s">
        <v>56</v>
      </c>
      <c r="C1517" s="31" t="s">
        <v>3141</v>
      </c>
      <c r="D1517" s="25" t="str">
        <f>IFERROR(__xludf.DUMMYFUNCTION("SPLIT(C1517,"" "")"),"Smades,")</f>
        <v>Smades,</v>
      </c>
      <c r="E1517" s="40" t="str">
        <f>IFERROR(__xludf.DUMMYFUNCTION("""COMPUTED_VALUE"""),"David
732")</f>
        <v>David
732</v>
      </c>
      <c r="F1517" s="40" t="str">
        <f>IFERROR(__xludf.DUMMYFUNCTION("""COMPUTED_VALUE"""),"Kessler")</f>
        <v>Kessler</v>
      </c>
      <c r="G1517" s="40" t="str">
        <f>IFERROR(__xludf.DUMMYFUNCTION("""COMPUTED_VALUE"""),"Lake")</f>
        <v>Lake</v>
      </c>
      <c r="H1517" s="40" t="str">
        <f>IFERROR(__xludf.DUMMYFUNCTION("""COMPUTED_VALUE"""),"Dr.
Dallas,")</f>
        <v>Dr.
Dallas,</v>
      </c>
      <c r="I1517" s="40" t="str">
        <f>IFERROR(__xludf.DUMMYFUNCTION("""COMPUTED_VALUE"""),"TX")</f>
        <v>TX</v>
      </c>
      <c r="J1517" s="40">
        <f>IFERROR(__xludf.DUMMYFUNCTION("""COMPUTED_VALUE"""),75208.0)</f>
        <v>75208</v>
      </c>
      <c r="K1517" s="40"/>
      <c r="L1517" s="40"/>
      <c r="M1517" s="40"/>
      <c r="N1517" s="40"/>
      <c r="O1517" s="40"/>
      <c r="P1517" s="40"/>
      <c r="Q1517" s="40"/>
      <c r="R1517" s="40"/>
      <c r="S1517" s="40"/>
      <c r="T1517" s="40"/>
      <c r="U1517" s="24" t="str">
        <f>IFERROR(__xludf.DUMMYFUNCTION("SPLIT(E1517,""01234567890"")"),"David
")</f>
        <v>David
</v>
      </c>
      <c r="V1517" s="24" t="str">
        <f>IFERROR(__xludf.DUMMYFUNCTION("SPLIT(D1517,"","")"),"Smades")</f>
        <v>Smades</v>
      </c>
      <c r="W1517" s="25" t="str">
        <f t="shared" si="1"/>
        <v>DAVID
 SMADES</v>
      </c>
      <c r="X1517" s="40"/>
      <c r="Y1517" s="40"/>
      <c r="Z1517" s="25" t="str">
        <f>IFERROR(__xludf.DUMMYFUNCTION("SPLIT(C1517,""
"")"),"Smades, David")</f>
        <v>Smades, David</v>
      </c>
      <c r="AA1517" s="40" t="str">
        <f>IFERROR(__xludf.DUMMYFUNCTION("""COMPUTED_VALUE"""),"732 Kessler Lake Dr.")</f>
        <v>732 Kessler Lake Dr.</v>
      </c>
      <c r="AB1517" s="40" t="str">
        <f>IFERROR(__xludf.DUMMYFUNCTION("""COMPUTED_VALUE"""),"Dallas, TX 75208")</f>
        <v>Dallas, TX 75208</v>
      </c>
      <c r="AC1517" s="31" t="s">
        <v>3142</v>
      </c>
      <c r="AD1517" s="40"/>
      <c r="AE1517" s="40"/>
      <c r="AF1517" s="40"/>
      <c r="AG1517" s="40" t="s">
        <v>60</v>
      </c>
      <c r="AH1517" s="42">
        <v>2501.0</v>
      </c>
      <c r="AI1517" s="40" t="s">
        <v>68</v>
      </c>
      <c r="AJ1517" s="27">
        <v>100.0</v>
      </c>
      <c r="AK1517" s="31" t="s">
        <v>21</v>
      </c>
      <c r="AL1517" s="43">
        <v>44908.0</v>
      </c>
      <c r="AM1517" s="44">
        <v>44943.63122685185</v>
      </c>
      <c r="AN1517" s="30">
        <v>2.0</v>
      </c>
      <c r="AO1517" s="40"/>
      <c r="AP1517" s="40"/>
      <c r="AQ1517" s="40"/>
      <c r="AR1517" s="40"/>
      <c r="AS1517" s="40"/>
      <c r="AT1517" s="47"/>
      <c r="AU1517" s="40"/>
      <c r="AV1517" s="46"/>
      <c r="AW1517" s="46"/>
      <c r="AX1517" s="47"/>
      <c r="AY1517" s="44"/>
      <c r="AZ1517" s="30"/>
      <c r="CU1517" s="55"/>
      <c r="CV1517" s="55"/>
      <c r="CW1517" s="55"/>
      <c r="CX1517" s="55"/>
      <c r="CY1517" s="55"/>
      <c r="CZ1517" s="55"/>
      <c r="DA1517" s="82"/>
      <c r="DB1517" s="55"/>
      <c r="DC1517" s="55"/>
      <c r="DD1517" s="55"/>
      <c r="DE1517" s="55"/>
      <c r="DF1517" s="55"/>
      <c r="DG1517" s="55"/>
      <c r="DH1517" s="55"/>
      <c r="DI1517" s="55"/>
      <c r="DJ1517" s="55"/>
      <c r="DK1517" s="55"/>
      <c r="DL1517" s="55"/>
      <c r="DM1517" s="55"/>
      <c r="DN1517" s="55"/>
      <c r="DO1517" s="55"/>
      <c r="DP1517" s="55"/>
      <c r="DQ1517" s="55"/>
      <c r="DR1517" s="55"/>
      <c r="DS1517" s="55"/>
      <c r="DT1517" s="55"/>
      <c r="DU1517" s="55"/>
      <c r="DV1517" s="55"/>
      <c r="DW1517" s="55"/>
    </row>
    <row r="1518">
      <c r="A1518" s="22" t="s">
        <v>55</v>
      </c>
      <c r="B1518" s="23" t="s">
        <v>56</v>
      </c>
      <c r="C1518" s="31" t="s">
        <v>105</v>
      </c>
      <c r="D1518" s="25" t="str">
        <f>IFERROR(__xludf.DUMMYFUNCTION("SPLIT(C1518,"" "")"),"Addy,")</f>
        <v>Addy,</v>
      </c>
      <c r="E1518" s="22" t="str">
        <f>IFERROR(__xludf.DUMMYFUNCTION("""COMPUTED_VALUE"""),"William
3805")</f>
        <v>William
3805</v>
      </c>
      <c r="F1518" s="22" t="str">
        <f>IFERROR(__xludf.DUMMYFUNCTION("""COMPUTED_VALUE"""),"Normandy")</f>
        <v>Normandy</v>
      </c>
      <c r="G1518" s="22" t="str">
        <f>IFERROR(__xludf.DUMMYFUNCTION("""COMPUTED_VALUE"""),"Ave.
Dallas,")</f>
        <v>Ave.
Dallas,</v>
      </c>
      <c r="H1518" s="22" t="str">
        <f>IFERROR(__xludf.DUMMYFUNCTION("""COMPUTED_VALUE"""),"TX")</f>
        <v>TX</v>
      </c>
      <c r="I1518" s="22">
        <f>IFERROR(__xludf.DUMMYFUNCTION("""COMPUTED_VALUE"""),75205.0)</f>
        <v>75205</v>
      </c>
      <c r="J1518" s="22"/>
      <c r="K1518" s="22"/>
      <c r="L1518" s="22"/>
      <c r="M1518" s="22"/>
      <c r="N1518" s="22"/>
      <c r="O1518" s="22"/>
      <c r="P1518" s="22"/>
      <c r="Q1518" s="22"/>
      <c r="R1518" s="22"/>
      <c r="S1518" s="22"/>
      <c r="T1518" s="22"/>
      <c r="U1518" s="24" t="str">
        <f>IFERROR(__xludf.DUMMYFUNCTION("SPLIT(E1518,""01234567890"")"),"William
")</f>
        <v>William
</v>
      </c>
      <c r="V1518" s="24" t="str">
        <f>IFERROR(__xludf.DUMMYFUNCTION("SPLIT(D1518,"","")"),"Addy")</f>
        <v>Addy</v>
      </c>
      <c r="W1518" s="25" t="str">
        <f t="shared" si="1"/>
        <v>WILLIAM
 ADDY</v>
      </c>
      <c r="X1518" s="22"/>
      <c r="Y1518" s="22"/>
      <c r="Z1518" s="25" t="str">
        <f>IFERROR(__xludf.DUMMYFUNCTION("SPLIT(C1518,""
"")"),"Addy, William")</f>
        <v>Addy, William</v>
      </c>
      <c r="AA1518" s="22" t="str">
        <f>IFERROR(__xludf.DUMMYFUNCTION("""COMPUTED_VALUE"""),"3805 Normandy Ave.")</f>
        <v>3805 Normandy Ave.</v>
      </c>
      <c r="AB1518" s="22" t="str">
        <f>IFERROR(__xludf.DUMMYFUNCTION("""COMPUTED_VALUE"""),"Dallas, TX 75205")</f>
        <v>Dallas, TX 75205</v>
      </c>
      <c r="AC1518" s="31" t="s">
        <v>104</v>
      </c>
      <c r="AD1518" s="22"/>
      <c r="AE1518" s="22"/>
      <c r="AF1518" s="22"/>
      <c r="AG1518" s="22" t="s">
        <v>60</v>
      </c>
      <c r="AH1518" s="54">
        <v>2501.0</v>
      </c>
      <c r="AI1518" s="22" t="s">
        <v>68</v>
      </c>
      <c r="AJ1518" s="27">
        <v>1000.0</v>
      </c>
      <c r="AK1518" s="31" t="s">
        <v>21</v>
      </c>
      <c r="AL1518" s="28">
        <v>44909.0</v>
      </c>
      <c r="AM1518" s="29">
        <v>44943.63122685185</v>
      </c>
      <c r="AN1518" s="30">
        <v>2.0</v>
      </c>
      <c r="AO1518" s="22"/>
      <c r="AP1518" s="22"/>
      <c r="AQ1518" s="22"/>
      <c r="AR1518" s="22"/>
      <c r="AS1518" s="22"/>
      <c r="AT1518" s="70"/>
      <c r="AU1518" s="22"/>
      <c r="AV1518" s="57"/>
      <c r="AW1518" s="57"/>
      <c r="AX1518" s="70"/>
      <c r="AY1518" s="29"/>
      <c r="AZ1518" s="30"/>
      <c r="CU1518" s="55"/>
      <c r="CV1518" s="55"/>
      <c r="CW1518" s="55"/>
      <c r="CX1518" s="55"/>
      <c r="CY1518" s="55"/>
      <c r="CZ1518" s="55"/>
      <c r="DA1518" s="82"/>
      <c r="DB1518" s="55"/>
      <c r="DC1518" s="55"/>
      <c r="DD1518" s="55"/>
      <c r="DE1518" s="55"/>
      <c r="DF1518" s="55"/>
      <c r="DG1518" s="55"/>
      <c r="DH1518" s="55"/>
      <c r="DI1518" s="55"/>
      <c r="DJ1518" s="55"/>
      <c r="DK1518" s="55"/>
      <c r="DL1518" s="55"/>
      <c r="DM1518" s="55"/>
      <c r="DN1518" s="55"/>
      <c r="DO1518" s="55"/>
      <c r="DP1518" s="55"/>
      <c r="DQ1518" s="55"/>
      <c r="DR1518" s="55"/>
      <c r="DS1518" s="55"/>
      <c r="DT1518" s="55"/>
      <c r="DU1518" s="55"/>
      <c r="DV1518" s="55"/>
      <c r="DW1518" s="55"/>
    </row>
    <row r="1519">
      <c r="A1519" s="41" t="s">
        <v>64</v>
      </c>
      <c r="B1519" s="41" t="s">
        <v>56</v>
      </c>
      <c r="C1519" s="31" t="s">
        <v>3143</v>
      </c>
      <c r="D1519" s="25" t="str">
        <f>IFERROR(__xludf.DUMMYFUNCTION("SPLIT(C1519,"" "")"),"Crow,")</f>
        <v>Crow,</v>
      </c>
      <c r="E1519" s="40" t="str">
        <f>IFERROR(__xludf.DUMMYFUNCTION("""COMPUTED_VALUE"""),"Katherine
4700")</f>
        <v>Katherine
4700</v>
      </c>
      <c r="F1519" s="40" t="str">
        <f>IFERROR(__xludf.DUMMYFUNCTION("""COMPUTED_VALUE"""),"Preston")</f>
        <v>Preston</v>
      </c>
      <c r="G1519" s="40" t="str">
        <f>IFERROR(__xludf.DUMMYFUNCTION("""COMPUTED_VALUE"""),"Rd.
Dallas,")</f>
        <v>Rd.
Dallas,</v>
      </c>
      <c r="H1519" s="40" t="str">
        <f>IFERROR(__xludf.DUMMYFUNCTION("""COMPUTED_VALUE"""),"TX")</f>
        <v>TX</v>
      </c>
      <c r="I1519" s="40">
        <f>IFERROR(__xludf.DUMMYFUNCTION("""COMPUTED_VALUE"""),75205.0)</f>
        <v>75205</v>
      </c>
      <c r="J1519" s="40"/>
      <c r="K1519" s="40"/>
      <c r="L1519" s="40"/>
      <c r="M1519" s="40"/>
      <c r="N1519" s="40"/>
      <c r="O1519" s="40"/>
      <c r="P1519" s="40"/>
      <c r="Q1519" s="40"/>
      <c r="R1519" s="40"/>
      <c r="S1519" s="40"/>
      <c r="T1519" s="40"/>
      <c r="U1519" s="24" t="str">
        <f>IFERROR(__xludf.DUMMYFUNCTION("SPLIT(E1519,""01234567890"")"),"Katherine
")</f>
        <v>Katherine
</v>
      </c>
      <c r="V1519" s="24" t="str">
        <f>IFERROR(__xludf.DUMMYFUNCTION("SPLIT(D1519,"","")"),"Crow")</f>
        <v>Crow</v>
      </c>
      <c r="W1519" s="25" t="str">
        <f t="shared" si="1"/>
        <v>KATHERINE
 CROW</v>
      </c>
      <c r="X1519" s="40"/>
      <c r="Y1519" s="40"/>
      <c r="Z1519" s="25" t="str">
        <f>IFERROR(__xludf.DUMMYFUNCTION("SPLIT(C1519,""
"")"),"Crow, Katherine")</f>
        <v>Crow, Katherine</v>
      </c>
      <c r="AA1519" s="40" t="str">
        <f>IFERROR(__xludf.DUMMYFUNCTION("""COMPUTED_VALUE"""),"4700 Preston Rd.")</f>
        <v>4700 Preston Rd.</v>
      </c>
      <c r="AB1519" s="40" t="str">
        <f>IFERROR(__xludf.DUMMYFUNCTION("""COMPUTED_VALUE"""),"Dallas, TX 75205")</f>
        <v>Dallas, TX 75205</v>
      </c>
      <c r="AC1519" s="31" t="s">
        <v>2434</v>
      </c>
      <c r="AD1519" s="40"/>
      <c r="AE1519" s="40"/>
      <c r="AF1519" s="40"/>
      <c r="AG1519" s="40" t="s">
        <v>60</v>
      </c>
      <c r="AH1519" s="42">
        <v>2501.0</v>
      </c>
      <c r="AI1519" s="40" t="s">
        <v>68</v>
      </c>
      <c r="AJ1519" s="27">
        <v>1000.0</v>
      </c>
      <c r="AK1519" s="31" t="s">
        <v>21</v>
      </c>
      <c r="AL1519" s="43">
        <v>44911.0</v>
      </c>
      <c r="AM1519" s="44">
        <v>44943.63122685185</v>
      </c>
      <c r="AN1519" s="30">
        <v>2.0</v>
      </c>
      <c r="AO1519" s="40"/>
      <c r="AP1519" s="40"/>
      <c r="AQ1519" s="40"/>
      <c r="AR1519" s="40"/>
      <c r="AS1519" s="40"/>
      <c r="AT1519" s="47"/>
      <c r="AU1519" s="40"/>
      <c r="AV1519" s="46"/>
      <c r="AW1519" s="46"/>
      <c r="AX1519" s="47"/>
      <c r="AY1519" s="44"/>
      <c r="AZ1519" s="30"/>
      <c r="CU1519" s="55"/>
      <c r="CV1519" s="55"/>
      <c r="CW1519" s="55"/>
      <c r="CX1519" s="55"/>
      <c r="CY1519" s="55"/>
      <c r="CZ1519" s="55"/>
      <c r="DA1519" s="82"/>
      <c r="DB1519" s="55"/>
      <c r="DC1519" s="55"/>
      <c r="DD1519" s="55"/>
      <c r="DE1519" s="55"/>
      <c r="DF1519" s="55"/>
      <c r="DG1519" s="55"/>
      <c r="DH1519" s="55"/>
      <c r="DI1519" s="55"/>
      <c r="DJ1519" s="55"/>
      <c r="DK1519" s="55"/>
      <c r="DL1519" s="55"/>
      <c r="DM1519" s="55"/>
      <c r="DN1519" s="55"/>
      <c r="DO1519" s="55"/>
      <c r="DP1519" s="55"/>
      <c r="DQ1519" s="55"/>
      <c r="DR1519" s="55"/>
      <c r="DS1519" s="55"/>
      <c r="DT1519" s="55"/>
      <c r="DU1519" s="55"/>
      <c r="DV1519" s="55"/>
      <c r="DW1519" s="55"/>
    </row>
    <row r="1520">
      <c r="A1520" s="22" t="s">
        <v>55</v>
      </c>
      <c r="B1520" s="23" t="s">
        <v>56</v>
      </c>
      <c r="C1520" s="31" t="s">
        <v>330</v>
      </c>
      <c r="D1520" s="25" t="str">
        <f>IFERROR(__xludf.DUMMYFUNCTION("SPLIT(C1520,"" "")"),"Baum,")</f>
        <v>Baum,</v>
      </c>
      <c r="E1520" s="22" t="str">
        <f>IFERROR(__xludf.DUMMYFUNCTION("""COMPUTED_VALUE"""),"Zachary
PO")</f>
        <v>Zachary
PO</v>
      </c>
      <c r="F1520" s="22" t="str">
        <f>IFERROR(__xludf.DUMMYFUNCTION("""COMPUTED_VALUE"""),"Box")</f>
        <v>Box</v>
      </c>
      <c r="G1520" s="22" t="str">
        <f>IFERROR(__xludf.DUMMYFUNCTION("""COMPUTED_VALUE"""),"587
East")</f>
        <v>587
East</v>
      </c>
      <c r="H1520" s="22" t="str">
        <f>IFERROR(__xludf.DUMMYFUNCTION("""COMPUTED_VALUE"""),"Setauket,")</f>
        <v>Setauket,</v>
      </c>
      <c r="I1520" s="22" t="str">
        <f>IFERROR(__xludf.DUMMYFUNCTION("""COMPUTED_VALUE"""),"NY")</f>
        <v>NY</v>
      </c>
      <c r="J1520" s="22">
        <f>IFERROR(__xludf.DUMMYFUNCTION("""COMPUTED_VALUE"""),11733.0)</f>
        <v>11733</v>
      </c>
      <c r="K1520" s="22"/>
      <c r="L1520" s="22"/>
      <c r="M1520" s="22"/>
      <c r="N1520" s="22"/>
      <c r="O1520" s="22"/>
      <c r="P1520" s="22"/>
      <c r="Q1520" s="22"/>
      <c r="R1520" s="22"/>
      <c r="S1520" s="22"/>
      <c r="T1520" s="22"/>
      <c r="U1520" s="24" t="str">
        <f>IFERROR(__xludf.DUMMYFUNCTION("SPLIT(E1520,""01234567890"")"),"Zachary
PO")</f>
        <v>Zachary
PO</v>
      </c>
      <c r="V1520" s="24" t="str">
        <f>IFERROR(__xludf.DUMMYFUNCTION("SPLIT(D1520,"","")"),"Baum")</f>
        <v>Baum</v>
      </c>
      <c r="W1520" s="25" t="str">
        <f t="shared" si="1"/>
        <v>ZACHARY
PO BAUM</v>
      </c>
      <c r="X1520" s="22"/>
      <c r="Y1520" s="22"/>
      <c r="Z1520" s="25" t="str">
        <f>IFERROR(__xludf.DUMMYFUNCTION("SPLIT(C1520,""
"")"),"Baum, Zachary")</f>
        <v>Baum, Zachary</v>
      </c>
      <c r="AA1520" s="22" t="str">
        <f>IFERROR(__xludf.DUMMYFUNCTION("""COMPUTED_VALUE"""),"PO Box 587")</f>
        <v>PO Box 587</v>
      </c>
      <c r="AB1520" s="22" t="str">
        <f>IFERROR(__xludf.DUMMYFUNCTION("""COMPUTED_VALUE"""),"East Setauket, NY 11733")</f>
        <v>East Setauket, NY 11733</v>
      </c>
      <c r="AC1520" s="31" t="s">
        <v>332</v>
      </c>
      <c r="AD1520" s="22"/>
      <c r="AE1520" s="22"/>
      <c r="AF1520" s="22"/>
      <c r="AG1520" s="22" t="s">
        <v>60</v>
      </c>
      <c r="AH1520" s="54">
        <v>2501.0</v>
      </c>
      <c r="AI1520" s="22" t="s">
        <v>68</v>
      </c>
      <c r="AJ1520" s="27">
        <v>25.0</v>
      </c>
      <c r="AK1520" s="31" t="s">
        <v>21</v>
      </c>
      <c r="AL1520" s="28">
        <v>44914.0</v>
      </c>
      <c r="AM1520" s="29">
        <v>44943.63122685185</v>
      </c>
      <c r="AN1520" s="30">
        <v>2.0</v>
      </c>
      <c r="AO1520" s="22"/>
      <c r="AP1520" s="22"/>
      <c r="AQ1520" s="22"/>
      <c r="AR1520" s="22"/>
      <c r="AS1520" s="22"/>
      <c r="AT1520" s="70"/>
      <c r="AU1520" s="22"/>
      <c r="AV1520" s="57"/>
      <c r="AW1520" s="57"/>
      <c r="AX1520" s="70"/>
      <c r="AY1520" s="29"/>
      <c r="AZ1520" s="30"/>
      <c r="CU1520" s="55"/>
      <c r="CV1520" s="55"/>
      <c r="CW1520" s="55"/>
      <c r="CX1520" s="55"/>
      <c r="CY1520" s="55"/>
      <c r="CZ1520" s="55"/>
      <c r="DA1520" s="82"/>
      <c r="DB1520" s="55"/>
      <c r="DC1520" s="55"/>
      <c r="DD1520" s="55"/>
      <c r="DE1520" s="55"/>
      <c r="DF1520" s="55"/>
      <c r="DG1520" s="55"/>
      <c r="DH1520" s="55"/>
      <c r="DI1520" s="55"/>
      <c r="DJ1520" s="55"/>
      <c r="DK1520" s="55"/>
      <c r="DL1520" s="55"/>
      <c r="DM1520" s="55"/>
      <c r="DN1520" s="55"/>
      <c r="DO1520" s="55"/>
      <c r="DP1520" s="55"/>
      <c r="DQ1520" s="55"/>
      <c r="DR1520" s="55"/>
      <c r="DS1520" s="55"/>
      <c r="DT1520" s="55"/>
      <c r="DU1520" s="55"/>
      <c r="DV1520" s="55"/>
      <c r="DW1520" s="55"/>
    </row>
    <row r="1521">
      <c r="A1521" s="41" t="s">
        <v>64</v>
      </c>
      <c r="B1521" s="41" t="s">
        <v>56</v>
      </c>
      <c r="C1521" s="31" t="s">
        <v>3144</v>
      </c>
      <c r="D1521" s="25" t="str">
        <f>IFERROR(__xludf.DUMMYFUNCTION("SPLIT(C1521,"" "")"),"Bryant,")</f>
        <v>Bryant,</v>
      </c>
      <c r="E1521" s="40" t="str">
        <f>IFERROR(__xludf.DUMMYFUNCTION("""COMPUTED_VALUE"""),"Kevin
4463")</f>
        <v>Kevin
4463</v>
      </c>
      <c r="F1521" s="40" t="str">
        <f>IFERROR(__xludf.DUMMYFUNCTION("""COMPUTED_VALUE"""),"Brookview")</f>
        <v>Brookview</v>
      </c>
      <c r="G1521" s="40" t="str">
        <f>IFERROR(__xludf.DUMMYFUNCTION("""COMPUTED_VALUE"""),"Dr.
Dallas,")</f>
        <v>Dr.
Dallas,</v>
      </c>
      <c r="H1521" s="40" t="str">
        <f>IFERROR(__xludf.DUMMYFUNCTION("""COMPUTED_VALUE"""),"TX")</f>
        <v>TX</v>
      </c>
      <c r="I1521" s="40">
        <f>IFERROR(__xludf.DUMMYFUNCTION("""COMPUTED_VALUE"""),75220.0)</f>
        <v>75220</v>
      </c>
      <c r="J1521" s="40"/>
      <c r="K1521" s="40"/>
      <c r="L1521" s="40"/>
      <c r="M1521" s="40"/>
      <c r="N1521" s="40"/>
      <c r="O1521" s="40"/>
      <c r="P1521" s="40"/>
      <c r="Q1521" s="40"/>
      <c r="R1521" s="40"/>
      <c r="S1521" s="40"/>
      <c r="T1521" s="40"/>
      <c r="U1521" s="24" t="str">
        <f>IFERROR(__xludf.DUMMYFUNCTION("SPLIT(E1521,""01234567890"")"),"Kevin
")</f>
        <v>Kevin
</v>
      </c>
      <c r="V1521" s="24" t="str">
        <f>IFERROR(__xludf.DUMMYFUNCTION("SPLIT(D1521,"","")"),"Bryant")</f>
        <v>Bryant</v>
      </c>
      <c r="W1521" s="25" t="str">
        <f t="shared" si="1"/>
        <v>KEVIN
 BRYANT</v>
      </c>
      <c r="X1521" s="40"/>
      <c r="Y1521" s="40"/>
      <c r="Z1521" s="25" t="str">
        <f>IFERROR(__xludf.DUMMYFUNCTION("SPLIT(C1521,""
"")"),"Bryant, Kevin")</f>
        <v>Bryant, Kevin</v>
      </c>
      <c r="AA1521" s="40" t="str">
        <f>IFERROR(__xludf.DUMMYFUNCTION("""COMPUTED_VALUE"""),"4463 Brookview Dr.")</f>
        <v>4463 Brookview Dr.</v>
      </c>
      <c r="AB1521" s="40" t="str">
        <f>IFERROR(__xludf.DUMMYFUNCTION("""COMPUTED_VALUE"""),"Dallas, TX 75220")</f>
        <v>Dallas, TX 75220</v>
      </c>
      <c r="AC1521" s="31" t="s">
        <v>2756</v>
      </c>
      <c r="AD1521" s="40"/>
      <c r="AE1521" s="40"/>
      <c r="AF1521" s="40"/>
      <c r="AG1521" s="40" t="s">
        <v>60</v>
      </c>
      <c r="AH1521" s="42">
        <v>2501.0</v>
      </c>
      <c r="AI1521" s="40" t="s">
        <v>68</v>
      </c>
      <c r="AJ1521" s="27">
        <v>142.2</v>
      </c>
      <c r="AK1521" s="31" t="s">
        <v>21</v>
      </c>
      <c r="AL1521" s="43">
        <v>44915.0</v>
      </c>
      <c r="AM1521" s="44">
        <v>44943.63122685185</v>
      </c>
      <c r="AN1521" s="30">
        <v>2.0</v>
      </c>
      <c r="AO1521" s="40"/>
      <c r="AP1521" s="40"/>
      <c r="AQ1521" s="40"/>
      <c r="AR1521" s="40"/>
      <c r="AS1521" s="40"/>
      <c r="AT1521" s="47"/>
      <c r="AU1521" s="40"/>
      <c r="AV1521" s="46"/>
      <c r="AW1521" s="46"/>
      <c r="AX1521" s="47"/>
      <c r="AY1521" s="44"/>
      <c r="AZ1521" s="30"/>
      <c r="CU1521" s="55"/>
      <c r="CV1521" s="55"/>
      <c r="CW1521" s="55"/>
      <c r="CX1521" s="55"/>
      <c r="CY1521" s="55"/>
      <c r="CZ1521" s="55"/>
      <c r="DA1521" s="82"/>
      <c r="DB1521" s="55"/>
      <c r="DC1521" s="55"/>
      <c r="DD1521" s="55"/>
      <c r="DE1521" s="55"/>
      <c r="DF1521" s="55"/>
      <c r="DG1521" s="55"/>
      <c r="DH1521" s="55"/>
      <c r="DI1521" s="55"/>
      <c r="DJ1521" s="55"/>
      <c r="DK1521" s="55"/>
      <c r="DL1521" s="55"/>
      <c r="DM1521" s="55"/>
      <c r="DN1521" s="55"/>
      <c r="DO1521" s="55"/>
      <c r="DP1521" s="55"/>
      <c r="DQ1521" s="55"/>
      <c r="DR1521" s="55"/>
      <c r="DS1521" s="55"/>
      <c r="DT1521" s="55"/>
      <c r="DU1521" s="55"/>
      <c r="DV1521" s="55"/>
      <c r="DW1521" s="55"/>
    </row>
    <row r="1522">
      <c r="A1522" s="22" t="s">
        <v>55</v>
      </c>
      <c r="B1522" s="23" t="s">
        <v>56</v>
      </c>
      <c r="C1522" s="31" t="s">
        <v>3145</v>
      </c>
      <c r="D1522" s="25" t="str">
        <f>IFERROR(__xludf.DUMMYFUNCTION("SPLIT(C1522,"" "")"),"Ellison,")</f>
        <v>Ellison,</v>
      </c>
      <c r="E1522" s="22" t="str">
        <f>IFERROR(__xludf.DUMMYFUNCTION("""COMPUTED_VALUE"""),"Brock
6405")</f>
        <v>Brock
6405</v>
      </c>
      <c r="F1522" s="22" t="str">
        <f>IFERROR(__xludf.DUMMYFUNCTION("""COMPUTED_VALUE"""),"Marquett")</f>
        <v>Marquett</v>
      </c>
      <c r="G1522" s="22" t="str">
        <f>IFERROR(__xludf.DUMMYFUNCTION("""COMPUTED_VALUE"""),"Dr.
Rowlett,")</f>
        <v>Dr.
Rowlett,</v>
      </c>
      <c r="H1522" s="22" t="str">
        <f>IFERROR(__xludf.DUMMYFUNCTION("""COMPUTED_VALUE"""),"TX")</f>
        <v>TX</v>
      </c>
      <c r="I1522" s="22">
        <f>IFERROR(__xludf.DUMMYFUNCTION("""COMPUTED_VALUE"""),75089.0)</f>
        <v>75089</v>
      </c>
      <c r="J1522" s="22"/>
      <c r="K1522" s="22"/>
      <c r="L1522" s="22"/>
      <c r="M1522" s="22"/>
      <c r="N1522" s="22"/>
      <c r="O1522" s="22"/>
      <c r="P1522" s="22"/>
      <c r="Q1522" s="22"/>
      <c r="R1522" s="22"/>
      <c r="S1522" s="22"/>
      <c r="T1522" s="22"/>
      <c r="U1522" s="24" t="str">
        <f>IFERROR(__xludf.DUMMYFUNCTION("SPLIT(E1522,""01234567890"")"),"Brock
")</f>
        <v>Brock
</v>
      </c>
      <c r="V1522" s="24" t="str">
        <f>IFERROR(__xludf.DUMMYFUNCTION("SPLIT(D1522,"","")"),"Ellison")</f>
        <v>Ellison</v>
      </c>
      <c r="W1522" s="25" t="str">
        <f t="shared" si="1"/>
        <v>BROCK
 ELLISON</v>
      </c>
      <c r="X1522" s="22"/>
      <c r="Y1522" s="22"/>
      <c r="Z1522" s="25" t="str">
        <f>IFERROR(__xludf.DUMMYFUNCTION("SPLIT(C1522,""
"")"),"Ellison, Brock")</f>
        <v>Ellison, Brock</v>
      </c>
      <c r="AA1522" s="22" t="str">
        <f>IFERROR(__xludf.DUMMYFUNCTION("""COMPUTED_VALUE"""),"6405 Marquett Dr.")</f>
        <v>6405 Marquett Dr.</v>
      </c>
      <c r="AB1522" s="22" t="str">
        <f>IFERROR(__xludf.DUMMYFUNCTION("""COMPUTED_VALUE"""),"Rowlett, TX 75089")</f>
        <v>Rowlett, TX 75089</v>
      </c>
      <c r="AC1522" s="31" t="s">
        <v>3146</v>
      </c>
      <c r="AD1522" s="22"/>
      <c r="AE1522" s="22"/>
      <c r="AF1522" s="22"/>
      <c r="AG1522" s="22" t="s">
        <v>60</v>
      </c>
      <c r="AH1522" s="54">
        <v>2501.0</v>
      </c>
      <c r="AI1522" s="22" t="s">
        <v>68</v>
      </c>
      <c r="AJ1522" s="27">
        <v>50.0</v>
      </c>
      <c r="AK1522" s="31" t="s">
        <v>21</v>
      </c>
      <c r="AL1522" s="28">
        <v>44916.0</v>
      </c>
      <c r="AM1522" s="29">
        <v>44943.63122685185</v>
      </c>
      <c r="AN1522" s="30">
        <v>2.0</v>
      </c>
      <c r="AO1522" s="22"/>
      <c r="AP1522" s="22"/>
      <c r="AQ1522" s="22"/>
      <c r="AR1522" s="22"/>
      <c r="AS1522" s="22"/>
      <c r="AT1522" s="70"/>
      <c r="AU1522" s="22"/>
      <c r="AV1522" s="57"/>
      <c r="AW1522" s="57"/>
      <c r="AX1522" s="70"/>
      <c r="AY1522" s="29"/>
      <c r="AZ1522" s="30"/>
      <c r="CU1522" s="55"/>
      <c r="CV1522" s="55"/>
      <c r="CW1522" s="55"/>
      <c r="CX1522" s="55"/>
      <c r="CY1522" s="55"/>
      <c r="CZ1522" s="55"/>
      <c r="DA1522" s="82"/>
      <c r="DB1522" s="55"/>
      <c r="DC1522" s="55"/>
      <c r="DD1522" s="55"/>
      <c r="DE1522" s="55"/>
      <c r="DF1522" s="55"/>
      <c r="DG1522" s="55"/>
      <c r="DH1522" s="55"/>
      <c r="DI1522" s="55"/>
      <c r="DJ1522" s="55"/>
      <c r="DK1522" s="55"/>
      <c r="DL1522" s="55"/>
      <c r="DM1522" s="55"/>
      <c r="DN1522" s="55"/>
      <c r="DO1522" s="55"/>
      <c r="DP1522" s="55"/>
      <c r="DQ1522" s="55"/>
      <c r="DR1522" s="55"/>
      <c r="DS1522" s="55"/>
      <c r="DT1522" s="55"/>
      <c r="DU1522" s="55"/>
      <c r="DV1522" s="55"/>
      <c r="DW1522" s="55"/>
    </row>
    <row r="1523">
      <c r="A1523" s="41" t="s">
        <v>64</v>
      </c>
      <c r="B1523" s="41" t="s">
        <v>56</v>
      </c>
      <c r="C1523" s="31" t="s">
        <v>3147</v>
      </c>
      <c r="D1523" s="25" t="str">
        <f>IFERROR(__xludf.DUMMYFUNCTION("SPLIT(C1523,"" "")"),"Gonzalez,")</f>
        <v>Gonzalez,</v>
      </c>
      <c r="E1523" s="40" t="str">
        <f>IFERROR(__xludf.DUMMYFUNCTION("""COMPUTED_VALUE"""),"Crystal
6231")</f>
        <v>Crystal
6231</v>
      </c>
      <c r="F1523" s="40" t="str">
        <f>IFERROR(__xludf.DUMMYFUNCTION("""COMPUTED_VALUE"""),"Meadow")</f>
        <v>Meadow</v>
      </c>
      <c r="G1523" s="40" t="str">
        <f>IFERROR(__xludf.DUMMYFUNCTION("""COMPUTED_VALUE"""),"Rd.
Dallas,")</f>
        <v>Rd.
Dallas,</v>
      </c>
      <c r="H1523" s="40" t="str">
        <f>IFERROR(__xludf.DUMMYFUNCTION("""COMPUTED_VALUE"""),"TX")</f>
        <v>TX</v>
      </c>
      <c r="I1523" s="40">
        <f>IFERROR(__xludf.DUMMYFUNCTION("""COMPUTED_VALUE"""),75230.0)</f>
        <v>75230</v>
      </c>
      <c r="J1523" s="40"/>
      <c r="K1523" s="40"/>
      <c r="L1523" s="40"/>
      <c r="M1523" s="40"/>
      <c r="N1523" s="40"/>
      <c r="O1523" s="40"/>
      <c r="P1523" s="40"/>
      <c r="Q1523" s="40"/>
      <c r="R1523" s="40"/>
      <c r="S1523" s="40"/>
      <c r="T1523" s="40"/>
      <c r="U1523" s="24" t="str">
        <f>IFERROR(__xludf.DUMMYFUNCTION("SPLIT(E1523,""01234567890"")"),"Crystal
")</f>
        <v>Crystal
</v>
      </c>
      <c r="V1523" s="24" t="str">
        <f>IFERROR(__xludf.DUMMYFUNCTION("SPLIT(D1523,"","")"),"Gonzalez")</f>
        <v>Gonzalez</v>
      </c>
      <c r="W1523" s="25" t="str">
        <f t="shared" si="1"/>
        <v>CRYSTAL
 GONZALEZ</v>
      </c>
      <c r="X1523" s="40"/>
      <c r="Y1523" s="40"/>
      <c r="Z1523" s="25" t="str">
        <f>IFERROR(__xludf.DUMMYFUNCTION("SPLIT(C1523,""
"")"),"Gonzalez, Crystal")</f>
        <v>Gonzalez, Crystal</v>
      </c>
      <c r="AA1523" s="40" t="str">
        <f>IFERROR(__xludf.DUMMYFUNCTION("""COMPUTED_VALUE"""),"6231 Meadow Rd.")</f>
        <v>6231 Meadow Rd.</v>
      </c>
      <c r="AB1523" s="40" t="str">
        <f>IFERROR(__xludf.DUMMYFUNCTION("""COMPUTED_VALUE"""),"Dallas, TX 75230")</f>
        <v>Dallas, TX 75230</v>
      </c>
      <c r="AC1523" s="31" t="s">
        <v>3148</v>
      </c>
      <c r="AD1523" s="40"/>
      <c r="AE1523" s="40"/>
      <c r="AF1523" s="40"/>
      <c r="AG1523" s="40" t="s">
        <v>60</v>
      </c>
      <c r="AH1523" s="42">
        <v>2501.0</v>
      </c>
      <c r="AI1523" s="40" t="s">
        <v>68</v>
      </c>
      <c r="AJ1523" s="27">
        <v>500.0</v>
      </c>
      <c r="AK1523" s="31" t="s">
        <v>21</v>
      </c>
      <c r="AL1523" s="43">
        <v>44916.0</v>
      </c>
      <c r="AM1523" s="44">
        <v>44943.63122685185</v>
      </c>
      <c r="AN1523" s="30">
        <v>2.0</v>
      </c>
      <c r="AO1523" s="40"/>
      <c r="AP1523" s="40"/>
      <c r="AQ1523" s="40"/>
      <c r="AR1523" s="40"/>
      <c r="AS1523" s="40"/>
      <c r="AT1523" s="47"/>
      <c r="AU1523" s="40"/>
      <c r="AV1523" s="46"/>
      <c r="AW1523" s="46"/>
      <c r="AX1523" s="47"/>
      <c r="AY1523" s="44"/>
      <c r="AZ1523" s="30"/>
      <c r="CU1523" s="55"/>
      <c r="CV1523" s="55"/>
      <c r="CW1523" s="55"/>
      <c r="CX1523" s="55"/>
      <c r="CY1523" s="55"/>
      <c r="CZ1523" s="55"/>
      <c r="DA1523" s="82"/>
      <c r="DB1523" s="55"/>
      <c r="DC1523" s="55"/>
      <c r="DD1523" s="55"/>
      <c r="DE1523" s="55"/>
      <c r="DF1523" s="55"/>
      <c r="DG1523" s="55"/>
      <c r="DH1523" s="55"/>
      <c r="DI1523" s="55"/>
      <c r="DJ1523" s="55"/>
      <c r="DK1523" s="55"/>
      <c r="DL1523" s="55"/>
      <c r="DM1523" s="55"/>
      <c r="DN1523" s="55"/>
      <c r="DO1523" s="55"/>
      <c r="DP1523" s="55"/>
      <c r="DQ1523" s="55"/>
      <c r="DR1523" s="55"/>
      <c r="DS1523" s="55"/>
      <c r="DT1523" s="55"/>
      <c r="DU1523" s="55"/>
      <c r="DV1523" s="55"/>
      <c r="DW1523" s="55"/>
    </row>
    <row r="1524">
      <c r="A1524" s="22" t="s">
        <v>55</v>
      </c>
      <c r="B1524" s="23" t="s">
        <v>56</v>
      </c>
      <c r="C1524" s="31" t="s">
        <v>3149</v>
      </c>
      <c r="D1524" s="25" t="str">
        <f>IFERROR(__xludf.DUMMYFUNCTION("SPLIT(C1524,"" "")"),"Edgemon,")</f>
        <v>Edgemon,</v>
      </c>
      <c r="E1524" s="22" t="str">
        <f>IFERROR(__xludf.DUMMYFUNCTION("""COMPUTED_VALUE"""),"Christopher
5540")</f>
        <v>Christopher
5540</v>
      </c>
      <c r="F1524" s="22" t="str">
        <f>IFERROR(__xludf.DUMMYFUNCTION("""COMPUTED_VALUE"""),"Farquhar
Dallas,")</f>
        <v>Farquhar
Dallas,</v>
      </c>
      <c r="G1524" s="22" t="str">
        <f>IFERROR(__xludf.DUMMYFUNCTION("""COMPUTED_VALUE"""),"TX")</f>
        <v>TX</v>
      </c>
      <c r="H1524" s="22">
        <f>IFERROR(__xludf.DUMMYFUNCTION("""COMPUTED_VALUE"""),75209.0)</f>
        <v>75209</v>
      </c>
      <c r="I1524" s="22"/>
      <c r="J1524" s="22"/>
      <c r="K1524" s="22"/>
      <c r="L1524" s="22"/>
      <c r="M1524" s="22"/>
      <c r="N1524" s="22"/>
      <c r="O1524" s="22"/>
      <c r="P1524" s="22"/>
      <c r="Q1524" s="22"/>
      <c r="R1524" s="22"/>
      <c r="S1524" s="22"/>
      <c r="T1524" s="22"/>
      <c r="U1524" s="24" t="str">
        <f>IFERROR(__xludf.DUMMYFUNCTION("SPLIT(E1524,""01234567890"")"),"Christopher
")</f>
        <v>Christopher
</v>
      </c>
      <c r="V1524" s="24" t="str">
        <f>IFERROR(__xludf.DUMMYFUNCTION("SPLIT(D1524,"","")"),"Edgemon")</f>
        <v>Edgemon</v>
      </c>
      <c r="W1524" s="25" t="str">
        <f t="shared" si="1"/>
        <v>CHRISTOPHER
 EDGEMON</v>
      </c>
      <c r="X1524" s="22"/>
      <c r="Y1524" s="22"/>
      <c r="Z1524" s="25" t="str">
        <f>IFERROR(__xludf.DUMMYFUNCTION("SPLIT(C1524,""
"")"),"Edgemon, Christopher")</f>
        <v>Edgemon, Christopher</v>
      </c>
      <c r="AA1524" s="22" t="str">
        <f>IFERROR(__xludf.DUMMYFUNCTION("""COMPUTED_VALUE"""),"5540 Farquhar")</f>
        <v>5540 Farquhar</v>
      </c>
      <c r="AB1524" s="22" t="str">
        <f>IFERROR(__xludf.DUMMYFUNCTION("""COMPUTED_VALUE"""),"Dallas, TX 75209")</f>
        <v>Dallas, TX 75209</v>
      </c>
      <c r="AC1524" s="31" t="s">
        <v>3150</v>
      </c>
      <c r="AD1524" s="22"/>
      <c r="AE1524" s="22"/>
      <c r="AF1524" s="22"/>
      <c r="AG1524" s="22" t="s">
        <v>60</v>
      </c>
      <c r="AH1524" s="54">
        <v>2501.0</v>
      </c>
      <c r="AI1524" s="22" t="s">
        <v>68</v>
      </c>
      <c r="AJ1524" s="27">
        <v>100.0</v>
      </c>
      <c r="AK1524" s="31" t="s">
        <v>21</v>
      </c>
      <c r="AL1524" s="28">
        <v>44922.0</v>
      </c>
      <c r="AM1524" s="29">
        <v>44943.63122685185</v>
      </c>
      <c r="AN1524" s="30">
        <v>2.0</v>
      </c>
      <c r="AO1524" s="22"/>
      <c r="AP1524" s="22"/>
      <c r="AQ1524" s="22"/>
      <c r="AR1524" s="22"/>
      <c r="AS1524" s="22"/>
      <c r="AT1524" s="70"/>
      <c r="AU1524" s="22"/>
      <c r="AV1524" s="57"/>
      <c r="AW1524" s="57"/>
      <c r="AX1524" s="70"/>
      <c r="AY1524" s="29"/>
      <c r="AZ1524" s="30"/>
      <c r="CU1524" s="55"/>
      <c r="CV1524" s="55"/>
      <c r="CW1524" s="55"/>
      <c r="CX1524" s="55"/>
      <c r="CY1524" s="55"/>
      <c r="CZ1524" s="55"/>
      <c r="DA1524" s="82"/>
      <c r="DB1524" s="55"/>
      <c r="DC1524" s="55"/>
      <c r="DD1524" s="55"/>
      <c r="DE1524" s="55"/>
      <c r="DF1524" s="55"/>
      <c r="DG1524" s="55"/>
      <c r="DH1524" s="55"/>
      <c r="DI1524" s="55"/>
      <c r="DJ1524" s="55"/>
      <c r="DK1524" s="55"/>
      <c r="DL1524" s="55"/>
      <c r="DM1524" s="55"/>
      <c r="DN1524" s="55"/>
      <c r="DO1524" s="55"/>
      <c r="DP1524" s="55"/>
      <c r="DQ1524" s="55"/>
      <c r="DR1524" s="55"/>
      <c r="DS1524" s="55"/>
      <c r="DT1524" s="55"/>
      <c r="DU1524" s="55"/>
      <c r="DV1524" s="55"/>
      <c r="DW1524" s="55"/>
    </row>
    <row r="1525">
      <c r="A1525" s="41" t="s">
        <v>64</v>
      </c>
      <c r="B1525" s="41" t="s">
        <v>56</v>
      </c>
      <c r="C1525" s="31" t="s">
        <v>3151</v>
      </c>
      <c r="D1525" s="25" t="str">
        <f>IFERROR(__xludf.DUMMYFUNCTION("SPLIT(C1525,"" "")"),"Greenhouse,")</f>
        <v>Greenhouse,</v>
      </c>
      <c r="E1525" s="40" t="str">
        <f>IFERROR(__xludf.DUMMYFUNCTION("""COMPUTED_VALUE"""),"Clyde
1129")</f>
        <v>Clyde
1129</v>
      </c>
      <c r="F1525" s="40" t="str">
        <f>IFERROR(__xludf.DUMMYFUNCTION("""COMPUTED_VALUE"""),"N.")</f>
        <v>N.</v>
      </c>
      <c r="G1525" s="40" t="str">
        <f>IFERROR(__xludf.DUMMYFUNCTION("""COMPUTED_VALUE"""),"Beckley")</f>
        <v>Beckley</v>
      </c>
      <c r="H1525" s="40" t="str">
        <f>IFERROR(__xludf.DUMMYFUNCTION("""COMPUTED_VALUE"""),"Ave
Dallas,")</f>
        <v>Ave
Dallas,</v>
      </c>
      <c r="I1525" s="40" t="str">
        <f>IFERROR(__xludf.DUMMYFUNCTION("""COMPUTED_VALUE"""),"TX")</f>
        <v>TX</v>
      </c>
      <c r="J1525" s="40">
        <f>IFERROR(__xludf.DUMMYFUNCTION("""COMPUTED_VALUE"""),75208.0)</f>
        <v>75208</v>
      </c>
      <c r="K1525" s="40"/>
      <c r="L1525" s="40"/>
      <c r="M1525" s="40"/>
      <c r="N1525" s="40"/>
      <c r="O1525" s="40"/>
      <c r="P1525" s="40"/>
      <c r="Q1525" s="40"/>
      <c r="R1525" s="40"/>
      <c r="S1525" s="40"/>
      <c r="T1525" s="40"/>
      <c r="U1525" s="24" t="str">
        <f>IFERROR(__xludf.DUMMYFUNCTION("SPLIT(E1525,""01234567890"")"),"Clyde
")</f>
        <v>Clyde
</v>
      </c>
      <c r="V1525" s="24" t="str">
        <f>IFERROR(__xludf.DUMMYFUNCTION("SPLIT(D1525,"","")"),"Greenhouse")</f>
        <v>Greenhouse</v>
      </c>
      <c r="W1525" s="25" t="str">
        <f t="shared" si="1"/>
        <v>CLYDE
 GREENHOUSE</v>
      </c>
      <c r="X1525" s="40"/>
      <c r="Y1525" s="40"/>
      <c r="Z1525" s="25" t="str">
        <f>IFERROR(__xludf.DUMMYFUNCTION("SPLIT(C1525,""
"")"),"Greenhouse, Clyde")</f>
        <v>Greenhouse, Clyde</v>
      </c>
      <c r="AA1525" s="40" t="str">
        <f>IFERROR(__xludf.DUMMYFUNCTION("""COMPUTED_VALUE"""),"1129 N. Beckley Ave")</f>
        <v>1129 N. Beckley Ave</v>
      </c>
      <c r="AB1525" s="40" t="str">
        <f>IFERROR(__xludf.DUMMYFUNCTION("""COMPUTED_VALUE"""),"Dallas, TX 75208")</f>
        <v>Dallas, TX 75208</v>
      </c>
      <c r="AC1525" s="31" t="s">
        <v>3152</v>
      </c>
      <c r="AD1525" s="40"/>
      <c r="AE1525" s="40"/>
      <c r="AF1525" s="40"/>
      <c r="AG1525" s="40" t="s">
        <v>60</v>
      </c>
      <c r="AH1525" s="42">
        <v>2501.0</v>
      </c>
      <c r="AI1525" s="40" t="s">
        <v>68</v>
      </c>
      <c r="AJ1525" s="27">
        <v>100.0</v>
      </c>
      <c r="AK1525" s="31" t="s">
        <v>21</v>
      </c>
      <c r="AL1525" s="43">
        <v>44922.0</v>
      </c>
      <c r="AM1525" s="44">
        <v>44943.63122685185</v>
      </c>
      <c r="AN1525" s="30">
        <v>2.0</v>
      </c>
      <c r="AO1525" s="40"/>
      <c r="AP1525" s="40"/>
      <c r="AQ1525" s="40"/>
      <c r="AR1525" s="40"/>
      <c r="AS1525" s="40"/>
      <c r="AT1525" s="47"/>
      <c r="AU1525" s="40"/>
      <c r="AV1525" s="46"/>
      <c r="AW1525" s="46"/>
      <c r="AX1525" s="47"/>
      <c r="AY1525" s="44"/>
      <c r="AZ1525" s="30"/>
      <c r="CU1525" s="55"/>
      <c r="CV1525" s="55"/>
      <c r="CW1525" s="55"/>
      <c r="CX1525" s="55"/>
      <c r="CY1525" s="55"/>
      <c r="CZ1525" s="55"/>
      <c r="DA1525" s="82"/>
      <c r="DB1525" s="55"/>
      <c r="DC1525" s="55"/>
      <c r="DD1525" s="55"/>
      <c r="DE1525" s="55"/>
      <c r="DF1525" s="55"/>
      <c r="DG1525" s="55"/>
      <c r="DH1525" s="55"/>
      <c r="DI1525" s="55"/>
      <c r="DJ1525" s="55"/>
      <c r="DK1525" s="55"/>
      <c r="DL1525" s="55"/>
      <c r="DM1525" s="55"/>
      <c r="DN1525" s="55"/>
      <c r="DO1525" s="55"/>
      <c r="DP1525" s="55"/>
      <c r="DQ1525" s="55"/>
      <c r="DR1525" s="55"/>
      <c r="DS1525" s="55"/>
      <c r="DT1525" s="55"/>
      <c r="DU1525" s="55"/>
      <c r="DV1525" s="55"/>
      <c r="DW1525" s="55"/>
    </row>
    <row r="1526">
      <c r="A1526" s="22" t="s">
        <v>55</v>
      </c>
      <c r="B1526" s="23" t="s">
        <v>56</v>
      </c>
      <c r="C1526" s="31" t="s">
        <v>3153</v>
      </c>
      <c r="D1526" s="25" t="str">
        <f>IFERROR(__xludf.DUMMYFUNCTION("SPLIT(C1526,"" "")"),"McLaren,")</f>
        <v>McLaren,</v>
      </c>
      <c r="E1526" s="22" t="str">
        <f>IFERROR(__xludf.DUMMYFUNCTION("""COMPUTED_VALUE"""),"Jill
6051")</f>
        <v>Jill
6051</v>
      </c>
      <c r="F1526" s="22" t="str">
        <f>IFERROR(__xludf.DUMMYFUNCTION("""COMPUTED_VALUE"""),"Kenwood")</f>
        <v>Kenwood</v>
      </c>
      <c r="G1526" s="22" t="str">
        <f>IFERROR(__xludf.DUMMYFUNCTION("""COMPUTED_VALUE"""),"Ave.
Dallas,")</f>
        <v>Ave.
Dallas,</v>
      </c>
      <c r="H1526" s="22" t="str">
        <f>IFERROR(__xludf.DUMMYFUNCTION("""COMPUTED_VALUE"""),"TX")</f>
        <v>TX</v>
      </c>
      <c r="I1526" s="22">
        <f>IFERROR(__xludf.DUMMYFUNCTION("""COMPUTED_VALUE"""),75206.0)</f>
        <v>75206</v>
      </c>
      <c r="J1526" s="22"/>
      <c r="K1526" s="22"/>
      <c r="L1526" s="22"/>
      <c r="M1526" s="22"/>
      <c r="N1526" s="22"/>
      <c r="O1526" s="22"/>
      <c r="P1526" s="22"/>
      <c r="Q1526" s="22"/>
      <c r="R1526" s="22"/>
      <c r="S1526" s="22"/>
      <c r="T1526" s="22"/>
      <c r="U1526" s="24" t="str">
        <f>IFERROR(__xludf.DUMMYFUNCTION("SPLIT(E1526,""01234567890"")"),"Jill
")</f>
        <v>Jill
</v>
      </c>
      <c r="V1526" s="24" t="str">
        <f>IFERROR(__xludf.DUMMYFUNCTION("SPLIT(D1526,"","")"),"McLaren")</f>
        <v>McLaren</v>
      </c>
      <c r="W1526" s="25" t="str">
        <f t="shared" si="1"/>
        <v>JILL
 MCLAREN</v>
      </c>
      <c r="X1526" s="22"/>
      <c r="Y1526" s="22"/>
      <c r="Z1526" s="25" t="str">
        <f>IFERROR(__xludf.DUMMYFUNCTION("SPLIT(C1526,""
"")"),"McLaren, Jill")</f>
        <v>McLaren, Jill</v>
      </c>
      <c r="AA1526" s="22" t="str">
        <f>IFERROR(__xludf.DUMMYFUNCTION("""COMPUTED_VALUE"""),"6051 Kenwood Ave.")</f>
        <v>6051 Kenwood Ave.</v>
      </c>
      <c r="AB1526" s="22" t="str">
        <f>IFERROR(__xludf.DUMMYFUNCTION("""COMPUTED_VALUE"""),"Dallas, TX 75206")</f>
        <v>Dallas, TX 75206</v>
      </c>
      <c r="AC1526" s="31" t="s">
        <v>3154</v>
      </c>
      <c r="AD1526" s="22"/>
      <c r="AE1526" s="22"/>
      <c r="AF1526" s="22"/>
      <c r="AG1526" s="22" t="s">
        <v>60</v>
      </c>
      <c r="AH1526" s="54">
        <v>2501.0</v>
      </c>
      <c r="AI1526" s="22" t="s">
        <v>68</v>
      </c>
      <c r="AJ1526" s="27">
        <v>237.2</v>
      </c>
      <c r="AK1526" s="31" t="s">
        <v>21</v>
      </c>
      <c r="AL1526" s="28">
        <v>44922.0</v>
      </c>
      <c r="AM1526" s="29">
        <v>44943.63122685185</v>
      </c>
      <c r="AN1526" s="30">
        <v>2.0</v>
      </c>
      <c r="AO1526" s="22"/>
      <c r="AP1526" s="22"/>
      <c r="AQ1526" s="22"/>
      <c r="AR1526" s="22"/>
      <c r="AS1526" s="22"/>
      <c r="AT1526" s="70"/>
      <c r="AU1526" s="22"/>
      <c r="AV1526" s="57"/>
      <c r="AW1526" s="57"/>
      <c r="AX1526" s="70"/>
      <c r="AY1526" s="29"/>
      <c r="AZ1526" s="30"/>
      <c r="CU1526" s="55"/>
      <c r="CV1526" s="55"/>
      <c r="CW1526" s="55"/>
      <c r="CX1526" s="55"/>
      <c r="CY1526" s="55"/>
      <c r="CZ1526" s="55"/>
      <c r="DA1526" s="82"/>
      <c r="DB1526" s="55"/>
      <c r="DC1526" s="55"/>
      <c r="DD1526" s="55"/>
      <c r="DE1526" s="55"/>
      <c r="DF1526" s="55"/>
      <c r="DG1526" s="55"/>
      <c r="DH1526" s="55"/>
      <c r="DI1526" s="55"/>
      <c r="DJ1526" s="55"/>
      <c r="DK1526" s="55"/>
      <c r="DL1526" s="55"/>
      <c r="DM1526" s="55"/>
      <c r="DN1526" s="55"/>
      <c r="DO1526" s="55"/>
      <c r="DP1526" s="55"/>
      <c r="DQ1526" s="55"/>
      <c r="DR1526" s="55"/>
      <c r="DS1526" s="55"/>
      <c r="DT1526" s="55"/>
      <c r="DU1526" s="55"/>
      <c r="DV1526" s="55"/>
      <c r="DW1526" s="55"/>
    </row>
    <row r="1527">
      <c r="A1527" s="41" t="s">
        <v>64</v>
      </c>
      <c r="B1527" s="41" t="s">
        <v>56</v>
      </c>
      <c r="C1527" s="31" t="s">
        <v>3155</v>
      </c>
      <c r="D1527" s="25" t="str">
        <f>IFERROR(__xludf.DUMMYFUNCTION("SPLIT(C1527,"" "")"),"Worden,")</f>
        <v>Worden,</v>
      </c>
      <c r="E1527" s="40" t="str">
        <f>IFERROR(__xludf.DUMMYFUNCTION("""COMPUTED_VALUE"""),"Lawrence
2019")</f>
        <v>Lawrence
2019</v>
      </c>
      <c r="F1527" s="40" t="str">
        <f>IFERROR(__xludf.DUMMYFUNCTION("""COMPUTED_VALUE"""),"Old")</f>
        <v>Old</v>
      </c>
      <c r="G1527" s="40" t="str">
        <f>IFERROR(__xludf.DUMMYFUNCTION("""COMPUTED_VALUE"""),"Orchard")</f>
        <v>Orchard</v>
      </c>
      <c r="H1527" s="40" t="str">
        <f>IFERROR(__xludf.DUMMYFUNCTION("""COMPUTED_VALUE"""),"Dr.
Dallas,")</f>
        <v>Dr.
Dallas,</v>
      </c>
      <c r="I1527" s="40" t="str">
        <f>IFERROR(__xludf.DUMMYFUNCTION("""COMPUTED_VALUE"""),"TX")</f>
        <v>TX</v>
      </c>
      <c r="J1527" s="40">
        <f>IFERROR(__xludf.DUMMYFUNCTION("""COMPUTED_VALUE"""),75230.0)</f>
        <v>75230</v>
      </c>
      <c r="K1527" s="40"/>
      <c r="L1527" s="40"/>
      <c r="M1527" s="40"/>
      <c r="N1527" s="40"/>
      <c r="O1527" s="40"/>
      <c r="P1527" s="40"/>
      <c r="Q1527" s="40"/>
      <c r="R1527" s="40"/>
      <c r="S1527" s="40"/>
      <c r="T1527" s="40"/>
      <c r="U1527" s="24" t="str">
        <f>IFERROR(__xludf.DUMMYFUNCTION("SPLIT(E1527,""01234567890"")"),"Lawrence
")</f>
        <v>Lawrence
</v>
      </c>
      <c r="V1527" s="24" t="str">
        <f>IFERROR(__xludf.DUMMYFUNCTION("SPLIT(D1527,"","")"),"Worden")</f>
        <v>Worden</v>
      </c>
      <c r="W1527" s="25" t="str">
        <f t="shared" si="1"/>
        <v>LAWRENCE
 WORDEN</v>
      </c>
      <c r="X1527" s="40"/>
      <c r="Y1527" s="40"/>
      <c r="Z1527" s="25" t="str">
        <f>IFERROR(__xludf.DUMMYFUNCTION("SPLIT(C1527,""
"")"),"Worden, Lawrence")</f>
        <v>Worden, Lawrence</v>
      </c>
      <c r="AA1527" s="40" t="str">
        <f>IFERROR(__xludf.DUMMYFUNCTION("""COMPUTED_VALUE"""),"2019 Old Orchard Dr.")</f>
        <v>2019 Old Orchard Dr.</v>
      </c>
      <c r="AB1527" s="40" t="str">
        <f>IFERROR(__xludf.DUMMYFUNCTION("""COMPUTED_VALUE"""),"Dallas, TX 75230")</f>
        <v>Dallas, TX 75230</v>
      </c>
      <c r="AC1527" s="31" t="s">
        <v>2576</v>
      </c>
      <c r="AD1527" s="40"/>
      <c r="AE1527" s="40"/>
      <c r="AF1527" s="40"/>
      <c r="AG1527" s="40" t="s">
        <v>60</v>
      </c>
      <c r="AH1527" s="42">
        <v>2501.0</v>
      </c>
      <c r="AI1527" s="40" t="s">
        <v>68</v>
      </c>
      <c r="AJ1527" s="27">
        <v>100.0</v>
      </c>
      <c r="AK1527" s="31" t="s">
        <v>21</v>
      </c>
      <c r="AL1527" s="43">
        <v>44922.0</v>
      </c>
      <c r="AM1527" s="44">
        <v>44943.63122685185</v>
      </c>
      <c r="AN1527" s="30">
        <v>2.0</v>
      </c>
      <c r="AO1527" s="40"/>
      <c r="AP1527" s="40"/>
      <c r="AQ1527" s="40"/>
      <c r="AR1527" s="40"/>
      <c r="AS1527" s="40"/>
      <c r="AT1527" s="47"/>
      <c r="AU1527" s="40"/>
      <c r="AV1527" s="46"/>
      <c r="AW1527" s="46"/>
      <c r="AX1527" s="47"/>
      <c r="AY1527" s="44"/>
      <c r="AZ1527" s="30"/>
      <c r="CU1527" s="55"/>
      <c r="CV1527" s="55"/>
      <c r="CW1527" s="55"/>
      <c r="CX1527" s="55"/>
      <c r="CY1527" s="55"/>
      <c r="CZ1527" s="55"/>
      <c r="DA1527" s="82"/>
      <c r="DB1527" s="55"/>
      <c r="DC1527" s="55"/>
      <c r="DD1527" s="55"/>
      <c r="DE1527" s="55"/>
      <c r="DF1527" s="55"/>
      <c r="DG1527" s="55"/>
      <c r="DH1527" s="55"/>
      <c r="DI1527" s="55"/>
      <c r="DJ1527" s="55"/>
      <c r="DK1527" s="55"/>
      <c r="DL1527" s="55"/>
      <c r="DM1527" s="55"/>
      <c r="DN1527" s="55"/>
      <c r="DO1527" s="55"/>
      <c r="DP1527" s="55"/>
      <c r="DQ1527" s="55"/>
      <c r="DR1527" s="55"/>
      <c r="DS1527" s="55"/>
      <c r="DT1527" s="55"/>
      <c r="DU1527" s="55"/>
      <c r="DV1527" s="55"/>
      <c r="DW1527" s="55"/>
    </row>
    <row r="1528">
      <c r="A1528" s="22" t="s">
        <v>55</v>
      </c>
      <c r="B1528" s="23" t="s">
        <v>56</v>
      </c>
      <c r="C1528" s="31" t="s">
        <v>3156</v>
      </c>
      <c r="D1528" s="25" t="str">
        <f>IFERROR(__xludf.DUMMYFUNCTION("SPLIT(C1528,"" "")"),"Hampton,")</f>
        <v>Hampton,</v>
      </c>
      <c r="E1528" s="22" t="str">
        <f>IFERROR(__xludf.DUMMYFUNCTION("""COMPUTED_VALUE"""),"Logan
2501")</f>
        <v>Logan
2501</v>
      </c>
      <c r="F1528" s="22" t="str">
        <f>IFERROR(__xludf.DUMMYFUNCTION("""COMPUTED_VALUE"""),"N.")</f>
        <v>N.</v>
      </c>
      <c r="G1528" s="22" t="str">
        <f>IFERROR(__xludf.DUMMYFUNCTION("""COMPUTED_VALUE"""),"Harwood")</f>
        <v>Harwood</v>
      </c>
      <c r="H1528" s="22" t="str">
        <f>IFERROR(__xludf.DUMMYFUNCTION("""COMPUTED_VALUE"""),"St.
Dallas,")</f>
        <v>St.
Dallas,</v>
      </c>
      <c r="I1528" s="22" t="str">
        <f>IFERROR(__xludf.DUMMYFUNCTION("""COMPUTED_VALUE"""),"TX")</f>
        <v>TX</v>
      </c>
      <c r="J1528" s="22">
        <f>IFERROR(__xludf.DUMMYFUNCTION("""COMPUTED_VALUE"""),75201.0)</f>
        <v>75201</v>
      </c>
      <c r="K1528" s="22"/>
      <c r="L1528" s="22"/>
      <c r="M1528" s="22"/>
      <c r="N1528" s="22"/>
      <c r="O1528" s="22"/>
      <c r="P1528" s="22"/>
      <c r="Q1528" s="22"/>
      <c r="R1528" s="22"/>
      <c r="S1528" s="22"/>
      <c r="T1528" s="22"/>
      <c r="U1528" s="24" t="str">
        <f>IFERROR(__xludf.DUMMYFUNCTION("SPLIT(E1528,""01234567890"")"),"Logan
")</f>
        <v>Logan
</v>
      </c>
      <c r="V1528" s="24" t="str">
        <f>IFERROR(__xludf.DUMMYFUNCTION("SPLIT(D1528,"","")"),"Hampton")</f>
        <v>Hampton</v>
      </c>
      <c r="W1528" s="25" t="str">
        <f t="shared" si="1"/>
        <v>LOGAN
 HAMPTON</v>
      </c>
      <c r="X1528" s="22"/>
      <c r="Y1528" s="22"/>
      <c r="Z1528" s="25" t="str">
        <f>IFERROR(__xludf.DUMMYFUNCTION("SPLIT(C1528,""
"")"),"Hampton, Logan")</f>
        <v>Hampton, Logan</v>
      </c>
      <c r="AA1528" s="22" t="str">
        <f>IFERROR(__xludf.DUMMYFUNCTION("""COMPUTED_VALUE"""),"2501 N. Harwood St.")</f>
        <v>2501 N. Harwood St.</v>
      </c>
      <c r="AB1528" s="22" t="str">
        <f>IFERROR(__xludf.DUMMYFUNCTION("""COMPUTED_VALUE"""),"Dallas, TX 75201")</f>
        <v>Dallas, TX 75201</v>
      </c>
      <c r="AC1528" s="31" t="s">
        <v>3157</v>
      </c>
      <c r="AD1528" s="22"/>
      <c r="AE1528" s="22"/>
      <c r="AF1528" s="22"/>
      <c r="AG1528" s="22" t="s">
        <v>60</v>
      </c>
      <c r="AH1528" s="54">
        <v>2501.0</v>
      </c>
      <c r="AI1528" s="22" t="s">
        <v>68</v>
      </c>
      <c r="AJ1528" s="27">
        <v>189.7</v>
      </c>
      <c r="AK1528" s="31" t="s">
        <v>21</v>
      </c>
      <c r="AL1528" s="28">
        <v>44923.0</v>
      </c>
      <c r="AM1528" s="29">
        <v>44943.63122685185</v>
      </c>
      <c r="AN1528" s="30">
        <v>2.0</v>
      </c>
      <c r="AO1528" s="22"/>
      <c r="AP1528" s="22"/>
      <c r="AQ1528" s="22"/>
      <c r="AR1528" s="22"/>
      <c r="AS1528" s="22"/>
      <c r="AT1528" s="70"/>
      <c r="AU1528" s="22"/>
      <c r="AV1528" s="57"/>
      <c r="AW1528" s="57"/>
      <c r="AX1528" s="70"/>
      <c r="AY1528" s="29"/>
      <c r="AZ1528" s="30"/>
      <c r="CU1528" s="55"/>
      <c r="CV1528" s="55"/>
      <c r="CW1528" s="55"/>
      <c r="CX1528" s="55"/>
      <c r="CY1528" s="55"/>
      <c r="CZ1528" s="55"/>
      <c r="DA1528" s="82"/>
      <c r="DB1528" s="55"/>
      <c r="DC1528" s="55"/>
      <c r="DD1528" s="55"/>
      <c r="DE1528" s="55"/>
      <c r="DF1528" s="55"/>
      <c r="DG1528" s="55"/>
      <c r="DH1528" s="55"/>
      <c r="DI1528" s="55"/>
      <c r="DJ1528" s="55"/>
      <c r="DK1528" s="55"/>
      <c r="DL1528" s="55"/>
      <c r="DM1528" s="55"/>
      <c r="DN1528" s="55"/>
      <c r="DO1528" s="55"/>
      <c r="DP1528" s="55"/>
      <c r="DQ1528" s="55"/>
      <c r="DR1528" s="55"/>
      <c r="DS1528" s="55"/>
      <c r="DT1528" s="55"/>
      <c r="DU1528" s="55"/>
      <c r="DV1528" s="55"/>
      <c r="DW1528" s="55"/>
    </row>
    <row r="1529">
      <c r="A1529" s="41" t="s">
        <v>64</v>
      </c>
      <c r="B1529" s="41" t="s">
        <v>56</v>
      </c>
      <c r="C1529" s="31" t="s">
        <v>3158</v>
      </c>
      <c r="D1529" s="25" t="str">
        <f>IFERROR(__xludf.DUMMYFUNCTION("SPLIT(C1529,"" "")"),"Hellyar,")</f>
        <v>Hellyar,</v>
      </c>
      <c r="E1529" s="40" t="str">
        <f>IFERROR(__xludf.DUMMYFUNCTION("""COMPUTED_VALUE"""),"Nicholas
2368")</f>
        <v>Nicholas
2368</v>
      </c>
      <c r="F1529" s="40" t="str">
        <f>IFERROR(__xludf.DUMMYFUNCTION("""COMPUTED_VALUE"""),"Rice")</f>
        <v>Rice</v>
      </c>
      <c r="G1529" s="40" t="str">
        <f>IFERROR(__xludf.DUMMYFUNCTION("""COMPUTED_VALUE"""),"Blvd
Houston,")</f>
        <v>Blvd
Houston,</v>
      </c>
      <c r="H1529" s="40" t="str">
        <f>IFERROR(__xludf.DUMMYFUNCTION("""COMPUTED_VALUE"""),"TX")</f>
        <v>TX</v>
      </c>
      <c r="I1529" s="40">
        <f>IFERROR(__xludf.DUMMYFUNCTION("""COMPUTED_VALUE"""),77005.0)</f>
        <v>77005</v>
      </c>
      <c r="J1529" s="40"/>
      <c r="K1529" s="40"/>
      <c r="L1529" s="40"/>
      <c r="M1529" s="40"/>
      <c r="N1529" s="40"/>
      <c r="O1529" s="40"/>
      <c r="P1529" s="40"/>
      <c r="Q1529" s="40"/>
      <c r="R1529" s="40"/>
      <c r="S1529" s="40"/>
      <c r="T1529" s="40"/>
      <c r="U1529" s="24" t="str">
        <f>IFERROR(__xludf.DUMMYFUNCTION("SPLIT(E1529,""01234567890"")"),"Nicholas
")</f>
        <v>Nicholas
</v>
      </c>
      <c r="V1529" s="24" t="str">
        <f>IFERROR(__xludf.DUMMYFUNCTION("SPLIT(D1529,"","")"),"Hellyar")</f>
        <v>Hellyar</v>
      </c>
      <c r="W1529" s="25" t="str">
        <f t="shared" si="1"/>
        <v>NICHOLAS
 HELLYAR</v>
      </c>
      <c r="X1529" s="40"/>
      <c r="Y1529" s="40"/>
      <c r="Z1529" s="25" t="str">
        <f>IFERROR(__xludf.DUMMYFUNCTION("SPLIT(C1529,""
"")"),"Hellyar, Nicholas")</f>
        <v>Hellyar, Nicholas</v>
      </c>
      <c r="AA1529" s="40" t="str">
        <f>IFERROR(__xludf.DUMMYFUNCTION("""COMPUTED_VALUE"""),"2368 Rice Blvd")</f>
        <v>2368 Rice Blvd</v>
      </c>
      <c r="AB1529" s="40" t="str">
        <f>IFERROR(__xludf.DUMMYFUNCTION("""COMPUTED_VALUE"""),"Houston, TX 77005")</f>
        <v>Houston, TX 77005</v>
      </c>
      <c r="AC1529" s="31" t="s">
        <v>3159</v>
      </c>
      <c r="AD1529" s="40"/>
      <c r="AE1529" s="40"/>
      <c r="AF1529" s="40"/>
      <c r="AG1529" s="40" t="s">
        <v>60</v>
      </c>
      <c r="AH1529" s="42">
        <v>2501.0</v>
      </c>
      <c r="AI1529" s="40" t="s">
        <v>68</v>
      </c>
      <c r="AJ1529" s="27">
        <v>250.0</v>
      </c>
      <c r="AK1529" s="31" t="s">
        <v>21</v>
      </c>
      <c r="AL1529" s="43">
        <v>44923.0</v>
      </c>
      <c r="AM1529" s="44">
        <v>44943.63122685185</v>
      </c>
      <c r="AN1529" s="30">
        <v>2.0</v>
      </c>
      <c r="AO1529" s="40"/>
      <c r="AP1529" s="40"/>
      <c r="AQ1529" s="40"/>
      <c r="AR1529" s="40"/>
      <c r="AS1529" s="40"/>
      <c r="AT1529" s="47"/>
      <c r="AU1529" s="40"/>
      <c r="AV1529" s="46"/>
      <c r="AW1529" s="46"/>
      <c r="AX1529" s="47"/>
      <c r="AY1529" s="44"/>
      <c r="AZ1529" s="30"/>
      <c r="CU1529" s="55"/>
      <c r="CV1529" s="55"/>
      <c r="CW1529" s="55"/>
      <c r="CX1529" s="55"/>
      <c r="CY1529" s="55"/>
      <c r="CZ1529" s="55"/>
      <c r="DA1529" s="82"/>
      <c r="DB1529" s="55"/>
      <c r="DC1529" s="55"/>
      <c r="DD1529" s="55"/>
      <c r="DE1529" s="55"/>
      <c r="DF1529" s="55"/>
      <c r="DG1529" s="55"/>
      <c r="DH1529" s="55"/>
      <c r="DI1529" s="55"/>
      <c r="DJ1529" s="55"/>
      <c r="DK1529" s="55"/>
      <c r="DL1529" s="55"/>
      <c r="DM1529" s="55"/>
      <c r="DN1529" s="55"/>
      <c r="DO1529" s="55"/>
      <c r="DP1529" s="55"/>
      <c r="DQ1529" s="55"/>
      <c r="DR1529" s="55"/>
      <c r="DS1529" s="55"/>
      <c r="DT1529" s="55"/>
      <c r="DU1529" s="55"/>
      <c r="DV1529" s="55"/>
      <c r="DW1529" s="55"/>
    </row>
    <row r="1530">
      <c r="A1530" s="22" t="s">
        <v>55</v>
      </c>
      <c r="B1530" s="23" t="s">
        <v>56</v>
      </c>
      <c r="C1530" s="31" t="s">
        <v>3160</v>
      </c>
      <c r="D1530" s="25" t="str">
        <f>IFERROR(__xludf.DUMMYFUNCTION("SPLIT(C1530,"" "")"),"Linburg,")</f>
        <v>Linburg,</v>
      </c>
      <c r="E1530" s="22" t="str">
        <f>IFERROR(__xludf.DUMMYFUNCTION("""COMPUTED_VALUE"""),"Heather
5619")</f>
        <v>Heather
5619</v>
      </c>
      <c r="F1530" s="22" t="str">
        <f>IFERROR(__xludf.DUMMYFUNCTION("""COMPUTED_VALUE"""),"Purdue")</f>
        <v>Purdue</v>
      </c>
      <c r="G1530" s="22" t="str">
        <f>IFERROR(__xludf.DUMMYFUNCTION("""COMPUTED_VALUE"""),"Ave.
Dallas,")</f>
        <v>Ave.
Dallas,</v>
      </c>
      <c r="H1530" s="22" t="str">
        <f>IFERROR(__xludf.DUMMYFUNCTION("""COMPUTED_VALUE"""),"TX")</f>
        <v>TX</v>
      </c>
      <c r="I1530" s="22">
        <f>IFERROR(__xludf.DUMMYFUNCTION("""COMPUTED_VALUE"""),75209.0)</f>
        <v>75209</v>
      </c>
      <c r="J1530" s="22"/>
      <c r="K1530" s="22"/>
      <c r="L1530" s="22"/>
      <c r="M1530" s="22"/>
      <c r="N1530" s="22"/>
      <c r="O1530" s="22"/>
      <c r="P1530" s="22"/>
      <c r="Q1530" s="22"/>
      <c r="R1530" s="22"/>
      <c r="S1530" s="22"/>
      <c r="T1530" s="22"/>
      <c r="U1530" s="24" t="str">
        <f>IFERROR(__xludf.DUMMYFUNCTION("SPLIT(E1530,""01234567890"")"),"Heather
")</f>
        <v>Heather
</v>
      </c>
      <c r="V1530" s="24" t="str">
        <f>IFERROR(__xludf.DUMMYFUNCTION("SPLIT(D1530,"","")"),"Linburg")</f>
        <v>Linburg</v>
      </c>
      <c r="W1530" s="25" t="str">
        <f t="shared" si="1"/>
        <v>HEATHER
 LINBURG</v>
      </c>
      <c r="X1530" s="22"/>
      <c r="Y1530" s="22"/>
      <c r="Z1530" s="25" t="str">
        <f>IFERROR(__xludf.DUMMYFUNCTION("SPLIT(C1530,""
"")"),"Linburg, Heather")</f>
        <v>Linburg, Heather</v>
      </c>
      <c r="AA1530" s="22" t="str">
        <f>IFERROR(__xludf.DUMMYFUNCTION("""COMPUTED_VALUE"""),"5619 Purdue Ave.")</f>
        <v>5619 Purdue Ave.</v>
      </c>
      <c r="AB1530" s="22" t="str">
        <f>IFERROR(__xludf.DUMMYFUNCTION("""COMPUTED_VALUE"""),"Dallas, TX 75209")</f>
        <v>Dallas, TX 75209</v>
      </c>
      <c r="AC1530" s="31" t="s">
        <v>3161</v>
      </c>
      <c r="AD1530" s="22"/>
      <c r="AE1530" s="22"/>
      <c r="AF1530" s="22"/>
      <c r="AG1530" s="22" t="s">
        <v>60</v>
      </c>
      <c r="AH1530" s="54">
        <v>2501.0</v>
      </c>
      <c r="AI1530" s="22" t="s">
        <v>68</v>
      </c>
      <c r="AJ1530" s="27">
        <v>1000.0</v>
      </c>
      <c r="AK1530" s="31" t="s">
        <v>21</v>
      </c>
      <c r="AL1530" s="28">
        <v>44923.0</v>
      </c>
      <c r="AM1530" s="29">
        <v>44943.63122685185</v>
      </c>
      <c r="AN1530" s="30">
        <v>2.0</v>
      </c>
      <c r="AO1530" s="22"/>
      <c r="AP1530" s="22"/>
      <c r="AQ1530" s="22"/>
      <c r="AR1530" s="22"/>
      <c r="AS1530" s="22"/>
      <c r="AT1530" s="70"/>
      <c r="AU1530" s="22"/>
      <c r="AV1530" s="57"/>
      <c r="AW1530" s="57"/>
      <c r="AX1530" s="70"/>
      <c r="AY1530" s="29"/>
      <c r="AZ1530" s="30"/>
      <c r="CU1530" s="55"/>
      <c r="CV1530" s="55"/>
      <c r="CW1530" s="55"/>
      <c r="CX1530" s="55"/>
      <c r="CY1530" s="55"/>
      <c r="CZ1530" s="55"/>
      <c r="DA1530" s="82"/>
      <c r="DB1530" s="55"/>
      <c r="DC1530" s="55"/>
      <c r="DD1530" s="55"/>
      <c r="DE1530" s="55"/>
      <c r="DF1530" s="55"/>
      <c r="DG1530" s="55"/>
      <c r="DH1530" s="55"/>
      <c r="DI1530" s="55"/>
      <c r="DJ1530" s="55"/>
      <c r="DK1530" s="55"/>
      <c r="DL1530" s="55"/>
      <c r="DM1530" s="55"/>
      <c r="DN1530" s="55"/>
      <c r="DO1530" s="55"/>
      <c r="DP1530" s="55"/>
      <c r="DQ1530" s="55"/>
      <c r="DR1530" s="55"/>
      <c r="DS1530" s="55"/>
      <c r="DT1530" s="55"/>
      <c r="DU1530" s="55"/>
      <c r="DV1530" s="55"/>
      <c r="DW1530" s="55"/>
    </row>
    <row r="1531">
      <c r="A1531" s="41" t="s">
        <v>64</v>
      </c>
      <c r="B1531" s="41" t="s">
        <v>56</v>
      </c>
      <c r="C1531" s="31" t="s">
        <v>3162</v>
      </c>
      <c r="D1531" s="25" t="str">
        <f>IFERROR(__xludf.DUMMYFUNCTION("SPLIT(C1531,"" "")"),"Rouse,")</f>
        <v>Rouse,</v>
      </c>
      <c r="E1531" s="40" t="str">
        <f>IFERROR(__xludf.DUMMYFUNCTION("""COMPUTED_VALUE"""),"Will
2501")</f>
        <v>Will
2501</v>
      </c>
      <c r="F1531" s="40" t="str">
        <f>IFERROR(__xludf.DUMMYFUNCTION("""COMPUTED_VALUE"""),"N.")</f>
        <v>N.</v>
      </c>
      <c r="G1531" s="40" t="str">
        <f>IFERROR(__xludf.DUMMYFUNCTION("""COMPUTED_VALUE"""),"Harwood")</f>
        <v>Harwood</v>
      </c>
      <c r="H1531" s="40" t="str">
        <f>IFERROR(__xludf.DUMMYFUNCTION("""COMPUTED_VALUE"""),"St.
Dallas,")</f>
        <v>St.
Dallas,</v>
      </c>
      <c r="I1531" s="40" t="str">
        <f>IFERROR(__xludf.DUMMYFUNCTION("""COMPUTED_VALUE"""),"TX")</f>
        <v>TX</v>
      </c>
      <c r="J1531" s="40">
        <f>IFERROR(__xludf.DUMMYFUNCTION("""COMPUTED_VALUE"""),75201.0)</f>
        <v>75201</v>
      </c>
      <c r="K1531" s="40"/>
      <c r="L1531" s="40"/>
      <c r="M1531" s="40"/>
      <c r="N1531" s="40"/>
      <c r="O1531" s="40"/>
      <c r="P1531" s="40"/>
      <c r="Q1531" s="40"/>
      <c r="R1531" s="40"/>
      <c r="S1531" s="40"/>
      <c r="T1531" s="40"/>
      <c r="U1531" s="24" t="str">
        <f>IFERROR(__xludf.DUMMYFUNCTION("SPLIT(E1531,""01234567890"")"),"Will
")</f>
        <v>Will
</v>
      </c>
      <c r="V1531" s="24" t="str">
        <f>IFERROR(__xludf.DUMMYFUNCTION("SPLIT(D1531,"","")"),"Rouse")</f>
        <v>Rouse</v>
      </c>
      <c r="W1531" s="25" t="str">
        <f t="shared" si="1"/>
        <v>WILL
 ROUSE</v>
      </c>
      <c r="X1531" s="40"/>
      <c r="Y1531" s="40"/>
      <c r="Z1531" s="25" t="str">
        <f>IFERROR(__xludf.DUMMYFUNCTION("SPLIT(C1531,""
"")"),"Rouse, Will")</f>
        <v>Rouse, Will</v>
      </c>
      <c r="AA1531" s="40" t="str">
        <f>IFERROR(__xludf.DUMMYFUNCTION("""COMPUTED_VALUE"""),"2501 N. Harwood St.")</f>
        <v>2501 N. Harwood St.</v>
      </c>
      <c r="AB1531" s="40" t="str">
        <f>IFERROR(__xludf.DUMMYFUNCTION("""COMPUTED_VALUE"""),"Dallas, TX 75201")</f>
        <v>Dallas, TX 75201</v>
      </c>
      <c r="AC1531" s="31" t="s">
        <v>3163</v>
      </c>
      <c r="AD1531" s="40"/>
      <c r="AE1531" s="40"/>
      <c r="AF1531" s="40"/>
      <c r="AG1531" s="40" t="s">
        <v>60</v>
      </c>
      <c r="AH1531" s="42">
        <v>2501.0</v>
      </c>
      <c r="AI1531" s="40" t="s">
        <v>68</v>
      </c>
      <c r="AJ1531" s="27">
        <v>189.7</v>
      </c>
      <c r="AK1531" s="31" t="s">
        <v>21</v>
      </c>
      <c r="AL1531" s="43">
        <v>44923.0</v>
      </c>
      <c r="AM1531" s="44">
        <v>44943.63122685185</v>
      </c>
      <c r="AN1531" s="30">
        <v>2.0</v>
      </c>
      <c r="AO1531" s="40"/>
      <c r="AP1531" s="40"/>
      <c r="AQ1531" s="40"/>
      <c r="AR1531" s="40"/>
      <c r="AS1531" s="40"/>
      <c r="AT1531" s="47"/>
      <c r="AU1531" s="40"/>
      <c r="AV1531" s="46"/>
      <c r="AW1531" s="46"/>
      <c r="AX1531" s="47"/>
      <c r="AY1531" s="44"/>
      <c r="AZ1531" s="30"/>
      <c r="CU1531" s="55"/>
      <c r="CV1531" s="55"/>
      <c r="CW1531" s="55"/>
      <c r="CX1531" s="55"/>
      <c r="CY1531" s="55"/>
      <c r="CZ1531" s="55"/>
      <c r="DA1531" s="82"/>
      <c r="DB1531" s="55"/>
      <c r="DC1531" s="55"/>
      <c r="DD1531" s="55"/>
      <c r="DE1531" s="55"/>
      <c r="DF1531" s="55"/>
      <c r="DG1531" s="55"/>
      <c r="DH1531" s="55"/>
      <c r="DI1531" s="55"/>
      <c r="DJ1531" s="55"/>
      <c r="DK1531" s="55"/>
      <c r="DL1531" s="55"/>
      <c r="DM1531" s="55"/>
      <c r="DN1531" s="55"/>
      <c r="DO1531" s="55"/>
      <c r="DP1531" s="55"/>
      <c r="DQ1531" s="55"/>
      <c r="DR1531" s="55"/>
      <c r="DS1531" s="55"/>
      <c r="DT1531" s="55"/>
      <c r="DU1531" s="55"/>
      <c r="DV1531" s="55"/>
      <c r="DW1531" s="55"/>
    </row>
    <row r="1532">
      <c r="A1532" s="22" t="s">
        <v>55</v>
      </c>
      <c r="B1532" s="23" t="s">
        <v>56</v>
      </c>
      <c r="C1532" s="31" t="s">
        <v>3164</v>
      </c>
      <c r="D1532" s="25" t="str">
        <f>IFERROR(__xludf.DUMMYFUNCTION("SPLIT(C1532,"" "")"),"Larsen,")</f>
        <v>Larsen,</v>
      </c>
      <c r="E1532" s="22" t="str">
        <f>IFERROR(__xludf.DUMMYFUNCTION("""COMPUTED_VALUE"""),"Scott
665")</f>
        <v>Scott
665</v>
      </c>
      <c r="F1532" s="22" t="str">
        <f>IFERROR(__xludf.DUMMYFUNCTION("""COMPUTED_VALUE"""),"Kessler")</f>
        <v>Kessler</v>
      </c>
      <c r="G1532" s="22" t="str">
        <f>IFERROR(__xludf.DUMMYFUNCTION("""COMPUTED_VALUE"""),"Reserve")</f>
        <v>Reserve</v>
      </c>
      <c r="H1532" s="22" t="str">
        <f>IFERROR(__xludf.DUMMYFUNCTION("""COMPUTED_VALUE"""),"Ct.
Dallas,")</f>
        <v>Ct.
Dallas,</v>
      </c>
      <c r="I1532" s="22" t="str">
        <f>IFERROR(__xludf.DUMMYFUNCTION("""COMPUTED_VALUE"""),"TX")</f>
        <v>TX</v>
      </c>
      <c r="J1532" s="22">
        <f>IFERROR(__xludf.DUMMYFUNCTION("""COMPUTED_VALUE"""),75208.0)</f>
        <v>75208</v>
      </c>
      <c r="K1532" s="22"/>
      <c r="L1532" s="22"/>
      <c r="M1532" s="22"/>
      <c r="N1532" s="22"/>
      <c r="O1532" s="22"/>
      <c r="P1532" s="22"/>
      <c r="Q1532" s="22"/>
      <c r="R1532" s="22"/>
      <c r="S1532" s="22"/>
      <c r="T1532" s="22"/>
      <c r="U1532" s="24" t="str">
        <f>IFERROR(__xludf.DUMMYFUNCTION("SPLIT(E1532,""01234567890"")"),"Scott
")</f>
        <v>Scott
</v>
      </c>
      <c r="V1532" s="24" t="str">
        <f>IFERROR(__xludf.DUMMYFUNCTION("SPLIT(D1532,"","")"),"Larsen")</f>
        <v>Larsen</v>
      </c>
      <c r="W1532" s="25" t="str">
        <f t="shared" si="1"/>
        <v>SCOTT
 LARSEN</v>
      </c>
      <c r="X1532" s="22"/>
      <c r="Y1532" s="22"/>
      <c r="Z1532" s="25" t="str">
        <f>IFERROR(__xludf.DUMMYFUNCTION("SPLIT(C1532,""
"")"),"Larsen, Scott")</f>
        <v>Larsen, Scott</v>
      </c>
      <c r="AA1532" s="22" t="str">
        <f>IFERROR(__xludf.DUMMYFUNCTION("""COMPUTED_VALUE"""),"665 Kessler Reserve Ct.")</f>
        <v>665 Kessler Reserve Ct.</v>
      </c>
      <c r="AB1532" s="22" t="str">
        <f>IFERROR(__xludf.DUMMYFUNCTION("""COMPUTED_VALUE"""),"Dallas, TX 75208")</f>
        <v>Dallas, TX 75208</v>
      </c>
      <c r="AC1532" s="31" t="s">
        <v>3165</v>
      </c>
      <c r="AD1532" s="22"/>
      <c r="AE1532" s="22"/>
      <c r="AF1532" s="22"/>
      <c r="AG1532" s="22" t="s">
        <v>60</v>
      </c>
      <c r="AH1532" s="54">
        <v>2501.0</v>
      </c>
      <c r="AI1532" s="22" t="s">
        <v>68</v>
      </c>
      <c r="AJ1532" s="27">
        <v>100.0</v>
      </c>
      <c r="AK1532" s="31" t="s">
        <v>21</v>
      </c>
      <c r="AL1532" s="28">
        <v>44924.0</v>
      </c>
      <c r="AM1532" s="29">
        <v>44943.63122685185</v>
      </c>
      <c r="AN1532" s="30">
        <v>2.0</v>
      </c>
      <c r="AO1532" s="22"/>
      <c r="AP1532" s="22"/>
      <c r="AQ1532" s="22"/>
      <c r="AR1532" s="22"/>
      <c r="AS1532" s="22"/>
      <c r="AT1532" s="70"/>
      <c r="AU1532" s="22"/>
      <c r="AV1532" s="57"/>
      <c r="AW1532" s="57"/>
      <c r="AX1532" s="70"/>
      <c r="AY1532" s="29"/>
      <c r="AZ1532" s="30"/>
      <c r="CU1532" s="55"/>
      <c r="CV1532" s="55"/>
      <c r="CW1532" s="55"/>
      <c r="CX1532" s="55"/>
      <c r="CY1532" s="55"/>
      <c r="CZ1532" s="55"/>
      <c r="DA1532" s="82"/>
      <c r="DB1532" s="55"/>
      <c r="DC1532" s="55"/>
      <c r="DD1532" s="55"/>
      <c r="DE1532" s="55"/>
      <c r="DF1532" s="55"/>
      <c r="DG1532" s="55"/>
      <c r="DH1532" s="55"/>
      <c r="DI1532" s="55"/>
      <c r="DJ1532" s="55"/>
      <c r="DK1532" s="55"/>
      <c r="DL1532" s="55"/>
      <c r="DM1532" s="55"/>
      <c r="DN1532" s="55"/>
      <c r="DO1532" s="55"/>
      <c r="DP1532" s="55"/>
      <c r="DQ1532" s="55"/>
      <c r="DR1532" s="55"/>
      <c r="DS1532" s="55"/>
      <c r="DT1532" s="55"/>
      <c r="DU1532" s="55"/>
      <c r="DV1532" s="55"/>
      <c r="DW1532" s="55"/>
    </row>
    <row r="1533">
      <c r="A1533" s="41" t="s">
        <v>64</v>
      </c>
      <c r="B1533" s="41" t="s">
        <v>56</v>
      </c>
      <c r="C1533" s="31" t="s">
        <v>3166</v>
      </c>
      <c r="D1533" s="25" t="str">
        <f>IFERROR(__xludf.DUMMYFUNCTION("SPLIT(C1533,"" "")"),"McGinnis,")</f>
        <v>McGinnis,</v>
      </c>
      <c r="E1533" s="40" t="str">
        <f>IFERROR(__xludf.DUMMYFUNCTION("""COMPUTED_VALUE"""),"Gayla
4144")</f>
        <v>Gayla
4144</v>
      </c>
      <c r="F1533" s="40" t="str">
        <f>IFERROR(__xludf.DUMMYFUNCTION("""COMPUTED_VALUE"""),"N")</f>
        <v>N</v>
      </c>
      <c r="G1533" s="40" t="str">
        <f>IFERROR(__xludf.DUMMYFUNCTION("""COMPUTED_VALUE"""),"Central")</f>
        <v>Central</v>
      </c>
      <c r="H1533" s="40" t="str">
        <f>IFERROR(__xludf.DUMMYFUNCTION("""COMPUTED_VALUE"""),"Expwy.
Dallas,")</f>
        <v>Expwy.
Dallas,</v>
      </c>
      <c r="I1533" s="40" t="str">
        <f>IFERROR(__xludf.DUMMYFUNCTION("""COMPUTED_VALUE"""),"TX")</f>
        <v>TX</v>
      </c>
      <c r="J1533" s="40">
        <f>IFERROR(__xludf.DUMMYFUNCTION("""COMPUTED_VALUE"""),75204.0)</f>
        <v>75204</v>
      </c>
      <c r="K1533" s="40"/>
      <c r="L1533" s="40"/>
      <c r="M1533" s="40"/>
      <c r="N1533" s="40"/>
      <c r="O1533" s="40"/>
      <c r="P1533" s="40"/>
      <c r="Q1533" s="40"/>
      <c r="R1533" s="40"/>
      <c r="S1533" s="40"/>
      <c r="T1533" s="40"/>
      <c r="U1533" s="24" t="str">
        <f>IFERROR(__xludf.DUMMYFUNCTION("SPLIT(E1533,""01234567890"")"),"Gayla
")</f>
        <v>Gayla
</v>
      </c>
      <c r="V1533" s="24" t="str">
        <f>IFERROR(__xludf.DUMMYFUNCTION("SPLIT(D1533,"","")"),"McGinnis")</f>
        <v>McGinnis</v>
      </c>
      <c r="W1533" s="25" t="str">
        <f t="shared" si="1"/>
        <v>GAYLA
 MCGINNIS</v>
      </c>
      <c r="X1533" s="40"/>
      <c r="Y1533" s="40"/>
      <c r="Z1533" s="25" t="str">
        <f>IFERROR(__xludf.DUMMYFUNCTION("SPLIT(C1533,""
"")"),"McGinnis, Gayla")</f>
        <v>McGinnis, Gayla</v>
      </c>
      <c r="AA1533" s="40" t="str">
        <f>IFERROR(__xludf.DUMMYFUNCTION("""COMPUTED_VALUE"""),"4144 N Central Expwy.")</f>
        <v>4144 N Central Expwy.</v>
      </c>
      <c r="AB1533" s="40" t="str">
        <f>IFERROR(__xludf.DUMMYFUNCTION("""COMPUTED_VALUE"""),"Dallas, TX 75204")</f>
        <v>Dallas, TX 75204</v>
      </c>
      <c r="AC1533" s="31" t="s">
        <v>3167</v>
      </c>
      <c r="AD1533" s="40"/>
      <c r="AE1533" s="40"/>
      <c r="AF1533" s="40"/>
      <c r="AG1533" s="40" t="s">
        <v>60</v>
      </c>
      <c r="AH1533" s="42">
        <v>2501.0</v>
      </c>
      <c r="AI1533" s="40" t="s">
        <v>68</v>
      </c>
      <c r="AJ1533" s="27">
        <v>100.0</v>
      </c>
      <c r="AK1533" s="31" t="s">
        <v>21</v>
      </c>
      <c r="AL1533" s="43">
        <v>44924.0</v>
      </c>
      <c r="AM1533" s="44">
        <v>44943.63122685185</v>
      </c>
      <c r="AN1533" s="30">
        <v>2.0</v>
      </c>
      <c r="AO1533" s="40"/>
      <c r="AP1533" s="40"/>
      <c r="AQ1533" s="40"/>
      <c r="AR1533" s="40"/>
      <c r="AS1533" s="40"/>
      <c r="AT1533" s="47"/>
      <c r="AU1533" s="40"/>
      <c r="AV1533" s="46"/>
      <c r="AW1533" s="46"/>
      <c r="AX1533" s="47"/>
      <c r="AY1533" s="44"/>
      <c r="AZ1533" s="30"/>
      <c r="CU1533" s="55"/>
      <c r="CV1533" s="55"/>
      <c r="CW1533" s="55"/>
      <c r="CX1533" s="55"/>
      <c r="CY1533" s="55"/>
      <c r="CZ1533" s="55"/>
      <c r="DA1533" s="82"/>
      <c r="DB1533" s="55"/>
      <c r="DC1533" s="55"/>
      <c r="DD1533" s="55"/>
      <c r="DE1533" s="55"/>
      <c r="DF1533" s="55"/>
      <c r="DG1533" s="55"/>
      <c r="DH1533" s="55"/>
      <c r="DI1533" s="55"/>
      <c r="DJ1533" s="55"/>
      <c r="DK1533" s="55"/>
      <c r="DL1533" s="55"/>
      <c r="DM1533" s="55"/>
      <c r="DN1533" s="55"/>
      <c r="DO1533" s="55"/>
      <c r="DP1533" s="55"/>
      <c r="DQ1533" s="55"/>
      <c r="DR1533" s="55"/>
      <c r="DS1533" s="55"/>
      <c r="DT1533" s="55"/>
      <c r="DU1533" s="55"/>
      <c r="DV1533" s="55"/>
      <c r="DW1533" s="55"/>
    </row>
    <row r="1534">
      <c r="A1534" s="22" t="s">
        <v>55</v>
      </c>
      <c r="B1534" s="23" t="s">
        <v>56</v>
      </c>
      <c r="C1534" s="31" t="s">
        <v>3168</v>
      </c>
      <c r="D1534" s="25" t="str">
        <f>IFERROR(__xludf.DUMMYFUNCTION("SPLIT(C1534,"" "")"),"Culak,")</f>
        <v>Culak,</v>
      </c>
      <c r="E1534" s="22" t="str">
        <f>IFERROR(__xludf.DUMMYFUNCTION("""COMPUTED_VALUE"""),"Chris
1223")</f>
        <v>Chris
1223</v>
      </c>
      <c r="F1534" s="22" t="str">
        <f>IFERROR(__xludf.DUMMYFUNCTION("""COMPUTED_VALUE"""),"Kings")</f>
        <v>Kings</v>
      </c>
      <c r="G1534" s="22" t="str">
        <f>IFERROR(__xludf.DUMMYFUNCTION("""COMPUTED_VALUE"""),"Hwy.
Dallas,")</f>
        <v>Hwy.
Dallas,</v>
      </c>
      <c r="H1534" s="22" t="str">
        <f>IFERROR(__xludf.DUMMYFUNCTION("""COMPUTED_VALUE"""),"TX")</f>
        <v>TX</v>
      </c>
      <c r="I1534" s="22">
        <f>IFERROR(__xludf.DUMMYFUNCTION("""COMPUTED_VALUE"""),75208.0)</f>
        <v>75208</v>
      </c>
      <c r="J1534" s="22"/>
      <c r="K1534" s="22"/>
      <c r="L1534" s="22"/>
      <c r="M1534" s="22"/>
      <c r="N1534" s="22"/>
      <c r="O1534" s="22"/>
      <c r="P1534" s="22"/>
      <c r="Q1534" s="22"/>
      <c r="R1534" s="22"/>
      <c r="S1534" s="22"/>
      <c r="T1534" s="22"/>
      <c r="U1534" s="24" t="str">
        <f>IFERROR(__xludf.DUMMYFUNCTION("SPLIT(E1534,""01234567890"")"),"Chris
")</f>
        <v>Chris
</v>
      </c>
      <c r="V1534" s="24" t="str">
        <f>IFERROR(__xludf.DUMMYFUNCTION("SPLIT(D1534,"","")"),"Culak")</f>
        <v>Culak</v>
      </c>
      <c r="W1534" s="25" t="str">
        <f t="shared" si="1"/>
        <v>CHRIS
 CULAK</v>
      </c>
      <c r="X1534" s="22"/>
      <c r="Y1534" s="22"/>
      <c r="Z1534" s="25" t="str">
        <f>IFERROR(__xludf.DUMMYFUNCTION("SPLIT(C1534,""
"")"),"Culak, Chris")</f>
        <v>Culak, Chris</v>
      </c>
      <c r="AA1534" s="22" t="str">
        <f>IFERROR(__xludf.DUMMYFUNCTION("""COMPUTED_VALUE"""),"1223 Kings Hwy.")</f>
        <v>1223 Kings Hwy.</v>
      </c>
      <c r="AB1534" s="22" t="str">
        <f>IFERROR(__xludf.DUMMYFUNCTION("""COMPUTED_VALUE"""),"Dallas, TX 75208")</f>
        <v>Dallas, TX 75208</v>
      </c>
      <c r="AC1534" s="31" t="s">
        <v>3169</v>
      </c>
      <c r="AD1534" s="22"/>
      <c r="AE1534" s="22"/>
      <c r="AF1534" s="22"/>
      <c r="AG1534" s="22" t="s">
        <v>60</v>
      </c>
      <c r="AH1534" s="54">
        <v>2501.0</v>
      </c>
      <c r="AI1534" s="22" t="s">
        <v>68</v>
      </c>
      <c r="AJ1534" s="27">
        <v>50.0</v>
      </c>
      <c r="AK1534" s="31" t="s">
        <v>21</v>
      </c>
      <c r="AL1534" s="28">
        <v>44925.0</v>
      </c>
      <c r="AM1534" s="29">
        <v>44943.63122685185</v>
      </c>
      <c r="AN1534" s="30">
        <v>2.0</v>
      </c>
      <c r="AO1534" s="22"/>
      <c r="AP1534" s="22"/>
      <c r="AQ1534" s="22"/>
      <c r="AR1534" s="22"/>
      <c r="AS1534" s="22"/>
      <c r="AT1534" s="70"/>
      <c r="AU1534" s="22"/>
      <c r="AV1534" s="57"/>
      <c r="AW1534" s="57"/>
      <c r="AX1534" s="70"/>
      <c r="AY1534" s="29"/>
      <c r="AZ1534" s="30"/>
      <c r="CU1534" s="55"/>
      <c r="CV1534" s="55"/>
      <c r="CW1534" s="55"/>
      <c r="CX1534" s="55"/>
      <c r="CY1534" s="55"/>
      <c r="CZ1534" s="55"/>
      <c r="DA1534" s="82"/>
      <c r="DB1534" s="55"/>
      <c r="DC1534" s="55"/>
      <c r="DD1534" s="55"/>
      <c r="DE1534" s="55"/>
      <c r="DF1534" s="55"/>
      <c r="DG1534" s="55"/>
      <c r="DH1534" s="55"/>
      <c r="DI1534" s="55"/>
      <c r="DJ1534" s="55"/>
      <c r="DK1534" s="55"/>
      <c r="DL1534" s="55"/>
      <c r="DM1534" s="55"/>
      <c r="DN1534" s="55"/>
      <c r="DO1534" s="55"/>
      <c r="DP1534" s="55"/>
      <c r="DQ1534" s="55"/>
      <c r="DR1534" s="55"/>
      <c r="DS1534" s="55"/>
      <c r="DT1534" s="55"/>
      <c r="DU1534" s="55"/>
      <c r="DV1534" s="55"/>
      <c r="DW1534" s="55"/>
    </row>
    <row r="1535">
      <c r="A1535" s="41" t="s">
        <v>64</v>
      </c>
      <c r="B1535" s="41" t="s">
        <v>56</v>
      </c>
      <c r="C1535" s="31" t="s">
        <v>701</v>
      </c>
      <c r="D1535" s="25" t="str">
        <f>IFERROR(__xludf.DUMMYFUNCTION("SPLIT(C1535,"" "")"),"Huerta,")</f>
        <v>Huerta,</v>
      </c>
      <c r="E1535" s="40" t="str">
        <f>IFERROR(__xludf.DUMMYFUNCTION("""COMPUTED_VALUE"""),"Daniel
1414")</f>
        <v>Daniel
1414</v>
      </c>
      <c r="F1535" s="40" t="str">
        <f>IFERROR(__xludf.DUMMYFUNCTION("""COMPUTED_VALUE"""),"Cedar")</f>
        <v>Cedar</v>
      </c>
      <c r="G1535" s="40" t="str">
        <f>IFERROR(__xludf.DUMMYFUNCTION("""COMPUTED_VALUE"""),"Hill")</f>
        <v>Hill</v>
      </c>
      <c r="H1535" s="40" t="str">
        <f>IFERROR(__xludf.DUMMYFUNCTION("""COMPUTED_VALUE"""),"Ave.
Dallas,")</f>
        <v>Ave.
Dallas,</v>
      </c>
      <c r="I1535" s="40" t="str">
        <f>IFERROR(__xludf.DUMMYFUNCTION("""COMPUTED_VALUE"""),"TX")</f>
        <v>TX</v>
      </c>
      <c r="J1535" s="40">
        <f>IFERROR(__xludf.DUMMYFUNCTION("""COMPUTED_VALUE"""),75208.0)</f>
        <v>75208</v>
      </c>
      <c r="K1535" s="40"/>
      <c r="L1535" s="40"/>
      <c r="M1535" s="40"/>
      <c r="N1535" s="40"/>
      <c r="O1535" s="40"/>
      <c r="P1535" s="40"/>
      <c r="Q1535" s="40"/>
      <c r="R1535" s="40"/>
      <c r="S1535" s="40"/>
      <c r="T1535" s="40"/>
      <c r="U1535" s="24" t="str">
        <f>IFERROR(__xludf.DUMMYFUNCTION("SPLIT(E1535,""01234567890"")"),"Daniel
")</f>
        <v>Daniel
</v>
      </c>
      <c r="V1535" s="24" t="str">
        <f>IFERROR(__xludf.DUMMYFUNCTION("SPLIT(D1535,"","")"),"Huerta")</f>
        <v>Huerta</v>
      </c>
      <c r="W1535" s="25" t="str">
        <f t="shared" si="1"/>
        <v>DANIEL
 HUERTA</v>
      </c>
      <c r="X1535" s="40"/>
      <c r="Y1535" s="40"/>
      <c r="Z1535" s="25" t="str">
        <f>IFERROR(__xludf.DUMMYFUNCTION("SPLIT(C1535,""
"")"),"Huerta, Daniel")</f>
        <v>Huerta, Daniel</v>
      </c>
      <c r="AA1535" s="40" t="str">
        <f>IFERROR(__xludf.DUMMYFUNCTION("""COMPUTED_VALUE"""),"1414 Cedar Hill Ave.")</f>
        <v>1414 Cedar Hill Ave.</v>
      </c>
      <c r="AB1535" s="40" t="str">
        <f>IFERROR(__xludf.DUMMYFUNCTION("""COMPUTED_VALUE"""),"Dallas, TX 75208")</f>
        <v>Dallas, TX 75208</v>
      </c>
      <c r="AC1535" s="31" t="s">
        <v>703</v>
      </c>
      <c r="AD1535" s="40"/>
      <c r="AE1535" s="40"/>
      <c r="AF1535" s="40"/>
      <c r="AG1535" s="40" t="s">
        <v>60</v>
      </c>
      <c r="AH1535" s="42">
        <v>2501.0</v>
      </c>
      <c r="AI1535" s="40" t="s">
        <v>68</v>
      </c>
      <c r="AJ1535" s="27">
        <v>100.0</v>
      </c>
      <c r="AK1535" s="31" t="s">
        <v>21</v>
      </c>
      <c r="AL1535" s="43">
        <v>44925.0</v>
      </c>
      <c r="AM1535" s="44">
        <v>44943.63122685185</v>
      </c>
      <c r="AN1535" s="30">
        <v>2.0</v>
      </c>
      <c r="AO1535" s="40"/>
      <c r="AP1535" s="40"/>
      <c r="AQ1535" s="40"/>
      <c r="AR1535" s="40"/>
      <c r="AS1535" s="40"/>
      <c r="AT1535" s="47"/>
      <c r="AU1535" s="40"/>
      <c r="AV1535" s="46"/>
      <c r="AW1535" s="46"/>
      <c r="AX1535" s="47"/>
      <c r="AY1535" s="44"/>
      <c r="AZ1535" s="30"/>
      <c r="CU1535" s="55"/>
      <c r="CV1535" s="55"/>
      <c r="CW1535" s="55"/>
      <c r="CX1535" s="55"/>
      <c r="CY1535" s="55"/>
      <c r="CZ1535" s="55"/>
      <c r="DA1535" s="82"/>
      <c r="DB1535" s="55"/>
      <c r="DC1535" s="55"/>
      <c r="DD1535" s="55"/>
      <c r="DE1535" s="55"/>
      <c r="DF1535" s="55"/>
      <c r="DG1535" s="55"/>
      <c r="DH1535" s="55"/>
      <c r="DI1535" s="55"/>
      <c r="DJ1535" s="55"/>
      <c r="DK1535" s="55"/>
      <c r="DL1535" s="55"/>
      <c r="DM1535" s="55"/>
      <c r="DN1535" s="55"/>
      <c r="DO1535" s="55"/>
      <c r="DP1535" s="55"/>
      <c r="DQ1535" s="55"/>
      <c r="DR1535" s="55"/>
      <c r="DS1535" s="55"/>
      <c r="DT1535" s="55"/>
      <c r="DU1535" s="55"/>
      <c r="DV1535" s="55"/>
      <c r="DW1535" s="55"/>
    </row>
    <row r="1536">
      <c r="A1536" s="22" t="s">
        <v>55</v>
      </c>
      <c r="B1536" s="23" t="s">
        <v>56</v>
      </c>
      <c r="C1536" s="31" t="s">
        <v>3170</v>
      </c>
      <c r="D1536" s="25" t="str">
        <f>IFERROR(__xludf.DUMMYFUNCTION("SPLIT(C1536,"" "")"),"Spence,")</f>
        <v>Spence,</v>
      </c>
      <c r="E1536" s="22" t="str">
        <f>IFERROR(__xludf.DUMMYFUNCTION("""COMPUTED_VALUE"""),"Gary
1921")</f>
        <v>Gary
1921</v>
      </c>
      <c r="F1536" s="22" t="str">
        <f>IFERROR(__xludf.DUMMYFUNCTION("""COMPUTED_VALUE"""),"Marydale")</f>
        <v>Marydale</v>
      </c>
      <c r="G1536" s="22" t="str">
        <f>IFERROR(__xludf.DUMMYFUNCTION("""COMPUTED_VALUE"""),"Dr.
Dallas,")</f>
        <v>Dr.
Dallas,</v>
      </c>
      <c r="H1536" s="22" t="str">
        <f>IFERROR(__xludf.DUMMYFUNCTION("""COMPUTED_VALUE"""),"TX")</f>
        <v>TX</v>
      </c>
      <c r="I1536" s="22">
        <f>IFERROR(__xludf.DUMMYFUNCTION("""COMPUTED_VALUE"""),75208.0)</f>
        <v>75208</v>
      </c>
      <c r="J1536" s="22"/>
      <c r="K1536" s="22"/>
      <c r="L1536" s="22"/>
      <c r="M1536" s="22"/>
      <c r="N1536" s="22"/>
      <c r="O1536" s="22"/>
      <c r="P1536" s="22"/>
      <c r="Q1536" s="22"/>
      <c r="R1536" s="22"/>
      <c r="S1536" s="22"/>
      <c r="T1536" s="22"/>
      <c r="U1536" s="24" t="str">
        <f>IFERROR(__xludf.DUMMYFUNCTION("SPLIT(E1536,""01234567890"")"),"Gary
")</f>
        <v>Gary
</v>
      </c>
      <c r="V1536" s="24" t="str">
        <f>IFERROR(__xludf.DUMMYFUNCTION("SPLIT(D1536,"","")"),"Spence")</f>
        <v>Spence</v>
      </c>
      <c r="W1536" s="25" t="str">
        <f t="shared" si="1"/>
        <v>GARY
 SPENCE</v>
      </c>
      <c r="X1536" s="22"/>
      <c r="Y1536" s="22"/>
      <c r="Z1536" s="25" t="str">
        <f>IFERROR(__xludf.DUMMYFUNCTION("SPLIT(C1536,""
"")"),"Spence, Gary")</f>
        <v>Spence, Gary</v>
      </c>
      <c r="AA1536" s="22" t="str">
        <f>IFERROR(__xludf.DUMMYFUNCTION("""COMPUTED_VALUE"""),"1921 Marydale Dr.")</f>
        <v>1921 Marydale Dr.</v>
      </c>
      <c r="AB1536" s="22" t="str">
        <f>IFERROR(__xludf.DUMMYFUNCTION("""COMPUTED_VALUE"""),"Dallas, TX 75208")</f>
        <v>Dallas, TX 75208</v>
      </c>
      <c r="AC1536" s="31" t="s">
        <v>3171</v>
      </c>
      <c r="AD1536" s="22"/>
      <c r="AE1536" s="22"/>
      <c r="AF1536" s="22"/>
      <c r="AG1536" s="22" t="s">
        <v>60</v>
      </c>
      <c r="AH1536" s="54">
        <v>2501.0</v>
      </c>
      <c r="AI1536" s="22" t="s">
        <v>68</v>
      </c>
      <c r="AJ1536" s="27">
        <v>400.0</v>
      </c>
      <c r="AK1536" s="31" t="s">
        <v>21</v>
      </c>
      <c r="AL1536" s="28">
        <v>44925.0</v>
      </c>
      <c r="AM1536" s="29">
        <v>44943.63122685185</v>
      </c>
      <c r="AN1536" s="30">
        <v>2.0</v>
      </c>
      <c r="AO1536" s="22"/>
      <c r="AP1536" s="22"/>
      <c r="AQ1536" s="22"/>
      <c r="AR1536" s="22"/>
      <c r="AS1536" s="22"/>
      <c r="AT1536" s="70"/>
      <c r="AU1536" s="22"/>
      <c r="AV1536" s="57"/>
      <c r="AW1536" s="57"/>
      <c r="AX1536" s="70"/>
      <c r="AY1536" s="29"/>
      <c r="AZ1536" s="30"/>
      <c r="CU1536" s="55"/>
      <c r="CV1536" s="55"/>
      <c r="CW1536" s="55"/>
      <c r="CX1536" s="55"/>
      <c r="CY1536" s="55"/>
      <c r="CZ1536" s="55"/>
      <c r="DA1536" s="82"/>
      <c r="DB1536" s="55"/>
      <c r="DC1536" s="55"/>
      <c r="DD1536" s="55"/>
      <c r="DE1536" s="55"/>
      <c r="DF1536" s="55"/>
      <c r="DG1536" s="55"/>
      <c r="DH1536" s="55"/>
      <c r="DI1536" s="55"/>
      <c r="DJ1536" s="55"/>
      <c r="DK1536" s="55"/>
      <c r="DL1536" s="55"/>
      <c r="DM1536" s="55"/>
      <c r="DN1536" s="55"/>
      <c r="DO1536" s="55"/>
      <c r="DP1536" s="55"/>
      <c r="DQ1536" s="55"/>
      <c r="DR1536" s="55"/>
      <c r="DS1536" s="55"/>
      <c r="DT1536" s="55"/>
      <c r="DU1536" s="55"/>
      <c r="DV1536" s="55"/>
      <c r="DW1536" s="55"/>
    </row>
    <row r="1537">
      <c r="A1537" s="41" t="s">
        <v>64</v>
      </c>
      <c r="B1537" s="41" t="s">
        <v>56</v>
      </c>
      <c r="C1537" s="31" t="s">
        <v>236</v>
      </c>
      <c r="D1537" s="25" t="str">
        <f>IFERROR(__xludf.DUMMYFUNCTION("SPLIT(C1537,"" "")"),"Ardendorff,")</f>
        <v>Ardendorff,</v>
      </c>
      <c r="E1537" s="40" t="str">
        <f>IFERROR(__xludf.DUMMYFUNCTION("""COMPUTED_VALUE"""),"Justin
3508")</f>
        <v>Justin
3508</v>
      </c>
      <c r="F1537" s="40" t="str">
        <f>IFERROR(__xludf.DUMMYFUNCTION("""COMPUTED_VALUE"""),"Bryn")</f>
        <v>Bryn</v>
      </c>
      <c r="G1537" s="40" t="str">
        <f>IFERROR(__xludf.DUMMYFUNCTION("""COMPUTED_VALUE"""),"Mawr")</f>
        <v>Mawr</v>
      </c>
      <c r="H1537" s="40" t="str">
        <f>IFERROR(__xludf.DUMMYFUNCTION("""COMPUTED_VALUE"""),"Dr.
Dallas,")</f>
        <v>Dr.
Dallas,</v>
      </c>
      <c r="I1537" s="40" t="str">
        <f>IFERROR(__xludf.DUMMYFUNCTION("""COMPUTED_VALUE"""),"TX")</f>
        <v>TX</v>
      </c>
      <c r="J1537" s="40">
        <f>IFERROR(__xludf.DUMMYFUNCTION("""COMPUTED_VALUE"""),75225.0)</f>
        <v>75225</v>
      </c>
      <c r="K1537" s="40"/>
      <c r="L1537" s="40"/>
      <c r="M1537" s="40"/>
      <c r="N1537" s="40"/>
      <c r="O1537" s="40"/>
      <c r="P1537" s="40"/>
      <c r="Q1537" s="40"/>
      <c r="R1537" s="40"/>
      <c r="S1537" s="40"/>
      <c r="T1537" s="40"/>
      <c r="U1537" s="24" t="str">
        <f>IFERROR(__xludf.DUMMYFUNCTION("SPLIT(E1537,""01234567890"")"),"Justin
")</f>
        <v>Justin
</v>
      </c>
      <c r="V1537" s="24" t="str">
        <f>IFERROR(__xludf.DUMMYFUNCTION("SPLIT(D1537,"","")"),"Ardendorff")</f>
        <v>Ardendorff</v>
      </c>
      <c r="W1537" s="25" t="str">
        <f t="shared" si="1"/>
        <v>JUSTIN
 ARDENDORFF</v>
      </c>
      <c r="X1537" s="40"/>
      <c r="Y1537" s="40"/>
      <c r="Z1537" s="25" t="str">
        <f>IFERROR(__xludf.DUMMYFUNCTION("SPLIT(C1537,""
"")"),"Ardendorff, Justin")</f>
        <v>Ardendorff, Justin</v>
      </c>
      <c r="AA1537" s="40" t="str">
        <f>IFERROR(__xludf.DUMMYFUNCTION("""COMPUTED_VALUE"""),"3508 Bryn Mawr Dr.")</f>
        <v>3508 Bryn Mawr Dr.</v>
      </c>
      <c r="AB1537" s="40" t="str">
        <f>IFERROR(__xludf.DUMMYFUNCTION("""COMPUTED_VALUE"""),"Dallas, TX 75225")</f>
        <v>Dallas, TX 75225</v>
      </c>
      <c r="AC1537" s="31" t="s">
        <v>238</v>
      </c>
      <c r="AD1537" s="40"/>
      <c r="AE1537" s="40"/>
      <c r="AF1537" s="40"/>
      <c r="AG1537" s="40" t="s">
        <v>60</v>
      </c>
      <c r="AH1537" s="42">
        <v>2501.0</v>
      </c>
      <c r="AI1537" s="40" t="s">
        <v>68</v>
      </c>
      <c r="AJ1537" s="27">
        <v>100.0</v>
      </c>
      <c r="AK1537" s="31" t="s">
        <v>21</v>
      </c>
      <c r="AL1537" s="43">
        <v>44926.0</v>
      </c>
      <c r="AM1537" s="44">
        <v>44943.63122685185</v>
      </c>
      <c r="AN1537" s="30">
        <v>2.0</v>
      </c>
      <c r="AO1537" s="40"/>
      <c r="AP1537" s="40"/>
      <c r="AQ1537" s="40"/>
      <c r="AR1537" s="40"/>
      <c r="AS1537" s="40"/>
      <c r="AT1537" s="47"/>
      <c r="AU1537" s="40"/>
      <c r="AV1537" s="46"/>
      <c r="AW1537" s="46"/>
      <c r="AX1537" s="47"/>
      <c r="AY1537" s="44"/>
      <c r="AZ1537" s="30"/>
      <c r="CU1537" s="55"/>
      <c r="CV1537" s="55"/>
      <c r="CW1537" s="55"/>
      <c r="CX1537" s="55"/>
      <c r="CY1537" s="55"/>
      <c r="CZ1537" s="55"/>
      <c r="DA1537" s="82"/>
      <c r="DB1537" s="55"/>
      <c r="DC1537" s="55"/>
      <c r="DD1537" s="55"/>
      <c r="DE1537" s="55"/>
      <c r="DF1537" s="55"/>
      <c r="DG1537" s="55"/>
      <c r="DH1537" s="55"/>
      <c r="DI1537" s="55"/>
      <c r="DJ1537" s="55"/>
      <c r="DK1537" s="55"/>
      <c r="DL1537" s="55"/>
      <c r="DM1537" s="55"/>
      <c r="DN1537" s="55"/>
      <c r="DO1537" s="55"/>
      <c r="DP1537" s="55"/>
      <c r="DQ1537" s="55"/>
      <c r="DR1537" s="55"/>
      <c r="DS1537" s="55"/>
      <c r="DT1537" s="55"/>
      <c r="DU1537" s="55"/>
      <c r="DV1537" s="55"/>
      <c r="DW1537" s="55"/>
    </row>
    <row r="1538">
      <c r="A1538" s="22" t="s">
        <v>55</v>
      </c>
      <c r="B1538" s="23" t="s">
        <v>56</v>
      </c>
      <c r="C1538" s="31" t="s">
        <v>3172</v>
      </c>
      <c r="D1538" s="25" t="str">
        <f>IFERROR(__xludf.DUMMYFUNCTION("SPLIT(C1538,"" "")"),"Christopher,")</f>
        <v>Christopher,</v>
      </c>
      <c r="E1538" s="22" t="str">
        <f>IFERROR(__xludf.DUMMYFUNCTION("""COMPUTED_VALUE"""),"Roberta
307")</f>
        <v>Roberta
307</v>
      </c>
      <c r="F1538" s="22" t="str">
        <f>IFERROR(__xludf.DUMMYFUNCTION("""COMPUTED_VALUE"""),"N.")</f>
        <v>N.</v>
      </c>
      <c r="G1538" s="22" t="str">
        <f>IFERROR(__xludf.DUMMYFUNCTION("""COMPUTED_VALUE"""),"Windomere")</f>
        <v>Windomere</v>
      </c>
      <c r="H1538" s="22" t="str">
        <f>IFERROR(__xludf.DUMMYFUNCTION("""COMPUTED_VALUE"""),"Ave.
Dallas,")</f>
        <v>Ave.
Dallas,</v>
      </c>
      <c r="I1538" s="22" t="str">
        <f>IFERROR(__xludf.DUMMYFUNCTION("""COMPUTED_VALUE"""),"TX")</f>
        <v>TX</v>
      </c>
      <c r="J1538" s="22">
        <f>IFERROR(__xludf.DUMMYFUNCTION("""COMPUTED_VALUE"""),75208.0)</f>
        <v>75208</v>
      </c>
      <c r="K1538" s="22"/>
      <c r="L1538" s="22"/>
      <c r="M1538" s="22"/>
      <c r="N1538" s="22"/>
      <c r="O1538" s="22"/>
      <c r="P1538" s="22"/>
      <c r="Q1538" s="22"/>
      <c r="R1538" s="22"/>
      <c r="S1538" s="22"/>
      <c r="T1538" s="22"/>
      <c r="U1538" s="24" t="str">
        <f>IFERROR(__xludf.DUMMYFUNCTION("SPLIT(E1538,""01234567890"")"),"Roberta
")</f>
        <v>Roberta
</v>
      </c>
      <c r="V1538" s="24" t="str">
        <f>IFERROR(__xludf.DUMMYFUNCTION("SPLIT(D1538,"","")"),"Christopher")</f>
        <v>Christopher</v>
      </c>
      <c r="W1538" s="25" t="str">
        <f t="shared" si="1"/>
        <v>ROBERTA
 CHRISTOPHER</v>
      </c>
      <c r="X1538" s="22"/>
      <c r="Y1538" s="22"/>
      <c r="Z1538" s="25" t="str">
        <f>IFERROR(__xludf.DUMMYFUNCTION("SPLIT(C1538,""
"")"),"Christopher, Roberta")</f>
        <v>Christopher, Roberta</v>
      </c>
      <c r="AA1538" s="22" t="str">
        <f>IFERROR(__xludf.DUMMYFUNCTION("""COMPUTED_VALUE"""),"307 N. Windomere Ave.")</f>
        <v>307 N. Windomere Ave.</v>
      </c>
      <c r="AB1538" s="22" t="str">
        <f>IFERROR(__xludf.DUMMYFUNCTION("""COMPUTED_VALUE"""),"Dallas, TX 75208")</f>
        <v>Dallas, TX 75208</v>
      </c>
      <c r="AC1538" s="31" t="s">
        <v>3173</v>
      </c>
      <c r="AD1538" s="22"/>
      <c r="AE1538" s="22"/>
      <c r="AF1538" s="22"/>
      <c r="AG1538" s="22" t="s">
        <v>60</v>
      </c>
      <c r="AH1538" s="54">
        <v>2501.0</v>
      </c>
      <c r="AI1538" s="22" t="s">
        <v>68</v>
      </c>
      <c r="AJ1538" s="27">
        <v>50.0</v>
      </c>
      <c r="AK1538" s="31" t="s">
        <v>21</v>
      </c>
      <c r="AL1538" s="28">
        <v>44926.0</v>
      </c>
      <c r="AM1538" s="29">
        <v>44943.63122685185</v>
      </c>
      <c r="AN1538" s="30">
        <v>2.0</v>
      </c>
      <c r="AO1538" s="22"/>
      <c r="AP1538" s="22"/>
      <c r="AQ1538" s="22"/>
      <c r="AR1538" s="22"/>
      <c r="AS1538" s="22"/>
      <c r="AT1538" s="70"/>
      <c r="AU1538" s="22"/>
      <c r="AV1538" s="57"/>
      <c r="AW1538" s="57"/>
      <c r="AX1538" s="70"/>
      <c r="AY1538" s="29"/>
      <c r="AZ1538" s="30"/>
      <c r="CU1538" s="55"/>
      <c r="CV1538" s="55"/>
      <c r="CW1538" s="55"/>
      <c r="CX1538" s="55"/>
      <c r="CY1538" s="55"/>
      <c r="CZ1538" s="55"/>
      <c r="DA1538" s="82"/>
      <c r="DB1538" s="55"/>
      <c r="DC1538" s="55"/>
      <c r="DD1538" s="55"/>
      <c r="DE1538" s="55"/>
      <c r="DF1538" s="55"/>
      <c r="DG1538" s="55"/>
      <c r="DH1538" s="55"/>
      <c r="DI1538" s="55"/>
      <c r="DJ1538" s="55"/>
      <c r="DK1538" s="55"/>
      <c r="DL1538" s="55"/>
      <c r="DM1538" s="55"/>
      <c r="DN1538" s="55"/>
      <c r="DO1538" s="55"/>
      <c r="DP1538" s="55"/>
      <c r="DQ1538" s="55"/>
      <c r="DR1538" s="55"/>
      <c r="DS1538" s="55"/>
      <c r="DT1538" s="55"/>
      <c r="DU1538" s="55"/>
      <c r="DV1538" s="55"/>
      <c r="DW1538" s="55"/>
    </row>
    <row r="1539">
      <c r="A1539" s="41" t="s">
        <v>64</v>
      </c>
      <c r="B1539" s="41" t="s">
        <v>56</v>
      </c>
      <c r="C1539" s="31" t="s">
        <v>3174</v>
      </c>
      <c r="D1539" s="25" t="str">
        <f>IFERROR(__xludf.DUMMYFUNCTION("SPLIT(C1539,"" "")"),"Coffee,")</f>
        <v>Coffee,</v>
      </c>
      <c r="E1539" s="40" t="str">
        <f>IFERROR(__xludf.DUMMYFUNCTION("""COMPUTED_VALUE"""),"Ben
2169")</f>
        <v>Ben
2169</v>
      </c>
      <c r="F1539" s="40" t="str">
        <f>IFERROR(__xludf.DUMMYFUNCTION("""COMPUTED_VALUE"""),"Kessler")</f>
        <v>Kessler</v>
      </c>
      <c r="G1539" s="40" t="str">
        <f>IFERROR(__xludf.DUMMYFUNCTION("""COMPUTED_VALUE"""),"Ct.
Dallas,")</f>
        <v>Ct.
Dallas,</v>
      </c>
      <c r="H1539" s="40" t="str">
        <f>IFERROR(__xludf.DUMMYFUNCTION("""COMPUTED_VALUE"""),"TX")</f>
        <v>TX</v>
      </c>
      <c r="I1539" s="40">
        <f>IFERROR(__xludf.DUMMYFUNCTION("""COMPUTED_VALUE"""),75208.0)</f>
        <v>75208</v>
      </c>
      <c r="J1539" s="40"/>
      <c r="K1539" s="40"/>
      <c r="L1539" s="40"/>
      <c r="M1539" s="40"/>
      <c r="N1539" s="40"/>
      <c r="O1539" s="40"/>
      <c r="P1539" s="40"/>
      <c r="Q1539" s="40"/>
      <c r="R1539" s="40"/>
      <c r="S1539" s="40"/>
      <c r="T1539" s="40"/>
      <c r="U1539" s="24" t="str">
        <f>IFERROR(__xludf.DUMMYFUNCTION("SPLIT(E1539,""01234567890"")"),"Ben
")</f>
        <v>Ben
</v>
      </c>
      <c r="V1539" s="24" t="str">
        <f>IFERROR(__xludf.DUMMYFUNCTION("SPLIT(D1539,"","")"),"Coffee")</f>
        <v>Coffee</v>
      </c>
      <c r="W1539" s="25" t="str">
        <f t="shared" si="1"/>
        <v>BEN
 COFFEE</v>
      </c>
      <c r="X1539" s="40"/>
      <c r="Y1539" s="40"/>
      <c r="Z1539" s="25" t="str">
        <f>IFERROR(__xludf.DUMMYFUNCTION("SPLIT(C1539,""
"")"),"Coffee, Ben")</f>
        <v>Coffee, Ben</v>
      </c>
      <c r="AA1539" s="40" t="str">
        <f>IFERROR(__xludf.DUMMYFUNCTION("""COMPUTED_VALUE"""),"2169 Kessler Ct.")</f>
        <v>2169 Kessler Ct.</v>
      </c>
      <c r="AB1539" s="40" t="str">
        <f>IFERROR(__xludf.DUMMYFUNCTION("""COMPUTED_VALUE"""),"Dallas, TX 75208")</f>
        <v>Dallas, TX 75208</v>
      </c>
      <c r="AC1539" s="31" t="s">
        <v>3175</v>
      </c>
      <c r="AD1539" s="40"/>
      <c r="AE1539" s="40"/>
      <c r="AF1539" s="40"/>
      <c r="AG1539" s="40" t="s">
        <v>60</v>
      </c>
      <c r="AH1539" s="42">
        <v>2501.0</v>
      </c>
      <c r="AI1539" s="40" t="s">
        <v>68</v>
      </c>
      <c r="AJ1539" s="27">
        <v>25.0</v>
      </c>
      <c r="AK1539" s="31" t="s">
        <v>21</v>
      </c>
      <c r="AL1539" s="43">
        <v>44926.0</v>
      </c>
      <c r="AM1539" s="44">
        <v>44943.63122685185</v>
      </c>
      <c r="AN1539" s="30">
        <v>2.0</v>
      </c>
      <c r="AO1539" s="40"/>
      <c r="AP1539" s="40"/>
      <c r="AQ1539" s="40"/>
      <c r="AR1539" s="40"/>
      <c r="AS1539" s="40"/>
      <c r="AT1539" s="47"/>
      <c r="AU1539" s="40"/>
      <c r="AV1539" s="46"/>
      <c r="AW1539" s="46"/>
      <c r="AX1539" s="47"/>
      <c r="AY1539" s="44"/>
      <c r="AZ1539" s="30"/>
      <c r="CU1539" s="55"/>
      <c r="CV1539" s="55"/>
      <c r="CW1539" s="55"/>
      <c r="CX1539" s="55"/>
      <c r="CY1539" s="55"/>
      <c r="CZ1539" s="55"/>
      <c r="DA1539" s="82"/>
      <c r="DB1539" s="55"/>
      <c r="DC1539" s="55"/>
      <c r="DD1539" s="55"/>
      <c r="DE1539" s="55"/>
      <c r="DF1539" s="55"/>
      <c r="DG1539" s="55"/>
      <c r="DH1539" s="55"/>
      <c r="DI1539" s="55"/>
      <c r="DJ1539" s="55"/>
      <c r="DK1539" s="55"/>
      <c r="DL1539" s="55"/>
      <c r="DM1539" s="55"/>
      <c r="DN1539" s="55"/>
      <c r="DO1539" s="55"/>
      <c r="DP1539" s="55"/>
      <c r="DQ1539" s="55"/>
      <c r="DR1539" s="55"/>
      <c r="DS1539" s="55"/>
      <c r="DT1539" s="55"/>
      <c r="DU1539" s="55"/>
      <c r="DV1539" s="55"/>
      <c r="DW1539" s="55"/>
    </row>
    <row r="1540">
      <c r="A1540" s="22" t="s">
        <v>55</v>
      </c>
      <c r="B1540" s="23" t="s">
        <v>56</v>
      </c>
      <c r="C1540" s="31" t="s">
        <v>3176</v>
      </c>
      <c r="D1540" s="25" t="str">
        <f>IFERROR(__xludf.DUMMYFUNCTION("SPLIT(C1540,"" "")"),"Hicks,")</f>
        <v>Hicks,</v>
      </c>
      <c r="E1540" s="22" t="str">
        <f>IFERROR(__xludf.DUMMYFUNCTION("""COMPUTED_VALUE"""),"Tiffany
740")</f>
        <v>Tiffany
740</v>
      </c>
      <c r="F1540" s="22" t="str">
        <f>IFERROR(__xludf.DUMMYFUNCTION("""COMPUTED_VALUE"""),"Rainbow")</f>
        <v>Rainbow</v>
      </c>
      <c r="G1540" s="22" t="str">
        <f>IFERROR(__xludf.DUMMYFUNCTION("""COMPUTED_VALUE"""),"Dr.
Dallas,")</f>
        <v>Dr.
Dallas,</v>
      </c>
      <c r="H1540" s="22" t="str">
        <f>IFERROR(__xludf.DUMMYFUNCTION("""COMPUTED_VALUE"""),"TX")</f>
        <v>TX</v>
      </c>
      <c r="I1540" s="22">
        <f>IFERROR(__xludf.DUMMYFUNCTION("""COMPUTED_VALUE"""),75208.0)</f>
        <v>75208</v>
      </c>
      <c r="J1540" s="22"/>
      <c r="K1540" s="22"/>
      <c r="L1540" s="22"/>
      <c r="M1540" s="22"/>
      <c r="N1540" s="22"/>
      <c r="O1540" s="22"/>
      <c r="P1540" s="22"/>
      <c r="Q1540" s="22"/>
      <c r="R1540" s="22"/>
      <c r="S1540" s="22"/>
      <c r="T1540" s="22"/>
      <c r="U1540" s="24" t="str">
        <f>IFERROR(__xludf.DUMMYFUNCTION("SPLIT(E1540,""01234567890"")"),"Tiffany
")</f>
        <v>Tiffany
</v>
      </c>
      <c r="V1540" s="24" t="str">
        <f>IFERROR(__xludf.DUMMYFUNCTION("SPLIT(D1540,"","")"),"Hicks")</f>
        <v>Hicks</v>
      </c>
      <c r="W1540" s="25" t="str">
        <f t="shared" si="1"/>
        <v>TIFFANY
 HICKS</v>
      </c>
      <c r="X1540" s="22"/>
      <c r="Y1540" s="22"/>
      <c r="Z1540" s="25" t="str">
        <f>IFERROR(__xludf.DUMMYFUNCTION("SPLIT(C1540,""
"")"),"Hicks, Tiffany")</f>
        <v>Hicks, Tiffany</v>
      </c>
      <c r="AA1540" s="22" t="str">
        <f>IFERROR(__xludf.DUMMYFUNCTION("""COMPUTED_VALUE"""),"740 Rainbow Dr.")</f>
        <v>740 Rainbow Dr.</v>
      </c>
      <c r="AB1540" s="22" t="str">
        <f>IFERROR(__xludf.DUMMYFUNCTION("""COMPUTED_VALUE"""),"Dallas, TX 75208")</f>
        <v>Dallas, TX 75208</v>
      </c>
      <c r="AC1540" s="31" t="s">
        <v>3177</v>
      </c>
      <c r="AD1540" s="22"/>
      <c r="AE1540" s="22"/>
      <c r="AF1540" s="22"/>
      <c r="AG1540" s="22" t="s">
        <v>60</v>
      </c>
      <c r="AH1540" s="54">
        <v>2501.0</v>
      </c>
      <c r="AI1540" s="22" t="s">
        <v>68</v>
      </c>
      <c r="AJ1540" s="27">
        <v>50.0</v>
      </c>
      <c r="AK1540" s="31" t="s">
        <v>21</v>
      </c>
      <c r="AL1540" s="28">
        <v>44926.0</v>
      </c>
      <c r="AM1540" s="29">
        <v>44943.63122685185</v>
      </c>
      <c r="AN1540" s="30">
        <v>2.0</v>
      </c>
      <c r="AO1540" s="22"/>
      <c r="AP1540" s="22"/>
      <c r="AQ1540" s="22"/>
      <c r="AR1540" s="22"/>
      <c r="AS1540" s="22"/>
      <c r="AT1540" s="70"/>
      <c r="AU1540" s="22"/>
      <c r="AV1540" s="57"/>
      <c r="AW1540" s="57"/>
      <c r="AX1540" s="70"/>
      <c r="AY1540" s="29"/>
      <c r="AZ1540" s="30"/>
      <c r="CU1540" s="55"/>
      <c r="CV1540" s="55"/>
      <c r="CW1540" s="55"/>
      <c r="CX1540" s="55"/>
      <c r="CY1540" s="55"/>
      <c r="CZ1540" s="55"/>
      <c r="DA1540" s="82"/>
      <c r="DB1540" s="55"/>
      <c r="DC1540" s="55"/>
      <c r="DD1540" s="55"/>
      <c r="DE1540" s="55"/>
      <c r="DF1540" s="55"/>
      <c r="DG1540" s="55"/>
      <c r="DH1540" s="55"/>
      <c r="DI1540" s="55"/>
      <c r="DJ1540" s="55"/>
      <c r="DK1540" s="55"/>
      <c r="DL1540" s="55"/>
      <c r="DM1540" s="55"/>
      <c r="DN1540" s="55"/>
      <c r="DO1540" s="55"/>
      <c r="DP1540" s="55"/>
      <c r="DQ1540" s="55"/>
      <c r="DR1540" s="55"/>
      <c r="DS1540" s="55"/>
      <c r="DT1540" s="55"/>
      <c r="DU1540" s="55"/>
      <c r="DV1540" s="55"/>
      <c r="DW1540" s="55"/>
    </row>
    <row r="1541">
      <c r="A1541" s="41" t="s">
        <v>64</v>
      </c>
      <c r="B1541" s="41" t="s">
        <v>56</v>
      </c>
      <c r="C1541" s="31" t="s">
        <v>3178</v>
      </c>
      <c r="D1541" s="25" t="str">
        <f>IFERROR(__xludf.DUMMYFUNCTION("SPLIT(C1541,"" "")"),"Johnson,")</f>
        <v>Johnson,</v>
      </c>
      <c r="E1541" s="40" t="str">
        <f>IFERROR(__xludf.DUMMYFUNCTION("""COMPUTED_VALUE"""),"Eric
3525")</f>
        <v>Eric
3525</v>
      </c>
      <c r="F1541" s="40" t="str">
        <f>IFERROR(__xludf.DUMMYFUNCTION("""COMPUTED_VALUE"""),"Turtle")</f>
        <v>Turtle</v>
      </c>
      <c r="G1541" s="40" t="str">
        <f>IFERROR(__xludf.DUMMYFUNCTION("""COMPUTED_VALUE"""),"Creek")</f>
        <v>Creek</v>
      </c>
      <c r="H1541" s="40" t="str">
        <f>IFERROR(__xludf.DUMMYFUNCTION("""COMPUTED_VALUE"""),"Blvd.
Dallas,")</f>
        <v>Blvd.
Dallas,</v>
      </c>
      <c r="I1541" s="40" t="str">
        <f>IFERROR(__xludf.DUMMYFUNCTION("""COMPUTED_VALUE"""),"TX")</f>
        <v>TX</v>
      </c>
      <c r="J1541" s="40">
        <f>IFERROR(__xludf.DUMMYFUNCTION("""COMPUTED_VALUE"""),75219.0)</f>
        <v>75219</v>
      </c>
      <c r="K1541" s="40"/>
      <c r="L1541" s="40"/>
      <c r="M1541" s="40"/>
      <c r="N1541" s="40"/>
      <c r="O1541" s="40"/>
      <c r="P1541" s="40"/>
      <c r="Q1541" s="40"/>
      <c r="R1541" s="40"/>
      <c r="S1541" s="40"/>
      <c r="T1541" s="40"/>
      <c r="U1541" s="24" t="str">
        <f>IFERROR(__xludf.DUMMYFUNCTION("SPLIT(E1541,""01234567890"")"),"Eric
")</f>
        <v>Eric
</v>
      </c>
      <c r="V1541" s="24" t="str">
        <f>IFERROR(__xludf.DUMMYFUNCTION("SPLIT(D1541,"","")"),"Johnson")</f>
        <v>Johnson</v>
      </c>
      <c r="W1541" s="25" t="str">
        <f t="shared" si="1"/>
        <v>ERIC
 JOHNSON</v>
      </c>
      <c r="X1541" s="40"/>
      <c r="Y1541" s="40"/>
      <c r="Z1541" s="25" t="str">
        <f>IFERROR(__xludf.DUMMYFUNCTION("SPLIT(C1541,""
"")"),"Johnson, Eric")</f>
        <v>Johnson, Eric</v>
      </c>
      <c r="AA1541" s="40" t="str">
        <f>IFERROR(__xludf.DUMMYFUNCTION("""COMPUTED_VALUE"""),"3525 Turtle Creek Blvd.")</f>
        <v>3525 Turtle Creek Blvd.</v>
      </c>
      <c r="AB1541" s="40" t="str">
        <f>IFERROR(__xludf.DUMMYFUNCTION("""COMPUTED_VALUE"""),"Dallas, TX 75219")</f>
        <v>Dallas, TX 75219</v>
      </c>
      <c r="AC1541" s="31" t="s">
        <v>652</v>
      </c>
      <c r="AD1541" s="40"/>
      <c r="AE1541" s="40"/>
      <c r="AF1541" s="40"/>
      <c r="AG1541" s="40" t="s">
        <v>60</v>
      </c>
      <c r="AH1541" s="42">
        <v>2501.0</v>
      </c>
      <c r="AI1541" s="40" t="s">
        <v>68</v>
      </c>
      <c r="AJ1541" s="27">
        <v>500.0</v>
      </c>
      <c r="AK1541" s="31" t="s">
        <v>21</v>
      </c>
      <c r="AL1541" s="43">
        <v>44926.0</v>
      </c>
      <c r="AM1541" s="44">
        <v>44943.63122685185</v>
      </c>
      <c r="AN1541" s="30">
        <v>2.0</v>
      </c>
      <c r="AO1541" s="40"/>
      <c r="AP1541" s="40"/>
      <c r="AQ1541" s="40"/>
      <c r="AR1541" s="40"/>
      <c r="AS1541" s="40"/>
      <c r="AT1541" s="47"/>
      <c r="AU1541" s="40"/>
      <c r="AV1541" s="46"/>
      <c r="AW1541" s="46"/>
      <c r="AX1541" s="47"/>
      <c r="AY1541" s="44"/>
      <c r="AZ1541" s="30"/>
      <c r="CU1541" s="55"/>
      <c r="CV1541" s="55"/>
      <c r="CW1541" s="55"/>
      <c r="CX1541" s="55"/>
      <c r="CY1541" s="55"/>
      <c r="CZ1541" s="55"/>
      <c r="DA1541" s="82"/>
      <c r="DB1541" s="55"/>
      <c r="DC1541" s="55"/>
      <c r="DD1541" s="55"/>
      <c r="DE1541" s="55"/>
      <c r="DF1541" s="55"/>
      <c r="DG1541" s="55"/>
      <c r="DH1541" s="55"/>
      <c r="DI1541" s="55"/>
      <c r="DJ1541" s="55"/>
      <c r="DK1541" s="55"/>
      <c r="DL1541" s="55"/>
      <c r="DM1541" s="55"/>
      <c r="DN1541" s="55"/>
      <c r="DO1541" s="55"/>
      <c r="DP1541" s="55"/>
      <c r="DQ1541" s="55"/>
      <c r="DR1541" s="55"/>
      <c r="DS1541" s="55"/>
      <c r="DT1541" s="55"/>
      <c r="DU1541" s="55"/>
      <c r="DV1541" s="55"/>
      <c r="DW1541" s="55"/>
    </row>
    <row r="1542">
      <c r="A1542" s="22" t="s">
        <v>55</v>
      </c>
      <c r="B1542" s="23" t="s">
        <v>56</v>
      </c>
      <c r="C1542" s="31" t="s">
        <v>3179</v>
      </c>
      <c r="D1542" s="25" t="str">
        <f>IFERROR(__xludf.DUMMYFUNCTION("SPLIT(C1542,"" "")"),"Lamb,")</f>
        <v>Lamb,</v>
      </c>
      <c r="E1542" s="22" t="str">
        <f>IFERROR(__xludf.DUMMYFUNCTION("""COMPUTED_VALUE"""),"Sarah
5630")</f>
        <v>Sarah
5630</v>
      </c>
      <c r="F1542" s="22" t="str">
        <f>IFERROR(__xludf.DUMMYFUNCTION("""COMPUTED_VALUE"""),"Willis")</f>
        <v>Willis</v>
      </c>
      <c r="G1542" s="22" t="str">
        <f>IFERROR(__xludf.DUMMYFUNCTION("""COMPUTED_VALUE"""),"Ave.
Dallas,")</f>
        <v>Ave.
Dallas,</v>
      </c>
      <c r="H1542" s="22" t="str">
        <f>IFERROR(__xludf.DUMMYFUNCTION("""COMPUTED_VALUE"""),"TX")</f>
        <v>TX</v>
      </c>
      <c r="I1542" s="22">
        <f>IFERROR(__xludf.DUMMYFUNCTION("""COMPUTED_VALUE"""),75206.0)</f>
        <v>75206</v>
      </c>
      <c r="J1542" s="22"/>
      <c r="K1542" s="22"/>
      <c r="L1542" s="22"/>
      <c r="M1542" s="22"/>
      <c r="N1542" s="22"/>
      <c r="O1542" s="22"/>
      <c r="P1542" s="22"/>
      <c r="Q1542" s="22"/>
      <c r="R1542" s="22"/>
      <c r="S1542" s="22"/>
      <c r="T1542" s="22"/>
      <c r="U1542" s="24" t="str">
        <f>IFERROR(__xludf.DUMMYFUNCTION("SPLIT(E1542,""01234567890"")"),"Sarah
")</f>
        <v>Sarah
</v>
      </c>
      <c r="V1542" s="24" t="str">
        <f>IFERROR(__xludf.DUMMYFUNCTION("SPLIT(D1542,"","")"),"Lamb")</f>
        <v>Lamb</v>
      </c>
      <c r="W1542" s="25" t="str">
        <f t="shared" si="1"/>
        <v>SARAH
 LAMB</v>
      </c>
      <c r="X1542" s="22"/>
      <c r="Y1542" s="22"/>
      <c r="Z1542" s="25" t="str">
        <f>IFERROR(__xludf.DUMMYFUNCTION("SPLIT(C1542,""
"")"),"Lamb, Sarah")</f>
        <v>Lamb, Sarah</v>
      </c>
      <c r="AA1542" s="22" t="str">
        <f>IFERROR(__xludf.DUMMYFUNCTION("""COMPUTED_VALUE"""),"5630 Willis Ave.")</f>
        <v>5630 Willis Ave.</v>
      </c>
      <c r="AB1542" s="22" t="str">
        <f>IFERROR(__xludf.DUMMYFUNCTION("""COMPUTED_VALUE"""),"Dallas, TX 75206")</f>
        <v>Dallas, TX 75206</v>
      </c>
      <c r="AC1542" s="31" t="s">
        <v>3180</v>
      </c>
      <c r="AD1542" s="22"/>
      <c r="AE1542" s="22"/>
      <c r="AF1542" s="22"/>
      <c r="AG1542" s="22" t="s">
        <v>60</v>
      </c>
      <c r="AH1542" s="54">
        <v>2501.0</v>
      </c>
      <c r="AI1542" s="22" t="s">
        <v>68</v>
      </c>
      <c r="AJ1542" s="27">
        <v>250.0</v>
      </c>
      <c r="AK1542" s="31" t="s">
        <v>21</v>
      </c>
      <c r="AL1542" s="28">
        <v>44926.0</v>
      </c>
      <c r="AM1542" s="29">
        <v>44943.63122685185</v>
      </c>
      <c r="AN1542" s="30">
        <v>2.0</v>
      </c>
      <c r="AO1542" s="22"/>
      <c r="AP1542" s="22"/>
      <c r="AQ1542" s="22"/>
      <c r="AR1542" s="22"/>
      <c r="AS1542" s="22"/>
      <c r="AT1542" s="70"/>
      <c r="AU1542" s="22"/>
      <c r="AV1542" s="57"/>
      <c r="AW1542" s="57"/>
      <c r="AX1542" s="70"/>
      <c r="AY1542" s="29"/>
      <c r="AZ1542" s="30"/>
      <c r="CU1542" s="55"/>
      <c r="CV1542" s="55"/>
      <c r="CW1542" s="55"/>
      <c r="CX1542" s="55"/>
      <c r="CY1542" s="55"/>
      <c r="CZ1542" s="55"/>
      <c r="DA1542" s="82"/>
      <c r="DB1542" s="55"/>
      <c r="DC1542" s="55"/>
      <c r="DD1542" s="55"/>
      <c r="DE1542" s="55"/>
      <c r="DF1542" s="55"/>
      <c r="DG1542" s="55"/>
      <c r="DH1542" s="55"/>
      <c r="DI1542" s="55"/>
      <c r="DJ1542" s="55"/>
      <c r="DK1542" s="55"/>
      <c r="DL1542" s="55"/>
      <c r="DM1542" s="55"/>
      <c r="DN1542" s="55"/>
      <c r="DO1542" s="55"/>
      <c r="DP1542" s="55"/>
      <c r="DQ1542" s="55"/>
      <c r="DR1542" s="55"/>
      <c r="DS1542" s="55"/>
      <c r="DT1542" s="55"/>
      <c r="DU1542" s="55"/>
      <c r="DV1542" s="55"/>
      <c r="DW1542" s="55"/>
    </row>
    <row r="1543">
      <c r="A1543" s="41" t="s">
        <v>64</v>
      </c>
      <c r="B1543" s="41" t="s">
        <v>56</v>
      </c>
      <c r="C1543" s="31" t="s">
        <v>3181</v>
      </c>
      <c r="D1543" s="25" t="str">
        <f>IFERROR(__xludf.DUMMYFUNCTION("SPLIT(C1543,"" "")"),"Linburg,")</f>
        <v>Linburg,</v>
      </c>
      <c r="E1543" s="40" t="str">
        <f>IFERROR(__xludf.DUMMYFUNCTION("""COMPUTED_VALUE"""),"Angela
4660")</f>
        <v>Angela
4660</v>
      </c>
      <c r="F1543" s="40" t="str">
        <f>IFERROR(__xludf.DUMMYFUNCTION("""COMPUTED_VALUE"""),"N.")</f>
        <v>N.</v>
      </c>
      <c r="G1543" s="40" t="str">
        <f>IFERROR(__xludf.DUMMYFUNCTION("""COMPUTED_VALUE"""),"Versailles")</f>
        <v>Versailles</v>
      </c>
      <c r="H1543" s="40" t="str">
        <f>IFERROR(__xludf.DUMMYFUNCTION("""COMPUTED_VALUE"""),"Ave.
Dallas,")</f>
        <v>Ave.
Dallas,</v>
      </c>
      <c r="I1543" s="40" t="str">
        <f>IFERROR(__xludf.DUMMYFUNCTION("""COMPUTED_VALUE"""),"TX")</f>
        <v>TX</v>
      </c>
      <c r="J1543" s="40">
        <f>IFERROR(__xludf.DUMMYFUNCTION("""COMPUTED_VALUE"""),75209.0)</f>
        <v>75209</v>
      </c>
      <c r="K1543" s="40"/>
      <c r="L1543" s="40"/>
      <c r="M1543" s="40"/>
      <c r="N1543" s="40"/>
      <c r="O1543" s="40"/>
      <c r="P1543" s="40"/>
      <c r="Q1543" s="40"/>
      <c r="R1543" s="40"/>
      <c r="S1543" s="40"/>
      <c r="T1543" s="40"/>
      <c r="U1543" s="24" t="str">
        <f>IFERROR(__xludf.DUMMYFUNCTION("SPLIT(E1543,""01234567890"")"),"Angela
")</f>
        <v>Angela
</v>
      </c>
      <c r="V1543" s="24" t="str">
        <f>IFERROR(__xludf.DUMMYFUNCTION("SPLIT(D1543,"","")"),"Linburg")</f>
        <v>Linburg</v>
      </c>
      <c r="W1543" s="25" t="str">
        <f t="shared" si="1"/>
        <v>ANGELA
 LINBURG</v>
      </c>
      <c r="X1543" s="40"/>
      <c r="Y1543" s="40"/>
      <c r="Z1543" s="25" t="str">
        <f>IFERROR(__xludf.DUMMYFUNCTION("SPLIT(C1543,""
"")"),"Linburg, Angela")</f>
        <v>Linburg, Angela</v>
      </c>
      <c r="AA1543" s="40" t="str">
        <f>IFERROR(__xludf.DUMMYFUNCTION("""COMPUTED_VALUE"""),"4660 N. Versailles Ave.")</f>
        <v>4660 N. Versailles Ave.</v>
      </c>
      <c r="AB1543" s="40" t="str">
        <f>IFERROR(__xludf.DUMMYFUNCTION("""COMPUTED_VALUE"""),"Dallas, TX 75209")</f>
        <v>Dallas, TX 75209</v>
      </c>
      <c r="AC1543" s="31" t="s">
        <v>3182</v>
      </c>
      <c r="AD1543" s="40"/>
      <c r="AE1543" s="40"/>
      <c r="AF1543" s="40"/>
      <c r="AG1543" s="40" t="s">
        <v>60</v>
      </c>
      <c r="AH1543" s="42">
        <v>2501.0</v>
      </c>
      <c r="AI1543" s="40" t="s">
        <v>68</v>
      </c>
      <c r="AJ1543" s="27">
        <v>250.0</v>
      </c>
      <c r="AK1543" s="31" t="s">
        <v>21</v>
      </c>
      <c r="AL1543" s="43">
        <v>44926.0</v>
      </c>
      <c r="AM1543" s="44">
        <v>44943.63122685185</v>
      </c>
      <c r="AN1543" s="30">
        <v>2.0</v>
      </c>
      <c r="AO1543" s="40"/>
      <c r="AP1543" s="40"/>
      <c r="AQ1543" s="40"/>
      <c r="AR1543" s="40"/>
      <c r="AS1543" s="40"/>
      <c r="AT1543" s="47"/>
      <c r="AU1543" s="40"/>
      <c r="AV1543" s="46"/>
      <c r="AW1543" s="46"/>
      <c r="AX1543" s="47"/>
      <c r="AY1543" s="44"/>
      <c r="AZ1543" s="30"/>
      <c r="CU1543" s="55"/>
      <c r="CV1543" s="55"/>
      <c r="CW1543" s="55"/>
      <c r="CX1543" s="55"/>
      <c r="CY1543" s="55"/>
      <c r="CZ1543" s="55"/>
      <c r="DA1543" s="82"/>
      <c r="DB1543" s="55"/>
      <c r="DC1543" s="55"/>
      <c r="DD1543" s="55"/>
      <c r="DE1543" s="55"/>
      <c r="DF1543" s="55"/>
      <c r="DG1543" s="55"/>
      <c r="DH1543" s="55"/>
      <c r="DI1543" s="55"/>
      <c r="DJ1543" s="55"/>
      <c r="DK1543" s="55"/>
      <c r="DL1543" s="55"/>
      <c r="DM1543" s="55"/>
      <c r="DN1543" s="55"/>
      <c r="DO1543" s="55"/>
      <c r="DP1543" s="55"/>
      <c r="DQ1543" s="55"/>
      <c r="DR1543" s="55"/>
      <c r="DS1543" s="55"/>
      <c r="DT1543" s="55"/>
      <c r="DU1543" s="55"/>
      <c r="DV1543" s="55"/>
      <c r="DW1543" s="55"/>
    </row>
    <row r="1544">
      <c r="A1544" s="22" t="s">
        <v>55</v>
      </c>
      <c r="B1544" s="23" t="s">
        <v>56</v>
      </c>
      <c r="C1544" s="31" t="s">
        <v>582</v>
      </c>
      <c r="D1544" s="25" t="str">
        <f>IFERROR(__xludf.DUMMYFUNCTION("SPLIT(C1544,"" "")"),"Orr,")</f>
        <v>Orr,</v>
      </c>
      <c r="E1544" s="22" t="str">
        <f>IFERROR(__xludf.DUMMYFUNCTION("""COMPUTED_VALUE"""),"Benjamin
518")</f>
        <v>Benjamin
518</v>
      </c>
      <c r="F1544" s="22" t="str">
        <f>IFERROR(__xludf.DUMMYFUNCTION("""COMPUTED_VALUE"""),"N.")</f>
        <v>N.</v>
      </c>
      <c r="G1544" s="22" t="str">
        <f>IFERROR(__xludf.DUMMYFUNCTION("""COMPUTED_VALUE"""),"Manus")</f>
        <v>Manus</v>
      </c>
      <c r="H1544" s="22" t="str">
        <f>IFERROR(__xludf.DUMMYFUNCTION("""COMPUTED_VALUE"""),"Dr.
Dallas,")</f>
        <v>Dr.
Dallas,</v>
      </c>
      <c r="I1544" s="22" t="str">
        <f>IFERROR(__xludf.DUMMYFUNCTION("""COMPUTED_VALUE"""),"TX")</f>
        <v>TX</v>
      </c>
      <c r="J1544" s="22">
        <f>IFERROR(__xludf.DUMMYFUNCTION("""COMPUTED_VALUE"""),75222.0)</f>
        <v>75222</v>
      </c>
      <c r="K1544" s="22"/>
      <c r="L1544" s="22"/>
      <c r="M1544" s="22"/>
      <c r="N1544" s="22"/>
      <c r="O1544" s="22"/>
      <c r="P1544" s="22"/>
      <c r="Q1544" s="22"/>
      <c r="R1544" s="22"/>
      <c r="S1544" s="22"/>
      <c r="T1544" s="22"/>
      <c r="U1544" s="24" t="str">
        <f>IFERROR(__xludf.DUMMYFUNCTION("SPLIT(E1544,""01234567890"")"),"Benjamin
")</f>
        <v>Benjamin
</v>
      </c>
      <c r="V1544" s="24" t="str">
        <f>IFERROR(__xludf.DUMMYFUNCTION("SPLIT(D1544,"","")"),"Orr")</f>
        <v>Orr</v>
      </c>
      <c r="W1544" s="25" t="str">
        <f t="shared" si="1"/>
        <v>BENJAMIN
 ORR</v>
      </c>
      <c r="X1544" s="22"/>
      <c r="Y1544" s="22"/>
      <c r="Z1544" s="25" t="str">
        <f>IFERROR(__xludf.DUMMYFUNCTION("SPLIT(C1544,""
"")"),"Orr, Benjamin")</f>
        <v>Orr, Benjamin</v>
      </c>
      <c r="AA1544" s="22" t="str">
        <f>IFERROR(__xludf.DUMMYFUNCTION("""COMPUTED_VALUE"""),"518 N. Manus Dr.")</f>
        <v>518 N. Manus Dr.</v>
      </c>
      <c r="AB1544" s="22" t="str">
        <f>IFERROR(__xludf.DUMMYFUNCTION("""COMPUTED_VALUE"""),"Dallas, TX 75222")</f>
        <v>Dallas, TX 75222</v>
      </c>
      <c r="AC1544" s="31" t="s">
        <v>584</v>
      </c>
      <c r="AD1544" s="22"/>
      <c r="AE1544" s="22"/>
      <c r="AF1544" s="22"/>
      <c r="AG1544" s="22" t="s">
        <v>60</v>
      </c>
      <c r="AH1544" s="54">
        <v>2501.0</v>
      </c>
      <c r="AI1544" s="22" t="s">
        <v>68</v>
      </c>
      <c r="AJ1544" s="27">
        <v>50.0</v>
      </c>
      <c r="AK1544" s="31" t="s">
        <v>21</v>
      </c>
      <c r="AL1544" s="28">
        <v>44926.0</v>
      </c>
      <c r="AM1544" s="29">
        <v>44943.63122685185</v>
      </c>
      <c r="AN1544" s="30">
        <v>2.0</v>
      </c>
      <c r="AO1544" s="22"/>
      <c r="AP1544" s="22"/>
      <c r="AQ1544" s="22"/>
      <c r="AR1544" s="22"/>
      <c r="AS1544" s="22"/>
      <c r="AT1544" s="70"/>
      <c r="AU1544" s="22"/>
      <c r="AV1544" s="57"/>
      <c r="AW1544" s="57"/>
      <c r="AX1544" s="70"/>
      <c r="AY1544" s="29"/>
      <c r="AZ1544" s="30"/>
      <c r="CU1544" s="55"/>
      <c r="CV1544" s="55"/>
      <c r="CW1544" s="55"/>
      <c r="CX1544" s="55"/>
      <c r="CY1544" s="55"/>
      <c r="CZ1544" s="55"/>
      <c r="DA1544" s="82"/>
      <c r="DB1544" s="55"/>
      <c r="DC1544" s="55"/>
      <c r="DD1544" s="55"/>
      <c r="DE1544" s="55"/>
      <c r="DF1544" s="55"/>
      <c r="DG1544" s="55"/>
      <c r="DH1544" s="55"/>
      <c r="DI1544" s="55"/>
      <c r="DJ1544" s="55"/>
      <c r="DK1544" s="55"/>
      <c r="DL1544" s="55"/>
      <c r="DM1544" s="55"/>
      <c r="DN1544" s="55"/>
      <c r="DO1544" s="55"/>
      <c r="DP1544" s="55"/>
      <c r="DQ1544" s="55"/>
      <c r="DR1544" s="55"/>
      <c r="DS1544" s="55"/>
      <c r="DT1544" s="55"/>
      <c r="DU1544" s="55"/>
      <c r="DV1544" s="55"/>
      <c r="DW1544" s="55"/>
    </row>
    <row r="1545">
      <c r="A1545" s="41" t="s">
        <v>64</v>
      </c>
      <c r="B1545" s="41" t="s">
        <v>56</v>
      </c>
      <c r="C1545" s="31" t="s">
        <v>3183</v>
      </c>
      <c r="D1545" s="25" t="str">
        <f>IFERROR(__xludf.DUMMYFUNCTION("SPLIT(C1545,"" "")"),"Perez,")</f>
        <v>Perez,</v>
      </c>
      <c r="E1545" s="40" t="str">
        <f>IFERROR(__xludf.DUMMYFUNCTION("""COMPUTED_VALUE"""),"Joel
1303")</f>
        <v>Joel
1303</v>
      </c>
      <c r="F1545" s="40" t="str">
        <f>IFERROR(__xludf.DUMMYFUNCTION("""COMPUTED_VALUE"""),"Lansford")</f>
        <v>Lansford</v>
      </c>
      <c r="G1545" s="40" t="str">
        <f>IFERROR(__xludf.DUMMYFUNCTION("""COMPUTED_VALUE"""),"Ave.
Dallas,")</f>
        <v>Ave.
Dallas,</v>
      </c>
      <c r="H1545" s="40" t="str">
        <f>IFERROR(__xludf.DUMMYFUNCTION("""COMPUTED_VALUE"""),"TX")</f>
        <v>TX</v>
      </c>
      <c r="I1545" s="40">
        <f>IFERROR(__xludf.DUMMYFUNCTION("""COMPUTED_VALUE"""),75224.0)</f>
        <v>75224</v>
      </c>
      <c r="J1545" s="40"/>
      <c r="K1545" s="40"/>
      <c r="L1545" s="40"/>
      <c r="M1545" s="40"/>
      <c r="N1545" s="40"/>
      <c r="O1545" s="40"/>
      <c r="P1545" s="40"/>
      <c r="Q1545" s="40"/>
      <c r="R1545" s="40"/>
      <c r="S1545" s="40"/>
      <c r="T1545" s="40"/>
      <c r="U1545" s="24" t="str">
        <f>IFERROR(__xludf.DUMMYFUNCTION("SPLIT(E1545,""01234567890"")"),"Joel
")</f>
        <v>Joel
</v>
      </c>
      <c r="V1545" s="24" t="str">
        <f>IFERROR(__xludf.DUMMYFUNCTION("SPLIT(D1545,"","")"),"Perez")</f>
        <v>Perez</v>
      </c>
      <c r="W1545" s="25" t="str">
        <f t="shared" si="1"/>
        <v>JOEL
 PEREZ</v>
      </c>
      <c r="X1545" s="40"/>
      <c r="Y1545" s="40"/>
      <c r="Z1545" s="25" t="str">
        <f>IFERROR(__xludf.DUMMYFUNCTION("SPLIT(C1545,""
"")"),"Perez, Joel")</f>
        <v>Perez, Joel</v>
      </c>
      <c r="AA1545" s="40" t="str">
        <f>IFERROR(__xludf.DUMMYFUNCTION("""COMPUTED_VALUE"""),"1303 Lansford Ave.")</f>
        <v>1303 Lansford Ave.</v>
      </c>
      <c r="AB1545" s="40" t="str">
        <f>IFERROR(__xludf.DUMMYFUNCTION("""COMPUTED_VALUE"""),"Dallas, TX 75224")</f>
        <v>Dallas, TX 75224</v>
      </c>
      <c r="AC1545" s="31" t="s">
        <v>3184</v>
      </c>
      <c r="AD1545" s="40"/>
      <c r="AE1545" s="40"/>
      <c r="AF1545" s="40"/>
      <c r="AG1545" s="40" t="s">
        <v>60</v>
      </c>
      <c r="AH1545" s="42">
        <v>2501.0</v>
      </c>
      <c r="AI1545" s="40" t="s">
        <v>68</v>
      </c>
      <c r="AJ1545" s="27">
        <v>50.0</v>
      </c>
      <c r="AK1545" s="31" t="s">
        <v>21</v>
      </c>
      <c r="AL1545" s="43">
        <v>44926.0</v>
      </c>
      <c r="AM1545" s="44">
        <v>44943.63122685185</v>
      </c>
      <c r="AN1545" s="30">
        <v>2.0</v>
      </c>
      <c r="AO1545" s="40"/>
      <c r="AP1545" s="40"/>
      <c r="AQ1545" s="40"/>
      <c r="AR1545" s="40"/>
      <c r="AS1545" s="40"/>
      <c r="AT1545" s="47"/>
      <c r="AU1545" s="40"/>
      <c r="AV1545" s="46"/>
      <c r="AW1545" s="46"/>
      <c r="AX1545" s="47"/>
      <c r="AY1545" s="44"/>
      <c r="AZ1545" s="30"/>
      <c r="CU1545" s="55"/>
      <c r="CV1545" s="55"/>
      <c r="CW1545" s="55"/>
      <c r="CX1545" s="55"/>
      <c r="CY1545" s="55"/>
      <c r="CZ1545" s="55"/>
      <c r="DA1545" s="82"/>
      <c r="DB1545" s="55"/>
      <c r="DC1545" s="55"/>
      <c r="DD1545" s="55"/>
      <c r="DE1545" s="55"/>
      <c r="DF1545" s="55"/>
      <c r="DG1545" s="55"/>
      <c r="DH1545" s="55"/>
      <c r="DI1545" s="55"/>
      <c r="DJ1545" s="55"/>
      <c r="DK1545" s="55"/>
      <c r="DL1545" s="55"/>
      <c r="DM1545" s="55"/>
      <c r="DN1545" s="55"/>
      <c r="DO1545" s="55"/>
      <c r="DP1545" s="55"/>
      <c r="DQ1545" s="55"/>
      <c r="DR1545" s="55"/>
      <c r="DS1545" s="55"/>
      <c r="DT1545" s="55"/>
      <c r="DU1545" s="55"/>
      <c r="DV1545" s="55"/>
      <c r="DW1545" s="55"/>
    </row>
    <row r="1546">
      <c r="A1546" s="22" t="s">
        <v>55</v>
      </c>
      <c r="B1546" s="23" t="s">
        <v>56</v>
      </c>
      <c r="C1546" s="31" t="s">
        <v>3185</v>
      </c>
      <c r="D1546" s="25" t="str">
        <f>IFERROR(__xludf.DUMMYFUNCTION("SPLIT(C1546,"" "")"),"White,")</f>
        <v>White,</v>
      </c>
      <c r="E1546" s="22" t="str">
        <f>IFERROR(__xludf.DUMMYFUNCTION("""COMPUTED_VALUE"""),"David
15750")</f>
        <v>David
15750</v>
      </c>
      <c r="F1546" s="22" t="str">
        <f>IFERROR(__xludf.DUMMYFUNCTION("""COMPUTED_VALUE"""),"Spectrum")</f>
        <v>Spectrum</v>
      </c>
      <c r="G1546" s="22" t="str">
        <f>IFERROR(__xludf.DUMMYFUNCTION("""COMPUTED_VALUE"""),"Dr.
Addison,")</f>
        <v>Dr.
Addison,</v>
      </c>
      <c r="H1546" s="22" t="str">
        <f>IFERROR(__xludf.DUMMYFUNCTION("""COMPUTED_VALUE"""),"TX")</f>
        <v>TX</v>
      </c>
      <c r="I1546" s="22">
        <f>IFERROR(__xludf.DUMMYFUNCTION("""COMPUTED_VALUE"""),75001.0)</f>
        <v>75001</v>
      </c>
      <c r="J1546" s="22"/>
      <c r="K1546" s="22"/>
      <c r="L1546" s="22"/>
      <c r="M1546" s="22"/>
      <c r="N1546" s="22"/>
      <c r="O1546" s="22"/>
      <c r="P1546" s="22"/>
      <c r="Q1546" s="22"/>
      <c r="R1546" s="22"/>
      <c r="S1546" s="22"/>
      <c r="T1546" s="22"/>
      <c r="U1546" s="24" t="str">
        <f>IFERROR(__xludf.DUMMYFUNCTION("SPLIT(E1546,""01234567890"")"),"David
")</f>
        <v>David
</v>
      </c>
      <c r="V1546" s="24" t="str">
        <f>IFERROR(__xludf.DUMMYFUNCTION("SPLIT(D1546,"","")"),"White")</f>
        <v>White</v>
      </c>
      <c r="W1546" s="25" t="str">
        <f t="shared" si="1"/>
        <v>DAVID
 WHITE</v>
      </c>
      <c r="X1546" s="22"/>
      <c r="Y1546" s="22"/>
      <c r="Z1546" s="25" t="str">
        <f>IFERROR(__xludf.DUMMYFUNCTION("SPLIT(C1546,""
"")"),"White, David")</f>
        <v>White, David</v>
      </c>
      <c r="AA1546" s="22" t="str">
        <f>IFERROR(__xludf.DUMMYFUNCTION("""COMPUTED_VALUE"""),"15750 Spectrum Dr.")</f>
        <v>15750 Spectrum Dr.</v>
      </c>
      <c r="AB1546" s="22" t="str">
        <f>IFERROR(__xludf.DUMMYFUNCTION("""COMPUTED_VALUE"""),"Addison, TX 75001")</f>
        <v>Addison, TX 75001</v>
      </c>
      <c r="AC1546" s="31" t="s">
        <v>3186</v>
      </c>
      <c r="AD1546" s="22"/>
      <c r="AE1546" s="22"/>
      <c r="AF1546" s="22"/>
      <c r="AG1546" s="22" t="s">
        <v>60</v>
      </c>
      <c r="AH1546" s="54">
        <v>2501.0</v>
      </c>
      <c r="AI1546" s="22" t="s">
        <v>68</v>
      </c>
      <c r="AJ1546" s="27">
        <v>500.0</v>
      </c>
      <c r="AK1546" s="31" t="s">
        <v>21</v>
      </c>
      <c r="AL1546" s="28">
        <v>44926.0</v>
      </c>
      <c r="AM1546" s="29">
        <v>44943.63122685185</v>
      </c>
      <c r="AN1546" s="30">
        <v>2.0</v>
      </c>
      <c r="AO1546" s="22"/>
      <c r="AP1546" s="22"/>
      <c r="AQ1546" s="22"/>
      <c r="AR1546" s="22"/>
      <c r="AS1546" s="22"/>
      <c r="AT1546" s="70"/>
      <c r="AU1546" s="22"/>
      <c r="AV1546" s="57"/>
      <c r="AW1546" s="57"/>
      <c r="AX1546" s="70"/>
      <c r="AY1546" s="29"/>
      <c r="AZ1546" s="30"/>
      <c r="CU1546" s="55"/>
      <c r="CV1546" s="55"/>
      <c r="CW1546" s="55"/>
      <c r="CX1546" s="55"/>
      <c r="CY1546" s="55"/>
      <c r="CZ1546" s="55"/>
      <c r="DA1546" s="82"/>
      <c r="DB1546" s="55"/>
      <c r="DC1546" s="55"/>
      <c r="DD1546" s="55"/>
      <c r="DE1546" s="55"/>
      <c r="DF1546" s="55"/>
      <c r="DG1546" s="55"/>
      <c r="DH1546" s="55"/>
      <c r="DI1546" s="55"/>
      <c r="DJ1546" s="55"/>
      <c r="DK1546" s="55"/>
      <c r="DL1546" s="55"/>
      <c r="DM1546" s="55"/>
      <c r="DN1546" s="55"/>
      <c r="DO1546" s="55"/>
      <c r="DP1546" s="55"/>
      <c r="DQ1546" s="55"/>
      <c r="DR1546" s="55"/>
      <c r="DS1546" s="55"/>
      <c r="DT1546" s="55"/>
      <c r="DU1546" s="55"/>
      <c r="DV1546" s="55"/>
      <c r="DW1546" s="55"/>
    </row>
    <row r="1547">
      <c r="A1547" s="41" t="s">
        <v>64</v>
      </c>
      <c r="B1547" s="41" t="s">
        <v>56</v>
      </c>
      <c r="C1547" s="31" t="s">
        <v>3187</v>
      </c>
      <c r="D1547" s="25" t="str">
        <f>IFERROR(__xludf.DUMMYFUNCTION("SPLIT(C1547,"" "")"),"Wood,")</f>
        <v>Wood,</v>
      </c>
      <c r="E1547" s="40" t="str">
        <f>IFERROR(__xludf.DUMMYFUNCTION("""COMPUTED_VALUE"""),"Megan
5121")</f>
        <v>Megan
5121</v>
      </c>
      <c r="F1547" s="40" t="str">
        <f>IFERROR(__xludf.DUMMYFUNCTION("""COMPUTED_VALUE"""),"Southbrook")</f>
        <v>Southbrook</v>
      </c>
      <c r="G1547" s="40" t="str">
        <f>IFERROR(__xludf.DUMMYFUNCTION("""COMPUTED_VALUE"""),"Dr.
Dallas,")</f>
        <v>Dr.
Dallas,</v>
      </c>
      <c r="H1547" s="40" t="str">
        <f>IFERROR(__xludf.DUMMYFUNCTION("""COMPUTED_VALUE"""),"TX")</f>
        <v>TX</v>
      </c>
      <c r="I1547" s="40">
        <f>IFERROR(__xludf.DUMMYFUNCTION("""COMPUTED_VALUE"""),75209.0)</f>
        <v>75209</v>
      </c>
      <c r="J1547" s="40"/>
      <c r="K1547" s="40"/>
      <c r="L1547" s="40"/>
      <c r="M1547" s="40"/>
      <c r="N1547" s="40"/>
      <c r="O1547" s="40"/>
      <c r="P1547" s="40"/>
      <c r="Q1547" s="40"/>
      <c r="R1547" s="40"/>
      <c r="S1547" s="40"/>
      <c r="T1547" s="40"/>
      <c r="U1547" s="24" t="str">
        <f>IFERROR(__xludf.DUMMYFUNCTION("SPLIT(E1547,""01234567890"")"),"Megan
")</f>
        <v>Megan
</v>
      </c>
      <c r="V1547" s="24" t="str">
        <f>IFERROR(__xludf.DUMMYFUNCTION("SPLIT(D1547,"","")"),"Wood")</f>
        <v>Wood</v>
      </c>
      <c r="W1547" s="25" t="str">
        <f t="shared" si="1"/>
        <v>MEGAN
 WOOD</v>
      </c>
      <c r="X1547" s="40"/>
      <c r="Y1547" s="40"/>
      <c r="Z1547" s="25" t="str">
        <f>IFERROR(__xludf.DUMMYFUNCTION("SPLIT(C1547,""
"")"),"Wood, Megan")</f>
        <v>Wood, Megan</v>
      </c>
      <c r="AA1547" s="40" t="str">
        <f>IFERROR(__xludf.DUMMYFUNCTION("""COMPUTED_VALUE"""),"5121 Southbrook Dr.")</f>
        <v>5121 Southbrook Dr.</v>
      </c>
      <c r="AB1547" s="40" t="str">
        <f>IFERROR(__xludf.DUMMYFUNCTION("""COMPUTED_VALUE"""),"Dallas, TX 75209")</f>
        <v>Dallas, TX 75209</v>
      </c>
      <c r="AC1547" s="31" t="s">
        <v>3188</v>
      </c>
      <c r="AD1547" s="40"/>
      <c r="AE1547" s="40"/>
      <c r="AF1547" s="40"/>
      <c r="AG1547" s="40" t="s">
        <v>60</v>
      </c>
      <c r="AH1547" s="42">
        <v>2501.0</v>
      </c>
      <c r="AI1547" s="40" t="s">
        <v>68</v>
      </c>
      <c r="AJ1547" s="27">
        <v>1000.0</v>
      </c>
      <c r="AK1547" s="31" t="s">
        <v>21</v>
      </c>
      <c r="AL1547" s="43">
        <v>44926.0</v>
      </c>
      <c r="AM1547" s="44">
        <v>44943.63122685185</v>
      </c>
      <c r="AN1547" s="30">
        <v>2.0</v>
      </c>
      <c r="AO1547" s="40"/>
      <c r="AP1547" s="40"/>
      <c r="AQ1547" s="40"/>
      <c r="AR1547" s="40"/>
      <c r="AS1547" s="40"/>
      <c r="AT1547" s="47"/>
      <c r="AU1547" s="40"/>
      <c r="AV1547" s="46"/>
      <c r="AW1547" s="46"/>
      <c r="AX1547" s="47"/>
      <c r="AY1547" s="44"/>
      <c r="AZ1547" s="30"/>
      <c r="CU1547" s="55"/>
      <c r="CV1547" s="55"/>
      <c r="CW1547" s="55"/>
      <c r="CX1547" s="55"/>
      <c r="CY1547" s="55"/>
      <c r="CZ1547" s="55"/>
      <c r="DA1547" s="82"/>
      <c r="DB1547" s="55"/>
      <c r="DC1547" s="55"/>
      <c r="DD1547" s="55"/>
      <c r="DE1547" s="55"/>
      <c r="DF1547" s="55"/>
      <c r="DG1547" s="55"/>
      <c r="DH1547" s="55"/>
      <c r="DI1547" s="55"/>
      <c r="DJ1547" s="55"/>
      <c r="DK1547" s="55"/>
      <c r="DL1547" s="55"/>
      <c r="DM1547" s="55"/>
      <c r="DN1547" s="55"/>
      <c r="DO1547" s="55"/>
      <c r="DP1547" s="55"/>
      <c r="DQ1547" s="55"/>
      <c r="DR1547" s="55"/>
      <c r="DS1547" s="55"/>
      <c r="DT1547" s="55"/>
      <c r="DU1547" s="55"/>
      <c r="DV1547" s="55"/>
      <c r="DW1547" s="55"/>
    </row>
    <row r="1548">
      <c r="A1548" s="22" t="s">
        <v>55</v>
      </c>
      <c r="B1548" s="23" t="s">
        <v>56</v>
      </c>
      <c r="C1548" s="31" t="s">
        <v>3189</v>
      </c>
      <c r="D1548" s="25" t="str">
        <f>IFERROR(__xludf.DUMMYFUNCTION("SPLIT(C1548,"" "")"),"Hewitt,")</f>
        <v>Hewitt,</v>
      </c>
      <c r="E1548" s="22" t="str">
        <f>IFERROR(__xludf.DUMMYFUNCTION("""COMPUTED_VALUE"""),"Kathy
1410")</f>
        <v>Kathy
1410</v>
      </c>
      <c r="F1548" s="22" t="str">
        <f>IFERROR(__xludf.DUMMYFUNCTION("""COMPUTED_VALUE"""),"Yakimo")</f>
        <v>Yakimo</v>
      </c>
      <c r="G1548" s="22" t="str">
        <f>IFERROR(__xludf.DUMMYFUNCTION("""COMPUTED_VALUE"""),"Dr.
Dallas,")</f>
        <v>Dr.
Dallas,</v>
      </c>
      <c r="H1548" s="22" t="str">
        <f>IFERROR(__xludf.DUMMYFUNCTION("""COMPUTED_VALUE"""),"TX")</f>
        <v>TX</v>
      </c>
      <c r="I1548" s="22">
        <f>IFERROR(__xludf.DUMMYFUNCTION("""COMPUTED_VALUE"""),75208.0)</f>
        <v>75208</v>
      </c>
      <c r="J1548" s="22"/>
      <c r="K1548" s="22"/>
      <c r="L1548" s="22"/>
      <c r="M1548" s="22"/>
      <c r="N1548" s="22"/>
      <c r="O1548" s="22"/>
      <c r="P1548" s="22"/>
      <c r="Q1548" s="22"/>
      <c r="R1548" s="22"/>
      <c r="S1548" s="22"/>
      <c r="T1548" s="22"/>
      <c r="U1548" s="24" t="str">
        <f>IFERROR(__xludf.DUMMYFUNCTION("SPLIT(E1548,""01234567890"")"),"Kathy
")</f>
        <v>Kathy
</v>
      </c>
      <c r="V1548" s="24" t="str">
        <f>IFERROR(__xludf.DUMMYFUNCTION("SPLIT(D1548,"","")"),"Hewitt")</f>
        <v>Hewitt</v>
      </c>
      <c r="W1548" s="25" t="str">
        <f t="shared" si="1"/>
        <v>KATHY
 HEWITT</v>
      </c>
      <c r="X1548" s="22"/>
      <c r="Y1548" s="22"/>
      <c r="Z1548" s="25" t="str">
        <f>IFERROR(__xludf.DUMMYFUNCTION("SPLIT(C1548,""
"")"),"Hewitt, Kathy")</f>
        <v>Hewitt, Kathy</v>
      </c>
      <c r="AA1548" s="22" t="str">
        <f>IFERROR(__xludf.DUMMYFUNCTION("""COMPUTED_VALUE"""),"1410 Yakimo Dr.")</f>
        <v>1410 Yakimo Dr.</v>
      </c>
      <c r="AB1548" s="22" t="str">
        <f>IFERROR(__xludf.DUMMYFUNCTION("""COMPUTED_VALUE"""),"Dallas, TX 75208")</f>
        <v>Dallas, TX 75208</v>
      </c>
      <c r="AC1548" s="31" t="s">
        <v>3190</v>
      </c>
      <c r="AD1548" s="22"/>
      <c r="AE1548" s="22"/>
      <c r="AF1548" s="22"/>
      <c r="AG1548" s="22" t="s">
        <v>60</v>
      </c>
      <c r="AH1548" s="54">
        <v>2501.0</v>
      </c>
      <c r="AI1548" s="22" t="s">
        <v>68</v>
      </c>
      <c r="AJ1548" s="27">
        <v>474.7</v>
      </c>
      <c r="AK1548" s="31" t="s">
        <v>21</v>
      </c>
      <c r="AL1548" s="28">
        <v>44877.0</v>
      </c>
      <c r="AM1548" s="29">
        <v>44943.63122685185</v>
      </c>
      <c r="AN1548" s="30">
        <v>2.0</v>
      </c>
      <c r="AO1548" s="22"/>
      <c r="AP1548" s="22"/>
      <c r="AQ1548" s="22"/>
      <c r="AR1548" s="22"/>
      <c r="AS1548" s="22"/>
      <c r="AT1548" s="70"/>
      <c r="AU1548" s="22"/>
      <c r="AV1548" s="57"/>
      <c r="AW1548" s="57"/>
      <c r="AX1548" s="70"/>
      <c r="AY1548" s="29"/>
      <c r="AZ1548" s="30"/>
      <c r="CU1548" s="55"/>
      <c r="CV1548" s="55"/>
      <c r="CW1548" s="55"/>
      <c r="CX1548" s="55"/>
      <c r="CY1548" s="55"/>
      <c r="CZ1548" s="55"/>
      <c r="DA1548" s="82"/>
      <c r="DB1548" s="55"/>
      <c r="DC1548" s="55"/>
      <c r="DD1548" s="55"/>
      <c r="DE1548" s="55"/>
      <c r="DF1548" s="55"/>
      <c r="DG1548" s="55"/>
      <c r="DH1548" s="55"/>
      <c r="DI1548" s="55"/>
      <c r="DJ1548" s="55"/>
      <c r="DK1548" s="55"/>
      <c r="DL1548" s="55"/>
      <c r="DM1548" s="55"/>
      <c r="DN1548" s="55"/>
      <c r="DO1548" s="55"/>
      <c r="DP1548" s="55"/>
      <c r="DQ1548" s="55"/>
      <c r="DR1548" s="55"/>
      <c r="DS1548" s="55"/>
      <c r="DT1548" s="55"/>
      <c r="DU1548" s="55"/>
      <c r="DV1548" s="55"/>
      <c r="DW1548" s="55"/>
    </row>
    <row r="1549">
      <c r="A1549" s="41" t="s">
        <v>64</v>
      </c>
      <c r="B1549" s="41" t="s">
        <v>56</v>
      </c>
      <c r="C1549" s="31" t="s">
        <v>3191</v>
      </c>
      <c r="D1549" s="25" t="str">
        <f>IFERROR(__xludf.DUMMYFUNCTION("SPLIT(C1549,"" "")"),"Homan,")</f>
        <v>Homan,</v>
      </c>
      <c r="E1549" s="40" t="str">
        <f>IFERROR(__xludf.DUMMYFUNCTION("""COMPUTED_VALUE"""),"Katherine
1629")</f>
        <v>Katherine
1629</v>
      </c>
      <c r="F1549" s="40" t="str">
        <f>IFERROR(__xludf.DUMMYFUNCTION("""COMPUTED_VALUE"""),"Handley")</f>
        <v>Handley</v>
      </c>
      <c r="G1549" s="40" t="str">
        <f>IFERROR(__xludf.DUMMYFUNCTION("""COMPUTED_VALUE"""),"Dr.
Dallas,")</f>
        <v>Dr.
Dallas,</v>
      </c>
      <c r="H1549" s="40" t="str">
        <f>IFERROR(__xludf.DUMMYFUNCTION("""COMPUTED_VALUE"""),"TX")</f>
        <v>TX</v>
      </c>
      <c r="I1549" s="40">
        <f>IFERROR(__xludf.DUMMYFUNCTION("""COMPUTED_VALUE"""),75208.0)</f>
        <v>75208</v>
      </c>
      <c r="J1549" s="40"/>
      <c r="K1549" s="40"/>
      <c r="L1549" s="40"/>
      <c r="M1549" s="40"/>
      <c r="N1549" s="40"/>
      <c r="O1549" s="40"/>
      <c r="P1549" s="40"/>
      <c r="Q1549" s="40"/>
      <c r="R1549" s="40"/>
      <c r="S1549" s="40"/>
      <c r="T1549" s="40"/>
      <c r="U1549" s="24" t="str">
        <f>IFERROR(__xludf.DUMMYFUNCTION("SPLIT(E1549,""01234567890"")"),"Katherine
")</f>
        <v>Katherine
</v>
      </c>
      <c r="V1549" s="24" t="str">
        <f>IFERROR(__xludf.DUMMYFUNCTION("SPLIT(D1549,"","")"),"Homan")</f>
        <v>Homan</v>
      </c>
      <c r="W1549" s="25" t="str">
        <f t="shared" si="1"/>
        <v>KATHERINE
 HOMAN</v>
      </c>
      <c r="X1549" s="40"/>
      <c r="Y1549" s="40"/>
      <c r="Z1549" s="25" t="str">
        <f>IFERROR(__xludf.DUMMYFUNCTION("SPLIT(C1549,""
"")"),"Homan, Katherine")</f>
        <v>Homan, Katherine</v>
      </c>
      <c r="AA1549" s="40" t="str">
        <f>IFERROR(__xludf.DUMMYFUNCTION("""COMPUTED_VALUE"""),"1629 Handley Dr.")</f>
        <v>1629 Handley Dr.</v>
      </c>
      <c r="AB1549" s="40" t="str">
        <f>IFERROR(__xludf.DUMMYFUNCTION("""COMPUTED_VALUE"""),"Dallas, TX 75208")</f>
        <v>Dallas, TX 75208</v>
      </c>
      <c r="AC1549" s="31" t="s">
        <v>3192</v>
      </c>
      <c r="AD1549" s="40"/>
      <c r="AE1549" s="40"/>
      <c r="AF1549" s="40"/>
      <c r="AG1549" s="40" t="s">
        <v>60</v>
      </c>
      <c r="AH1549" s="42">
        <v>2501.0</v>
      </c>
      <c r="AI1549" s="40" t="s">
        <v>68</v>
      </c>
      <c r="AJ1549" s="27">
        <v>500.0</v>
      </c>
      <c r="AK1549" s="31" t="s">
        <v>21</v>
      </c>
      <c r="AL1549" s="43">
        <v>44890.0</v>
      </c>
      <c r="AM1549" s="44">
        <v>44943.63122685185</v>
      </c>
      <c r="AN1549" s="30">
        <v>2.0</v>
      </c>
      <c r="AO1549" s="40"/>
      <c r="AP1549" s="40"/>
      <c r="AQ1549" s="40"/>
      <c r="AR1549" s="40"/>
      <c r="AS1549" s="40"/>
      <c r="AT1549" s="47"/>
      <c r="AU1549" s="40"/>
      <c r="AV1549" s="46"/>
      <c r="AW1549" s="46"/>
      <c r="AX1549" s="47"/>
      <c r="AY1549" s="44"/>
      <c r="AZ1549" s="30"/>
      <c r="CU1549" s="55"/>
      <c r="CV1549" s="55"/>
      <c r="CW1549" s="55"/>
      <c r="CX1549" s="55"/>
      <c r="CY1549" s="55"/>
      <c r="CZ1549" s="55"/>
      <c r="DA1549" s="82"/>
      <c r="DB1549" s="55"/>
      <c r="DC1549" s="55"/>
      <c r="DD1549" s="55"/>
      <c r="DE1549" s="55"/>
      <c r="DF1549" s="55"/>
      <c r="DG1549" s="55"/>
      <c r="DH1549" s="55"/>
      <c r="DI1549" s="55"/>
      <c r="DJ1549" s="55"/>
      <c r="DK1549" s="55"/>
      <c r="DL1549" s="55"/>
      <c r="DM1549" s="55"/>
      <c r="DN1549" s="55"/>
      <c r="DO1549" s="55"/>
      <c r="DP1549" s="55"/>
      <c r="DQ1549" s="55"/>
      <c r="DR1549" s="55"/>
      <c r="DS1549" s="55"/>
      <c r="DT1549" s="55"/>
      <c r="DU1549" s="55"/>
      <c r="DV1549" s="55"/>
      <c r="DW1549" s="55"/>
    </row>
    <row r="1550">
      <c r="A1550" s="22" t="s">
        <v>55</v>
      </c>
      <c r="B1550" s="23" t="s">
        <v>56</v>
      </c>
      <c r="C1550" s="31" t="s">
        <v>3110</v>
      </c>
      <c r="D1550" s="25" t="str">
        <f>IFERROR(__xludf.DUMMYFUNCTION("SPLIT(C1550,"" "")"),"Headington,")</f>
        <v>Headington,</v>
      </c>
      <c r="E1550" s="22" t="str">
        <f>IFERROR(__xludf.DUMMYFUNCTION("""COMPUTED_VALUE"""),"Timothy
1608")</f>
        <v>Timothy
1608</v>
      </c>
      <c r="F1550" s="22" t="str">
        <f>IFERROR(__xludf.DUMMYFUNCTION("""COMPUTED_VALUE"""),"Main")</f>
        <v>Main</v>
      </c>
      <c r="G1550" s="22" t="str">
        <f>IFERROR(__xludf.DUMMYFUNCTION("""COMPUTED_VALUE"""),"St.
Dallas,")</f>
        <v>St.
Dallas,</v>
      </c>
      <c r="H1550" s="22" t="str">
        <f>IFERROR(__xludf.DUMMYFUNCTION("""COMPUTED_VALUE"""),"TX")</f>
        <v>TX</v>
      </c>
      <c r="I1550" s="22">
        <f>IFERROR(__xludf.DUMMYFUNCTION("""COMPUTED_VALUE"""),75201.0)</f>
        <v>75201</v>
      </c>
      <c r="J1550" s="22"/>
      <c r="K1550" s="22"/>
      <c r="L1550" s="22"/>
      <c r="M1550" s="22"/>
      <c r="N1550" s="22"/>
      <c r="O1550" s="22"/>
      <c r="P1550" s="22"/>
      <c r="Q1550" s="22"/>
      <c r="R1550" s="22"/>
      <c r="S1550" s="22"/>
      <c r="T1550" s="22"/>
      <c r="U1550" s="24" t="str">
        <f>IFERROR(__xludf.DUMMYFUNCTION("SPLIT(E1550,""01234567890"")"),"Timothy
")</f>
        <v>Timothy
</v>
      </c>
      <c r="V1550" s="24" t="str">
        <f>IFERROR(__xludf.DUMMYFUNCTION("SPLIT(D1550,"","")"),"Headington")</f>
        <v>Headington</v>
      </c>
      <c r="W1550" s="25" t="str">
        <f t="shared" si="1"/>
        <v>TIMOTHY
 HEADINGTON</v>
      </c>
      <c r="X1550" s="22"/>
      <c r="Y1550" s="22"/>
      <c r="Z1550" s="25" t="str">
        <f>IFERROR(__xludf.DUMMYFUNCTION("SPLIT(C1550,""
"")"),"Headington, Timothy")</f>
        <v>Headington, Timothy</v>
      </c>
      <c r="AA1550" s="22" t="str">
        <f>IFERROR(__xludf.DUMMYFUNCTION("""COMPUTED_VALUE"""),"1608 Main St.")</f>
        <v>1608 Main St.</v>
      </c>
      <c r="AB1550" s="22" t="str">
        <f>IFERROR(__xludf.DUMMYFUNCTION("""COMPUTED_VALUE"""),"Dallas, TX 75201")</f>
        <v>Dallas, TX 75201</v>
      </c>
      <c r="AC1550" s="31" t="s">
        <v>3111</v>
      </c>
      <c r="AD1550" s="22"/>
      <c r="AE1550" s="22"/>
      <c r="AF1550" s="22"/>
      <c r="AG1550" s="22" t="s">
        <v>60</v>
      </c>
      <c r="AH1550" s="54">
        <v>2501.0</v>
      </c>
      <c r="AI1550" s="22" t="s">
        <v>68</v>
      </c>
      <c r="AJ1550" s="27">
        <v>4000.0</v>
      </c>
      <c r="AK1550" s="31" t="s">
        <v>21</v>
      </c>
      <c r="AL1550" s="28">
        <v>44902.0</v>
      </c>
      <c r="AM1550" s="29">
        <v>44943.63122685185</v>
      </c>
      <c r="AN1550" s="30">
        <v>2.0</v>
      </c>
      <c r="AO1550" s="22"/>
      <c r="AP1550" s="22"/>
      <c r="AQ1550" s="22"/>
      <c r="AR1550" s="22"/>
      <c r="AS1550" s="22"/>
      <c r="AT1550" s="70"/>
      <c r="AU1550" s="22"/>
      <c r="AV1550" s="57"/>
      <c r="AW1550" s="57"/>
      <c r="AX1550" s="70"/>
      <c r="AY1550" s="29"/>
      <c r="AZ1550" s="30"/>
      <c r="CU1550" s="55"/>
      <c r="CV1550" s="55"/>
      <c r="CW1550" s="55"/>
      <c r="CX1550" s="55"/>
      <c r="CY1550" s="55"/>
      <c r="CZ1550" s="55"/>
      <c r="DA1550" s="82"/>
      <c r="DB1550" s="55"/>
      <c r="DC1550" s="55"/>
      <c r="DD1550" s="55"/>
      <c r="DE1550" s="55"/>
      <c r="DF1550" s="55"/>
      <c r="DG1550" s="55"/>
      <c r="DH1550" s="55"/>
      <c r="DI1550" s="55"/>
      <c r="DJ1550" s="55"/>
      <c r="DK1550" s="55"/>
      <c r="DL1550" s="55"/>
      <c r="DM1550" s="55"/>
      <c r="DN1550" s="55"/>
      <c r="DO1550" s="55"/>
      <c r="DP1550" s="55"/>
      <c r="DQ1550" s="55"/>
      <c r="DR1550" s="55"/>
      <c r="DS1550" s="55"/>
      <c r="DT1550" s="55"/>
      <c r="DU1550" s="55"/>
      <c r="DV1550" s="55"/>
      <c r="DW1550" s="55"/>
    </row>
    <row r="1551">
      <c r="A1551" s="41" t="s">
        <v>64</v>
      </c>
      <c r="B1551" s="41" t="s">
        <v>56</v>
      </c>
      <c r="C1551" s="31" t="s">
        <v>3193</v>
      </c>
      <c r="D1551" s="25" t="str">
        <f>IFERROR(__xludf.DUMMYFUNCTION("SPLIT(C1551,"" "")"),"Matthews,")</f>
        <v>Matthews,</v>
      </c>
      <c r="E1551" s="40" t="str">
        <f>IFERROR(__xludf.DUMMYFUNCTION("""COMPUTED_VALUE"""),"John
320")</f>
        <v>John
320</v>
      </c>
      <c r="F1551" s="40" t="str">
        <f>IFERROR(__xludf.DUMMYFUNCTION("""COMPUTED_VALUE"""),"W.")</f>
        <v>W.</v>
      </c>
      <c r="G1551" s="40" t="str">
        <f>IFERROR(__xludf.DUMMYFUNCTION("""COMPUTED_VALUE"""),"Main")</f>
        <v>Main</v>
      </c>
      <c r="H1551" s="40" t="str">
        <f>IFERROR(__xludf.DUMMYFUNCTION("""COMPUTED_VALUE"""),"St.
Lewisville,")</f>
        <v>St.
Lewisville,</v>
      </c>
      <c r="I1551" s="40" t="str">
        <f>IFERROR(__xludf.DUMMYFUNCTION("""COMPUTED_VALUE"""),"TX")</f>
        <v>TX</v>
      </c>
      <c r="J1551" s="40">
        <f>IFERROR(__xludf.DUMMYFUNCTION("""COMPUTED_VALUE"""),75057.0)</f>
        <v>75057</v>
      </c>
      <c r="K1551" s="40"/>
      <c r="L1551" s="40"/>
      <c r="M1551" s="40"/>
      <c r="N1551" s="40"/>
      <c r="O1551" s="40"/>
      <c r="P1551" s="40"/>
      <c r="Q1551" s="40"/>
      <c r="R1551" s="40"/>
      <c r="S1551" s="40"/>
      <c r="T1551" s="40"/>
      <c r="U1551" s="24" t="str">
        <f>IFERROR(__xludf.DUMMYFUNCTION("SPLIT(E1551,""01234567890"")"),"John
")</f>
        <v>John
</v>
      </c>
      <c r="V1551" s="24" t="str">
        <f>IFERROR(__xludf.DUMMYFUNCTION("SPLIT(D1551,"","")"),"Matthews")</f>
        <v>Matthews</v>
      </c>
      <c r="W1551" s="25" t="str">
        <f t="shared" si="1"/>
        <v>JOHN
 MATTHEWS</v>
      </c>
      <c r="X1551" s="40"/>
      <c r="Y1551" s="40"/>
      <c r="Z1551" s="25" t="str">
        <f>IFERROR(__xludf.DUMMYFUNCTION("SPLIT(C1551,""
"")"),"Matthews, John")</f>
        <v>Matthews, John</v>
      </c>
      <c r="AA1551" s="40" t="str">
        <f>IFERROR(__xludf.DUMMYFUNCTION("""COMPUTED_VALUE"""),"320 W. Main St.")</f>
        <v>320 W. Main St.</v>
      </c>
      <c r="AB1551" s="40" t="str">
        <f>IFERROR(__xludf.DUMMYFUNCTION("""COMPUTED_VALUE"""),"Lewisville, TX 75057")</f>
        <v>Lewisville, TX 75057</v>
      </c>
      <c r="AC1551" s="31" t="s">
        <v>2719</v>
      </c>
      <c r="AD1551" s="40"/>
      <c r="AE1551" s="40"/>
      <c r="AF1551" s="40"/>
      <c r="AG1551" s="40" t="s">
        <v>60</v>
      </c>
      <c r="AH1551" s="42">
        <v>2501.0</v>
      </c>
      <c r="AI1551" s="40" t="s">
        <v>68</v>
      </c>
      <c r="AJ1551" s="27">
        <v>1000.0</v>
      </c>
      <c r="AK1551" s="31" t="s">
        <v>21</v>
      </c>
      <c r="AL1551" s="43">
        <v>44905.0</v>
      </c>
      <c r="AM1551" s="44">
        <v>44943.63122685185</v>
      </c>
      <c r="AN1551" s="30">
        <v>2.0</v>
      </c>
      <c r="AO1551" s="40"/>
      <c r="AP1551" s="40"/>
      <c r="AQ1551" s="40"/>
      <c r="AR1551" s="40"/>
      <c r="AS1551" s="40"/>
      <c r="AT1551" s="47"/>
      <c r="AU1551" s="40"/>
      <c r="AV1551" s="46"/>
      <c r="AW1551" s="46"/>
      <c r="AX1551" s="47"/>
      <c r="AY1551" s="44"/>
      <c r="AZ1551" s="30"/>
      <c r="CU1551" s="55"/>
      <c r="CV1551" s="55"/>
      <c r="CW1551" s="55"/>
      <c r="CX1551" s="55"/>
      <c r="CY1551" s="55"/>
      <c r="CZ1551" s="55"/>
      <c r="DA1551" s="82"/>
      <c r="DB1551" s="55"/>
      <c r="DC1551" s="55"/>
      <c r="DD1551" s="55"/>
      <c r="DE1551" s="55"/>
      <c r="DF1551" s="55"/>
      <c r="DG1551" s="55"/>
      <c r="DH1551" s="55"/>
      <c r="DI1551" s="55"/>
      <c r="DJ1551" s="55"/>
      <c r="DK1551" s="55"/>
      <c r="DL1551" s="55"/>
      <c r="DM1551" s="55"/>
      <c r="DN1551" s="55"/>
      <c r="DO1551" s="55"/>
      <c r="DP1551" s="55"/>
      <c r="DQ1551" s="55"/>
      <c r="DR1551" s="55"/>
      <c r="DS1551" s="55"/>
      <c r="DT1551" s="55"/>
      <c r="DU1551" s="55"/>
      <c r="DV1551" s="55"/>
      <c r="DW1551" s="55"/>
    </row>
    <row r="1552">
      <c r="A1552" s="22" t="s">
        <v>55</v>
      </c>
      <c r="B1552" s="23" t="s">
        <v>56</v>
      </c>
      <c r="C1552" s="31" t="s">
        <v>3194</v>
      </c>
      <c r="D1552" s="25" t="str">
        <f>IFERROR(__xludf.DUMMYFUNCTION("SPLIT(C1552,"" "")"),"Weempe,")</f>
        <v>Weempe,</v>
      </c>
      <c r="E1552" s="22" t="str">
        <f>IFERROR(__xludf.DUMMYFUNCTION("""COMPUTED_VALUE"""),"Jane
1316")</f>
        <v>Jane
1316</v>
      </c>
      <c r="F1552" s="22" t="str">
        <f>IFERROR(__xludf.DUMMYFUNCTION("""COMPUTED_VALUE"""),"W.")</f>
        <v>W.</v>
      </c>
      <c r="G1552" s="22" t="str">
        <f>IFERROR(__xludf.DUMMYFUNCTION("""COMPUTED_VALUE"""),"Canterbury")</f>
        <v>Canterbury</v>
      </c>
      <c r="H1552" s="22" t="str">
        <f>IFERROR(__xludf.DUMMYFUNCTION("""COMPUTED_VALUE"""),"Ct.
Dallas,")</f>
        <v>Ct.
Dallas,</v>
      </c>
      <c r="I1552" s="22" t="str">
        <f>IFERROR(__xludf.DUMMYFUNCTION("""COMPUTED_VALUE"""),"TX")</f>
        <v>TX</v>
      </c>
      <c r="J1552" s="22">
        <f>IFERROR(__xludf.DUMMYFUNCTION("""COMPUTED_VALUE"""),75208.0)</f>
        <v>75208</v>
      </c>
      <c r="K1552" s="22"/>
      <c r="L1552" s="22"/>
      <c r="M1552" s="22"/>
      <c r="N1552" s="22"/>
      <c r="O1552" s="22"/>
      <c r="P1552" s="22"/>
      <c r="Q1552" s="22"/>
      <c r="R1552" s="22"/>
      <c r="S1552" s="22"/>
      <c r="T1552" s="22"/>
      <c r="U1552" s="24" t="str">
        <f>IFERROR(__xludf.DUMMYFUNCTION("SPLIT(E1552,""01234567890"")"),"Jane
")</f>
        <v>Jane
</v>
      </c>
      <c r="V1552" s="24" t="str">
        <f>IFERROR(__xludf.DUMMYFUNCTION("SPLIT(D1552,"","")"),"Weempe")</f>
        <v>Weempe</v>
      </c>
      <c r="W1552" s="25" t="str">
        <f t="shared" si="1"/>
        <v>JANE
 WEEMPE</v>
      </c>
      <c r="X1552" s="22"/>
      <c r="Y1552" s="22"/>
      <c r="Z1552" s="25" t="str">
        <f>IFERROR(__xludf.DUMMYFUNCTION("SPLIT(C1552,""
"")"),"Weempe, Jane")</f>
        <v>Weempe, Jane</v>
      </c>
      <c r="AA1552" s="22" t="str">
        <f>IFERROR(__xludf.DUMMYFUNCTION("""COMPUTED_VALUE"""),"1316 W. Canterbury Ct.")</f>
        <v>1316 W. Canterbury Ct.</v>
      </c>
      <c r="AB1552" s="22" t="str">
        <f>IFERROR(__xludf.DUMMYFUNCTION("""COMPUTED_VALUE"""),"Dallas, TX 75208")</f>
        <v>Dallas, TX 75208</v>
      </c>
      <c r="AC1552" s="31" t="s">
        <v>3195</v>
      </c>
      <c r="AD1552" s="22"/>
      <c r="AE1552" s="22"/>
      <c r="AF1552" s="22"/>
      <c r="AG1552" s="22" t="s">
        <v>60</v>
      </c>
      <c r="AH1552" s="54">
        <v>2501.0</v>
      </c>
      <c r="AI1552" s="22" t="s">
        <v>68</v>
      </c>
      <c r="AJ1552" s="27">
        <v>1000.0</v>
      </c>
      <c r="AK1552" s="31" t="s">
        <v>21</v>
      </c>
      <c r="AL1552" s="28">
        <v>44908.0</v>
      </c>
      <c r="AM1552" s="29">
        <v>44943.63122685185</v>
      </c>
      <c r="AN1552" s="30">
        <v>2.0</v>
      </c>
      <c r="AO1552" s="22"/>
      <c r="AP1552" s="22"/>
      <c r="AQ1552" s="22"/>
      <c r="AR1552" s="22"/>
      <c r="AS1552" s="22"/>
      <c r="AT1552" s="70"/>
      <c r="AU1552" s="22"/>
      <c r="AV1552" s="57"/>
      <c r="AW1552" s="57"/>
      <c r="AX1552" s="70"/>
      <c r="AY1552" s="29"/>
      <c r="AZ1552" s="30"/>
      <c r="CU1552" s="55"/>
      <c r="CV1552" s="55"/>
      <c r="CW1552" s="55"/>
      <c r="CX1552" s="55"/>
      <c r="CY1552" s="55"/>
      <c r="CZ1552" s="55"/>
      <c r="DA1552" s="82"/>
      <c r="DB1552" s="55"/>
      <c r="DC1552" s="55"/>
      <c r="DD1552" s="55"/>
      <c r="DE1552" s="55"/>
      <c r="DF1552" s="55"/>
      <c r="DG1552" s="55"/>
      <c r="DH1552" s="55"/>
      <c r="DI1552" s="55"/>
      <c r="DJ1552" s="55"/>
      <c r="DK1552" s="55"/>
      <c r="DL1552" s="55"/>
      <c r="DM1552" s="55"/>
      <c r="DN1552" s="55"/>
      <c r="DO1552" s="55"/>
      <c r="DP1552" s="55"/>
      <c r="DQ1552" s="55"/>
      <c r="DR1552" s="55"/>
      <c r="DS1552" s="55"/>
      <c r="DT1552" s="55"/>
      <c r="DU1552" s="55"/>
      <c r="DV1552" s="55"/>
      <c r="DW1552" s="55"/>
    </row>
    <row r="1553">
      <c r="A1553" s="41" t="s">
        <v>64</v>
      </c>
      <c r="B1553" s="41" t="s">
        <v>56</v>
      </c>
      <c r="C1553" s="31" t="s">
        <v>3096</v>
      </c>
      <c r="D1553" s="25" t="str">
        <f>IFERROR(__xludf.DUMMYFUNCTION("SPLIT(C1553,"" "")"),"Ginsburg,")</f>
        <v>Ginsburg,</v>
      </c>
      <c r="E1553" s="40" t="str">
        <f>IFERROR(__xludf.DUMMYFUNCTION("""COMPUTED_VALUE"""),"Harold
2610")</f>
        <v>Harold
2610</v>
      </c>
      <c r="F1553" s="40" t="str">
        <f>IFERROR(__xludf.DUMMYFUNCTION("""COMPUTED_VALUE"""),"Fairmount")</f>
        <v>Fairmount</v>
      </c>
      <c r="G1553" s="40" t="str">
        <f>IFERROR(__xludf.DUMMYFUNCTION("""COMPUTED_VALUE"""),"St.
Dallas,")</f>
        <v>St.
Dallas,</v>
      </c>
      <c r="H1553" s="40" t="str">
        <f>IFERROR(__xludf.DUMMYFUNCTION("""COMPUTED_VALUE"""),"TX")</f>
        <v>TX</v>
      </c>
      <c r="I1553" s="40">
        <f>IFERROR(__xludf.DUMMYFUNCTION("""COMPUTED_VALUE"""),75201.0)</f>
        <v>75201</v>
      </c>
      <c r="J1553" s="40"/>
      <c r="K1553" s="40"/>
      <c r="L1553" s="40"/>
      <c r="M1553" s="40"/>
      <c r="N1553" s="40"/>
      <c r="O1553" s="40"/>
      <c r="P1553" s="40"/>
      <c r="Q1553" s="40"/>
      <c r="R1553" s="40"/>
      <c r="S1553" s="40"/>
      <c r="T1553" s="40"/>
      <c r="U1553" s="24" t="str">
        <f>IFERROR(__xludf.DUMMYFUNCTION("SPLIT(E1553,""01234567890"")"),"Harold
")</f>
        <v>Harold
</v>
      </c>
      <c r="V1553" s="24" t="str">
        <f>IFERROR(__xludf.DUMMYFUNCTION("SPLIT(D1553,"","")"),"Ginsburg")</f>
        <v>Ginsburg</v>
      </c>
      <c r="W1553" s="25" t="str">
        <f t="shared" si="1"/>
        <v>HAROLD
 GINSBURG</v>
      </c>
      <c r="X1553" s="40"/>
      <c r="Y1553" s="40"/>
      <c r="Z1553" s="25" t="str">
        <f>IFERROR(__xludf.DUMMYFUNCTION("SPLIT(C1553,""
"")"),"Ginsburg, Harold")</f>
        <v>Ginsburg, Harold</v>
      </c>
      <c r="AA1553" s="40" t="str">
        <f>IFERROR(__xludf.DUMMYFUNCTION("""COMPUTED_VALUE"""),"2610 Fairmount St.")</f>
        <v>2610 Fairmount St.</v>
      </c>
      <c r="AB1553" s="40" t="str">
        <f>IFERROR(__xludf.DUMMYFUNCTION("""COMPUTED_VALUE"""),"Dallas, TX 75201")</f>
        <v>Dallas, TX 75201</v>
      </c>
      <c r="AC1553" s="31" t="s">
        <v>3097</v>
      </c>
      <c r="AD1553" s="40"/>
      <c r="AE1553" s="40"/>
      <c r="AF1553" s="40"/>
      <c r="AG1553" s="40" t="s">
        <v>60</v>
      </c>
      <c r="AH1553" s="42">
        <v>2501.0</v>
      </c>
      <c r="AI1553" s="40" t="s">
        <v>68</v>
      </c>
      <c r="AJ1553" s="27">
        <v>1000.0</v>
      </c>
      <c r="AK1553" s="31" t="s">
        <v>21</v>
      </c>
      <c r="AL1553" s="43">
        <v>44924.0</v>
      </c>
      <c r="AM1553" s="44">
        <v>44943.63122685185</v>
      </c>
      <c r="AN1553" s="30">
        <v>2.0</v>
      </c>
      <c r="AO1553" s="40"/>
      <c r="AP1553" s="40"/>
      <c r="AQ1553" s="40"/>
      <c r="AR1553" s="40"/>
      <c r="AS1553" s="40"/>
      <c r="AT1553" s="47"/>
      <c r="AU1553" s="40"/>
      <c r="AV1553" s="46"/>
      <c r="AW1553" s="46"/>
      <c r="AX1553" s="47"/>
      <c r="AY1553" s="44"/>
      <c r="AZ1553" s="30"/>
      <c r="CU1553" s="55"/>
      <c r="CV1553" s="55"/>
      <c r="CW1553" s="55"/>
      <c r="CX1553" s="55"/>
      <c r="CY1553" s="55"/>
      <c r="CZ1553" s="55"/>
      <c r="DA1553" s="82"/>
      <c r="DB1553" s="55"/>
      <c r="DC1553" s="55"/>
      <c r="DD1553" s="55"/>
      <c r="DE1553" s="55"/>
      <c r="DF1553" s="55"/>
      <c r="DG1553" s="55"/>
      <c r="DH1553" s="55"/>
      <c r="DI1553" s="55"/>
      <c r="DJ1553" s="55"/>
      <c r="DK1553" s="55"/>
      <c r="DL1553" s="55"/>
      <c r="DM1553" s="55"/>
      <c r="DN1553" s="55"/>
      <c r="DO1553" s="55"/>
      <c r="DP1553" s="55"/>
      <c r="DQ1553" s="55"/>
      <c r="DR1553" s="55"/>
      <c r="DS1553" s="55"/>
      <c r="DT1553" s="55"/>
      <c r="DU1553" s="55"/>
      <c r="DV1553" s="55"/>
      <c r="DW1553" s="55"/>
    </row>
    <row r="1554">
      <c r="A1554" s="22" t="s">
        <v>55</v>
      </c>
      <c r="B1554" s="23" t="s">
        <v>56</v>
      </c>
      <c r="C1554" s="31" t="s">
        <v>177</v>
      </c>
      <c r="D1554" s="25" t="str">
        <f>IFERROR(__xludf.DUMMYFUNCTION("SPLIT(C1554,"" "")"),"Anderson,")</f>
        <v>Anderson,</v>
      </c>
      <c r="E1554" s="22" t="str">
        <f>IFERROR(__xludf.DUMMYFUNCTION("""COMPUTED_VALUE"""),"Carl
2929")</f>
        <v>Carl
2929</v>
      </c>
      <c r="F1554" s="22" t="str">
        <f>IFERROR(__xludf.DUMMYFUNCTION("""COMPUTED_VALUE"""),"Carlisle")</f>
        <v>Carlisle</v>
      </c>
      <c r="G1554" s="22" t="str">
        <f>IFERROR(__xludf.DUMMYFUNCTION("""COMPUTED_VALUE"""),"St.
Dallas,")</f>
        <v>St.
Dallas,</v>
      </c>
      <c r="H1554" s="22" t="str">
        <f>IFERROR(__xludf.DUMMYFUNCTION("""COMPUTED_VALUE"""),"TX")</f>
        <v>TX</v>
      </c>
      <c r="I1554" s="22">
        <f>IFERROR(__xludf.DUMMYFUNCTION("""COMPUTED_VALUE"""),75204.0)</f>
        <v>75204</v>
      </c>
      <c r="J1554" s="22"/>
      <c r="K1554" s="22"/>
      <c r="L1554" s="22"/>
      <c r="M1554" s="22"/>
      <c r="N1554" s="22"/>
      <c r="O1554" s="22"/>
      <c r="P1554" s="22"/>
      <c r="Q1554" s="22"/>
      <c r="R1554" s="22"/>
      <c r="S1554" s="22"/>
      <c r="T1554" s="22"/>
      <c r="U1554" s="24" t="str">
        <f>IFERROR(__xludf.DUMMYFUNCTION("SPLIT(E1554,""01234567890"")"),"Carl
")</f>
        <v>Carl
</v>
      </c>
      <c r="V1554" s="24" t="str">
        <f>IFERROR(__xludf.DUMMYFUNCTION("SPLIT(D1554,"","")"),"Anderson")</f>
        <v>Anderson</v>
      </c>
      <c r="W1554" s="25" t="str">
        <f t="shared" si="1"/>
        <v>CARL
 ANDERSON</v>
      </c>
      <c r="X1554" s="22"/>
      <c r="Y1554" s="22"/>
      <c r="Z1554" s="25" t="str">
        <f>IFERROR(__xludf.DUMMYFUNCTION("SPLIT(C1554,""
"")"),"Anderson, Carl")</f>
        <v>Anderson, Carl</v>
      </c>
      <c r="AA1554" s="22" t="str">
        <f>IFERROR(__xludf.DUMMYFUNCTION("""COMPUTED_VALUE"""),"2929 Carlisle St.")</f>
        <v>2929 Carlisle St.</v>
      </c>
      <c r="AB1554" s="22" t="str">
        <f>IFERROR(__xludf.DUMMYFUNCTION("""COMPUTED_VALUE"""),"Dallas, TX 75204")</f>
        <v>Dallas, TX 75204</v>
      </c>
      <c r="AC1554" s="31" t="s">
        <v>179</v>
      </c>
      <c r="AD1554" s="22"/>
      <c r="AE1554" s="22"/>
      <c r="AF1554" s="22"/>
      <c r="AG1554" s="22" t="s">
        <v>60</v>
      </c>
      <c r="AH1554" s="54">
        <v>2501.0</v>
      </c>
      <c r="AI1554" s="22" t="s">
        <v>68</v>
      </c>
      <c r="AJ1554" s="27">
        <v>1000.0</v>
      </c>
      <c r="AK1554" s="31" t="s">
        <v>21</v>
      </c>
      <c r="AL1554" s="28">
        <v>44926.0</v>
      </c>
      <c r="AM1554" s="29">
        <v>44943.63122685185</v>
      </c>
      <c r="AN1554" s="30">
        <v>2.0</v>
      </c>
      <c r="AO1554" s="22"/>
      <c r="AP1554" s="22"/>
      <c r="AQ1554" s="22"/>
      <c r="AR1554" s="22"/>
      <c r="AS1554" s="22"/>
      <c r="AT1554" s="70"/>
      <c r="AU1554" s="22"/>
      <c r="AV1554" s="57"/>
      <c r="AW1554" s="57"/>
      <c r="AX1554" s="70"/>
      <c r="AY1554" s="29"/>
      <c r="AZ1554" s="30"/>
      <c r="CU1554" s="55"/>
      <c r="CV1554" s="55"/>
      <c r="CW1554" s="55"/>
      <c r="CX1554" s="55"/>
      <c r="CY1554" s="55"/>
      <c r="CZ1554" s="55"/>
      <c r="DA1554" s="82"/>
      <c r="DB1554" s="55"/>
      <c r="DC1554" s="55"/>
      <c r="DD1554" s="55"/>
      <c r="DE1554" s="55"/>
      <c r="DF1554" s="55"/>
      <c r="DG1554" s="55"/>
      <c r="DH1554" s="55"/>
      <c r="DI1554" s="55"/>
      <c r="DJ1554" s="55"/>
      <c r="DK1554" s="55"/>
      <c r="DL1554" s="55"/>
      <c r="DM1554" s="55"/>
      <c r="DN1554" s="55"/>
      <c r="DO1554" s="55"/>
      <c r="DP1554" s="55"/>
      <c r="DQ1554" s="55"/>
      <c r="DR1554" s="55"/>
      <c r="DS1554" s="55"/>
      <c r="DT1554" s="55"/>
      <c r="DU1554" s="55"/>
      <c r="DV1554" s="55"/>
      <c r="DW1554" s="55"/>
    </row>
    <row r="1555">
      <c r="A1555" s="41" t="s">
        <v>64</v>
      </c>
      <c r="B1555" s="41" t="s">
        <v>56</v>
      </c>
      <c r="C1555" s="31" t="s">
        <v>3196</v>
      </c>
      <c r="D1555" s="25" t="str">
        <f>IFERROR(__xludf.DUMMYFUNCTION("SPLIT(C1555,"" "")"),"Schenkel,")</f>
        <v>Schenkel,</v>
      </c>
      <c r="E1555" s="40" t="str">
        <f>IFERROR(__xludf.DUMMYFUNCTION("""COMPUTED_VALUE"""),"Stephen
3610")</f>
        <v>Stephen
3610</v>
      </c>
      <c r="F1555" s="40" t="str">
        <f>IFERROR(__xludf.DUMMYFUNCTION("""COMPUTED_VALUE"""),"Turtle")</f>
        <v>Turtle</v>
      </c>
      <c r="G1555" s="40" t="str">
        <f>IFERROR(__xludf.DUMMYFUNCTION("""COMPUTED_VALUE"""),"Creek")</f>
        <v>Creek</v>
      </c>
      <c r="H1555" s="40" t="str">
        <f>IFERROR(__xludf.DUMMYFUNCTION("""COMPUTED_VALUE"""),"Blvd.
Dallas,")</f>
        <v>Blvd.
Dallas,</v>
      </c>
      <c r="I1555" s="40" t="str">
        <f>IFERROR(__xludf.DUMMYFUNCTION("""COMPUTED_VALUE"""),"TX")</f>
        <v>TX</v>
      </c>
      <c r="J1555" s="40">
        <f>IFERROR(__xludf.DUMMYFUNCTION("""COMPUTED_VALUE"""),75219.0)</f>
        <v>75219</v>
      </c>
      <c r="K1555" s="40"/>
      <c r="L1555" s="40"/>
      <c r="M1555" s="40"/>
      <c r="N1555" s="40"/>
      <c r="O1555" s="40"/>
      <c r="P1555" s="40"/>
      <c r="Q1555" s="40"/>
      <c r="R1555" s="40"/>
      <c r="S1555" s="40"/>
      <c r="T1555" s="40"/>
      <c r="U1555" s="24" t="str">
        <f>IFERROR(__xludf.DUMMYFUNCTION("SPLIT(E1555,""01234567890"")"),"Stephen
")</f>
        <v>Stephen
</v>
      </c>
      <c r="V1555" s="24" t="str">
        <f>IFERROR(__xludf.DUMMYFUNCTION("SPLIT(D1555,"","")"),"Schenkel")</f>
        <v>Schenkel</v>
      </c>
      <c r="W1555" s="25" t="str">
        <f t="shared" si="1"/>
        <v>STEPHEN
 SCHENKEL</v>
      </c>
      <c r="X1555" s="40"/>
      <c r="Y1555" s="40"/>
      <c r="Z1555" s="25" t="str">
        <f>IFERROR(__xludf.DUMMYFUNCTION("SPLIT(C1555,""
"")"),"Schenkel, Stephen")</f>
        <v>Schenkel, Stephen</v>
      </c>
      <c r="AA1555" s="40" t="str">
        <f>IFERROR(__xludf.DUMMYFUNCTION("""COMPUTED_VALUE"""),"3610 Turtle Creek Blvd.")</f>
        <v>3610 Turtle Creek Blvd.</v>
      </c>
      <c r="AB1555" s="40" t="str">
        <f>IFERROR(__xludf.DUMMYFUNCTION("""COMPUTED_VALUE"""),"Dallas, TX 75219")</f>
        <v>Dallas, TX 75219</v>
      </c>
      <c r="AC1555" s="31" t="s">
        <v>3197</v>
      </c>
      <c r="AD1555" s="40"/>
      <c r="AE1555" s="40"/>
      <c r="AF1555" s="40"/>
      <c r="AG1555" s="40" t="s">
        <v>60</v>
      </c>
      <c r="AH1555" s="42">
        <v>2501.0</v>
      </c>
      <c r="AI1555" s="40" t="s">
        <v>68</v>
      </c>
      <c r="AJ1555" s="27">
        <v>250.0</v>
      </c>
      <c r="AK1555" s="31" t="s">
        <v>21</v>
      </c>
      <c r="AL1555" s="43">
        <v>44926.0</v>
      </c>
      <c r="AM1555" s="44">
        <v>44943.63122685185</v>
      </c>
      <c r="AN1555" s="30">
        <v>2.0</v>
      </c>
      <c r="AO1555" s="40"/>
      <c r="AP1555" s="40"/>
      <c r="AQ1555" s="40"/>
      <c r="AR1555" s="40"/>
      <c r="AS1555" s="40"/>
      <c r="AT1555" s="47"/>
      <c r="AU1555" s="40"/>
      <c r="AV1555" s="46"/>
      <c r="AW1555" s="46"/>
      <c r="AX1555" s="47"/>
      <c r="AY1555" s="44"/>
      <c r="AZ1555" s="30"/>
      <c r="CU1555" s="55"/>
      <c r="CV1555" s="55"/>
      <c r="CW1555" s="55"/>
      <c r="CX1555" s="55"/>
      <c r="CY1555" s="55"/>
      <c r="CZ1555" s="55"/>
      <c r="DA1555" s="82"/>
      <c r="DB1555" s="55"/>
      <c r="DC1555" s="55"/>
      <c r="DD1555" s="55"/>
      <c r="DE1555" s="55"/>
      <c r="DF1555" s="55"/>
      <c r="DG1555" s="55"/>
      <c r="DH1555" s="55"/>
      <c r="DI1555" s="55"/>
      <c r="DJ1555" s="55"/>
      <c r="DK1555" s="55"/>
      <c r="DL1555" s="55"/>
      <c r="DM1555" s="55"/>
      <c r="DN1555" s="55"/>
      <c r="DO1555" s="55"/>
      <c r="DP1555" s="55"/>
      <c r="DQ1555" s="55"/>
      <c r="DR1555" s="55"/>
      <c r="DS1555" s="55"/>
      <c r="DT1555" s="55"/>
      <c r="DU1555" s="55"/>
      <c r="DV1555" s="55"/>
      <c r="DW1555" s="55"/>
    </row>
    <row r="1556">
      <c r="A1556" s="22" t="s">
        <v>55</v>
      </c>
      <c r="B1556" s="23" t="s">
        <v>56</v>
      </c>
      <c r="C1556" s="31" t="s">
        <v>3198</v>
      </c>
      <c r="D1556" s="25" t="str">
        <f>IFERROR(__xludf.DUMMYFUNCTION("SPLIT(C1556,"" "")"),"Lindegaard,")</f>
        <v>Lindegaard,</v>
      </c>
      <c r="E1556" s="22" t="str">
        <f>IFERROR(__xludf.DUMMYFUNCTION("""COMPUTED_VALUE"""),"Joanna
133")</f>
        <v>Joanna
133</v>
      </c>
      <c r="F1556" s="22" t="str">
        <f>IFERROR(__xludf.DUMMYFUNCTION("""COMPUTED_VALUE"""),"E")</f>
        <v>E</v>
      </c>
      <c r="G1556" s="22" t="str">
        <f>IFERROR(__xludf.DUMMYFUNCTION("""COMPUTED_VALUE"""),"De")</f>
        <v>De</v>
      </c>
      <c r="H1556" s="22" t="str">
        <f>IFERROR(__xludf.DUMMYFUNCTION("""COMPUTED_VALUE"""),"La")</f>
        <v>La</v>
      </c>
      <c r="I1556" s="22" t="str">
        <f>IFERROR(__xludf.DUMMYFUNCTION("""COMPUTED_VALUE"""),"Guerra")</f>
        <v>Guerra</v>
      </c>
      <c r="J1556" s="22" t="str">
        <f>IFERROR(__xludf.DUMMYFUNCTION("""COMPUTED_VALUE"""),"St
Santa")</f>
        <v>St
Santa</v>
      </c>
      <c r="K1556" s="22" t="str">
        <f>IFERROR(__xludf.DUMMYFUNCTION("""COMPUTED_VALUE"""),"Barbara,")</f>
        <v>Barbara,</v>
      </c>
      <c r="L1556" s="22" t="str">
        <f>IFERROR(__xludf.DUMMYFUNCTION("""COMPUTED_VALUE"""),"CA")</f>
        <v>CA</v>
      </c>
      <c r="M1556" s="22">
        <f>IFERROR(__xludf.DUMMYFUNCTION("""COMPUTED_VALUE"""),93101.0)</f>
        <v>93101</v>
      </c>
      <c r="N1556" s="22"/>
      <c r="O1556" s="22"/>
      <c r="P1556" s="22"/>
      <c r="Q1556" s="22"/>
      <c r="R1556" s="22"/>
      <c r="S1556" s="22"/>
      <c r="T1556" s="22"/>
      <c r="U1556" s="24" t="str">
        <f>IFERROR(__xludf.DUMMYFUNCTION("SPLIT(E1556,""01234567890"")"),"Joanna
")</f>
        <v>Joanna
</v>
      </c>
      <c r="V1556" s="24" t="str">
        <f>IFERROR(__xludf.DUMMYFUNCTION("SPLIT(D1556,"","")"),"Lindegaard")</f>
        <v>Lindegaard</v>
      </c>
      <c r="W1556" s="25" t="str">
        <f t="shared" si="1"/>
        <v>JOANNA
 LINDEGAARD</v>
      </c>
      <c r="X1556" s="22"/>
      <c r="Y1556" s="22"/>
      <c r="Z1556" s="25" t="str">
        <f>IFERROR(__xludf.DUMMYFUNCTION("SPLIT(C1556,""
"")"),"Lindegaard, Joanna")</f>
        <v>Lindegaard, Joanna</v>
      </c>
      <c r="AA1556" s="22" t="str">
        <f>IFERROR(__xludf.DUMMYFUNCTION("""COMPUTED_VALUE"""),"133 E De La Guerra St")</f>
        <v>133 E De La Guerra St</v>
      </c>
      <c r="AB1556" s="22" t="str">
        <f>IFERROR(__xludf.DUMMYFUNCTION("""COMPUTED_VALUE"""),"Santa Barbara, CA 93101")</f>
        <v>Santa Barbara, CA 93101</v>
      </c>
      <c r="AC1556" s="31" t="s">
        <v>3199</v>
      </c>
      <c r="AD1556" s="22"/>
      <c r="AE1556" s="22"/>
      <c r="AF1556" s="22"/>
      <c r="AG1556" s="22" t="s">
        <v>60</v>
      </c>
      <c r="AH1556" s="54">
        <v>2501.0</v>
      </c>
      <c r="AI1556" s="22" t="s">
        <v>68</v>
      </c>
      <c r="AJ1556" s="27">
        <v>4000.0</v>
      </c>
      <c r="AK1556" s="31" t="s">
        <v>21</v>
      </c>
      <c r="AL1556" s="28">
        <v>44926.0</v>
      </c>
      <c r="AM1556" s="29">
        <v>44943.63122685185</v>
      </c>
      <c r="AN1556" s="30">
        <v>2.0</v>
      </c>
      <c r="AO1556" s="22"/>
      <c r="AP1556" s="22"/>
      <c r="AQ1556" s="22"/>
      <c r="AR1556" s="22"/>
      <c r="AS1556" s="22"/>
      <c r="AT1556" s="70"/>
      <c r="AU1556" s="22"/>
      <c r="AV1556" s="57"/>
      <c r="AW1556" s="57"/>
      <c r="AX1556" s="70"/>
      <c r="AY1556" s="29"/>
      <c r="AZ1556" s="30"/>
      <c r="CU1556" s="55"/>
      <c r="CV1556" s="55"/>
      <c r="CW1556" s="55"/>
      <c r="CX1556" s="55"/>
      <c r="CY1556" s="55"/>
      <c r="CZ1556" s="55"/>
      <c r="DA1556" s="82"/>
      <c r="DB1556" s="55"/>
      <c r="DC1556" s="55"/>
      <c r="DD1556" s="55"/>
      <c r="DE1556" s="55"/>
      <c r="DF1556" s="55"/>
      <c r="DG1556" s="55"/>
      <c r="DH1556" s="55"/>
      <c r="DI1556" s="55"/>
      <c r="DJ1556" s="55"/>
      <c r="DK1556" s="55"/>
      <c r="DL1556" s="55"/>
      <c r="DM1556" s="55"/>
      <c r="DN1556" s="55"/>
      <c r="DO1556" s="55"/>
      <c r="DP1556" s="55"/>
      <c r="DQ1556" s="55"/>
      <c r="DR1556" s="55"/>
      <c r="DS1556" s="55"/>
      <c r="DT1556" s="55"/>
      <c r="DU1556" s="55"/>
      <c r="DV1556" s="55"/>
      <c r="DW1556" s="55"/>
    </row>
    <row r="1557">
      <c r="A1557" s="41" t="s">
        <v>64</v>
      </c>
      <c r="B1557" s="41" t="s">
        <v>56</v>
      </c>
      <c r="C1557" s="31" t="s">
        <v>3198</v>
      </c>
      <c r="D1557" s="25" t="str">
        <f>IFERROR(__xludf.DUMMYFUNCTION("SPLIT(C1557,"" "")"),"Lindegaard,")</f>
        <v>Lindegaard,</v>
      </c>
      <c r="E1557" s="40" t="str">
        <f>IFERROR(__xludf.DUMMYFUNCTION("""COMPUTED_VALUE"""),"Joanna
133")</f>
        <v>Joanna
133</v>
      </c>
      <c r="F1557" s="40" t="str">
        <f>IFERROR(__xludf.DUMMYFUNCTION("""COMPUTED_VALUE"""),"E")</f>
        <v>E</v>
      </c>
      <c r="G1557" s="40" t="str">
        <f>IFERROR(__xludf.DUMMYFUNCTION("""COMPUTED_VALUE"""),"De")</f>
        <v>De</v>
      </c>
      <c r="H1557" s="40" t="str">
        <f>IFERROR(__xludf.DUMMYFUNCTION("""COMPUTED_VALUE"""),"La")</f>
        <v>La</v>
      </c>
      <c r="I1557" s="40" t="str">
        <f>IFERROR(__xludf.DUMMYFUNCTION("""COMPUTED_VALUE"""),"Guerra")</f>
        <v>Guerra</v>
      </c>
      <c r="J1557" s="40" t="str">
        <f>IFERROR(__xludf.DUMMYFUNCTION("""COMPUTED_VALUE"""),"St
Santa")</f>
        <v>St
Santa</v>
      </c>
      <c r="K1557" s="40" t="str">
        <f>IFERROR(__xludf.DUMMYFUNCTION("""COMPUTED_VALUE"""),"Barbara,")</f>
        <v>Barbara,</v>
      </c>
      <c r="L1557" s="40" t="str">
        <f>IFERROR(__xludf.DUMMYFUNCTION("""COMPUTED_VALUE"""),"CA")</f>
        <v>CA</v>
      </c>
      <c r="M1557" s="40">
        <f>IFERROR(__xludf.DUMMYFUNCTION("""COMPUTED_VALUE"""),93101.0)</f>
        <v>93101</v>
      </c>
      <c r="N1557" s="40"/>
      <c r="O1557" s="40"/>
      <c r="P1557" s="40"/>
      <c r="Q1557" s="40"/>
      <c r="R1557" s="40"/>
      <c r="S1557" s="40"/>
      <c r="T1557" s="40"/>
      <c r="U1557" s="24" t="str">
        <f>IFERROR(__xludf.DUMMYFUNCTION("SPLIT(E1557,""01234567890"")"),"Joanna
")</f>
        <v>Joanna
</v>
      </c>
      <c r="V1557" s="24" t="str">
        <f>IFERROR(__xludf.DUMMYFUNCTION("SPLIT(D1557,"","")"),"Lindegaard")</f>
        <v>Lindegaard</v>
      </c>
      <c r="W1557" s="25" t="str">
        <f t="shared" si="1"/>
        <v>JOANNA
 LINDEGAARD</v>
      </c>
      <c r="X1557" s="40"/>
      <c r="Y1557" s="40"/>
      <c r="Z1557" s="25" t="str">
        <f>IFERROR(__xludf.DUMMYFUNCTION("SPLIT(C1557,""
"")"),"Lindegaard, Joanna")</f>
        <v>Lindegaard, Joanna</v>
      </c>
      <c r="AA1557" s="40" t="str">
        <f>IFERROR(__xludf.DUMMYFUNCTION("""COMPUTED_VALUE"""),"133 E De La Guerra St")</f>
        <v>133 E De La Guerra St</v>
      </c>
      <c r="AB1557" s="40" t="str">
        <f>IFERROR(__xludf.DUMMYFUNCTION("""COMPUTED_VALUE"""),"Santa Barbara, CA 93101")</f>
        <v>Santa Barbara, CA 93101</v>
      </c>
      <c r="AC1557" s="31" t="s">
        <v>3199</v>
      </c>
      <c r="AD1557" s="40"/>
      <c r="AE1557" s="40"/>
      <c r="AF1557" s="40"/>
      <c r="AG1557" s="40" t="s">
        <v>60</v>
      </c>
      <c r="AH1557" s="42">
        <v>2501.0</v>
      </c>
      <c r="AI1557" s="40" t="s">
        <v>68</v>
      </c>
      <c r="AJ1557" s="27">
        <v>1000.0</v>
      </c>
      <c r="AK1557" s="31" t="s">
        <v>21</v>
      </c>
      <c r="AL1557" s="43">
        <v>44926.0</v>
      </c>
      <c r="AM1557" s="44">
        <v>44943.63122685185</v>
      </c>
      <c r="AN1557" s="30">
        <v>2.0</v>
      </c>
      <c r="AO1557" s="40"/>
      <c r="AP1557" s="40"/>
      <c r="AQ1557" s="40"/>
      <c r="AR1557" s="40"/>
      <c r="AS1557" s="40"/>
      <c r="AT1557" s="47"/>
      <c r="AU1557" s="40"/>
      <c r="AV1557" s="46"/>
      <c r="AW1557" s="46"/>
      <c r="AX1557" s="47"/>
      <c r="AY1557" s="44"/>
      <c r="AZ1557" s="30"/>
      <c r="CU1557" s="55"/>
      <c r="CV1557" s="55"/>
      <c r="CW1557" s="55"/>
      <c r="CX1557" s="55"/>
      <c r="CY1557" s="55"/>
      <c r="CZ1557" s="55"/>
      <c r="DA1557" s="82"/>
      <c r="DB1557" s="55"/>
      <c r="DC1557" s="55"/>
      <c r="DD1557" s="55"/>
      <c r="DE1557" s="55"/>
      <c r="DF1557" s="55"/>
      <c r="DG1557" s="55"/>
      <c r="DH1557" s="55"/>
      <c r="DI1557" s="55"/>
      <c r="DJ1557" s="55"/>
      <c r="DK1557" s="55"/>
      <c r="DL1557" s="55"/>
      <c r="DM1557" s="55"/>
      <c r="DN1557" s="55"/>
      <c r="DO1557" s="55"/>
      <c r="DP1557" s="55"/>
      <c r="DQ1557" s="55"/>
      <c r="DR1557" s="55"/>
      <c r="DS1557" s="55"/>
      <c r="DT1557" s="55"/>
      <c r="DU1557" s="55"/>
      <c r="DV1557" s="55"/>
      <c r="DW1557" s="55"/>
    </row>
    <row r="1558">
      <c r="A1558" s="22" t="s">
        <v>55</v>
      </c>
      <c r="B1558" s="23" t="s">
        <v>56</v>
      </c>
      <c r="C1558" s="31" t="s">
        <v>1984</v>
      </c>
      <c r="D1558" s="25" t="str">
        <f>IFERROR(__xludf.DUMMYFUNCTION("SPLIT(C1558,"" "")"),"Schenkel,")</f>
        <v>Schenkel,</v>
      </c>
      <c r="E1558" s="22" t="str">
        <f>IFERROR(__xludf.DUMMYFUNCTION("""COMPUTED_VALUE"""),"Pete
614")</f>
        <v>Pete
614</v>
      </c>
      <c r="F1558" s="22" t="str">
        <f>IFERROR(__xludf.DUMMYFUNCTION("""COMPUTED_VALUE"""),"N")</f>
        <v>N</v>
      </c>
      <c r="G1558" s="22" t="str">
        <f>IFERROR(__xludf.DUMMYFUNCTION("""COMPUTED_VALUE"""),"Bishop
Dallas,")</f>
        <v>Bishop
Dallas,</v>
      </c>
      <c r="H1558" s="22" t="str">
        <f>IFERROR(__xludf.DUMMYFUNCTION("""COMPUTED_VALUE"""),"TX")</f>
        <v>TX</v>
      </c>
      <c r="I1558" s="22">
        <f>IFERROR(__xludf.DUMMYFUNCTION("""COMPUTED_VALUE"""),75208.0)</f>
        <v>75208</v>
      </c>
      <c r="J1558" s="22"/>
      <c r="K1558" s="22"/>
      <c r="L1558" s="22"/>
      <c r="M1558" s="22"/>
      <c r="N1558" s="22"/>
      <c r="O1558" s="22"/>
      <c r="P1558" s="22"/>
      <c r="Q1558" s="22"/>
      <c r="R1558" s="22"/>
      <c r="S1558" s="22"/>
      <c r="T1558" s="22"/>
      <c r="U1558" s="24" t="str">
        <f>IFERROR(__xludf.DUMMYFUNCTION("SPLIT(E1558,""01234567890"")"),"Pete
")</f>
        <v>Pete
</v>
      </c>
      <c r="V1558" s="24" t="str">
        <f>IFERROR(__xludf.DUMMYFUNCTION("SPLIT(D1558,"","")"),"Schenkel")</f>
        <v>Schenkel</v>
      </c>
      <c r="W1558" s="25" t="str">
        <f t="shared" si="1"/>
        <v>PETE
 SCHENKEL</v>
      </c>
      <c r="X1558" s="22"/>
      <c r="Y1558" s="22"/>
      <c r="Z1558" s="25" t="str">
        <f>IFERROR(__xludf.DUMMYFUNCTION("SPLIT(C1558,""
"")"),"Schenkel, Pete")</f>
        <v>Schenkel, Pete</v>
      </c>
      <c r="AA1558" s="22" t="str">
        <f>IFERROR(__xludf.DUMMYFUNCTION("""COMPUTED_VALUE"""),"614 N Bishop")</f>
        <v>614 N Bishop</v>
      </c>
      <c r="AB1558" s="22" t="str">
        <f>IFERROR(__xludf.DUMMYFUNCTION("""COMPUTED_VALUE"""),"Dallas, TX 75208")</f>
        <v>Dallas, TX 75208</v>
      </c>
      <c r="AC1558" s="31" t="s">
        <v>1309</v>
      </c>
      <c r="AD1558" s="22"/>
      <c r="AE1558" s="22"/>
      <c r="AF1558" s="22"/>
      <c r="AG1558" s="22" t="s">
        <v>60</v>
      </c>
      <c r="AH1558" s="54">
        <v>2501.0</v>
      </c>
      <c r="AI1558" s="22" t="s">
        <v>68</v>
      </c>
      <c r="AJ1558" s="27">
        <v>500.0</v>
      </c>
      <c r="AK1558" s="31" t="s">
        <v>21</v>
      </c>
      <c r="AL1558" s="28">
        <v>44926.0</v>
      </c>
      <c r="AM1558" s="29">
        <v>44943.63122685185</v>
      </c>
      <c r="AN1558" s="30">
        <v>2.0</v>
      </c>
      <c r="AO1558" s="22"/>
      <c r="AP1558" s="22"/>
      <c r="AQ1558" s="22"/>
      <c r="AR1558" s="22"/>
      <c r="AS1558" s="22"/>
      <c r="AT1558" s="70"/>
      <c r="AU1558" s="22"/>
      <c r="AV1558" s="57"/>
      <c r="AW1558" s="57"/>
      <c r="AX1558" s="70"/>
      <c r="AY1558" s="29"/>
      <c r="AZ1558" s="30"/>
      <c r="CU1558" s="55"/>
      <c r="CV1558" s="55"/>
      <c r="CW1558" s="55"/>
      <c r="CX1558" s="55"/>
      <c r="CY1558" s="55"/>
      <c r="CZ1558" s="55"/>
      <c r="DA1558" s="82"/>
      <c r="DB1558" s="55"/>
      <c r="DC1558" s="55"/>
      <c r="DD1558" s="55"/>
      <c r="DE1558" s="55"/>
      <c r="DF1558" s="55"/>
      <c r="DG1558" s="55"/>
      <c r="DH1558" s="55"/>
      <c r="DI1558" s="55"/>
      <c r="DJ1558" s="55"/>
      <c r="DK1558" s="55"/>
      <c r="DL1558" s="55"/>
      <c r="DM1558" s="55"/>
      <c r="DN1558" s="55"/>
      <c r="DO1558" s="55"/>
      <c r="DP1558" s="55"/>
      <c r="DQ1558" s="55"/>
      <c r="DR1558" s="55"/>
      <c r="DS1558" s="55"/>
      <c r="DT1558" s="55"/>
      <c r="DU1558" s="55"/>
      <c r="DV1558" s="55"/>
      <c r="DW1558" s="55"/>
    </row>
    <row r="1559">
      <c r="A1559" s="41" t="s">
        <v>64</v>
      </c>
      <c r="B1559" s="41" t="s">
        <v>56</v>
      </c>
      <c r="C1559" s="31" t="s">
        <v>3200</v>
      </c>
      <c r="D1559" s="25" t="str">
        <f>IFERROR(__xludf.DUMMYFUNCTION("SPLIT(C1559,"" "")"),"Pitts,")</f>
        <v>Pitts,</v>
      </c>
      <c r="E1559" s="40" t="str">
        <f>IFERROR(__xludf.DUMMYFUNCTION("""COMPUTED_VALUE"""),"Jim
3525")</f>
        <v>Jim
3525</v>
      </c>
      <c r="F1559" s="40" t="str">
        <f>IFERROR(__xludf.DUMMYFUNCTION("""COMPUTED_VALUE"""),"Turtle")</f>
        <v>Turtle</v>
      </c>
      <c r="G1559" s="40" t="str">
        <f>IFERROR(__xludf.DUMMYFUNCTION("""COMPUTED_VALUE"""),"Creek")</f>
        <v>Creek</v>
      </c>
      <c r="H1559" s="40" t="str">
        <f>IFERROR(__xludf.DUMMYFUNCTION("""COMPUTED_VALUE"""),"Blvd.
Dallas,")</f>
        <v>Blvd.
Dallas,</v>
      </c>
      <c r="I1559" s="40" t="str">
        <f>IFERROR(__xludf.DUMMYFUNCTION("""COMPUTED_VALUE"""),"TX")</f>
        <v>TX</v>
      </c>
      <c r="J1559" s="40">
        <f>IFERROR(__xludf.DUMMYFUNCTION("""COMPUTED_VALUE"""),75219.0)</f>
        <v>75219</v>
      </c>
      <c r="K1559" s="40"/>
      <c r="L1559" s="40"/>
      <c r="M1559" s="40"/>
      <c r="N1559" s="40"/>
      <c r="O1559" s="40"/>
      <c r="P1559" s="40"/>
      <c r="Q1559" s="40"/>
      <c r="R1559" s="40"/>
      <c r="S1559" s="40"/>
      <c r="T1559" s="40"/>
      <c r="U1559" s="24" t="str">
        <f>IFERROR(__xludf.DUMMYFUNCTION("SPLIT(E1559,""01234567890"")"),"Jim
")</f>
        <v>Jim
</v>
      </c>
      <c r="V1559" s="24" t="str">
        <f>IFERROR(__xludf.DUMMYFUNCTION("SPLIT(D1559,"","")"),"Pitts")</f>
        <v>Pitts</v>
      </c>
      <c r="W1559" s="25" t="str">
        <f t="shared" si="1"/>
        <v>JIM
 PITTS</v>
      </c>
      <c r="X1559" s="40"/>
      <c r="Y1559" s="40"/>
      <c r="Z1559" s="25" t="str">
        <f>IFERROR(__xludf.DUMMYFUNCTION("SPLIT(C1559,""
"")"),"Pitts, Jim")</f>
        <v>Pitts, Jim</v>
      </c>
      <c r="AA1559" s="40" t="str">
        <f>IFERROR(__xludf.DUMMYFUNCTION("""COMPUTED_VALUE"""),"3525 Turtle Creek Blvd.")</f>
        <v>3525 Turtle Creek Blvd.</v>
      </c>
      <c r="AB1559" s="40" t="str">
        <f>IFERROR(__xludf.DUMMYFUNCTION("""COMPUTED_VALUE"""),"Dallas, TX 75219")</f>
        <v>Dallas, TX 75219</v>
      </c>
      <c r="AC1559" s="31" t="s">
        <v>3201</v>
      </c>
      <c r="AD1559" s="40"/>
      <c r="AE1559" s="40"/>
      <c r="AF1559" s="40"/>
      <c r="AG1559" s="40" t="s">
        <v>60</v>
      </c>
      <c r="AH1559" s="42">
        <v>2501.0</v>
      </c>
      <c r="AI1559" s="40" t="s">
        <v>68</v>
      </c>
      <c r="AJ1559" s="27">
        <v>1000.0</v>
      </c>
      <c r="AK1559" s="31" t="s">
        <v>21</v>
      </c>
      <c r="AL1559" s="43">
        <v>44926.0</v>
      </c>
      <c r="AM1559" s="44">
        <v>44943.63122685185</v>
      </c>
      <c r="AN1559" s="30">
        <v>2.0</v>
      </c>
      <c r="AO1559" s="40"/>
      <c r="AP1559" s="40"/>
      <c r="AQ1559" s="40"/>
      <c r="AR1559" s="40"/>
      <c r="AS1559" s="40"/>
      <c r="AT1559" s="47"/>
      <c r="AU1559" s="40"/>
      <c r="AV1559" s="46"/>
      <c r="AW1559" s="46"/>
      <c r="AX1559" s="47"/>
      <c r="AY1559" s="44"/>
      <c r="AZ1559" s="30"/>
      <c r="CU1559" s="55"/>
      <c r="CV1559" s="55"/>
      <c r="CW1559" s="55"/>
      <c r="CX1559" s="55"/>
      <c r="CY1559" s="55"/>
      <c r="CZ1559" s="55"/>
      <c r="DA1559" s="82"/>
      <c r="DB1559" s="55"/>
      <c r="DC1559" s="55"/>
      <c r="DD1559" s="55"/>
      <c r="DE1559" s="55"/>
      <c r="DF1559" s="55"/>
      <c r="DG1559" s="55"/>
      <c r="DH1559" s="55"/>
      <c r="DI1559" s="55"/>
      <c r="DJ1559" s="55"/>
      <c r="DK1559" s="55"/>
      <c r="DL1559" s="55"/>
      <c r="DM1559" s="55"/>
      <c r="DN1559" s="55"/>
      <c r="DO1559" s="55"/>
      <c r="DP1559" s="55"/>
      <c r="DQ1559" s="55"/>
      <c r="DR1559" s="55"/>
      <c r="DS1559" s="55"/>
      <c r="DT1559" s="55"/>
      <c r="DU1559" s="55"/>
      <c r="DV1559" s="55"/>
      <c r="DW1559" s="55"/>
    </row>
    <row r="1560">
      <c r="A1560" s="22" t="s">
        <v>55</v>
      </c>
      <c r="B1560" s="23" t="s">
        <v>56</v>
      </c>
      <c r="C1560" s="31" t="s">
        <v>3202</v>
      </c>
      <c r="D1560" s="25" t="str">
        <f>IFERROR(__xludf.DUMMYFUNCTION("SPLIT(C1560,"" "")"),"SWA")</f>
        <v>SWA</v>
      </c>
      <c r="E1560" s="22" t="str">
        <f>IFERROR(__xludf.DUMMYFUNCTION("""COMPUTED_VALUE"""),"Freedom")</f>
        <v>Freedom</v>
      </c>
      <c r="F1560" s="22" t="str">
        <f>IFERROR(__xludf.DUMMYFUNCTION("""COMPUTED_VALUE"""),"Fund")</f>
        <v>Fund</v>
      </c>
      <c r="G1560" s="22" t="str">
        <f>IFERROR(__xludf.DUMMYFUNCTION("""COMPUTED_VALUE"""),"PAC
PO")</f>
        <v>PAC
PO</v>
      </c>
      <c r="H1560" s="22" t="str">
        <f>IFERROR(__xludf.DUMMYFUNCTION("""COMPUTED_VALUE"""),"Box")</f>
        <v>Box</v>
      </c>
      <c r="I1560" s="22" t="str">
        <f>IFERROR(__xludf.DUMMYFUNCTION("""COMPUTED_VALUE"""),"36611
Dallas,")</f>
        <v>36611
Dallas,</v>
      </c>
      <c r="J1560" s="22" t="str">
        <f>IFERROR(__xludf.DUMMYFUNCTION("""COMPUTED_VALUE"""),"TX")</f>
        <v>TX</v>
      </c>
      <c r="K1560" s="22">
        <f>IFERROR(__xludf.DUMMYFUNCTION("""COMPUTED_VALUE"""),75235.0)</f>
        <v>75235</v>
      </c>
      <c r="L1560" s="22"/>
      <c r="M1560" s="22"/>
      <c r="N1560" s="22"/>
      <c r="O1560" s="22"/>
      <c r="P1560" s="22"/>
      <c r="Q1560" s="22"/>
      <c r="R1560" s="22"/>
      <c r="S1560" s="22"/>
      <c r="T1560" s="22"/>
      <c r="U1560" s="24" t="str">
        <f>IFERROR(__xludf.DUMMYFUNCTION("SPLIT(E1560,""01234567890"")"),"Freedom")</f>
        <v>Freedom</v>
      </c>
      <c r="V1560" s="24" t="str">
        <f>IFERROR(__xludf.DUMMYFUNCTION("SPLIT(D1560,"","")"),"SWA")</f>
        <v>SWA</v>
      </c>
      <c r="W1560" s="25" t="str">
        <f t="shared" si="1"/>
        <v>FREEDOM SWA</v>
      </c>
      <c r="X1560" s="22"/>
      <c r="Y1560" s="22"/>
      <c r="Z1560" s="25" t="str">
        <f>IFERROR(__xludf.DUMMYFUNCTION("SPLIT(C1560,""
"")"),"SWA Freedom Fund PAC")</f>
        <v>SWA Freedom Fund PAC</v>
      </c>
      <c r="AA1560" s="22" t="str">
        <f>IFERROR(__xludf.DUMMYFUNCTION("""COMPUTED_VALUE"""),"PO Box 36611")</f>
        <v>PO Box 36611</v>
      </c>
      <c r="AB1560" s="22" t="str">
        <f>IFERROR(__xludf.DUMMYFUNCTION("""COMPUTED_VALUE"""),"Dallas, TX 75235")</f>
        <v>Dallas, TX 75235</v>
      </c>
      <c r="AC1560" s="31" t="s">
        <v>3203</v>
      </c>
      <c r="AD1560" s="22"/>
      <c r="AE1560" s="22"/>
      <c r="AF1560" s="22"/>
      <c r="AG1560" s="22" t="s">
        <v>60</v>
      </c>
      <c r="AH1560" s="54">
        <v>2501.0</v>
      </c>
      <c r="AI1560" s="22" t="s">
        <v>68</v>
      </c>
      <c r="AJ1560" s="27">
        <v>1500.0</v>
      </c>
      <c r="AK1560" s="31" t="s">
        <v>21</v>
      </c>
      <c r="AL1560" s="28">
        <v>44795.0</v>
      </c>
      <c r="AM1560" s="29">
        <v>44943.63122685185</v>
      </c>
      <c r="AN1560" s="30">
        <v>2.0</v>
      </c>
      <c r="AO1560" s="22"/>
      <c r="AP1560" s="22"/>
      <c r="AQ1560" s="22"/>
      <c r="AR1560" s="22"/>
      <c r="AS1560" s="22"/>
      <c r="AT1560" s="70"/>
      <c r="AU1560" s="22"/>
      <c r="AV1560" s="57"/>
      <c r="AW1560" s="57"/>
      <c r="AX1560" s="70"/>
      <c r="AY1560" s="29"/>
      <c r="AZ1560" s="30"/>
      <c r="CU1560" s="55"/>
      <c r="CV1560" s="55"/>
      <c r="CW1560" s="55"/>
      <c r="CX1560" s="55"/>
      <c r="CY1560" s="55"/>
      <c r="CZ1560" s="55"/>
      <c r="DA1560" s="82"/>
      <c r="DB1560" s="55"/>
      <c r="DC1560" s="55"/>
      <c r="DD1560" s="55"/>
      <c r="DE1560" s="55"/>
      <c r="DF1560" s="55"/>
      <c r="DG1560" s="55"/>
      <c r="DH1560" s="55"/>
      <c r="DI1560" s="55"/>
      <c r="DJ1560" s="55"/>
      <c r="DK1560" s="55"/>
      <c r="DL1560" s="55"/>
      <c r="DM1560" s="55"/>
      <c r="DN1560" s="55"/>
      <c r="DO1560" s="55"/>
      <c r="DP1560" s="55"/>
      <c r="DQ1560" s="55"/>
      <c r="DR1560" s="55"/>
      <c r="DS1560" s="55"/>
      <c r="DT1560" s="55"/>
      <c r="DU1560" s="55"/>
      <c r="DV1560" s="55"/>
      <c r="DW1560" s="55"/>
    </row>
    <row r="1561">
      <c r="A1561" s="41" t="s">
        <v>64</v>
      </c>
      <c r="B1561" s="41" t="s">
        <v>56</v>
      </c>
      <c r="C1561" s="31" t="s">
        <v>2198</v>
      </c>
      <c r="D1561" s="25" t="str">
        <f>IFERROR(__xludf.DUMMYFUNCTION("SPLIT(C1561,"" "")"),"Johnson,")</f>
        <v>Johnson,</v>
      </c>
      <c r="E1561" s="40" t="str">
        <f>IFERROR(__xludf.DUMMYFUNCTION("""COMPUTED_VALUE"""),"Willis
1700")</f>
        <v>Willis
1700</v>
      </c>
      <c r="F1561" s="40" t="str">
        <f>IFERROR(__xludf.DUMMYFUNCTION("""COMPUTED_VALUE"""),"Pacific")</f>
        <v>Pacific</v>
      </c>
      <c r="G1561" s="40" t="str">
        <f>IFERROR(__xludf.DUMMYFUNCTION("""COMPUTED_VALUE"""),"Ave
Dallas,")</f>
        <v>Ave
Dallas,</v>
      </c>
      <c r="H1561" s="40" t="str">
        <f>IFERROR(__xludf.DUMMYFUNCTION("""COMPUTED_VALUE"""),"TX")</f>
        <v>TX</v>
      </c>
      <c r="I1561" s="40">
        <f>IFERROR(__xludf.DUMMYFUNCTION("""COMPUTED_VALUE"""),75201.0)</f>
        <v>75201</v>
      </c>
      <c r="J1561" s="40"/>
      <c r="K1561" s="40"/>
      <c r="L1561" s="40"/>
      <c r="M1561" s="40"/>
      <c r="N1561" s="40"/>
      <c r="O1561" s="40"/>
      <c r="P1561" s="40"/>
      <c r="Q1561" s="40"/>
      <c r="R1561" s="40"/>
      <c r="S1561" s="40"/>
      <c r="T1561" s="40"/>
      <c r="U1561" s="24" t="str">
        <f>IFERROR(__xludf.DUMMYFUNCTION("SPLIT(E1561,""01234567890"")"),"Willis
")</f>
        <v>Willis
</v>
      </c>
      <c r="V1561" s="24" t="str">
        <f>IFERROR(__xludf.DUMMYFUNCTION("SPLIT(D1561,"","")"),"Johnson")</f>
        <v>Johnson</v>
      </c>
      <c r="W1561" s="25" t="str">
        <f t="shared" si="1"/>
        <v>WILLIS
 JOHNSON</v>
      </c>
      <c r="X1561" s="40"/>
      <c r="Y1561" s="40"/>
      <c r="Z1561" s="25" t="str">
        <f>IFERROR(__xludf.DUMMYFUNCTION("SPLIT(C1561,""
"")"),"Johnson, Willis")</f>
        <v>Johnson, Willis</v>
      </c>
      <c r="AA1561" s="40" t="str">
        <f>IFERROR(__xludf.DUMMYFUNCTION("""COMPUTED_VALUE"""),"1700 Pacific Ave")</f>
        <v>1700 Pacific Ave</v>
      </c>
      <c r="AB1561" s="40" t="str">
        <f>IFERROR(__xludf.DUMMYFUNCTION("""COMPUTED_VALUE"""),"Dallas, TX 75201")</f>
        <v>Dallas, TX 75201</v>
      </c>
      <c r="AC1561" s="31" t="s">
        <v>1476</v>
      </c>
      <c r="AD1561" s="40"/>
      <c r="AE1561" s="40"/>
      <c r="AF1561" s="40"/>
      <c r="AG1561" s="40" t="s">
        <v>60</v>
      </c>
      <c r="AH1561" s="42">
        <v>2515.0</v>
      </c>
      <c r="AI1561" s="40" t="s">
        <v>68</v>
      </c>
      <c r="AJ1561" s="27">
        <v>500.0</v>
      </c>
      <c r="AK1561" s="31" t="s">
        <v>27</v>
      </c>
      <c r="AL1561" s="43">
        <v>44875.0</v>
      </c>
      <c r="AM1561" s="44">
        <v>44943.69443287037</v>
      </c>
      <c r="AN1561" s="30">
        <v>2.0</v>
      </c>
      <c r="AO1561" s="40"/>
      <c r="AP1561" s="40"/>
      <c r="AQ1561" s="40"/>
      <c r="AR1561" s="40"/>
      <c r="AS1561" s="40"/>
      <c r="AT1561" s="47"/>
      <c r="AU1561" s="40"/>
      <c r="AV1561" s="46"/>
      <c r="AW1561" s="46"/>
      <c r="AX1561" s="47"/>
      <c r="AY1561" s="44"/>
      <c r="AZ1561" s="30"/>
      <c r="CU1561" s="55"/>
      <c r="CV1561" s="55"/>
      <c r="CW1561" s="55"/>
      <c r="CX1561" s="55"/>
      <c r="CY1561" s="55"/>
      <c r="CZ1561" s="55"/>
      <c r="DA1561" s="82"/>
      <c r="DB1561" s="55"/>
      <c r="DC1561" s="55"/>
      <c r="DD1561" s="55"/>
      <c r="DE1561" s="55"/>
      <c r="DF1561" s="55"/>
      <c r="DG1561" s="55"/>
      <c r="DH1561" s="55"/>
      <c r="DI1561" s="55"/>
      <c r="DJ1561" s="55"/>
      <c r="DK1561" s="55"/>
      <c r="DL1561" s="55"/>
      <c r="DM1561" s="55"/>
      <c r="DN1561" s="55"/>
      <c r="DO1561" s="55"/>
      <c r="DP1561" s="55"/>
      <c r="DQ1561" s="55"/>
      <c r="DR1561" s="55"/>
      <c r="DS1561" s="55"/>
      <c r="DT1561" s="55"/>
      <c r="DU1561" s="55"/>
      <c r="DV1561" s="55"/>
      <c r="DW1561" s="55"/>
    </row>
    <row r="1562">
      <c r="A1562" s="22" t="s">
        <v>55</v>
      </c>
      <c r="B1562" s="23" t="s">
        <v>56</v>
      </c>
      <c r="C1562" s="31" t="s">
        <v>2235</v>
      </c>
      <c r="D1562" s="25" t="str">
        <f>IFERROR(__xludf.DUMMYFUNCTION("SPLIT(C1562,"" "")"),"Tran,")</f>
        <v>Tran,</v>
      </c>
      <c r="E1562" s="22" t="str">
        <f>IFERROR(__xludf.DUMMYFUNCTION("""COMPUTED_VALUE"""),"Jimmy
5024")</f>
        <v>Jimmy
5024</v>
      </c>
      <c r="F1562" s="22" t="str">
        <f>IFERROR(__xludf.DUMMYFUNCTION("""COMPUTED_VALUE"""),"Denton")</f>
        <v>Denton</v>
      </c>
      <c r="G1562" s="22" t="str">
        <f>IFERROR(__xludf.DUMMYFUNCTION("""COMPUTED_VALUE"""),"Dr
Dallas,")</f>
        <v>Dr
Dallas,</v>
      </c>
      <c r="H1562" s="22" t="str">
        <f>IFERROR(__xludf.DUMMYFUNCTION("""COMPUTED_VALUE"""),"TX")</f>
        <v>TX</v>
      </c>
      <c r="I1562" s="22">
        <f>IFERROR(__xludf.DUMMYFUNCTION("""COMPUTED_VALUE"""),75235.0)</f>
        <v>75235</v>
      </c>
      <c r="J1562" s="22"/>
      <c r="K1562" s="22"/>
      <c r="L1562" s="22"/>
      <c r="M1562" s="22"/>
      <c r="N1562" s="22"/>
      <c r="O1562" s="22"/>
      <c r="P1562" s="22"/>
      <c r="Q1562" s="22"/>
      <c r="R1562" s="22"/>
      <c r="S1562" s="22"/>
      <c r="T1562" s="22"/>
      <c r="U1562" s="24" t="str">
        <f>IFERROR(__xludf.DUMMYFUNCTION("SPLIT(E1562,""01234567890"")"),"Jimmy
")</f>
        <v>Jimmy
</v>
      </c>
      <c r="V1562" s="24" t="str">
        <f>IFERROR(__xludf.DUMMYFUNCTION("SPLIT(D1562,"","")"),"Tran")</f>
        <v>Tran</v>
      </c>
      <c r="W1562" s="25" t="str">
        <f t="shared" si="1"/>
        <v>JIMMY
 TRAN</v>
      </c>
      <c r="X1562" s="22"/>
      <c r="Y1562" s="22"/>
      <c r="Z1562" s="25" t="str">
        <f>IFERROR(__xludf.DUMMYFUNCTION("SPLIT(C1562,""
"")"),"Tran, Jimmy")</f>
        <v>Tran, Jimmy</v>
      </c>
      <c r="AA1562" s="22" t="str">
        <f>IFERROR(__xludf.DUMMYFUNCTION("""COMPUTED_VALUE"""),"5024 Denton Dr")</f>
        <v>5024 Denton Dr</v>
      </c>
      <c r="AB1562" s="22" t="str">
        <f>IFERROR(__xludf.DUMMYFUNCTION("""COMPUTED_VALUE"""),"Dallas, TX 75235")</f>
        <v>Dallas, TX 75235</v>
      </c>
      <c r="AC1562" s="31" t="s">
        <v>2236</v>
      </c>
      <c r="AD1562" s="22"/>
      <c r="AE1562" s="22"/>
      <c r="AF1562" s="22"/>
      <c r="AG1562" s="22" t="s">
        <v>60</v>
      </c>
      <c r="AH1562" s="54">
        <v>2515.0</v>
      </c>
      <c r="AI1562" s="22" t="s">
        <v>68</v>
      </c>
      <c r="AJ1562" s="27">
        <v>50.0</v>
      </c>
      <c r="AK1562" s="31" t="s">
        <v>27</v>
      </c>
      <c r="AL1562" s="28">
        <v>44879.0</v>
      </c>
      <c r="AM1562" s="29">
        <v>44943.69443287037</v>
      </c>
      <c r="AN1562" s="30">
        <v>2.0</v>
      </c>
      <c r="AO1562" s="22"/>
      <c r="AP1562" s="22"/>
      <c r="AQ1562" s="22"/>
      <c r="AR1562" s="22"/>
      <c r="AS1562" s="22"/>
      <c r="AT1562" s="70"/>
      <c r="AU1562" s="22"/>
      <c r="AV1562" s="57"/>
      <c r="AW1562" s="57"/>
      <c r="AX1562" s="70"/>
      <c r="AY1562" s="29"/>
      <c r="AZ1562" s="30"/>
      <c r="CU1562" s="55"/>
      <c r="CV1562" s="55"/>
      <c r="CW1562" s="55"/>
      <c r="CX1562" s="55"/>
      <c r="CY1562" s="55"/>
      <c r="CZ1562" s="55"/>
      <c r="DA1562" s="82"/>
      <c r="DB1562" s="55"/>
      <c r="DC1562" s="55"/>
      <c r="DD1562" s="55"/>
      <c r="DE1562" s="55"/>
      <c r="DF1562" s="55"/>
      <c r="DG1562" s="55"/>
      <c r="DH1562" s="55"/>
      <c r="DI1562" s="55"/>
      <c r="DJ1562" s="55"/>
      <c r="DK1562" s="55"/>
      <c r="DL1562" s="55"/>
      <c r="DM1562" s="55"/>
      <c r="DN1562" s="55"/>
      <c r="DO1562" s="55"/>
      <c r="DP1562" s="55"/>
      <c r="DQ1562" s="55"/>
      <c r="DR1562" s="55"/>
      <c r="DS1562" s="55"/>
      <c r="DT1562" s="55"/>
      <c r="DU1562" s="55"/>
      <c r="DV1562" s="55"/>
      <c r="DW1562" s="55"/>
    </row>
    <row r="1563">
      <c r="A1563" s="41" t="s">
        <v>64</v>
      </c>
      <c r="B1563" s="41" t="s">
        <v>56</v>
      </c>
      <c r="C1563" s="31" t="s">
        <v>3204</v>
      </c>
      <c r="D1563" s="25" t="str">
        <f>IFERROR(__xludf.DUMMYFUNCTION("SPLIT(C1563,"" "")"),"Bufford,")</f>
        <v>Bufford,</v>
      </c>
      <c r="E1563" s="40" t="str">
        <f>IFERROR(__xludf.DUMMYFUNCTION("""COMPUTED_VALUE"""),"Quontinetta
2500")</f>
        <v>Quontinetta
2500</v>
      </c>
      <c r="F1563" s="40" t="str">
        <f>IFERROR(__xludf.DUMMYFUNCTION("""COMPUTED_VALUE"""),"N.")</f>
        <v>N.</v>
      </c>
      <c r="G1563" s="40" t="str">
        <f>IFERROR(__xludf.DUMMYFUNCTION("""COMPUTED_VALUE"""),"Houston")</f>
        <v>Houston</v>
      </c>
      <c r="H1563" s="40" t="str">
        <f>IFERROR(__xludf.DUMMYFUNCTION("""COMPUTED_VALUE"""),"Street
Dallas,")</f>
        <v>Street
Dallas,</v>
      </c>
      <c r="I1563" s="40" t="str">
        <f>IFERROR(__xludf.DUMMYFUNCTION("""COMPUTED_VALUE"""),"TX")</f>
        <v>TX</v>
      </c>
      <c r="J1563" s="40">
        <f>IFERROR(__xludf.DUMMYFUNCTION("""COMPUTED_VALUE"""),75219.0)</f>
        <v>75219</v>
      </c>
      <c r="K1563" s="40"/>
      <c r="L1563" s="40"/>
      <c r="M1563" s="40"/>
      <c r="N1563" s="40"/>
      <c r="O1563" s="40"/>
      <c r="P1563" s="40"/>
      <c r="Q1563" s="40"/>
      <c r="R1563" s="40"/>
      <c r="S1563" s="40"/>
      <c r="T1563" s="40"/>
      <c r="U1563" s="24" t="str">
        <f>IFERROR(__xludf.DUMMYFUNCTION("SPLIT(E1563,""01234567890"")"),"Quontinetta
")</f>
        <v>Quontinetta
</v>
      </c>
      <c r="V1563" s="24" t="str">
        <f>IFERROR(__xludf.DUMMYFUNCTION("SPLIT(D1563,"","")"),"Bufford")</f>
        <v>Bufford</v>
      </c>
      <c r="W1563" s="25" t="str">
        <f t="shared" si="1"/>
        <v>QUONTINETTA
 BUFFORD</v>
      </c>
      <c r="X1563" s="40"/>
      <c r="Y1563" s="40"/>
      <c r="Z1563" s="25" t="str">
        <f>IFERROR(__xludf.DUMMYFUNCTION("SPLIT(C1563,""
"")"),"Bufford, Quontinetta")</f>
        <v>Bufford, Quontinetta</v>
      </c>
      <c r="AA1563" s="40" t="str">
        <f>IFERROR(__xludf.DUMMYFUNCTION("""COMPUTED_VALUE"""),"2500 N. Houston Street")</f>
        <v>2500 N. Houston Street</v>
      </c>
      <c r="AB1563" s="40" t="str">
        <f>IFERROR(__xludf.DUMMYFUNCTION("""COMPUTED_VALUE"""),"Dallas, TX 75219")</f>
        <v>Dallas, TX 75219</v>
      </c>
      <c r="AC1563" s="31" t="s">
        <v>3205</v>
      </c>
      <c r="AD1563" s="40"/>
      <c r="AE1563" s="40"/>
      <c r="AF1563" s="40"/>
      <c r="AG1563" s="40" t="s">
        <v>60</v>
      </c>
      <c r="AH1563" s="42">
        <v>2515.0</v>
      </c>
      <c r="AI1563" s="40" t="s">
        <v>68</v>
      </c>
      <c r="AJ1563" s="27">
        <v>100.0</v>
      </c>
      <c r="AK1563" s="31" t="s">
        <v>27</v>
      </c>
      <c r="AL1563" s="43">
        <v>44879.0</v>
      </c>
      <c r="AM1563" s="44">
        <v>44943.69443287037</v>
      </c>
      <c r="AN1563" s="30">
        <v>2.0</v>
      </c>
      <c r="AO1563" s="40"/>
      <c r="AP1563" s="40"/>
      <c r="AQ1563" s="40"/>
      <c r="AR1563" s="40"/>
      <c r="AS1563" s="40"/>
      <c r="AT1563" s="47"/>
      <c r="AU1563" s="40"/>
      <c r="AV1563" s="46"/>
      <c r="AW1563" s="46"/>
      <c r="AX1563" s="47"/>
      <c r="AY1563" s="44"/>
      <c r="AZ1563" s="30"/>
      <c r="CU1563" s="55"/>
      <c r="CV1563" s="55"/>
      <c r="CW1563" s="55"/>
      <c r="CX1563" s="55"/>
      <c r="CY1563" s="55"/>
      <c r="CZ1563" s="55"/>
      <c r="DA1563" s="82"/>
      <c r="DB1563" s="55"/>
      <c r="DC1563" s="55"/>
      <c r="DD1563" s="55"/>
      <c r="DE1563" s="55"/>
      <c r="DF1563" s="55"/>
      <c r="DG1563" s="55"/>
      <c r="DH1563" s="55"/>
      <c r="DI1563" s="55"/>
      <c r="DJ1563" s="55"/>
      <c r="DK1563" s="55"/>
      <c r="DL1563" s="55"/>
      <c r="DM1563" s="55"/>
      <c r="DN1563" s="55"/>
      <c r="DO1563" s="55"/>
      <c r="DP1563" s="55"/>
      <c r="DQ1563" s="55"/>
      <c r="DR1563" s="55"/>
      <c r="DS1563" s="55"/>
      <c r="DT1563" s="55"/>
      <c r="DU1563" s="55"/>
      <c r="DV1563" s="55"/>
      <c r="DW1563" s="55"/>
    </row>
    <row r="1564">
      <c r="A1564" s="22" t="s">
        <v>55</v>
      </c>
      <c r="B1564" s="23" t="s">
        <v>56</v>
      </c>
      <c r="C1564" s="31" t="s">
        <v>3206</v>
      </c>
      <c r="D1564" s="25" t="str">
        <f>IFERROR(__xludf.DUMMYFUNCTION("SPLIT(C1564,"" "")"),"Lill,")</f>
        <v>Lill,</v>
      </c>
      <c r="E1564" s="22" t="str">
        <f>IFERROR(__xludf.DUMMYFUNCTION("""COMPUTED_VALUE"""),"Veletta
622")</f>
        <v>Veletta
622</v>
      </c>
      <c r="F1564" s="22" t="str">
        <f>IFERROR(__xludf.DUMMYFUNCTION("""COMPUTED_VALUE"""),"Blair")</f>
        <v>Blair</v>
      </c>
      <c r="G1564" s="22" t="str">
        <f>IFERROR(__xludf.DUMMYFUNCTION("""COMPUTED_VALUE"""),"Blvd
Dallas,")</f>
        <v>Blvd
Dallas,</v>
      </c>
      <c r="H1564" s="22" t="str">
        <f>IFERROR(__xludf.DUMMYFUNCTION("""COMPUTED_VALUE"""),"TX")</f>
        <v>TX</v>
      </c>
      <c r="I1564" s="22">
        <f>IFERROR(__xludf.DUMMYFUNCTION("""COMPUTED_VALUE"""),75223.0)</f>
        <v>75223</v>
      </c>
      <c r="J1564" s="22"/>
      <c r="K1564" s="22"/>
      <c r="L1564" s="22"/>
      <c r="M1564" s="22"/>
      <c r="N1564" s="22"/>
      <c r="O1564" s="22"/>
      <c r="P1564" s="22"/>
      <c r="Q1564" s="22"/>
      <c r="R1564" s="22"/>
      <c r="S1564" s="22"/>
      <c r="T1564" s="22"/>
      <c r="U1564" s="24" t="str">
        <f>IFERROR(__xludf.DUMMYFUNCTION("SPLIT(E1564,""01234567890"")"),"Veletta
")</f>
        <v>Veletta
</v>
      </c>
      <c r="V1564" s="24" t="str">
        <f>IFERROR(__xludf.DUMMYFUNCTION("SPLIT(D1564,"","")"),"Lill")</f>
        <v>Lill</v>
      </c>
      <c r="W1564" s="25" t="str">
        <f t="shared" si="1"/>
        <v>VELETTA
 LILL</v>
      </c>
      <c r="X1564" s="22"/>
      <c r="Y1564" s="22"/>
      <c r="Z1564" s="25" t="str">
        <f>IFERROR(__xludf.DUMMYFUNCTION("SPLIT(C1564,""
"")"),"Lill, Veletta")</f>
        <v>Lill, Veletta</v>
      </c>
      <c r="AA1564" s="22" t="str">
        <f>IFERROR(__xludf.DUMMYFUNCTION("""COMPUTED_VALUE"""),"622 Blair Blvd")</f>
        <v>622 Blair Blvd</v>
      </c>
      <c r="AB1564" s="22" t="str">
        <f>IFERROR(__xludf.DUMMYFUNCTION("""COMPUTED_VALUE"""),"Dallas, TX 75223")</f>
        <v>Dallas, TX 75223</v>
      </c>
      <c r="AC1564" s="31" t="s">
        <v>3207</v>
      </c>
      <c r="AD1564" s="22"/>
      <c r="AE1564" s="22"/>
      <c r="AF1564" s="22"/>
      <c r="AG1564" s="22" t="s">
        <v>60</v>
      </c>
      <c r="AH1564" s="54">
        <v>2515.0</v>
      </c>
      <c r="AI1564" s="22" t="s">
        <v>68</v>
      </c>
      <c r="AJ1564" s="27">
        <v>200.0</v>
      </c>
      <c r="AK1564" s="31" t="s">
        <v>27</v>
      </c>
      <c r="AL1564" s="28">
        <v>44881.0</v>
      </c>
      <c r="AM1564" s="29">
        <v>44943.69443287037</v>
      </c>
      <c r="AN1564" s="30">
        <v>2.0</v>
      </c>
      <c r="AO1564" s="22"/>
      <c r="AP1564" s="22"/>
      <c r="AQ1564" s="22"/>
      <c r="AR1564" s="22"/>
      <c r="AS1564" s="22"/>
      <c r="AT1564" s="70"/>
      <c r="AU1564" s="22"/>
      <c r="AV1564" s="57"/>
      <c r="AW1564" s="57"/>
      <c r="AX1564" s="70"/>
      <c r="AY1564" s="29"/>
      <c r="AZ1564" s="30"/>
      <c r="CU1564" s="55"/>
      <c r="CV1564" s="55"/>
      <c r="CW1564" s="55"/>
      <c r="CX1564" s="55"/>
      <c r="CY1564" s="55"/>
      <c r="CZ1564" s="55"/>
      <c r="DA1564" s="82"/>
      <c r="DB1564" s="55"/>
      <c r="DC1564" s="55"/>
      <c r="DD1564" s="55"/>
      <c r="DE1564" s="55"/>
      <c r="DF1564" s="55"/>
      <c r="DG1564" s="55"/>
      <c r="DH1564" s="55"/>
      <c r="DI1564" s="55"/>
      <c r="DJ1564" s="55"/>
      <c r="DK1564" s="55"/>
      <c r="DL1564" s="55"/>
      <c r="DM1564" s="55"/>
      <c r="DN1564" s="55"/>
      <c r="DO1564" s="55"/>
      <c r="DP1564" s="55"/>
      <c r="DQ1564" s="55"/>
      <c r="DR1564" s="55"/>
      <c r="DS1564" s="55"/>
      <c r="DT1564" s="55"/>
      <c r="DU1564" s="55"/>
      <c r="DV1564" s="55"/>
      <c r="DW1564" s="55"/>
    </row>
    <row r="1565">
      <c r="A1565" s="41" t="s">
        <v>64</v>
      </c>
      <c r="B1565" s="41" t="s">
        <v>56</v>
      </c>
      <c r="C1565" s="31" t="s">
        <v>3208</v>
      </c>
      <c r="D1565" s="25" t="str">
        <f>IFERROR(__xludf.DUMMYFUNCTION("SPLIT(C1565,"" "")"),"Boone,")</f>
        <v>Boone,</v>
      </c>
      <c r="E1565" s="40" t="str">
        <f>IFERROR(__xludf.DUMMYFUNCTION("""COMPUTED_VALUE"""),"Garrett
2417")</f>
        <v>Garrett
2417</v>
      </c>
      <c r="F1565" s="40" t="str">
        <f>IFERROR(__xludf.DUMMYFUNCTION("""COMPUTED_VALUE"""),"Loving")</f>
        <v>Loving</v>
      </c>
      <c r="G1565" s="40" t="str">
        <f>IFERROR(__xludf.DUMMYFUNCTION("""COMPUTED_VALUE"""),"Ave
Dallas,")</f>
        <v>Ave
Dallas,</v>
      </c>
      <c r="H1565" s="40" t="str">
        <f>IFERROR(__xludf.DUMMYFUNCTION("""COMPUTED_VALUE"""),"TX")</f>
        <v>TX</v>
      </c>
      <c r="I1565" s="40">
        <f>IFERROR(__xludf.DUMMYFUNCTION("""COMPUTED_VALUE"""),75214.0)</f>
        <v>75214</v>
      </c>
      <c r="J1565" s="40"/>
      <c r="K1565" s="40"/>
      <c r="L1565" s="40"/>
      <c r="M1565" s="40"/>
      <c r="N1565" s="40"/>
      <c r="O1565" s="40"/>
      <c r="P1565" s="40"/>
      <c r="Q1565" s="40"/>
      <c r="R1565" s="40"/>
      <c r="S1565" s="40"/>
      <c r="T1565" s="40"/>
      <c r="U1565" s="24" t="str">
        <f>IFERROR(__xludf.DUMMYFUNCTION("SPLIT(E1565,""01234567890"")"),"Garrett
")</f>
        <v>Garrett
</v>
      </c>
      <c r="V1565" s="24" t="str">
        <f>IFERROR(__xludf.DUMMYFUNCTION("SPLIT(D1565,"","")"),"Boone")</f>
        <v>Boone</v>
      </c>
      <c r="W1565" s="25" t="str">
        <f t="shared" si="1"/>
        <v>GARRETT
 BOONE</v>
      </c>
      <c r="X1565" s="40"/>
      <c r="Y1565" s="40"/>
      <c r="Z1565" s="25" t="str">
        <f>IFERROR(__xludf.DUMMYFUNCTION("SPLIT(C1565,""
"")"),"Boone, Garrett")</f>
        <v>Boone, Garrett</v>
      </c>
      <c r="AA1565" s="40" t="str">
        <f>IFERROR(__xludf.DUMMYFUNCTION("""COMPUTED_VALUE"""),"2417 Loving Ave")</f>
        <v>2417 Loving Ave</v>
      </c>
      <c r="AB1565" s="40" t="str">
        <f>IFERROR(__xludf.DUMMYFUNCTION("""COMPUTED_VALUE"""),"Dallas, TX 75214")</f>
        <v>Dallas, TX 75214</v>
      </c>
      <c r="AC1565" s="31" t="s">
        <v>2710</v>
      </c>
      <c r="AD1565" s="40"/>
      <c r="AE1565" s="40"/>
      <c r="AF1565" s="40"/>
      <c r="AG1565" s="40" t="s">
        <v>60</v>
      </c>
      <c r="AH1565" s="42">
        <v>2515.0</v>
      </c>
      <c r="AI1565" s="40" t="s">
        <v>68</v>
      </c>
      <c r="AJ1565" s="27">
        <v>1000.0</v>
      </c>
      <c r="AK1565" s="31" t="s">
        <v>27</v>
      </c>
      <c r="AL1565" s="43">
        <v>44889.0</v>
      </c>
      <c r="AM1565" s="44">
        <v>44943.69443287037</v>
      </c>
      <c r="AN1565" s="30">
        <v>2.0</v>
      </c>
      <c r="AO1565" s="40"/>
      <c r="AP1565" s="40"/>
      <c r="AQ1565" s="40"/>
      <c r="AR1565" s="40"/>
      <c r="AS1565" s="40"/>
      <c r="AT1565" s="47"/>
      <c r="AU1565" s="40"/>
      <c r="AV1565" s="46"/>
      <c r="AW1565" s="46"/>
      <c r="AX1565" s="47"/>
      <c r="AY1565" s="44"/>
      <c r="AZ1565" s="30"/>
      <c r="CU1565" s="55"/>
      <c r="CV1565" s="55"/>
      <c r="CW1565" s="55"/>
      <c r="CX1565" s="55"/>
      <c r="CY1565" s="55"/>
      <c r="CZ1565" s="55"/>
      <c r="DA1565" s="82"/>
      <c r="DB1565" s="55"/>
      <c r="DC1565" s="55"/>
      <c r="DD1565" s="55"/>
      <c r="DE1565" s="55"/>
      <c r="DF1565" s="55"/>
      <c r="DG1565" s="55"/>
      <c r="DH1565" s="55"/>
      <c r="DI1565" s="55"/>
      <c r="DJ1565" s="55"/>
      <c r="DK1565" s="55"/>
      <c r="DL1565" s="55"/>
      <c r="DM1565" s="55"/>
      <c r="DN1565" s="55"/>
      <c r="DO1565" s="55"/>
      <c r="DP1565" s="55"/>
      <c r="DQ1565" s="55"/>
      <c r="DR1565" s="55"/>
      <c r="DS1565" s="55"/>
      <c r="DT1565" s="55"/>
      <c r="DU1565" s="55"/>
      <c r="DV1565" s="55"/>
      <c r="DW1565" s="55"/>
    </row>
    <row r="1566">
      <c r="A1566" s="22" t="s">
        <v>55</v>
      </c>
      <c r="B1566" s="23" t="s">
        <v>56</v>
      </c>
      <c r="C1566" s="31" t="s">
        <v>3209</v>
      </c>
      <c r="D1566" s="25" t="str">
        <f>IFERROR(__xludf.DUMMYFUNCTION("SPLIT(C1566,"" "")"),"Reichert,")</f>
        <v>Reichert,</v>
      </c>
      <c r="E1566" s="22" t="str">
        <f>IFERROR(__xludf.DUMMYFUNCTION("""COMPUTED_VALUE"""),"Veronica
3924")</f>
        <v>Veronica
3924</v>
      </c>
      <c r="F1566" s="22" t="str">
        <f>IFERROR(__xludf.DUMMYFUNCTION("""COMPUTED_VALUE"""),"Kimballdale")</f>
        <v>Kimballdale</v>
      </c>
      <c r="G1566" s="22" t="str">
        <f>IFERROR(__xludf.DUMMYFUNCTION("""COMPUTED_VALUE"""),"Drive
Dallas,")</f>
        <v>Drive
Dallas,</v>
      </c>
      <c r="H1566" s="22" t="str">
        <f>IFERROR(__xludf.DUMMYFUNCTION("""COMPUTED_VALUE"""),"TX")</f>
        <v>TX</v>
      </c>
      <c r="I1566" s="22">
        <f>IFERROR(__xludf.DUMMYFUNCTION("""COMPUTED_VALUE"""),75233.0)</f>
        <v>75233</v>
      </c>
      <c r="J1566" s="22"/>
      <c r="K1566" s="22"/>
      <c r="L1566" s="22"/>
      <c r="M1566" s="22"/>
      <c r="N1566" s="22"/>
      <c r="O1566" s="22"/>
      <c r="P1566" s="22"/>
      <c r="Q1566" s="22"/>
      <c r="R1566" s="22"/>
      <c r="S1566" s="22"/>
      <c r="T1566" s="22"/>
      <c r="U1566" s="24" t="str">
        <f>IFERROR(__xludf.DUMMYFUNCTION("SPLIT(E1566,""01234567890"")"),"Veronica
")</f>
        <v>Veronica
</v>
      </c>
      <c r="V1566" s="24" t="str">
        <f>IFERROR(__xludf.DUMMYFUNCTION("SPLIT(D1566,"","")"),"Reichert")</f>
        <v>Reichert</v>
      </c>
      <c r="W1566" s="25" t="str">
        <f t="shared" si="1"/>
        <v>VERONICA
 REICHERT</v>
      </c>
      <c r="X1566" s="22"/>
      <c r="Y1566" s="22"/>
      <c r="Z1566" s="25" t="str">
        <f>IFERROR(__xludf.DUMMYFUNCTION("SPLIT(C1566,""
"")"),"Reichert, Veronica")</f>
        <v>Reichert, Veronica</v>
      </c>
      <c r="AA1566" s="22" t="str">
        <f>IFERROR(__xludf.DUMMYFUNCTION("""COMPUTED_VALUE"""),"3924 Kimballdale Drive")</f>
        <v>3924 Kimballdale Drive</v>
      </c>
      <c r="AB1566" s="22" t="str">
        <f>IFERROR(__xludf.DUMMYFUNCTION("""COMPUTED_VALUE"""),"Dallas, TX 75233")</f>
        <v>Dallas, TX 75233</v>
      </c>
      <c r="AC1566" s="31" t="s">
        <v>3210</v>
      </c>
      <c r="AD1566" s="22"/>
      <c r="AE1566" s="22"/>
      <c r="AF1566" s="22"/>
      <c r="AG1566" s="22" t="s">
        <v>60</v>
      </c>
      <c r="AH1566" s="54">
        <v>2515.0</v>
      </c>
      <c r="AI1566" s="22" t="s">
        <v>68</v>
      </c>
      <c r="AJ1566" s="27">
        <v>100.0</v>
      </c>
      <c r="AK1566" s="31" t="s">
        <v>27</v>
      </c>
      <c r="AL1566" s="28">
        <v>44895.0</v>
      </c>
      <c r="AM1566" s="29">
        <v>44943.69443287037</v>
      </c>
      <c r="AN1566" s="30">
        <v>2.0</v>
      </c>
      <c r="AO1566" s="22"/>
      <c r="AP1566" s="22"/>
      <c r="AQ1566" s="22"/>
      <c r="AR1566" s="22"/>
      <c r="AS1566" s="22"/>
      <c r="AT1566" s="70"/>
      <c r="AU1566" s="22"/>
      <c r="AV1566" s="57"/>
      <c r="AW1566" s="57"/>
      <c r="AX1566" s="70"/>
      <c r="AY1566" s="29"/>
      <c r="AZ1566" s="30"/>
      <c r="CU1566" s="55"/>
      <c r="CV1566" s="55"/>
      <c r="CW1566" s="55"/>
      <c r="CX1566" s="55"/>
      <c r="CY1566" s="55"/>
      <c r="CZ1566" s="55"/>
      <c r="DA1566" s="82"/>
      <c r="DB1566" s="55"/>
      <c r="DC1566" s="55"/>
      <c r="DD1566" s="55"/>
      <c r="DE1566" s="55"/>
      <c r="DF1566" s="55"/>
      <c r="DG1566" s="55"/>
      <c r="DH1566" s="55"/>
      <c r="DI1566" s="55"/>
      <c r="DJ1566" s="55"/>
      <c r="DK1566" s="55"/>
      <c r="DL1566" s="55"/>
      <c r="DM1566" s="55"/>
      <c r="DN1566" s="55"/>
      <c r="DO1566" s="55"/>
      <c r="DP1566" s="55"/>
      <c r="DQ1566" s="55"/>
      <c r="DR1566" s="55"/>
      <c r="DS1566" s="55"/>
      <c r="DT1566" s="55"/>
      <c r="DU1566" s="55"/>
      <c r="DV1566" s="55"/>
      <c r="DW1566" s="55"/>
    </row>
    <row r="1567">
      <c r="A1567" s="41" t="s">
        <v>64</v>
      </c>
      <c r="B1567" s="41" t="s">
        <v>56</v>
      </c>
      <c r="C1567" s="31" t="s">
        <v>3211</v>
      </c>
      <c r="D1567" s="25" t="str">
        <f>IFERROR(__xludf.DUMMYFUNCTION("SPLIT(C1567,"" "")"),"Brown,")</f>
        <v>Brown,</v>
      </c>
      <c r="E1567" s="40" t="str">
        <f>IFERROR(__xludf.DUMMYFUNCTION("""COMPUTED_VALUE"""),"Susanna
4175")</f>
        <v>Susanna
4175</v>
      </c>
      <c r="F1567" s="40" t="str">
        <f>IFERROR(__xludf.DUMMYFUNCTION("""COMPUTED_VALUE"""),"Wilada")</f>
        <v>Wilada</v>
      </c>
      <c r="G1567" s="40" t="str">
        <f>IFERROR(__xludf.DUMMYFUNCTION("""COMPUTED_VALUE"""),"Drive
Dallas,")</f>
        <v>Drive
Dallas,</v>
      </c>
      <c r="H1567" s="40" t="str">
        <f>IFERROR(__xludf.DUMMYFUNCTION("""COMPUTED_VALUE"""),"TX")</f>
        <v>TX</v>
      </c>
      <c r="I1567" s="40">
        <f>IFERROR(__xludf.DUMMYFUNCTION("""COMPUTED_VALUE"""),75220.0)</f>
        <v>75220</v>
      </c>
      <c r="J1567" s="40"/>
      <c r="K1567" s="40"/>
      <c r="L1567" s="40"/>
      <c r="M1567" s="40"/>
      <c r="N1567" s="40"/>
      <c r="O1567" s="40"/>
      <c r="P1567" s="40"/>
      <c r="Q1567" s="40"/>
      <c r="R1567" s="40"/>
      <c r="S1567" s="40"/>
      <c r="T1567" s="40"/>
      <c r="U1567" s="24" t="str">
        <f>IFERROR(__xludf.DUMMYFUNCTION("SPLIT(E1567,""01234567890"")"),"Susanna
")</f>
        <v>Susanna
</v>
      </c>
      <c r="V1567" s="24" t="str">
        <f>IFERROR(__xludf.DUMMYFUNCTION("SPLIT(D1567,"","")"),"Brown")</f>
        <v>Brown</v>
      </c>
      <c r="W1567" s="25" t="str">
        <f t="shared" si="1"/>
        <v>SUSANNA
 BROWN</v>
      </c>
      <c r="X1567" s="40"/>
      <c r="Y1567" s="40"/>
      <c r="Z1567" s="25" t="str">
        <f>IFERROR(__xludf.DUMMYFUNCTION("SPLIT(C1567,""
"")"),"Brown, Susanna")</f>
        <v>Brown, Susanna</v>
      </c>
      <c r="AA1567" s="40" t="str">
        <f>IFERROR(__xludf.DUMMYFUNCTION("""COMPUTED_VALUE"""),"4175 Wilada Drive")</f>
        <v>4175 Wilada Drive</v>
      </c>
      <c r="AB1567" s="40" t="str">
        <f>IFERROR(__xludf.DUMMYFUNCTION("""COMPUTED_VALUE"""),"Dallas, TX 75220")</f>
        <v>Dallas, TX 75220</v>
      </c>
      <c r="AC1567" s="31" t="s">
        <v>3212</v>
      </c>
      <c r="AD1567" s="40"/>
      <c r="AE1567" s="40"/>
      <c r="AF1567" s="40"/>
      <c r="AG1567" s="40" t="s">
        <v>60</v>
      </c>
      <c r="AH1567" s="42">
        <v>2515.0</v>
      </c>
      <c r="AI1567" s="40" t="s">
        <v>68</v>
      </c>
      <c r="AJ1567" s="27">
        <v>100.0</v>
      </c>
      <c r="AK1567" s="31" t="s">
        <v>27</v>
      </c>
      <c r="AL1567" s="43">
        <v>44896.0</v>
      </c>
      <c r="AM1567" s="44">
        <v>44943.69443287037</v>
      </c>
      <c r="AN1567" s="30">
        <v>2.0</v>
      </c>
      <c r="AO1567" s="40"/>
      <c r="AP1567" s="40"/>
      <c r="AQ1567" s="40"/>
      <c r="AR1567" s="40"/>
      <c r="AS1567" s="40"/>
      <c r="AT1567" s="47"/>
      <c r="AU1567" s="40"/>
      <c r="AV1567" s="46"/>
      <c r="AW1567" s="46"/>
      <c r="AX1567" s="47"/>
      <c r="AY1567" s="44"/>
      <c r="AZ1567" s="30"/>
      <c r="CU1567" s="55"/>
      <c r="CV1567" s="55"/>
      <c r="CW1567" s="55"/>
      <c r="CX1567" s="55"/>
      <c r="CY1567" s="55"/>
      <c r="CZ1567" s="55"/>
      <c r="DA1567" s="82"/>
      <c r="DB1567" s="55"/>
      <c r="DC1567" s="55"/>
      <c r="DD1567" s="55"/>
      <c r="DE1567" s="55"/>
      <c r="DF1567" s="55"/>
      <c r="DG1567" s="55"/>
      <c r="DH1567" s="55"/>
      <c r="DI1567" s="55"/>
      <c r="DJ1567" s="55"/>
      <c r="DK1567" s="55"/>
      <c r="DL1567" s="55"/>
      <c r="DM1567" s="55"/>
      <c r="DN1567" s="55"/>
      <c r="DO1567" s="55"/>
      <c r="DP1567" s="55"/>
      <c r="DQ1567" s="55"/>
      <c r="DR1567" s="55"/>
      <c r="DS1567" s="55"/>
      <c r="DT1567" s="55"/>
      <c r="DU1567" s="55"/>
      <c r="DV1567" s="55"/>
      <c r="DW1567" s="55"/>
    </row>
    <row r="1568">
      <c r="A1568" s="22" t="s">
        <v>55</v>
      </c>
      <c r="B1568" s="23" t="s">
        <v>56</v>
      </c>
      <c r="C1568" s="31" t="s">
        <v>3213</v>
      </c>
      <c r="D1568" s="25" t="str">
        <f>IFERROR(__xludf.DUMMYFUNCTION("SPLIT(C1568,"" "")"),"Santa-Maria,")</f>
        <v>Santa-Maria,</v>
      </c>
      <c r="E1568" s="22" t="str">
        <f>IFERROR(__xludf.DUMMYFUNCTION("""COMPUTED_VALUE"""),"Arrthur
785")</f>
        <v>Arrthur
785</v>
      </c>
      <c r="F1568" s="22" t="str">
        <f>IFERROR(__xludf.DUMMYFUNCTION("""COMPUTED_VALUE"""),"Huntingdon")</f>
        <v>Huntingdon</v>
      </c>
      <c r="G1568" s="22" t="str">
        <f>IFERROR(__xludf.DUMMYFUNCTION("""COMPUTED_VALUE"""),"St
Coppell,")</f>
        <v>St
Coppell,</v>
      </c>
      <c r="H1568" s="22" t="str">
        <f>IFERROR(__xludf.DUMMYFUNCTION("""COMPUTED_VALUE"""),"TX")</f>
        <v>TX</v>
      </c>
      <c r="I1568" s="22">
        <f>IFERROR(__xludf.DUMMYFUNCTION("""COMPUTED_VALUE"""),75019.0)</f>
        <v>75019</v>
      </c>
      <c r="J1568" s="22"/>
      <c r="K1568" s="22"/>
      <c r="L1568" s="22"/>
      <c r="M1568" s="22"/>
      <c r="N1568" s="22"/>
      <c r="O1568" s="22"/>
      <c r="P1568" s="22"/>
      <c r="Q1568" s="22"/>
      <c r="R1568" s="22"/>
      <c r="S1568" s="22"/>
      <c r="T1568" s="22"/>
      <c r="U1568" s="24" t="str">
        <f>IFERROR(__xludf.DUMMYFUNCTION("SPLIT(E1568,""01234567890"")"),"Arrthur
")</f>
        <v>Arrthur
</v>
      </c>
      <c r="V1568" s="24" t="str">
        <f>IFERROR(__xludf.DUMMYFUNCTION("SPLIT(D1568,"","")"),"Santa-Maria")</f>
        <v>Santa-Maria</v>
      </c>
      <c r="W1568" s="25" t="str">
        <f t="shared" si="1"/>
        <v>ARRTHUR
 SANTA-MARIA</v>
      </c>
      <c r="X1568" s="22"/>
      <c r="Y1568" s="22"/>
      <c r="Z1568" s="25" t="str">
        <f>IFERROR(__xludf.DUMMYFUNCTION("SPLIT(C1568,""
"")"),"Santa-Maria, Arrthur")</f>
        <v>Santa-Maria, Arrthur</v>
      </c>
      <c r="AA1568" s="22" t="str">
        <f>IFERROR(__xludf.DUMMYFUNCTION("""COMPUTED_VALUE"""),"785 Huntingdon St")</f>
        <v>785 Huntingdon St</v>
      </c>
      <c r="AB1568" s="22" t="str">
        <f>IFERROR(__xludf.DUMMYFUNCTION("""COMPUTED_VALUE"""),"Coppell, TX 75019")</f>
        <v>Coppell, TX 75019</v>
      </c>
      <c r="AC1568" s="31" t="s">
        <v>3214</v>
      </c>
      <c r="AD1568" s="22"/>
      <c r="AE1568" s="22"/>
      <c r="AF1568" s="22"/>
      <c r="AG1568" s="22" t="s">
        <v>60</v>
      </c>
      <c r="AH1568" s="54">
        <v>2515.0</v>
      </c>
      <c r="AI1568" s="22" t="s">
        <v>68</v>
      </c>
      <c r="AJ1568" s="27">
        <v>1000.0</v>
      </c>
      <c r="AK1568" s="31" t="s">
        <v>27</v>
      </c>
      <c r="AL1568" s="28">
        <v>44907.0</v>
      </c>
      <c r="AM1568" s="29">
        <v>44943.69443287037</v>
      </c>
      <c r="AN1568" s="30">
        <v>2.0</v>
      </c>
      <c r="AO1568" s="22"/>
      <c r="AP1568" s="22"/>
      <c r="AQ1568" s="22"/>
      <c r="AR1568" s="22"/>
      <c r="AS1568" s="22"/>
      <c r="AT1568" s="70"/>
      <c r="AU1568" s="22"/>
      <c r="AV1568" s="57"/>
      <c r="AW1568" s="57"/>
      <c r="AX1568" s="70"/>
      <c r="AY1568" s="29"/>
      <c r="AZ1568" s="30"/>
      <c r="CU1568" s="55"/>
      <c r="CV1568" s="55"/>
      <c r="CW1568" s="55"/>
      <c r="CX1568" s="55"/>
      <c r="CY1568" s="55"/>
      <c r="CZ1568" s="55"/>
      <c r="DA1568" s="82"/>
      <c r="DB1568" s="55"/>
      <c r="DC1568" s="55"/>
      <c r="DD1568" s="55"/>
      <c r="DE1568" s="55"/>
      <c r="DF1568" s="55"/>
      <c r="DG1568" s="55"/>
      <c r="DH1568" s="55"/>
      <c r="DI1568" s="55"/>
      <c r="DJ1568" s="55"/>
      <c r="DK1568" s="55"/>
      <c r="DL1568" s="55"/>
      <c r="DM1568" s="55"/>
      <c r="DN1568" s="55"/>
      <c r="DO1568" s="55"/>
      <c r="DP1568" s="55"/>
      <c r="DQ1568" s="55"/>
      <c r="DR1568" s="55"/>
      <c r="DS1568" s="55"/>
      <c r="DT1568" s="55"/>
      <c r="DU1568" s="55"/>
      <c r="DV1568" s="55"/>
      <c r="DW1568" s="55"/>
    </row>
    <row r="1569">
      <c r="A1569" s="41" t="s">
        <v>64</v>
      </c>
      <c r="B1569" s="41" t="s">
        <v>56</v>
      </c>
      <c r="C1569" s="31" t="s">
        <v>3215</v>
      </c>
      <c r="D1569" s="25" t="str">
        <f>IFERROR(__xludf.DUMMYFUNCTION("SPLIT(C1569,"" "")"),"Rodriguez,")</f>
        <v>Rodriguez,</v>
      </c>
      <c r="E1569" s="40" t="str">
        <f>IFERROR(__xludf.DUMMYFUNCTION("""COMPUTED_VALUE"""),"Minerva
1036")</f>
        <v>Minerva
1036</v>
      </c>
      <c r="F1569" s="40" t="str">
        <f>IFERROR(__xludf.DUMMYFUNCTION("""COMPUTED_VALUE"""),"Opal")</f>
        <v>Opal</v>
      </c>
      <c r="G1569" s="40" t="str">
        <f>IFERROR(__xludf.DUMMYFUNCTION("""COMPUTED_VALUE"""),"Drive
Despot,")</f>
        <v>Drive
Despot,</v>
      </c>
      <c r="H1569" s="40" t="str">
        <f>IFERROR(__xludf.DUMMYFUNCTION("""COMPUTED_VALUE"""),"TX")</f>
        <v>TX</v>
      </c>
      <c r="I1569" s="40">
        <f>IFERROR(__xludf.DUMMYFUNCTION("""COMPUTED_VALUE"""),75115.0)</f>
        <v>75115</v>
      </c>
      <c r="J1569" s="40"/>
      <c r="K1569" s="40"/>
      <c r="L1569" s="40"/>
      <c r="M1569" s="40"/>
      <c r="N1569" s="40"/>
      <c r="O1569" s="40"/>
      <c r="P1569" s="40"/>
      <c r="Q1569" s="40"/>
      <c r="R1569" s="40"/>
      <c r="S1569" s="40"/>
      <c r="T1569" s="40"/>
      <c r="U1569" s="24" t="str">
        <f>IFERROR(__xludf.DUMMYFUNCTION("SPLIT(E1569,""01234567890"")"),"Minerva
")</f>
        <v>Minerva
</v>
      </c>
      <c r="V1569" s="24" t="str">
        <f>IFERROR(__xludf.DUMMYFUNCTION("SPLIT(D1569,"","")"),"Rodriguez")</f>
        <v>Rodriguez</v>
      </c>
      <c r="W1569" s="25" t="str">
        <f t="shared" si="1"/>
        <v>MINERVA
 RODRIGUEZ</v>
      </c>
      <c r="X1569" s="40"/>
      <c r="Y1569" s="40"/>
      <c r="Z1569" s="25" t="str">
        <f>IFERROR(__xludf.DUMMYFUNCTION("SPLIT(C1569,""
"")"),"Rodriguez, Minerva")</f>
        <v>Rodriguez, Minerva</v>
      </c>
      <c r="AA1569" s="40" t="str">
        <f>IFERROR(__xludf.DUMMYFUNCTION("""COMPUTED_VALUE"""),"1036 Opal Drive")</f>
        <v>1036 Opal Drive</v>
      </c>
      <c r="AB1569" s="40" t="str">
        <f>IFERROR(__xludf.DUMMYFUNCTION("""COMPUTED_VALUE"""),"Despot, TX 75115")</f>
        <v>Despot, TX 75115</v>
      </c>
      <c r="AC1569" s="31" t="s">
        <v>2745</v>
      </c>
      <c r="AD1569" s="40"/>
      <c r="AE1569" s="40"/>
      <c r="AF1569" s="40"/>
      <c r="AG1569" s="40" t="s">
        <v>60</v>
      </c>
      <c r="AH1569" s="42">
        <v>2515.0</v>
      </c>
      <c r="AI1569" s="40" t="s">
        <v>68</v>
      </c>
      <c r="AJ1569" s="27">
        <v>1000.0</v>
      </c>
      <c r="AK1569" s="31" t="s">
        <v>27</v>
      </c>
      <c r="AL1569" s="43">
        <v>44909.0</v>
      </c>
      <c r="AM1569" s="44">
        <v>44943.69443287037</v>
      </c>
      <c r="AN1569" s="30">
        <v>2.0</v>
      </c>
      <c r="AO1569" s="40"/>
      <c r="AP1569" s="40"/>
      <c r="AQ1569" s="40"/>
      <c r="AR1569" s="40"/>
      <c r="AS1569" s="40"/>
      <c r="AT1569" s="47"/>
      <c r="AU1569" s="40"/>
      <c r="AV1569" s="46"/>
      <c r="AW1569" s="46"/>
      <c r="AX1569" s="47"/>
      <c r="AY1569" s="44"/>
      <c r="AZ1569" s="30"/>
      <c r="CU1569" s="55"/>
      <c r="CV1569" s="55"/>
      <c r="CW1569" s="55"/>
      <c r="CX1569" s="55"/>
      <c r="CY1569" s="55"/>
      <c r="CZ1569" s="55"/>
      <c r="DA1569" s="82"/>
      <c r="DB1569" s="55"/>
      <c r="DC1569" s="55"/>
      <c r="DD1569" s="55"/>
      <c r="DE1569" s="55"/>
      <c r="DF1569" s="55"/>
      <c r="DG1569" s="55"/>
      <c r="DH1569" s="55"/>
      <c r="DI1569" s="55"/>
      <c r="DJ1569" s="55"/>
      <c r="DK1569" s="55"/>
      <c r="DL1569" s="55"/>
      <c r="DM1569" s="55"/>
      <c r="DN1569" s="55"/>
      <c r="DO1569" s="55"/>
      <c r="DP1569" s="55"/>
      <c r="DQ1569" s="55"/>
      <c r="DR1569" s="55"/>
      <c r="DS1569" s="55"/>
      <c r="DT1569" s="55"/>
      <c r="DU1569" s="55"/>
      <c r="DV1569" s="55"/>
      <c r="DW1569" s="55"/>
    </row>
    <row r="1570">
      <c r="A1570" s="22" t="s">
        <v>55</v>
      </c>
      <c r="B1570" s="23" t="s">
        <v>56</v>
      </c>
      <c r="C1570" s="31" t="s">
        <v>3216</v>
      </c>
      <c r="D1570" s="25" t="str">
        <f>IFERROR(__xludf.DUMMYFUNCTION("SPLIT(C1570,"" "")"),"Walker,")</f>
        <v>Walker,</v>
      </c>
      <c r="E1570" s="22" t="str">
        <f>IFERROR(__xludf.DUMMYFUNCTION("""COMPUTED_VALUE"""),"Melody
127")</f>
        <v>Melody
127</v>
      </c>
      <c r="F1570" s="22" t="str">
        <f>IFERROR(__xludf.DUMMYFUNCTION("""COMPUTED_VALUE"""),"Oakwood")</f>
        <v>Oakwood</v>
      </c>
      <c r="G1570" s="22" t="str">
        <f>IFERROR(__xludf.DUMMYFUNCTION("""COMPUTED_VALUE"""),"Lane
Hickory")</f>
        <v>Lane
Hickory</v>
      </c>
      <c r="H1570" s="22" t="str">
        <f>IFERROR(__xludf.DUMMYFUNCTION("""COMPUTED_VALUE"""),"Creek,")</f>
        <v>Creek,</v>
      </c>
      <c r="I1570" s="22" t="str">
        <f>IFERROR(__xludf.DUMMYFUNCTION("""COMPUTED_VALUE"""),"TX")</f>
        <v>TX</v>
      </c>
      <c r="J1570" s="22">
        <f>IFERROR(__xludf.DUMMYFUNCTION("""COMPUTED_VALUE"""),75065.0)</f>
        <v>75065</v>
      </c>
      <c r="K1570" s="22"/>
      <c r="L1570" s="22"/>
      <c r="M1570" s="22"/>
      <c r="N1570" s="22"/>
      <c r="O1570" s="22"/>
      <c r="P1570" s="22"/>
      <c r="Q1570" s="22"/>
      <c r="R1570" s="22"/>
      <c r="S1570" s="22"/>
      <c r="T1570" s="22"/>
      <c r="U1570" s="24" t="str">
        <f>IFERROR(__xludf.DUMMYFUNCTION("SPLIT(E1570,""01234567890"")"),"Melody
")</f>
        <v>Melody
</v>
      </c>
      <c r="V1570" s="24" t="str">
        <f>IFERROR(__xludf.DUMMYFUNCTION("SPLIT(D1570,"","")"),"Walker")</f>
        <v>Walker</v>
      </c>
      <c r="W1570" s="25" t="str">
        <f t="shared" si="1"/>
        <v>MELODY
 WALKER</v>
      </c>
      <c r="X1570" s="22"/>
      <c r="Y1570" s="22"/>
      <c r="Z1570" s="25" t="str">
        <f>IFERROR(__xludf.DUMMYFUNCTION("SPLIT(C1570,""
"")"),"Walker, Melody")</f>
        <v>Walker, Melody</v>
      </c>
      <c r="AA1570" s="22" t="str">
        <f>IFERROR(__xludf.DUMMYFUNCTION("""COMPUTED_VALUE"""),"127 Oakwood Lane")</f>
        <v>127 Oakwood Lane</v>
      </c>
      <c r="AB1570" s="22" t="str">
        <f>IFERROR(__xludf.DUMMYFUNCTION("""COMPUTED_VALUE"""),"Hickory Creek, TX 75065")</f>
        <v>Hickory Creek, TX 75065</v>
      </c>
      <c r="AC1570" s="31" t="s">
        <v>3217</v>
      </c>
      <c r="AD1570" s="22"/>
      <c r="AE1570" s="22"/>
      <c r="AF1570" s="22"/>
      <c r="AG1570" s="22" t="s">
        <v>60</v>
      </c>
      <c r="AH1570" s="54">
        <v>2515.0</v>
      </c>
      <c r="AI1570" s="22" t="s">
        <v>68</v>
      </c>
      <c r="AJ1570" s="27">
        <v>1000.0</v>
      </c>
      <c r="AK1570" s="31" t="s">
        <v>27</v>
      </c>
      <c r="AL1570" s="28">
        <v>44925.0</v>
      </c>
      <c r="AM1570" s="29">
        <v>44943.69443287037</v>
      </c>
      <c r="AN1570" s="30">
        <v>2.0</v>
      </c>
      <c r="AO1570" s="22"/>
      <c r="AP1570" s="22"/>
      <c r="AQ1570" s="22"/>
      <c r="AR1570" s="22"/>
      <c r="AS1570" s="22"/>
      <c r="AT1570" s="70"/>
      <c r="AU1570" s="22"/>
      <c r="AV1570" s="57"/>
      <c r="AW1570" s="57"/>
      <c r="AX1570" s="70"/>
      <c r="AY1570" s="29"/>
      <c r="AZ1570" s="30"/>
      <c r="CU1570" s="55"/>
      <c r="CV1570" s="55"/>
      <c r="CW1570" s="55"/>
      <c r="CX1570" s="55"/>
      <c r="CY1570" s="55"/>
      <c r="CZ1570" s="55"/>
      <c r="DA1570" s="82"/>
      <c r="DB1570" s="55"/>
      <c r="DC1570" s="55"/>
      <c r="DD1570" s="55"/>
      <c r="DE1570" s="55"/>
      <c r="DF1570" s="55"/>
      <c r="DG1570" s="55"/>
      <c r="DH1570" s="55"/>
      <c r="DI1570" s="55"/>
      <c r="DJ1570" s="55"/>
      <c r="DK1570" s="55"/>
      <c r="DL1570" s="55"/>
      <c r="DM1570" s="55"/>
      <c r="DN1570" s="55"/>
      <c r="DO1570" s="55"/>
      <c r="DP1570" s="55"/>
      <c r="DQ1570" s="55"/>
      <c r="DR1570" s="55"/>
      <c r="DS1570" s="55"/>
      <c r="DT1570" s="55"/>
      <c r="DU1570" s="55"/>
      <c r="DV1570" s="55"/>
      <c r="DW1570" s="55"/>
    </row>
    <row r="1571">
      <c r="A1571" s="41" t="s">
        <v>64</v>
      </c>
      <c r="B1571" s="41" t="s">
        <v>56</v>
      </c>
      <c r="C1571" s="31" t="s">
        <v>462</v>
      </c>
      <c r="D1571" s="25" t="str">
        <f>IFERROR(__xludf.DUMMYFUNCTION("SPLIT(C1571,"" "")"),"Blanco,")</f>
        <v>Blanco,</v>
      </c>
      <c r="E1571" s="40" t="str">
        <f>IFERROR(__xludf.DUMMYFUNCTION("""COMPUTED_VALUE"""),"Erica
419")</f>
        <v>Erica
419</v>
      </c>
      <c r="F1571" s="40" t="str">
        <f>IFERROR(__xludf.DUMMYFUNCTION("""COMPUTED_VALUE"""),"S")</f>
        <v>S</v>
      </c>
      <c r="G1571" s="40" t="str">
        <f>IFERROR(__xludf.DUMMYFUNCTION("""COMPUTED_VALUE"""),"Garrett")</f>
        <v>Garrett</v>
      </c>
      <c r="H1571" s="40" t="str">
        <f>IFERROR(__xludf.DUMMYFUNCTION("""COMPUTED_VALUE"""),"Ave
Dallas,")</f>
        <v>Ave
Dallas,</v>
      </c>
      <c r="I1571" s="40" t="str">
        <f>IFERROR(__xludf.DUMMYFUNCTION("""COMPUTED_VALUE"""),"TX")</f>
        <v>TX</v>
      </c>
      <c r="J1571" s="40">
        <f>IFERROR(__xludf.DUMMYFUNCTION("""COMPUTED_VALUE"""),75223.0)</f>
        <v>75223</v>
      </c>
      <c r="K1571" s="40"/>
      <c r="L1571" s="40"/>
      <c r="M1571" s="40"/>
      <c r="N1571" s="40"/>
      <c r="O1571" s="40"/>
      <c r="P1571" s="40"/>
      <c r="Q1571" s="40"/>
      <c r="R1571" s="40"/>
      <c r="S1571" s="40"/>
      <c r="T1571" s="40"/>
      <c r="U1571" s="24" t="str">
        <f>IFERROR(__xludf.DUMMYFUNCTION("SPLIT(E1571,""01234567890"")"),"Erica
")</f>
        <v>Erica
</v>
      </c>
      <c r="V1571" s="24" t="str">
        <f>IFERROR(__xludf.DUMMYFUNCTION("SPLIT(D1571,"","")"),"Blanco")</f>
        <v>Blanco</v>
      </c>
      <c r="W1571" s="25" t="str">
        <f t="shared" si="1"/>
        <v>ERICA
 BLANCO</v>
      </c>
      <c r="X1571" s="40"/>
      <c r="Y1571" s="40"/>
      <c r="Z1571" s="25" t="str">
        <f>IFERROR(__xludf.DUMMYFUNCTION("SPLIT(C1571,""
"")"),"Blanco, Erica")</f>
        <v>Blanco, Erica</v>
      </c>
      <c r="AA1571" s="40" t="str">
        <f>IFERROR(__xludf.DUMMYFUNCTION("""COMPUTED_VALUE"""),"419 S Garrett Ave")</f>
        <v>419 S Garrett Ave</v>
      </c>
      <c r="AB1571" s="40" t="str">
        <f>IFERROR(__xludf.DUMMYFUNCTION("""COMPUTED_VALUE"""),"Dallas, TX 75223")</f>
        <v>Dallas, TX 75223</v>
      </c>
      <c r="AC1571" s="31" t="s">
        <v>464</v>
      </c>
      <c r="AD1571" s="40"/>
      <c r="AE1571" s="40"/>
      <c r="AF1571" s="40"/>
      <c r="AG1571" s="40" t="s">
        <v>60</v>
      </c>
      <c r="AH1571" s="42">
        <v>2515.0</v>
      </c>
      <c r="AI1571" s="40" t="s">
        <v>68</v>
      </c>
      <c r="AJ1571" s="27">
        <v>50.0</v>
      </c>
      <c r="AK1571" s="31" t="s">
        <v>27</v>
      </c>
      <c r="AL1571" s="43">
        <v>44926.0</v>
      </c>
      <c r="AM1571" s="44">
        <v>44943.69443287037</v>
      </c>
      <c r="AN1571" s="30">
        <v>2.0</v>
      </c>
      <c r="AO1571" s="40"/>
      <c r="AP1571" s="40"/>
      <c r="AQ1571" s="40"/>
      <c r="AR1571" s="40"/>
      <c r="AS1571" s="40"/>
      <c r="AT1571" s="47"/>
      <c r="AU1571" s="40"/>
      <c r="AV1571" s="46"/>
      <c r="AW1571" s="46"/>
      <c r="AX1571" s="47"/>
      <c r="AY1571" s="44"/>
      <c r="AZ1571" s="30"/>
      <c r="CU1571" s="55"/>
      <c r="CV1571" s="55"/>
      <c r="CW1571" s="55"/>
      <c r="CX1571" s="55"/>
      <c r="CY1571" s="55"/>
      <c r="CZ1571" s="55"/>
      <c r="DA1571" s="82"/>
      <c r="DB1571" s="55"/>
      <c r="DC1571" s="55"/>
      <c r="DD1571" s="55"/>
      <c r="DE1571" s="55"/>
      <c r="DF1571" s="55"/>
      <c r="DG1571" s="55"/>
      <c r="DH1571" s="55"/>
      <c r="DI1571" s="55"/>
      <c r="DJ1571" s="55"/>
      <c r="DK1571" s="55"/>
      <c r="DL1571" s="55"/>
      <c r="DM1571" s="55"/>
      <c r="DN1571" s="55"/>
      <c r="DO1571" s="55"/>
      <c r="DP1571" s="55"/>
      <c r="DQ1571" s="55"/>
      <c r="DR1571" s="55"/>
      <c r="DS1571" s="55"/>
      <c r="DT1571" s="55"/>
      <c r="DU1571" s="55"/>
      <c r="DV1571" s="55"/>
      <c r="DW1571" s="55"/>
    </row>
    <row r="1572">
      <c r="A1572" s="22" t="s">
        <v>55</v>
      </c>
      <c r="B1572" s="23" t="s">
        <v>56</v>
      </c>
      <c r="C1572" s="31" t="s">
        <v>3218</v>
      </c>
      <c r="D1572" s="25" t="str">
        <f>IFERROR(__xludf.DUMMYFUNCTION("SPLIT(C1572,"" "")"),"Holmes,")</f>
        <v>Holmes,</v>
      </c>
      <c r="E1572" s="22" t="str">
        <f>IFERROR(__xludf.DUMMYFUNCTION("""COMPUTED_VALUE"""),"Jesse
2107")</f>
        <v>Jesse
2107</v>
      </c>
      <c r="F1572" s="22" t="str">
        <f>IFERROR(__xludf.DUMMYFUNCTION("""COMPUTED_VALUE"""),"Canton")</f>
        <v>Canton</v>
      </c>
      <c r="G1572" s="22" t="str">
        <f>IFERROR(__xludf.DUMMYFUNCTION("""COMPUTED_VALUE"""),"Street
Dallas,")</f>
        <v>Street
Dallas,</v>
      </c>
      <c r="H1572" s="22" t="str">
        <f>IFERROR(__xludf.DUMMYFUNCTION("""COMPUTED_VALUE"""),"TX")</f>
        <v>TX</v>
      </c>
      <c r="I1572" s="22">
        <f>IFERROR(__xludf.DUMMYFUNCTION("""COMPUTED_VALUE"""),75201.0)</f>
        <v>75201</v>
      </c>
      <c r="J1572" s="22"/>
      <c r="K1572" s="22"/>
      <c r="L1572" s="22"/>
      <c r="M1572" s="22"/>
      <c r="N1572" s="22"/>
      <c r="O1572" s="22"/>
      <c r="P1572" s="22"/>
      <c r="Q1572" s="22"/>
      <c r="R1572" s="22"/>
      <c r="S1572" s="22"/>
      <c r="T1572" s="22"/>
      <c r="U1572" s="24" t="str">
        <f>IFERROR(__xludf.DUMMYFUNCTION("SPLIT(E1572,""01234567890"")"),"Jesse
")</f>
        <v>Jesse
</v>
      </c>
      <c r="V1572" s="24" t="str">
        <f>IFERROR(__xludf.DUMMYFUNCTION("SPLIT(D1572,"","")"),"Holmes")</f>
        <v>Holmes</v>
      </c>
      <c r="W1572" s="25" t="str">
        <f t="shared" si="1"/>
        <v>JESSE
 HOLMES</v>
      </c>
      <c r="X1572" s="22"/>
      <c r="Y1572" s="22"/>
      <c r="Z1572" s="25" t="str">
        <f>IFERROR(__xludf.DUMMYFUNCTION("SPLIT(C1572,""
"")"),"Holmes, Jesse")</f>
        <v>Holmes, Jesse</v>
      </c>
      <c r="AA1572" s="22" t="str">
        <f>IFERROR(__xludf.DUMMYFUNCTION("""COMPUTED_VALUE"""),"2107 Canton Street")</f>
        <v>2107 Canton Street</v>
      </c>
      <c r="AB1572" s="22" t="str">
        <f>IFERROR(__xludf.DUMMYFUNCTION("""COMPUTED_VALUE"""),"Dallas, TX 75201")</f>
        <v>Dallas, TX 75201</v>
      </c>
      <c r="AC1572" s="31" t="s">
        <v>3219</v>
      </c>
      <c r="AD1572" s="22"/>
      <c r="AE1572" s="22"/>
      <c r="AF1572" s="22"/>
      <c r="AG1572" s="22" t="s">
        <v>60</v>
      </c>
      <c r="AH1572" s="54">
        <v>2515.0</v>
      </c>
      <c r="AI1572" s="22" t="s">
        <v>68</v>
      </c>
      <c r="AJ1572" s="27">
        <v>500.0</v>
      </c>
      <c r="AK1572" s="31" t="s">
        <v>27</v>
      </c>
      <c r="AL1572" s="28">
        <v>44926.0</v>
      </c>
      <c r="AM1572" s="29">
        <v>44943.69443287037</v>
      </c>
      <c r="AN1572" s="30">
        <v>2.0</v>
      </c>
      <c r="AO1572" s="22"/>
      <c r="AP1572" s="22"/>
      <c r="AQ1572" s="22"/>
      <c r="AR1572" s="22"/>
      <c r="AS1572" s="22"/>
      <c r="AT1572" s="70"/>
      <c r="AU1572" s="22"/>
      <c r="AV1572" s="57"/>
      <c r="AW1572" s="57"/>
      <c r="AX1572" s="70"/>
      <c r="AY1572" s="29"/>
      <c r="AZ1572" s="30"/>
      <c r="CU1572" s="55"/>
      <c r="CV1572" s="55"/>
      <c r="CW1572" s="55"/>
      <c r="CX1572" s="55"/>
      <c r="CY1572" s="55"/>
      <c r="CZ1572" s="55"/>
      <c r="DA1572" s="82"/>
      <c r="DB1572" s="55"/>
      <c r="DC1572" s="55"/>
      <c r="DD1572" s="55"/>
      <c r="DE1572" s="55"/>
      <c r="DF1572" s="55"/>
      <c r="DG1572" s="55"/>
      <c r="DH1572" s="55"/>
      <c r="DI1572" s="55"/>
      <c r="DJ1572" s="55"/>
      <c r="DK1572" s="55"/>
      <c r="DL1572" s="55"/>
      <c r="DM1572" s="55"/>
      <c r="DN1572" s="55"/>
      <c r="DO1572" s="55"/>
      <c r="DP1572" s="55"/>
      <c r="DQ1572" s="55"/>
      <c r="DR1572" s="55"/>
      <c r="DS1572" s="55"/>
      <c r="DT1572" s="55"/>
      <c r="DU1572" s="55"/>
      <c r="DV1572" s="55"/>
      <c r="DW1572" s="55"/>
    </row>
    <row r="1573">
      <c r="A1573" s="41" t="s">
        <v>64</v>
      </c>
      <c r="B1573" s="41" t="s">
        <v>56</v>
      </c>
      <c r="C1573" s="31" t="s">
        <v>1354</v>
      </c>
      <c r="D1573" s="25" t="str">
        <f>IFERROR(__xludf.DUMMYFUNCTION("SPLIT(C1573,"" "")"),"Offutt,")</f>
        <v>Offutt,</v>
      </c>
      <c r="E1573" s="40" t="str">
        <f>IFERROR(__xludf.DUMMYFUNCTION("""COMPUTED_VALUE"""),"Larry
6038")</f>
        <v>Larry
6038</v>
      </c>
      <c r="F1573" s="40" t="str">
        <f>IFERROR(__xludf.DUMMYFUNCTION("""COMPUTED_VALUE"""),"Bryan")</f>
        <v>Bryan</v>
      </c>
      <c r="G1573" s="40" t="str">
        <f>IFERROR(__xludf.DUMMYFUNCTION("""COMPUTED_VALUE"""),"Pkwy
Dallas,")</f>
        <v>Pkwy
Dallas,</v>
      </c>
      <c r="H1573" s="40" t="str">
        <f>IFERROR(__xludf.DUMMYFUNCTION("""COMPUTED_VALUE"""),"TX")</f>
        <v>TX</v>
      </c>
      <c r="I1573" s="40">
        <f>IFERROR(__xludf.DUMMYFUNCTION("""COMPUTED_VALUE"""),75206.0)</f>
        <v>75206</v>
      </c>
      <c r="J1573" s="40"/>
      <c r="K1573" s="40"/>
      <c r="L1573" s="40"/>
      <c r="M1573" s="40"/>
      <c r="N1573" s="40"/>
      <c r="O1573" s="40"/>
      <c r="P1573" s="40"/>
      <c r="Q1573" s="40"/>
      <c r="R1573" s="40"/>
      <c r="S1573" s="40"/>
      <c r="T1573" s="40"/>
      <c r="U1573" s="24" t="str">
        <f>IFERROR(__xludf.DUMMYFUNCTION("SPLIT(E1573,""01234567890"")"),"Larry
")</f>
        <v>Larry
</v>
      </c>
      <c r="V1573" s="24" t="str">
        <f>IFERROR(__xludf.DUMMYFUNCTION("SPLIT(D1573,"","")"),"Offutt")</f>
        <v>Offutt</v>
      </c>
      <c r="W1573" s="25" t="str">
        <f t="shared" si="1"/>
        <v>LARRY
 OFFUTT</v>
      </c>
      <c r="X1573" s="40"/>
      <c r="Y1573" s="40"/>
      <c r="Z1573" s="25" t="str">
        <f>IFERROR(__xludf.DUMMYFUNCTION("SPLIT(C1573,""
"")"),"Offutt, Larry")</f>
        <v>Offutt, Larry</v>
      </c>
      <c r="AA1573" s="40" t="str">
        <f>IFERROR(__xludf.DUMMYFUNCTION("""COMPUTED_VALUE"""),"6038 Bryan Pkwy")</f>
        <v>6038 Bryan Pkwy</v>
      </c>
      <c r="AB1573" s="40" t="str">
        <f>IFERROR(__xludf.DUMMYFUNCTION("""COMPUTED_VALUE"""),"Dallas, TX 75206")</f>
        <v>Dallas, TX 75206</v>
      </c>
      <c r="AC1573" s="31" t="s">
        <v>1356</v>
      </c>
      <c r="AD1573" s="40"/>
      <c r="AE1573" s="40"/>
      <c r="AF1573" s="40"/>
      <c r="AG1573" s="40" t="s">
        <v>60</v>
      </c>
      <c r="AH1573" s="42">
        <v>2515.0</v>
      </c>
      <c r="AI1573" s="40" t="s">
        <v>68</v>
      </c>
      <c r="AJ1573" s="27">
        <v>100.0</v>
      </c>
      <c r="AK1573" s="31" t="s">
        <v>27</v>
      </c>
      <c r="AL1573" s="43">
        <v>44924.0</v>
      </c>
      <c r="AM1573" s="44">
        <v>44943.69443287037</v>
      </c>
      <c r="AN1573" s="30">
        <v>2.0</v>
      </c>
      <c r="AO1573" s="40"/>
      <c r="AP1573" s="40"/>
      <c r="AQ1573" s="40"/>
      <c r="AR1573" s="40"/>
      <c r="AS1573" s="40"/>
      <c r="AT1573" s="47"/>
      <c r="AU1573" s="40"/>
      <c r="AV1573" s="46"/>
      <c r="AW1573" s="46"/>
      <c r="AX1573" s="47"/>
      <c r="AY1573" s="44"/>
      <c r="AZ1573" s="30"/>
      <c r="CU1573" s="55"/>
      <c r="CV1573" s="55"/>
      <c r="CW1573" s="55"/>
      <c r="CX1573" s="55"/>
      <c r="CY1573" s="55"/>
      <c r="CZ1573" s="55"/>
      <c r="DA1573" s="82"/>
      <c r="DB1573" s="55"/>
      <c r="DC1573" s="55"/>
      <c r="DD1573" s="55"/>
      <c r="DE1573" s="55"/>
      <c r="DF1573" s="55"/>
      <c r="DG1573" s="55"/>
      <c r="DH1573" s="55"/>
      <c r="DI1573" s="55"/>
      <c r="DJ1573" s="55"/>
      <c r="DK1573" s="55"/>
      <c r="DL1573" s="55"/>
      <c r="DM1573" s="55"/>
      <c r="DN1573" s="55"/>
      <c r="DO1573" s="55"/>
      <c r="DP1573" s="55"/>
      <c r="DQ1573" s="55"/>
      <c r="DR1573" s="55"/>
      <c r="DS1573" s="55"/>
      <c r="DT1573" s="55"/>
      <c r="DU1573" s="55"/>
      <c r="DV1573" s="55"/>
      <c r="DW1573" s="55"/>
    </row>
    <row r="1574">
      <c r="A1574" s="22" t="s">
        <v>55</v>
      </c>
      <c r="B1574" s="23" t="s">
        <v>56</v>
      </c>
      <c r="C1574" s="31" t="s">
        <v>1403</v>
      </c>
      <c r="D1574" s="25" t="str">
        <f>IFERROR(__xludf.DUMMYFUNCTION("SPLIT(C1574,"" "")"),"Smith,")</f>
        <v>Smith,</v>
      </c>
      <c r="E1574" s="22" t="str">
        <f>IFERROR(__xludf.DUMMYFUNCTION("""COMPUTED_VALUE"""),"Suzanne
3210")</f>
        <v>Suzanne
3210</v>
      </c>
      <c r="F1574" s="22" t="str">
        <f>IFERROR(__xludf.DUMMYFUNCTION("""COMPUTED_VALUE"""),"Carlisle
Dallas,")</f>
        <v>Carlisle
Dallas,</v>
      </c>
      <c r="G1574" s="22" t="str">
        <f>IFERROR(__xludf.DUMMYFUNCTION("""COMPUTED_VALUE"""),"TX")</f>
        <v>TX</v>
      </c>
      <c r="H1574" s="22">
        <f>IFERROR(__xludf.DUMMYFUNCTION("""COMPUTED_VALUE"""),75204.0)</f>
        <v>75204</v>
      </c>
      <c r="I1574" s="22"/>
      <c r="J1574" s="22"/>
      <c r="K1574" s="22"/>
      <c r="L1574" s="22"/>
      <c r="M1574" s="22"/>
      <c r="N1574" s="22"/>
      <c r="O1574" s="22"/>
      <c r="P1574" s="22"/>
      <c r="Q1574" s="22"/>
      <c r="R1574" s="22"/>
      <c r="S1574" s="22"/>
      <c r="T1574" s="22"/>
      <c r="U1574" s="24" t="str">
        <f>IFERROR(__xludf.DUMMYFUNCTION("SPLIT(E1574,""01234567890"")"),"Suzanne
")</f>
        <v>Suzanne
</v>
      </c>
      <c r="V1574" s="24" t="str">
        <f>IFERROR(__xludf.DUMMYFUNCTION("SPLIT(D1574,"","")"),"Smith")</f>
        <v>Smith</v>
      </c>
      <c r="W1574" s="25" t="str">
        <f t="shared" si="1"/>
        <v>SUZANNE
 SMITH</v>
      </c>
      <c r="X1574" s="22"/>
      <c r="Y1574" s="22"/>
      <c r="Z1574" s="25" t="str">
        <f>IFERROR(__xludf.DUMMYFUNCTION("SPLIT(C1574,""
"")"),"Smith, Suzanne")</f>
        <v>Smith, Suzanne</v>
      </c>
      <c r="AA1574" s="22" t="str">
        <f>IFERROR(__xludf.DUMMYFUNCTION("""COMPUTED_VALUE"""),"3210 Carlisle")</f>
        <v>3210 Carlisle</v>
      </c>
      <c r="AB1574" s="22" t="str">
        <f>IFERROR(__xludf.DUMMYFUNCTION("""COMPUTED_VALUE"""),"Dallas, TX 75204")</f>
        <v>Dallas, TX 75204</v>
      </c>
      <c r="AC1574" s="31" t="s">
        <v>1405</v>
      </c>
      <c r="AD1574" s="22"/>
      <c r="AE1574" s="22"/>
      <c r="AF1574" s="22"/>
      <c r="AG1574" s="22" t="s">
        <v>60</v>
      </c>
      <c r="AH1574" s="54">
        <v>2515.0</v>
      </c>
      <c r="AI1574" s="22" t="s">
        <v>68</v>
      </c>
      <c r="AJ1574" s="27">
        <v>100.0</v>
      </c>
      <c r="AK1574" s="31" t="s">
        <v>27</v>
      </c>
      <c r="AL1574" s="28">
        <v>44926.0</v>
      </c>
      <c r="AM1574" s="29">
        <v>44943.69443287037</v>
      </c>
      <c r="AN1574" s="30">
        <v>2.0</v>
      </c>
      <c r="AO1574" s="22"/>
      <c r="AP1574" s="22"/>
      <c r="AQ1574" s="22"/>
      <c r="AR1574" s="22"/>
      <c r="AS1574" s="22"/>
      <c r="AT1574" s="70"/>
      <c r="AU1574" s="22"/>
      <c r="AV1574" s="57"/>
      <c r="AW1574" s="57"/>
      <c r="AX1574" s="70"/>
      <c r="AY1574" s="29"/>
      <c r="AZ1574" s="30"/>
      <c r="CU1574" s="55"/>
      <c r="CV1574" s="55"/>
      <c r="CW1574" s="55"/>
      <c r="CX1574" s="55"/>
      <c r="CY1574" s="55"/>
      <c r="CZ1574" s="55"/>
      <c r="DA1574" s="82"/>
      <c r="DB1574" s="55"/>
      <c r="DC1574" s="55"/>
      <c r="DD1574" s="55"/>
      <c r="DE1574" s="55"/>
      <c r="DF1574" s="55"/>
      <c r="DG1574" s="55"/>
      <c r="DH1574" s="55"/>
      <c r="DI1574" s="55"/>
      <c r="DJ1574" s="55"/>
      <c r="DK1574" s="55"/>
      <c r="DL1574" s="55"/>
      <c r="DM1574" s="55"/>
      <c r="DN1574" s="55"/>
      <c r="DO1574" s="55"/>
      <c r="DP1574" s="55"/>
      <c r="DQ1574" s="55"/>
      <c r="DR1574" s="55"/>
      <c r="DS1574" s="55"/>
      <c r="DT1574" s="55"/>
      <c r="DU1574" s="55"/>
      <c r="DV1574" s="55"/>
      <c r="DW1574" s="55"/>
    </row>
    <row r="1575">
      <c r="A1575" s="41" t="s">
        <v>64</v>
      </c>
      <c r="B1575" s="41" t="s">
        <v>56</v>
      </c>
      <c r="C1575" s="31" t="s">
        <v>3220</v>
      </c>
      <c r="D1575" s="25" t="str">
        <f>IFERROR(__xludf.DUMMYFUNCTION("SPLIT(C1575,"" "")"),"Carnahan,")</f>
        <v>Carnahan,</v>
      </c>
      <c r="E1575" s="40" t="str">
        <f>IFERROR(__xludf.DUMMYFUNCTION("""COMPUTED_VALUE"""),"Andrew
4411")</f>
        <v>Andrew
4411</v>
      </c>
      <c r="F1575" s="40" t="str">
        <f>IFERROR(__xludf.DUMMYFUNCTION("""COMPUTED_VALUE"""),"Bowser")</f>
        <v>Bowser</v>
      </c>
      <c r="G1575" s="40" t="str">
        <f>IFERROR(__xludf.DUMMYFUNCTION("""COMPUTED_VALUE"""),"Ave
Dallas,")</f>
        <v>Ave
Dallas,</v>
      </c>
      <c r="H1575" s="40" t="str">
        <f>IFERROR(__xludf.DUMMYFUNCTION("""COMPUTED_VALUE"""),"TX")</f>
        <v>TX</v>
      </c>
      <c r="I1575" s="40">
        <f>IFERROR(__xludf.DUMMYFUNCTION("""COMPUTED_VALUE"""),75219.0)</f>
        <v>75219</v>
      </c>
      <c r="J1575" s="40"/>
      <c r="K1575" s="40"/>
      <c r="L1575" s="40"/>
      <c r="M1575" s="40"/>
      <c r="N1575" s="40"/>
      <c r="O1575" s="40"/>
      <c r="P1575" s="40"/>
      <c r="Q1575" s="40"/>
      <c r="R1575" s="40"/>
      <c r="S1575" s="40"/>
      <c r="T1575" s="40"/>
      <c r="U1575" s="24" t="str">
        <f>IFERROR(__xludf.DUMMYFUNCTION("SPLIT(E1575,""01234567890"")"),"Andrew
")</f>
        <v>Andrew
</v>
      </c>
      <c r="V1575" s="24" t="str">
        <f>IFERROR(__xludf.DUMMYFUNCTION("SPLIT(D1575,"","")"),"Carnahan")</f>
        <v>Carnahan</v>
      </c>
      <c r="W1575" s="25" t="str">
        <f t="shared" si="1"/>
        <v>ANDREW
 CARNAHAN</v>
      </c>
      <c r="X1575" s="40"/>
      <c r="Y1575" s="40"/>
      <c r="Z1575" s="25" t="str">
        <f>IFERROR(__xludf.DUMMYFUNCTION("SPLIT(C1575,""
"")"),"Carnahan, Andrew")</f>
        <v>Carnahan, Andrew</v>
      </c>
      <c r="AA1575" s="40" t="str">
        <f>IFERROR(__xludf.DUMMYFUNCTION("""COMPUTED_VALUE"""),"4411 Bowser Ave")</f>
        <v>4411 Bowser Ave</v>
      </c>
      <c r="AB1575" s="40" t="str">
        <f>IFERROR(__xludf.DUMMYFUNCTION("""COMPUTED_VALUE"""),"Dallas, TX 75219")</f>
        <v>Dallas, TX 75219</v>
      </c>
      <c r="AC1575" s="31" t="s">
        <v>3221</v>
      </c>
      <c r="AD1575" s="40"/>
      <c r="AE1575" s="40"/>
      <c r="AF1575" s="40"/>
      <c r="AG1575" s="40" t="s">
        <v>60</v>
      </c>
      <c r="AH1575" s="42">
        <v>2515.0</v>
      </c>
      <c r="AI1575" s="40" t="s">
        <v>68</v>
      </c>
      <c r="AJ1575" s="27">
        <v>1000.0</v>
      </c>
      <c r="AK1575" s="31" t="s">
        <v>27</v>
      </c>
      <c r="AL1575" s="43">
        <v>44926.0</v>
      </c>
      <c r="AM1575" s="44">
        <v>44943.69443287037</v>
      </c>
      <c r="AN1575" s="30">
        <v>2.0</v>
      </c>
      <c r="AO1575" s="40"/>
      <c r="AP1575" s="40"/>
      <c r="AQ1575" s="40"/>
      <c r="AR1575" s="40"/>
      <c r="AS1575" s="40"/>
      <c r="AT1575" s="47"/>
      <c r="AU1575" s="40"/>
      <c r="AV1575" s="46"/>
      <c r="AW1575" s="46"/>
      <c r="AX1575" s="47"/>
      <c r="AY1575" s="44"/>
      <c r="AZ1575" s="30"/>
      <c r="CU1575" s="55"/>
      <c r="CV1575" s="55"/>
      <c r="CW1575" s="55"/>
      <c r="CX1575" s="55"/>
      <c r="CY1575" s="55"/>
      <c r="CZ1575" s="55"/>
      <c r="DA1575" s="82"/>
      <c r="DB1575" s="55"/>
      <c r="DC1575" s="55"/>
      <c r="DD1575" s="55"/>
      <c r="DE1575" s="55"/>
      <c r="DF1575" s="55"/>
      <c r="DG1575" s="55"/>
      <c r="DH1575" s="55"/>
      <c r="DI1575" s="55"/>
      <c r="DJ1575" s="55"/>
      <c r="DK1575" s="55"/>
      <c r="DL1575" s="55"/>
      <c r="DM1575" s="55"/>
      <c r="DN1575" s="55"/>
      <c r="DO1575" s="55"/>
      <c r="DP1575" s="55"/>
      <c r="DQ1575" s="55"/>
      <c r="DR1575" s="55"/>
      <c r="DS1575" s="55"/>
      <c r="DT1575" s="55"/>
      <c r="DU1575" s="55"/>
      <c r="DV1575" s="55"/>
      <c r="DW1575" s="55"/>
    </row>
    <row r="1576">
      <c r="A1576" s="22" t="s">
        <v>55</v>
      </c>
      <c r="B1576" s="23" t="s">
        <v>56</v>
      </c>
      <c r="C1576" s="31" t="s">
        <v>3222</v>
      </c>
      <c r="D1576" s="25" t="str">
        <f>IFERROR(__xludf.DUMMYFUNCTION("SPLIT(C1576,"" "")"),"Mortimer,")</f>
        <v>Mortimer,</v>
      </c>
      <c r="E1576" s="22" t="str">
        <f>IFERROR(__xludf.DUMMYFUNCTION("""COMPUTED_VALUE"""),"Samuel
1623")</f>
        <v>Samuel
1623</v>
      </c>
      <c r="F1576" s="22" t="str">
        <f>IFERROR(__xludf.DUMMYFUNCTION("""COMPUTED_VALUE"""),"Main")</f>
        <v>Main</v>
      </c>
      <c r="G1576" s="22" t="str">
        <f>IFERROR(__xludf.DUMMYFUNCTION("""COMPUTED_VALUE"""),"St
Dallas,")</f>
        <v>St
Dallas,</v>
      </c>
      <c r="H1576" s="22" t="str">
        <f>IFERROR(__xludf.DUMMYFUNCTION("""COMPUTED_VALUE"""),"TX")</f>
        <v>TX</v>
      </c>
      <c r="I1576" s="22">
        <f>IFERROR(__xludf.DUMMYFUNCTION("""COMPUTED_VALUE"""),75201.0)</f>
        <v>75201</v>
      </c>
      <c r="J1576" s="22"/>
      <c r="K1576" s="22"/>
      <c r="L1576" s="22"/>
      <c r="M1576" s="22"/>
      <c r="N1576" s="22"/>
      <c r="O1576" s="22"/>
      <c r="P1576" s="22"/>
      <c r="Q1576" s="22"/>
      <c r="R1576" s="22"/>
      <c r="S1576" s="22"/>
      <c r="T1576" s="22"/>
      <c r="U1576" s="24" t="str">
        <f>IFERROR(__xludf.DUMMYFUNCTION("SPLIT(E1576,""01234567890"")"),"Samuel
")</f>
        <v>Samuel
</v>
      </c>
      <c r="V1576" s="24" t="str">
        <f>IFERROR(__xludf.DUMMYFUNCTION("SPLIT(D1576,"","")"),"Mortimer")</f>
        <v>Mortimer</v>
      </c>
      <c r="W1576" s="25" t="str">
        <f t="shared" si="1"/>
        <v>SAMUEL
 MORTIMER</v>
      </c>
      <c r="X1576" s="22"/>
      <c r="Y1576" s="22"/>
      <c r="Z1576" s="25" t="str">
        <f>IFERROR(__xludf.DUMMYFUNCTION("SPLIT(C1576,""
"")"),"Mortimer, Samuel")</f>
        <v>Mortimer, Samuel</v>
      </c>
      <c r="AA1576" s="22" t="str">
        <f>IFERROR(__xludf.DUMMYFUNCTION("""COMPUTED_VALUE"""),"1623 Main St")</f>
        <v>1623 Main St</v>
      </c>
      <c r="AB1576" s="22" t="str">
        <f>IFERROR(__xludf.DUMMYFUNCTION("""COMPUTED_VALUE"""),"Dallas, TX 75201")</f>
        <v>Dallas, TX 75201</v>
      </c>
      <c r="AC1576" s="31" t="s">
        <v>3223</v>
      </c>
      <c r="AD1576" s="22"/>
      <c r="AE1576" s="22"/>
      <c r="AF1576" s="22"/>
      <c r="AG1576" s="22" t="s">
        <v>60</v>
      </c>
      <c r="AH1576" s="54">
        <v>2515.0</v>
      </c>
      <c r="AI1576" s="22" t="s">
        <v>68</v>
      </c>
      <c r="AJ1576" s="27">
        <v>100.0</v>
      </c>
      <c r="AK1576" s="31" t="s">
        <v>27</v>
      </c>
      <c r="AL1576" s="28">
        <v>44879.0</v>
      </c>
      <c r="AM1576" s="29">
        <v>44943.69443287037</v>
      </c>
      <c r="AN1576" s="30">
        <v>2.0</v>
      </c>
      <c r="AO1576" s="22"/>
      <c r="AP1576" s="22"/>
      <c r="AQ1576" s="22"/>
      <c r="AR1576" s="22"/>
      <c r="AS1576" s="22"/>
      <c r="AT1576" s="70"/>
      <c r="AU1576" s="22"/>
      <c r="AV1576" s="57"/>
      <c r="AW1576" s="57"/>
      <c r="AX1576" s="70"/>
      <c r="AY1576" s="29"/>
      <c r="AZ1576" s="30"/>
      <c r="CU1576" s="55"/>
      <c r="CV1576" s="55"/>
      <c r="CW1576" s="55"/>
      <c r="CX1576" s="55"/>
      <c r="CY1576" s="55"/>
      <c r="CZ1576" s="55"/>
      <c r="DA1576" s="82"/>
      <c r="DB1576" s="55"/>
      <c r="DC1576" s="55"/>
      <c r="DD1576" s="55"/>
      <c r="DE1576" s="55"/>
      <c r="DF1576" s="55"/>
      <c r="DG1576" s="55"/>
      <c r="DH1576" s="55"/>
      <c r="DI1576" s="55"/>
      <c r="DJ1576" s="55"/>
      <c r="DK1576" s="55"/>
      <c r="DL1576" s="55"/>
      <c r="DM1576" s="55"/>
      <c r="DN1576" s="55"/>
      <c r="DO1576" s="55"/>
      <c r="DP1576" s="55"/>
      <c r="DQ1576" s="55"/>
      <c r="DR1576" s="55"/>
      <c r="DS1576" s="55"/>
      <c r="DT1576" s="55"/>
      <c r="DU1576" s="55"/>
      <c r="DV1576" s="55"/>
      <c r="DW1576" s="55"/>
    </row>
    <row r="1577">
      <c r="A1577" s="41" t="s">
        <v>64</v>
      </c>
      <c r="B1577" s="41" t="s">
        <v>56</v>
      </c>
      <c r="C1577" s="31" t="s">
        <v>3224</v>
      </c>
      <c r="D1577" s="25" t="str">
        <f>IFERROR(__xludf.DUMMYFUNCTION("SPLIT(C1577,"" "")"),"Havlick,")</f>
        <v>Havlick,</v>
      </c>
      <c r="E1577" s="40" t="str">
        <f>IFERROR(__xludf.DUMMYFUNCTION("""COMPUTED_VALUE"""),"Mita
5331")</f>
        <v>Mita
5331</v>
      </c>
      <c r="F1577" s="40" t="str">
        <f>IFERROR(__xludf.DUMMYFUNCTION("""COMPUTED_VALUE"""),"Monticello")</f>
        <v>Monticello</v>
      </c>
      <c r="G1577" s="40" t="str">
        <f>IFERROR(__xludf.DUMMYFUNCTION("""COMPUTED_VALUE"""),"Ave.
Dallas,")</f>
        <v>Ave.
Dallas,</v>
      </c>
      <c r="H1577" s="40" t="str">
        <f>IFERROR(__xludf.DUMMYFUNCTION("""COMPUTED_VALUE"""),"TX")</f>
        <v>TX</v>
      </c>
      <c r="I1577" s="40">
        <f>IFERROR(__xludf.DUMMYFUNCTION("""COMPUTED_VALUE"""),75206.0)</f>
        <v>75206</v>
      </c>
      <c r="J1577" s="40"/>
      <c r="K1577" s="40"/>
      <c r="L1577" s="40"/>
      <c r="M1577" s="40"/>
      <c r="N1577" s="40"/>
      <c r="O1577" s="40"/>
      <c r="P1577" s="40"/>
      <c r="Q1577" s="40"/>
      <c r="R1577" s="40"/>
      <c r="S1577" s="40"/>
      <c r="T1577" s="40"/>
      <c r="U1577" s="24" t="str">
        <f>IFERROR(__xludf.DUMMYFUNCTION("SPLIT(E1577,""01234567890"")"),"Mita
")</f>
        <v>Mita
</v>
      </c>
      <c r="V1577" s="24" t="str">
        <f>IFERROR(__xludf.DUMMYFUNCTION("SPLIT(D1577,"","")"),"Havlick")</f>
        <v>Havlick</v>
      </c>
      <c r="W1577" s="25" t="str">
        <f t="shared" si="1"/>
        <v>MITA
 HAVLICK</v>
      </c>
      <c r="X1577" s="40"/>
      <c r="Y1577" s="40"/>
      <c r="Z1577" s="25" t="str">
        <f>IFERROR(__xludf.DUMMYFUNCTION("SPLIT(C1577,""
"")"),"Havlick, Mita")</f>
        <v>Havlick, Mita</v>
      </c>
      <c r="AA1577" s="40" t="str">
        <f>IFERROR(__xludf.DUMMYFUNCTION("""COMPUTED_VALUE"""),"5331 Monticello Ave.")</f>
        <v>5331 Monticello Ave.</v>
      </c>
      <c r="AB1577" s="40" t="str">
        <f>IFERROR(__xludf.DUMMYFUNCTION("""COMPUTED_VALUE"""),"Dallas, TX 75206")</f>
        <v>Dallas, TX 75206</v>
      </c>
      <c r="AC1577" s="31" t="s">
        <v>3225</v>
      </c>
      <c r="AD1577" s="40"/>
      <c r="AE1577" s="40"/>
      <c r="AF1577" s="40"/>
      <c r="AG1577" s="40" t="s">
        <v>60</v>
      </c>
      <c r="AH1577" s="42">
        <v>2515.0</v>
      </c>
      <c r="AI1577" s="40" t="s">
        <v>68</v>
      </c>
      <c r="AJ1577" s="27">
        <v>100.0</v>
      </c>
      <c r="AK1577" s="31" t="s">
        <v>27</v>
      </c>
      <c r="AL1577" s="43">
        <v>44879.0</v>
      </c>
      <c r="AM1577" s="44">
        <v>44943.69443287037</v>
      </c>
      <c r="AN1577" s="30">
        <v>2.0</v>
      </c>
      <c r="AO1577" s="40"/>
      <c r="AP1577" s="40"/>
      <c r="AQ1577" s="40"/>
      <c r="AR1577" s="40"/>
      <c r="AS1577" s="40"/>
      <c r="AT1577" s="47"/>
      <c r="AU1577" s="40"/>
      <c r="AV1577" s="46"/>
      <c r="AW1577" s="46"/>
      <c r="AX1577" s="47"/>
      <c r="AY1577" s="44"/>
      <c r="AZ1577" s="30"/>
      <c r="CU1577" s="55"/>
      <c r="CV1577" s="55"/>
      <c r="CW1577" s="55"/>
      <c r="CX1577" s="55"/>
      <c r="CY1577" s="55"/>
      <c r="CZ1577" s="55"/>
      <c r="DA1577" s="82"/>
      <c r="DB1577" s="55"/>
      <c r="DC1577" s="55"/>
      <c r="DD1577" s="55"/>
      <c r="DE1577" s="55"/>
      <c r="DF1577" s="55"/>
      <c r="DG1577" s="55"/>
      <c r="DH1577" s="55"/>
      <c r="DI1577" s="55"/>
      <c r="DJ1577" s="55"/>
      <c r="DK1577" s="55"/>
      <c r="DL1577" s="55"/>
      <c r="DM1577" s="55"/>
      <c r="DN1577" s="55"/>
      <c r="DO1577" s="55"/>
      <c r="DP1577" s="55"/>
      <c r="DQ1577" s="55"/>
      <c r="DR1577" s="55"/>
      <c r="DS1577" s="55"/>
      <c r="DT1577" s="55"/>
      <c r="DU1577" s="55"/>
      <c r="DV1577" s="55"/>
      <c r="DW1577" s="55"/>
    </row>
    <row r="1578">
      <c r="A1578" s="22" t="s">
        <v>55</v>
      </c>
      <c r="B1578" s="23" t="s">
        <v>56</v>
      </c>
      <c r="C1578" s="31" t="s">
        <v>2643</v>
      </c>
      <c r="D1578" s="25" t="str">
        <f>IFERROR(__xludf.DUMMYFUNCTION("SPLIT(C1578,"" "")"),"Hunt,")</f>
        <v>Hunt,</v>
      </c>
      <c r="E1578" s="22" t="str">
        <f>IFERROR(__xludf.DUMMYFUNCTION("""COMPUTED_VALUE"""),"Ray
1900")</f>
        <v>Ray
1900</v>
      </c>
      <c r="F1578" s="22" t="str">
        <f>IFERROR(__xludf.DUMMYFUNCTION("""COMPUTED_VALUE"""),"North")</f>
        <v>North</v>
      </c>
      <c r="G1578" s="22" t="str">
        <f>IFERROR(__xludf.DUMMYFUNCTION("""COMPUTED_VALUE"""),"Akard")</f>
        <v>Akard</v>
      </c>
      <c r="H1578" s="22" t="str">
        <f>IFERROR(__xludf.DUMMYFUNCTION("""COMPUTED_VALUE"""),"Street
Dallas,")</f>
        <v>Street
Dallas,</v>
      </c>
      <c r="I1578" s="22" t="str">
        <f>IFERROR(__xludf.DUMMYFUNCTION("""COMPUTED_VALUE"""),"TX")</f>
        <v>TX</v>
      </c>
      <c r="J1578" s="22">
        <f>IFERROR(__xludf.DUMMYFUNCTION("""COMPUTED_VALUE"""),75201.0)</f>
        <v>75201</v>
      </c>
      <c r="K1578" s="22"/>
      <c r="L1578" s="22"/>
      <c r="M1578" s="22"/>
      <c r="N1578" s="22"/>
      <c r="O1578" s="22"/>
      <c r="P1578" s="22"/>
      <c r="Q1578" s="22"/>
      <c r="R1578" s="22"/>
      <c r="S1578" s="22"/>
      <c r="T1578" s="22"/>
      <c r="U1578" s="24" t="str">
        <f>IFERROR(__xludf.DUMMYFUNCTION("SPLIT(E1578,""01234567890"")"),"Ray
")</f>
        <v>Ray
</v>
      </c>
      <c r="V1578" s="24" t="str">
        <f>IFERROR(__xludf.DUMMYFUNCTION("SPLIT(D1578,"","")"),"Hunt")</f>
        <v>Hunt</v>
      </c>
      <c r="W1578" s="25" t="str">
        <f t="shared" si="1"/>
        <v>RAY
 HUNT</v>
      </c>
      <c r="X1578" s="22"/>
      <c r="Y1578" s="22"/>
      <c r="Z1578" s="25" t="str">
        <f>IFERROR(__xludf.DUMMYFUNCTION("SPLIT(C1578,""
"")"),"Hunt, Ray")</f>
        <v>Hunt, Ray</v>
      </c>
      <c r="AA1578" s="22" t="str">
        <f>IFERROR(__xludf.DUMMYFUNCTION("""COMPUTED_VALUE"""),"1900 North Akard Street")</f>
        <v>1900 North Akard Street</v>
      </c>
      <c r="AB1578" s="22" t="str">
        <f>IFERROR(__xludf.DUMMYFUNCTION("""COMPUTED_VALUE"""),"Dallas, TX 75201")</f>
        <v>Dallas, TX 75201</v>
      </c>
      <c r="AC1578" s="31" t="s">
        <v>721</v>
      </c>
      <c r="AD1578" s="22"/>
      <c r="AE1578" s="22"/>
      <c r="AF1578" s="22"/>
      <c r="AG1578" s="22" t="s">
        <v>60</v>
      </c>
      <c r="AH1578" s="54">
        <v>2515.0</v>
      </c>
      <c r="AI1578" s="22" t="s">
        <v>68</v>
      </c>
      <c r="AJ1578" s="27">
        <v>1000.0</v>
      </c>
      <c r="AK1578" s="31" t="s">
        <v>27</v>
      </c>
      <c r="AL1578" s="28">
        <v>44759.0</v>
      </c>
      <c r="AM1578" s="29">
        <v>44943.69443287037</v>
      </c>
      <c r="AN1578" s="30">
        <v>2.0</v>
      </c>
      <c r="AO1578" s="22"/>
      <c r="AP1578" s="22"/>
      <c r="AQ1578" s="22"/>
      <c r="AR1578" s="22"/>
      <c r="AS1578" s="22"/>
      <c r="AT1578" s="70"/>
      <c r="AU1578" s="22"/>
      <c r="AV1578" s="57"/>
      <c r="AW1578" s="57"/>
      <c r="AX1578" s="70"/>
      <c r="AY1578" s="29"/>
      <c r="AZ1578" s="30"/>
      <c r="CU1578" s="55"/>
      <c r="CV1578" s="55"/>
      <c r="CW1578" s="55"/>
      <c r="CX1578" s="55"/>
      <c r="CY1578" s="55"/>
      <c r="CZ1578" s="55"/>
      <c r="DA1578" s="82"/>
      <c r="DB1578" s="55"/>
      <c r="DC1578" s="55"/>
      <c r="DD1578" s="55"/>
      <c r="DE1578" s="55"/>
      <c r="DF1578" s="55"/>
      <c r="DG1578" s="55"/>
      <c r="DH1578" s="55"/>
      <c r="DI1578" s="55"/>
      <c r="DJ1578" s="55"/>
      <c r="DK1578" s="55"/>
      <c r="DL1578" s="55"/>
      <c r="DM1578" s="55"/>
      <c r="DN1578" s="55"/>
      <c r="DO1578" s="55"/>
      <c r="DP1578" s="55"/>
      <c r="DQ1578" s="55"/>
      <c r="DR1578" s="55"/>
      <c r="DS1578" s="55"/>
      <c r="DT1578" s="55"/>
      <c r="DU1578" s="55"/>
      <c r="DV1578" s="55"/>
      <c r="DW1578" s="55"/>
    </row>
    <row r="1579">
      <c r="A1579" s="41" t="s">
        <v>64</v>
      </c>
      <c r="B1579" s="41" t="s">
        <v>56</v>
      </c>
      <c r="C1579" s="31" t="s">
        <v>3226</v>
      </c>
      <c r="D1579" s="25" t="str">
        <f>IFERROR(__xludf.DUMMYFUNCTION("SPLIT(C1579,"" "")"),"John")</f>
        <v>John</v>
      </c>
      <c r="E1579" s="40" t="str">
        <f>IFERROR(__xludf.DUMMYFUNCTION("""COMPUTED_VALUE"""),"Bryant")</f>
        <v>Bryant</v>
      </c>
      <c r="F1579" s="40" t="str">
        <f>IFERROR(__xludf.DUMMYFUNCTION("""COMPUTED_VALUE"""),"Campaign
PO")</f>
        <v>Campaign
PO</v>
      </c>
      <c r="G1579" s="40" t="str">
        <f>IFERROR(__xludf.DUMMYFUNCTION("""COMPUTED_VALUE"""),"Box")</f>
        <v>Box</v>
      </c>
      <c r="H1579" s="40" t="str">
        <f>IFERROR(__xludf.DUMMYFUNCTION("""COMPUTED_VALUE"""),"140977
Dallas,")</f>
        <v>140977
Dallas,</v>
      </c>
      <c r="I1579" s="40" t="str">
        <f>IFERROR(__xludf.DUMMYFUNCTION("""COMPUTED_VALUE"""),"TX")</f>
        <v>TX</v>
      </c>
      <c r="J1579" s="40">
        <f>IFERROR(__xludf.DUMMYFUNCTION("""COMPUTED_VALUE"""),75214.0)</f>
        <v>75214</v>
      </c>
      <c r="K1579" s="40"/>
      <c r="L1579" s="40"/>
      <c r="M1579" s="40"/>
      <c r="N1579" s="40"/>
      <c r="O1579" s="40"/>
      <c r="P1579" s="40"/>
      <c r="Q1579" s="40"/>
      <c r="R1579" s="40"/>
      <c r="S1579" s="40"/>
      <c r="T1579" s="40"/>
      <c r="U1579" s="24" t="str">
        <f>IFERROR(__xludf.DUMMYFUNCTION("SPLIT(E1579,""01234567890"")"),"Bryant")</f>
        <v>Bryant</v>
      </c>
      <c r="V1579" s="24" t="str">
        <f>IFERROR(__xludf.DUMMYFUNCTION("SPLIT(D1579,"","")"),"John")</f>
        <v>John</v>
      </c>
      <c r="W1579" s="25" t="str">
        <f t="shared" si="1"/>
        <v>BRYANT JOHN</v>
      </c>
      <c r="X1579" s="40"/>
      <c r="Y1579" s="40"/>
      <c r="Z1579" s="25" t="str">
        <f>IFERROR(__xludf.DUMMYFUNCTION("SPLIT(C1579,""
"")"),"John Bryant Campaign")</f>
        <v>John Bryant Campaign</v>
      </c>
      <c r="AA1579" s="40" t="str">
        <f>IFERROR(__xludf.DUMMYFUNCTION("""COMPUTED_VALUE"""),"PO Box 140977")</f>
        <v>PO Box 140977</v>
      </c>
      <c r="AB1579" s="40" t="str">
        <f>IFERROR(__xludf.DUMMYFUNCTION("""COMPUTED_VALUE"""),"Dallas, TX 75214")</f>
        <v>Dallas, TX 75214</v>
      </c>
      <c r="AC1579" s="31" t="s">
        <v>3227</v>
      </c>
      <c r="AD1579" s="40"/>
      <c r="AE1579" s="40"/>
      <c r="AF1579" s="40"/>
      <c r="AG1579" s="40" t="s">
        <v>60</v>
      </c>
      <c r="AH1579" s="42">
        <v>2515.0</v>
      </c>
      <c r="AI1579" s="40" t="s">
        <v>68</v>
      </c>
      <c r="AJ1579" s="27">
        <v>500.0</v>
      </c>
      <c r="AK1579" s="31" t="s">
        <v>27</v>
      </c>
      <c r="AL1579" s="43">
        <v>44879.0</v>
      </c>
      <c r="AM1579" s="44">
        <v>44943.69443287037</v>
      </c>
      <c r="AN1579" s="30">
        <v>2.0</v>
      </c>
      <c r="AO1579" s="40"/>
      <c r="AP1579" s="40"/>
      <c r="AQ1579" s="40"/>
      <c r="AR1579" s="40"/>
      <c r="AS1579" s="40"/>
      <c r="AT1579" s="47"/>
      <c r="AU1579" s="40"/>
      <c r="AV1579" s="46"/>
      <c r="AW1579" s="46"/>
      <c r="AX1579" s="47"/>
      <c r="AY1579" s="44"/>
      <c r="AZ1579" s="30"/>
      <c r="CU1579" s="55"/>
      <c r="CV1579" s="55"/>
      <c r="CW1579" s="55"/>
      <c r="CX1579" s="55"/>
      <c r="CY1579" s="55"/>
      <c r="CZ1579" s="55"/>
      <c r="DA1579" s="82"/>
      <c r="DB1579" s="55"/>
      <c r="DC1579" s="55"/>
      <c r="DD1579" s="55"/>
      <c r="DE1579" s="55"/>
      <c r="DF1579" s="55"/>
      <c r="DG1579" s="55"/>
      <c r="DH1579" s="55"/>
      <c r="DI1579" s="55"/>
      <c r="DJ1579" s="55"/>
      <c r="DK1579" s="55"/>
      <c r="DL1579" s="55"/>
      <c r="DM1579" s="55"/>
      <c r="DN1579" s="55"/>
      <c r="DO1579" s="55"/>
      <c r="DP1579" s="55"/>
      <c r="DQ1579" s="55"/>
      <c r="DR1579" s="55"/>
      <c r="DS1579" s="55"/>
      <c r="DT1579" s="55"/>
      <c r="DU1579" s="55"/>
      <c r="DV1579" s="55"/>
      <c r="DW1579" s="55"/>
    </row>
    <row r="1580">
      <c r="A1580" s="22" t="s">
        <v>55</v>
      </c>
      <c r="B1580" s="23" t="s">
        <v>56</v>
      </c>
      <c r="C1580" s="31" t="s">
        <v>3228</v>
      </c>
      <c r="D1580" s="25" t="str">
        <f>IFERROR(__xludf.DUMMYFUNCTION("SPLIT(C1580,"" "")"),"Linville,")</f>
        <v>Linville,</v>
      </c>
      <c r="E1580" s="22" t="str">
        <f>IFERROR(__xludf.DUMMYFUNCTION("""COMPUTED_VALUE"""),"Stephen
5023")</f>
        <v>Stephen
5023</v>
      </c>
      <c r="F1580" s="22" t="str">
        <f>IFERROR(__xludf.DUMMYFUNCTION("""COMPUTED_VALUE"""),"Maple")</f>
        <v>Maple</v>
      </c>
      <c r="G1580" s="22" t="str">
        <f>IFERROR(__xludf.DUMMYFUNCTION("""COMPUTED_VALUE"""),"Springs")</f>
        <v>Springs</v>
      </c>
      <c r="H1580" s="22" t="str">
        <f>IFERROR(__xludf.DUMMYFUNCTION("""COMPUTED_VALUE"""),"Blvd.
Dallas,")</f>
        <v>Blvd.
Dallas,</v>
      </c>
      <c r="I1580" s="22" t="str">
        <f>IFERROR(__xludf.DUMMYFUNCTION("""COMPUTED_VALUE"""),"TX")</f>
        <v>TX</v>
      </c>
      <c r="J1580" s="22">
        <f>IFERROR(__xludf.DUMMYFUNCTION("""COMPUTED_VALUE"""),75235.0)</f>
        <v>75235</v>
      </c>
      <c r="K1580" s="22"/>
      <c r="L1580" s="22"/>
      <c r="M1580" s="22"/>
      <c r="N1580" s="22"/>
      <c r="O1580" s="22"/>
      <c r="P1580" s="22"/>
      <c r="Q1580" s="22"/>
      <c r="R1580" s="22"/>
      <c r="S1580" s="22"/>
      <c r="T1580" s="22"/>
      <c r="U1580" s="24" t="str">
        <f>IFERROR(__xludf.DUMMYFUNCTION("SPLIT(E1580,""01234567890"")"),"Stephen
")</f>
        <v>Stephen
</v>
      </c>
      <c r="V1580" s="24" t="str">
        <f>IFERROR(__xludf.DUMMYFUNCTION("SPLIT(D1580,"","")"),"Linville")</f>
        <v>Linville</v>
      </c>
      <c r="W1580" s="25" t="str">
        <f t="shared" si="1"/>
        <v>STEPHEN
 LINVILLE</v>
      </c>
      <c r="X1580" s="22"/>
      <c r="Y1580" s="22"/>
      <c r="Z1580" s="25" t="str">
        <f>IFERROR(__xludf.DUMMYFUNCTION("SPLIT(C1580,""
"")"),"Linville, Stephen")</f>
        <v>Linville, Stephen</v>
      </c>
      <c r="AA1580" s="22" t="str">
        <f>IFERROR(__xludf.DUMMYFUNCTION("""COMPUTED_VALUE"""),"5023 Maple Springs Blvd.")</f>
        <v>5023 Maple Springs Blvd.</v>
      </c>
      <c r="AB1580" s="22" t="str">
        <f>IFERROR(__xludf.DUMMYFUNCTION("""COMPUTED_VALUE"""),"Dallas, TX 75235")</f>
        <v>Dallas, TX 75235</v>
      </c>
      <c r="AC1580" s="31" t="s">
        <v>3229</v>
      </c>
      <c r="AD1580" s="22"/>
      <c r="AE1580" s="22"/>
      <c r="AF1580" s="22"/>
      <c r="AG1580" s="22" t="s">
        <v>60</v>
      </c>
      <c r="AH1580" s="54">
        <v>2515.0</v>
      </c>
      <c r="AI1580" s="22" t="s">
        <v>68</v>
      </c>
      <c r="AJ1580" s="27">
        <v>150.0</v>
      </c>
      <c r="AK1580" s="31" t="s">
        <v>27</v>
      </c>
      <c r="AL1580" s="28">
        <v>44879.0</v>
      </c>
      <c r="AM1580" s="29">
        <v>44943.69443287037</v>
      </c>
      <c r="AN1580" s="30">
        <v>2.0</v>
      </c>
      <c r="AO1580" s="22"/>
      <c r="AP1580" s="22"/>
      <c r="AQ1580" s="22"/>
      <c r="AR1580" s="22"/>
      <c r="AS1580" s="22"/>
      <c r="AT1580" s="70"/>
      <c r="AU1580" s="22"/>
      <c r="AV1580" s="57"/>
      <c r="AW1580" s="57"/>
      <c r="AX1580" s="70"/>
      <c r="AY1580" s="29"/>
      <c r="AZ1580" s="30"/>
      <c r="CU1580" s="55"/>
      <c r="CV1580" s="55"/>
      <c r="CW1580" s="55"/>
      <c r="CX1580" s="55"/>
      <c r="CY1580" s="55"/>
      <c r="CZ1580" s="55"/>
      <c r="DA1580" s="82"/>
      <c r="DB1580" s="55"/>
      <c r="DC1580" s="55"/>
      <c r="DD1580" s="55"/>
      <c r="DE1580" s="55"/>
      <c r="DF1580" s="55"/>
      <c r="DG1580" s="55"/>
      <c r="DH1580" s="55"/>
      <c r="DI1580" s="55"/>
      <c r="DJ1580" s="55"/>
      <c r="DK1580" s="55"/>
      <c r="DL1580" s="55"/>
      <c r="DM1580" s="55"/>
      <c r="DN1580" s="55"/>
      <c r="DO1580" s="55"/>
      <c r="DP1580" s="55"/>
      <c r="DQ1580" s="55"/>
      <c r="DR1580" s="55"/>
      <c r="DS1580" s="55"/>
      <c r="DT1580" s="55"/>
      <c r="DU1580" s="55"/>
      <c r="DV1580" s="55"/>
      <c r="DW1580" s="55"/>
    </row>
    <row r="1581">
      <c r="A1581" s="41" t="s">
        <v>64</v>
      </c>
      <c r="B1581" s="41" t="s">
        <v>56</v>
      </c>
      <c r="C1581" s="31" t="s">
        <v>3230</v>
      </c>
      <c r="D1581" s="25" t="str">
        <f>IFERROR(__xludf.DUMMYFUNCTION("SPLIT(C1581,"" "")"),"Ward,")</f>
        <v>Ward,</v>
      </c>
      <c r="E1581" s="40" t="str">
        <f>IFERROR(__xludf.DUMMYFUNCTION("""COMPUTED_VALUE"""),"Erik
3825")</f>
        <v>Erik
3825</v>
      </c>
      <c r="F1581" s="40" t="str">
        <f>IFERROR(__xludf.DUMMYFUNCTION("""COMPUTED_VALUE"""),"Mcfarlin")</f>
        <v>Mcfarlin</v>
      </c>
      <c r="G1581" s="40" t="str">
        <f>IFERROR(__xludf.DUMMYFUNCTION("""COMPUTED_VALUE"""),"Blvd
Dallas,")</f>
        <v>Blvd
Dallas,</v>
      </c>
      <c r="H1581" s="40" t="str">
        <f>IFERROR(__xludf.DUMMYFUNCTION("""COMPUTED_VALUE"""),"TX")</f>
        <v>TX</v>
      </c>
      <c r="I1581" s="40">
        <f>IFERROR(__xludf.DUMMYFUNCTION("""COMPUTED_VALUE"""),75205.0)</f>
        <v>75205</v>
      </c>
      <c r="J1581" s="40"/>
      <c r="K1581" s="40"/>
      <c r="L1581" s="40"/>
      <c r="M1581" s="40"/>
      <c r="N1581" s="40"/>
      <c r="O1581" s="40"/>
      <c r="P1581" s="40"/>
      <c r="Q1581" s="40"/>
      <c r="R1581" s="40"/>
      <c r="S1581" s="40"/>
      <c r="T1581" s="40"/>
      <c r="U1581" s="24" t="str">
        <f>IFERROR(__xludf.DUMMYFUNCTION("SPLIT(E1581,""01234567890"")"),"Erik
")</f>
        <v>Erik
</v>
      </c>
      <c r="V1581" s="24" t="str">
        <f>IFERROR(__xludf.DUMMYFUNCTION("SPLIT(D1581,"","")"),"Ward")</f>
        <v>Ward</v>
      </c>
      <c r="W1581" s="25" t="str">
        <f t="shared" si="1"/>
        <v>ERIK
 WARD</v>
      </c>
      <c r="X1581" s="40"/>
      <c r="Y1581" s="40"/>
      <c r="Z1581" s="25" t="str">
        <f>IFERROR(__xludf.DUMMYFUNCTION("SPLIT(C1581,""
"")"),"Ward, Erik")</f>
        <v>Ward, Erik</v>
      </c>
      <c r="AA1581" s="40" t="str">
        <f>IFERROR(__xludf.DUMMYFUNCTION("""COMPUTED_VALUE"""),"3825 Mcfarlin Blvd")</f>
        <v>3825 Mcfarlin Blvd</v>
      </c>
      <c r="AB1581" s="40" t="str">
        <f>IFERROR(__xludf.DUMMYFUNCTION("""COMPUTED_VALUE"""),"Dallas, TX 75205")</f>
        <v>Dallas, TX 75205</v>
      </c>
      <c r="AC1581" s="31" t="s">
        <v>3231</v>
      </c>
      <c r="AD1581" s="40"/>
      <c r="AE1581" s="40"/>
      <c r="AF1581" s="40"/>
      <c r="AG1581" s="40" t="s">
        <v>60</v>
      </c>
      <c r="AH1581" s="42">
        <v>2515.0</v>
      </c>
      <c r="AI1581" s="40" t="s">
        <v>68</v>
      </c>
      <c r="AJ1581" s="27">
        <v>500.0</v>
      </c>
      <c r="AK1581" s="31" t="s">
        <v>27</v>
      </c>
      <c r="AL1581" s="43">
        <v>44879.0</v>
      </c>
      <c r="AM1581" s="44">
        <v>44943.69443287037</v>
      </c>
      <c r="AN1581" s="30">
        <v>2.0</v>
      </c>
      <c r="AO1581" s="40"/>
      <c r="AP1581" s="40"/>
      <c r="AQ1581" s="40"/>
      <c r="AR1581" s="40"/>
      <c r="AS1581" s="40"/>
      <c r="AT1581" s="47"/>
      <c r="AU1581" s="40"/>
      <c r="AV1581" s="46"/>
      <c r="AW1581" s="46"/>
      <c r="AX1581" s="47"/>
      <c r="AY1581" s="44"/>
      <c r="AZ1581" s="30"/>
      <c r="CU1581" s="55"/>
      <c r="CV1581" s="55"/>
      <c r="CW1581" s="55"/>
      <c r="CX1581" s="55"/>
      <c r="CY1581" s="55"/>
      <c r="CZ1581" s="55"/>
      <c r="DA1581" s="82"/>
      <c r="DB1581" s="55"/>
      <c r="DC1581" s="55"/>
      <c r="DD1581" s="55"/>
      <c r="DE1581" s="55"/>
      <c r="DF1581" s="55"/>
      <c r="DG1581" s="55"/>
      <c r="DH1581" s="55"/>
      <c r="DI1581" s="55"/>
      <c r="DJ1581" s="55"/>
      <c r="DK1581" s="55"/>
      <c r="DL1581" s="55"/>
      <c r="DM1581" s="55"/>
      <c r="DN1581" s="55"/>
      <c r="DO1581" s="55"/>
      <c r="DP1581" s="55"/>
      <c r="DQ1581" s="55"/>
      <c r="DR1581" s="55"/>
      <c r="DS1581" s="55"/>
      <c r="DT1581" s="55"/>
      <c r="DU1581" s="55"/>
      <c r="DV1581" s="55"/>
      <c r="DW1581" s="55"/>
    </row>
    <row r="1582">
      <c r="A1582" s="22" t="s">
        <v>55</v>
      </c>
      <c r="B1582" s="23" t="s">
        <v>56</v>
      </c>
      <c r="C1582" s="31" t="s">
        <v>3232</v>
      </c>
      <c r="D1582" s="25" t="str">
        <f>IFERROR(__xludf.DUMMYFUNCTION("SPLIT(C1582,"" "")"),"Hetzel,")</f>
        <v>Hetzel,</v>
      </c>
      <c r="E1582" s="22" t="str">
        <f>IFERROR(__xludf.DUMMYFUNCTION("""COMPUTED_VALUE"""),"Jonathan
7002")</f>
        <v>Jonathan
7002</v>
      </c>
      <c r="F1582" s="22" t="str">
        <f>IFERROR(__xludf.DUMMYFUNCTION("""COMPUTED_VALUE"""),"Vivian")</f>
        <v>Vivian</v>
      </c>
      <c r="G1582" s="22" t="str">
        <f>IFERROR(__xludf.DUMMYFUNCTION("""COMPUTED_VALUE"""),"Ave
Dallas,")</f>
        <v>Ave
Dallas,</v>
      </c>
      <c r="H1582" s="22" t="str">
        <f>IFERROR(__xludf.DUMMYFUNCTION("""COMPUTED_VALUE"""),"TX")</f>
        <v>TX</v>
      </c>
      <c r="I1582" s="22">
        <f>IFERROR(__xludf.DUMMYFUNCTION("""COMPUTED_VALUE"""),75223.0)</f>
        <v>75223</v>
      </c>
      <c r="J1582" s="22"/>
      <c r="K1582" s="22"/>
      <c r="L1582" s="22"/>
      <c r="M1582" s="22"/>
      <c r="N1582" s="22"/>
      <c r="O1582" s="22"/>
      <c r="P1582" s="22"/>
      <c r="Q1582" s="22"/>
      <c r="R1582" s="22"/>
      <c r="S1582" s="22"/>
      <c r="T1582" s="22"/>
      <c r="U1582" s="24" t="str">
        <f>IFERROR(__xludf.DUMMYFUNCTION("SPLIT(E1582,""01234567890"")"),"Jonathan
")</f>
        <v>Jonathan
</v>
      </c>
      <c r="V1582" s="24" t="str">
        <f>IFERROR(__xludf.DUMMYFUNCTION("SPLIT(D1582,"","")"),"Hetzel")</f>
        <v>Hetzel</v>
      </c>
      <c r="W1582" s="25" t="str">
        <f t="shared" si="1"/>
        <v>JONATHAN
 HETZEL</v>
      </c>
      <c r="X1582" s="22"/>
      <c r="Y1582" s="22"/>
      <c r="Z1582" s="25" t="str">
        <f>IFERROR(__xludf.DUMMYFUNCTION("SPLIT(C1582,""
"")"),"Hetzel, Jonathan")</f>
        <v>Hetzel, Jonathan</v>
      </c>
      <c r="AA1582" s="22" t="str">
        <f>IFERROR(__xludf.DUMMYFUNCTION("""COMPUTED_VALUE"""),"7002 Vivian Ave")</f>
        <v>7002 Vivian Ave</v>
      </c>
      <c r="AB1582" s="22" t="str">
        <f>IFERROR(__xludf.DUMMYFUNCTION("""COMPUTED_VALUE"""),"Dallas, TX 75223")</f>
        <v>Dallas, TX 75223</v>
      </c>
      <c r="AC1582" s="31" t="s">
        <v>3233</v>
      </c>
      <c r="AD1582" s="22"/>
      <c r="AE1582" s="22"/>
      <c r="AF1582" s="22"/>
      <c r="AG1582" s="22" t="s">
        <v>60</v>
      </c>
      <c r="AH1582" s="54">
        <v>2515.0</v>
      </c>
      <c r="AI1582" s="22" t="s">
        <v>68</v>
      </c>
      <c r="AJ1582" s="27">
        <v>1000.0</v>
      </c>
      <c r="AK1582" s="31" t="s">
        <v>27</v>
      </c>
      <c r="AL1582" s="28">
        <v>44879.0</v>
      </c>
      <c r="AM1582" s="29">
        <v>44943.69443287037</v>
      </c>
      <c r="AN1582" s="30">
        <v>2.0</v>
      </c>
      <c r="AO1582" s="22"/>
      <c r="AP1582" s="22"/>
      <c r="AQ1582" s="22"/>
      <c r="AR1582" s="22"/>
      <c r="AS1582" s="22"/>
      <c r="AT1582" s="70"/>
      <c r="AU1582" s="22"/>
      <c r="AV1582" s="57"/>
      <c r="AW1582" s="57"/>
      <c r="AX1582" s="70"/>
      <c r="AY1582" s="29"/>
      <c r="AZ1582" s="30"/>
      <c r="CU1582" s="55"/>
      <c r="CV1582" s="55"/>
      <c r="CW1582" s="55"/>
      <c r="CX1582" s="55"/>
      <c r="CY1582" s="55"/>
      <c r="CZ1582" s="55"/>
      <c r="DA1582" s="82"/>
      <c r="DB1582" s="55"/>
      <c r="DC1582" s="55"/>
      <c r="DD1582" s="55"/>
      <c r="DE1582" s="55"/>
      <c r="DF1582" s="55"/>
      <c r="DG1582" s="55"/>
      <c r="DH1582" s="55"/>
      <c r="DI1582" s="55"/>
      <c r="DJ1582" s="55"/>
      <c r="DK1582" s="55"/>
      <c r="DL1582" s="55"/>
      <c r="DM1582" s="55"/>
      <c r="DN1582" s="55"/>
      <c r="DO1582" s="55"/>
      <c r="DP1582" s="55"/>
      <c r="DQ1582" s="55"/>
      <c r="DR1582" s="55"/>
      <c r="DS1582" s="55"/>
      <c r="DT1582" s="55"/>
      <c r="DU1582" s="55"/>
      <c r="DV1582" s="55"/>
      <c r="DW1582" s="55"/>
    </row>
    <row r="1583">
      <c r="A1583" s="41" t="s">
        <v>64</v>
      </c>
      <c r="B1583" s="41" t="s">
        <v>56</v>
      </c>
      <c r="C1583" s="31" t="s">
        <v>3234</v>
      </c>
      <c r="D1583" s="25" t="str">
        <f>IFERROR(__xludf.DUMMYFUNCTION("SPLIT(C1583,"" "")"),"Nedler,")</f>
        <v>Nedler,</v>
      </c>
      <c r="E1583" s="40" t="str">
        <f>IFERROR(__xludf.DUMMYFUNCTION("""COMPUTED_VALUE"""),"Donald
8703")</f>
        <v>Donald
8703</v>
      </c>
      <c r="F1583" s="40" t="str">
        <f>IFERROR(__xludf.DUMMYFUNCTION("""COMPUTED_VALUE"""),"Allen")</f>
        <v>Allen</v>
      </c>
      <c r="G1583" s="40" t="str">
        <f>IFERROR(__xludf.DUMMYFUNCTION("""COMPUTED_VALUE"""),"Brook")</f>
        <v>Brook</v>
      </c>
      <c r="H1583" s="40" t="str">
        <f>IFERROR(__xludf.DUMMYFUNCTION("""COMPUTED_VALUE"""),"Ct
Dallas,")</f>
        <v>Ct
Dallas,</v>
      </c>
      <c r="I1583" s="40" t="str">
        <f>IFERROR(__xludf.DUMMYFUNCTION("""COMPUTED_VALUE"""),"TX")</f>
        <v>TX</v>
      </c>
      <c r="J1583" s="40">
        <f>IFERROR(__xludf.DUMMYFUNCTION("""COMPUTED_VALUE"""),75243.0)</f>
        <v>75243</v>
      </c>
      <c r="K1583" s="40"/>
      <c r="L1583" s="40"/>
      <c r="M1583" s="40"/>
      <c r="N1583" s="40"/>
      <c r="O1583" s="40"/>
      <c r="P1583" s="40"/>
      <c r="Q1583" s="40"/>
      <c r="R1583" s="40"/>
      <c r="S1583" s="40"/>
      <c r="T1583" s="40"/>
      <c r="U1583" s="24" t="str">
        <f>IFERROR(__xludf.DUMMYFUNCTION("SPLIT(E1583,""01234567890"")"),"Donald
")</f>
        <v>Donald
</v>
      </c>
      <c r="V1583" s="24" t="str">
        <f>IFERROR(__xludf.DUMMYFUNCTION("SPLIT(D1583,"","")"),"Nedler")</f>
        <v>Nedler</v>
      </c>
      <c r="W1583" s="25" t="str">
        <f t="shared" si="1"/>
        <v>DONALD
 NEDLER</v>
      </c>
      <c r="X1583" s="40"/>
      <c r="Y1583" s="40"/>
      <c r="Z1583" s="25" t="str">
        <f>IFERROR(__xludf.DUMMYFUNCTION("SPLIT(C1583,""
"")"),"Nedler, Donald")</f>
        <v>Nedler, Donald</v>
      </c>
      <c r="AA1583" s="40" t="str">
        <f>IFERROR(__xludf.DUMMYFUNCTION("""COMPUTED_VALUE"""),"8703 Allen Brook Ct")</f>
        <v>8703 Allen Brook Ct</v>
      </c>
      <c r="AB1583" s="40" t="str">
        <f>IFERROR(__xludf.DUMMYFUNCTION("""COMPUTED_VALUE"""),"Dallas, TX 75243")</f>
        <v>Dallas, TX 75243</v>
      </c>
      <c r="AC1583" s="31" t="s">
        <v>3235</v>
      </c>
      <c r="AD1583" s="40"/>
      <c r="AE1583" s="40"/>
      <c r="AF1583" s="40"/>
      <c r="AG1583" s="40" t="s">
        <v>60</v>
      </c>
      <c r="AH1583" s="42">
        <v>2515.0</v>
      </c>
      <c r="AI1583" s="40" t="s">
        <v>68</v>
      </c>
      <c r="AJ1583" s="27">
        <v>500.0</v>
      </c>
      <c r="AK1583" s="31" t="s">
        <v>27</v>
      </c>
      <c r="AL1583" s="43">
        <v>44879.0</v>
      </c>
      <c r="AM1583" s="44">
        <v>44943.69443287037</v>
      </c>
      <c r="AN1583" s="30">
        <v>2.0</v>
      </c>
      <c r="AO1583" s="40"/>
      <c r="AP1583" s="40"/>
      <c r="AQ1583" s="40"/>
      <c r="AR1583" s="40"/>
      <c r="AS1583" s="40"/>
      <c r="AT1583" s="47"/>
      <c r="AU1583" s="40"/>
      <c r="AV1583" s="46"/>
      <c r="AW1583" s="46"/>
      <c r="AX1583" s="47"/>
      <c r="AY1583" s="44"/>
      <c r="AZ1583" s="30"/>
      <c r="CU1583" s="55"/>
      <c r="CV1583" s="55"/>
      <c r="CW1583" s="55"/>
      <c r="CX1583" s="55"/>
      <c r="CY1583" s="55"/>
      <c r="CZ1583" s="55"/>
      <c r="DA1583" s="82"/>
      <c r="DB1583" s="55"/>
      <c r="DC1583" s="55"/>
      <c r="DD1583" s="55"/>
      <c r="DE1583" s="55"/>
      <c r="DF1583" s="55"/>
      <c r="DG1583" s="55"/>
      <c r="DH1583" s="55"/>
      <c r="DI1583" s="55"/>
      <c r="DJ1583" s="55"/>
      <c r="DK1583" s="55"/>
      <c r="DL1583" s="55"/>
      <c r="DM1583" s="55"/>
      <c r="DN1583" s="55"/>
      <c r="DO1583" s="55"/>
      <c r="DP1583" s="55"/>
      <c r="DQ1583" s="55"/>
      <c r="DR1583" s="55"/>
      <c r="DS1583" s="55"/>
      <c r="DT1583" s="55"/>
      <c r="DU1583" s="55"/>
      <c r="DV1583" s="55"/>
      <c r="DW1583" s="55"/>
    </row>
    <row r="1584">
      <c r="A1584" s="22" t="s">
        <v>55</v>
      </c>
      <c r="B1584" s="23" t="s">
        <v>56</v>
      </c>
      <c r="C1584" s="31" t="s">
        <v>3236</v>
      </c>
      <c r="D1584" s="25" t="str">
        <f>IFERROR(__xludf.DUMMYFUNCTION("SPLIT(C1584,"" "")"),"Medrano,")</f>
        <v>Medrano,</v>
      </c>
      <c r="E1584" s="22" t="str">
        <f>IFERROR(__xludf.DUMMYFUNCTION("""COMPUTED_VALUE"""),"Pauline
2346")</f>
        <v>Pauline
2346</v>
      </c>
      <c r="F1584" s="22" t="str">
        <f>IFERROR(__xludf.DUMMYFUNCTION("""COMPUTED_VALUE"""),"Douglas")</f>
        <v>Douglas</v>
      </c>
      <c r="G1584" s="22" t="str">
        <f>IFERROR(__xludf.DUMMYFUNCTION("""COMPUTED_VALUE"""),"Ave
Dallas,")</f>
        <v>Ave
Dallas,</v>
      </c>
      <c r="H1584" s="22" t="str">
        <f>IFERROR(__xludf.DUMMYFUNCTION("""COMPUTED_VALUE"""),"TX")</f>
        <v>TX</v>
      </c>
      <c r="I1584" s="22">
        <f>IFERROR(__xludf.DUMMYFUNCTION("""COMPUTED_VALUE"""),75219.0)</f>
        <v>75219</v>
      </c>
      <c r="J1584" s="22"/>
      <c r="K1584" s="22"/>
      <c r="L1584" s="22"/>
      <c r="M1584" s="22"/>
      <c r="N1584" s="22"/>
      <c r="O1584" s="22"/>
      <c r="P1584" s="22"/>
      <c r="Q1584" s="22"/>
      <c r="R1584" s="22"/>
      <c r="S1584" s="22"/>
      <c r="T1584" s="22"/>
      <c r="U1584" s="24" t="str">
        <f>IFERROR(__xludf.DUMMYFUNCTION("SPLIT(E1584,""01234567890"")"),"Pauline
")</f>
        <v>Pauline
</v>
      </c>
      <c r="V1584" s="24" t="str">
        <f>IFERROR(__xludf.DUMMYFUNCTION("SPLIT(D1584,"","")"),"Medrano")</f>
        <v>Medrano</v>
      </c>
      <c r="W1584" s="25" t="str">
        <f t="shared" si="1"/>
        <v>PAULINE
 MEDRANO</v>
      </c>
      <c r="X1584" s="22"/>
      <c r="Y1584" s="22"/>
      <c r="Z1584" s="25" t="str">
        <f>IFERROR(__xludf.DUMMYFUNCTION("SPLIT(C1584,""
"")"),"Medrano, Pauline")</f>
        <v>Medrano, Pauline</v>
      </c>
      <c r="AA1584" s="22" t="str">
        <f>IFERROR(__xludf.DUMMYFUNCTION("""COMPUTED_VALUE"""),"2346 Douglas Ave")</f>
        <v>2346 Douglas Ave</v>
      </c>
      <c r="AB1584" s="22" t="str">
        <f>IFERROR(__xludf.DUMMYFUNCTION("""COMPUTED_VALUE"""),"Dallas, TX 75219")</f>
        <v>Dallas, TX 75219</v>
      </c>
      <c r="AC1584" s="31" t="s">
        <v>3237</v>
      </c>
      <c r="AD1584" s="22"/>
      <c r="AE1584" s="22"/>
      <c r="AF1584" s="22"/>
      <c r="AG1584" s="22" t="s">
        <v>60</v>
      </c>
      <c r="AH1584" s="54">
        <v>2515.0</v>
      </c>
      <c r="AI1584" s="22" t="s">
        <v>68</v>
      </c>
      <c r="AJ1584" s="27">
        <v>500.0</v>
      </c>
      <c r="AK1584" s="31" t="s">
        <v>27</v>
      </c>
      <c r="AL1584" s="28">
        <v>44888.0</v>
      </c>
      <c r="AM1584" s="29">
        <v>44943.69443287037</v>
      </c>
      <c r="AN1584" s="30">
        <v>2.0</v>
      </c>
      <c r="AO1584" s="22"/>
      <c r="AP1584" s="22"/>
      <c r="AQ1584" s="22"/>
      <c r="AR1584" s="22"/>
      <c r="AS1584" s="22"/>
      <c r="AT1584" s="70"/>
      <c r="AU1584" s="22"/>
      <c r="AV1584" s="57"/>
      <c r="AW1584" s="57"/>
      <c r="AX1584" s="70"/>
      <c r="AY1584" s="29"/>
      <c r="AZ1584" s="30"/>
      <c r="CU1584" s="55"/>
      <c r="CV1584" s="55"/>
      <c r="CW1584" s="55"/>
      <c r="CX1584" s="55"/>
      <c r="CY1584" s="55"/>
      <c r="CZ1584" s="55"/>
      <c r="DA1584" s="82"/>
      <c r="DB1584" s="55"/>
      <c r="DC1584" s="55"/>
      <c r="DD1584" s="55"/>
      <c r="DE1584" s="55"/>
      <c r="DF1584" s="55"/>
      <c r="DG1584" s="55"/>
      <c r="DH1584" s="55"/>
      <c r="DI1584" s="55"/>
      <c r="DJ1584" s="55"/>
      <c r="DK1584" s="55"/>
      <c r="DL1584" s="55"/>
      <c r="DM1584" s="55"/>
      <c r="DN1584" s="55"/>
      <c r="DO1584" s="55"/>
      <c r="DP1584" s="55"/>
      <c r="DQ1584" s="55"/>
      <c r="DR1584" s="55"/>
      <c r="DS1584" s="55"/>
      <c r="DT1584" s="55"/>
      <c r="DU1584" s="55"/>
      <c r="DV1584" s="55"/>
      <c r="DW1584" s="55"/>
    </row>
    <row r="1585">
      <c r="A1585" s="41" t="s">
        <v>64</v>
      </c>
      <c r="B1585" s="41" t="s">
        <v>56</v>
      </c>
      <c r="C1585" s="31" t="s">
        <v>3238</v>
      </c>
      <c r="D1585" s="25" t="str">
        <f>IFERROR(__xludf.DUMMYFUNCTION("SPLIT(C1585,"" "")"),"Eharhardt,")</f>
        <v>Eharhardt,</v>
      </c>
      <c r="E1585" s="40" t="str">
        <f>IFERROR(__xludf.DUMMYFUNCTION("""COMPUTED_VALUE"""),"Harryette
3525")</f>
        <v>Harryette
3525</v>
      </c>
      <c r="F1585" s="40" t="str">
        <f>IFERROR(__xludf.DUMMYFUNCTION("""COMPUTED_VALUE"""),"Turtle")</f>
        <v>Turtle</v>
      </c>
      <c r="G1585" s="40" t="str">
        <f>IFERROR(__xludf.DUMMYFUNCTION("""COMPUTED_VALUE"""),"Creek")</f>
        <v>Creek</v>
      </c>
      <c r="H1585" s="40" t="str">
        <f>IFERROR(__xludf.DUMMYFUNCTION("""COMPUTED_VALUE"""),"Blvd
Dallas,")</f>
        <v>Blvd
Dallas,</v>
      </c>
      <c r="I1585" s="40" t="str">
        <f>IFERROR(__xludf.DUMMYFUNCTION("""COMPUTED_VALUE"""),"TX")</f>
        <v>TX</v>
      </c>
      <c r="J1585" s="40">
        <f>IFERROR(__xludf.DUMMYFUNCTION("""COMPUTED_VALUE"""),75219.0)</f>
        <v>75219</v>
      </c>
      <c r="K1585" s="40"/>
      <c r="L1585" s="40"/>
      <c r="M1585" s="40"/>
      <c r="N1585" s="40"/>
      <c r="O1585" s="40"/>
      <c r="P1585" s="40"/>
      <c r="Q1585" s="40"/>
      <c r="R1585" s="40"/>
      <c r="S1585" s="40"/>
      <c r="T1585" s="40"/>
      <c r="U1585" s="24" t="str">
        <f>IFERROR(__xludf.DUMMYFUNCTION("SPLIT(E1585,""01234567890"")"),"Harryette
")</f>
        <v>Harryette
</v>
      </c>
      <c r="V1585" s="24" t="str">
        <f>IFERROR(__xludf.DUMMYFUNCTION("SPLIT(D1585,"","")"),"Eharhardt")</f>
        <v>Eharhardt</v>
      </c>
      <c r="W1585" s="25" t="str">
        <f t="shared" si="1"/>
        <v>HARRYETTE
 EHARHARDT</v>
      </c>
      <c r="X1585" s="40"/>
      <c r="Y1585" s="40"/>
      <c r="Z1585" s="25" t="str">
        <f>IFERROR(__xludf.DUMMYFUNCTION("SPLIT(C1585,""
"")"),"Eharhardt, Harryette")</f>
        <v>Eharhardt, Harryette</v>
      </c>
      <c r="AA1585" s="40" t="str">
        <f>IFERROR(__xludf.DUMMYFUNCTION("""COMPUTED_VALUE"""),"3525 Turtle Creek Blvd")</f>
        <v>3525 Turtle Creek Blvd</v>
      </c>
      <c r="AB1585" s="40" t="str">
        <f>IFERROR(__xludf.DUMMYFUNCTION("""COMPUTED_VALUE"""),"Dallas, TX 75219")</f>
        <v>Dallas, TX 75219</v>
      </c>
      <c r="AC1585" s="31" t="s">
        <v>3239</v>
      </c>
      <c r="AD1585" s="40"/>
      <c r="AE1585" s="40"/>
      <c r="AF1585" s="40"/>
      <c r="AG1585" s="40" t="s">
        <v>60</v>
      </c>
      <c r="AH1585" s="42">
        <v>2515.0</v>
      </c>
      <c r="AI1585" s="40" t="s">
        <v>68</v>
      </c>
      <c r="AJ1585" s="27">
        <v>25.0</v>
      </c>
      <c r="AK1585" s="31" t="s">
        <v>27</v>
      </c>
      <c r="AL1585" s="43">
        <v>44894.0</v>
      </c>
      <c r="AM1585" s="44">
        <v>44943.69443287037</v>
      </c>
      <c r="AN1585" s="30">
        <v>2.0</v>
      </c>
      <c r="AO1585" s="40"/>
      <c r="AP1585" s="40"/>
      <c r="AQ1585" s="40"/>
      <c r="AR1585" s="40"/>
      <c r="AS1585" s="40"/>
      <c r="AT1585" s="47"/>
      <c r="AU1585" s="40"/>
      <c r="AV1585" s="46"/>
      <c r="AW1585" s="46"/>
      <c r="AX1585" s="47"/>
      <c r="AY1585" s="44"/>
      <c r="AZ1585" s="30"/>
      <c r="CU1585" s="55"/>
      <c r="CV1585" s="55"/>
      <c r="CW1585" s="55"/>
      <c r="CX1585" s="55"/>
      <c r="CY1585" s="55"/>
      <c r="CZ1585" s="55"/>
      <c r="DA1585" s="82"/>
      <c r="DB1585" s="55"/>
      <c r="DC1585" s="55"/>
      <c r="DD1585" s="55"/>
      <c r="DE1585" s="55"/>
      <c r="DF1585" s="55"/>
      <c r="DG1585" s="55"/>
      <c r="DH1585" s="55"/>
      <c r="DI1585" s="55"/>
      <c r="DJ1585" s="55"/>
      <c r="DK1585" s="55"/>
      <c r="DL1585" s="55"/>
      <c r="DM1585" s="55"/>
      <c r="DN1585" s="55"/>
      <c r="DO1585" s="55"/>
      <c r="DP1585" s="55"/>
      <c r="DQ1585" s="55"/>
      <c r="DR1585" s="55"/>
      <c r="DS1585" s="55"/>
      <c r="DT1585" s="55"/>
      <c r="DU1585" s="55"/>
      <c r="DV1585" s="55"/>
      <c r="DW1585" s="55"/>
    </row>
    <row r="1586">
      <c r="A1586" s="22" t="s">
        <v>55</v>
      </c>
      <c r="B1586" s="23" t="s">
        <v>56</v>
      </c>
      <c r="C1586" s="31" t="s">
        <v>3240</v>
      </c>
      <c r="D1586" s="25" t="str">
        <f>IFERROR(__xludf.DUMMYFUNCTION("SPLIT(C1586,"" "")"),"Lopez,")</f>
        <v>Lopez,</v>
      </c>
      <c r="E1586" s="22" t="str">
        <f>IFERROR(__xludf.DUMMYFUNCTION("""COMPUTED_VALUE"""),"Bridget
4326")</f>
        <v>Bridget
4326</v>
      </c>
      <c r="F1586" s="22" t="str">
        <f>IFERROR(__xludf.DUMMYFUNCTION("""COMPUTED_VALUE"""),"Meadowdale")</f>
        <v>Meadowdale</v>
      </c>
      <c r="G1586" s="22" t="str">
        <f>IFERROR(__xludf.DUMMYFUNCTION("""COMPUTED_VALUE"""),"Lane
Dallas,")</f>
        <v>Lane
Dallas,</v>
      </c>
      <c r="H1586" s="22" t="str">
        <f>IFERROR(__xludf.DUMMYFUNCTION("""COMPUTED_VALUE"""),"TX")</f>
        <v>TX</v>
      </c>
      <c r="I1586" s="22">
        <f>IFERROR(__xludf.DUMMYFUNCTION("""COMPUTED_VALUE"""),75229.0)</f>
        <v>75229</v>
      </c>
      <c r="J1586" s="22"/>
      <c r="K1586" s="22"/>
      <c r="L1586" s="22"/>
      <c r="M1586" s="22"/>
      <c r="N1586" s="22"/>
      <c r="O1586" s="22"/>
      <c r="P1586" s="22"/>
      <c r="Q1586" s="22"/>
      <c r="R1586" s="22"/>
      <c r="S1586" s="22"/>
      <c r="T1586" s="22"/>
      <c r="U1586" s="24" t="str">
        <f>IFERROR(__xludf.DUMMYFUNCTION("SPLIT(E1586,""01234567890"")"),"Bridget
")</f>
        <v>Bridget
</v>
      </c>
      <c r="V1586" s="24" t="str">
        <f>IFERROR(__xludf.DUMMYFUNCTION("SPLIT(D1586,"","")"),"Lopez")</f>
        <v>Lopez</v>
      </c>
      <c r="W1586" s="25" t="str">
        <f t="shared" si="1"/>
        <v>BRIDGET
 LOPEZ</v>
      </c>
      <c r="X1586" s="22"/>
      <c r="Y1586" s="22"/>
      <c r="Z1586" s="25" t="str">
        <f>IFERROR(__xludf.DUMMYFUNCTION("SPLIT(C1586,""
"")"),"Lopez, Bridget")</f>
        <v>Lopez, Bridget</v>
      </c>
      <c r="AA1586" s="22" t="str">
        <f>IFERROR(__xludf.DUMMYFUNCTION("""COMPUTED_VALUE"""),"4326 Meadowdale Lane")</f>
        <v>4326 Meadowdale Lane</v>
      </c>
      <c r="AB1586" s="22" t="str">
        <f>IFERROR(__xludf.DUMMYFUNCTION("""COMPUTED_VALUE"""),"Dallas, TX 75229")</f>
        <v>Dallas, TX 75229</v>
      </c>
      <c r="AC1586" s="31" t="s">
        <v>3131</v>
      </c>
      <c r="AD1586" s="22"/>
      <c r="AE1586" s="22"/>
      <c r="AF1586" s="22"/>
      <c r="AG1586" s="22" t="s">
        <v>60</v>
      </c>
      <c r="AH1586" s="54">
        <v>2515.0</v>
      </c>
      <c r="AI1586" s="22" t="s">
        <v>68</v>
      </c>
      <c r="AJ1586" s="27">
        <v>500.0</v>
      </c>
      <c r="AK1586" s="31" t="s">
        <v>27</v>
      </c>
      <c r="AL1586" s="28">
        <v>44925.0</v>
      </c>
      <c r="AM1586" s="29">
        <v>44943.69443287037</v>
      </c>
      <c r="AN1586" s="30">
        <v>2.0</v>
      </c>
      <c r="AO1586" s="22"/>
      <c r="AP1586" s="22"/>
      <c r="AQ1586" s="22"/>
      <c r="AR1586" s="22"/>
      <c r="AS1586" s="22"/>
      <c r="AT1586" s="70"/>
      <c r="AU1586" s="22"/>
      <c r="AV1586" s="57"/>
      <c r="AW1586" s="57"/>
      <c r="AX1586" s="70"/>
      <c r="AY1586" s="29"/>
      <c r="AZ1586" s="30"/>
      <c r="CU1586" s="55"/>
      <c r="CV1586" s="55"/>
      <c r="CW1586" s="55"/>
      <c r="CX1586" s="55"/>
      <c r="CY1586" s="55"/>
      <c r="CZ1586" s="55"/>
      <c r="DA1586" s="82"/>
      <c r="DB1586" s="55"/>
      <c r="DC1586" s="55"/>
      <c r="DD1586" s="55"/>
      <c r="DE1586" s="55"/>
      <c r="DF1586" s="55"/>
      <c r="DG1586" s="55"/>
      <c r="DH1586" s="55"/>
      <c r="DI1586" s="55"/>
      <c r="DJ1586" s="55"/>
      <c r="DK1586" s="55"/>
      <c r="DL1586" s="55"/>
      <c r="DM1586" s="55"/>
      <c r="DN1586" s="55"/>
      <c r="DO1586" s="55"/>
      <c r="DP1586" s="55"/>
      <c r="DQ1586" s="55"/>
      <c r="DR1586" s="55"/>
      <c r="DS1586" s="55"/>
      <c r="DT1586" s="55"/>
      <c r="DU1586" s="55"/>
      <c r="DV1586" s="55"/>
      <c r="DW1586" s="55"/>
    </row>
    <row r="1587">
      <c r="A1587" s="41" t="s">
        <v>64</v>
      </c>
      <c r="B1587" s="41" t="s">
        <v>56</v>
      </c>
      <c r="C1587" s="31" t="s">
        <v>105</v>
      </c>
      <c r="D1587" s="25" t="str">
        <f>IFERROR(__xludf.DUMMYFUNCTION("SPLIT(C1587,"" "")"),"Addy,")</f>
        <v>Addy,</v>
      </c>
      <c r="E1587" s="40" t="str">
        <f>IFERROR(__xludf.DUMMYFUNCTION("""COMPUTED_VALUE"""),"William
3805")</f>
        <v>William
3805</v>
      </c>
      <c r="F1587" s="40" t="str">
        <f>IFERROR(__xludf.DUMMYFUNCTION("""COMPUTED_VALUE"""),"Normandy")</f>
        <v>Normandy</v>
      </c>
      <c r="G1587" s="40" t="str">
        <f>IFERROR(__xludf.DUMMYFUNCTION("""COMPUTED_VALUE"""),"Ave.
Dallas,")</f>
        <v>Ave.
Dallas,</v>
      </c>
      <c r="H1587" s="40" t="str">
        <f>IFERROR(__xludf.DUMMYFUNCTION("""COMPUTED_VALUE"""),"TX")</f>
        <v>TX</v>
      </c>
      <c r="I1587" s="40">
        <f>IFERROR(__xludf.DUMMYFUNCTION("""COMPUTED_VALUE"""),75205.0)</f>
        <v>75205</v>
      </c>
      <c r="J1587" s="40"/>
      <c r="K1587" s="40"/>
      <c r="L1587" s="40"/>
      <c r="M1587" s="40"/>
      <c r="N1587" s="40"/>
      <c r="O1587" s="40"/>
      <c r="P1587" s="40"/>
      <c r="Q1587" s="40"/>
      <c r="R1587" s="40"/>
      <c r="S1587" s="40"/>
      <c r="T1587" s="40"/>
      <c r="U1587" s="24" t="str">
        <f>IFERROR(__xludf.DUMMYFUNCTION("SPLIT(E1587,""01234567890"")"),"William
")</f>
        <v>William
</v>
      </c>
      <c r="V1587" s="24" t="str">
        <f>IFERROR(__xludf.DUMMYFUNCTION("SPLIT(D1587,"","")"),"Addy")</f>
        <v>Addy</v>
      </c>
      <c r="W1587" s="25" t="str">
        <f t="shared" si="1"/>
        <v>WILLIAM
 ADDY</v>
      </c>
      <c r="X1587" s="40"/>
      <c r="Y1587" s="40"/>
      <c r="Z1587" s="25" t="str">
        <f>IFERROR(__xludf.DUMMYFUNCTION("SPLIT(C1587,""
"")"),"Addy, William")</f>
        <v>Addy, William</v>
      </c>
      <c r="AA1587" s="40" t="str">
        <f>IFERROR(__xludf.DUMMYFUNCTION("""COMPUTED_VALUE"""),"3805 Normandy Ave.")</f>
        <v>3805 Normandy Ave.</v>
      </c>
      <c r="AB1587" s="40" t="str">
        <f>IFERROR(__xludf.DUMMYFUNCTION("""COMPUTED_VALUE"""),"Dallas, TX 75205")</f>
        <v>Dallas, TX 75205</v>
      </c>
      <c r="AC1587" s="31" t="s">
        <v>104</v>
      </c>
      <c r="AD1587" s="40"/>
      <c r="AE1587" s="40"/>
      <c r="AF1587" s="40"/>
      <c r="AG1587" s="40" t="s">
        <v>60</v>
      </c>
      <c r="AH1587" s="42">
        <v>2515.0</v>
      </c>
      <c r="AI1587" s="40" t="s">
        <v>68</v>
      </c>
      <c r="AJ1587" s="27">
        <v>1000.0</v>
      </c>
      <c r="AK1587" s="31" t="s">
        <v>27</v>
      </c>
      <c r="AL1587" s="43">
        <v>44854.0</v>
      </c>
      <c r="AM1587" s="44">
        <v>44943.69443287037</v>
      </c>
      <c r="AN1587" s="30">
        <v>2.0</v>
      </c>
      <c r="AO1587" s="40"/>
      <c r="AP1587" s="40"/>
      <c r="AQ1587" s="40"/>
      <c r="AR1587" s="40"/>
      <c r="AS1587" s="40"/>
      <c r="AT1587" s="47"/>
      <c r="AU1587" s="40"/>
      <c r="AV1587" s="46"/>
      <c r="AW1587" s="46"/>
      <c r="AX1587" s="47"/>
      <c r="AY1587" s="44"/>
      <c r="AZ1587" s="30"/>
      <c r="CU1587" s="55"/>
      <c r="CV1587" s="55"/>
      <c r="CW1587" s="55"/>
      <c r="CX1587" s="55"/>
      <c r="CY1587" s="55"/>
      <c r="CZ1587" s="55"/>
      <c r="DA1587" s="82"/>
      <c r="DB1587" s="55"/>
      <c r="DC1587" s="55"/>
      <c r="DD1587" s="55"/>
      <c r="DE1587" s="55"/>
      <c r="DF1587" s="55"/>
      <c r="DG1587" s="55"/>
      <c r="DH1587" s="55"/>
      <c r="DI1587" s="55"/>
      <c r="DJ1587" s="55"/>
      <c r="DK1587" s="55"/>
      <c r="DL1587" s="55"/>
      <c r="DM1587" s="55"/>
      <c r="DN1587" s="55"/>
      <c r="DO1587" s="55"/>
      <c r="DP1587" s="55"/>
      <c r="DQ1587" s="55"/>
      <c r="DR1587" s="55"/>
      <c r="DS1587" s="55"/>
      <c r="DT1587" s="55"/>
      <c r="DU1587" s="55"/>
      <c r="DV1587" s="55"/>
      <c r="DW1587" s="55"/>
    </row>
    <row r="1588">
      <c r="A1588" s="22" t="s">
        <v>55</v>
      </c>
      <c r="B1588" s="23" t="s">
        <v>56</v>
      </c>
      <c r="C1588" s="31" t="s">
        <v>3241</v>
      </c>
      <c r="D1588" s="25" t="str">
        <f>IFERROR(__xludf.DUMMYFUNCTION("SPLIT(C1588,"" "")"),"Linebarger")</f>
        <v>Linebarger</v>
      </c>
      <c r="E1588" s="22" t="str">
        <f>IFERROR(__xludf.DUMMYFUNCTION("""COMPUTED_VALUE"""),"Noggin")</f>
        <v>Noggin</v>
      </c>
      <c r="F1588" s="22" t="str">
        <f>IFERROR(__xludf.DUMMYFUNCTION("""COMPUTED_VALUE"""),"Blair")</f>
        <v>Blair</v>
      </c>
      <c r="G1588" s="22" t="str">
        <f>IFERROR(__xludf.DUMMYFUNCTION("""COMPUTED_VALUE"""),"&amp;")</f>
        <v>&amp;</v>
      </c>
      <c r="H1588" s="22" t="str">
        <f>IFERROR(__xludf.DUMMYFUNCTION("""COMPUTED_VALUE"""),"Sampson,")</f>
        <v>Sampson,</v>
      </c>
      <c r="I1588" s="22" t="str">
        <f>IFERROR(__xludf.DUMMYFUNCTION("""COMPUTED_VALUE"""),"LLP
PO")</f>
        <v>LLP
PO</v>
      </c>
      <c r="J1588" s="22" t="str">
        <f>IFERROR(__xludf.DUMMYFUNCTION("""COMPUTED_VALUE"""),"Box")</f>
        <v>Box</v>
      </c>
      <c r="K1588" s="22" t="str">
        <f>IFERROR(__xludf.DUMMYFUNCTION("""COMPUTED_VALUE"""),"17428
Austin,")</f>
        <v>17428
Austin,</v>
      </c>
      <c r="L1588" s="22" t="str">
        <f>IFERROR(__xludf.DUMMYFUNCTION("""COMPUTED_VALUE"""),"TX")</f>
        <v>TX</v>
      </c>
      <c r="M1588" s="22">
        <f>IFERROR(__xludf.DUMMYFUNCTION("""COMPUTED_VALUE"""),78760.0)</f>
        <v>78760</v>
      </c>
      <c r="N1588" s="22"/>
      <c r="O1588" s="22"/>
      <c r="P1588" s="22"/>
      <c r="Q1588" s="22"/>
      <c r="R1588" s="22"/>
      <c r="S1588" s="22"/>
      <c r="T1588" s="22"/>
      <c r="U1588" s="24" t="str">
        <f>IFERROR(__xludf.DUMMYFUNCTION("SPLIT(E1588,""01234567890"")"),"Noggin")</f>
        <v>Noggin</v>
      </c>
      <c r="V1588" s="24" t="str">
        <f>IFERROR(__xludf.DUMMYFUNCTION("SPLIT(D1588,"","")"),"Linebarger")</f>
        <v>Linebarger</v>
      </c>
      <c r="W1588" s="25" t="str">
        <f t="shared" si="1"/>
        <v>NOGGIN LINEBARGER</v>
      </c>
      <c r="X1588" s="22"/>
      <c r="Y1588" s="22"/>
      <c r="Z1588" s="25" t="str">
        <f>IFERROR(__xludf.DUMMYFUNCTION("SPLIT(C1588,""
"")"),"Linebarger Noggin Blair &amp; Sampson, LLP")</f>
        <v>Linebarger Noggin Blair &amp; Sampson, LLP</v>
      </c>
      <c r="AA1588" s="22" t="str">
        <f>IFERROR(__xludf.DUMMYFUNCTION("""COMPUTED_VALUE"""),"PO Box 17428")</f>
        <v>PO Box 17428</v>
      </c>
      <c r="AB1588" s="22" t="str">
        <f>IFERROR(__xludf.DUMMYFUNCTION("""COMPUTED_VALUE"""),"Austin, TX 78760")</f>
        <v>Austin, TX 78760</v>
      </c>
      <c r="AC1588" s="31" t="s">
        <v>3242</v>
      </c>
      <c r="AD1588" s="22"/>
      <c r="AE1588" s="22"/>
      <c r="AF1588" s="22"/>
      <c r="AG1588" s="22" t="s">
        <v>60</v>
      </c>
      <c r="AH1588" s="54">
        <v>2515.0</v>
      </c>
      <c r="AI1588" s="22" t="s">
        <v>68</v>
      </c>
      <c r="AJ1588" s="27">
        <v>1000.0</v>
      </c>
      <c r="AK1588" s="31" t="s">
        <v>27</v>
      </c>
      <c r="AL1588" s="28">
        <v>44894.0</v>
      </c>
      <c r="AM1588" s="29">
        <v>44943.69443287037</v>
      </c>
      <c r="AN1588" s="30">
        <v>2.0</v>
      </c>
      <c r="AO1588" s="22"/>
      <c r="AP1588" s="22"/>
      <c r="AQ1588" s="22"/>
      <c r="AR1588" s="22"/>
      <c r="AS1588" s="22"/>
      <c r="AT1588" s="70"/>
      <c r="AU1588" s="22"/>
      <c r="AV1588" s="57"/>
      <c r="AW1588" s="57"/>
      <c r="AX1588" s="70"/>
      <c r="AY1588" s="29"/>
      <c r="AZ1588" s="30"/>
      <c r="CU1588" s="55"/>
      <c r="CV1588" s="55"/>
      <c r="CW1588" s="55"/>
      <c r="CX1588" s="55"/>
      <c r="CY1588" s="55"/>
      <c r="CZ1588" s="55"/>
      <c r="DA1588" s="82"/>
      <c r="DB1588" s="55"/>
      <c r="DC1588" s="55"/>
      <c r="DD1588" s="55"/>
      <c r="DE1588" s="55"/>
      <c r="DF1588" s="55"/>
      <c r="DG1588" s="55"/>
      <c r="DH1588" s="55"/>
      <c r="DI1588" s="55"/>
      <c r="DJ1588" s="55"/>
      <c r="DK1588" s="55"/>
      <c r="DL1588" s="55"/>
      <c r="DM1588" s="55"/>
      <c r="DN1588" s="55"/>
      <c r="DO1588" s="55"/>
      <c r="DP1588" s="55"/>
      <c r="DQ1588" s="55"/>
      <c r="DR1588" s="55"/>
      <c r="DS1588" s="55"/>
      <c r="DT1588" s="55"/>
      <c r="DU1588" s="55"/>
      <c r="DV1588" s="55"/>
      <c r="DW1588" s="55"/>
    </row>
    <row r="1589">
      <c r="A1589" s="41" t="s">
        <v>64</v>
      </c>
      <c r="B1589" s="41" t="s">
        <v>56</v>
      </c>
      <c r="C1589" s="31" t="s">
        <v>3243</v>
      </c>
      <c r="D1589" s="25" t="str">
        <f>IFERROR(__xludf.DUMMYFUNCTION("SPLIT(C1589,"" "")"),"Garza,")</f>
        <v>Garza,</v>
      </c>
      <c r="E1589" s="40" t="str">
        <f>IFERROR(__xludf.DUMMYFUNCTION("""COMPUTED_VALUE"""),"Jorge
2231")</f>
        <v>Jorge
2231</v>
      </c>
      <c r="F1589" s="40" t="str">
        <f>IFERROR(__xludf.DUMMYFUNCTION("""COMPUTED_VALUE"""),"Hondo")</f>
        <v>Hondo</v>
      </c>
      <c r="G1589" s="40" t="str">
        <f>IFERROR(__xludf.DUMMYFUNCTION("""COMPUTED_VALUE"""),"Ave
Dallas,")</f>
        <v>Ave
Dallas,</v>
      </c>
      <c r="H1589" s="40" t="str">
        <f>IFERROR(__xludf.DUMMYFUNCTION("""COMPUTED_VALUE"""),"TX")</f>
        <v>TX</v>
      </c>
      <c r="I1589" s="40">
        <f>IFERROR(__xludf.DUMMYFUNCTION("""COMPUTED_VALUE"""),75219.0)</f>
        <v>75219</v>
      </c>
      <c r="J1589" s="40"/>
      <c r="K1589" s="40"/>
      <c r="L1589" s="40"/>
      <c r="M1589" s="40"/>
      <c r="N1589" s="40"/>
      <c r="O1589" s="40"/>
      <c r="P1589" s="40"/>
      <c r="Q1589" s="40"/>
      <c r="R1589" s="40"/>
      <c r="S1589" s="40"/>
      <c r="T1589" s="40"/>
      <c r="U1589" s="24" t="str">
        <f>IFERROR(__xludf.DUMMYFUNCTION("SPLIT(E1589,""01234567890"")"),"Jorge
")</f>
        <v>Jorge
</v>
      </c>
      <c r="V1589" s="24" t="str">
        <f>IFERROR(__xludf.DUMMYFUNCTION("SPLIT(D1589,"","")"),"Garza")</f>
        <v>Garza</v>
      </c>
      <c r="W1589" s="25" t="str">
        <f t="shared" si="1"/>
        <v>JORGE
 GARZA</v>
      </c>
      <c r="X1589" s="40"/>
      <c r="Y1589" s="40"/>
      <c r="Z1589" s="25" t="str">
        <f>IFERROR(__xludf.DUMMYFUNCTION("SPLIT(C1589,""
"")"),"Garza, Jorge")</f>
        <v>Garza, Jorge</v>
      </c>
      <c r="AA1589" s="40" t="str">
        <f>IFERROR(__xludf.DUMMYFUNCTION("""COMPUTED_VALUE"""),"2231 Hondo Ave")</f>
        <v>2231 Hondo Ave</v>
      </c>
      <c r="AB1589" s="40" t="str">
        <f>IFERROR(__xludf.DUMMYFUNCTION("""COMPUTED_VALUE"""),"Dallas, TX 75219")</f>
        <v>Dallas, TX 75219</v>
      </c>
      <c r="AC1589" s="31" t="s">
        <v>3244</v>
      </c>
      <c r="AD1589" s="40"/>
      <c r="AE1589" s="40"/>
      <c r="AF1589" s="40"/>
      <c r="AG1589" s="40" t="s">
        <v>60</v>
      </c>
      <c r="AH1589" s="42">
        <v>2515.0</v>
      </c>
      <c r="AI1589" s="40" t="s">
        <v>68</v>
      </c>
      <c r="AJ1589" s="27">
        <v>250.0</v>
      </c>
      <c r="AK1589" s="31" t="s">
        <v>27</v>
      </c>
      <c r="AL1589" s="43">
        <v>44895.0</v>
      </c>
      <c r="AM1589" s="44">
        <v>44943.69443287037</v>
      </c>
      <c r="AN1589" s="30">
        <v>2.0</v>
      </c>
      <c r="AO1589" s="40"/>
      <c r="AP1589" s="40"/>
      <c r="AQ1589" s="40"/>
      <c r="AR1589" s="40"/>
      <c r="AS1589" s="40"/>
      <c r="AT1589" s="47"/>
      <c r="AU1589" s="40"/>
      <c r="AV1589" s="46"/>
      <c r="AW1589" s="46"/>
      <c r="AX1589" s="47"/>
      <c r="AY1589" s="44"/>
      <c r="AZ1589" s="30"/>
      <c r="CU1589" s="55"/>
      <c r="CV1589" s="55"/>
      <c r="CW1589" s="55"/>
      <c r="CX1589" s="55"/>
      <c r="CY1589" s="55"/>
      <c r="CZ1589" s="55"/>
      <c r="DA1589" s="82"/>
      <c r="DB1589" s="55"/>
      <c r="DC1589" s="55"/>
      <c r="DD1589" s="55"/>
      <c r="DE1589" s="55"/>
      <c r="DF1589" s="55"/>
      <c r="DG1589" s="55"/>
      <c r="DH1589" s="55"/>
      <c r="DI1589" s="55"/>
      <c r="DJ1589" s="55"/>
      <c r="DK1589" s="55"/>
      <c r="DL1589" s="55"/>
      <c r="DM1589" s="55"/>
      <c r="DN1589" s="55"/>
      <c r="DO1589" s="55"/>
      <c r="DP1589" s="55"/>
      <c r="DQ1589" s="55"/>
      <c r="DR1589" s="55"/>
      <c r="DS1589" s="55"/>
      <c r="DT1589" s="55"/>
      <c r="DU1589" s="55"/>
      <c r="DV1589" s="55"/>
      <c r="DW1589" s="55"/>
    </row>
    <row r="1590">
      <c r="A1590" s="22" t="s">
        <v>55</v>
      </c>
      <c r="B1590" s="23" t="s">
        <v>56</v>
      </c>
      <c r="C1590" s="31" t="s">
        <v>3245</v>
      </c>
      <c r="D1590" s="25" t="str">
        <f>IFERROR(__xludf.DUMMYFUNCTION("SPLIT(C1590,"" "")"),"Aranza,")</f>
        <v>Aranza,</v>
      </c>
      <c r="E1590" s="22" t="str">
        <f>IFERROR(__xludf.DUMMYFUNCTION("""COMPUTED_VALUE"""),"Anthony
1507")</f>
        <v>Anthony
1507</v>
      </c>
      <c r="F1590" s="22" t="str">
        <f>IFERROR(__xludf.DUMMYFUNCTION("""COMPUTED_VALUE"""),"Stonehenge")</f>
        <v>Stonehenge</v>
      </c>
      <c r="G1590" s="22" t="str">
        <f>IFERROR(__xludf.DUMMYFUNCTION("""COMPUTED_VALUE"""),"Bend")</f>
        <v>Bend</v>
      </c>
      <c r="H1590" s="22" t="str">
        <f>IFERROR(__xludf.DUMMYFUNCTION("""COMPUTED_VALUE"""),"Dr
Houston,")</f>
        <v>Dr
Houston,</v>
      </c>
      <c r="I1590" s="22" t="str">
        <f>IFERROR(__xludf.DUMMYFUNCTION("""COMPUTED_VALUE"""),"TX")</f>
        <v>TX</v>
      </c>
      <c r="J1590" s="22">
        <f>IFERROR(__xludf.DUMMYFUNCTION("""COMPUTED_VALUE"""),77072.0)</f>
        <v>77072</v>
      </c>
      <c r="K1590" s="22"/>
      <c r="L1590" s="22"/>
      <c r="M1590" s="22"/>
      <c r="N1590" s="22"/>
      <c r="O1590" s="22"/>
      <c r="P1590" s="22"/>
      <c r="Q1590" s="22"/>
      <c r="R1590" s="22"/>
      <c r="S1590" s="22"/>
      <c r="T1590" s="22"/>
      <c r="U1590" s="24" t="str">
        <f>IFERROR(__xludf.DUMMYFUNCTION("SPLIT(E1590,""01234567890"")"),"Anthony
")</f>
        <v>Anthony
</v>
      </c>
      <c r="V1590" s="24" t="str">
        <f>IFERROR(__xludf.DUMMYFUNCTION("SPLIT(D1590,"","")"),"Aranza")</f>
        <v>Aranza</v>
      </c>
      <c r="W1590" s="25" t="str">
        <f t="shared" si="1"/>
        <v>ANTHONY
 ARANZA</v>
      </c>
      <c r="X1590" s="22"/>
      <c r="Y1590" s="22"/>
      <c r="Z1590" s="25" t="str">
        <f>IFERROR(__xludf.DUMMYFUNCTION("SPLIT(C1590,""
"")"),"Aranza, Anthony")</f>
        <v>Aranza, Anthony</v>
      </c>
      <c r="AA1590" s="22" t="str">
        <f>IFERROR(__xludf.DUMMYFUNCTION("""COMPUTED_VALUE"""),"1507 Stonehenge Bend Dr")</f>
        <v>1507 Stonehenge Bend Dr</v>
      </c>
      <c r="AB1590" s="22" t="str">
        <f>IFERROR(__xludf.DUMMYFUNCTION("""COMPUTED_VALUE"""),"Houston, TX 77072")</f>
        <v>Houston, TX 77072</v>
      </c>
      <c r="AC1590" s="31" t="s">
        <v>220</v>
      </c>
      <c r="AD1590" s="22"/>
      <c r="AE1590" s="22"/>
      <c r="AF1590" s="22"/>
      <c r="AG1590" s="22" t="s">
        <v>60</v>
      </c>
      <c r="AH1590" s="54">
        <v>2515.0</v>
      </c>
      <c r="AI1590" s="22" t="s">
        <v>68</v>
      </c>
      <c r="AJ1590" s="27">
        <v>1000.0</v>
      </c>
      <c r="AK1590" s="31" t="s">
        <v>27</v>
      </c>
      <c r="AL1590" s="28">
        <v>44907.0</v>
      </c>
      <c r="AM1590" s="29">
        <v>44943.69443287037</v>
      </c>
      <c r="AN1590" s="30">
        <v>2.0</v>
      </c>
      <c r="AO1590" s="22"/>
      <c r="AP1590" s="22"/>
      <c r="AQ1590" s="22"/>
      <c r="AR1590" s="22"/>
      <c r="AS1590" s="22"/>
      <c r="AT1590" s="70"/>
      <c r="AU1590" s="22"/>
      <c r="AV1590" s="57"/>
      <c r="AW1590" s="57"/>
      <c r="AX1590" s="70"/>
      <c r="AY1590" s="29"/>
      <c r="AZ1590" s="30"/>
      <c r="CU1590" s="55"/>
      <c r="CV1590" s="55"/>
      <c r="CW1590" s="55"/>
      <c r="CX1590" s="55"/>
      <c r="CY1590" s="55"/>
      <c r="CZ1590" s="55"/>
      <c r="DA1590" s="82"/>
      <c r="DB1590" s="55"/>
      <c r="DC1590" s="55"/>
      <c r="DD1590" s="55"/>
      <c r="DE1590" s="55"/>
      <c r="DF1590" s="55"/>
      <c r="DG1590" s="55"/>
      <c r="DH1590" s="55"/>
      <c r="DI1590" s="55"/>
      <c r="DJ1590" s="55"/>
      <c r="DK1590" s="55"/>
      <c r="DL1590" s="55"/>
      <c r="DM1590" s="55"/>
      <c r="DN1590" s="55"/>
      <c r="DO1590" s="55"/>
      <c r="DP1590" s="55"/>
      <c r="DQ1590" s="55"/>
      <c r="DR1590" s="55"/>
      <c r="DS1590" s="55"/>
      <c r="DT1590" s="55"/>
      <c r="DU1590" s="55"/>
      <c r="DV1590" s="55"/>
      <c r="DW1590" s="55"/>
    </row>
    <row r="1591">
      <c r="A1591" s="41" t="s">
        <v>64</v>
      </c>
      <c r="B1591" s="41" t="s">
        <v>56</v>
      </c>
      <c r="C1591" s="31" t="s">
        <v>231</v>
      </c>
      <c r="D1591" s="25" t="str">
        <f>IFERROR(__xludf.DUMMYFUNCTION("SPLIT(C1591,"" "")"),"Aranza,")</f>
        <v>Aranza,</v>
      </c>
      <c r="E1591" s="40" t="str">
        <f>IFERROR(__xludf.DUMMYFUNCTION("""COMPUTED_VALUE"""),"Humberto
3105")</f>
        <v>Humberto
3105</v>
      </c>
      <c r="F1591" s="40" t="str">
        <f>IFERROR(__xludf.DUMMYFUNCTION("""COMPUTED_VALUE"""),"SanJacinto")</f>
        <v>SanJacinto</v>
      </c>
      <c r="G1591" s="40" t="str">
        <f>IFERROR(__xludf.DUMMYFUNCTION("""COMPUTED_VALUE"""),"St
Dallas,")</f>
        <v>St
Dallas,</v>
      </c>
      <c r="H1591" s="40" t="str">
        <f>IFERROR(__xludf.DUMMYFUNCTION("""COMPUTED_VALUE"""),"TX")</f>
        <v>TX</v>
      </c>
      <c r="I1591" s="40">
        <f>IFERROR(__xludf.DUMMYFUNCTION("""COMPUTED_VALUE"""),75204.0)</f>
        <v>75204</v>
      </c>
      <c r="J1591" s="40"/>
      <c r="K1591" s="40"/>
      <c r="L1591" s="40"/>
      <c r="M1591" s="40"/>
      <c r="N1591" s="40"/>
      <c r="O1591" s="40"/>
      <c r="P1591" s="40"/>
      <c r="Q1591" s="40"/>
      <c r="R1591" s="40"/>
      <c r="S1591" s="40"/>
      <c r="T1591" s="40"/>
      <c r="U1591" s="24" t="str">
        <f>IFERROR(__xludf.DUMMYFUNCTION("SPLIT(E1591,""01234567890"")"),"Humberto
")</f>
        <v>Humberto
</v>
      </c>
      <c r="V1591" s="24" t="str">
        <f>IFERROR(__xludf.DUMMYFUNCTION("SPLIT(D1591,"","")"),"Aranza")</f>
        <v>Aranza</v>
      </c>
      <c r="W1591" s="25" t="str">
        <f t="shared" si="1"/>
        <v>HUMBERTO
 ARANZA</v>
      </c>
      <c r="X1591" s="40"/>
      <c r="Y1591" s="40"/>
      <c r="Z1591" s="25" t="str">
        <f>IFERROR(__xludf.DUMMYFUNCTION("SPLIT(C1591,""
"")"),"Aranza, Humberto")</f>
        <v>Aranza, Humberto</v>
      </c>
      <c r="AA1591" s="40" t="str">
        <f>IFERROR(__xludf.DUMMYFUNCTION("""COMPUTED_VALUE"""),"3105 SanJacinto St")</f>
        <v>3105 SanJacinto St</v>
      </c>
      <c r="AB1591" s="40" t="str">
        <f>IFERROR(__xludf.DUMMYFUNCTION("""COMPUTED_VALUE"""),"Dallas, TX 75204")</f>
        <v>Dallas, TX 75204</v>
      </c>
      <c r="AC1591" s="31" t="s">
        <v>230</v>
      </c>
      <c r="AD1591" s="40"/>
      <c r="AE1591" s="40"/>
      <c r="AF1591" s="40"/>
      <c r="AG1591" s="40" t="s">
        <v>60</v>
      </c>
      <c r="AH1591" s="42">
        <v>2515.0</v>
      </c>
      <c r="AI1591" s="40" t="s">
        <v>68</v>
      </c>
      <c r="AJ1591" s="27">
        <v>1000.0</v>
      </c>
      <c r="AK1591" s="31" t="s">
        <v>27</v>
      </c>
      <c r="AL1591" s="43">
        <v>44907.0</v>
      </c>
      <c r="AM1591" s="44">
        <v>44943.69443287037</v>
      </c>
      <c r="AN1591" s="30">
        <v>2.0</v>
      </c>
      <c r="AO1591" s="40"/>
      <c r="AP1591" s="40"/>
      <c r="AQ1591" s="40"/>
      <c r="AR1591" s="40"/>
      <c r="AS1591" s="40"/>
      <c r="AT1591" s="47"/>
      <c r="AU1591" s="40"/>
      <c r="AV1591" s="46"/>
      <c r="AW1591" s="46"/>
      <c r="AX1591" s="47"/>
      <c r="AY1591" s="44"/>
      <c r="AZ1591" s="30"/>
      <c r="CU1591" s="55"/>
      <c r="CV1591" s="55"/>
      <c r="CW1591" s="55"/>
      <c r="CX1591" s="55"/>
      <c r="CY1591" s="55"/>
      <c r="CZ1591" s="55"/>
      <c r="DA1591" s="82"/>
      <c r="DB1591" s="55"/>
      <c r="DC1591" s="55"/>
      <c r="DD1591" s="55"/>
      <c r="DE1591" s="55"/>
      <c r="DF1591" s="55"/>
      <c r="DG1591" s="55"/>
      <c r="DH1591" s="55"/>
      <c r="DI1591" s="55"/>
      <c r="DJ1591" s="55"/>
      <c r="DK1591" s="55"/>
      <c r="DL1591" s="55"/>
      <c r="DM1591" s="55"/>
      <c r="DN1591" s="55"/>
      <c r="DO1591" s="55"/>
      <c r="DP1591" s="55"/>
      <c r="DQ1591" s="55"/>
      <c r="DR1591" s="55"/>
      <c r="DS1591" s="55"/>
      <c r="DT1591" s="55"/>
      <c r="DU1591" s="55"/>
      <c r="DV1591" s="55"/>
      <c r="DW1591" s="55"/>
    </row>
    <row r="1592">
      <c r="A1592" s="22" t="s">
        <v>55</v>
      </c>
      <c r="B1592" s="23" t="s">
        <v>56</v>
      </c>
      <c r="C1592" s="31" t="s">
        <v>3246</v>
      </c>
      <c r="D1592" s="25" t="str">
        <f>IFERROR(__xludf.DUMMYFUNCTION("SPLIT(C1592,"" "")"),"Montfort,")</f>
        <v>Montfort,</v>
      </c>
      <c r="E1592" s="22" t="str">
        <f>IFERROR(__xludf.DUMMYFUNCTION("""COMPUTED_VALUE"""),"Jane
1610")</f>
        <v>Jane
1610</v>
      </c>
      <c r="F1592" s="22" t="str">
        <f>IFERROR(__xludf.DUMMYFUNCTION("""COMPUTED_VALUE"""),"Hyland")</f>
        <v>Hyland</v>
      </c>
      <c r="G1592" s="22" t="str">
        <f>IFERROR(__xludf.DUMMYFUNCTION("""COMPUTED_VALUE"""),"Greens")</f>
        <v>Greens</v>
      </c>
      <c r="H1592" s="22" t="str">
        <f>IFERROR(__xludf.DUMMYFUNCTION("""COMPUTED_VALUE"""),"Dr
Grapevine,")</f>
        <v>Dr
Grapevine,</v>
      </c>
      <c r="I1592" s="22" t="str">
        <f>IFERROR(__xludf.DUMMYFUNCTION("""COMPUTED_VALUE"""),"TX")</f>
        <v>TX</v>
      </c>
      <c r="J1592" s="22">
        <f>IFERROR(__xludf.DUMMYFUNCTION("""COMPUTED_VALUE"""),76051.0)</f>
        <v>76051</v>
      </c>
      <c r="K1592" s="22"/>
      <c r="L1592" s="22"/>
      <c r="M1592" s="22"/>
      <c r="N1592" s="22"/>
      <c r="O1592" s="22"/>
      <c r="P1592" s="22"/>
      <c r="Q1592" s="22"/>
      <c r="R1592" s="22"/>
      <c r="S1592" s="22"/>
      <c r="T1592" s="22"/>
      <c r="U1592" s="24" t="str">
        <f>IFERROR(__xludf.DUMMYFUNCTION("SPLIT(E1592,""01234567890"")"),"Jane
")</f>
        <v>Jane
</v>
      </c>
      <c r="V1592" s="24" t="str">
        <f>IFERROR(__xludf.DUMMYFUNCTION("SPLIT(D1592,"","")"),"Montfort")</f>
        <v>Montfort</v>
      </c>
      <c r="W1592" s="25" t="str">
        <f t="shared" si="1"/>
        <v>JANE
 MONTFORT</v>
      </c>
      <c r="X1592" s="22"/>
      <c r="Y1592" s="22"/>
      <c r="Z1592" s="25" t="str">
        <f>IFERROR(__xludf.DUMMYFUNCTION("SPLIT(C1592,""
"")"),"Montfort, Jane")</f>
        <v>Montfort, Jane</v>
      </c>
      <c r="AA1592" s="22" t="str">
        <f>IFERROR(__xludf.DUMMYFUNCTION("""COMPUTED_VALUE"""),"1610 Hyland Greens Dr")</f>
        <v>1610 Hyland Greens Dr</v>
      </c>
      <c r="AB1592" s="22" t="str">
        <f>IFERROR(__xludf.DUMMYFUNCTION("""COMPUTED_VALUE"""),"Grapevine, TX 76051")</f>
        <v>Grapevine, TX 76051</v>
      </c>
      <c r="AC1592" s="31" t="s">
        <v>3247</v>
      </c>
      <c r="AD1592" s="22"/>
      <c r="AE1592" s="22"/>
      <c r="AF1592" s="22"/>
      <c r="AG1592" s="22" t="s">
        <v>60</v>
      </c>
      <c r="AH1592" s="54">
        <v>2515.0</v>
      </c>
      <c r="AI1592" s="22" t="s">
        <v>68</v>
      </c>
      <c r="AJ1592" s="27">
        <v>1000.0</v>
      </c>
      <c r="AK1592" s="31" t="s">
        <v>27</v>
      </c>
      <c r="AL1592" s="28">
        <v>44907.0</v>
      </c>
      <c r="AM1592" s="29">
        <v>44943.69443287037</v>
      </c>
      <c r="AN1592" s="30">
        <v>2.0</v>
      </c>
      <c r="AO1592" s="22"/>
      <c r="AP1592" s="22"/>
      <c r="AQ1592" s="22"/>
      <c r="AR1592" s="22"/>
      <c r="AS1592" s="22"/>
      <c r="AT1592" s="70"/>
      <c r="AU1592" s="22"/>
      <c r="AV1592" s="57"/>
      <c r="AW1592" s="57"/>
      <c r="AX1592" s="70"/>
      <c r="AY1592" s="29"/>
      <c r="AZ1592" s="30"/>
      <c r="CU1592" s="55"/>
      <c r="CV1592" s="55"/>
      <c r="CW1592" s="55"/>
      <c r="CX1592" s="55"/>
      <c r="CY1592" s="55"/>
      <c r="CZ1592" s="55"/>
      <c r="DA1592" s="82"/>
      <c r="DB1592" s="55"/>
      <c r="DC1592" s="55"/>
      <c r="DD1592" s="55"/>
      <c r="DE1592" s="55"/>
      <c r="DF1592" s="55"/>
      <c r="DG1592" s="55"/>
      <c r="DH1592" s="55"/>
      <c r="DI1592" s="55"/>
      <c r="DJ1592" s="55"/>
      <c r="DK1592" s="55"/>
      <c r="DL1592" s="55"/>
      <c r="DM1592" s="55"/>
      <c r="DN1592" s="55"/>
      <c r="DO1592" s="55"/>
      <c r="DP1592" s="55"/>
      <c r="DQ1592" s="55"/>
      <c r="DR1592" s="55"/>
      <c r="DS1592" s="55"/>
      <c r="DT1592" s="55"/>
      <c r="DU1592" s="55"/>
      <c r="DV1592" s="55"/>
      <c r="DW1592" s="55"/>
    </row>
    <row r="1593">
      <c r="A1593" s="41" t="s">
        <v>64</v>
      </c>
      <c r="B1593" s="41" t="s">
        <v>56</v>
      </c>
      <c r="C1593" s="31" t="s">
        <v>3248</v>
      </c>
      <c r="D1593" s="25" t="str">
        <f>IFERROR(__xludf.DUMMYFUNCTION("SPLIT(C1593,"" "")"),"Crow,")</f>
        <v>Crow,</v>
      </c>
      <c r="E1593" s="40" t="str">
        <f>IFERROR(__xludf.DUMMYFUNCTION("""COMPUTED_VALUE"""),"Harlen
3819")</f>
        <v>Harlen
3819</v>
      </c>
      <c r="F1593" s="40" t="str">
        <f>IFERROR(__xludf.DUMMYFUNCTION("""COMPUTED_VALUE"""),"Maple")</f>
        <v>Maple</v>
      </c>
      <c r="G1593" s="40" t="str">
        <f>IFERROR(__xludf.DUMMYFUNCTION("""COMPUTED_VALUE"""),"Ave
Dallas,")</f>
        <v>Ave
Dallas,</v>
      </c>
      <c r="H1593" s="40" t="str">
        <f>IFERROR(__xludf.DUMMYFUNCTION("""COMPUTED_VALUE"""),"TX")</f>
        <v>TX</v>
      </c>
      <c r="I1593" s="40">
        <f>IFERROR(__xludf.DUMMYFUNCTION("""COMPUTED_VALUE"""),75219.0)</f>
        <v>75219</v>
      </c>
      <c r="J1593" s="40"/>
      <c r="K1593" s="40"/>
      <c r="L1593" s="40"/>
      <c r="M1593" s="40"/>
      <c r="N1593" s="40"/>
      <c r="O1593" s="40"/>
      <c r="P1593" s="40"/>
      <c r="Q1593" s="40"/>
      <c r="R1593" s="40"/>
      <c r="S1593" s="40"/>
      <c r="T1593" s="40"/>
      <c r="U1593" s="24" t="str">
        <f>IFERROR(__xludf.DUMMYFUNCTION("SPLIT(E1593,""01234567890"")"),"Harlen
")</f>
        <v>Harlen
</v>
      </c>
      <c r="V1593" s="24" t="str">
        <f>IFERROR(__xludf.DUMMYFUNCTION("SPLIT(D1593,"","")"),"Crow")</f>
        <v>Crow</v>
      </c>
      <c r="W1593" s="25" t="str">
        <f t="shared" si="1"/>
        <v>HARLEN
 CROW</v>
      </c>
      <c r="X1593" s="40"/>
      <c r="Y1593" s="40"/>
      <c r="Z1593" s="25" t="str">
        <f>IFERROR(__xludf.DUMMYFUNCTION("SPLIT(C1593,""
"")"),"Crow, Harlen")</f>
        <v>Crow, Harlen</v>
      </c>
      <c r="AA1593" s="40" t="str">
        <f>IFERROR(__xludf.DUMMYFUNCTION("""COMPUTED_VALUE"""),"3819 Maple Ave")</f>
        <v>3819 Maple Ave</v>
      </c>
      <c r="AB1593" s="40" t="str">
        <f>IFERROR(__xludf.DUMMYFUNCTION("""COMPUTED_VALUE"""),"Dallas, TX 75219")</f>
        <v>Dallas, TX 75219</v>
      </c>
      <c r="AC1593" s="31" t="s">
        <v>3249</v>
      </c>
      <c r="AD1593" s="40"/>
      <c r="AE1593" s="40"/>
      <c r="AF1593" s="40"/>
      <c r="AG1593" s="40" t="s">
        <v>60</v>
      </c>
      <c r="AH1593" s="42">
        <v>2515.0</v>
      </c>
      <c r="AI1593" s="40" t="s">
        <v>68</v>
      </c>
      <c r="AJ1593" s="27">
        <v>1000.0</v>
      </c>
      <c r="AK1593" s="31" t="s">
        <v>27</v>
      </c>
      <c r="AL1593" s="43">
        <v>44915.0</v>
      </c>
      <c r="AM1593" s="44">
        <v>44943.69443287037</v>
      </c>
      <c r="AN1593" s="30">
        <v>2.0</v>
      </c>
      <c r="AO1593" s="40"/>
      <c r="AP1593" s="40"/>
      <c r="AQ1593" s="40"/>
      <c r="AR1593" s="40"/>
      <c r="AS1593" s="40"/>
      <c r="AT1593" s="47"/>
      <c r="AU1593" s="40"/>
      <c r="AV1593" s="46"/>
      <c r="AW1593" s="46"/>
      <c r="AX1593" s="47"/>
      <c r="AY1593" s="44"/>
      <c r="AZ1593" s="30"/>
      <c r="CU1593" s="55"/>
      <c r="CV1593" s="55"/>
      <c r="CW1593" s="55"/>
      <c r="CX1593" s="55"/>
      <c r="CY1593" s="55"/>
      <c r="CZ1593" s="55"/>
      <c r="DA1593" s="82"/>
      <c r="DB1593" s="55"/>
      <c r="DC1593" s="55"/>
      <c r="DD1593" s="55"/>
      <c r="DE1593" s="55"/>
      <c r="DF1593" s="55"/>
      <c r="DG1593" s="55"/>
      <c r="DH1593" s="55"/>
      <c r="DI1593" s="55"/>
      <c r="DJ1593" s="55"/>
      <c r="DK1593" s="55"/>
      <c r="DL1593" s="55"/>
      <c r="DM1593" s="55"/>
      <c r="DN1593" s="55"/>
      <c r="DO1593" s="55"/>
      <c r="DP1593" s="55"/>
      <c r="DQ1593" s="55"/>
      <c r="DR1593" s="55"/>
      <c r="DS1593" s="55"/>
      <c r="DT1593" s="55"/>
      <c r="DU1593" s="55"/>
      <c r="DV1593" s="55"/>
      <c r="DW1593" s="55"/>
    </row>
    <row r="1594">
      <c r="A1594" s="22" t="s">
        <v>55</v>
      </c>
      <c r="B1594" s="23" t="s">
        <v>56</v>
      </c>
      <c r="C1594" s="31" t="s">
        <v>2433</v>
      </c>
      <c r="D1594" s="25" t="str">
        <f>IFERROR(__xludf.DUMMYFUNCTION("SPLIT(C1594,"" "")"),"Crow,")</f>
        <v>Crow,</v>
      </c>
      <c r="E1594" s="22" t="str">
        <f>IFERROR(__xludf.DUMMYFUNCTION("""COMPUTED_VALUE"""),"Katherine
4700")</f>
        <v>Katherine
4700</v>
      </c>
      <c r="F1594" s="22" t="str">
        <f>IFERROR(__xludf.DUMMYFUNCTION("""COMPUTED_VALUE"""),"Preston")</f>
        <v>Preston</v>
      </c>
      <c r="G1594" s="22" t="str">
        <f>IFERROR(__xludf.DUMMYFUNCTION("""COMPUTED_VALUE"""),"Rd
Dallas,")</f>
        <v>Rd
Dallas,</v>
      </c>
      <c r="H1594" s="22" t="str">
        <f>IFERROR(__xludf.DUMMYFUNCTION("""COMPUTED_VALUE"""),"TX")</f>
        <v>TX</v>
      </c>
      <c r="I1594" s="22">
        <f>IFERROR(__xludf.DUMMYFUNCTION("""COMPUTED_VALUE"""),75205.0)</f>
        <v>75205</v>
      </c>
      <c r="J1594" s="22"/>
      <c r="K1594" s="22"/>
      <c r="L1594" s="22"/>
      <c r="M1594" s="22"/>
      <c r="N1594" s="22"/>
      <c r="O1594" s="22"/>
      <c r="P1594" s="22"/>
      <c r="Q1594" s="22"/>
      <c r="R1594" s="22"/>
      <c r="S1594" s="22"/>
      <c r="T1594" s="22"/>
      <c r="U1594" s="24" t="str">
        <f>IFERROR(__xludf.DUMMYFUNCTION("SPLIT(E1594,""01234567890"")"),"Katherine
")</f>
        <v>Katherine
</v>
      </c>
      <c r="V1594" s="24" t="str">
        <f>IFERROR(__xludf.DUMMYFUNCTION("SPLIT(D1594,"","")"),"Crow")</f>
        <v>Crow</v>
      </c>
      <c r="W1594" s="25" t="str">
        <f t="shared" si="1"/>
        <v>KATHERINE
 CROW</v>
      </c>
      <c r="X1594" s="22"/>
      <c r="Y1594" s="22"/>
      <c r="Z1594" s="25" t="str">
        <f>IFERROR(__xludf.DUMMYFUNCTION("SPLIT(C1594,""
"")"),"Crow, Katherine")</f>
        <v>Crow, Katherine</v>
      </c>
      <c r="AA1594" s="22" t="str">
        <f>IFERROR(__xludf.DUMMYFUNCTION("""COMPUTED_VALUE"""),"4700 Preston Rd")</f>
        <v>4700 Preston Rd</v>
      </c>
      <c r="AB1594" s="22" t="str">
        <f>IFERROR(__xludf.DUMMYFUNCTION("""COMPUTED_VALUE"""),"Dallas, TX 75205")</f>
        <v>Dallas, TX 75205</v>
      </c>
      <c r="AC1594" s="31" t="s">
        <v>2434</v>
      </c>
      <c r="AD1594" s="22"/>
      <c r="AE1594" s="22"/>
      <c r="AF1594" s="22"/>
      <c r="AG1594" s="22" t="s">
        <v>60</v>
      </c>
      <c r="AH1594" s="54">
        <v>2515.0</v>
      </c>
      <c r="AI1594" s="22" t="s">
        <v>68</v>
      </c>
      <c r="AJ1594" s="27">
        <v>1000.0</v>
      </c>
      <c r="AK1594" s="31" t="s">
        <v>27</v>
      </c>
      <c r="AL1594" s="28">
        <v>44911.0</v>
      </c>
      <c r="AM1594" s="29">
        <v>44943.69443287037</v>
      </c>
      <c r="AN1594" s="30">
        <v>2.0</v>
      </c>
      <c r="AO1594" s="22"/>
      <c r="AP1594" s="22"/>
      <c r="AQ1594" s="22"/>
      <c r="AR1594" s="22"/>
      <c r="AS1594" s="22"/>
      <c r="AT1594" s="70"/>
      <c r="AU1594" s="22"/>
      <c r="AV1594" s="57"/>
      <c r="AW1594" s="57"/>
      <c r="AX1594" s="70"/>
      <c r="AY1594" s="29"/>
      <c r="AZ1594" s="30"/>
      <c r="CU1594" s="55"/>
      <c r="CV1594" s="55"/>
      <c r="CW1594" s="55"/>
      <c r="CX1594" s="55"/>
      <c r="CY1594" s="55"/>
      <c r="CZ1594" s="55"/>
      <c r="DA1594" s="82"/>
      <c r="DB1594" s="55"/>
      <c r="DC1594" s="55"/>
      <c r="DD1594" s="55"/>
      <c r="DE1594" s="55"/>
      <c r="DF1594" s="55"/>
      <c r="DG1594" s="55"/>
      <c r="DH1594" s="55"/>
      <c r="DI1594" s="55"/>
      <c r="DJ1594" s="55"/>
      <c r="DK1594" s="55"/>
      <c r="DL1594" s="55"/>
      <c r="DM1594" s="55"/>
      <c r="DN1594" s="55"/>
      <c r="DO1594" s="55"/>
      <c r="DP1594" s="55"/>
      <c r="DQ1594" s="55"/>
      <c r="DR1594" s="55"/>
      <c r="DS1594" s="55"/>
      <c r="DT1594" s="55"/>
      <c r="DU1594" s="55"/>
      <c r="DV1594" s="55"/>
      <c r="DW1594" s="55"/>
    </row>
    <row r="1595">
      <c r="A1595" s="41" t="s">
        <v>64</v>
      </c>
      <c r="B1595" s="41" t="s">
        <v>56</v>
      </c>
      <c r="C1595" s="31" t="s">
        <v>1999</v>
      </c>
      <c r="D1595" s="25" t="str">
        <f>IFERROR(__xludf.DUMMYFUNCTION("SPLIT(C1595,"" "")"),"Crow,")</f>
        <v>Crow,</v>
      </c>
      <c r="E1595" s="40" t="str">
        <f>IFERROR(__xludf.DUMMYFUNCTION("""COMPUTED_VALUE"""),"Trammell
4000")</f>
        <v>Trammell
4000</v>
      </c>
      <c r="F1595" s="40" t="str">
        <f>IFERROR(__xludf.DUMMYFUNCTION("""COMPUTED_VALUE"""),"Rock")</f>
        <v>Rock</v>
      </c>
      <c r="G1595" s="40" t="str">
        <f>IFERROR(__xludf.DUMMYFUNCTION("""COMPUTED_VALUE"""),"Creek")</f>
        <v>Creek</v>
      </c>
      <c r="H1595" s="40" t="str">
        <f>IFERROR(__xludf.DUMMYFUNCTION("""COMPUTED_VALUE"""),"Dr
Dallas,")</f>
        <v>Dr
Dallas,</v>
      </c>
      <c r="I1595" s="40" t="str">
        <f>IFERROR(__xludf.DUMMYFUNCTION("""COMPUTED_VALUE"""),"TX")</f>
        <v>TX</v>
      </c>
      <c r="J1595" s="40">
        <f>IFERROR(__xludf.DUMMYFUNCTION("""COMPUTED_VALUE"""),75204.0)</f>
        <v>75204</v>
      </c>
      <c r="K1595" s="40"/>
      <c r="L1595" s="40"/>
      <c r="M1595" s="40"/>
      <c r="N1595" s="40"/>
      <c r="O1595" s="40"/>
      <c r="P1595" s="40"/>
      <c r="Q1595" s="40"/>
      <c r="R1595" s="40"/>
      <c r="S1595" s="40"/>
      <c r="T1595" s="40"/>
      <c r="U1595" s="24" t="str">
        <f>IFERROR(__xludf.DUMMYFUNCTION("SPLIT(E1595,""01234567890"")"),"Trammell
")</f>
        <v>Trammell
</v>
      </c>
      <c r="V1595" s="24" t="str">
        <f>IFERROR(__xludf.DUMMYFUNCTION("SPLIT(D1595,"","")"),"Crow")</f>
        <v>Crow</v>
      </c>
      <c r="W1595" s="25" t="str">
        <f t="shared" si="1"/>
        <v>TRAMMELL
 CROW</v>
      </c>
      <c r="X1595" s="40"/>
      <c r="Y1595" s="40"/>
      <c r="Z1595" s="25" t="str">
        <f>IFERROR(__xludf.DUMMYFUNCTION("SPLIT(C1595,""
"")"),"Crow, Trammell")</f>
        <v>Crow, Trammell</v>
      </c>
      <c r="AA1595" s="40" t="str">
        <f>IFERROR(__xludf.DUMMYFUNCTION("""COMPUTED_VALUE"""),"4000 Rock Creek Dr")</f>
        <v>4000 Rock Creek Dr</v>
      </c>
      <c r="AB1595" s="40" t="str">
        <f>IFERROR(__xludf.DUMMYFUNCTION("""COMPUTED_VALUE"""),"Dallas, TX 75204")</f>
        <v>Dallas, TX 75204</v>
      </c>
      <c r="AC1595" s="31" t="s">
        <v>2000</v>
      </c>
      <c r="AD1595" s="40"/>
      <c r="AE1595" s="40"/>
      <c r="AF1595" s="40"/>
      <c r="AG1595" s="40" t="s">
        <v>60</v>
      </c>
      <c r="AH1595" s="42">
        <v>2515.0</v>
      </c>
      <c r="AI1595" s="40" t="s">
        <v>68</v>
      </c>
      <c r="AJ1595" s="27">
        <v>1000.0</v>
      </c>
      <c r="AK1595" s="31" t="s">
        <v>27</v>
      </c>
      <c r="AL1595" s="43">
        <v>44916.0</v>
      </c>
      <c r="AM1595" s="44">
        <v>44943.69443287037</v>
      </c>
      <c r="AN1595" s="30">
        <v>2.0</v>
      </c>
      <c r="AO1595" s="40"/>
      <c r="AP1595" s="40"/>
      <c r="AQ1595" s="40"/>
      <c r="AR1595" s="40"/>
      <c r="AS1595" s="40"/>
      <c r="AT1595" s="47"/>
      <c r="AU1595" s="40"/>
      <c r="AV1595" s="46"/>
      <c r="AW1595" s="46"/>
      <c r="AX1595" s="47"/>
      <c r="AY1595" s="44"/>
      <c r="AZ1595" s="30"/>
      <c r="CU1595" s="55"/>
      <c r="CV1595" s="55"/>
      <c r="CW1595" s="55"/>
      <c r="CX1595" s="55"/>
      <c r="CY1595" s="55"/>
      <c r="CZ1595" s="55"/>
      <c r="DA1595" s="82"/>
      <c r="DB1595" s="55"/>
      <c r="DC1595" s="55"/>
      <c r="DD1595" s="55"/>
      <c r="DE1595" s="55"/>
      <c r="DF1595" s="55"/>
      <c r="DG1595" s="55"/>
      <c r="DH1595" s="55"/>
      <c r="DI1595" s="55"/>
      <c r="DJ1595" s="55"/>
      <c r="DK1595" s="55"/>
      <c r="DL1595" s="55"/>
      <c r="DM1595" s="55"/>
      <c r="DN1595" s="55"/>
      <c r="DO1595" s="55"/>
      <c r="DP1595" s="55"/>
      <c r="DQ1595" s="55"/>
      <c r="DR1595" s="55"/>
      <c r="DS1595" s="55"/>
      <c r="DT1595" s="55"/>
      <c r="DU1595" s="55"/>
      <c r="DV1595" s="55"/>
      <c r="DW1595" s="55"/>
    </row>
    <row r="1596">
      <c r="A1596" s="22" t="s">
        <v>55</v>
      </c>
      <c r="B1596" s="23" t="s">
        <v>56</v>
      </c>
      <c r="C1596" s="31" t="s">
        <v>2645</v>
      </c>
      <c r="D1596" s="25" t="str">
        <f>IFERROR(__xludf.DUMMYFUNCTION("SPLIT(C1596,"" "")"),"Southwest")</f>
        <v>Southwest</v>
      </c>
      <c r="E1596" s="22" t="str">
        <f>IFERROR(__xludf.DUMMYFUNCTION("""COMPUTED_VALUE"""),"Airlines")</f>
        <v>Airlines</v>
      </c>
      <c r="F1596" s="22" t="str">
        <f>IFERROR(__xludf.DUMMYFUNCTION("""COMPUTED_VALUE"""),"Co.")</f>
        <v>Co.</v>
      </c>
      <c r="G1596" s="22" t="str">
        <f>IFERROR(__xludf.DUMMYFUNCTION("""COMPUTED_VALUE"""),"Freedom")</f>
        <v>Freedom</v>
      </c>
      <c r="H1596" s="22" t="str">
        <f>IFERROR(__xludf.DUMMYFUNCTION("""COMPUTED_VALUE"""),"Fund
PO")</f>
        <v>Fund
PO</v>
      </c>
      <c r="I1596" s="22" t="str">
        <f>IFERROR(__xludf.DUMMYFUNCTION("""COMPUTED_VALUE"""),"Box")</f>
        <v>Box</v>
      </c>
      <c r="J1596" s="22" t="str">
        <f>IFERROR(__xludf.DUMMYFUNCTION("""COMPUTED_VALUE"""),"36611
Dallas,")</f>
        <v>36611
Dallas,</v>
      </c>
      <c r="K1596" s="22" t="str">
        <f>IFERROR(__xludf.DUMMYFUNCTION("""COMPUTED_VALUE"""),"TX")</f>
        <v>TX</v>
      </c>
      <c r="L1596" s="22">
        <f>IFERROR(__xludf.DUMMYFUNCTION("""COMPUTED_VALUE"""),75235.0)</f>
        <v>75235</v>
      </c>
      <c r="M1596" s="22"/>
      <c r="N1596" s="22"/>
      <c r="O1596" s="22"/>
      <c r="P1596" s="22"/>
      <c r="Q1596" s="22"/>
      <c r="R1596" s="22"/>
      <c r="S1596" s="22"/>
      <c r="T1596" s="22"/>
      <c r="U1596" s="24" t="str">
        <f>IFERROR(__xludf.DUMMYFUNCTION("SPLIT(E1596,""01234567890"")"),"Airlines")</f>
        <v>Airlines</v>
      </c>
      <c r="V1596" s="24" t="str">
        <f>IFERROR(__xludf.DUMMYFUNCTION("SPLIT(D1596,"","")"),"Southwest")</f>
        <v>Southwest</v>
      </c>
      <c r="W1596" s="25" t="str">
        <f t="shared" si="1"/>
        <v>AIRLINES SOUTHWEST</v>
      </c>
      <c r="X1596" s="22"/>
      <c r="Y1596" s="22"/>
      <c r="Z1596" s="25" t="str">
        <f>IFERROR(__xludf.DUMMYFUNCTION("SPLIT(C1596,""
"")"),"Southwest Airlines Co. Freedom Fund")</f>
        <v>Southwest Airlines Co. Freedom Fund</v>
      </c>
      <c r="AA1596" s="22" t="str">
        <f>IFERROR(__xludf.DUMMYFUNCTION("""COMPUTED_VALUE"""),"PO Box 36611")</f>
        <v>PO Box 36611</v>
      </c>
      <c r="AB1596" s="22" t="str">
        <f>IFERROR(__xludf.DUMMYFUNCTION("""COMPUTED_VALUE"""),"Dallas, TX 75235")</f>
        <v>Dallas, TX 75235</v>
      </c>
      <c r="AC1596" s="31" t="s">
        <v>2646</v>
      </c>
      <c r="AD1596" s="22"/>
      <c r="AE1596" s="22"/>
      <c r="AF1596" s="22"/>
      <c r="AG1596" s="22" t="s">
        <v>60</v>
      </c>
      <c r="AH1596" s="54">
        <v>2515.0</v>
      </c>
      <c r="AI1596" s="22" t="s">
        <v>68</v>
      </c>
      <c r="AJ1596" s="27">
        <v>1000.0</v>
      </c>
      <c r="AK1596" s="31" t="s">
        <v>27</v>
      </c>
      <c r="AL1596" s="28">
        <v>44782.0</v>
      </c>
      <c r="AM1596" s="29">
        <v>44943.69443287037</v>
      </c>
      <c r="AN1596" s="30">
        <v>2.0</v>
      </c>
      <c r="AO1596" s="22"/>
      <c r="AP1596" s="22"/>
      <c r="AQ1596" s="22"/>
      <c r="AR1596" s="22"/>
      <c r="AS1596" s="22"/>
      <c r="AT1596" s="70"/>
      <c r="AU1596" s="22"/>
      <c r="AV1596" s="57"/>
      <c r="AW1596" s="57"/>
      <c r="AX1596" s="70"/>
      <c r="AY1596" s="29"/>
      <c r="AZ1596" s="30"/>
      <c r="CU1596" s="55"/>
      <c r="CV1596" s="55"/>
      <c r="CW1596" s="55"/>
      <c r="CX1596" s="55"/>
      <c r="CY1596" s="55"/>
      <c r="CZ1596" s="55"/>
      <c r="DA1596" s="82"/>
      <c r="DB1596" s="55"/>
      <c r="DC1596" s="55"/>
      <c r="DD1596" s="55"/>
      <c r="DE1596" s="55"/>
      <c r="DF1596" s="55"/>
      <c r="DG1596" s="55"/>
      <c r="DH1596" s="55"/>
      <c r="DI1596" s="55"/>
      <c r="DJ1596" s="55"/>
      <c r="DK1596" s="55"/>
      <c r="DL1596" s="55"/>
      <c r="DM1596" s="55"/>
      <c r="DN1596" s="55"/>
      <c r="DO1596" s="55"/>
      <c r="DP1596" s="55"/>
      <c r="DQ1596" s="55"/>
      <c r="DR1596" s="55"/>
      <c r="DS1596" s="55"/>
      <c r="DT1596" s="55"/>
      <c r="DU1596" s="55"/>
      <c r="DV1596" s="55"/>
      <c r="DW1596" s="55"/>
    </row>
    <row r="1597">
      <c r="A1597" s="41" t="s">
        <v>64</v>
      </c>
      <c r="B1597" s="41" t="s">
        <v>56</v>
      </c>
      <c r="C1597" s="31" t="s">
        <v>3250</v>
      </c>
      <c r="D1597" s="25" t="str">
        <f>IFERROR(__xludf.DUMMYFUNCTION("SPLIT(C1597,"" "")"),"Morales,")</f>
        <v>Morales,</v>
      </c>
      <c r="E1597" s="40" t="str">
        <f>IFERROR(__xludf.DUMMYFUNCTION("""COMPUTED_VALUE"""),"Mayra
6834")</f>
        <v>Mayra
6834</v>
      </c>
      <c r="F1597" s="40" t="str">
        <f>IFERROR(__xludf.DUMMYFUNCTION("""COMPUTED_VALUE"""),"Victoria
Dallas,")</f>
        <v>Victoria
Dallas,</v>
      </c>
      <c r="G1597" s="40" t="str">
        <f>IFERROR(__xludf.DUMMYFUNCTION("""COMPUTED_VALUE"""),"TX")</f>
        <v>TX</v>
      </c>
      <c r="H1597" s="40">
        <f>IFERROR(__xludf.DUMMYFUNCTION("""COMPUTED_VALUE"""),75209.0)</f>
        <v>75209</v>
      </c>
      <c r="I1597" s="40"/>
      <c r="J1597" s="40"/>
      <c r="K1597" s="40"/>
      <c r="L1597" s="40"/>
      <c r="M1597" s="40"/>
      <c r="N1597" s="40"/>
      <c r="O1597" s="40"/>
      <c r="P1597" s="40"/>
      <c r="Q1597" s="40"/>
      <c r="R1597" s="40"/>
      <c r="S1597" s="40"/>
      <c r="T1597" s="40"/>
      <c r="U1597" s="24" t="str">
        <f>IFERROR(__xludf.DUMMYFUNCTION("SPLIT(E1597,""01234567890"")"),"Mayra
")</f>
        <v>Mayra
</v>
      </c>
      <c r="V1597" s="24" t="str">
        <f>IFERROR(__xludf.DUMMYFUNCTION("SPLIT(D1597,"","")"),"Morales")</f>
        <v>Morales</v>
      </c>
      <c r="W1597" s="25" t="str">
        <f t="shared" si="1"/>
        <v>MAYRA
 MORALES</v>
      </c>
      <c r="X1597" s="40"/>
      <c r="Y1597" s="40"/>
      <c r="Z1597" s="25" t="str">
        <f>IFERROR(__xludf.DUMMYFUNCTION("SPLIT(C1597,""
"")"),"Morales, Mayra")</f>
        <v>Morales, Mayra</v>
      </c>
      <c r="AA1597" s="40" t="str">
        <f>IFERROR(__xludf.DUMMYFUNCTION("""COMPUTED_VALUE"""),"6834 Victoria")</f>
        <v>6834 Victoria</v>
      </c>
      <c r="AB1597" s="40" t="str">
        <f>IFERROR(__xludf.DUMMYFUNCTION("""COMPUTED_VALUE"""),"Dallas, TX 75209")</f>
        <v>Dallas, TX 75209</v>
      </c>
      <c r="AC1597" s="31" t="s">
        <v>3251</v>
      </c>
      <c r="AD1597" s="40"/>
      <c r="AE1597" s="40"/>
      <c r="AF1597" s="40"/>
      <c r="AG1597" s="40" t="s">
        <v>60</v>
      </c>
      <c r="AH1597" s="42">
        <v>2494.0</v>
      </c>
      <c r="AI1597" s="40" t="s">
        <v>68</v>
      </c>
      <c r="AJ1597" s="27">
        <v>1000.0</v>
      </c>
      <c r="AK1597" s="31" t="s">
        <v>37</v>
      </c>
      <c r="AL1597" s="43">
        <v>44925.0</v>
      </c>
      <c r="AM1597" s="44">
        <v>44943.69719907407</v>
      </c>
      <c r="AN1597" s="30">
        <v>2.0</v>
      </c>
      <c r="AO1597" s="40"/>
      <c r="AP1597" s="40"/>
      <c r="AQ1597" s="40"/>
      <c r="AR1597" s="40"/>
      <c r="AS1597" s="40"/>
      <c r="AT1597" s="47"/>
      <c r="AU1597" s="40"/>
      <c r="AV1597" s="46"/>
      <c r="AW1597" s="46"/>
      <c r="AX1597" s="47"/>
      <c r="AY1597" s="44"/>
      <c r="AZ1597" s="30"/>
      <c r="CU1597" s="55"/>
      <c r="CV1597" s="55"/>
      <c r="CW1597" s="55"/>
      <c r="CX1597" s="55"/>
      <c r="CY1597" s="55"/>
      <c r="CZ1597" s="55"/>
      <c r="DA1597" s="82"/>
      <c r="DB1597" s="55"/>
      <c r="DC1597" s="55"/>
      <c r="DD1597" s="55"/>
      <c r="DE1597" s="55"/>
      <c r="DF1597" s="55"/>
      <c r="DG1597" s="55"/>
      <c r="DH1597" s="55"/>
      <c r="DI1597" s="55"/>
      <c r="DJ1597" s="55"/>
      <c r="DK1597" s="55"/>
      <c r="DL1597" s="55"/>
      <c r="DM1597" s="55"/>
      <c r="DN1597" s="55"/>
      <c r="DO1597" s="55"/>
      <c r="DP1597" s="55"/>
      <c r="DQ1597" s="55"/>
      <c r="DR1597" s="55"/>
      <c r="DS1597" s="55"/>
      <c r="DT1597" s="55"/>
      <c r="DU1597" s="55"/>
      <c r="DV1597" s="55"/>
      <c r="DW1597" s="55"/>
    </row>
    <row r="1598">
      <c r="A1598" s="23" t="s">
        <v>64</v>
      </c>
      <c r="B1598" s="23" t="s">
        <v>56</v>
      </c>
      <c r="C1598" s="31" t="s">
        <v>3252</v>
      </c>
      <c r="D1598" s="25" t="str">
        <f>IFERROR(__xludf.DUMMYFUNCTION("SPLIT(C1598,"" "")"),"Coats")</f>
        <v>Coats</v>
      </c>
      <c r="E1598" s="22" t="str">
        <f>IFERROR(__xludf.DUMMYFUNCTION("""COMPUTED_VALUE"""),"and")</f>
        <v>and</v>
      </c>
      <c r="F1598" s="22" t="str">
        <f>IFERROR(__xludf.DUMMYFUNCTION("""COMPUTED_VALUE"""),"Rose
9")</f>
        <v>Rose
9</v>
      </c>
      <c r="G1598" s="22" t="str">
        <f>IFERROR(__xludf.DUMMYFUNCTION("""COMPUTED_VALUE"""),"Greenway")</f>
        <v>Greenway</v>
      </c>
      <c r="H1598" s="22" t="str">
        <f>IFERROR(__xludf.DUMMYFUNCTION("""COMPUTED_VALUE"""),"Plaza,")</f>
        <v>Plaza,</v>
      </c>
      <c r="I1598" s="22" t="str">
        <f>IFERROR(__xludf.DUMMYFUNCTION("""COMPUTED_VALUE"""),"Suite")</f>
        <v>Suite</v>
      </c>
      <c r="J1598" s="22" t="str">
        <f>IFERROR(__xludf.DUMMYFUNCTION("""COMPUTED_VALUE"""),"1000
Dallas,")</f>
        <v>1000
Dallas,</v>
      </c>
      <c r="K1598" s="22" t="str">
        <f>IFERROR(__xludf.DUMMYFUNCTION("""COMPUTED_VALUE"""),"TX")</f>
        <v>TX</v>
      </c>
      <c r="L1598" s="22">
        <f>IFERROR(__xludf.DUMMYFUNCTION("""COMPUTED_VALUE"""),77046.0)</f>
        <v>77046</v>
      </c>
      <c r="M1598" s="22"/>
      <c r="N1598" s="22"/>
      <c r="O1598" s="22"/>
      <c r="P1598" s="22"/>
      <c r="Q1598" s="22"/>
      <c r="R1598" s="22"/>
      <c r="S1598" s="22"/>
      <c r="T1598" s="22"/>
      <c r="U1598" s="24" t="str">
        <f>IFERROR(__xludf.DUMMYFUNCTION("SPLIT(E1598,""01234567890"")"),"and")</f>
        <v>and</v>
      </c>
      <c r="V1598" s="24" t="str">
        <f>IFERROR(__xludf.DUMMYFUNCTION("SPLIT(D1598,"","")"),"Coats")</f>
        <v>Coats</v>
      </c>
      <c r="W1598" s="25" t="str">
        <f t="shared" si="1"/>
        <v>AND COATS</v>
      </c>
      <c r="X1598" s="22"/>
      <c r="Y1598" s="22"/>
      <c r="Z1598" s="25" t="str">
        <f>IFERROR(__xludf.DUMMYFUNCTION("SPLIT(C1598,""
"")"),"Coats and Rose")</f>
        <v>Coats and Rose</v>
      </c>
      <c r="AA1598" s="22" t="str">
        <f>IFERROR(__xludf.DUMMYFUNCTION("""COMPUTED_VALUE"""),"9 Greenway Plaza, Suite 1000")</f>
        <v>9 Greenway Plaza, Suite 1000</v>
      </c>
      <c r="AB1598" s="22" t="str">
        <f>IFERROR(__xludf.DUMMYFUNCTION("""COMPUTED_VALUE"""),"Dallas, TX 77046")</f>
        <v>Dallas, TX 77046</v>
      </c>
      <c r="AC1598" s="31" t="s">
        <v>3253</v>
      </c>
      <c r="AD1598" s="22"/>
      <c r="AE1598" s="22"/>
      <c r="AF1598" s="22"/>
      <c r="AG1598" s="22" t="s">
        <v>60</v>
      </c>
      <c r="AH1598" s="54">
        <v>2514.0</v>
      </c>
      <c r="AI1598" s="22" t="s">
        <v>68</v>
      </c>
      <c r="AJ1598" s="27">
        <v>1000.0</v>
      </c>
      <c r="AK1598" s="31" t="s">
        <v>39</v>
      </c>
      <c r="AL1598" s="28">
        <v>44859.0</v>
      </c>
      <c r="AM1598" s="29">
        <v>44943.70164351852</v>
      </c>
      <c r="AN1598" s="30">
        <v>2.0</v>
      </c>
      <c r="AO1598" s="22"/>
      <c r="AP1598" s="22"/>
      <c r="AQ1598" s="22"/>
      <c r="AR1598" s="22"/>
      <c r="AS1598" s="22"/>
      <c r="AT1598" s="70"/>
      <c r="AU1598" s="22"/>
      <c r="AV1598" s="57"/>
      <c r="AW1598" s="57"/>
      <c r="AX1598" s="70"/>
      <c r="AY1598" s="29"/>
      <c r="AZ1598" s="30"/>
      <c r="CU1598" s="55"/>
      <c r="CV1598" s="55"/>
      <c r="CW1598" s="55"/>
      <c r="CX1598" s="55"/>
      <c r="CY1598" s="55"/>
      <c r="CZ1598" s="55"/>
      <c r="DA1598" s="82"/>
      <c r="DB1598" s="55"/>
      <c r="DC1598" s="55"/>
      <c r="DD1598" s="55"/>
      <c r="DE1598" s="55"/>
      <c r="DF1598" s="55"/>
      <c r="DG1598" s="55"/>
      <c r="DH1598" s="55"/>
      <c r="DI1598" s="55"/>
      <c r="DJ1598" s="55"/>
      <c r="DK1598" s="55"/>
      <c r="DL1598" s="55"/>
      <c r="DM1598" s="55"/>
      <c r="DN1598" s="55"/>
      <c r="DO1598" s="55"/>
      <c r="DP1598" s="55"/>
      <c r="DQ1598" s="55"/>
      <c r="DR1598" s="55"/>
      <c r="DS1598" s="55"/>
      <c r="DT1598" s="55"/>
      <c r="DU1598" s="55"/>
      <c r="DV1598" s="55"/>
      <c r="DW1598" s="55"/>
    </row>
    <row r="1599">
      <c r="A1599" s="40" t="s">
        <v>55</v>
      </c>
      <c r="B1599" s="41" t="s">
        <v>56</v>
      </c>
      <c r="C1599" s="31" t="s">
        <v>3254</v>
      </c>
      <c r="D1599" s="25" t="str">
        <f>IFERROR(__xludf.DUMMYFUNCTION("SPLIT(C1599,"" "")"),"King,")</f>
        <v>King,</v>
      </c>
      <c r="E1599" s="40" t="str">
        <f>IFERROR(__xludf.DUMMYFUNCTION("""COMPUTED_VALUE"""),"Kenneth
1447")</f>
        <v>Kenneth
1447</v>
      </c>
      <c r="F1599" s="40" t="str">
        <f>IFERROR(__xludf.DUMMYFUNCTION("""COMPUTED_VALUE"""),"Hwy")</f>
        <v>Hwy</v>
      </c>
      <c r="G1599" s="40">
        <f>IFERROR(__xludf.DUMMYFUNCTION("""COMPUTED_VALUE"""),75.0)</f>
        <v>75</v>
      </c>
      <c r="H1599" s="40" t="str">
        <f>IFERROR(__xludf.DUMMYFUNCTION("""COMPUTED_VALUE"""),"S.
Dallas,")</f>
        <v>S.
Dallas,</v>
      </c>
      <c r="I1599" s="40" t="str">
        <f>IFERROR(__xludf.DUMMYFUNCTION("""COMPUTED_VALUE"""),"TX")</f>
        <v>TX</v>
      </c>
      <c r="J1599" s="40">
        <f>IFERROR(__xludf.DUMMYFUNCTION("""COMPUTED_VALUE"""),75831.0)</f>
        <v>75831</v>
      </c>
      <c r="K1599" s="40"/>
      <c r="L1599" s="40"/>
      <c r="M1599" s="40"/>
      <c r="N1599" s="40"/>
      <c r="O1599" s="40"/>
      <c r="P1599" s="40"/>
      <c r="Q1599" s="40"/>
      <c r="R1599" s="40"/>
      <c r="S1599" s="40"/>
      <c r="T1599" s="40"/>
      <c r="U1599" s="24" t="str">
        <f>IFERROR(__xludf.DUMMYFUNCTION("SPLIT(E1599,""01234567890"")"),"Kenneth
")</f>
        <v>Kenneth
</v>
      </c>
      <c r="V1599" s="24" t="str">
        <f>IFERROR(__xludf.DUMMYFUNCTION("SPLIT(D1599,"","")"),"King")</f>
        <v>King</v>
      </c>
      <c r="W1599" s="25" t="str">
        <f t="shared" si="1"/>
        <v>KENNETH
 KING</v>
      </c>
      <c r="X1599" s="40"/>
      <c r="Y1599" s="40"/>
      <c r="Z1599" s="25" t="str">
        <f>IFERROR(__xludf.DUMMYFUNCTION("SPLIT(C1599,""
"")"),"King, Kenneth")</f>
        <v>King, Kenneth</v>
      </c>
      <c r="AA1599" s="40" t="str">
        <f>IFERROR(__xludf.DUMMYFUNCTION("""COMPUTED_VALUE"""),"1447 Hwy 75 S.")</f>
        <v>1447 Hwy 75 S.</v>
      </c>
      <c r="AB1599" s="40" t="str">
        <f>IFERROR(__xludf.DUMMYFUNCTION("""COMPUTED_VALUE"""),"Dallas, TX 75831")</f>
        <v>Dallas, TX 75831</v>
      </c>
      <c r="AC1599" s="31" t="s">
        <v>3255</v>
      </c>
      <c r="AD1599" s="40"/>
      <c r="AE1599" s="40"/>
      <c r="AF1599" s="40"/>
      <c r="AG1599" s="40" t="s">
        <v>60</v>
      </c>
      <c r="AH1599" s="42">
        <v>2514.0</v>
      </c>
      <c r="AI1599" s="40" t="s">
        <v>68</v>
      </c>
      <c r="AJ1599" s="27">
        <v>1000.0</v>
      </c>
      <c r="AK1599" s="31" t="s">
        <v>39</v>
      </c>
      <c r="AL1599" s="43">
        <v>44915.0</v>
      </c>
      <c r="AM1599" s="44">
        <v>44943.70164351852</v>
      </c>
      <c r="AN1599" s="30">
        <v>2.0</v>
      </c>
      <c r="AO1599" s="40"/>
      <c r="AP1599" s="40"/>
      <c r="AQ1599" s="40"/>
      <c r="AR1599" s="40"/>
      <c r="AS1599" s="40"/>
      <c r="AT1599" s="47"/>
      <c r="AU1599" s="40"/>
      <c r="AV1599" s="46"/>
      <c r="AW1599" s="46"/>
      <c r="AX1599" s="47"/>
      <c r="AY1599" s="44"/>
      <c r="AZ1599" s="30"/>
      <c r="CU1599" s="55"/>
      <c r="CV1599" s="55"/>
      <c r="CW1599" s="55"/>
      <c r="CX1599" s="55"/>
      <c r="CY1599" s="55"/>
      <c r="CZ1599" s="55"/>
      <c r="DA1599" s="82"/>
      <c r="DB1599" s="55"/>
      <c r="DC1599" s="55"/>
      <c r="DD1599" s="55"/>
      <c r="DE1599" s="55"/>
      <c r="DF1599" s="55"/>
      <c r="DG1599" s="55"/>
      <c r="DH1599" s="55"/>
      <c r="DI1599" s="55"/>
      <c r="DJ1599" s="55"/>
      <c r="DK1599" s="55"/>
      <c r="DL1599" s="55"/>
      <c r="DM1599" s="55"/>
      <c r="DN1599" s="55"/>
      <c r="DO1599" s="55"/>
      <c r="DP1599" s="55"/>
      <c r="DQ1599" s="55"/>
      <c r="DR1599" s="55"/>
      <c r="DS1599" s="55"/>
      <c r="DT1599" s="55"/>
      <c r="DU1599" s="55"/>
      <c r="DV1599" s="55"/>
      <c r="DW1599" s="55"/>
    </row>
    <row r="1600">
      <c r="A1600" s="23" t="s">
        <v>64</v>
      </c>
      <c r="B1600" s="23" t="s">
        <v>56</v>
      </c>
      <c r="C1600" s="31" t="s">
        <v>3256</v>
      </c>
      <c r="D1600" s="25" t="str">
        <f>IFERROR(__xludf.DUMMYFUNCTION("SPLIT(C1600,"" "")"),"Zavala,")</f>
        <v>Zavala,</v>
      </c>
      <c r="E1600" s="22" t="str">
        <f>IFERROR(__xludf.DUMMYFUNCTION("""COMPUTED_VALUE"""),"Mr")</f>
        <v>Mr</v>
      </c>
      <c r="F1600" s="22" t="str">
        <f>IFERROR(__xludf.DUMMYFUNCTION("""COMPUTED_VALUE"""),"Mrs")</f>
        <v>Mrs</v>
      </c>
      <c r="G1600" s="22" t="str">
        <f>IFERROR(__xludf.DUMMYFUNCTION("""COMPUTED_VALUE"""),"Jose
9978")</f>
        <v>Jose
9978</v>
      </c>
      <c r="H1600" s="22" t="str">
        <f>IFERROR(__xludf.DUMMYFUNCTION("""COMPUTED_VALUE"""),"Bowman
Dallas,")</f>
        <v>Bowman
Dallas,</v>
      </c>
      <c r="I1600" s="22" t="str">
        <f>IFERROR(__xludf.DUMMYFUNCTION("""COMPUTED_VALUE"""),"TX")</f>
        <v>TX</v>
      </c>
      <c r="J1600" s="22">
        <f>IFERROR(__xludf.DUMMYFUNCTION("""COMPUTED_VALUE"""),75220.0)</f>
        <v>75220</v>
      </c>
      <c r="K1600" s="22"/>
      <c r="L1600" s="22"/>
      <c r="M1600" s="22"/>
      <c r="N1600" s="22"/>
      <c r="O1600" s="22"/>
      <c r="P1600" s="22"/>
      <c r="Q1600" s="22"/>
      <c r="R1600" s="22"/>
      <c r="S1600" s="22"/>
      <c r="T1600" s="22"/>
      <c r="U1600" s="24" t="str">
        <f>IFERROR(__xludf.DUMMYFUNCTION("SPLIT(E1600,""01234567890"")"),"Mr")</f>
        <v>Mr</v>
      </c>
      <c r="V1600" s="24" t="str">
        <f>IFERROR(__xludf.DUMMYFUNCTION("SPLIT(D1600,"","")"),"Zavala")</f>
        <v>Zavala</v>
      </c>
      <c r="W1600" s="25" t="str">
        <f t="shared" si="1"/>
        <v>MR ZAVALA</v>
      </c>
      <c r="X1600" s="22"/>
      <c r="Y1600" s="22"/>
      <c r="Z1600" s="25" t="str">
        <f>IFERROR(__xludf.DUMMYFUNCTION("SPLIT(C1600,""
"")"),"Zavala, Mr Mrs Jose")</f>
        <v>Zavala, Mr Mrs Jose</v>
      </c>
      <c r="AA1600" s="22" t="str">
        <f>IFERROR(__xludf.DUMMYFUNCTION("""COMPUTED_VALUE"""),"9978 Bowman")</f>
        <v>9978 Bowman</v>
      </c>
      <c r="AB1600" s="22" t="str">
        <f>IFERROR(__xludf.DUMMYFUNCTION("""COMPUTED_VALUE"""),"Dallas, TX 75220")</f>
        <v>Dallas, TX 75220</v>
      </c>
      <c r="AC1600" s="31" t="s">
        <v>3257</v>
      </c>
      <c r="AD1600" s="22"/>
      <c r="AE1600" s="22"/>
      <c r="AF1600" s="22"/>
      <c r="AG1600" s="22" t="s">
        <v>60</v>
      </c>
      <c r="AH1600" s="54">
        <v>2494.0</v>
      </c>
      <c r="AI1600" s="22" t="s">
        <v>68</v>
      </c>
      <c r="AJ1600" s="27">
        <v>2000.0</v>
      </c>
      <c r="AK1600" s="31" t="s">
        <v>37</v>
      </c>
      <c r="AL1600" s="28">
        <v>44925.0</v>
      </c>
      <c r="AM1600" s="29">
        <v>44943.69719907407</v>
      </c>
      <c r="AN1600" s="30">
        <v>2.0</v>
      </c>
      <c r="AO1600" s="22"/>
      <c r="AP1600" s="22"/>
      <c r="AQ1600" s="22"/>
      <c r="AR1600" s="22"/>
      <c r="AS1600" s="22"/>
      <c r="AT1600" s="70"/>
      <c r="AU1600" s="22"/>
      <c r="AV1600" s="57"/>
      <c r="AW1600" s="57"/>
      <c r="AX1600" s="70"/>
      <c r="AY1600" s="29"/>
      <c r="AZ1600" s="30"/>
      <c r="CU1600" s="55"/>
      <c r="CV1600" s="55"/>
      <c r="CW1600" s="55"/>
      <c r="CX1600" s="55"/>
      <c r="CY1600" s="55"/>
      <c r="CZ1600" s="55"/>
      <c r="DA1600" s="82"/>
      <c r="DB1600" s="55"/>
      <c r="DC1600" s="55"/>
      <c r="DD1600" s="55"/>
      <c r="DE1600" s="55"/>
      <c r="DF1600" s="55"/>
      <c r="DG1600" s="55"/>
      <c r="DH1600" s="55"/>
      <c r="DI1600" s="55"/>
      <c r="DJ1600" s="55"/>
      <c r="DK1600" s="55"/>
      <c r="DL1600" s="55"/>
      <c r="DM1600" s="55"/>
      <c r="DN1600" s="55"/>
      <c r="DO1600" s="55"/>
      <c r="DP1600" s="55"/>
      <c r="DQ1600" s="55"/>
      <c r="DR1600" s="55"/>
      <c r="DS1600" s="55"/>
      <c r="DT1600" s="55"/>
      <c r="DU1600" s="55"/>
      <c r="DV1600" s="55"/>
      <c r="DW1600" s="55"/>
    </row>
    <row r="1601">
      <c r="A1601" s="41" t="s">
        <v>64</v>
      </c>
      <c r="B1601" s="41" t="s">
        <v>56</v>
      </c>
      <c r="C1601" s="31" t="s">
        <v>3258</v>
      </c>
      <c r="D1601" s="25" t="str">
        <f>IFERROR(__xludf.DUMMYFUNCTION("SPLIT(C1601,"" "")"),"Flanagan,")</f>
        <v>Flanagan,</v>
      </c>
      <c r="E1601" s="40" t="str">
        <f>IFERROR(__xludf.DUMMYFUNCTION("""COMPUTED_VALUE"""),"Lashonda
646")</f>
        <v>Lashonda
646</v>
      </c>
      <c r="F1601" s="40" t="str">
        <f>IFERROR(__xludf.DUMMYFUNCTION("""COMPUTED_VALUE"""),"Grovemeadow
Arlington,")</f>
        <v>Grovemeadow
Arlington,</v>
      </c>
      <c r="G1601" s="40" t="str">
        <f>IFERROR(__xludf.DUMMYFUNCTION("""COMPUTED_VALUE"""),"TX")</f>
        <v>TX</v>
      </c>
      <c r="H1601" s="40">
        <f>IFERROR(__xludf.DUMMYFUNCTION("""COMPUTED_VALUE"""),75061.0)</f>
        <v>75061</v>
      </c>
      <c r="I1601" s="40"/>
      <c r="J1601" s="40"/>
      <c r="K1601" s="40"/>
      <c r="L1601" s="40"/>
      <c r="M1601" s="40"/>
      <c r="N1601" s="40"/>
      <c r="O1601" s="40"/>
      <c r="P1601" s="40"/>
      <c r="Q1601" s="40"/>
      <c r="R1601" s="40"/>
      <c r="S1601" s="40"/>
      <c r="T1601" s="40"/>
      <c r="U1601" s="24" t="str">
        <f>IFERROR(__xludf.DUMMYFUNCTION("SPLIT(E1601,""01234567890"")"),"Lashonda
")</f>
        <v>Lashonda
</v>
      </c>
      <c r="V1601" s="24" t="str">
        <f>IFERROR(__xludf.DUMMYFUNCTION("SPLIT(D1601,"","")"),"Flanagan")</f>
        <v>Flanagan</v>
      </c>
      <c r="W1601" s="25" t="str">
        <f t="shared" si="1"/>
        <v>LASHONDA
 FLANAGAN</v>
      </c>
      <c r="X1601" s="40"/>
      <c r="Y1601" s="40"/>
      <c r="Z1601" s="25" t="str">
        <f>IFERROR(__xludf.DUMMYFUNCTION("SPLIT(C1601,""
"")"),"Flanagan, Lashonda")</f>
        <v>Flanagan, Lashonda</v>
      </c>
      <c r="AA1601" s="40" t="str">
        <f>IFERROR(__xludf.DUMMYFUNCTION("""COMPUTED_VALUE"""),"646 Grovemeadow")</f>
        <v>646 Grovemeadow</v>
      </c>
      <c r="AB1601" s="40" t="str">
        <f>IFERROR(__xludf.DUMMYFUNCTION("""COMPUTED_VALUE"""),"Arlington, TX 75061")</f>
        <v>Arlington, TX 75061</v>
      </c>
      <c r="AC1601" s="31" t="s">
        <v>3259</v>
      </c>
      <c r="AD1601" s="40"/>
      <c r="AE1601" s="40"/>
      <c r="AF1601" s="40"/>
      <c r="AG1601" s="40" t="s">
        <v>60</v>
      </c>
      <c r="AH1601" s="42">
        <v>2516.0</v>
      </c>
      <c r="AI1601" s="40" t="s">
        <v>68</v>
      </c>
      <c r="AJ1601" s="27">
        <v>2000.0</v>
      </c>
      <c r="AK1601" s="31" t="s">
        <v>36</v>
      </c>
      <c r="AL1601" s="43">
        <v>44805.0</v>
      </c>
      <c r="AM1601" s="44">
        <v>44943.70630787037</v>
      </c>
      <c r="AN1601" s="30">
        <v>2.0</v>
      </c>
      <c r="AO1601" s="40"/>
      <c r="AP1601" s="40"/>
      <c r="AQ1601" s="40"/>
      <c r="AR1601" s="40"/>
      <c r="AS1601" s="40"/>
      <c r="AT1601" s="47"/>
      <c r="AU1601" s="40"/>
      <c r="AV1601" s="46"/>
      <c r="AW1601" s="46"/>
      <c r="AX1601" s="47"/>
      <c r="AY1601" s="44"/>
      <c r="AZ1601" s="30"/>
      <c r="CU1601" s="55"/>
      <c r="CV1601" s="55"/>
      <c r="CW1601" s="55"/>
      <c r="CX1601" s="55"/>
      <c r="CY1601" s="55"/>
      <c r="CZ1601" s="55"/>
      <c r="DA1601" s="82"/>
      <c r="DB1601" s="55"/>
      <c r="DC1601" s="55"/>
      <c r="DD1601" s="55"/>
      <c r="DE1601" s="55"/>
      <c r="DF1601" s="55"/>
      <c r="DG1601" s="55"/>
      <c r="DH1601" s="55"/>
      <c r="DI1601" s="55"/>
      <c r="DJ1601" s="55"/>
      <c r="DK1601" s="55"/>
      <c r="DL1601" s="55"/>
      <c r="DM1601" s="55"/>
      <c r="DN1601" s="55"/>
      <c r="DO1601" s="55"/>
      <c r="DP1601" s="55"/>
      <c r="DQ1601" s="55"/>
      <c r="DR1601" s="55"/>
      <c r="DS1601" s="55"/>
      <c r="DT1601" s="55"/>
      <c r="DU1601" s="55"/>
      <c r="DV1601" s="55"/>
      <c r="DW1601" s="55"/>
    </row>
    <row r="1602">
      <c r="A1602" s="23" t="s">
        <v>64</v>
      </c>
      <c r="B1602" s="23" t="s">
        <v>56</v>
      </c>
      <c r="C1602" s="31" t="s">
        <v>3260</v>
      </c>
      <c r="D1602" s="25" t="str">
        <f>IFERROR(__xludf.DUMMYFUNCTION("SPLIT(C1602,"" "")"),"COX,")</f>
        <v>COX,</v>
      </c>
      <c r="E1602" s="22" t="str">
        <f>IFERROR(__xludf.DUMMYFUNCTION("""COMPUTED_VALUE"""),"Bill
9304")</f>
        <v>Bill
9304</v>
      </c>
      <c r="F1602" s="22">
        <f>IFERROR(__xludf.DUMMYFUNCTION("""COMPUTED_VALUE"""),9304.0)</f>
        <v>9304</v>
      </c>
      <c r="G1602" s="22" t="str">
        <f>IFERROR(__xludf.DUMMYFUNCTION("""COMPUTED_VALUE"""),"LOCARNO
Dallas,")</f>
        <v>LOCARNO
Dallas,</v>
      </c>
      <c r="H1602" s="22" t="str">
        <f>IFERROR(__xludf.DUMMYFUNCTION("""COMPUTED_VALUE"""),"TX")</f>
        <v>TX</v>
      </c>
      <c r="I1602" s="22">
        <f>IFERROR(__xludf.DUMMYFUNCTION("""COMPUTED_VALUE"""),75243.0)</f>
        <v>75243</v>
      </c>
      <c r="J1602" s="22"/>
      <c r="K1602" s="22"/>
      <c r="L1602" s="22"/>
      <c r="M1602" s="22"/>
      <c r="N1602" s="22"/>
      <c r="O1602" s="22"/>
      <c r="P1602" s="22"/>
      <c r="Q1602" s="22"/>
      <c r="R1602" s="22"/>
      <c r="S1602" s="22"/>
      <c r="T1602" s="22"/>
      <c r="U1602" s="24" t="str">
        <f>IFERROR(__xludf.DUMMYFUNCTION("SPLIT(E1602,""01234567890"")"),"Bill
")</f>
        <v>Bill
</v>
      </c>
      <c r="V1602" s="24" t="str">
        <f>IFERROR(__xludf.DUMMYFUNCTION("SPLIT(D1602,"","")"),"COX")</f>
        <v>COX</v>
      </c>
      <c r="W1602" s="25" t="str">
        <f t="shared" si="1"/>
        <v>BILL
 COX</v>
      </c>
      <c r="X1602" s="22"/>
      <c r="Y1602" s="22"/>
      <c r="Z1602" s="25" t="str">
        <f>IFERROR(__xludf.DUMMYFUNCTION("SPLIT(C1602,""
"")"),"COX, Bill")</f>
        <v>COX, Bill</v>
      </c>
      <c r="AA1602" s="22" t="str">
        <f>IFERROR(__xludf.DUMMYFUNCTION("""COMPUTED_VALUE"""),"9304 9304 LOCARNO")</f>
        <v>9304 9304 LOCARNO</v>
      </c>
      <c r="AB1602" s="22" t="str">
        <f>IFERROR(__xludf.DUMMYFUNCTION("""COMPUTED_VALUE"""),"Dallas, TX 75243")</f>
        <v>Dallas, TX 75243</v>
      </c>
      <c r="AC1602" s="31" t="s">
        <v>3261</v>
      </c>
      <c r="AD1602" s="22"/>
      <c r="AE1602" s="22"/>
      <c r="AF1602" s="22"/>
      <c r="AG1602" s="22" t="s">
        <v>60</v>
      </c>
      <c r="AH1602" s="54">
        <v>2524.0</v>
      </c>
      <c r="AI1602" s="22" t="s">
        <v>3262</v>
      </c>
      <c r="AJ1602" s="27">
        <v>500.0</v>
      </c>
      <c r="AK1602" s="31" t="s">
        <v>40</v>
      </c>
      <c r="AL1602" s="28">
        <v>44907.0</v>
      </c>
      <c r="AM1602" s="29">
        <v>44944.60962962963</v>
      </c>
      <c r="AN1602" s="30">
        <v>2.0</v>
      </c>
      <c r="AO1602" s="22"/>
      <c r="AP1602" s="120">
        <f>MIN(AJ:AJ)</f>
        <v>10</v>
      </c>
      <c r="AQ1602" s="22"/>
      <c r="AR1602" s="22"/>
      <c r="AS1602" s="22"/>
      <c r="AT1602" s="70"/>
      <c r="AU1602" s="22"/>
      <c r="AV1602" s="57"/>
      <c r="AW1602" s="57"/>
      <c r="AX1602" s="70"/>
      <c r="AY1602" s="29"/>
      <c r="AZ1602" s="30"/>
      <c r="CU1602" s="55"/>
      <c r="CV1602" s="55"/>
      <c r="CW1602" s="55"/>
      <c r="CX1602" s="55"/>
      <c r="CY1602" s="55"/>
      <c r="CZ1602" s="55"/>
      <c r="DA1602" s="82"/>
      <c r="DB1602" s="55"/>
      <c r="DC1602" s="55"/>
      <c r="DD1602" s="55"/>
      <c r="DE1602" s="55"/>
      <c r="DF1602" s="55"/>
      <c r="DG1602" s="55"/>
      <c r="DH1602" s="55"/>
      <c r="DI1602" s="55"/>
      <c r="DJ1602" s="55"/>
      <c r="DK1602" s="55"/>
      <c r="DL1602" s="55"/>
      <c r="DM1602" s="55"/>
      <c r="DN1602" s="55"/>
      <c r="DO1602" s="55"/>
      <c r="DP1602" s="55"/>
      <c r="DQ1602" s="55"/>
      <c r="DR1602" s="55"/>
      <c r="DS1602" s="55"/>
      <c r="DT1602" s="55"/>
      <c r="DU1602" s="55"/>
      <c r="DV1602" s="55"/>
      <c r="DW1602" s="55"/>
    </row>
    <row r="1603">
      <c r="A1603" s="41" t="s">
        <v>64</v>
      </c>
      <c r="B1603" s="41" t="s">
        <v>56</v>
      </c>
      <c r="C1603" s="31" t="s">
        <v>3260</v>
      </c>
      <c r="D1603" s="25" t="str">
        <f>IFERROR(__xludf.DUMMYFUNCTION("SPLIT(C1603,"" "")"),"COX,")</f>
        <v>COX,</v>
      </c>
      <c r="E1603" s="40" t="str">
        <f>IFERROR(__xludf.DUMMYFUNCTION("""COMPUTED_VALUE"""),"Bill
9304")</f>
        <v>Bill
9304</v>
      </c>
      <c r="F1603" s="40">
        <f>IFERROR(__xludf.DUMMYFUNCTION("""COMPUTED_VALUE"""),9304.0)</f>
        <v>9304</v>
      </c>
      <c r="G1603" s="40" t="str">
        <f>IFERROR(__xludf.DUMMYFUNCTION("""COMPUTED_VALUE"""),"LOCARNO
Dallas,")</f>
        <v>LOCARNO
Dallas,</v>
      </c>
      <c r="H1603" s="40" t="str">
        <f>IFERROR(__xludf.DUMMYFUNCTION("""COMPUTED_VALUE"""),"TX")</f>
        <v>TX</v>
      </c>
      <c r="I1603" s="40">
        <f>IFERROR(__xludf.DUMMYFUNCTION("""COMPUTED_VALUE"""),75243.0)</f>
        <v>75243</v>
      </c>
      <c r="J1603" s="40"/>
      <c r="K1603" s="40"/>
      <c r="L1603" s="40"/>
      <c r="M1603" s="40"/>
      <c r="N1603" s="40"/>
      <c r="O1603" s="40"/>
      <c r="P1603" s="40"/>
      <c r="Q1603" s="40"/>
      <c r="R1603" s="40"/>
      <c r="S1603" s="40"/>
      <c r="T1603" s="40"/>
      <c r="U1603" s="24" t="str">
        <f>IFERROR(__xludf.DUMMYFUNCTION("SPLIT(E1603,""01234567890"")"),"Bill
")</f>
        <v>Bill
</v>
      </c>
      <c r="V1603" s="24" t="str">
        <f>IFERROR(__xludf.DUMMYFUNCTION("SPLIT(D1603,"","")"),"COX")</f>
        <v>COX</v>
      </c>
      <c r="W1603" s="25" t="str">
        <f t="shared" si="1"/>
        <v>BILL
 COX</v>
      </c>
      <c r="X1603" s="40"/>
      <c r="Y1603" s="40"/>
      <c r="Z1603" s="25" t="str">
        <f>IFERROR(__xludf.DUMMYFUNCTION("SPLIT(C1603,""
"")"),"COX, Bill")</f>
        <v>COX, Bill</v>
      </c>
      <c r="AA1603" s="40" t="str">
        <f>IFERROR(__xludf.DUMMYFUNCTION("""COMPUTED_VALUE"""),"9304 9304 LOCARNO")</f>
        <v>9304 9304 LOCARNO</v>
      </c>
      <c r="AB1603" s="40" t="str">
        <f>IFERROR(__xludf.DUMMYFUNCTION("""COMPUTED_VALUE"""),"Dallas, TX 75243")</f>
        <v>Dallas, TX 75243</v>
      </c>
      <c r="AC1603" s="31" t="s">
        <v>3261</v>
      </c>
      <c r="AD1603" s="40"/>
      <c r="AE1603" s="40"/>
      <c r="AF1603" s="40"/>
      <c r="AG1603" s="40" t="s">
        <v>60</v>
      </c>
      <c r="AH1603" s="42">
        <v>2524.0</v>
      </c>
      <c r="AI1603" s="40" t="s">
        <v>3262</v>
      </c>
      <c r="AJ1603" s="27">
        <v>500.0</v>
      </c>
      <c r="AK1603" s="31" t="s">
        <v>40</v>
      </c>
      <c r="AL1603" s="43">
        <v>44907.0</v>
      </c>
      <c r="AM1603" s="44">
        <v>44944.60962962963</v>
      </c>
      <c r="AN1603" s="30">
        <v>2.0</v>
      </c>
      <c r="AO1603" s="40"/>
      <c r="AP1603" s="121">
        <f>MAX(AJ:AJ)</f>
        <v>10000</v>
      </c>
      <c r="AQ1603" s="40"/>
      <c r="AR1603" s="40"/>
      <c r="AS1603" s="40"/>
      <c r="AT1603" s="47"/>
      <c r="AU1603" s="40"/>
      <c r="AV1603" s="46"/>
      <c r="AW1603" s="46"/>
      <c r="AX1603" s="47"/>
      <c r="AY1603" s="44"/>
      <c r="AZ1603" s="30"/>
      <c r="CU1603" s="55"/>
      <c r="CV1603" s="55"/>
      <c r="CW1603" s="55"/>
      <c r="CX1603" s="55"/>
      <c r="CY1603" s="55"/>
      <c r="CZ1603" s="55"/>
      <c r="DA1603" s="82"/>
      <c r="DB1603" s="55"/>
      <c r="DC1603" s="55"/>
      <c r="DD1603" s="55"/>
      <c r="DE1603" s="55"/>
      <c r="DF1603" s="55"/>
      <c r="DG1603" s="55"/>
      <c r="DH1603" s="55"/>
      <c r="DI1603" s="55"/>
      <c r="DJ1603" s="55"/>
      <c r="DK1603" s="55"/>
      <c r="DL1603" s="55"/>
      <c r="DM1603" s="55"/>
      <c r="DN1603" s="55"/>
      <c r="DO1603" s="55"/>
      <c r="DP1603" s="55"/>
      <c r="DQ1603" s="55"/>
      <c r="DR1603" s="55"/>
      <c r="DS1603" s="55"/>
      <c r="DT1603" s="55"/>
      <c r="DU1603" s="55"/>
      <c r="DV1603" s="55"/>
      <c r="DW1603" s="55"/>
    </row>
    <row r="1604">
      <c r="A1604" s="23" t="s">
        <v>64</v>
      </c>
      <c r="B1604" s="23" t="s">
        <v>56</v>
      </c>
      <c r="C1604" s="31" t="s">
        <v>3260</v>
      </c>
      <c r="D1604" s="25" t="str">
        <f>IFERROR(__xludf.DUMMYFUNCTION("SPLIT(C1604,"" "")"),"COX,")</f>
        <v>COX,</v>
      </c>
      <c r="E1604" s="22" t="str">
        <f>IFERROR(__xludf.DUMMYFUNCTION("""COMPUTED_VALUE"""),"Bill
9304")</f>
        <v>Bill
9304</v>
      </c>
      <c r="F1604" s="22">
        <f>IFERROR(__xludf.DUMMYFUNCTION("""COMPUTED_VALUE"""),9304.0)</f>
        <v>9304</v>
      </c>
      <c r="G1604" s="22" t="str">
        <f>IFERROR(__xludf.DUMMYFUNCTION("""COMPUTED_VALUE"""),"LOCARNO
Dallas,")</f>
        <v>LOCARNO
Dallas,</v>
      </c>
      <c r="H1604" s="22" t="str">
        <f>IFERROR(__xludf.DUMMYFUNCTION("""COMPUTED_VALUE"""),"TX")</f>
        <v>TX</v>
      </c>
      <c r="I1604" s="22">
        <f>IFERROR(__xludf.DUMMYFUNCTION("""COMPUTED_VALUE"""),75243.0)</f>
        <v>75243</v>
      </c>
      <c r="J1604" s="22"/>
      <c r="K1604" s="22"/>
      <c r="L1604" s="22"/>
      <c r="M1604" s="22"/>
      <c r="N1604" s="22"/>
      <c r="O1604" s="22"/>
      <c r="P1604" s="22"/>
      <c r="Q1604" s="22"/>
      <c r="R1604" s="22"/>
      <c r="S1604" s="22"/>
      <c r="T1604" s="22"/>
      <c r="U1604" s="24" t="str">
        <f>IFERROR(__xludf.DUMMYFUNCTION("SPLIT(E1604,""01234567890"")"),"Bill
")</f>
        <v>Bill
</v>
      </c>
      <c r="V1604" s="24" t="str">
        <f>IFERROR(__xludf.DUMMYFUNCTION("SPLIT(D1604,"","")"),"COX")</f>
        <v>COX</v>
      </c>
      <c r="W1604" s="25" t="str">
        <f t="shared" si="1"/>
        <v>BILL
 COX</v>
      </c>
      <c r="X1604" s="22"/>
      <c r="Y1604" s="22"/>
      <c r="Z1604" s="25" t="str">
        <f>IFERROR(__xludf.DUMMYFUNCTION("SPLIT(C1604,""
"")"),"COX, Bill")</f>
        <v>COX, Bill</v>
      </c>
      <c r="AA1604" s="22" t="str">
        <f>IFERROR(__xludf.DUMMYFUNCTION("""COMPUTED_VALUE"""),"9304 9304 LOCARNO")</f>
        <v>9304 9304 LOCARNO</v>
      </c>
      <c r="AB1604" s="22" t="str">
        <f>IFERROR(__xludf.DUMMYFUNCTION("""COMPUTED_VALUE"""),"Dallas, TX 75243")</f>
        <v>Dallas, TX 75243</v>
      </c>
      <c r="AC1604" s="31" t="s">
        <v>3261</v>
      </c>
      <c r="AD1604" s="22"/>
      <c r="AE1604" s="22"/>
      <c r="AF1604" s="22"/>
      <c r="AG1604" s="22" t="s">
        <v>60</v>
      </c>
      <c r="AH1604" s="54">
        <v>2524.0</v>
      </c>
      <c r="AI1604" s="22" t="s">
        <v>3262</v>
      </c>
      <c r="AJ1604" s="27">
        <v>500.0</v>
      </c>
      <c r="AK1604" s="31" t="s">
        <v>40</v>
      </c>
      <c r="AL1604" s="28">
        <v>44907.0</v>
      </c>
      <c r="AM1604" s="29">
        <v>44944.60962962963</v>
      </c>
      <c r="AN1604" s="30">
        <v>2.0</v>
      </c>
      <c r="AO1604" s="22"/>
      <c r="AP1604" s="22"/>
      <c r="AQ1604" s="22"/>
      <c r="AR1604" s="22"/>
      <c r="AS1604" s="22"/>
      <c r="AT1604" s="70"/>
      <c r="AU1604" s="22"/>
      <c r="AV1604" s="57"/>
      <c r="AW1604" s="57"/>
      <c r="AX1604" s="70"/>
      <c r="AY1604" s="29"/>
      <c r="AZ1604" s="30"/>
      <c r="CU1604" s="55"/>
      <c r="CV1604" s="55"/>
      <c r="CW1604" s="55"/>
      <c r="CX1604" s="55"/>
      <c r="CY1604" s="55"/>
      <c r="CZ1604" s="55"/>
      <c r="DA1604" s="82"/>
      <c r="DB1604" s="55"/>
      <c r="DC1604" s="55"/>
      <c r="DD1604" s="55"/>
      <c r="DE1604" s="55"/>
      <c r="DF1604" s="55"/>
      <c r="DG1604" s="55"/>
      <c r="DH1604" s="55"/>
      <c r="DI1604" s="55"/>
      <c r="DJ1604" s="55"/>
      <c r="DK1604" s="55"/>
      <c r="DL1604" s="55"/>
      <c r="DM1604" s="55"/>
      <c r="DN1604" s="55"/>
      <c r="DO1604" s="55"/>
      <c r="DP1604" s="55"/>
      <c r="DQ1604" s="55"/>
      <c r="DR1604" s="55"/>
      <c r="DS1604" s="55"/>
      <c r="DT1604" s="55"/>
      <c r="DU1604" s="55"/>
      <c r="DV1604" s="55"/>
      <c r="DW1604" s="55"/>
    </row>
    <row r="1605">
      <c r="A1605" s="41" t="s">
        <v>64</v>
      </c>
      <c r="B1605" s="41" t="s">
        <v>56</v>
      </c>
      <c r="C1605" s="31" t="s">
        <v>3263</v>
      </c>
      <c r="D1605" s="25" t="str">
        <f>IFERROR(__xludf.DUMMYFUNCTION("SPLIT(C1605,"" "")"),"ROGERS,")</f>
        <v>ROGERS,</v>
      </c>
      <c r="E1605" s="40" t="str">
        <f>IFERROR(__xludf.DUMMYFUNCTION("""COMPUTED_VALUE"""),"JOYCE
8355")</f>
        <v>JOYCE
8355</v>
      </c>
      <c r="F1605" s="40" t="str">
        <f>IFERROR(__xludf.DUMMYFUNCTION("""COMPUTED_VALUE"""),"South")</f>
        <v>South</v>
      </c>
      <c r="G1605" s="40" t="str">
        <f>IFERROR(__xludf.DUMMYFUNCTION("""COMPUTED_VALUE"""),"Saint")</f>
        <v>Saint</v>
      </c>
      <c r="H1605" s="40" t="str">
        <f>IFERROR(__xludf.DUMMYFUNCTION("""COMPUTED_VALUE"""),"Lawrence
Chicago,")</f>
        <v>Lawrence
Chicago,</v>
      </c>
      <c r="I1605" s="40" t="str">
        <f>IFERROR(__xludf.DUMMYFUNCTION("""COMPUTED_VALUE"""),"IL")</f>
        <v>IL</v>
      </c>
      <c r="J1605" s="40">
        <f>IFERROR(__xludf.DUMMYFUNCTION("""COMPUTED_VALUE"""),60619.0)</f>
        <v>60619</v>
      </c>
      <c r="K1605" s="40"/>
      <c r="L1605" s="40"/>
      <c r="M1605" s="40"/>
      <c r="N1605" s="40"/>
      <c r="O1605" s="40"/>
      <c r="P1605" s="40"/>
      <c r="Q1605" s="40"/>
      <c r="R1605" s="40"/>
      <c r="S1605" s="40"/>
      <c r="T1605" s="40"/>
      <c r="U1605" s="24" t="str">
        <f>IFERROR(__xludf.DUMMYFUNCTION("SPLIT(E1605,""01234567890"")"),"JOYCE
")</f>
        <v>JOYCE
</v>
      </c>
      <c r="V1605" s="24" t="str">
        <f>IFERROR(__xludf.DUMMYFUNCTION("SPLIT(D1605,"","")"),"ROGERS")</f>
        <v>ROGERS</v>
      </c>
      <c r="W1605" s="25" t="str">
        <f t="shared" si="1"/>
        <v>JOYCE
 ROGERS</v>
      </c>
      <c r="X1605" s="40"/>
      <c r="Y1605" s="40"/>
      <c r="Z1605" s="25" t="str">
        <f>IFERROR(__xludf.DUMMYFUNCTION("SPLIT(C1605,""
"")"),"ROGERS, JOYCE")</f>
        <v>ROGERS, JOYCE</v>
      </c>
      <c r="AA1605" s="40" t="str">
        <f>IFERROR(__xludf.DUMMYFUNCTION("""COMPUTED_VALUE"""),"8355 South Saint Lawrence")</f>
        <v>8355 South Saint Lawrence</v>
      </c>
      <c r="AB1605" s="40" t="str">
        <f>IFERROR(__xludf.DUMMYFUNCTION("""COMPUTED_VALUE"""),"Chicago, IL 60619")</f>
        <v>Chicago, IL 60619</v>
      </c>
      <c r="AC1605" s="31" t="s">
        <v>3264</v>
      </c>
      <c r="AD1605" s="40"/>
      <c r="AE1605" s="40"/>
      <c r="AF1605" s="40"/>
      <c r="AG1605" s="40" t="s">
        <v>60</v>
      </c>
      <c r="AH1605" s="42">
        <v>2524.0</v>
      </c>
      <c r="AI1605" s="40" t="s">
        <v>3262</v>
      </c>
      <c r="AJ1605" s="27">
        <v>104.15</v>
      </c>
      <c r="AK1605" s="31" t="s">
        <v>40</v>
      </c>
      <c r="AL1605" s="43">
        <v>44927.0</v>
      </c>
      <c r="AM1605" s="44">
        <v>44944.60962962963</v>
      </c>
      <c r="AN1605" s="30">
        <v>2.0</v>
      </c>
      <c r="AO1605" s="40"/>
      <c r="AP1605" s="40"/>
      <c r="AQ1605" s="40"/>
      <c r="AR1605" s="40"/>
      <c r="AS1605" s="40"/>
      <c r="AT1605" s="47"/>
      <c r="AU1605" s="40"/>
      <c r="AV1605" s="46"/>
      <c r="AW1605" s="46"/>
      <c r="AX1605" s="47"/>
      <c r="AY1605" s="44"/>
      <c r="AZ1605" s="30"/>
      <c r="CU1605" s="55"/>
      <c r="CV1605" s="55"/>
      <c r="CW1605" s="55"/>
      <c r="CX1605" s="55"/>
      <c r="CY1605" s="55"/>
      <c r="CZ1605" s="55"/>
      <c r="DA1605" s="82"/>
      <c r="DB1605" s="55"/>
      <c r="DC1605" s="55"/>
      <c r="DD1605" s="55"/>
      <c r="DE1605" s="55"/>
      <c r="DF1605" s="55"/>
      <c r="DG1605" s="55"/>
      <c r="DH1605" s="55"/>
      <c r="DI1605" s="55"/>
      <c r="DJ1605" s="55"/>
      <c r="DK1605" s="55"/>
      <c r="DL1605" s="55"/>
      <c r="DM1605" s="55"/>
      <c r="DN1605" s="55"/>
      <c r="DO1605" s="55"/>
      <c r="DP1605" s="55"/>
      <c r="DQ1605" s="55"/>
      <c r="DR1605" s="55"/>
      <c r="DS1605" s="55"/>
      <c r="DT1605" s="55"/>
      <c r="DU1605" s="55"/>
      <c r="DV1605" s="55"/>
      <c r="DW1605" s="55"/>
    </row>
    <row r="1606">
      <c r="A1606" s="23" t="s">
        <v>64</v>
      </c>
      <c r="B1606" s="23" t="s">
        <v>56</v>
      </c>
      <c r="C1606" s="31" t="s">
        <v>3263</v>
      </c>
      <c r="D1606" s="25" t="str">
        <f>IFERROR(__xludf.DUMMYFUNCTION("SPLIT(C1606,"" "")"),"ROGERS,")</f>
        <v>ROGERS,</v>
      </c>
      <c r="E1606" s="22" t="str">
        <f>IFERROR(__xludf.DUMMYFUNCTION("""COMPUTED_VALUE"""),"JOYCE
8355")</f>
        <v>JOYCE
8355</v>
      </c>
      <c r="F1606" s="22" t="str">
        <f>IFERROR(__xludf.DUMMYFUNCTION("""COMPUTED_VALUE"""),"South")</f>
        <v>South</v>
      </c>
      <c r="G1606" s="22" t="str">
        <f>IFERROR(__xludf.DUMMYFUNCTION("""COMPUTED_VALUE"""),"Saint")</f>
        <v>Saint</v>
      </c>
      <c r="H1606" s="22" t="str">
        <f>IFERROR(__xludf.DUMMYFUNCTION("""COMPUTED_VALUE"""),"Lawrence
Chicago,")</f>
        <v>Lawrence
Chicago,</v>
      </c>
      <c r="I1606" s="22" t="str">
        <f>IFERROR(__xludf.DUMMYFUNCTION("""COMPUTED_VALUE"""),"IL")</f>
        <v>IL</v>
      </c>
      <c r="J1606" s="22">
        <f>IFERROR(__xludf.DUMMYFUNCTION("""COMPUTED_VALUE"""),60619.0)</f>
        <v>60619</v>
      </c>
      <c r="K1606" s="22"/>
      <c r="L1606" s="22"/>
      <c r="M1606" s="22"/>
      <c r="N1606" s="22"/>
      <c r="O1606" s="22"/>
      <c r="P1606" s="22"/>
      <c r="Q1606" s="22"/>
      <c r="R1606" s="22"/>
      <c r="S1606" s="22"/>
      <c r="T1606" s="22"/>
      <c r="U1606" s="24" t="str">
        <f>IFERROR(__xludf.DUMMYFUNCTION("SPLIT(E1606,""01234567890"")"),"JOYCE
")</f>
        <v>JOYCE
</v>
      </c>
      <c r="V1606" s="24" t="str">
        <f>IFERROR(__xludf.DUMMYFUNCTION("SPLIT(D1606,"","")"),"ROGERS")</f>
        <v>ROGERS</v>
      </c>
      <c r="W1606" s="25" t="str">
        <f t="shared" si="1"/>
        <v>JOYCE
 ROGERS</v>
      </c>
      <c r="X1606" s="22"/>
      <c r="Y1606" s="22"/>
      <c r="Z1606" s="25" t="str">
        <f>IFERROR(__xludf.DUMMYFUNCTION("SPLIT(C1606,""
"")"),"ROGERS, JOYCE")</f>
        <v>ROGERS, JOYCE</v>
      </c>
      <c r="AA1606" s="22" t="str">
        <f>IFERROR(__xludf.DUMMYFUNCTION("""COMPUTED_VALUE"""),"8355 South Saint Lawrence")</f>
        <v>8355 South Saint Lawrence</v>
      </c>
      <c r="AB1606" s="22" t="str">
        <f>IFERROR(__xludf.DUMMYFUNCTION("""COMPUTED_VALUE"""),"Chicago, IL 60619")</f>
        <v>Chicago, IL 60619</v>
      </c>
      <c r="AC1606" s="31" t="s">
        <v>3264</v>
      </c>
      <c r="AD1606" s="22"/>
      <c r="AE1606" s="22"/>
      <c r="AF1606" s="22"/>
      <c r="AG1606" s="22" t="s">
        <v>60</v>
      </c>
      <c r="AH1606" s="54">
        <v>2524.0</v>
      </c>
      <c r="AI1606" s="22" t="s">
        <v>3262</v>
      </c>
      <c r="AJ1606" s="27">
        <v>104.15</v>
      </c>
      <c r="AK1606" s="31" t="s">
        <v>40</v>
      </c>
      <c r="AL1606" s="28">
        <v>44927.0</v>
      </c>
      <c r="AM1606" s="29">
        <v>44944.60962962963</v>
      </c>
      <c r="AN1606" s="30">
        <v>2.0</v>
      </c>
      <c r="AO1606" s="22"/>
      <c r="AP1606" s="22"/>
      <c r="AQ1606" s="22"/>
      <c r="AR1606" s="22"/>
      <c r="AS1606" s="22"/>
      <c r="AT1606" s="70"/>
      <c r="AU1606" s="22"/>
      <c r="AV1606" s="57"/>
      <c r="AW1606" s="57"/>
      <c r="AX1606" s="70"/>
      <c r="AY1606" s="29"/>
      <c r="AZ1606" s="30"/>
      <c r="CU1606" s="55"/>
      <c r="CV1606" s="55"/>
      <c r="CW1606" s="55"/>
      <c r="CX1606" s="55"/>
      <c r="CY1606" s="55"/>
      <c r="CZ1606" s="55"/>
      <c r="DA1606" s="82"/>
      <c r="DB1606" s="55"/>
      <c r="DC1606" s="55"/>
      <c r="DD1606" s="55"/>
      <c r="DE1606" s="55"/>
      <c r="DF1606" s="55"/>
      <c r="DG1606" s="55"/>
      <c r="DH1606" s="55"/>
      <c r="DI1606" s="55"/>
      <c r="DJ1606" s="55"/>
      <c r="DK1606" s="55"/>
      <c r="DL1606" s="55"/>
      <c r="DM1606" s="55"/>
      <c r="DN1606" s="55"/>
      <c r="DO1606" s="55"/>
      <c r="DP1606" s="55"/>
      <c r="DQ1606" s="55"/>
      <c r="DR1606" s="55"/>
      <c r="DS1606" s="55"/>
      <c r="DT1606" s="55"/>
      <c r="DU1606" s="55"/>
      <c r="DV1606" s="55"/>
      <c r="DW1606" s="55"/>
    </row>
    <row r="1607">
      <c r="A1607" s="41" t="s">
        <v>64</v>
      </c>
      <c r="B1607" s="41" t="s">
        <v>56</v>
      </c>
      <c r="C1607" s="31" t="s">
        <v>3263</v>
      </c>
      <c r="D1607" s="25" t="str">
        <f>IFERROR(__xludf.DUMMYFUNCTION("SPLIT(C1607,"" "")"),"ROGERS,")</f>
        <v>ROGERS,</v>
      </c>
      <c r="E1607" s="40" t="str">
        <f>IFERROR(__xludf.DUMMYFUNCTION("""COMPUTED_VALUE"""),"JOYCE
8355")</f>
        <v>JOYCE
8355</v>
      </c>
      <c r="F1607" s="40" t="str">
        <f>IFERROR(__xludf.DUMMYFUNCTION("""COMPUTED_VALUE"""),"South")</f>
        <v>South</v>
      </c>
      <c r="G1607" s="40" t="str">
        <f>IFERROR(__xludf.DUMMYFUNCTION("""COMPUTED_VALUE"""),"Saint")</f>
        <v>Saint</v>
      </c>
      <c r="H1607" s="40" t="str">
        <f>IFERROR(__xludf.DUMMYFUNCTION("""COMPUTED_VALUE"""),"Lawrence
Chicago,")</f>
        <v>Lawrence
Chicago,</v>
      </c>
      <c r="I1607" s="40" t="str">
        <f>IFERROR(__xludf.DUMMYFUNCTION("""COMPUTED_VALUE"""),"IL")</f>
        <v>IL</v>
      </c>
      <c r="J1607" s="40">
        <f>IFERROR(__xludf.DUMMYFUNCTION("""COMPUTED_VALUE"""),60619.0)</f>
        <v>60619</v>
      </c>
      <c r="K1607" s="40"/>
      <c r="L1607" s="40"/>
      <c r="M1607" s="40"/>
      <c r="N1607" s="40"/>
      <c r="O1607" s="40"/>
      <c r="P1607" s="40"/>
      <c r="Q1607" s="40"/>
      <c r="R1607" s="40"/>
      <c r="S1607" s="40"/>
      <c r="T1607" s="40"/>
      <c r="U1607" s="24" t="str">
        <f>IFERROR(__xludf.DUMMYFUNCTION("SPLIT(E1607,""01234567890"")"),"JOYCE
")</f>
        <v>JOYCE
</v>
      </c>
      <c r="V1607" s="24" t="str">
        <f>IFERROR(__xludf.DUMMYFUNCTION("SPLIT(D1607,"","")"),"ROGERS")</f>
        <v>ROGERS</v>
      </c>
      <c r="W1607" s="25" t="str">
        <f t="shared" si="1"/>
        <v>JOYCE
 ROGERS</v>
      </c>
      <c r="X1607" s="40"/>
      <c r="Y1607" s="40"/>
      <c r="Z1607" s="25" t="str">
        <f>IFERROR(__xludf.DUMMYFUNCTION("SPLIT(C1607,""
"")"),"ROGERS, JOYCE")</f>
        <v>ROGERS, JOYCE</v>
      </c>
      <c r="AA1607" s="40" t="str">
        <f>IFERROR(__xludf.DUMMYFUNCTION("""COMPUTED_VALUE"""),"8355 South Saint Lawrence")</f>
        <v>8355 South Saint Lawrence</v>
      </c>
      <c r="AB1607" s="40" t="str">
        <f>IFERROR(__xludf.DUMMYFUNCTION("""COMPUTED_VALUE"""),"Chicago, IL 60619")</f>
        <v>Chicago, IL 60619</v>
      </c>
      <c r="AC1607" s="31" t="s">
        <v>3264</v>
      </c>
      <c r="AD1607" s="40"/>
      <c r="AE1607" s="40"/>
      <c r="AF1607" s="40"/>
      <c r="AG1607" s="40" t="s">
        <v>60</v>
      </c>
      <c r="AH1607" s="42">
        <v>2524.0</v>
      </c>
      <c r="AI1607" s="40" t="s">
        <v>3262</v>
      </c>
      <c r="AJ1607" s="27">
        <v>104.15</v>
      </c>
      <c r="AK1607" s="31" t="s">
        <v>40</v>
      </c>
      <c r="AL1607" s="43">
        <v>44927.0</v>
      </c>
      <c r="AM1607" s="44">
        <v>44944.60962962963</v>
      </c>
      <c r="AN1607" s="30">
        <v>2.0</v>
      </c>
      <c r="AO1607" s="40"/>
      <c r="AP1607" s="40"/>
      <c r="AQ1607" s="40"/>
      <c r="AR1607" s="40"/>
      <c r="AS1607" s="40"/>
      <c r="AT1607" s="47"/>
      <c r="AU1607" s="40"/>
      <c r="AV1607" s="46"/>
      <c r="AW1607" s="46"/>
      <c r="AX1607" s="47"/>
      <c r="AY1607" s="44"/>
      <c r="AZ1607" s="30"/>
      <c r="CU1607" s="55"/>
      <c r="CV1607" s="55"/>
      <c r="CW1607" s="55"/>
      <c r="CX1607" s="55"/>
      <c r="CY1607" s="55"/>
      <c r="CZ1607" s="55"/>
      <c r="DA1607" s="82"/>
      <c r="DB1607" s="55"/>
      <c r="DC1607" s="55"/>
      <c r="DD1607" s="55"/>
      <c r="DE1607" s="55"/>
      <c r="DF1607" s="55"/>
      <c r="DG1607" s="55"/>
      <c r="DH1607" s="55"/>
      <c r="DI1607" s="55"/>
      <c r="DJ1607" s="55"/>
      <c r="DK1607" s="55"/>
      <c r="DL1607" s="55"/>
      <c r="DM1607" s="55"/>
      <c r="DN1607" s="55"/>
      <c r="DO1607" s="55"/>
      <c r="DP1607" s="55"/>
      <c r="DQ1607" s="55"/>
      <c r="DR1607" s="55"/>
      <c r="DS1607" s="55"/>
      <c r="DT1607" s="55"/>
      <c r="DU1607" s="55"/>
      <c r="DV1607" s="55"/>
      <c r="DW1607" s="55"/>
    </row>
  </sheetData>
  <autoFilter ref="$AS$1:$AT$1607"/>
  <mergeCells count="6">
    <mergeCell ref="DA109:DD109"/>
    <mergeCell ref="AU434:AU438"/>
    <mergeCell ref="CU645:CV645"/>
    <mergeCell ref="AW938:AY938"/>
    <mergeCell ref="BS938:BT938"/>
    <mergeCell ref="BW938:CA938"/>
  </mergeCells>
  <conditionalFormatting sqref="BT1:BT935">
    <cfRule type="cellIs" dxfId="0" priority="1" operator="notEqual">
      <formula>0</formula>
    </cfRule>
  </conditionalFormatting>
  <conditionalFormatting sqref="BS1:BS937 BS939:BS1607">
    <cfRule type="cellIs" dxfId="0" priority="2" operator="greaterThan">
      <formula>1</formula>
    </cfRule>
  </conditionalFormatting>
  <conditionalFormatting sqref="DW3:DW104">
    <cfRule type="cellIs" dxfId="0" priority="3" operator="lessThan">
      <formula>1</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0.25"/>
    <col customWidth="1" min="3" max="3" width="23.0"/>
    <col customWidth="1" min="4" max="4" width="18.13"/>
    <col customWidth="1" min="6" max="6" width="30.25"/>
    <col customWidth="1" min="27" max="27" width="16.25"/>
  </cols>
  <sheetData>
    <row r="1">
      <c r="A1" s="122" t="s">
        <v>9</v>
      </c>
      <c r="B1" s="123" t="s">
        <v>6</v>
      </c>
      <c r="C1" s="124" t="s">
        <v>14</v>
      </c>
      <c r="D1" s="125" t="s">
        <v>15</v>
      </c>
      <c r="F1" s="126" t="s">
        <v>3265</v>
      </c>
      <c r="G1" s="127" t="s">
        <v>21</v>
      </c>
      <c r="H1" s="128" t="s">
        <v>22</v>
      </c>
      <c r="I1" s="128" t="s">
        <v>23</v>
      </c>
      <c r="J1" s="128" t="s">
        <v>24</v>
      </c>
      <c r="K1" s="128" t="s">
        <v>25</v>
      </c>
      <c r="L1" s="128" t="s">
        <v>26</v>
      </c>
      <c r="M1" s="128" t="s">
        <v>27</v>
      </c>
      <c r="N1" s="128" t="s">
        <v>28</v>
      </c>
      <c r="O1" s="128" t="s">
        <v>29</v>
      </c>
      <c r="P1" s="128" t="s">
        <v>30</v>
      </c>
      <c r="Q1" s="128" t="s">
        <v>31</v>
      </c>
      <c r="R1" s="128" t="s">
        <v>32</v>
      </c>
      <c r="S1" s="128" t="s">
        <v>33</v>
      </c>
      <c r="T1" s="128" t="s">
        <v>34</v>
      </c>
      <c r="U1" s="128" t="s">
        <v>35</v>
      </c>
      <c r="V1" s="128" t="s">
        <v>36</v>
      </c>
      <c r="W1" s="128" t="s">
        <v>37</v>
      </c>
      <c r="X1" s="128" t="s">
        <v>38</v>
      </c>
      <c r="Y1" s="128" t="s">
        <v>39</v>
      </c>
      <c r="Z1" s="128" t="s">
        <v>40</v>
      </c>
      <c r="AA1" s="129" t="s">
        <v>45</v>
      </c>
    </row>
    <row r="2">
      <c r="A2" s="130" t="s">
        <v>3266</v>
      </c>
      <c r="B2" s="25">
        <v>75230.0</v>
      </c>
      <c r="C2" s="27">
        <v>1000.0</v>
      </c>
      <c r="D2" s="131" t="s">
        <v>21</v>
      </c>
      <c r="F2" s="130">
        <f>IFERROR(__xludf.DUMMYFUNCTION("UNIQUE(B2:B1607)"),75230.0)</f>
        <v>75230</v>
      </c>
      <c r="G2" s="132">
        <f t="shared" ref="G2:G210" si="2">SUMIFS(C:C,B:B,$F2,D:D,$G$1)</f>
        <v>3850</v>
      </c>
      <c r="H2" s="132">
        <f t="shared" ref="H2:H210" si="3">SUMIFS(C:C,B:B,$F2,D:D,$H$1)</f>
        <v>500</v>
      </c>
      <c r="I2" s="132">
        <f t="shared" ref="I2:Z2" si="1">SUMIFS($C:$C,$B:$B,$F2,$D:$D,I$1)</f>
        <v>500</v>
      </c>
      <c r="J2" s="132">
        <f t="shared" si="1"/>
        <v>2900</v>
      </c>
      <c r="K2" s="132">
        <f t="shared" si="1"/>
        <v>61250</v>
      </c>
      <c r="L2" s="132">
        <f t="shared" si="1"/>
        <v>200</v>
      </c>
      <c r="M2" s="132">
        <f t="shared" si="1"/>
        <v>0</v>
      </c>
      <c r="N2" s="132">
        <f t="shared" si="1"/>
        <v>2000</v>
      </c>
      <c r="O2" s="132">
        <f t="shared" si="1"/>
        <v>0</v>
      </c>
      <c r="P2" s="132">
        <f t="shared" si="1"/>
        <v>3330</v>
      </c>
      <c r="Q2" s="132">
        <f t="shared" si="1"/>
        <v>14686</v>
      </c>
      <c r="R2" s="132">
        <f t="shared" si="1"/>
        <v>204</v>
      </c>
      <c r="S2" s="132">
        <f t="shared" si="1"/>
        <v>0</v>
      </c>
      <c r="T2" s="132">
        <f t="shared" si="1"/>
        <v>0</v>
      </c>
      <c r="U2" s="132">
        <f t="shared" si="1"/>
        <v>0</v>
      </c>
      <c r="V2" s="132">
        <f t="shared" si="1"/>
        <v>0</v>
      </c>
      <c r="W2" s="132">
        <f t="shared" si="1"/>
        <v>0</v>
      </c>
      <c r="X2" s="132">
        <f t="shared" si="1"/>
        <v>0</v>
      </c>
      <c r="Y2" s="132">
        <f t="shared" si="1"/>
        <v>0</v>
      </c>
      <c r="Z2" s="132">
        <f t="shared" si="1"/>
        <v>0</v>
      </c>
      <c r="AA2" s="133">
        <f t="shared" ref="AA2:AA210" si="5">SUM(G2:Z2)</f>
        <v>89420</v>
      </c>
    </row>
    <row r="3">
      <c r="A3" s="130" t="s">
        <v>3266</v>
      </c>
      <c r="B3" s="25">
        <v>75230.0</v>
      </c>
      <c r="C3" s="27">
        <v>500.0</v>
      </c>
      <c r="D3" s="134" t="s">
        <v>22</v>
      </c>
      <c r="F3" s="130">
        <f>IFERROR(__xludf.DUMMYFUNCTION("""COMPUTED_VALUE"""),75214.0)</f>
        <v>75214</v>
      </c>
      <c r="G3" s="132">
        <f t="shared" si="2"/>
        <v>2200</v>
      </c>
      <c r="H3" s="132">
        <f t="shared" si="3"/>
        <v>0</v>
      </c>
      <c r="I3" s="132">
        <f t="shared" ref="I3:Z3" si="4">SUMIFS($C:$C,$B:$B,$F3,$D:$D,I$1)</f>
        <v>1050</v>
      </c>
      <c r="J3" s="132">
        <f t="shared" si="4"/>
        <v>23225</v>
      </c>
      <c r="K3" s="132">
        <f t="shared" si="4"/>
        <v>7700</v>
      </c>
      <c r="L3" s="132">
        <f t="shared" si="4"/>
        <v>100</v>
      </c>
      <c r="M3" s="132">
        <f t="shared" si="4"/>
        <v>1500</v>
      </c>
      <c r="N3" s="132">
        <f t="shared" si="4"/>
        <v>0</v>
      </c>
      <c r="O3" s="132">
        <f t="shared" si="4"/>
        <v>750</v>
      </c>
      <c r="P3" s="132">
        <f t="shared" si="4"/>
        <v>0</v>
      </c>
      <c r="Q3" s="132">
        <f t="shared" si="4"/>
        <v>250</v>
      </c>
      <c r="R3" s="132">
        <f t="shared" si="4"/>
        <v>565</v>
      </c>
      <c r="S3" s="132">
        <f t="shared" si="4"/>
        <v>0</v>
      </c>
      <c r="T3" s="132">
        <f t="shared" si="4"/>
        <v>2501.99</v>
      </c>
      <c r="U3" s="132">
        <f t="shared" si="4"/>
        <v>0</v>
      </c>
      <c r="V3" s="132">
        <f t="shared" si="4"/>
        <v>6000</v>
      </c>
      <c r="W3" s="132">
        <f t="shared" si="4"/>
        <v>0</v>
      </c>
      <c r="X3" s="132">
        <f t="shared" si="4"/>
        <v>0</v>
      </c>
      <c r="Y3" s="132">
        <f t="shared" si="4"/>
        <v>0</v>
      </c>
      <c r="Z3" s="132">
        <f t="shared" si="4"/>
        <v>0</v>
      </c>
      <c r="AA3" s="133">
        <f t="shared" si="5"/>
        <v>45841.99</v>
      </c>
    </row>
    <row r="4">
      <c r="A4" s="130" t="s">
        <v>3266</v>
      </c>
      <c r="B4" s="25">
        <v>75230.0</v>
      </c>
      <c r="C4" s="27">
        <v>500.0</v>
      </c>
      <c r="D4" s="134" t="s">
        <v>23</v>
      </c>
      <c r="F4" s="130">
        <f>IFERROR(__xludf.DUMMYFUNCTION("""COMPUTED_VALUE"""),75203.0)</f>
        <v>75203</v>
      </c>
      <c r="G4" s="132">
        <f t="shared" si="2"/>
        <v>950</v>
      </c>
      <c r="H4" s="132">
        <f t="shared" si="3"/>
        <v>0</v>
      </c>
      <c r="I4" s="132">
        <f t="shared" ref="I4:Z4" si="6">SUMIFS($C:$C,$B:$B,$F4,$D:$D,I$1)</f>
        <v>750</v>
      </c>
      <c r="J4" s="132">
        <f t="shared" si="6"/>
        <v>200</v>
      </c>
      <c r="K4" s="132">
        <f t="shared" si="6"/>
        <v>500</v>
      </c>
      <c r="L4" s="132">
        <f t="shared" si="6"/>
        <v>0</v>
      </c>
      <c r="M4" s="132">
        <f t="shared" si="6"/>
        <v>0</v>
      </c>
      <c r="N4" s="132">
        <f t="shared" si="6"/>
        <v>0</v>
      </c>
      <c r="O4" s="132">
        <f t="shared" si="6"/>
        <v>0</v>
      </c>
      <c r="P4" s="132">
        <f t="shared" si="6"/>
        <v>0</v>
      </c>
      <c r="Q4" s="132">
        <f t="shared" si="6"/>
        <v>0</v>
      </c>
      <c r="R4" s="132">
        <f t="shared" si="6"/>
        <v>0</v>
      </c>
      <c r="S4" s="132">
        <f t="shared" si="6"/>
        <v>0</v>
      </c>
      <c r="T4" s="132">
        <f t="shared" si="6"/>
        <v>0</v>
      </c>
      <c r="U4" s="132">
        <f t="shared" si="6"/>
        <v>0</v>
      </c>
      <c r="V4" s="132">
        <f t="shared" si="6"/>
        <v>0</v>
      </c>
      <c r="W4" s="132">
        <f t="shared" si="6"/>
        <v>0</v>
      </c>
      <c r="X4" s="132">
        <f t="shared" si="6"/>
        <v>0</v>
      </c>
      <c r="Y4" s="132">
        <f t="shared" si="6"/>
        <v>0</v>
      </c>
      <c r="Z4" s="132">
        <f t="shared" si="6"/>
        <v>0</v>
      </c>
      <c r="AA4" s="133">
        <f t="shared" si="5"/>
        <v>2400</v>
      </c>
    </row>
    <row r="5">
      <c r="A5" s="130" t="s">
        <v>3267</v>
      </c>
      <c r="B5" s="25">
        <v>75214.0</v>
      </c>
      <c r="C5" s="27">
        <v>50.0</v>
      </c>
      <c r="D5" s="134" t="s">
        <v>24</v>
      </c>
      <c r="F5" s="130">
        <f>IFERROR(__xludf.DUMMYFUNCTION("""COMPUTED_VALUE"""),75247.0)</f>
        <v>75247</v>
      </c>
      <c r="G5" s="132">
        <f t="shared" si="2"/>
        <v>0</v>
      </c>
      <c r="H5" s="132">
        <f t="shared" si="3"/>
        <v>0</v>
      </c>
      <c r="I5" s="132">
        <f t="shared" ref="I5:Z5" si="7">SUMIFS($C:$C,$B:$B,$F5,$D:$D,I$1)</f>
        <v>0</v>
      </c>
      <c r="J5" s="132">
        <f t="shared" si="7"/>
        <v>2000</v>
      </c>
      <c r="K5" s="132">
        <f t="shared" si="7"/>
        <v>0</v>
      </c>
      <c r="L5" s="132">
        <f t="shared" si="7"/>
        <v>0</v>
      </c>
      <c r="M5" s="132">
        <f t="shared" si="7"/>
        <v>0</v>
      </c>
      <c r="N5" s="132">
        <f t="shared" si="7"/>
        <v>0</v>
      </c>
      <c r="O5" s="132">
        <f t="shared" si="7"/>
        <v>0</v>
      </c>
      <c r="P5" s="132">
        <f t="shared" si="7"/>
        <v>0</v>
      </c>
      <c r="Q5" s="132">
        <f t="shared" si="7"/>
        <v>0</v>
      </c>
      <c r="R5" s="132">
        <f t="shared" si="7"/>
        <v>0</v>
      </c>
      <c r="S5" s="132">
        <f t="shared" si="7"/>
        <v>0</v>
      </c>
      <c r="T5" s="132">
        <f t="shared" si="7"/>
        <v>0</v>
      </c>
      <c r="U5" s="132">
        <f t="shared" si="7"/>
        <v>0</v>
      </c>
      <c r="V5" s="132">
        <f t="shared" si="7"/>
        <v>0</v>
      </c>
      <c r="W5" s="132">
        <f t="shared" si="7"/>
        <v>0</v>
      </c>
      <c r="X5" s="132">
        <f t="shared" si="7"/>
        <v>0</v>
      </c>
      <c r="Y5" s="132">
        <f t="shared" si="7"/>
        <v>0</v>
      </c>
      <c r="Z5" s="132">
        <f t="shared" si="7"/>
        <v>0</v>
      </c>
      <c r="AA5" s="133">
        <f t="shared" si="5"/>
        <v>2000</v>
      </c>
    </row>
    <row r="6">
      <c r="A6" s="130" t="s">
        <v>3267</v>
      </c>
      <c r="B6" s="25">
        <v>75214.0</v>
      </c>
      <c r="C6" s="27">
        <v>50.0</v>
      </c>
      <c r="D6" s="134" t="s">
        <v>24</v>
      </c>
      <c r="F6" s="130">
        <f>IFERROR(__xludf.DUMMYFUNCTION("""COMPUTED_VALUE"""),75206.0)</f>
        <v>75206</v>
      </c>
      <c r="G6" s="132">
        <f t="shared" si="2"/>
        <v>2887.2</v>
      </c>
      <c r="H6" s="132">
        <f t="shared" si="3"/>
        <v>0</v>
      </c>
      <c r="I6" s="132">
        <f t="shared" ref="I6:Z6" si="8">SUMIFS($C:$C,$B:$B,$F6,$D:$D,I$1)</f>
        <v>450</v>
      </c>
      <c r="J6" s="132">
        <f t="shared" si="8"/>
        <v>2850</v>
      </c>
      <c r="K6" s="132">
        <f t="shared" si="8"/>
        <v>5000</v>
      </c>
      <c r="L6" s="132">
        <f t="shared" si="8"/>
        <v>2000</v>
      </c>
      <c r="M6" s="132">
        <f t="shared" si="8"/>
        <v>200</v>
      </c>
      <c r="N6" s="132">
        <f t="shared" si="8"/>
        <v>0</v>
      </c>
      <c r="O6" s="132">
        <f t="shared" si="8"/>
        <v>0</v>
      </c>
      <c r="P6" s="132">
        <f t="shared" si="8"/>
        <v>0</v>
      </c>
      <c r="Q6" s="132">
        <f t="shared" si="8"/>
        <v>0</v>
      </c>
      <c r="R6" s="132">
        <f t="shared" si="8"/>
        <v>102</v>
      </c>
      <c r="S6" s="132">
        <f t="shared" si="8"/>
        <v>300</v>
      </c>
      <c r="T6" s="132">
        <f t="shared" si="8"/>
        <v>0</v>
      </c>
      <c r="U6" s="132">
        <f t="shared" si="8"/>
        <v>0</v>
      </c>
      <c r="V6" s="132">
        <f t="shared" si="8"/>
        <v>0</v>
      </c>
      <c r="W6" s="132">
        <f t="shared" si="8"/>
        <v>0</v>
      </c>
      <c r="X6" s="132">
        <f t="shared" si="8"/>
        <v>0</v>
      </c>
      <c r="Y6" s="132">
        <f t="shared" si="8"/>
        <v>0</v>
      </c>
      <c r="Z6" s="132">
        <f t="shared" si="8"/>
        <v>0</v>
      </c>
      <c r="AA6" s="133">
        <f t="shared" si="5"/>
        <v>13789.2</v>
      </c>
    </row>
    <row r="7">
      <c r="A7" s="130" t="s">
        <v>3268</v>
      </c>
      <c r="B7" s="25">
        <v>75203.0</v>
      </c>
      <c r="C7" s="27">
        <v>250.0</v>
      </c>
      <c r="D7" s="134" t="s">
        <v>23</v>
      </c>
      <c r="F7" s="130">
        <f>IFERROR(__xludf.DUMMYFUNCTION("""COMPUTED_VALUE"""),75270.0)</f>
        <v>75270</v>
      </c>
      <c r="G7" s="132">
        <f t="shared" si="2"/>
        <v>0</v>
      </c>
      <c r="H7" s="132">
        <f t="shared" si="3"/>
        <v>0</v>
      </c>
      <c r="I7" s="132">
        <f t="shared" ref="I7:Z7" si="9">SUMIFS($C:$C,$B:$B,$F7,$D:$D,I$1)</f>
        <v>0</v>
      </c>
      <c r="J7" s="132">
        <f t="shared" si="9"/>
        <v>0</v>
      </c>
      <c r="K7" s="132">
        <f t="shared" si="9"/>
        <v>0</v>
      </c>
      <c r="L7" s="132">
        <f t="shared" si="9"/>
        <v>0</v>
      </c>
      <c r="M7" s="132">
        <f t="shared" si="9"/>
        <v>50</v>
      </c>
      <c r="N7" s="132">
        <f t="shared" si="9"/>
        <v>0</v>
      </c>
      <c r="O7" s="132">
        <f t="shared" si="9"/>
        <v>0</v>
      </c>
      <c r="P7" s="132">
        <f t="shared" si="9"/>
        <v>0</v>
      </c>
      <c r="Q7" s="132">
        <f t="shared" si="9"/>
        <v>0</v>
      </c>
      <c r="R7" s="132">
        <f t="shared" si="9"/>
        <v>0</v>
      </c>
      <c r="S7" s="132">
        <f t="shared" si="9"/>
        <v>0</v>
      </c>
      <c r="T7" s="132">
        <f t="shared" si="9"/>
        <v>0</v>
      </c>
      <c r="U7" s="132">
        <f t="shared" si="9"/>
        <v>0</v>
      </c>
      <c r="V7" s="132">
        <f t="shared" si="9"/>
        <v>0</v>
      </c>
      <c r="W7" s="132">
        <f t="shared" si="9"/>
        <v>0</v>
      </c>
      <c r="X7" s="132">
        <f t="shared" si="9"/>
        <v>0</v>
      </c>
      <c r="Y7" s="132">
        <f t="shared" si="9"/>
        <v>0</v>
      </c>
      <c r="Z7" s="132">
        <f t="shared" si="9"/>
        <v>0</v>
      </c>
      <c r="AA7" s="133">
        <f t="shared" si="5"/>
        <v>50</v>
      </c>
    </row>
    <row r="8">
      <c r="A8" s="130" t="s">
        <v>3268</v>
      </c>
      <c r="B8" s="25">
        <v>75203.0</v>
      </c>
      <c r="C8" s="27">
        <v>250.0</v>
      </c>
      <c r="D8" s="134" t="s">
        <v>25</v>
      </c>
      <c r="F8" s="130">
        <f>IFERROR(__xludf.DUMMYFUNCTION("""COMPUTED_VALUE"""),75238.0)</f>
        <v>75238</v>
      </c>
      <c r="G8" s="132">
        <f t="shared" si="2"/>
        <v>0</v>
      </c>
      <c r="H8" s="132">
        <f t="shared" si="3"/>
        <v>0</v>
      </c>
      <c r="I8" s="132">
        <f t="shared" ref="I8:Z8" si="10">SUMIFS($C:$C,$B:$B,$F8,$D:$D,I$1)</f>
        <v>0</v>
      </c>
      <c r="J8" s="132">
        <f t="shared" si="10"/>
        <v>0</v>
      </c>
      <c r="K8" s="132">
        <f t="shared" si="10"/>
        <v>1065</v>
      </c>
      <c r="L8" s="132">
        <f t="shared" si="10"/>
        <v>16700</v>
      </c>
      <c r="M8" s="132">
        <f t="shared" si="10"/>
        <v>0</v>
      </c>
      <c r="N8" s="132">
        <f t="shared" si="10"/>
        <v>0</v>
      </c>
      <c r="O8" s="132">
        <f t="shared" si="10"/>
        <v>0</v>
      </c>
      <c r="P8" s="132">
        <f t="shared" si="10"/>
        <v>250</v>
      </c>
      <c r="Q8" s="132">
        <f t="shared" si="10"/>
        <v>500</v>
      </c>
      <c r="R8" s="132">
        <f t="shared" si="10"/>
        <v>602</v>
      </c>
      <c r="S8" s="132">
        <f t="shared" si="10"/>
        <v>0</v>
      </c>
      <c r="T8" s="132">
        <f t="shared" si="10"/>
        <v>0</v>
      </c>
      <c r="U8" s="132">
        <f t="shared" si="10"/>
        <v>0</v>
      </c>
      <c r="V8" s="132">
        <f t="shared" si="10"/>
        <v>0</v>
      </c>
      <c r="W8" s="132">
        <f t="shared" si="10"/>
        <v>0</v>
      </c>
      <c r="X8" s="132">
        <f t="shared" si="10"/>
        <v>0</v>
      </c>
      <c r="Y8" s="132">
        <f t="shared" si="10"/>
        <v>0</v>
      </c>
      <c r="Z8" s="132">
        <f t="shared" si="10"/>
        <v>0</v>
      </c>
      <c r="AA8" s="133">
        <f t="shared" si="5"/>
        <v>19117</v>
      </c>
    </row>
    <row r="9">
      <c r="A9" s="130" t="s">
        <v>3268</v>
      </c>
      <c r="B9" s="25">
        <v>75203.0</v>
      </c>
      <c r="C9" s="27">
        <v>950.0</v>
      </c>
      <c r="D9" s="134" t="s">
        <v>21</v>
      </c>
      <c r="F9" s="130">
        <f>IFERROR(__xludf.DUMMYFUNCTION("""COMPUTED_VALUE"""),75205.0)</f>
        <v>75205</v>
      </c>
      <c r="G9" s="132">
        <f t="shared" si="2"/>
        <v>10750</v>
      </c>
      <c r="H9" s="132">
        <f t="shared" si="3"/>
        <v>1000</v>
      </c>
      <c r="I9" s="132">
        <f t="shared" ref="I9:Z9" si="11">SUMIFS($C:$C,$B:$B,$F9,$D:$D,I$1)</f>
        <v>5300</v>
      </c>
      <c r="J9" s="132">
        <f t="shared" si="11"/>
        <v>14500</v>
      </c>
      <c r="K9" s="132">
        <f t="shared" si="11"/>
        <v>66000</v>
      </c>
      <c r="L9" s="132">
        <f t="shared" si="11"/>
        <v>100</v>
      </c>
      <c r="M9" s="132">
        <f t="shared" si="11"/>
        <v>4000</v>
      </c>
      <c r="N9" s="132">
        <f t="shared" si="11"/>
        <v>8000</v>
      </c>
      <c r="O9" s="132">
        <f t="shared" si="11"/>
        <v>2000</v>
      </c>
      <c r="P9" s="132">
        <f t="shared" si="11"/>
        <v>2050</v>
      </c>
      <c r="Q9" s="132">
        <f t="shared" si="11"/>
        <v>1000</v>
      </c>
      <c r="R9" s="132">
        <f t="shared" si="11"/>
        <v>0</v>
      </c>
      <c r="S9" s="132">
        <f t="shared" si="11"/>
        <v>0</v>
      </c>
      <c r="T9" s="132">
        <f t="shared" si="11"/>
        <v>2500</v>
      </c>
      <c r="U9" s="132">
        <f t="shared" si="11"/>
        <v>2000</v>
      </c>
      <c r="V9" s="132">
        <f t="shared" si="11"/>
        <v>0</v>
      </c>
      <c r="W9" s="132">
        <f t="shared" si="11"/>
        <v>0</v>
      </c>
      <c r="X9" s="132">
        <f t="shared" si="11"/>
        <v>0</v>
      </c>
      <c r="Y9" s="132">
        <f t="shared" si="11"/>
        <v>0</v>
      </c>
      <c r="Z9" s="132">
        <f t="shared" si="11"/>
        <v>0</v>
      </c>
      <c r="AA9" s="133">
        <f t="shared" si="5"/>
        <v>119200</v>
      </c>
    </row>
    <row r="10">
      <c r="A10" s="130" t="s">
        <v>3268</v>
      </c>
      <c r="B10" s="25">
        <v>75203.0</v>
      </c>
      <c r="C10" s="27">
        <v>100.0</v>
      </c>
      <c r="D10" s="134" t="s">
        <v>24</v>
      </c>
      <c r="F10" s="130">
        <f>IFERROR(__xludf.DUMMYFUNCTION("""COMPUTED_VALUE"""),75082.0)</f>
        <v>75082</v>
      </c>
      <c r="G10" s="132">
        <f t="shared" si="2"/>
        <v>0</v>
      </c>
      <c r="H10" s="132">
        <f t="shared" si="3"/>
        <v>0</v>
      </c>
      <c r="I10" s="132">
        <f t="shared" ref="I10:Z10" si="12">SUMIFS($C:$C,$B:$B,$F10,$D:$D,I$1)</f>
        <v>0</v>
      </c>
      <c r="J10" s="132">
        <f t="shared" si="12"/>
        <v>0</v>
      </c>
      <c r="K10" s="132">
        <f t="shared" si="12"/>
        <v>0</v>
      </c>
      <c r="L10" s="132">
        <f t="shared" si="12"/>
        <v>200</v>
      </c>
      <c r="M10" s="132">
        <f t="shared" si="12"/>
        <v>0</v>
      </c>
      <c r="N10" s="132">
        <f t="shared" si="12"/>
        <v>0</v>
      </c>
      <c r="O10" s="132">
        <f t="shared" si="12"/>
        <v>0</v>
      </c>
      <c r="P10" s="132">
        <f t="shared" si="12"/>
        <v>0</v>
      </c>
      <c r="Q10" s="132">
        <f t="shared" si="12"/>
        <v>0</v>
      </c>
      <c r="R10" s="132">
        <f t="shared" si="12"/>
        <v>0</v>
      </c>
      <c r="S10" s="132">
        <f t="shared" si="12"/>
        <v>0</v>
      </c>
      <c r="T10" s="132">
        <f t="shared" si="12"/>
        <v>0</v>
      </c>
      <c r="U10" s="132">
        <f t="shared" si="12"/>
        <v>0</v>
      </c>
      <c r="V10" s="132">
        <f t="shared" si="12"/>
        <v>0</v>
      </c>
      <c r="W10" s="132">
        <f t="shared" si="12"/>
        <v>0</v>
      </c>
      <c r="X10" s="132">
        <f t="shared" si="12"/>
        <v>0</v>
      </c>
      <c r="Y10" s="132">
        <f t="shared" si="12"/>
        <v>0</v>
      </c>
      <c r="Z10" s="132">
        <f t="shared" si="12"/>
        <v>0</v>
      </c>
      <c r="AA10" s="133">
        <f t="shared" si="5"/>
        <v>200</v>
      </c>
    </row>
    <row r="11">
      <c r="A11" s="130" t="s">
        <v>3269</v>
      </c>
      <c r="B11" s="25">
        <v>75247.0</v>
      </c>
      <c r="C11" s="27">
        <v>1000.0</v>
      </c>
      <c r="D11" s="134" t="s">
        <v>24</v>
      </c>
      <c r="F11" s="130">
        <f>IFERROR(__xludf.DUMMYFUNCTION("""COMPUTED_VALUE"""),75207.0)</f>
        <v>75207</v>
      </c>
      <c r="G11" s="132">
        <f t="shared" si="2"/>
        <v>500</v>
      </c>
      <c r="H11" s="132">
        <f t="shared" si="3"/>
        <v>0</v>
      </c>
      <c r="I11" s="132">
        <f t="shared" ref="I11:Z11" si="13">SUMIFS($C:$C,$B:$B,$F11,$D:$D,I$1)</f>
        <v>2000</v>
      </c>
      <c r="J11" s="132">
        <f t="shared" si="13"/>
        <v>3000</v>
      </c>
      <c r="K11" s="132">
        <f t="shared" si="13"/>
        <v>22600</v>
      </c>
      <c r="L11" s="132">
        <f t="shared" si="13"/>
        <v>0</v>
      </c>
      <c r="M11" s="132">
        <f t="shared" si="13"/>
        <v>0</v>
      </c>
      <c r="N11" s="132">
        <f t="shared" si="13"/>
        <v>0</v>
      </c>
      <c r="O11" s="132">
        <f t="shared" si="13"/>
        <v>1780</v>
      </c>
      <c r="P11" s="132">
        <f t="shared" si="13"/>
        <v>1000</v>
      </c>
      <c r="Q11" s="132">
        <f t="shared" si="13"/>
        <v>0</v>
      </c>
      <c r="R11" s="132">
        <f t="shared" si="13"/>
        <v>0</v>
      </c>
      <c r="S11" s="132">
        <f t="shared" si="13"/>
        <v>0</v>
      </c>
      <c r="T11" s="132">
        <f t="shared" si="13"/>
        <v>0</v>
      </c>
      <c r="U11" s="132">
        <f t="shared" si="13"/>
        <v>0</v>
      </c>
      <c r="V11" s="132">
        <f t="shared" si="13"/>
        <v>0</v>
      </c>
      <c r="W11" s="132">
        <f t="shared" si="13"/>
        <v>0</v>
      </c>
      <c r="X11" s="132">
        <f t="shared" si="13"/>
        <v>0</v>
      </c>
      <c r="Y11" s="132">
        <f t="shared" si="13"/>
        <v>0</v>
      </c>
      <c r="Z11" s="132">
        <f t="shared" si="13"/>
        <v>0</v>
      </c>
      <c r="AA11" s="133">
        <f t="shared" si="5"/>
        <v>30880</v>
      </c>
    </row>
    <row r="12">
      <c r="A12" s="130" t="s">
        <v>3270</v>
      </c>
      <c r="B12" s="25">
        <v>75206.0</v>
      </c>
      <c r="C12" s="27">
        <v>1000.0</v>
      </c>
      <c r="D12" s="134" t="s">
        <v>26</v>
      </c>
      <c r="F12" s="130">
        <f>IFERROR(__xludf.DUMMYFUNCTION("""COMPUTED_VALUE"""),77005.0)</f>
        <v>77005</v>
      </c>
      <c r="G12" s="132">
        <f t="shared" si="2"/>
        <v>250</v>
      </c>
      <c r="H12" s="132">
        <f t="shared" si="3"/>
        <v>0</v>
      </c>
      <c r="I12" s="132">
        <f t="shared" ref="I12:Z12" si="14">SUMIFS($C:$C,$B:$B,$F12,$D:$D,I$1)</f>
        <v>0</v>
      </c>
      <c r="J12" s="132">
        <f t="shared" si="14"/>
        <v>0</v>
      </c>
      <c r="K12" s="132">
        <f t="shared" si="14"/>
        <v>3000</v>
      </c>
      <c r="L12" s="132">
        <f t="shared" si="14"/>
        <v>0</v>
      </c>
      <c r="M12" s="132">
        <f t="shared" si="14"/>
        <v>0</v>
      </c>
      <c r="N12" s="132">
        <f t="shared" si="14"/>
        <v>0</v>
      </c>
      <c r="O12" s="132">
        <f t="shared" si="14"/>
        <v>0</v>
      </c>
      <c r="P12" s="132">
        <f t="shared" si="14"/>
        <v>0</v>
      </c>
      <c r="Q12" s="132">
        <f t="shared" si="14"/>
        <v>0</v>
      </c>
      <c r="R12" s="132">
        <f t="shared" si="14"/>
        <v>0</v>
      </c>
      <c r="S12" s="132">
        <f t="shared" si="14"/>
        <v>0</v>
      </c>
      <c r="T12" s="132">
        <f t="shared" si="14"/>
        <v>0</v>
      </c>
      <c r="U12" s="132">
        <f t="shared" si="14"/>
        <v>0</v>
      </c>
      <c r="V12" s="132">
        <f t="shared" si="14"/>
        <v>0</v>
      </c>
      <c r="W12" s="132">
        <f t="shared" si="14"/>
        <v>0</v>
      </c>
      <c r="X12" s="132">
        <f t="shared" si="14"/>
        <v>0</v>
      </c>
      <c r="Y12" s="132">
        <f t="shared" si="14"/>
        <v>0</v>
      </c>
      <c r="Z12" s="132">
        <f t="shared" si="14"/>
        <v>0</v>
      </c>
      <c r="AA12" s="133">
        <f t="shared" si="5"/>
        <v>3250</v>
      </c>
    </row>
    <row r="13">
      <c r="A13" s="130" t="s">
        <v>3271</v>
      </c>
      <c r="B13" s="25">
        <v>75270.0</v>
      </c>
      <c r="C13" s="27">
        <v>50.0</v>
      </c>
      <c r="D13" s="134" t="s">
        <v>27</v>
      </c>
      <c r="F13" s="130">
        <f>IFERROR(__xludf.DUMMYFUNCTION("""COMPUTED_VALUE"""),77077.0)</f>
        <v>77077</v>
      </c>
      <c r="G13" s="132">
        <f t="shared" si="2"/>
        <v>0</v>
      </c>
      <c r="H13" s="132">
        <f t="shared" si="3"/>
        <v>0</v>
      </c>
      <c r="I13" s="132">
        <f t="shared" ref="I13:Z13" si="15">SUMIFS($C:$C,$B:$B,$F13,$D:$D,I$1)</f>
        <v>0</v>
      </c>
      <c r="J13" s="132">
        <f t="shared" si="15"/>
        <v>0</v>
      </c>
      <c r="K13" s="132">
        <f t="shared" si="15"/>
        <v>3000</v>
      </c>
      <c r="L13" s="132">
        <f t="shared" si="15"/>
        <v>0</v>
      </c>
      <c r="M13" s="132">
        <f t="shared" si="15"/>
        <v>0</v>
      </c>
      <c r="N13" s="132">
        <f t="shared" si="15"/>
        <v>0</v>
      </c>
      <c r="O13" s="132">
        <f t="shared" si="15"/>
        <v>0</v>
      </c>
      <c r="P13" s="132">
        <f t="shared" si="15"/>
        <v>0</v>
      </c>
      <c r="Q13" s="132">
        <f t="shared" si="15"/>
        <v>0</v>
      </c>
      <c r="R13" s="132">
        <f t="shared" si="15"/>
        <v>0</v>
      </c>
      <c r="S13" s="132">
        <f t="shared" si="15"/>
        <v>0</v>
      </c>
      <c r="T13" s="132">
        <f t="shared" si="15"/>
        <v>0</v>
      </c>
      <c r="U13" s="132">
        <f t="shared" si="15"/>
        <v>0</v>
      </c>
      <c r="V13" s="132">
        <f t="shared" si="15"/>
        <v>0</v>
      </c>
      <c r="W13" s="132">
        <f t="shared" si="15"/>
        <v>0</v>
      </c>
      <c r="X13" s="132">
        <f t="shared" si="15"/>
        <v>0</v>
      </c>
      <c r="Y13" s="132">
        <f t="shared" si="15"/>
        <v>0</v>
      </c>
      <c r="Z13" s="132">
        <f t="shared" si="15"/>
        <v>0</v>
      </c>
      <c r="AA13" s="133">
        <f t="shared" si="5"/>
        <v>3000</v>
      </c>
    </row>
    <row r="14">
      <c r="A14" s="130" t="s">
        <v>3272</v>
      </c>
      <c r="B14" s="25">
        <v>75238.0</v>
      </c>
      <c r="C14" s="27">
        <v>500.0</v>
      </c>
      <c r="D14" s="134" t="s">
        <v>26</v>
      </c>
      <c r="F14" s="130">
        <f>IFERROR(__xludf.DUMMYFUNCTION("""COMPUTED_VALUE"""),75248.0)</f>
        <v>75248</v>
      </c>
      <c r="G14" s="132">
        <f t="shared" si="2"/>
        <v>500</v>
      </c>
      <c r="H14" s="132">
        <f t="shared" si="3"/>
        <v>0</v>
      </c>
      <c r="I14" s="132">
        <f t="shared" ref="I14:Z14" si="16">SUMIFS($C:$C,$B:$B,$F14,$D:$D,I$1)</f>
        <v>250</v>
      </c>
      <c r="J14" s="132">
        <f t="shared" si="16"/>
        <v>550</v>
      </c>
      <c r="K14" s="132">
        <f t="shared" si="16"/>
        <v>8550</v>
      </c>
      <c r="L14" s="132">
        <f t="shared" si="16"/>
        <v>0</v>
      </c>
      <c r="M14" s="132">
        <f t="shared" si="16"/>
        <v>0</v>
      </c>
      <c r="N14" s="132">
        <f t="shared" si="16"/>
        <v>4000</v>
      </c>
      <c r="O14" s="132">
        <f t="shared" si="16"/>
        <v>1000</v>
      </c>
      <c r="P14" s="132">
        <f t="shared" si="16"/>
        <v>0</v>
      </c>
      <c r="Q14" s="132">
        <f t="shared" si="16"/>
        <v>1515</v>
      </c>
      <c r="R14" s="132">
        <f t="shared" si="16"/>
        <v>0</v>
      </c>
      <c r="S14" s="132">
        <f t="shared" si="16"/>
        <v>0</v>
      </c>
      <c r="T14" s="132">
        <f t="shared" si="16"/>
        <v>0</v>
      </c>
      <c r="U14" s="132">
        <f t="shared" si="16"/>
        <v>0</v>
      </c>
      <c r="V14" s="132">
        <f t="shared" si="16"/>
        <v>0</v>
      </c>
      <c r="W14" s="132">
        <f t="shared" si="16"/>
        <v>0</v>
      </c>
      <c r="X14" s="132">
        <f t="shared" si="16"/>
        <v>0</v>
      </c>
      <c r="Y14" s="132">
        <f t="shared" si="16"/>
        <v>0</v>
      </c>
      <c r="Z14" s="132">
        <f t="shared" si="16"/>
        <v>0</v>
      </c>
      <c r="AA14" s="133">
        <f t="shared" si="5"/>
        <v>16365</v>
      </c>
    </row>
    <row r="15">
      <c r="A15" s="130" t="s">
        <v>3273</v>
      </c>
      <c r="B15" s="25">
        <v>75205.0</v>
      </c>
      <c r="C15" s="27">
        <v>2500.0</v>
      </c>
      <c r="D15" s="134" t="s">
        <v>25</v>
      </c>
      <c r="F15" s="130">
        <f>IFERROR(__xludf.DUMMYFUNCTION("""COMPUTED_VALUE"""),75225.0)</f>
        <v>75225</v>
      </c>
      <c r="G15" s="132">
        <f t="shared" si="2"/>
        <v>2150</v>
      </c>
      <c r="H15" s="132">
        <f t="shared" si="3"/>
        <v>0</v>
      </c>
      <c r="I15" s="132">
        <f t="shared" ref="I15:Z15" si="17">SUMIFS($C:$C,$B:$B,$F15,$D:$D,I$1)</f>
        <v>0</v>
      </c>
      <c r="J15" s="132">
        <f t="shared" si="17"/>
        <v>4500</v>
      </c>
      <c r="K15" s="132">
        <f t="shared" si="17"/>
        <v>35775</v>
      </c>
      <c r="L15" s="132">
        <f t="shared" si="17"/>
        <v>0</v>
      </c>
      <c r="M15" s="132">
        <f t="shared" si="17"/>
        <v>500</v>
      </c>
      <c r="N15" s="132">
        <f t="shared" si="17"/>
        <v>0</v>
      </c>
      <c r="O15" s="132">
        <f t="shared" si="17"/>
        <v>0</v>
      </c>
      <c r="P15" s="132">
        <f t="shared" si="17"/>
        <v>5525</v>
      </c>
      <c r="Q15" s="132">
        <f t="shared" si="17"/>
        <v>2000</v>
      </c>
      <c r="R15" s="132">
        <f t="shared" si="17"/>
        <v>0</v>
      </c>
      <c r="S15" s="132">
        <f t="shared" si="17"/>
        <v>0</v>
      </c>
      <c r="T15" s="132">
        <f t="shared" si="17"/>
        <v>0</v>
      </c>
      <c r="U15" s="132">
        <f t="shared" si="17"/>
        <v>0</v>
      </c>
      <c r="V15" s="132">
        <f t="shared" si="17"/>
        <v>0</v>
      </c>
      <c r="W15" s="132">
        <f t="shared" si="17"/>
        <v>0</v>
      </c>
      <c r="X15" s="132">
        <f t="shared" si="17"/>
        <v>0</v>
      </c>
      <c r="Y15" s="132">
        <f t="shared" si="17"/>
        <v>0</v>
      </c>
      <c r="Z15" s="132">
        <f t="shared" si="17"/>
        <v>0</v>
      </c>
      <c r="AA15" s="133">
        <f t="shared" si="5"/>
        <v>50450</v>
      </c>
    </row>
    <row r="16">
      <c r="A16" s="130" t="s">
        <v>3273</v>
      </c>
      <c r="B16" s="25">
        <v>75205.0</v>
      </c>
      <c r="C16" s="27">
        <v>1000.0</v>
      </c>
      <c r="D16" s="134" t="s">
        <v>21</v>
      </c>
      <c r="F16" s="130">
        <f>IFERROR(__xludf.DUMMYFUNCTION("""COMPUTED_VALUE"""),75252.0)</f>
        <v>75252</v>
      </c>
      <c r="G16" s="132">
        <f t="shared" si="2"/>
        <v>1000</v>
      </c>
      <c r="H16" s="132">
        <f t="shared" si="3"/>
        <v>0</v>
      </c>
      <c r="I16" s="132">
        <f t="shared" ref="I16:Z16" si="18">SUMIFS($C:$C,$B:$B,$F16,$D:$D,I$1)</f>
        <v>0</v>
      </c>
      <c r="J16" s="132">
        <f t="shared" si="18"/>
        <v>0</v>
      </c>
      <c r="K16" s="132">
        <f t="shared" si="18"/>
        <v>2885</v>
      </c>
      <c r="L16" s="132">
        <f t="shared" si="18"/>
        <v>0</v>
      </c>
      <c r="M16" s="132">
        <f t="shared" si="18"/>
        <v>0</v>
      </c>
      <c r="N16" s="132">
        <f t="shared" si="18"/>
        <v>2000</v>
      </c>
      <c r="O16" s="132">
        <f t="shared" si="18"/>
        <v>0</v>
      </c>
      <c r="P16" s="132">
        <f t="shared" si="18"/>
        <v>0</v>
      </c>
      <c r="Q16" s="132">
        <f t="shared" si="18"/>
        <v>750</v>
      </c>
      <c r="R16" s="132">
        <f t="shared" si="18"/>
        <v>0</v>
      </c>
      <c r="S16" s="132">
        <f t="shared" si="18"/>
        <v>0</v>
      </c>
      <c r="T16" s="132">
        <f t="shared" si="18"/>
        <v>0</v>
      </c>
      <c r="U16" s="132">
        <f t="shared" si="18"/>
        <v>0</v>
      </c>
      <c r="V16" s="132">
        <f t="shared" si="18"/>
        <v>0</v>
      </c>
      <c r="W16" s="132">
        <f t="shared" si="18"/>
        <v>0</v>
      </c>
      <c r="X16" s="132">
        <f t="shared" si="18"/>
        <v>0</v>
      </c>
      <c r="Y16" s="132">
        <f t="shared" si="18"/>
        <v>0</v>
      </c>
      <c r="Z16" s="132">
        <f t="shared" si="18"/>
        <v>0</v>
      </c>
      <c r="AA16" s="133">
        <f t="shared" si="5"/>
        <v>6635</v>
      </c>
    </row>
    <row r="17">
      <c r="A17" s="130" t="s">
        <v>3273</v>
      </c>
      <c r="B17" s="25">
        <v>75205.0</v>
      </c>
      <c r="C17" s="27">
        <v>1000.0</v>
      </c>
      <c r="D17" s="134" t="s">
        <v>27</v>
      </c>
      <c r="F17" s="130">
        <f>IFERROR(__xludf.DUMMYFUNCTION("""COMPUTED_VALUE"""),75218.0)</f>
        <v>75218</v>
      </c>
      <c r="G17" s="132">
        <f t="shared" si="2"/>
        <v>250</v>
      </c>
      <c r="H17" s="132">
        <f t="shared" si="3"/>
        <v>0</v>
      </c>
      <c r="I17" s="132">
        <f t="shared" ref="I17:Z17" si="19">SUMIFS($C:$C,$B:$B,$F17,$D:$D,I$1)</f>
        <v>300</v>
      </c>
      <c r="J17" s="132">
        <f t="shared" si="19"/>
        <v>6300</v>
      </c>
      <c r="K17" s="132">
        <f t="shared" si="19"/>
        <v>3750</v>
      </c>
      <c r="L17" s="132">
        <f t="shared" si="19"/>
        <v>1000</v>
      </c>
      <c r="M17" s="132">
        <f t="shared" si="19"/>
        <v>0</v>
      </c>
      <c r="N17" s="132">
        <f t="shared" si="19"/>
        <v>0</v>
      </c>
      <c r="O17" s="132">
        <f t="shared" si="19"/>
        <v>100</v>
      </c>
      <c r="P17" s="132">
        <f t="shared" si="19"/>
        <v>0</v>
      </c>
      <c r="Q17" s="132">
        <f t="shared" si="19"/>
        <v>0</v>
      </c>
      <c r="R17" s="132">
        <f t="shared" si="19"/>
        <v>0</v>
      </c>
      <c r="S17" s="132">
        <f t="shared" si="19"/>
        <v>0</v>
      </c>
      <c r="T17" s="132">
        <f t="shared" si="19"/>
        <v>0</v>
      </c>
      <c r="U17" s="132">
        <f t="shared" si="19"/>
        <v>0</v>
      </c>
      <c r="V17" s="132">
        <f t="shared" si="19"/>
        <v>0</v>
      </c>
      <c r="W17" s="132">
        <f t="shared" si="19"/>
        <v>0</v>
      </c>
      <c r="X17" s="132">
        <f t="shared" si="19"/>
        <v>0</v>
      </c>
      <c r="Y17" s="132">
        <f t="shared" si="19"/>
        <v>0</v>
      </c>
      <c r="Z17" s="132">
        <f t="shared" si="19"/>
        <v>0</v>
      </c>
      <c r="AA17" s="133">
        <f t="shared" si="5"/>
        <v>11700</v>
      </c>
    </row>
    <row r="18">
      <c r="A18" s="130" t="s">
        <v>3273</v>
      </c>
      <c r="B18" s="25">
        <v>75205.0</v>
      </c>
      <c r="C18" s="27">
        <v>1000.0</v>
      </c>
      <c r="D18" s="134" t="s">
        <v>28</v>
      </c>
      <c r="F18" s="130">
        <f>IFERROR(__xludf.DUMMYFUNCTION("""COMPUTED_VALUE"""),75208.0)</f>
        <v>75208</v>
      </c>
      <c r="G18" s="132">
        <f t="shared" si="2"/>
        <v>23489.7</v>
      </c>
      <c r="H18" s="132">
        <f t="shared" si="3"/>
        <v>0</v>
      </c>
      <c r="I18" s="132">
        <f t="shared" ref="I18:Z18" si="20">SUMIFS($C:$C,$B:$B,$F18,$D:$D,I$1)</f>
        <v>2500</v>
      </c>
      <c r="J18" s="132">
        <f t="shared" si="20"/>
        <v>2450</v>
      </c>
      <c r="K18" s="132">
        <f t="shared" si="20"/>
        <v>5300</v>
      </c>
      <c r="L18" s="132">
        <f t="shared" si="20"/>
        <v>0</v>
      </c>
      <c r="M18" s="132">
        <f t="shared" si="20"/>
        <v>0</v>
      </c>
      <c r="N18" s="132">
        <f t="shared" si="20"/>
        <v>0</v>
      </c>
      <c r="O18" s="132">
        <f t="shared" si="20"/>
        <v>250</v>
      </c>
      <c r="P18" s="132">
        <f t="shared" si="20"/>
        <v>0</v>
      </c>
      <c r="Q18" s="132">
        <f t="shared" si="20"/>
        <v>1600</v>
      </c>
      <c r="R18" s="132">
        <f t="shared" si="20"/>
        <v>0</v>
      </c>
      <c r="S18" s="132">
        <f t="shared" si="20"/>
        <v>0</v>
      </c>
      <c r="T18" s="132">
        <f t="shared" si="20"/>
        <v>0</v>
      </c>
      <c r="U18" s="132">
        <f t="shared" si="20"/>
        <v>0</v>
      </c>
      <c r="V18" s="132">
        <f t="shared" si="20"/>
        <v>0</v>
      </c>
      <c r="W18" s="132">
        <f t="shared" si="20"/>
        <v>500</v>
      </c>
      <c r="X18" s="132">
        <f t="shared" si="20"/>
        <v>1450</v>
      </c>
      <c r="Y18" s="132">
        <f t="shared" si="20"/>
        <v>0</v>
      </c>
      <c r="Z18" s="132">
        <f t="shared" si="20"/>
        <v>0</v>
      </c>
      <c r="AA18" s="133">
        <f t="shared" si="5"/>
        <v>37539.7</v>
      </c>
    </row>
    <row r="19">
      <c r="A19" s="130" t="s">
        <v>3273</v>
      </c>
      <c r="B19" s="25">
        <v>75205.0</v>
      </c>
      <c r="C19" s="27">
        <v>1000.0</v>
      </c>
      <c r="D19" s="134" t="s">
        <v>28</v>
      </c>
      <c r="F19" s="130">
        <f>IFERROR(__xludf.DUMMYFUNCTION("""COMPUTED_VALUE"""),20036.0)</f>
        <v>20036</v>
      </c>
      <c r="G19" s="132">
        <f t="shared" si="2"/>
        <v>0</v>
      </c>
      <c r="H19" s="132">
        <f t="shared" si="3"/>
        <v>0</v>
      </c>
      <c r="I19" s="132">
        <f t="shared" ref="I19:Z19" si="21">SUMIFS($C:$C,$B:$B,$F19,$D:$D,I$1)</f>
        <v>0</v>
      </c>
      <c r="J19" s="132">
        <f t="shared" si="21"/>
        <v>0</v>
      </c>
      <c r="K19" s="132">
        <f t="shared" si="21"/>
        <v>10000</v>
      </c>
      <c r="L19" s="132">
        <f t="shared" si="21"/>
        <v>0</v>
      </c>
      <c r="M19" s="132">
        <f t="shared" si="21"/>
        <v>0</v>
      </c>
      <c r="N19" s="132">
        <f t="shared" si="21"/>
        <v>0</v>
      </c>
      <c r="O19" s="132">
        <f t="shared" si="21"/>
        <v>0</v>
      </c>
      <c r="P19" s="132">
        <f t="shared" si="21"/>
        <v>0</v>
      </c>
      <c r="Q19" s="132">
        <f t="shared" si="21"/>
        <v>0</v>
      </c>
      <c r="R19" s="132">
        <f t="shared" si="21"/>
        <v>0</v>
      </c>
      <c r="S19" s="132">
        <f t="shared" si="21"/>
        <v>0</v>
      </c>
      <c r="T19" s="132">
        <f t="shared" si="21"/>
        <v>0</v>
      </c>
      <c r="U19" s="132">
        <f t="shared" si="21"/>
        <v>0</v>
      </c>
      <c r="V19" s="132">
        <f t="shared" si="21"/>
        <v>0</v>
      </c>
      <c r="W19" s="132">
        <f t="shared" si="21"/>
        <v>0</v>
      </c>
      <c r="X19" s="132">
        <f t="shared" si="21"/>
        <v>0</v>
      </c>
      <c r="Y19" s="132">
        <f t="shared" si="21"/>
        <v>0</v>
      </c>
      <c r="Z19" s="132">
        <f t="shared" si="21"/>
        <v>0</v>
      </c>
      <c r="AA19" s="133">
        <f t="shared" si="5"/>
        <v>10000</v>
      </c>
    </row>
    <row r="20">
      <c r="A20" s="130" t="s">
        <v>3273</v>
      </c>
      <c r="B20" s="25">
        <v>75205.0</v>
      </c>
      <c r="C20" s="27">
        <v>1000.0</v>
      </c>
      <c r="D20" s="134" t="s">
        <v>23</v>
      </c>
      <c r="F20" s="130">
        <f>IFERROR(__xludf.DUMMYFUNCTION("""COMPUTED_VALUE"""),75229.0)</f>
        <v>75229</v>
      </c>
      <c r="G20" s="132">
        <f t="shared" si="2"/>
        <v>2525</v>
      </c>
      <c r="H20" s="132">
        <f t="shared" si="3"/>
        <v>0</v>
      </c>
      <c r="I20" s="132">
        <f t="shared" ref="I20:Z20" si="22">SUMIFS($C:$C,$B:$B,$F20,$D:$D,I$1)</f>
        <v>100</v>
      </c>
      <c r="J20" s="132">
        <f t="shared" si="22"/>
        <v>5800</v>
      </c>
      <c r="K20" s="132">
        <f t="shared" si="22"/>
        <v>23350</v>
      </c>
      <c r="L20" s="132">
        <f t="shared" si="22"/>
        <v>0</v>
      </c>
      <c r="M20" s="132">
        <f t="shared" si="22"/>
        <v>1000</v>
      </c>
      <c r="N20" s="132">
        <f t="shared" si="22"/>
        <v>0</v>
      </c>
      <c r="O20" s="132">
        <f t="shared" si="22"/>
        <v>250</v>
      </c>
      <c r="P20" s="132">
        <f t="shared" si="22"/>
        <v>5930</v>
      </c>
      <c r="Q20" s="132">
        <f t="shared" si="22"/>
        <v>2250</v>
      </c>
      <c r="R20" s="132">
        <f t="shared" si="22"/>
        <v>0</v>
      </c>
      <c r="S20" s="132">
        <f t="shared" si="22"/>
        <v>0</v>
      </c>
      <c r="T20" s="132">
        <f t="shared" si="22"/>
        <v>0</v>
      </c>
      <c r="U20" s="132">
        <f t="shared" si="22"/>
        <v>0</v>
      </c>
      <c r="V20" s="132">
        <f t="shared" si="22"/>
        <v>0</v>
      </c>
      <c r="W20" s="132">
        <f t="shared" si="22"/>
        <v>0</v>
      </c>
      <c r="X20" s="132">
        <f t="shared" si="22"/>
        <v>0</v>
      </c>
      <c r="Y20" s="132">
        <f t="shared" si="22"/>
        <v>0</v>
      </c>
      <c r="Z20" s="132">
        <f t="shared" si="22"/>
        <v>0</v>
      </c>
      <c r="AA20" s="133">
        <f t="shared" si="5"/>
        <v>41205</v>
      </c>
    </row>
    <row r="21">
      <c r="A21" s="130" t="s">
        <v>3273</v>
      </c>
      <c r="B21" s="25">
        <v>75205.0</v>
      </c>
      <c r="C21" s="27">
        <v>1000.0</v>
      </c>
      <c r="D21" s="134" t="s">
        <v>21</v>
      </c>
      <c r="F21" s="130">
        <f>IFERROR(__xludf.DUMMYFUNCTION("""COMPUTED_VALUE"""),75204.0)</f>
        <v>75204</v>
      </c>
      <c r="G21" s="132">
        <f t="shared" si="2"/>
        <v>2325</v>
      </c>
      <c r="H21" s="132">
        <f t="shared" si="3"/>
        <v>1000</v>
      </c>
      <c r="I21" s="132">
        <f t="shared" ref="I21:Z21" si="23">SUMIFS($C:$C,$B:$B,$F21,$D:$D,I$1)</f>
        <v>550</v>
      </c>
      <c r="J21" s="132">
        <f t="shared" si="23"/>
        <v>2200</v>
      </c>
      <c r="K21" s="132">
        <f t="shared" si="23"/>
        <v>12050</v>
      </c>
      <c r="L21" s="132">
        <f t="shared" si="23"/>
        <v>2000</v>
      </c>
      <c r="M21" s="132">
        <f t="shared" si="23"/>
        <v>3100</v>
      </c>
      <c r="N21" s="132">
        <f t="shared" si="23"/>
        <v>0</v>
      </c>
      <c r="O21" s="132">
        <f t="shared" si="23"/>
        <v>2000</v>
      </c>
      <c r="P21" s="132">
        <f t="shared" si="23"/>
        <v>350</v>
      </c>
      <c r="Q21" s="132">
        <f t="shared" si="23"/>
        <v>325</v>
      </c>
      <c r="R21" s="132">
        <f t="shared" si="23"/>
        <v>0</v>
      </c>
      <c r="S21" s="132">
        <f t="shared" si="23"/>
        <v>0</v>
      </c>
      <c r="T21" s="132">
        <f t="shared" si="23"/>
        <v>3456.46</v>
      </c>
      <c r="U21" s="132">
        <f t="shared" si="23"/>
        <v>0</v>
      </c>
      <c r="V21" s="132">
        <f t="shared" si="23"/>
        <v>0</v>
      </c>
      <c r="W21" s="132">
        <f t="shared" si="23"/>
        <v>0</v>
      </c>
      <c r="X21" s="132">
        <f t="shared" si="23"/>
        <v>0</v>
      </c>
      <c r="Y21" s="132">
        <f t="shared" si="23"/>
        <v>0</v>
      </c>
      <c r="Z21" s="132">
        <f t="shared" si="23"/>
        <v>0</v>
      </c>
      <c r="AA21" s="133">
        <f t="shared" si="5"/>
        <v>29356.46</v>
      </c>
    </row>
    <row r="22">
      <c r="A22" s="130" t="s">
        <v>3273</v>
      </c>
      <c r="B22" s="25">
        <v>75205.0</v>
      </c>
      <c r="C22" s="27">
        <v>1000.0</v>
      </c>
      <c r="D22" s="134" t="s">
        <v>28</v>
      </c>
      <c r="F22" s="130">
        <f>IFERROR(__xludf.DUMMYFUNCTION("""COMPUTED_VALUE"""),75233.0)</f>
        <v>75233</v>
      </c>
      <c r="G22" s="132">
        <f t="shared" si="2"/>
        <v>1000</v>
      </c>
      <c r="H22" s="132">
        <f t="shared" si="3"/>
        <v>0</v>
      </c>
      <c r="I22" s="132">
        <f t="shared" ref="I22:Z22" si="24">SUMIFS($C:$C,$B:$B,$F22,$D:$D,I$1)</f>
        <v>0</v>
      </c>
      <c r="J22" s="132">
        <f t="shared" si="24"/>
        <v>0</v>
      </c>
      <c r="K22" s="132">
        <f t="shared" si="24"/>
        <v>0</v>
      </c>
      <c r="L22" s="132">
        <f t="shared" si="24"/>
        <v>0</v>
      </c>
      <c r="M22" s="132">
        <f t="shared" si="24"/>
        <v>100</v>
      </c>
      <c r="N22" s="132">
        <f t="shared" si="24"/>
        <v>0</v>
      </c>
      <c r="O22" s="132">
        <f t="shared" si="24"/>
        <v>0</v>
      </c>
      <c r="P22" s="132">
        <f t="shared" si="24"/>
        <v>0</v>
      </c>
      <c r="Q22" s="132">
        <f t="shared" si="24"/>
        <v>0</v>
      </c>
      <c r="R22" s="132">
        <f t="shared" si="24"/>
        <v>0</v>
      </c>
      <c r="S22" s="132">
        <f t="shared" si="24"/>
        <v>0</v>
      </c>
      <c r="T22" s="132">
        <f t="shared" si="24"/>
        <v>0</v>
      </c>
      <c r="U22" s="132">
        <f t="shared" si="24"/>
        <v>0</v>
      </c>
      <c r="V22" s="132">
        <f t="shared" si="24"/>
        <v>0</v>
      </c>
      <c r="W22" s="132">
        <f t="shared" si="24"/>
        <v>0</v>
      </c>
      <c r="X22" s="132">
        <f t="shared" si="24"/>
        <v>0</v>
      </c>
      <c r="Y22" s="132">
        <f t="shared" si="24"/>
        <v>0</v>
      </c>
      <c r="Z22" s="132">
        <f t="shared" si="24"/>
        <v>0</v>
      </c>
      <c r="AA22" s="133">
        <f t="shared" si="5"/>
        <v>1100</v>
      </c>
    </row>
    <row r="23">
      <c r="A23" s="130" t="s">
        <v>3273</v>
      </c>
      <c r="B23" s="25">
        <v>75205.0</v>
      </c>
      <c r="C23" s="27">
        <v>1000.0</v>
      </c>
      <c r="D23" s="134" t="s">
        <v>28</v>
      </c>
      <c r="F23" s="130">
        <f>IFERROR(__xludf.DUMMYFUNCTION("""COMPUTED_VALUE"""),78746.0)</f>
        <v>78746</v>
      </c>
      <c r="G23" s="132">
        <f t="shared" si="2"/>
        <v>0</v>
      </c>
      <c r="H23" s="132">
        <f t="shared" si="3"/>
        <v>0</v>
      </c>
      <c r="I23" s="132">
        <f t="shared" ref="I23:Z23" si="25">SUMIFS($C:$C,$B:$B,$F23,$D:$D,I$1)</f>
        <v>0</v>
      </c>
      <c r="J23" s="132">
        <f t="shared" si="25"/>
        <v>0</v>
      </c>
      <c r="K23" s="132">
        <f t="shared" si="25"/>
        <v>8200</v>
      </c>
      <c r="L23" s="132">
        <f t="shared" si="25"/>
        <v>0</v>
      </c>
      <c r="M23" s="132">
        <f t="shared" si="25"/>
        <v>0</v>
      </c>
      <c r="N23" s="132">
        <f t="shared" si="25"/>
        <v>0</v>
      </c>
      <c r="O23" s="132">
        <f t="shared" si="25"/>
        <v>0</v>
      </c>
      <c r="P23" s="132">
        <f t="shared" si="25"/>
        <v>0</v>
      </c>
      <c r="Q23" s="132">
        <f t="shared" si="25"/>
        <v>0</v>
      </c>
      <c r="R23" s="132">
        <f t="shared" si="25"/>
        <v>0</v>
      </c>
      <c r="S23" s="132">
        <f t="shared" si="25"/>
        <v>0</v>
      </c>
      <c r="T23" s="132">
        <f t="shared" si="25"/>
        <v>0</v>
      </c>
      <c r="U23" s="132">
        <f t="shared" si="25"/>
        <v>0</v>
      </c>
      <c r="V23" s="132">
        <f t="shared" si="25"/>
        <v>0</v>
      </c>
      <c r="W23" s="132">
        <f t="shared" si="25"/>
        <v>0</v>
      </c>
      <c r="X23" s="132">
        <f t="shared" si="25"/>
        <v>0</v>
      </c>
      <c r="Y23" s="132">
        <f t="shared" si="25"/>
        <v>0</v>
      </c>
      <c r="Z23" s="132">
        <f t="shared" si="25"/>
        <v>0</v>
      </c>
      <c r="AA23" s="133">
        <f t="shared" si="5"/>
        <v>8200</v>
      </c>
    </row>
    <row r="24">
      <c r="A24" s="130" t="s">
        <v>3273</v>
      </c>
      <c r="B24" s="25">
        <v>75205.0</v>
      </c>
      <c r="C24" s="27">
        <v>1000.0</v>
      </c>
      <c r="D24" s="134" t="s">
        <v>29</v>
      </c>
      <c r="F24" s="130">
        <f>IFERROR(__xludf.DUMMYFUNCTION("""COMPUTED_VALUE"""),75019.0)</f>
        <v>75019</v>
      </c>
      <c r="G24" s="132">
        <f t="shared" si="2"/>
        <v>0</v>
      </c>
      <c r="H24" s="132">
        <f t="shared" si="3"/>
        <v>0</v>
      </c>
      <c r="I24" s="132">
        <f t="shared" ref="I24:Z24" si="26">SUMIFS($C:$C,$B:$B,$F24,$D:$D,I$1)</f>
        <v>50</v>
      </c>
      <c r="J24" s="132">
        <f t="shared" si="26"/>
        <v>0</v>
      </c>
      <c r="K24" s="132">
        <f t="shared" si="26"/>
        <v>2050</v>
      </c>
      <c r="L24" s="132">
        <f t="shared" si="26"/>
        <v>0</v>
      </c>
      <c r="M24" s="132">
        <f t="shared" si="26"/>
        <v>1000</v>
      </c>
      <c r="N24" s="132">
        <f t="shared" si="26"/>
        <v>0</v>
      </c>
      <c r="O24" s="132">
        <f t="shared" si="26"/>
        <v>0</v>
      </c>
      <c r="P24" s="132">
        <f t="shared" si="26"/>
        <v>0</v>
      </c>
      <c r="Q24" s="132">
        <f t="shared" si="26"/>
        <v>0</v>
      </c>
      <c r="R24" s="132">
        <f t="shared" si="26"/>
        <v>10</v>
      </c>
      <c r="S24" s="132">
        <f t="shared" si="26"/>
        <v>0</v>
      </c>
      <c r="T24" s="132">
        <f t="shared" si="26"/>
        <v>0</v>
      </c>
      <c r="U24" s="132">
        <f t="shared" si="26"/>
        <v>0</v>
      </c>
      <c r="V24" s="132">
        <f t="shared" si="26"/>
        <v>0</v>
      </c>
      <c r="W24" s="132">
        <f t="shared" si="26"/>
        <v>0</v>
      </c>
      <c r="X24" s="132">
        <f t="shared" si="26"/>
        <v>0</v>
      </c>
      <c r="Y24" s="132">
        <f t="shared" si="26"/>
        <v>0</v>
      </c>
      <c r="Z24" s="132">
        <f t="shared" si="26"/>
        <v>0</v>
      </c>
      <c r="AA24" s="133">
        <f t="shared" si="5"/>
        <v>3110</v>
      </c>
    </row>
    <row r="25">
      <c r="A25" s="130" t="s">
        <v>3274</v>
      </c>
      <c r="B25" s="25">
        <v>75082.0</v>
      </c>
      <c r="C25" s="27">
        <v>50.0</v>
      </c>
      <c r="D25" s="134" t="s">
        <v>26</v>
      </c>
      <c r="F25" s="130">
        <f>IFERROR(__xludf.DUMMYFUNCTION("""COMPUTED_VALUE"""),75219.0)</f>
        <v>75219</v>
      </c>
      <c r="G25" s="132">
        <f t="shared" si="2"/>
        <v>3550</v>
      </c>
      <c r="H25" s="132">
        <f t="shared" si="3"/>
        <v>1000</v>
      </c>
      <c r="I25" s="132">
        <f t="shared" ref="I25:Z25" si="27">SUMIFS($C:$C,$B:$B,$F25,$D:$D,I$1)</f>
        <v>1800</v>
      </c>
      <c r="J25" s="132">
        <f t="shared" si="27"/>
        <v>3000</v>
      </c>
      <c r="K25" s="132">
        <f t="shared" si="27"/>
        <v>47050</v>
      </c>
      <c r="L25" s="132">
        <f t="shared" si="27"/>
        <v>500</v>
      </c>
      <c r="M25" s="132">
        <f t="shared" si="27"/>
        <v>3125</v>
      </c>
      <c r="N25" s="132">
        <f t="shared" si="27"/>
        <v>0</v>
      </c>
      <c r="O25" s="132">
        <f t="shared" si="27"/>
        <v>200</v>
      </c>
      <c r="P25" s="132">
        <f t="shared" si="27"/>
        <v>1500</v>
      </c>
      <c r="Q25" s="132">
        <f t="shared" si="27"/>
        <v>3000</v>
      </c>
      <c r="R25" s="132">
        <f t="shared" si="27"/>
        <v>0</v>
      </c>
      <c r="S25" s="132">
        <f t="shared" si="27"/>
        <v>0</v>
      </c>
      <c r="T25" s="132">
        <f t="shared" si="27"/>
        <v>2500</v>
      </c>
      <c r="U25" s="132">
        <f t="shared" si="27"/>
        <v>0</v>
      </c>
      <c r="V25" s="132">
        <f t="shared" si="27"/>
        <v>0</v>
      </c>
      <c r="W25" s="132">
        <f t="shared" si="27"/>
        <v>0</v>
      </c>
      <c r="X25" s="132">
        <f t="shared" si="27"/>
        <v>0</v>
      </c>
      <c r="Y25" s="132">
        <f t="shared" si="27"/>
        <v>0</v>
      </c>
      <c r="Z25" s="132">
        <f t="shared" si="27"/>
        <v>0</v>
      </c>
      <c r="AA25" s="133">
        <f t="shared" si="5"/>
        <v>67225</v>
      </c>
    </row>
    <row r="26">
      <c r="A26" s="130" t="s">
        <v>3274</v>
      </c>
      <c r="B26" s="25">
        <v>75082.0</v>
      </c>
      <c r="C26" s="27">
        <v>50.0</v>
      </c>
      <c r="D26" s="134" t="s">
        <v>26</v>
      </c>
      <c r="F26" s="130">
        <f>IFERROR(__xludf.DUMMYFUNCTION("""COMPUTED_VALUE"""),75240.0)</f>
        <v>75240</v>
      </c>
      <c r="G26" s="132">
        <f t="shared" si="2"/>
        <v>0</v>
      </c>
      <c r="H26" s="132">
        <f t="shared" si="3"/>
        <v>0</v>
      </c>
      <c r="I26" s="132">
        <f t="shared" ref="I26:Z26" si="28">SUMIFS($C:$C,$B:$B,$F26,$D:$D,I$1)</f>
        <v>0</v>
      </c>
      <c r="J26" s="132">
        <f t="shared" si="28"/>
        <v>0</v>
      </c>
      <c r="K26" s="132">
        <f t="shared" si="28"/>
        <v>26250</v>
      </c>
      <c r="L26" s="132">
        <f t="shared" si="28"/>
        <v>0</v>
      </c>
      <c r="M26" s="132">
        <f t="shared" si="28"/>
        <v>0</v>
      </c>
      <c r="N26" s="132">
        <f t="shared" si="28"/>
        <v>0</v>
      </c>
      <c r="O26" s="132">
        <f t="shared" si="28"/>
        <v>0</v>
      </c>
      <c r="P26" s="132">
        <f t="shared" si="28"/>
        <v>0</v>
      </c>
      <c r="Q26" s="132">
        <f t="shared" si="28"/>
        <v>225</v>
      </c>
      <c r="R26" s="132">
        <f t="shared" si="28"/>
        <v>0</v>
      </c>
      <c r="S26" s="132">
        <f t="shared" si="28"/>
        <v>0</v>
      </c>
      <c r="T26" s="132">
        <f t="shared" si="28"/>
        <v>0</v>
      </c>
      <c r="U26" s="132">
        <f t="shared" si="28"/>
        <v>0</v>
      </c>
      <c r="V26" s="132">
        <f t="shared" si="28"/>
        <v>0</v>
      </c>
      <c r="W26" s="132">
        <f t="shared" si="28"/>
        <v>0</v>
      </c>
      <c r="X26" s="132">
        <f t="shared" si="28"/>
        <v>0</v>
      </c>
      <c r="Y26" s="132">
        <f t="shared" si="28"/>
        <v>0</v>
      </c>
      <c r="Z26" s="132">
        <f t="shared" si="28"/>
        <v>0</v>
      </c>
      <c r="AA26" s="133">
        <f t="shared" si="5"/>
        <v>26475</v>
      </c>
    </row>
    <row r="27">
      <c r="A27" s="130" t="s">
        <v>3275</v>
      </c>
      <c r="B27" s="25">
        <v>75207.0</v>
      </c>
      <c r="C27" s="27">
        <v>1000.0</v>
      </c>
      <c r="D27" s="134" t="s">
        <v>23</v>
      </c>
      <c r="F27" s="130">
        <f>IFERROR(__xludf.DUMMYFUNCTION("""COMPUTED_VALUE"""),75287.0)</f>
        <v>75287</v>
      </c>
      <c r="G27" s="132">
        <f t="shared" si="2"/>
        <v>0</v>
      </c>
      <c r="H27" s="132">
        <f t="shared" si="3"/>
        <v>0</v>
      </c>
      <c r="I27" s="132">
        <f t="shared" ref="I27:Z27" si="29">SUMIFS($C:$C,$B:$B,$F27,$D:$D,I$1)</f>
        <v>0</v>
      </c>
      <c r="J27" s="132">
        <f t="shared" si="29"/>
        <v>2000</v>
      </c>
      <c r="K27" s="132">
        <f t="shared" si="29"/>
        <v>175</v>
      </c>
      <c r="L27" s="132">
        <f t="shared" si="29"/>
        <v>0</v>
      </c>
      <c r="M27" s="132">
        <f t="shared" si="29"/>
        <v>0</v>
      </c>
      <c r="N27" s="132">
        <f t="shared" si="29"/>
        <v>0</v>
      </c>
      <c r="O27" s="132">
        <f t="shared" si="29"/>
        <v>0</v>
      </c>
      <c r="P27" s="132">
        <f t="shared" si="29"/>
        <v>0</v>
      </c>
      <c r="Q27" s="132">
        <f t="shared" si="29"/>
        <v>600</v>
      </c>
      <c r="R27" s="132">
        <f t="shared" si="29"/>
        <v>25</v>
      </c>
      <c r="S27" s="132">
        <f t="shared" si="29"/>
        <v>0</v>
      </c>
      <c r="T27" s="132">
        <f t="shared" si="29"/>
        <v>0</v>
      </c>
      <c r="U27" s="132">
        <f t="shared" si="29"/>
        <v>0</v>
      </c>
      <c r="V27" s="132">
        <f t="shared" si="29"/>
        <v>0</v>
      </c>
      <c r="W27" s="132">
        <f t="shared" si="29"/>
        <v>0</v>
      </c>
      <c r="X27" s="132">
        <f t="shared" si="29"/>
        <v>0</v>
      </c>
      <c r="Y27" s="132">
        <f t="shared" si="29"/>
        <v>0</v>
      </c>
      <c r="Z27" s="132">
        <f t="shared" si="29"/>
        <v>0</v>
      </c>
      <c r="AA27" s="133">
        <f t="shared" si="5"/>
        <v>2800</v>
      </c>
    </row>
    <row r="28">
      <c r="A28" s="130" t="s">
        <v>3275</v>
      </c>
      <c r="B28" s="25">
        <v>75207.0</v>
      </c>
      <c r="C28" s="27">
        <v>5000.0</v>
      </c>
      <c r="D28" s="134" t="s">
        <v>25</v>
      </c>
      <c r="F28" s="130">
        <f>IFERROR(__xludf.DUMMYFUNCTION("""COMPUTED_VALUE"""),75243.0)</f>
        <v>75243</v>
      </c>
      <c r="G28" s="132">
        <f t="shared" si="2"/>
        <v>1900</v>
      </c>
      <c r="H28" s="132">
        <f t="shared" si="3"/>
        <v>0</v>
      </c>
      <c r="I28" s="132">
        <f t="shared" ref="I28:Z28" si="30">SUMIFS($C:$C,$B:$B,$F28,$D:$D,I$1)</f>
        <v>50</v>
      </c>
      <c r="J28" s="132">
        <f t="shared" si="30"/>
        <v>0</v>
      </c>
      <c r="K28" s="132">
        <f t="shared" si="30"/>
        <v>6600</v>
      </c>
      <c r="L28" s="132">
        <f t="shared" si="30"/>
        <v>5650</v>
      </c>
      <c r="M28" s="132">
        <f t="shared" si="30"/>
        <v>500</v>
      </c>
      <c r="N28" s="132">
        <f t="shared" si="30"/>
        <v>0</v>
      </c>
      <c r="O28" s="132">
        <f t="shared" si="30"/>
        <v>0</v>
      </c>
      <c r="P28" s="132">
        <f t="shared" si="30"/>
        <v>0</v>
      </c>
      <c r="Q28" s="132">
        <f t="shared" si="30"/>
        <v>0</v>
      </c>
      <c r="R28" s="132">
        <f t="shared" si="30"/>
        <v>0</v>
      </c>
      <c r="S28" s="132">
        <f t="shared" si="30"/>
        <v>0</v>
      </c>
      <c r="T28" s="132">
        <f t="shared" si="30"/>
        <v>0</v>
      </c>
      <c r="U28" s="132">
        <f t="shared" si="30"/>
        <v>100</v>
      </c>
      <c r="V28" s="132">
        <f t="shared" si="30"/>
        <v>0</v>
      </c>
      <c r="W28" s="132">
        <f t="shared" si="30"/>
        <v>0</v>
      </c>
      <c r="X28" s="132">
        <f t="shared" si="30"/>
        <v>0</v>
      </c>
      <c r="Y28" s="132">
        <f t="shared" si="30"/>
        <v>0</v>
      </c>
      <c r="Z28" s="132">
        <f t="shared" si="30"/>
        <v>1500</v>
      </c>
      <c r="AA28" s="133">
        <f t="shared" si="5"/>
        <v>16300</v>
      </c>
    </row>
    <row r="29">
      <c r="A29" s="130" t="s">
        <v>3275</v>
      </c>
      <c r="B29" s="25">
        <v>75207.0</v>
      </c>
      <c r="C29" s="27">
        <v>500.0</v>
      </c>
      <c r="D29" s="134" t="s">
        <v>29</v>
      </c>
      <c r="F29" s="130">
        <f>IFERROR(__xludf.DUMMYFUNCTION("""COMPUTED_VALUE"""),77073.0)</f>
        <v>77073</v>
      </c>
      <c r="G29" s="132">
        <f t="shared" si="2"/>
        <v>0</v>
      </c>
      <c r="H29" s="132">
        <f t="shared" si="3"/>
        <v>2000</v>
      </c>
      <c r="I29" s="132">
        <f t="shared" ref="I29:Z29" si="31">SUMIFS($C:$C,$B:$B,$F29,$D:$D,I$1)</f>
        <v>0</v>
      </c>
      <c r="J29" s="132">
        <f t="shared" si="31"/>
        <v>0</v>
      </c>
      <c r="K29" s="132">
        <f t="shared" si="31"/>
        <v>0</v>
      </c>
      <c r="L29" s="132">
        <f t="shared" si="31"/>
        <v>0</v>
      </c>
      <c r="M29" s="132">
        <f t="shared" si="31"/>
        <v>0</v>
      </c>
      <c r="N29" s="132">
        <f t="shared" si="31"/>
        <v>0</v>
      </c>
      <c r="O29" s="132">
        <f t="shared" si="31"/>
        <v>0</v>
      </c>
      <c r="P29" s="132">
        <f t="shared" si="31"/>
        <v>0</v>
      </c>
      <c r="Q29" s="132">
        <f t="shared" si="31"/>
        <v>0</v>
      </c>
      <c r="R29" s="132">
        <f t="shared" si="31"/>
        <v>0</v>
      </c>
      <c r="S29" s="132">
        <f t="shared" si="31"/>
        <v>2000</v>
      </c>
      <c r="T29" s="132">
        <f t="shared" si="31"/>
        <v>0</v>
      </c>
      <c r="U29" s="132">
        <f t="shared" si="31"/>
        <v>0</v>
      </c>
      <c r="V29" s="132">
        <f t="shared" si="31"/>
        <v>0</v>
      </c>
      <c r="W29" s="132">
        <f t="shared" si="31"/>
        <v>0</v>
      </c>
      <c r="X29" s="132">
        <f t="shared" si="31"/>
        <v>0</v>
      </c>
      <c r="Y29" s="132">
        <f t="shared" si="31"/>
        <v>0</v>
      </c>
      <c r="Z29" s="132">
        <f t="shared" si="31"/>
        <v>0</v>
      </c>
      <c r="AA29" s="133">
        <f t="shared" si="5"/>
        <v>4000</v>
      </c>
    </row>
    <row r="30">
      <c r="A30" s="130" t="s">
        <v>3276</v>
      </c>
      <c r="B30" s="25">
        <v>77005.0</v>
      </c>
      <c r="C30" s="27">
        <v>1000.0</v>
      </c>
      <c r="D30" s="134" t="s">
        <v>25</v>
      </c>
      <c r="F30" s="130">
        <f>IFERROR(__xludf.DUMMYFUNCTION("""COMPUTED_VALUE"""),75360.0)</f>
        <v>75360</v>
      </c>
      <c r="G30" s="132">
        <f t="shared" si="2"/>
        <v>0</v>
      </c>
      <c r="H30" s="132">
        <f t="shared" si="3"/>
        <v>0</v>
      </c>
      <c r="I30" s="132">
        <f t="shared" ref="I30:Z30" si="32">SUMIFS($C:$C,$B:$B,$F30,$D:$D,I$1)</f>
        <v>0</v>
      </c>
      <c r="J30" s="132">
        <f t="shared" si="32"/>
        <v>0</v>
      </c>
      <c r="K30" s="132">
        <f t="shared" si="32"/>
        <v>0</v>
      </c>
      <c r="L30" s="132">
        <f t="shared" si="32"/>
        <v>0</v>
      </c>
      <c r="M30" s="132">
        <f t="shared" si="32"/>
        <v>0</v>
      </c>
      <c r="N30" s="132">
        <f t="shared" si="32"/>
        <v>0</v>
      </c>
      <c r="O30" s="132">
        <f t="shared" si="32"/>
        <v>2000</v>
      </c>
      <c r="P30" s="132">
        <f t="shared" si="32"/>
        <v>0</v>
      </c>
      <c r="Q30" s="132">
        <f t="shared" si="32"/>
        <v>0</v>
      </c>
      <c r="R30" s="132">
        <f t="shared" si="32"/>
        <v>0</v>
      </c>
      <c r="S30" s="132">
        <f t="shared" si="32"/>
        <v>2000</v>
      </c>
      <c r="T30" s="132">
        <f t="shared" si="32"/>
        <v>2000</v>
      </c>
      <c r="U30" s="132">
        <f t="shared" si="32"/>
        <v>0</v>
      </c>
      <c r="V30" s="132">
        <f t="shared" si="32"/>
        <v>0</v>
      </c>
      <c r="W30" s="132">
        <f t="shared" si="32"/>
        <v>0</v>
      </c>
      <c r="X30" s="132">
        <f t="shared" si="32"/>
        <v>0</v>
      </c>
      <c r="Y30" s="132">
        <f t="shared" si="32"/>
        <v>0</v>
      </c>
      <c r="Z30" s="132">
        <f t="shared" si="32"/>
        <v>0</v>
      </c>
      <c r="AA30" s="133">
        <f t="shared" si="5"/>
        <v>6000</v>
      </c>
    </row>
    <row r="31">
      <c r="A31" s="130" t="s">
        <v>3277</v>
      </c>
      <c r="B31" s="25">
        <v>77077.0</v>
      </c>
      <c r="C31" s="27">
        <v>1000.0</v>
      </c>
      <c r="D31" s="134" t="s">
        <v>25</v>
      </c>
      <c r="F31" s="130">
        <f>IFERROR(__xludf.DUMMYFUNCTION("""COMPUTED_VALUE"""),75504.0)</f>
        <v>75504</v>
      </c>
      <c r="G31" s="132">
        <f t="shared" si="2"/>
        <v>0</v>
      </c>
      <c r="H31" s="132">
        <f t="shared" si="3"/>
        <v>0</v>
      </c>
      <c r="I31" s="132">
        <f t="shared" ref="I31:Z31" si="33">SUMIFS($C:$C,$B:$B,$F31,$D:$D,I$1)</f>
        <v>0</v>
      </c>
      <c r="J31" s="132">
        <f t="shared" si="33"/>
        <v>0</v>
      </c>
      <c r="K31" s="132">
        <f t="shared" si="33"/>
        <v>20000</v>
      </c>
      <c r="L31" s="132">
        <f t="shared" si="33"/>
        <v>0</v>
      </c>
      <c r="M31" s="132">
        <f t="shared" si="33"/>
        <v>0</v>
      </c>
      <c r="N31" s="132">
        <f t="shared" si="33"/>
        <v>0</v>
      </c>
      <c r="O31" s="132">
        <f t="shared" si="33"/>
        <v>0</v>
      </c>
      <c r="P31" s="132">
        <f t="shared" si="33"/>
        <v>0</v>
      </c>
      <c r="Q31" s="132">
        <f t="shared" si="33"/>
        <v>0</v>
      </c>
      <c r="R31" s="132">
        <f t="shared" si="33"/>
        <v>0</v>
      </c>
      <c r="S31" s="132">
        <f t="shared" si="33"/>
        <v>0</v>
      </c>
      <c r="T31" s="132">
        <f t="shared" si="33"/>
        <v>0</v>
      </c>
      <c r="U31" s="132">
        <f t="shared" si="33"/>
        <v>0</v>
      </c>
      <c r="V31" s="132">
        <f t="shared" si="33"/>
        <v>0</v>
      </c>
      <c r="W31" s="132">
        <f t="shared" si="33"/>
        <v>0</v>
      </c>
      <c r="X31" s="132">
        <f t="shared" si="33"/>
        <v>0</v>
      </c>
      <c r="Y31" s="132">
        <f t="shared" si="33"/>
        <v>0</v>
      </c>
      <c r="Z31" s="132">
        <f t="shared" si="33"/>
        <v>0</v>
      </c>
      <c r="AA31" s="133">
        <f t="shared" si="5"/>
        <v>20000</v>
      </c>
    </row>
    <row r="32">
      <c r="A32" s="130" t="s">
        <v>3266</v>
      </c>
      <c r="B32" s="25">
        <v>75230.0</v>
      </c>
      <c r="C32" s="27">
        <v>1000.0</v>
      </c>
      <c r="D32" s="134" t="s">
        <v>30</v>
      </c>
      <c r="F32" s="130">
        <f>IFERROR(__xludf.DUMMYFUNCTION("""COMPUTED_VALUE"""),75039.0)</f>
        <v>75039</v>
      </c>
      <c r="G32" s="132">
        <f t="shared" si="2"/>
        <v>0</v>
      </c>
      <c r="H32" s="132">
        <f t="shared" si="3"/>
        <v>0</v>
      </c>
      <c r="I32" s="132">
        <f t="shared" ref="I32:Z32" si="34">SUMIFS($C:$C,$B:$B,$F32,$D:$D,I$1)</f>
        <v>0</v>
      </c>
      <c r="J32" s="132">
        <f t="shared" si="34"/>
        <v>100</v>
      </c>
      <c r="K32" s="132">
        <f t="shared" si="34"/>
        <v>400</v>
      </c>
      <c r="L32" s="132">
        <f t="shared" si="34"/>
        <v>0</v>
      </c>
      <c r="M32" s="132">
        <f t="shared" si="34"/>
        <v>0</v>
      </c>
      <c r="N32" s="132">
        <f t="shared" si="34"/>
        <v>0</v>
      </c>
      <c r="O32" s="132">
        <f t="shared" si="34"/>
        <v>0</v>
      </c>
      <c r="P32" s="132">
        <f t="shared" si="34"/>
        <v>0</v>
      </c>
      <c r="Q32" s="132">
        <f t="shared" si="34"/>
        <v>500</v>
      </c>
      <c r="R32" s="132">
        <f t="shared" si="34"/>
        <v>0</v>
      </c>
      <c r="S32" s="132">
        <f t="shared" si="34"/>
        <v>0</v>
      </c>
      <c r="T32" s="132">
        <f t="shared" si="34"/>
        <v>0</v>
      </c>
      <c r="U32" s="132">
        <f t="shared" si="34"/>
        <v>0</v>
      </c>
      <c r="V32" s="132">
        <f t="shared" si="34"/>
        <v>0</v>
      </c>
      <c r="W32" s="132">
        <f t="shared" si="34"/>
        <v>0</v>
      </c>
      <c r="X32" s="132">
        <f t="shared" si="34"/>
        <v>0</v>
      </c>
      <c r="Y32" s="132">
        <f t="shared" si="34"/>
        <v>0</v>
      </c>
      <c r="Z32" s="132">
        <f t="shared" si="34"/>
        <v>0</v>
      </c>
      <c r="AA32" s="133">
        <f t="shared" si="5"/>
        <v>1000</v>
      </c>
    </row>
    <row r="33">
      <c r="A33" s="130" t="s">
        <v>3266</v>
      </c>
      <c r="B33" s="25">
        <v>75230.0</v>
      </c>
      <c r="C33" s="27">
        <v>500.0</v>
      </c>
      <c r="D33" s="134" t="s">
        <v>31</v>
      </c>
      <c r="F33" s="130">
        <f>IFERROR(__xludf.DUMMYFUNCTION("""COMPUTED_VALUE"""),75049.0)</f>
        <v>75049</v>
      </c>
      <c r="G33" s="132">
        <f t="shared" si="2"/>
        <v>1000</v>
      </c>
      <c r="H33" s="132">
        <f t="shared" si="3"/>
        <v>0</v>
      </c>
      <c r="I33" s="132">
        <f t="shared" ref="I33:Z33" si="35">SUMIFS($C:$C,$B:$B,$F33,$D:$D,I$1)</f>
        <v>0</v>
      </c>
      <c r="J33" s="132">
        <f t="shared" si="35"/>
        <v>0</v>
      </c>
      <c r="K33" s="132">
        <f t="shared" si="35"/>
        <v>0</v>
      </c>
      <c r="L33" s="132">
        <f t="shared" si="35"/>
        <v>0</v>
      </c>
      <c r="M33" s="132">
        <f t="shared" si="35"/>
        <v>0</v>
      </c>
      <c r="N33" s="132">
        <f t="shared" si="35"/>
        <v>0</v>
      </c>
      <c r="O33" s="132">
        <f t="shared" si="35"/>
        <v>0</v>
      </c>
      <c r="P33" s="132">
        <f t="shared" si="35"/>
        <v>0</v>
      </c>
      <c r="Q33" s="132">
        <f t="shared" si="35"/>
        <v>0</v>
      </c>
      <c r="R33" s="132">
        <f t="shared" si="35"/>
        <v>0</v>
      </c>
      <c r="S33" s="132">
        <f t="shared" si="35"/>
        <v>0</v>
      </c>
      <c r="T33" s="132">
        <f t="shared" si="35"/>
        <v>0</v>
      </c>
      <c r="U33" s="132">
        <f t="shared" si="35"/>
        <v>0</v>
      </c>
      <c r="V33" s="132">
        <f t="shared" si="35"/>
        <v>0</v>
      </c>
      <c r="W33" s="132">
        <f t="shared" si="35"/>
        <v>0</v>
      </c>
      <c r="X33" s="132">
        <f t="shared" si="35"/>
        <v>0</v>
      </c>
      <c r="Y33" s="132">
        <f t="shared" si="35"/>
        <v>0</v>
      </c>
      <c r="Z33" s="132">
        <f t="shared" si="35"/>
        <v>0</v>
      </c>
      <c r="AA33" s="133">
        <f t="shared" si="5"/>
        <v>1000</v>
      </c>
    </row>
    <row r="34">
      <c r="A34" s="130" t="s">
        <v>3278</v>
      </c>
      <c r="B34" s="25">
        <v>75248.0</v>
      </c>
      <c r="C34" s="27">
        <v>100.0</v>
      </c>
      <c r="D34" s="134" t="s">
        <v>31</v>
      </c>
      <c r="F34" s="130">
        <f>IFERROR(__xludf.DUMMYFUNCTION("""COMPUTED_VALUE"""),78701.0)</f>
        <v>78701</v>
      </c>
      <c r="G34" s="132">
        <f t="shared" si="2"/>
        <v>0</v>
      </c>
      <c r="H34" s="132">
        <f t="shared" si="3"/>
        <v>0</v>
      </c>
      <c r="I34" s="132">
        <f t="shared" ref="I34:Z34" si="36">SUMIFS($C:$C,$B:$B,$F34,$D:$D,I$1)</f>
        <v>0</v>
      </c>
      <c r="J34" s="132">
        <f t="shared" si="36"/>
        <v>0</v>
      </c>
      <c r="K34" s="132">
        <f t="shared" si="36"/>
        <v>40000</v>
      </c>
      <c r="L34" s="132">
        <f t="shared" si="36"/>
        <v>0</v>
      </c>
      <c r="M34" s="132">
        <f t="shared" si="36"/>
        <v>0</v>
      </c>
      <c r="N34" s="132">
        <f t="shared" si="36"/>
        <v>0</v>
      </c>
      <c r="O34" s="132">
        <f t="shared" si="36"/>
        <v>0</v>
      </c>
      <c r="P34" s="132">
        <f t="shared" si="36"/>
        <v>0</v>
      </c>
      <c r="Q34" s="132">
        <f t="shared" si="36"/>
        <v>0</v>
      </c>
      <c r="R34" s="132">
        <f t="shared" si="36"/>
        <v>0</v>
      </c>
      <c r="S34" s="132">
        <f t="shared" si="36"/>
        <v>0</v>
      </c>
      <c r="T34" s="132">
        <f t="shared" si="36"/>
        <v>0</v>
      </c>
      <c r="U34" s="132">
        <f t="shared" si="36"/>
        <v>0</v>
      </c>
      <c r="V34" s="132">
        <f t="shared" si="36"/>
        <v>0</v>
      </c>
      <c r="W34" s="132">
        <f t="shared" si="36"/>
        <v>0</v>
      </c>
      <c r="X34" s="132">
        <f t="shared" si="36"/>
        <v>0</v>
      </c>
      <c r="Y34" s="132">
        <f t="shared" si="36"/>
        <v>0</v>
      </c>
      <c r="Z34" s="132">
        <f t="shared" si="36"/>
        <v>0</v>
      </c>
      <c r="AA34" s="133">
        <f t="shared" si="5"/>
        <v>40000</v>
      </c>
    </row>
    <row r="35">
      <c r="A35" s="130" t="s">
        <v>3279</v>
      </c>
      <c r="B35" s="25">
        <v>75225.0</v>
      </c>
      <c r="C35" s="27">
        <v>500.0</v>
      </c>
      <c r="D35" s="134" t="s">
        <v>24</v>
      </c>
      <c r="F35" s="130">
        <f>IFERROR(__xludf.DUMMYFUNCTION("""COMPUTED_VALUE"""),75070.0)</f>
        <v>75070</v>
      </c>
      <c r="G35" s="132">
        <f t="shared" si="2"/>
        <v>4000</v>
      </c>
      <c r="H35" s="132">
        <f t="shared" si="3"/>
        <v>0</v>
      </c>
      <c r="I35" s="132">
        <f t="shared" ref="I35:Z35" si="37">SUMIFS($C:$C,$B:$B,$F35,$D:$D,I$1)</f>
        <v>0</v>
      </c>
      <c r="J35" s="132">
        <f t="shared" si="37"/>
        <v>0</v>
      </c>
      <c r="K35" s="132">
        <f t="shared" si="37"/>
        <v>0</v>
      </c>
      <c r="L35" s="132">
        <f t="shared" si="37"/>
        <v>0</v>
      </c>
      <c r="M35" s="132">
        <f t="shared" si="37"/>
        <v>0</v>
      </c>
      <c r="N35" s="132">
        <f t="shared" si="37"/>
        <v>0</v>
      </c>
      <c r="O35" s="132">
        <f t="shared" si="37"/>
        <v>0</v>
      </c>
      <c r="P35" s="132">
        <f t="shared" si="37"/>
        <v>0</v>
      </c>
      <c r="Q35" s="132">
        <f t="shared" si="37"/>
        <v>0</v>
      </c>
      <c r="R35" s="132">
        <f t="shared" si="37"/>
        <v>250</v>
      </c>
      <c r="S35" s="132">
        <f t="shared" si="37"/>
        <v>0</v>
      </c>
      <c r="T35" s="132">
        <f t="shared" si="37"/>
        <v>0</v>
      </c>
      <c r="U35" s="132">
        <f t="shared" si="37"/>
        <v>0</v>
      </c>
      <c r="V35" s="132">
        <f t="shared" si="37"/>
        <v>0</v>
      </c>
      <c r="W35" s="132">
        <f t="shared" si="37"/>
        <v>0</v>
      </c>
      <c r="X35" s="132">
        <f t="shared" si="37"/>
        <v>0</v>
      </c>
      <c r="Y35" s="132">
        <f t="shared" si="37"/>
        <v>0</v>
      </c>
      <c r="Z35" s="132">
        <f t="shared" si="37"/>
        <v>0</v>
      </c>
      <c r="AA35" s="133">
        <f t="shared" si="5"/>
        <v>4250</v>
      </c>
    </row>
    <row r="36">
      <c r="A36" s="130" t="s">
        <v>3279</v>
      </c>
      <c r="B36" s="25">
        <v>75225.0</v>
      </c>
      <c r="C36" s="27">
        <v>500.0</v>
      </c>
      <c r="D36" s="134" t="s">
        <v>24</v>
      </c>
      <c r="F36" s="130">
        <f>IFERROR(__xludf.DUMMYFUNCTION("""COMPUTED_VALUE"""),75228.0)</f>
        <v>75228</v>
      </c>
      <c r="G36" s="132">
        <f t="shared" si="2"/>
        <v>1550</v>
      </c>
      <c r="H36" s="132">
        <f t="shared" si="3"/>
        <v>0</v>
      </c>
      <c r="I36" s="132">
        <f t="shared" ref="I36:Z36" si="38">SUMIFS($C:$C,$B:$B,$F36,$D:$D,I$1)</f>
        <v>3050</v>
      </c>
      <c r="J36" s="132">
        <f t="shared" si="38"/>
        <v>1025</v>
      </c>
      <c r="K36" s="132">
        <f t="shared" si="38"/>
        <v>425</v>
      </c>
      <c r="L36" s="132">
        <f t="shared" si="38"/>
        <v>0</v>
      </c>
      <c r="M36" s="132">
        <f t="shared" si="38"/>
        <v>0</v>
      </c>
      <c r="N36" s="132">
        <f t="shared" si="38"/>
        <v>0</v>
      </c>
      <c r="O36" s="132">
        <f t="shared" si="38"/>
        <v>0</v>
      </c>
      <c r="P36" s="132">
        <f t="shared" si="38"/>
        <v>250</v>
      </c>
      <c r="Q36" s="132">
        <f t="shared" si="38"/>
        <v>0</v>
      </c>
      <c r="R36" s="132">
        <f t="shared" si="38"/>
        <v>455</v>
      </c>
      <c r="S36" s="132">
        <f t="shared" si="38"/>
        <v>0</v>
      </c>
      <c r="T36" s="132">
        <f t="shared" si="38"/>
        <v>0</v>
      </c>
      <c r="U36" s="132">
        <f t="shared" si="38"/>
        <v>0</v>
      </c>
      <c r="V36" s="132">
        <f t="shared" si="38"/>
        <v>0</v>
      </c>
      <c r="W36" s="132">
        <f t="shared" si="38"/>
        <v>0</v>
      </c>
      <c r="X36" s="132">
        <f t="shared" si="38"/>
        <v>0</v>
      </c>
      <c r="Y36" s="132">
        <f t="shared" si="38"/>
        <v>0</v>
      </c>
      <c r="Z36" s="132">
        <f t="shared" si="38"/>
        <v>0</v>
      </c>
      <c r="AA36" s="133">
        <f t="shared" si="5"/>
        <v>6755</v>
      </c>
    </row>
    <row r="37">
      <c r="A37" s="130" t="s">
        <v>3279</v>
      </c>
      <c r="B37" s="25">
        <v>75225.0</v>
      </c>
      <c r="C37" s="27">
        <v>500.0</v>
      </c>
      <c r="D37" s="134" t="s">
        <v>24</v>
      </c>
      <c r="F37" s="130">
        <f>IFERROR(__xludf.DUMMYFUNCTION("""COMPUTED_VALUE"""),75220.0)</f>
        <v>75220</v>
      </c>
      <c r="G37" s="132">
        <f t="shared" si="2"/>
        <v>142.2</v>
      </c>
      <c r="H37" s="132">
        <f t="shared" si="3"/>
        <v>0</v>
      </c>
      <c r="I37" s="132">
        <f t="shared" ref="I37:Z37" si="39">SUMIFS($C:$C,$B:$B,$F37,$D:$D,I$1)</f>
        <v>2000</v>
      </c>
      <c r="J37" s="132">
        <f t="shared" si="39"/>
        <v>150</v>
      </c>
      <c r="K37" s="132">
        <f t="shared" si="39"/>
        <v>46000</v>
      </c>
      <c r="L37" s="132">
        <f t="shared" si="39"/>
        <v>0</v>
      </c>
      <c r="M37" s="132">
        <f t="shared" si="39"/>
        <v>100</v>
      </c>
      <c r="N37" s="132">
        <f t="shared" si="39"/>
        <v>6000</v>
      </c>
      <c r="O37" s="132">
        <f t="shared" si="39"/>
        <v>125</v>
      </c>
      <c r="P37" s="132">
        <f t="shared" si="39"/>
        <v>3510</v>
      </c>
      <c r="Q37" s="132">
        <f t="shared" si="39"/>
        <v>0</v>
      </c>
      <c r="R37" s="132">
        <f t="shared" si="39"/>
        <v>0</v>
      </c>
      <c r="S37" s="132">
        <f t="shared" si="39"/>
        <v>0</v>
      </c>
      <c r="T37" s="132">
        <f t="shared" si="39"/>
        <v>0</v>
      </c>
      <c r="U37" s="132">
        <f t="shared" si="39"/>
        <v>0</v>
      </c>
      <c r="V37" s="132">
        <f t="shared" si="39"/>
        <v>0</v>
      </c>
      <c r="W37" s="132">
        <f t="shared" si="39"/>
        <v>4000</v>
      </c>
      <c r="X37" s="132">
        <f t="shared" si="39"/>
        <v>0</v>
      </c>
      <c r="Y37" s="132">
        <f t="shared" si="39"/>
        <v>0</v>
      </c>
      <c r="Z37" s="132">
        <f t="shared" si="39"/>
        <v>0</v>
      </c>
      <c r="AA37" s="133">
        <f t="shared" si="5"/>
        <v>62027.2</v>
      </c>
    </row>
    <row r="38">
      <c r="A38" s="130" t="s">
        <v>3266</v>
      </c>
      <c r="B38" s="25">
        <v>75230.0</v>
      </c>
      <c r="C38" s="27">
        <v>50.0</v>
      </c>
      <c r="D38" s="134" t="s">
        <v>26</v>
      </c>
      <c r="F38" s="130">
        <f>IFERROR(__xludf.DUMMYFUNCTION("""COMPUTED_VALUE"""),75226.0)</f>
        <v>75226</v>
      </c>
      <c r="G38" s="132">
        <f t="shared" si="2"/>
        <v>2100</v>
      </c>
      <c r="H38" s="132">
        <f t="shared" si="3"/>
        <v>0</v>
      </c>
      <c r="I38" s="132">
        <f t="shared" ref="I38:Z38" si="40">SUMIFS($C:$C,$B:$B,$F38,$D:$D,I$1)</f>
        <v>250</v>
      </c>
      <c r="J38" s="132">
        <f t="shared" si="40"/>
        <v>1850</v>
      </c>
      <c r="K38" s="132">
        <f t="shared" si="40"/>
        <v>1250</v>
      </c>
      <c r="L38" s="132">
        <f t="shared" si="40"/>
        <v>0</v>
      </c>
      <c r="M38" s="132">
        <f t="shared" si="40"/>
        <v>0</v>
      </c>
      <c r="N38" s="132">
        <f t="shared" si="40"/>
        <v>0</v>
      </c>
      <c r="O38" s="132">
        <f t="shared" si="40"/>
        <v>0</v>
      </c>
      <c r="P38" s="132">
        <f t="shared" si="40"/>
        <v>0</v>
      </c>
      <c r="Q38" s="132">
        <f t="shared" si="40"/>
        <v>0</v>
      </c>
      <c r="R38" s="132">
        <f t="shared" si="40"/>
        <v>0</v>
      </c>
      <c r="S38" s="132">
        <f t="shared" si="40"/>
        <v>0</v>
      </c>
      <c r="T38" s="132">
        <f t="shared" si="40"/>
        <v>0</v>
      </c>
      <c r="U38" s="132">
        <f t="shared" si="40"/>
        <v>0</v>
      </c>
      <c r="V38" s="132">
        <f t="shared" si="40"/>
        <v>0</v>
      </c>
      <c r="W38" s="132">
        <f t="shared" si="40"/>
        <v>0</v>
      </c>
      <c r="X38" s="132">
        <f t="shared" si="40"/>
        <v>0</v>
      </c>
      <c r="Y38" s="132">
        <f t="shared" si="40"/>
        <v>0</v>
      </c>
      <c r="Z38" s="132">
        <f t="shared" si="40"/>
        <v>0</v>
      </c>
      <c r="AA38" s="133">
        <f t="shared" si="5"/>
        <v>5450</v>
      </c>
    </row>
    <row r="39">
      <c r="A39" s="130" t="s">
        <v>3266</v>
      </c>
      <c r="B39" s="25">
        <v>75230.0</v>
      </c>
      <c r="C39" s="27">
        <v>50.0</v>
      </c>
      <c r="D39" s="134" t="s">
        <v>26</v>
      </c>
      <c r="F39" s="130">
        <f>IFERROR(__xludf.DUMMYFUNCTION("""COMPUTED_VALUE"""),75035.0)</f>
        <v>75035</v>
      </c>
      <c r="G39" s="132">
        <f t="shared" si="2"/>
        <v>0</v>
      </c>
      <c r="H39" s="132">
        <f t="shared" si="3"/>
        <v>0</v>
      </c>
      <c r="I39" s="132">
        <f t="shared" ref="I39:Z39" si="41">SUMIFS($C:$C,$B:$B,$F39,$D:$D,I$1)</f>
        <v>50</v>
      </c>
      <c r="J39" s="132">
        <f t="shared" si="41"/>
        <v>0</v>
      </c>
      <c r="K39" s="132">
        <f t="shared" si="41"/>
        <v>0</v>
      </c>
      <c r="L39" s="132">
        <f t="shared" si="41"/>
        <v>0</v>
      </c>
      <c r="M39" s="132">
        <f t="shared" si="41"/>
        <v>0</v>
      </c>
      <c r="N39" s="132">
        <f t="shared" si="41"/>
        <v>0</v>
      </c>
      <c r="O39" s="132">
        <f t="shared" si="41"/>
        <v>0</v>
      </c>
      <c r="P39" s="132">
        <f t="shared" si="41"/>
        <v>0</v>
      </c>
      <c r="Q39" s="132">
        <f t="shared" si="41"/>
        <v>25</v>
      </c>
      <c r="R39" s="132">
        <f t="shared" si="41"/>
        <v>0</v>
      </c>
      <c r="S39" s="132">
        <f t="shared" si="41"/>
        <v>0</v>
      </c>
      <c r="T39" s="132">
        <f t="shared" si="41"/>
        <v>0</v>
      </c>
      <c r="U39" s="132">
        <f t="shared" si="41"/>
        <v>0</v>
      </c>
      <c r="V39" s="132">
        <f t="shared" si="41"/>
        <v>0</v>
      </c>
      <c r="W39" s="132">
        <f t="shared" si="41"/>
        <v>0</v>
      </c>
      <c r="X39" s="132">
        <f t="shared" si="41"/>
        <v>0</v>
      </c>
      <c r="Y39" s="132">
        <f t="shared" si="41"/>
        <v>0</v>
      </c>
      <c r="Z39" s="132">
        <f t="shared" si="41"/>
        <v>0</v>
      </c>
      <c r="AA39" s="133">
        <f t="shared" si="5"/>
        <v>75</v>
      </c>
    </row>
    <row r="40">
      <c r="A40" s="130" t="s">
        <v>3267</v>
      </c>
      <c r="B40" s="25">
        <v>75214.0</v>
      </c>
      <c r="C40" s="27">
        <v>200.0</v>
      </c>
      <c r="D40" s="134" t="s">
        <v>21</v>
      </c>
      <c r="F40" s="130">
        <f>IFERROR(__xludf.DUMMYFUNCTION("""COMPUTED_VALUE"""),75202.0)</f>
        <v>75202</v>
      </c>
      <c r="G40" s="132">
        <f t="shared" si="2"/>
        <v>0</v>
      </c>
      <c r="H40" s="132">
        <f t="shared" si="3"/>
        <v>0</v>
      </c>
      <c r="I40" s="132">
        <f t="shared" ref="I40:Z40" si="42">SUMIFS($C:$C,$B:$B,$F40,$D:$D,I$1)</f>
        <v>200</v>
      </c>
      <c r="J40" s="132">
        <f t="shared" si="42"/>
        <v>0</v>
      </c>
      <c r="K40" s="132">
        <f t="shared" si="42"/>
        <v>5100</v>
      </c>
      <c r="L40" s="132">
        <f t="shared" si="42"/>
        <v>0</v>
      </c>
      <c r="M40" s="132">
        <f t="shared" si="42"/>
        <v>0</v>
      </c>
      <c r="N40" s="132">
        <f t="shared" si="42"/>
        <v>0</v>
      </c>
      <c r="O40" s="132">
        <f t="shared" si="42"/>
        <v>100</v>
      </c>
      <c r="P40" s="132">
        <f t="shared" si="42"/>
        <v>0</v>
      </c>
      <c r="Q40" s="132">
        <f t="shared" si="42"/>
        <v>0</v>
      </c>
      <c r="R40" s="132">
        <f t="shared" si="42"/>
        <v>102</v>
      </c>
      <c r="S40" s="132">
        <f t="shared" si="42"/>
        <v>0</v>
      </c>
      <c r="T40" s="132">
        <f t="shared" si="42"/>
        <v>0</v>
      </c>
      <c r="U40" s="132">
        <f t="shared" si="42"/>
        <v>0</v>
      </c>
      <c r="V40" s="132">
        <f t="shared" si="42"/>
        <v>0</v>
      </c>
      <c r="W40" s="132">
        <f t="shared" si="42"/>
        <v>0</v>
      </c>
      <c r="X40" s="132">
        <f t="shared" si="42"/>
        <v>0</v>
      </c>
      <c r="Y40" s="132">
        <f t="shared" si="42"/>
        <v>0</v>
      </c>
      <c r="Z40" s="132">
        <f t="shared" si="42"/>
        <v>0</v>
      </c>
      <c r="AA40" s="133">
        <f t="shared" si="5"/>
        <v>5502</v>
      </c>
    </row>
    <row r="41">
      <c r="A41" s="130" t="s">
        <v>3280</v>
      </c>
      <c r="B41" s="25">
        <v>75252.0</v>
      </c>
      <c r="C41" s="27">
        <v>250.0</v>
      </c>
      <c r="D41" s="134" t="s">
        <v>31</v>
      </c>
      <c r="F41" s="130">
        <f>IFERROR(__xludf.DUMMYFUNCTION("""COMPUTED_VALUE"""),75254.0)</f>
        <v>75254</v>
      </c>
      <c r="G41" s="132">
        <f t="shared" si="2"/>
        <v>0</v>
      </c>
      <c r="H41" s="132">
        <f t="shared" si="3"/>
        <v>0</v>
      </c>
      <c r="I41" s="132">
        <f t="shared" ref="I41:Z41" si="43">SUMIFS($C:$C,$B:$B,$F41,$D:$D,I$1)</f>
        <v>100</v>
      </c>
      <c r="J41" s="132">
        <f t="shared" si="43"/>
        <v>0</v>
      </c>
      <c r="K41" s="132">
        <f t="shared" si="43"/>
        <v>3050</v>
      </c>
      <c r="L41" s="132">
        <f t="shared" si="43"/>
        <v>500</v>
      </c>
      <c r="M41" s="132">
        <f t="shared" si="43"/>
        <v>0</v>
      </c>
      <c r="N41" s="132">
        <f t="shared" si="43"/>
        <v>0</v>
      </c>
      <c r="O41" s="132">
        <f t="shared" si="43"/>
        <v>0</v>
      </c>
      <c r="P41" s="132">
        <f t="shared" si="43"/>
        <v>0</v>
      </c>
      <c r="Q41" s="132">
        <f t="shared" si="43"/>
        <v>3880</v>
      </c>
      <c r="R41" s="132">
        <f t="shared" si="43"/>
        <v>0</v>
      </c>
      <c r="S41" s="132">
        <f t="shared" si="43"/>
        <v>0</v>
      </c>
      <c r="T41" s="132">
        <f t="shared" si="43"/>
        <v>0</v>
      </c>
      <c r="U41" s="132">
        <f t="shared" si="43"/>
        <v>0</v>
      </c>
      <c r="V41" s="132">
        <f t="shared" si="43"/>
        <v>0</v>
      </c>
      <c r="W41" s="132">
        <f t="shared" si="43"/>
        <v>0</v>
      </c>
      <c r="X41" s="132">
        <f t="shared" si="43"/>
        <v>0</v>
      </c>
      <c r="Y41" s="132">
        <f t="shared" si="43"/>
        <v>0</v>
      </c>
      <c r="Z41" s="132">
        <f t="shared" si="43"/>
        <v>0</v>
      </c>
      <c r="AA41" s="133">
        <f t="shared" si="5"/>
        <v>7530</v>
      </c>
    </row>
    <row r="42">
      <c r="A42" s="130" t="s">
        <v>3266</v>
      </c>
      <c r="B42" s="25">
        <v>75230.0</v>
      </c>
      <c r="C42" s="27">
        <v>102.0</v>
      </c>
      <c r="D42" s="134" t="s">
        <v>32</v>
      </c>
      <c r="F42" s="130">
        <f>IFERROR(__xludf.DUMMYFUNCTION("""COMPUTED_VALUE"""),76040.0)</f>
        <v>76040</v>
      </c>
      <c r="G42" s="132">
        <f t="shared" si="2"/>
        <v>500</v>
      </c>
      <c r="H42" s="132">
        <f t="shared" si="3"/>
        <v>750</v>
      </c>
      <c r="I42" s="132">
        <f t="shared" ref="I42:Z42" si="44">SUMIFS($C:$C,$B:$B,$F42,$D:$D,I$1)</f>
        <v>0</v>
      </c>
      <c r="J42" s="132">
        <f t="shared" si="44"/>
        <v>0</v>
      </c>
      <c r="K42" s="132">
        <f t="shared" si="44"/>
        <v>7500</v>
      </c>
      <c r="L42" s="132">
        <f t="shared" si="44"/>
        <v>0</v>
      </c>
      <c r="M42" s="132">
        <f t="shared" si="44"/>
        <v>0</v>
      </c>
      <c r="N42" s="132">
        <f t="shared" si="44"/>
        <v>0</v>
      </c>
      <c r="O42" s="132">
        <f t="shared" si="44"/>
        <v>0</v>
      </c>
      <c r="P42" s="132">
        <f t="shared" si="44"/>
        <v>0</v>
      </c>
      <c r="Q42" s="132">
        <f t="shared" si="44"/>
        <v>0</v>
      </c>
      <c r="R42" s="132">
        <f t="shared" si="44"/>
        <v>0</v>
      </c>
      <c r="S42" s="132">
        <f t="shared" si="44"/>
        <v>0</v>
      </c>
      <c r="T42" s="132">
        <f t="shared" si="44"/>
        <v>0</v>
      </c>
      <c r="U42" s="132">
        <f t="shared" si="44"/>
        <v>0</v>
      </c>
      <c r="V42" s="132">
        <f t="shared" si="44"/>
        <v>0</v>
      </c>
      <c r="W42" s="132">
        <f t="shared" si="44"/>
        <v>0</v>
      </c>
      <c r="X42" s="132">
        <f t="shared" si="44"/>
        <v>0</v>
      </c>
      <c r="Y42" s="132">
        <f t="shared" si="44"/>
        <v>0</v>
      </c>
      <c r="Z42" s="132">
        <f t="shared" si="44"/>
        <v>0</v>
      </c>
      <c r="AA42" s="133">
        <f t="shared" si="5"/>
        <v>8750</v>
      </c>
    </row>
    <row r="43">
      <c r="A43" s="130" t="s">
        <v>3281</v>
      </c>
      <c r="B43" s="25">
        <v>75218.0</v>
      </c>
      <c r="C43" s="27">
        <v>100.0</v>
      </c>
      <c r="D43" s="134" t="s">
        <v>24</v>
      </c>
      <c r="F43" s="130">
        <f>IFERROR(__xludf.DUMMYFUNCTION("""COMPUTED_VALUE"""),11733.0)</f>
        <v>11733</v>
      </c>
      <c r="G43" s="132">
        <f t="shared" si="2"/>
        <v>50</v>
      </c>
      <c r="H43" s="132">
        <f t="shared" si="3"/>
        <v>0</v>
      </c>
      <c r="I43" s="132">
        <f t="shared" ref="I43:Z43" si="45">SUMIFS($C:$C,$B:$B,$F43,$D:$D,I$1)</f>
        <v>0</v>
      </c>
      <c r="J43" s="132">
        <f t="shared" si="45"/>
        <v>0</v>
      </c>
      <c r="K43" s="132">
        <f t="shared" si="45"/>
        <v>0</v>
      </c>
      <c r="L43" s="132">
        <f t="shared" si="45"/>
        <v>0</v>
      </c>
      <c r="M43" s="132">
        <f t="shared" si="45"/>
        <v>0</v>
      </c>
      <c r="N43" s="132">
        <f t="shared" si="45"/>
        <v>0</v>
      </c>
      <c r="O43" s="132">
        <f t="shared" si="45"/>
        <v>0</v>
      </c>
      <c r="P43" s="132">
        <f t="shared" si="45"/>
        <v>0</v>
      </c>
      <c r="Q43" s="132">
        <f t="shared" si="45"/>
        <v>0</v>
      </c>
      <c r="R43" s="132">
        <f t="shared" si="45"/>
        <v>0</v>
      </c>
      <c r="S43" s="132">
        <f t="shared" si="45"/>
        <v>0</v>
      </c>
      <c r="T43" s="132">
        <f t="shared" si="45"/>
        <v>0</v>
      </c>
      <c r="U43" s="132">
        <f t="shared" si="45"/>
        <v>0</v>
      </c>
      <c r="V43" s="132">
        <f t="shared" si="45"/>
        <v>0</v>
      </c>
      <c r="W43" s="132">
        <f t="shared" si="45"/>
        <v>0</v>
      </c>
      <c r="X43" s="132">
        <f t="shared" si="45"/>
        <v>0</v>
      </c>
      <c r="Y43" s="132">
        <f t="shared" si="45"/>
        <v>0</v>
      </c>
      <c r="Z43" s="132">
        <f t="shared" si="45"/>
        <v>0</v>
      </c>
      <c r="AA43" s="133">
        <f t="shared" si="5"/>
        <v>50</v>
      </c>
    </row>
    <row r="44">
      <c r="A44" s="130" t="s">
        <v>3273</v>
      </c>
      <c r="B44" s="25">
        <v>75205.0</v>
      </c>
      <c r="C44" s="27">
        <v>1000.0</v>
      </c>
      <c r="D44" s="134" t="s">
        <v>25</v>
      </c>
      <c r="F44" s="130">
        <f>IFERROR(__xludf.DUMMYFUNCTION("""COMPUTED_VALUE"""),75227.0)</f>
        <v>75227</v>
      </c>
      <c r="G44" s="132">
        <f t="shared" si="2"/>
        <v>0</v>
      </c>
      <c r="H44" s="132">
        <f t="shared" si="3"/>
        <v>0</v>
      </c>
      <c r="I44" s="132">
        <f t="shared" ref="I44:Z44" si="46">SUMIFS($C:$C,$B:$B,$F44,$D:$D,I$1)</f>
        <v>100</v>
      </c>
      <c r="J44" s="132">
        <f t="shared" si="46"/>
        <v>300</v>
      </c>
      <c r="K44" s="132">
        <f t="shared" si="46"/>
        <v>100</v>
      </c>
      <c r="L44" s="132">
        <f t="shared" si="46"/>
        <v>0</v>
      </c>
      <c r="M44" s="132">
        <f t="shared" si="46"/>
        <v>0</v>
      </c>
      <c r="N44" s="132">
        <f t="shared" si="46"/>
        <v>0</v>
      </c>
      <c r="O44" s="132">
        <f t="shared" si="46"/>
        <v>0</v>
      </c>
      <c r="P44" s="132">
        <f t="shared" si="46"/>
        <v>0</v>
      </c>
      <c r="Q44" s="132">
        <f t="shared" si="46"/>
        <v>100</v>
      </c>
      <c r="R44" s="132">
        <f t="shared" si="46"/>
        <v>0</v>
      </c>
      <c r="S44" s="132">
        <f t="shared" si="46"/>
        <v>0</v>
      </c>
      <c r="T44" s="132">
        <f t="shared" si="46"/>
        <v>0</v>
      </c>
      <c r="U44" s="132">
        <f t="shared" si="46"/>
        <v>0</v>
      </c>
      <c r="V44" s="132">
        <f t="shared" si="46"/>
        <v>0</v>
      </c>
      <c r="W44" s="132">
        <f t="shared" si="46"/>
        <v>0</v>
      </c>
      <c r="X44" s="132">
        <f t="shared" si="46"/>
        <v>0</v>
      </c>
      <c r="Y44" s="132">
        <f t="shared" si="46"/>
        <v>0</v>
      </c>
      <c r="Z44" s="132">
        <f t="shared" si="46"/>
        <v>0</v>
      </c>
      <c r="AA44" s="133">
        <f t="shared" si="5"/>
        <v>600</v>
      </c>
    </row>
    <row r="45">
      <c r="A45" s="130" t="s">
        <v>3282</v>
      </c>
      <c r="B45" s="25">
        <v>75208.0</v>
      </c>
      <c r="C45" s="27">
        <v>100.0</v>
      </c>
      <c r="D45" s="134" t="s">
        <v>21</v>
      </c>
      <c r="F45" s="130">
        <f>IFERROR(__xludf.DUMMYFUNCTION("""COMPUTED_VALUE"""),76065.0)</f>
        <v>76065</v>
      </c>
      <c r="G45" s="132">
        <f t="shared" si="2"/>
        <v>500</v>
      </c>
      <c r="H45" s="132">
        <f t="shared" si="3"/>
        <v>0</v>
      </c>
      <c r="I45" s="132">
        <f t="shared" ref="I45:Z45" si="47">SUMIFS($C:$C,$B:$B,$F45,$D:$D,I$1)</f>
        <v>150</v>
      </c>
      <c r="J45" s="132">
        <f t="shared" si="47"/>
        <v>0</v>
      </c>
      <c r="K45" s="132">
        <f t="shared" si="47"/>
        <v>0</v>
      </c>
      <c r="L45" s="132">
        <f t="shared" si="47"/>
        <v>0</v>
      </c>
      <c r="M45" s="132">
        <f t="shared" si="47"/>
        <v>0</v>
      </c>
      <c r="N45" s="132">
        <f t="shared" si="47"/>
        <v>0</v>
      </c>
      <c r="O45" s="132">
        <f t="shared" si="47"/>
        <v>0</v>
      </c>
      <c r="P45" s="132">
        <f t="shared" si="47"/>
        <v>0</v>
      </c>
      <c r="Q45" s="132">
        <f t="shared" si="47"/>
        <v>0</v>
      </c>
      <c r="R45" s="132">
        <f t="shared" si="47"/>
        <v>0</v>
      </c>
      <c r="S45" s="132">
        <f t="shared" si="47"/>
        <v>0</v>
      </c>
      <c r="T45" s="132">
        <f t="shared" si="47"/>
        <v>0</v>
      </c>
      <c r="U45" s="132">
        <f t="shared" si="47"/>
        <v>0</v>
      </c>
      <c r="V45" s="132">
        <f t="shared" si="47"/>
        <v>0</v>
      </c>
      <c r="W45" s="132">
        <f t="shared" si="47"/>
        <v>0</v>
      </c>
      <c r="X45" s="132">
        <f t="shared" si="47"/>
        <v>50</v>
      </c>
      <c r="Y45" s="132">
        <f t="shared" si="47"/>
        <v>0</v>
      </c>
      <c r="Z45" s="132">
        <f t="shared" si="47"/>
        <v>0</v>
      </c>
      <c r="AA45" s="133">
        <f t="shared" si="5"/>
        <v>700</v>
      </c>
    </row>
    <row r="46">
      <c r="A46" s="130" t="s">
        <v>3283</v>
      </c>
      <c r="B46" s="25">
        <v>20036.0</v>
      </c>
      <c r="C46" s="27">
        <v>2500.0</v>
      </c>
      <c r="D46" s="134" t="s">
        <v>25</v>
      </c>
      <c r="F46" s="130">
        <f>IFERROR(__xludf.DUMMYFUNCTION("""COMPUTED_VALUE"""),75120.0)</f>
        <v>75120</v>
      </c>
      <c r="G46" s="132">
        <f t="shared" si="2"/>
        <v>0</v>
      </c>
      <c r="H46" s="132">
        <f t="shared" si="3"/>
        <v>0</v>
      </c>
      <c r="I46" s="132">
        <f t="shared" ref="I46:Z46" si="48">SUMIFS($C:$C,$B:$B,$F46,$D:$D,I$1)</f>
        <v>0</v>
      </c>
      <c r="J46" s="132">
        <f t="shared" si="48"/>
        <v>0</v>
      </c>
      <c r="K46" s="132">
        <f t="shared" si="48"/>
        <v>1000</v>
      </c>
      <c r="L46" s="132">
        <f t="shared" si="48"/>
        <v>0</v>
      </c>
      <c r="M46" s="132">
        <f t="shared" si="48"/>
        <v>0</v>
      </c>
      <c r="N46" s="132">
        <f t="shared" si="48"/>
        <v>0</v>
      </c>
      <c r="O46" s="132">
        <f t="shared" si="48"/>
        <v>0</v>
      </c>
      <c r="P46" s="132">
        <f t="shared" si="48"/>
        <v>0</v>
      </c>
      <c r="Q46" s="132">
        <f t="shared" si="48"/>
        <v>0</v>
      </c>
      <c r="R46" s="132">
        <f t="shared" si="48"/>
        <v>0</v>
      </c>
      <c r="S46" s="132">
        <f t="shared" si="48"/>
        <v>0</v>
      </c>
      <c r="T46" s="132">
        <f t="shared" si="48"/>
        <v>0</v>
      </c>
      <c r="U46" s="132">
        <f t="shared" si="48"/>
        <v>0</v>
      </c>
      <c r="V46" s="132">
        <f t="shared" si="48"/>
        <v>0</v>
      </c>
      <c r="W46" s="132">
        <f t="shared" si="48"/>
        <v>0</v>
      </c>
      <c r="X46" s="132">
        <f t="shared" si="48"/>
        <v>0</v>
      </c>
      <c r="Y46" s="132">
        <f t="shared" si="48"/>
        <v>0</v>
      </c>
      <c r="Z46" s="132">
        <f t="shared" si="48"/>
        <v>0</v>
      </c>
      <c r="AA46" s="133">
        <f t="shared" si="5"/>
        <v>1000</v>
      </c>
    </row>
    <row r="47">
      <c r="A47" s="130" t="s">
        <v>3283</v>
      </c>
      <c r="B47" s="25">
        <v>20036.0</v>
      </c>
      <c r="C47" s="27">
        <v>2500.0</v>
      </c>
      <c r="D47" s="134" t="s">
        <v>25</v>
      </c>
      <c r="F47" s="130">
        <f>IFERROR(__xludf.DUMMYFUNCTION("""COMPUTED_VALUE"""),75182.0)</f>
        <v>75182</v>
      </c>
      <c r="G47" s="132">
        <f t="shared" si="2"/>
        <v>0</v>
      </c>
      <c r="H47" s="132">
        <f t="shared" si="3"/>
        <v>0</v>
      </c>
      <c r="I47" s="132">
        <f t="shared" ref="I47:Z47" si="49">SUMIFS($C:$C,$B:$B,$F47,$D:$D,I$1)</f>
        <v>0</v>
      </c>
      <c r="J47" s="132">
        <f t="shared" si="49"/>
        <v>100</v>
      </c>
      <c r="K47" s="132">
        <f t="shared" si="49"/>
        <v>4000</v>
      </c>
      <c r="L47" s="132">
        <f t="shared" si="49"/>
        <v>0</v>
      </c>
      <c r="M47" s="132">
        <f t="shared" si="49"/>
        <v>0</v>
      </c>
      <c r="N47" s="132">
        <f t="shared" si="49"/>
        <v>0</v>
      </c>
      <c r="O47" s="132">
        <f t="shared" si="49"/>
        <v>0</v>
      </c>
      <c r="P47" s="132">
        <f t="shared" si="49"/>
        <v>0</v>
      </c>
      <c r="Q47" s="132">
        <f t="shared" si="49"/>
        <v>0</v>
      </c>
      <c r="R47" s="132">
        <f t="shared" si="49"/>
        <v>0</v>
      </c>
      <c r="S47" s="132">
        <f t="shared" si="49"/>
        <v>0</v>
      </c>
      <c r="T47" s="132">
        <f t="shared" si="49"/>
        <v>0</v>
      </c>
      <c r="U47" s="132">
        <f t="shared" si="49"/>
        <v>0</v>
      </c>
      <c r="V47" s="132">
        <f t="shared" si="49"/>
        <v>0</v>
      </c>
      <c r="W47" s="132">
        <f t="shared" si="49"/>
        <v>0</v>
      </c>
      <c r="X47" s="132">
        <f t="shared" si="49"/>
        <v>0</v>
      </c>
      <c r="Y47" s="132">
        <f t="shared" si="49"/>
        <v>0</v>
      </c>
      <c r="Z47" s="132">
        <f t="shared" si="49"/>
        <v>0</v>
      </c>
      <c r="AA47" s="133">
        <f t="shared" si="5"/>
        <v>4100</v>
      </c>
    </row>
    <row r="48">
      <c r="A48" s="130" t="s">
        <v>3282</v>
      </c>
      <c r="B48" s="25">
        <v>75208.0</v>
      </c>
      <c r="C48" s="27">
        <v>833.0</v>
      </c>
      <c r="D48" s="134" t="s">
        <v>21</v>
      </c>
      <c r="F48" s="130">
        <f>IFERROR(__xludf.DUMMYFUNCTION("""COMPUTED_VALUE"""),75201.0)</f>
        <v>75201</v>
      </c>
      <c r="G48" s="132">
        <f t="shared" si="2"/>
        <v>21304.1</v>
      </c>
      <c r="H48" s="132">
        <f t="shared" si="3"/>
        <v>1000</v>
      </c>
      <c r="I48" s="132">
        <f t="shared" ref="I48:Z48" si="50">SUMIFS($C:$C,$B:$B,$F48,$D:$D,I$1)</f>
        <v>1150</v>
      </c>
      <c r="J48" s="132">
        <f t="shared" si="50"/>
        <v>5800</v>
      </c>
      <c r="K48" s="132">
        <f t="shared" si="50"/>
        <v>75400</v>
      </c>
      <c r="L48" s="132">
        <f t="shared" si="50"/>
        <v>1000</v>
      </c>
      <c r="M48" s="132">
        <f t="shared" si="50"/>
        <v>2100</v>
      </c>
      <c r="N48" s="132">
        <f t="shared" si="50"/>
        <v>2000</v>
      </c>
      <c r="O48" s="132">
        <f t="shared" si="50"/>
        <v>4000</v>
      </c>
      <c r="P48" s="132">
        <f t="shared" si="50"/>
        <v>1000</v>
      </c>
      <c r="Q48" s="132">
        <f t="shared" si="50"/>
        <v>3000</v>
      </c>
      <c r="R48" s="132">
        <f t="shared" si="50"/>
        <v>100</v>
      </c>
      <c r="S48" s="132">
        <f t="shared" si="50"/>
        <v>1000</v>
      </c>
      <c r="T48" s="132">
        <f t="shared" si="50"/>
        <v>3500</v>
      </c>
      <c r="U48" s="132">
        <f t="shared" si="50"/>
        <v>2000</v>
      </c>
      <c r="V48" s="132">
        <f t="shared" si="50"/>
        <v>0</v>
      </c>
      <c r="W48" s="132">
        <f t="shared" si="50"/>
        <v>0</v>
      </c>
      <c r="X48" s="132">
        <f t="shared" si="50"/>
        <v>0</v>
      </c>
      <c r="Y48" s="132">
        <f t="shared" si="50"/>
        <v>0</v>
      </c>
      <c r="Z48" s="132">
        <f t="shared" si="50"/>
        <v>0</v>
      </c>
      <c r="AA48" s="133">
        <f t="shared" si="5"/>
        <v>124354.1</v>
      </c>
    </row>
    <row r="49">
      <c r="A49" s="130" t="s">
        <v>3284</v>
      </c>
      <c r="B49" s="25">
        <v>75229.0</v>
      </c>
      <c r="C49" s="27">
        <v>500.0</v>
      </c>
      <c r="D49" s="134" t="s">
        <v>25</v>
      </c>
      <c r="F49" s="130">
        <f>IFERROR(__xludf.DUMMYFUNCTION("""COMPUTED_VALUE"""),78759.0)</f>
        <v>78759</v>
      </c>
      <c r="G49" s="132">
        <f t="shared" si="2"/>
        <v>0</v>
      </c>
      <c r="H49" s="132">
        <f t="shared" si="3"/>
        <v>0</v>
      </c>
      <c r="I49" s="132">
        <f t="shared" ref="I49:Z49" si="51">SUMIFS($C:$C,$B:$B,$F49,$D:$D,I$1)</f>
        <v>0</v>
      </c>
      <c r="J49" s="132">
        <f t="shared" si="51"/>
        <v>0</v>
      </c>
      <c r="K49" s="132">
        <f t="shared" si="51"/>
        <v>0</v>
      </c>
      <c r="L49" s="132">
        <f t="shared" si="51"/>
        <v>200</v>
      </c>
      <c r="M49" s="132">
        <f t="shared" si="51"/>
        <v>0</v>
      </c>
      <c r="N49" s="132">
        <f t="shared" si="51"/>
        <v>0</v>
      </c>
      <c r="O49" s="132">
        <f t="shared" si="51"/>
        <v>0</v>
      </c>
      <c r="P49" s="132">
        <f t="shared" si="51"/>
        <v>0</v>
      </c>
      <c r="Q49" s="132">
        <f t="shared" si="51"/>
        <v>0</v>
      </c>
      <c r="R49" s="132">
        <f t="shared" si="51"/>
        <v>0</v>
      </c>
      <c r="S49" s="132">
        <f t="shared" si="51"/>
        <v>0</v>
      </c>
      <c r="T49" s="132">
        <f t="shared" si="51"/>
        <v>0</v>
      </c>
      <c r="U49" s="132">
        <f t="shared" si="51"/>
        <v>0</v>
      </c>
      <c r="V49" s="132">
        <f t="shared" si="51"/>
        <v>0</v>
      </c>
      <c r="W49" s="132">
        <f t="shared" si="51"/>
        <v>0</v>
      </c>
      <c r="X49" s="132">
        <f t="shared" si="51"/>
        <v>0</v>
      </c>
      <c r="Y49" s="132">
        <f t="shared" si="51"/>
        <v>0</v>
      </c>
      <c r="Z49" s="132">
        <f t="shared" si="51"/>
        <v>0</v>
      </c>
      <c r="AA49" s="133">
        <f t="shared" si="5"/>
        <v>200</v>
      </c>
    </row>
    <row r="50">
      <c r="A50" s="130" t="s">
        <v>3284</v>
      </c>
      <c r="B50" s="25">
        <v>75229.0</v>
      </c>
      <c r="C50" s="27">
        <v>100.0</v>
      </c>
      <c r="D50" s="134" t="s">
        <v>25</v>
      </c>
      <c r="F50" s="130">
        <f>IFERROR(__xludf.DUMMYFUNCTION("""COMPUTED_VALUE"""),75231.0)</f>
        <v>75231</v>
      </c>
      <c r="G50" s="132">
        <f t="shared" si="2"/>
        <v>0</v>
      </c>
      <c r="H50" s="132">
        <f t="shared" si="3"/>
        <v>0</v>
      </c>
      <c r="I50" s="132">
        <f t="shared" ref="I50:Z50" si="52">SUMIFS($C:$C,$B:$B,$F50,$D:$D,I$1)</f>
        <v>0</v>
      </c>
      <c r="J50" s="132">
        <f t="shared" si="52"/>
        <v>250</v>
      </c>
      <c r="K50" s="132">
        <f t="shared" si="52"/>
        <v>5050</v>
      </c>
      <c r="L50" s="132">
        <f t="shared" si="52"/>
        <v>2500</v>
      </c>
      <c r="M50" s="132">
        <f t="shared" si="52"/>
        <v>0</v>
      </c>
      <c r="N50" s="132">
        <f t="shared" si="52"/>
        <v>0</v>
      </c>
      <c r="O50" s="132">
        <f t="shared" si="52"/>
        <v>0</v>
      </c>
      <c r="P50" s="132">
        <f t="shared" si="52"/>
        <v>780</v>
      </c>
      <c r="Q50" s="132">
        <f t="shared" si="52"/>
        <v>360</v>
      </c>
      <c r="R50" s="132">
        <f t="shared" si="52"/>
        <v>0</v>
      </c>
      <c r="S50" s="132">
        <f t="shared" si="52"/>
        <v>0</v>
      </c>
      <c r="T50" s="132">
        <f t="shared" si="52"/>
        <v>0</v>
      </c>
      <c r="U50" s="132">
        <f t="shared" si="52"/>
        <v>0</v>
      </c>
      <c r="V50" s="132">
        <f t="shared" si="52"/>
        <v>0</v>
      </c>
      <c r="W50" s="132">
        <f t="shared" si="52"/>
        <v>2000</v>
      </c>
      <c r="X50" s="132">
        <f t="shared" si="52"/>
        <v>0</v>
      </c>
      <c r="Y50" s="132">
        <f t="shared" si="52"/>
        <v>0</v>
      </c>
      <c r="Z50" s="132">
        <f t="shared" si="52"/>
        <v>0</v>
      </c>
      <c r="AA50" s="133">
        <f t="shared" si="5"/>
        <v>10940</v>
      </c>
    </row>
    <row r="51">
      <c r="A51" s="130" t="s">
        <v>3285</v>
      </c>
      <c r="B51" s="25">
        <v>75204.0</v>
      </c>
      <c r="C51" s="27">
        <v>950.0</v>
      </c>
      <c r="D51" s="134" t="s">
        <v>21</v>
      </c>
      <c r="F51" s="130">
        <f>IFERROR(__xludf.DUMMYFUNCTION("""COMPUTED_VALUE"""),87508.0)</f>
        <v>87508</v>
      </c>
      <c r="G51" s="132">
        <f t="shared" si="2"/>
        <v>0</v>
      </c>
      <c r="H51" s="132">
        <f t="shared" si="3"/>
        <v>0</v>
      </c>
      <c r="I51" s="132">
        <f t="shared" ref="I51:Z51" si="53">SUMIFS($C:$C,$B:$B,$F51,$D:$D,I$1)</f>
        <v>0</v>
      </c>
      <c r="J51" s="132">
        <f t="shared" si="53"/>
        <v>0</v>
      </c>
      <c r="K51" s="132">
        <f t="shared" si="53"/>
        <v>0</v>
      </c>
      <c r="L51" s="132">
        <f t="shared" si="53"/>
        <v>0</v>
      </c>
      <c r="M51" s="132">
        <f t="shared" si="53"/>
        <v>0</v>
      </c>
      <c r="N51" s="132">
        <f t="shared" si="53"/>
        <v>0</v>
      </c>
      <c r="O51" s="132">
        <f t="shared" si="53"/>
        <v>0</v>
      </c>
      <c r="P51" s="132">
        <f t="shared" si="53"/>
        <v>0</v>
      </c>
      <c r="Q51" s="132">
        <f t="shared" si="53"/>
        <v>0</v>
      </c>
      <c r="R51" s="132">
        <f t="shared" si="53"/>
        <v>25</v>
      </c>
      <c r="S51" s="132">
        <f t="shared" si="53"/>
        <v>0</v>
      </c>
      <c r="T51" s="132">
        <f t="shared" si="53"/>
        <v>0</v>
      </c>
      <c r="U51" s="132">
        <f t="shared" si="53"/>
        <v>0</v>
      </c>
      <c r="V51" s="132">
        <f t="shared" si="53"/>
        <v>0</v>
      </c>
      <c r="W51" s="132">
        <f t="shared" si="53"/>
        <v>0</v>
      </c>
      <c r="X51" s="132">
        <f t="shared" si="53"/>
        <v>0</v>
      </c>
      <c r="Y51" s="132">
        <f t="shared" si="53"/>
        <v>0</v>
      </c>
      <c r="Z51" s="132">
        <f t="shared" si="53"/>
        <v>0</v>
      </c>
      <c r="AA51" s="133">
        <f t="shared" si="5"/>
        <v>25</v>
      </c>
    </row>
    <row r="52">
      <c r="A52" s="130" t="s">
        <v>3286</v>
      </c>
      <c r="B52" s="25">
        <v>75233.0</v>
      </c>
      <c r="C52" s="27">
        <v>500.0</v>
      </c>
      <c r="D52" s="134" t="s">
        <v>21</v>
      </c>
      <c r="F52" s="130">
        <f>IFERROR(__xludf.DUMMYFUNCTION("""COMPUTED_VALUE"""),22044.0)</f>
        <v>22044</v>
      </c>
      <c r="G52" s="132">
        <f t="shared" si="2"/>
        <v>0</v>
      </c>
      <c r="H52" s="132">
        <f t="shared" si="3"/>
        <v>0</v>
      </c>
      <c r="I52" s="132">
        <f t="shared" ref="I52:Z52" si="54">SUMIFS($C:$C,$B:$B,$F52,$D:$D,I$1)</f>
        <v>0</v>
      </c>
      <c r="J52" s="132">
        <f t="shared" si="54"/>
        <v>0</v>
      </c>
      <c r="K52" s="132">
        <f t="shared" si="54"/>
        <v>0</v>
      </c>
      <c r="L52" s="132">
        <f t="shared" si="54"/>
        <v>0</v>
      </c>
      <c r="M52" s="132">
        <f t="shared" si="54"/>
        <v>0</v>
      </c>
      <c r="N52" s="132">
        <f t="shared" si="54"/>
        <v>0</v>
      </c>
      <c r="O52" s="132">
        <f t="shared" si="54"/>
        <v>0</v>
      </c>
      <c r="P52" s="132">
        <f t="shared" si="54"/>
        <v>0</v>
      </c>
      <c r="Q52" s="132">
        <f t="shared" si="54"/>
        <v>100</v>
      </c>
      <c r="R52" s="132">
        <f t="shared" si="54"/>
        <v>0</v>
      </c>
      <c r="S52" s="132">
        <f t="shared" si="54"/>
        <v>0</v>
      </c>
      <c r="T52" s="132">
        <f t="shared" si="54"/>
        <v>0</v>
      </c>
      <c r="U52" s="132">
        <f t="shared" si="54"/>
        <v>0</v>
      </c>
      <c r="V52" s="132">
        <f t="shared" si="54"/>
        <v>0</v>
      </c>
      <c r="W52" s="132">
        <f t="shared" si="54"/>
        <v>0</v>
      </c>
      <c r="X52" s="132">
        <f t="shared" si="54"/>
        <v>0</v>
      </c>
      <c r="Y52" s="132">
        <f t="shared" si="54"/>
        <v>0</v>
      </c>
      <c r="Z52" s="132">
        <f t="shared" si="54"/>
        <v>0</v>
      </c>
      <c r="AA52" s="133">
        <f t="shared" si="5"/>
        <v>100</v>
      </c>
    </row>
    <row r="53">
      <c r="A53" s="130" t="s">
        <v>3287</v>
      </c>
      <c r="B53" s="25">
        <v>78746.0</v>
      </c>
      <c r="C53" s="27">
        <v>1000.0</v>
      </c>
      <c r="D53" s="134" t="s">
        <v>25</v>
      </c>
      <c r="F53" s="130">
        <f>IFERROR(__xludf.DUMMYFUNCTION("""COMPUTED_VALUE"""),77002.0)</f>
        <v>77002</v>
      </c>
      <c r="G53" s="132">
        <f t="shared" si="2"/>
        <v>0</v>
      </c>
      <c r="H53" s="132">
        <f t="shared" si="3"/>
        <v>0</v>
      </c>
      <c r="I53" s="132">
        <f t="shared" ref="I53:Z53" si="55">SUMIFS($C:$C,$B:$B,$F53,$D:$D,I$1)</f>
        <v>0</v>
      </c>
      <c r="J53" s="132">
        <f t="shared" si="55"/>
        <v>0</v>
      </c>
      <c r="K53" s="132">
        <f t="shared" si="55"/>
        <v>14050</v>
      </c>
      <c r="L53" s="132">
        <f t="shared" si="55"/>
        <v>0</v>
      </c>
      <c r="M53" s="132">
        <f t="shared" si="55"/>
        <v>0</v>
      </c>
      <c r="N53" s="132">
        <f t="shared" si="55"/>
        <v>0</v>
      </c>
      <c r="O53" s="132">
        <f t="shared" si="55"/>
        <v>0</v>
      </c>
      <c r="P53" s="132">
        <f t="shared" si="55"/>
        <v>0</v>
      </c>
      <c r="Q53" s="132">
        <f t="shared" si="55"/>
        <v>0</v>
      </c>
      <c r="R53" s="132">
        <f t="shared" si="55"/>
        <v>0</v>
      </c>
      <c r="S53" s="132">
        <f t="shared" si="55"/>
        <v>0</v>
      </c>
      <c r="T53" s="132">
        <f t="shared" si="55"/>
        <v>0</v>
      </c>
      <c r="U53" s="132">
        <f t="shared" si="55"/>
        <v>0</v>
      </c>
      <c r="V53" s="132">
        <f t="shared" si="55"/>
        <v>0</v>
      </c>
      <c r="W53" s="132">
        <f t="shared" si="55"/>
        <v>0</v>
      </c>
      <c r="X53" s="132">
        <f t="shared" si="55"/>
        <v>0</v>
      </c>
      <c r="Y53" s="132">
        <f t="shared" si="55"/>
        <v>0</v>
      </c>
      <c r="Z53" s="132">
        <f t="shared" si="55"/>
        <v>0</v>
      </c>
      <c r="AA53" s="133">
        <f t="shared" si="5"/>
        <v>14050</v>
      </c>
    </row>
    <row r="54">
      <c r="A54" s="130" t="s">
        <v>3279</v>
      </c>
      <c r="B54" s="25">
        <v>75225.0</v>
      </c>
      <c r="C54" s="27">
        <v>950.0</v>
      </c>
      <c r="D54" s="134" t="s">
        <v>21</v>
      </c>
      <c r="F54" s="130">
        <f>IFERROR(__xludf.DUMMYFUNCTION("""COMPUTED_VALUE"""),75137.0)</f>
        <v>75137</v>
      </c>
      <c r="G54" s="132">
        <f t="shared" si="2"/>
        <v>0</v>
      </c>
      <c r="H54" s="132">
        <f t="shared" si="3"/>
        <v>0</v>
      </c>
      <c r="I54" s="132">
        <f t="shared" ref="I54:Z54" si="56">SUMIFS($C:$C,$B:$B,$F54,$D:$D,I$1)</f>
        <v>0</v>
      </c>
      <c r="J54" s="132">
        <f t="shared" si="56"/>
        <v>0</v>
      </c>
      <c r="K54" s="132">
        <f t="shared" si="56"/>
        <v>800</v>
      </c>
      <c r="L54" s="132">
        <f t="shared" si="56"/>
        <v>0</v>
      </c>
      <c r="M54" s="132">
        <f t="shared" si="56"/>
        <v>0</v>
      </c>
      <c r="N54" s="132">
        <f t="shared" si="56"/>
        <v>0</v>
      </c>
      <c r="O54" s="132">
        <f t="shared" si="56"/>
        <v>100</v>
      </c>
      <c r="P54" s="132">
        <f t="shared" si="56"/>
        <v>0</v>
      </c>
      <c r="Q54" s="132">
        <f t="shared" si="56"/>
        <v>0</v>
      </c>
      <c r="R54" s="132">
        <f t="shared" si="56"/>
        <v>0</v>
      </c>
      <c r="S54" s="132">
        <f t="shared" si="56"/>
        <v>0</v>
      </c>
      <c r="T54" s="132">
        <f t="shared" si="56"/>
        <v>0</v>
      </c>
      <c r="U54" s="132">
        <f t="shared" si="56"/>
        <v>0</v>
      </c>
      <c r="V54" s="132">
        <f t="shared" si="56"/>
        <v>0</v>
      </c>
      <c r="W54" s="132">
        <f t="shared" si="56"/>
        <v>0</v>
      </c>
      <c r="X54" s="132">
        <f t="shared" si="56"/>
        <v>0</v>
      </c>
      <c r="Y54" s="132">
        <f t="shared" si="56"/>
        <v>0</v>
      </c>
      <c r="Z54" s="132">
        <f t="shared" si="56"/>
        <v>0</v>
      </c>
      <c r="AA54" s="133">
        <f t="shared" si="5"/>
        <v>900</v>
      </c>
    </row>
    <row r="55">
      <c r="A55" s="130" t="s">
        <v>3288</v>
      </c>
      <c r="B55" s="25">
        <v>75019.0</v>
      </c>
      <c r="C55" s="27">
        <v>500.0</v>
      </c>
      <c r="D55" s="134" t="s">
        <v>25</v>
      </c>
      <c r="F55" s="130">
        <f>IFERROR(__xludf.DUMMYFUNCTION("""COMPUTED_VALUE"""),33496.0)</f>
        <v>33496</v>
      </c>
      <c r="G55" s="132">
        <f t="shared" si="2"/>
        <v>0</v>
      </c>
      <c r="H55" s="132">
        <f t="shared" si="3"/>
        <v>2000</v>
      </c>
      <c r="I55" s="132">
        <f t="shared" ref="I55:Z55" si="57">SUMIFS($C:$C,$B:$B,$F55,$D:$D,I$1)</f>
        <v>0</v>
      </c>
      <c r="J55" s="132">
        <f t="shared" si="57"/>
        <v>0</v>
      </c>
      <c r="K55" s="132">
        <f t="shared" si="57"/>
        <v>0</v>
      </c>
      <c r="L55" s="132">
        <f t="shared" si="57"/>
        <v>0</v>
      </c>
      <c r="M55" s="132">
        <f t="shared" si="57"/>
        <v>0</v>
      </c>
      <c r="N55" s="132">
        <f t="shared" si="57"/>
        <v>0</v>
      </c>
      <c r="O55" s="132">
        <f t="shared" si="57"/>
        <v>0</v>
      </c>
      <c r="P55" s="132">
        <f t="shared" si="57"/>
        <v>0</v>
      </c>
      <c r="Q55" s="132">
        <f t="shared" si="57"/>
        <v>0</v>
      </c>
      <c r="R55" s="132">
        <f t="shared" si="57"/>
        <v>0</v>
      </c>
      <c r="S55" s="132">
        <f t="shared" si="57"/>
        <v>0</v>
      </c>
      <c r="T55" s="132">
        <f t="shared" si="57"/>
        <v>0</v>
      </c>
      <c r="U55" s="132">
        <f t="shared" si="57"/>
        <v>0</v>
      </c>
      <c r="V55" s="132">
        <f t="shared" si="57"/>
        <v>0</v>
      </c>
      <c r="W55" s="132">
        <f t="shared" si="57"/>
        <v>0</v>
      </c>
      <c r="X55" s="132">
        <f t="shared" si="57"/>
        <v>0</v>
      </c>
      <c r="Y55" s="132">
        <f t="shared" si="57"/>
        <v>0</v>
      </c>
      <c r="Z55" s="132">
        <f t="shared" si="57"/>
        <v>0</v>
      </c>
      <c r="AA55" s="133">
        <f t="shared" si="5"/>
        <v>2000</v>
      </c>
    </row>
    <row r="56">
      <c r="A56" s="130" t="s">
        <v>3285</v>
      </c>
      <c r="B56" s="25">
        <v>75204.0</v>
      </c>
      <c r="C56" s="27">
        <v>100.0</v>
      </c>
      <c r="D56" s="134" t="s">
        <v>30</v>
      </c>
      <c r="F56" s="130">
        <f>IFERROR(__xludf.DUMMYFUNCTION("""COMPUTED_VALUE"""),75209.0)</f>
        <v>75209</v>
      </c>
      <c r="G56" s="132">
        <f t="shared" si="2"/>
        <v>2350</v>
      </c>
      <c r="H56" s="132">
        <f t="shared" si="3"/>
        <v>0</v>
      </c>
      <c r="I56" s="132">
        <f t="shared" ref="I56:Z56" si="58">SUMIFS($C:$C,$B:$B,$F56,$D:$D,I$1)</f>
        <v>2000</v>
      </c>
      <c r="J56" s="132">
        <f t="shared" si="58"/>
        <v>3100</v>
      </c>
      <c r="K56" s="132">
        <f t="shared" si="58"/>
        <v>27500</v>
      </c>
      <c r="L56" s="132">
        <f t="shared" si="58"/>
        <v>0</v>
      </c>
      <c r="M56" s="132">
        <f t="shared" si="58"/>
        <v>0</v>
      </c>
      <c r="N56" s="132">
        <f t="shared" si="58"/>
        <v>0</v>
      </c>
      <c r="O56" s="132">
        <f t="shared" si="58"/>
        <v>0</v>
      </c>
      <c r="P56" s="132">
        <f t="shared" si="58"/>
        <v>3800</v>
      </c>
      <c r="Q56" s="132">
        <f t="shared" si="58"/>
        <v>100</v>
      </c>
      <c r="R56" s="132">
        <f t="shared" si="58"/>
        <v>0</v>
      </c>
      <c r="S56" s="132">
        <f t="shared" si="58"/>
        <v>0</v>
      </c>
      <c r="T56" s="132">
        <f t="shared" si="58"/>
        <v>250</v>
      </c>
      <c r="U56" s="132">
        <f t="shared" si="58"/>
        <v>0</v>
      </c>
      <c r="V56" s="132">
        <f t="shared" si="58"/>
        <v>0</v>
      </c>
      <c r="W56" s="132">
        <f t="shared" si="58"/>
        <v>1000</v>
      </c>
      <c r="X56" s="132">
        <f t="shared" si="58"/>
        <v>0</v>
      </c>
      <c r="Y56" s="132">
        <f t="shared" si="58"/>
        <v>0</v>
      </c>
      <c r="Z56" s="132">
        <f t="shared" si="58"/>
        <v>0</v>
      </c>
      <c r="AA56" s="133">
        <f t="shared" si="5"/>
        <v>40100</v>
      </c>
    </row>
    <row r="57">
      <c r="A57" s="130" t="s">
        <v>3270</v>
      </c>
      <c r="B57" s="25">
        <v>75206.0</v>
      </c>
      <c r="C57" s="27">
        <v>100.0</v>
      </c>
      <c r="D57" s="134" t="s">
        <v>25</v>
      </c>
      <c r="F57" s="130">
        <f>IFERROR(__xludf.DUMMYFUNCTION("""COMPUTED_VALUE"""),76226.0)</f>
        <v>76226</v>
      </c>
      <c r="G57" s="132">
        <f t="shared" si="2"/>
        <v>0</v>
      </c>
      <c r="H57" s="132">
        <f t="shared" si="3"/>
        <v>0</v>
      </c>
      <c r="I57" s="132">
        <f t="shared" ref="I57:Z57" si="59">SUMIFS($C:$C,$B:$B,$F57,$D:$D,I$1)</f>
        <v>0</v>
      </c>
      <c r="J57" s="132">
        <f t="shared" si="59"/>
        <v>2000</v>
      </c>
      <c r="K57" s="132">
        <f t="shared" si="59"/>
        <v>5000</v>
      </c>
      <c r="L57" s="132">
        <f t="shared" si="59"/>
        <v>100</v>
      </c>
      <c r="M57" s="132">
        <f t="shared" si="59"/>
        <v>0</v>
      </c>
      <c r="N57" s="132">
        <f t="shared" si="59"/>
        <v>0</v>
      </c>
      <c r="O57" s="132">
        <f t="shared" si="59"/>
        <v>0</v>
      </c>
      <c r="P57" s="132">
        <f t="shared" si="59"/>
        <v>0</v>
      </c>
      <c r="Q57" s="132">
        <f t="shared" si="59"/>
        <v>0</v>
      </c>
      <c r="R57" s="132">
        <f t="shared" si="59"/>
        <v>0</v>
      </c>
      <c r="S57" s="132">
        <f t="shared" si="59"/>
        <v>0</v>
      </c>
      <c r="T57" s="132">
        <f t="shared" si="59"/>
        <v>0</v>
      </c>
      <c r="U57" s="132">
        <f t="shared" si="59"/>
        <v>0</v>
      </c>
      <c r="V57" s="132">
        <f t="shared" si="59"/>
        <v>0</v>
      </c>
      <c r="W57" s="132">
        <f t="shared" si="59"/>
        <v>0</v>
      </c>
      <c r="X57" s="132">
        <f t="shared" si="59"/>
        <v>0</v>
      </c>
      <c r="Y57" s="132">
        <f t="shared" si="59"/>
        <v>0</v>
      </c>
      <c r="Z57" s="132">
        <f t="shared" si="59"/>
        <v>0</v>
      </c>
      <c r="AA57" s="133">
        <f t="shared" si="5"/>
        <v>7100</v>
      </c>
    </row>
    <row r="58">
      <c r="A58" s="130" t="s">
        <v>3270</v>
      </c>
      <c r="B58" s="25">
        <v>75206.0</v>
      </c>
      <c r="C58" s="27">
        <v>250.0</v>
      </c>
      <c r="D58" s="134" t="s">
        <v>21</v>
      </c>
      <c r="F58" s="130">
        <f>IFERROR(__xludf.DUMMYFUNCTION("""COMPUTED_VALUE"""),75104.0)</f>
        <v>75104</v>
      </c>
      <c r="G58" s="132">
        <f t="shared" si="2"/>
        <v>0</v>
      </c>
      <c r="H58" s="132">
        <f t="shared" si="3"/>
        <v>0</v>
      </c>
      <c r="I58" s="132">
        <f t="shared" ref="I58:Z58" si="60">SUMIFS($C:$C,$B:$B,$F58,$D:$D,I$1)</f>
        <v>0</v>
      </c>
      <c r="J58" s="132">
        <f t="shared" si="60"/>
        <v>0</v>
      </c>
      <c r="K58" s="132">
        <f t="shared" si="60"/>
        <v>350</v>
      </c>
      <c r="L58" s="132">
        <f t="shared" si="60"/>
        <v>0</v>
      </c>
      <c r="M58" s="132">
        <f t="shared" si="60"/>
        <v>0</v>
      </c>
      <c r="N58" s="132">
        <f t="shared" si="60"/>
        <v>0</v>
      </c>
      <c r="O58" s="132">
        <f t="shared" si="60"/>
        <v>0</v>
      </c>
      <c r="P58" s="132">
        <f t="shared" si="60"/>
        <v>0</v>
      </c>
      <c r="Q58" s="132">
        <f t="shared" si="60"/>
        <v>0</v>
      </c>
      <c r="R58" s="132">
        <f t="shared" si="60"/>
        <v>0</v>
      </c>
      <c r="S58" s="132">
        <f t="shared" si="60"/>
        <v>0</v>
      </c>
      <c r="T58" s="132">
        <f t="shared" si="60"/>
        <v>0</v>
      </c>
      <c r="U58" s="132">
        <f t="shared" si="60"/>
        <v>0</v>
      </c>
      <c r="V58" s="132">
        <f t="shared" si="60"/>
        <v>0</v>
      </c>
      <c r="W58" s="132">
        <f t="shared" si="60"/>
        <v>0</v>
      </c>
      <c r="X58" s="132">
        <f t="shared" si="60"/>
        <v>0</v>
      </c>
      <c r="Y58" s="132">
        <f t="shared" si="60"/>
        <v>0</v>
      </c>
      <c r="Z58" s="132">
        <f t="shared" si="60"/>
        <v>0</v>
      </c>
      <c r="AA58" s="133">
        <f t="shared" si="5"/>
        <v>350</v>
      </c>
    </row>
    <row r="59">
      <c r="A59" s="130" t="s">
        <v>3270</v>
      </c>
      <c r="B59" s="25">
        <v>75206.0</v>
      </c>
      <c r="C59" s="27">
        <v>250.0</v>
      </c>
      <c r="D59" s="134" t="s">
        <v>25</v>
      </c>
      <c r="F59" s="130">
        <f>IFERROR(__xludf.DUMMYFUNCTION("""COMPUTED_VALUE"""),75232.0)</f>
        <v>75232</v>
      </c>
      <c r="G59" s="132">
        <f t="shared" si="2"/>
        <v>0</v>
      </c>
      <c r="H59" s="132">
        <f t="shared" si="3"/>
        <v>1150</v>
      </c>
      <c r="I59" s="132">
        <f t="shared" ref="I59:Z59" si="61">SUMIFS($C:$C,$B:$B,$F59,$D:$D,I$1)</f>
        <v>0</v>
      </c>
      <c r="J59" s="132">
        <f t="shared" si="61"/>
        <v>1000</v>
      </c>
      <c r="K59" s="132">
        <f t="shared" si="61"/>
        <v>6000</v>
      </c>
      <c r="L59" s="132">
        <f t="shared" si="61"/>
        <v>0</v>
      </c>
      <c r="M59" s="132">
        <f t="shared" si="61"/>
        <v>0</v>
      </c>
      <c r="N59" s="132">
        <f t="shared" si="61"/>
        <v>0</v>
      </c>
      <c r="O59" s="132">
        <f t="shared" si="61"/>
        <v>0</v>
      </c>
      <c r="P59" s="132">
        <f t="shared" si="61"/>
        <v>0</v>
      </c>
      <c r="Q59" s="132">
        <f t="shared" si="61"/>
        <v>0</v>
      </c>
      <c r="R59" s="132">
        <f t="shared" si="61"/>
        <v>0</v>
      </c>
      <c r="S59" s="132">
        <f t="shared" si="61"/>
        <v>0</v>
      </c>
      <c r="T59" s="132">
        <f t="shared" si="61"/>
        <v>0</v>
      </c>
      <c r="U59" s="132">
        <f t="shared" si="61"/>
        <v>0</v>
      </c>
      <c r="V59" s="132">
        <f t="shared" si="61"/>
        <v>0</v>
      </c>
      <c r="W59" s="132">
        <f t="shared" si="61"/>
        <v>0</v>
      </c>
      <c r="X59" s="132">
        <f t="shared" si="61"/>
        <v>0</v>
      </c>
      <c r="Y59" s="132">
        <f t="shared" si="61"/>
        <v>0</v>
      </c>
      <c r="Z59" s="132">
        <f t="shared" si="61"/>
        <v>0</v>
      </c>
      <c r="AA59" s="133">
        <f t="shared" si="5"/>
        <v>8150</v>
      </c>
    </row>
    <row r="60">
      <c r="A60" s="130" t="s">
        <v>3289</v>
      </c>
      <c r="B60" s="25">
        <v>75219.0</v>
      </c>
      <c r="C60" s="27">
        <v>250.0</v>
      </c>
      <c r="D60" s="134" t="s">
        <v>21</v>
      </c>
      <c r="F60" s="130">
        <f>IFERROR(__xludf.DUMMYFUNCTION("""COMPUTED_VALUE"""),75223.0)</f>
        <v>75223</v>
      </c>
      <c r="G60" s="132">
        <f t="shared" si="2"/>
        <v>1100</v>
      </c>
      <c r="H60" s="132">
        <f t="shared" si="3"/>
        <v>0</v>
      </c>
      <c r="I60" s="132">
        <f t="shared" ref="I60:Z60" si="62">SUMIFS($C:$C,$B:$B,$F60,$D:$D,I$1)</f>
        <v>200</v>
      </c>
      <c r="J60" s="132">
        <f t="shared" si="62"/>
        <v>850</v>
      </c>
      <c r="K60" s="132">
        <f t="shared" si="62"/>
        <v>500</v>
      </c>
      <c r="L60" s="132">
        <f t="shared" si="62"/>
        <v>0</v>
      </c>
      <c r="M60" s="132">
        <f t="shared" si="62"/>
        <v>1300</v>
      </c>
      <c r="N60" s="132">
        <f t="shared" si="62"/>
        <v>0</v>
      </c>
      <c r="O60" s="132">
        <f t="shared" si="62"/>
        <v>250</v>
      </c>
      <c r="P60" s="132">
        <f t="shared" si="62"/>
        <v>0</v>
      </c>
      <c r="Q60" s="132">
        <f t="shared" si="62"/>
        <v>0</v>
      </c>
      <c r="R60" s="132">
        <f t="shared" si="62"/>
        <v>0</v>
      </c>
      <c r="S60" s="132">
        <f t="shared" si="62"/>
        <v>0</v>
      </c>
      <c r="T60" s="132">
        <f t="shared" si="62"/>
        <v>0</v>
      </c>
      <c r="U60" s="132">
        <f t="shared" si="62"/>
        <v>0</v>
      </c>
      <c r="V60" s="132">
        <f t="shared" si="62"/>
        <v>0</v>
      </c>
      <c r="W60" s="132">
        <f t="shared" si="62"/>
        <v>0</v>
      </c>
      <c r="X60" s="132">
        <f t="shared" si="62"/>
        <v>0</v>
      </c>
      <c r="Y60" s="132">
        <f t="shared" si="62"/>
        <v>0</v>
      </c>
      <c r="Z60" s="132">
        <f t="shared" si="62"/>
        <v>0</v>
      </c>
      <c r="AA60" s="133">
        <f t="shared" si="5"/>
        <v>4200</v>
      </c>
    </row>
    <row r="61">
      <c r="A61" s="130" t="s">
        <v>3282</v>
      </c>
      <c r="B61" s="25">
        <v>75208.0</v>
      </c>
      <c r="C61" s="27">
        <v>950.0</v>
      </c>
      <c r="D61" s="134" t="s">
        <v>21</v>
      </c>
      <c r="F61" s="130">
        <f>IFERROR(__xludf.DUMMYFUNCTION("""COMPUTED_VALUE"""),75224.0)</f>
        <v>75224</v>
      </c>
      <c r="G61" s="132">
        <f t="shared" si="2"/>
        <v>3150</v>
      </c>
      <c r="H61" s="132">
        <f t="shared" si="3"/>
        <v>0</v>
      </c>
      <c r="I61" s="132">
        <f t="shared" ref="I61:Z61" si="63">SUMIFS($C:$C,$B:$B,$F61,$D:$D,I$1)</f>
        <v>0</v>
      </c>
      <c r="J61" s="132">
        <f t="shared" si="63"/>
        <v>0</v>
      </c>
      <c r="K61" s="132">
        <f t="shared" si="63"/>
        <v>450</v>
      </c>
      <c r="L61" s="132">
        <f t="shared" si="63"/>
        <v>0</v>
      </c>
      <c r="M61" s="132">
        <f t="shared" si="63"/>
        <v>0</v>
      </c>
      <c r="N61" s="132">
        <f t="shared" si="63"/>
        <v>0</v>
      </c>
      <c r="O61" s="132">
        <f t="shared" si="63"/>
        <v>0</v>
      </c>
      <c r="P61" s="132">
        <f t="shared" si="63"/>
        <v>0</v>
      </c>
      <c r="Q61" s="132">
        <f t="shared" si="63"/>
        <v>250</v>
      </c>
      <c r="R61" s="132">
        <f t="shared" si="63"/>
        <v>0</v>
      </c>
      <c r="S61" s="132">
        <f t="shared" si="63"/>
        <v>0</v>
      </c>
      <c r="T61" s="132">
        <f t="shared" si="63"/>
        <v>0</v>
      </c>
      <c r="U61" s="132">
        <f t="shared" si="63"/>
        <v>0</v>
      </c>
      <c r="V61" s="132">
        <f t="shared" si="63"/>
        <v>0</v>
      </c>
      <c r="W61" s="132">
        <f t="shared" si="63"/>
        <v>0</v>
      </c>
      <c r="X61" s="132">
        <f t="shared" si="63"/>
        <v>0</v>
      </c>
      <c r="Y61" s="132">
        <f t="shared" si="63"/>
        <v>0</v>
      </c>
      <c r="Z61" s="132">
        <f t="shared" si="63"/>
        <v>0</v>
      </c>
      <c r="AA61" s="133">
        <f t="shared" si="5"/>
        <v>3850</v>
      </c>
    </row>
    <row r="62">
      <c r="A62" s="130" t="s">
        <v>3290</v>
      </c>
      <c r="B62" s="25">
        <v>75240.0</v>
      </c>
      <c r="C62" s="27">
        <v>2500.0</v>
      </c>
      <c r="D62" s="134" t="s">
        <v>25</v>
      </c>
      <c r="F62" s="130">
        <f>IFERROR(__xludf.DUMMYFUNCTION("""COMPUTED_VALUE"""),75022.0)</f>
        <v>75022</v>
      </c>
      <c r="G62" s="132">
        <f t="shared" si="2"/>
        <v>500</v>
      </c>
      <c r="H62" s="132">
        <f t="shared" si="3"/>
        <v>0</v>
      </c>
      <c r="I62" s="132">
        <f t="shared" ref="I62:Z62" si="64">SUMIFS($C:$C,$B:$B,$F62,$D:$D,I$1)</f>
        <v>0</v>
      </c>
      <c r="J62" s="132">
        <f t="shared" si="64"/>
        <v>0</v>
      </c>
      <c r="K62" s="132">
        <f t="shared" si="64"/>
        <v>4000</v>
      </c>
      <c r="L62" s="132">
        <f t="shared" si="64"/>
        <v>0</v>
      </c>
      <c r="M62" s="132">
        <f t="shared" si="64"/>
        <v>0</v>
      </c>
      <c r="N62" s="132">
        <f t="shared" si="64"/>
        <v>0</v>
      </c>
      <c r="O62" s="132">
        <f t="shared" si="64"/>
        <v>0</v>
      </c>
      <c r="P62" s="132">
        <f t="shared" si="64"/>
        <v>0</v>
      </c>
      <c r="Q62" s="132">
        <f t="shared" si="64"/>
        <v>0</v>
      </c>
      <c r="R62" s="132">
        <f t="shared" si="64"/>
        <v>0</v>
      </c>
      <c r="S62" s="132">
        <f t="shared" si="64"/>
        <v>0</v>
      </c>
      <c r="T62" s="132">
        <f t="shared" si="64"/>
        <v>0</v>
      </c>
      <c r="U62" s="132">
        <f t="shared" si="64"/>
        <v>0</v>
      </c>
      <c r="V62" s="132">
        <f t="shared" si="64"/>
        <v>0</v>
      </c>
      <c r="W62" s="132">
        <f t="shared" si="64"/>
        <v>0</v>
      </c>
      <c r="X62" s="132">
        <f t="shared" si="64"/>
        <v>0</v>
      </c>
      <c r="Y62" s="132">
        <f t="shared" si="64"/>
        <v>0</v>
      </c>
      <c r="Z62" s="132">
        <f t="shared" si="64"/>
        <v>0</v>
      </c>
      <c r="AA62" s="133">
        <f t="shared" si="5"/>
        <v>4500</v>
      </c>
    </row>
    <row r="63">
      <c r="A63" s="130" t="s">
        <v>3290</v>
      </c>
      <c r="B63" s="25">
        <v>75240.0</v>
      </c>
      <c r="C63" s="27">
        <v>7500.0</v>
      </c>
      <c r="D63" s="134" t="s">
        <v>25</v>
      </c>
      <c r="F63" s="130">
        <f>IFERROR(__xludf.DUMMYFUNCTION("""COMPUTED_VALUE"""),75071.0)</f>
        <v>75071</v>
      </c>
      <c r="G63" s="132">
        <f t="shared" si="2"/>
        <v>950</v>
      </c>
      <c r="H63" s="132">
        <f t="shared" si="3"/>
        <v>0</v>
      </c>
      <c r="I63" s="132">
        <f t="shared" ref="I63:Z63" si="65">SUMIFS($C:$C,$B:$B,$F63,$D:$D,I$1)</f>
        <v>0</v>
      </c>
      <c r="J63" s="132">
        <f t="shared" si="65"/>
        <v>0</v>
      </c>
      <c r="K63" s="132">
        <f t="shared" si="65"/>
        <v>0</v>
      </c>
      <c r="L63" s="132">
        <f t="shared" si="65"/>
        <v>0</v>
      </c>
      <c r="M63" s="132">
        <f t="shared" si="65"/>
        <v>0</v>
      </c>
      <c r="N63" s="132">
        <f t="shared" si="65"/>
        <v>0</v>
      </c>
      <c r="O63" s="132">
        <f t="shared" si="65"/>
        <v>0</v>
      </c>
      <c r="P63" s="132">
        <f t="shared" si="65"/>
        <v>0</v>
      </c>
      <c r="Q63" s="132">
        <f t="shared" si="65"/>
        <v>0</v>
      </c>
      <c r="R63" s="132">
        <f t="shared" si="65"/>
        <v>0</v>
      </c>
      <c r="S63" s="132">
        <f t="shared" si="65"/>
        <v>0</v>
      </c>
      <c r="T63" s="132">
        <f t="shared" si="65"/>
        <v>0</v>
      </c>
      <c r="U63" s="132">
        <f t="shared" si="65"/>
        <v>0</v>
      </c>
      <c r="V63" s="132">
        <f t="shared" si="65"/>
        <v>0</v>
      </c>
      <c r="W63" s="132">
        <f t="shared" si="65"/>
        <v>0</v>
      </c>
      <c r="X63" s="132">
        <f t="shared" si="65"/>
        <v>0</v>
      </c>
      <c r="Y63" s="132">
        <f t="shared" si="65"/>
        <v>0</v>
      </c>
      <c r="Z63" s="132">
        <f t="shared" si="65"/>
        <v>0</v>
      </c>
      <c r="AA63" s="133">
        <f t="shared" si="5"/>
        <v>950</v>
      </c>
    </row>
    <row r="64">
      <c r="A64" s="130" t="s">
        <v>3291</v>
      </c>
      <c r="B64" s="25">
        <v>75287.0</v>
      </c>
      <c r="C64" s="27">
        <v>1000.0</v>
      </c>
      <c r="D64" s="134" t="s">
        <v>24</v>
      </c>
      <c r="F64" s="130">
        <f>IFERROR(__xludf.DUMMYFUNCTION("""COMPUTED_VALUE"""),78703.0)</f>
        <v>78703</v>
      </c>
      <c r="G64" s="132">
        <f t="shared" si="2"/>
        <v>750</v>
      </c>
      <c r="H64" s="132">
        <f t="shared" si="3"/>
        <v>0</v>
      </c>
      <c r="I64" s="132">
        <f t="shared" ref="I64:Z64" si="66">SUMIFS($C:$C,$B:$B,$F64,$D:$D,I$1)</f>
        <v>0</v>
      </c>
      <c r="J64" s="132">
        <f t="shared" si="66"/>
        <v>0</v>
      </c>
      <c r="K64" s="132">
        <f t="shared" si="66"/>
        <v>3000</v>
      </c>
      <c r="L64" s="132">
        <f t="shared" si="66"/>
        <v>0</v>
      </c>
      <c r="M64" s="132">
        <f t="shared" si="66"/>
        <v>0</v>
      </c>
      <c r="N64" s="132">
        <f t="shared" si="66"/>
        <v>0</v>
      </c>
      <c r="O64" s="132">
        <f t="shared" si="66"/>
        <v>0</v>
      </c>
      <c r="P64" s="132">
        <f t="shared" si="66"/>
        <v>0</v>
      </c>
      <c r="Q64" s="132">
        <f t="shared" si="66"/>
        <v>0</v>
      </c>
      <c r="R64" s="132">
        <f t="shared" si="66"/>
        <v>0</v>
      </c>
      <c r="S64" s="132">
        <f t="shared" si="66"/>
        <v>0</v>
      </c>
      <c r="T64" s="132">
        <f t="shared" si="66"/>
        <v>0</v>
      </c>
      <c r="U64" s="132">
        <f t="shared" si="66"/>
        <v>0</v>
      </c>
      <c r="V64" s="132">
        <f t="shared" si="66"/>
        <v>0</v>
      </c>
      <c r="W64" s="132">
        <f t="shared" si="66"/>
        <v>0</v>
      </c>
      <c r="X64" s="132">
        <f t="shared" si="66"/>
        <v>0</v>
      </c>
      <c r="Y64" s="132">
        <f t="shared" si="66"/>
        <v>0</v>
      </c>
      <c r="Z64" s="132">
        <f t="shared" si="66"/>
        <v>0</v>
      </c>
      <c r="AA64" s="133">
        <f t="shared" si="5"/>
        <v>3750</v>
      </c>
    </row>
    <row r="65">
      <c r="A65" s="130" t="s">
        <v>3292</v>
      </c>
      <c r="B65" s="25">
        <v>75243.0</v>
      </c>
      <c r="C65" s="27">
        <v>950.0</v>
      </c>
      <c r="D65" s="134" t="s">
        <v>21</v>
      </c>
      <c r="F65" s="130">
        <f>IFERROR(__xludf.DUMMYFUNCTION("""COMPUTED_VALUE"""),75211.0)</f>
        <v>75211</v>
      </c>
      <c r="G65" s="132">
        <f t="shared" si="2"/>
        <v>500</v>
      </c>
      <c r="H65" s="132">
        <f t="shared" si="3"/>
        <v>0</v>
      </c>
      <c r="I65" s="132">
        <f t="shared" ref="I65:Z65" si="67">SUMIFS($C:$C,$B:$B,$F65,$D:$D,I$1)</f>
        <v>0</v>
      </c>
      <c r="J65" s="132">
        <f t="shared" si="67"/>
        <v>0</v>
      </c>
      <c r="K65" s="132">
        <f t="shared" si="67"/>
        <v>10</v>
      </c>
      <c r="L65" s="132">
        <f t="shared" si="67"/>
        <v>0</v>
      </c>
      <c r="M65" s="132">
        <f t="shared" si="67"/>
        <v>0</v>
      </c>
      <c r="N65" s="132">
        <f t="shared" si="67"/>
        <v>0</v>
      </c>
      <c r="O65" s="132">
        <f t="shared" si="67"/>
        <v>50</v>
      </c>
      <c r="P65" s="132">
        <f t="shared" si="67"/>
        <v>0</v>
      </c>
      <c r="Q65" s="132">
        <f t="shared" si="67"/>
        <v>0</v>
      </c>
      <c r="R65" s="132">
        <f t="shared" si="67"/>
        <v>0</v>
      </c>
      <c r="S65" s="132">
        <f t="shared" si="67"/>
        <v>0</v>
      </c>
      <c r="T65" s="132">
        <f t="shared" si="67"/>
        <v>0</v>
      </c>
      <c r="U65" s="132">
        <f t="shared" si="67"/>
        <v>0</v>
      </c>
      <c r="V65" s="132">
        <f t="shared" si="67"/>
        <v>0</v>
      </c>
      <c r="W65" s="132">
        <f t="shared" si="67"/>
        <v>0</v>
      </c>
      <c r="X65" s="132">
        <f t="shared" si="67"/>
        <v>0</v>
      </c>
      <c r="Y65" s="132">
        <f t="shared" si="67"/>
        <v>0</v>
      </c>
      <c r="Z65" s="132">
        <f t="shared" si="67"/>
        <v>0</v>
      </c>
      <c r="AA65" s="133">
        <f t="shared" si="5"/>
        <v>560</v>
      </c>
    </row>
    <row r="66">
      <c r="A66" s="130" t="s">
        <v>3293</v>
      </c>
      <c r="B66" s="25">
        <v>77073.0</v>
      </c>
      <c r="C66" s="27">
        <v>1000.0</v>
      </c>
      <c r="D66" s="134" t="s">
        <v>33</v>
      </c>
      <c r="F66" s="130">
        <f>IFERROR(__xludf.DUMMYFUNCTION("""COMPUTED_VALUE"""),75028.0)</f>
        <v>75028</v>
      </c>
      <c r="G66" s="132">
        <f t="shared" si="2"/>
        <v>500</v>
      </c>
      <c r="H66" s="132">
        <f t="shared" si="3"/>
        <v>0</v>
      </c>
      <c r="I66" s="132">
        <f t="shared" ref="I66:Z66" si="68">SUMIFS($C:$C,$B:$B,$F66,$D:$D,I$1)</f>
        <v>0</v>
      </c>
      <c r="J66" s="132">
        <f t="shared" si="68"/>
        <v>0</v>
      </c>
      <c r="K66" s="132">
        <f t="shared" si="68"/>
        <v>500</v>
      </c>
      <c r="L66" s="132">
        <f t="shared" si="68"/>
        <v>0</v>
      </c>
      <c r="M66" s="132">
        <f t="shared" si="68"/>
        <v>0</v>
      </c>
      <c r="N66" s="132">
        <f t="shared" si="68"/>
        <v>0</v>
      </c>
      <c r="O66" s="132">
        <f t="shared" si="68"/>
        <v>0</v>
      </c>
      <c r="P66" s="132">
        <f t="shared" si="68"/>
        <v>0</v>
      </c>
      <c r="Q66" s="132">
        <f t="shared" si="68"/>
        <v>0</v>
      </c>
      <c r="R66" s="132">
        <f t="shared" si="68"/>
        <v>0</v>
      </c>
      <c r="S66" s="132">
        <f t="shared" si="68"/>
        <v>0</v>
      </c>
      <c r="T66" s="132">
        <f t="shared" si="68"/>
        <v>0</v>
      </c>
      <c r="U66" s="132">
        <f t="shared" si="68"/>
        <v>0</v>
      </c>
      <c r="V66" s="132">
        <f t="shared" si="68"/>
        <v>0</v>
      </c>
      <c r="W66" s="132">
        <f t="shared" si="68"/>
        <v>0</v>
      </c>
      <c r="X66" s="132">
        <f t="shared" si="68"/>
        <v>0</v>
      </c>
      <c r="Y66" s="132">
        <f t="shared" si="68"/>
        <v>0</v>
      </c>
      <c r="Z66" s="132">
        <f t="shared" si="68"/>
        <v>0</v>
      </c>
      <c r="AA66" s="133">
        <f t="shared" si="5"/>
        <v>1000</v>
      </c>
    </row>
    <row r="67">
      <c r="A67" s="130" t="s">
        <v>3293</v>
      </c>
      <c r="B67" s="25">
        <v>77073.0</v>
      </c>
      <c r="C67" s="27">
        <v>1000.0</v>
      </c>
      <c r="D67" s="134" t="s">
        <v>22</v>
      </c>
      <c r="F67" s="130">
        <f>IFERROR(__xludf.DUMMYFUNCTION("""COMPUTED_VALUE"""),75115.0)</f>
        <v>75115</v>
      </c>
      <c r="G67" s="132">
        <f t="shared" si="2"/>
        <v>2000</v>
      </c>
      <c r="H67" s="132">
        <f t="shared" si="3"/>
        <v>0</v>
      </c>
      <c r="I67" s="132">
        <f t="shared" ref="I67:Z67" si="69">SUMIFS($C:$C,$B:$B,$F67,$D:$D,I$1)</f>
        <v>1000</v>
      </c>
      <c r="J67" s="132">
        <f t="shared" si="69"/>
        <v>0</v>
      </c>
      <c r="K67" s="132">
        <f t="shared" si="69"/>
        <v>5960</v>
      </c>
      <c r="L67" s="132">
        <f t="shared" si="69"/>
        <v>0</v>
      </c>
      <c r="M67" s="132">
        <f t="shared" si="69"/>
        <v>1000</v>
      </c>
      <c r="N67" s="132">
        <f t="shared" si="69"/>
        <v>0</v>
      </c>
      <c r="O67" s="132">
        <f t="shared" si="69"/>
        <v>0</v>
      </c>
      <c r="P67" s="132">
        <f t="shared" si="69"/>
        <v>0</v>
      </c>
      <c r="Q67" s="132">
        <f t="shared" si="69"/>
        <v>0</v>
      </c>
      <c r="R67" s="132">
        <f t="shared" si="69"/>
        <v>0</v>
      </c>
      <c r="S67" s="132">
        <f t="shared" si="69"/>
        <v>0</v>
      </c>
      <c r="T67" s="132">
        <f t="shared" si="69"/>
        <v>0</v>
      </c>
      <c r="U67" s="132">
        <f t="shared" si="69"/>
        <v>0</v>
      </c>
      <c r="V67" s="132">
        <f t="shared" si="69"/>
        <v>0</v>
      </c>
      <c r="W67" s="132">
        <f t="shared" si="69"/>
        <v>0</v>
      </c>
      <c r="X67" s="132">
        <f t="shared" si="69"/>
        <v>0</v>
      </c>
      <c r="Y67" s="132">
        <f t="shared" si="69"/>
        <v>0</v>
      </c>
      <c r="Z67" s="132">
        <f t="shared" si="69"/>
        <v>0</v>
      </c>
      <c r="AA67" s="133">
        <f t="shared" si="5"/>
        <v>9960</v>
      </c>
    </row>
    <row r="68">
      <c r="A68" s="130" t="s">
        <v>3294</v>
      </c>
      <c r="B68" s="25">
        <v>75360.0</v>
      </c>
      <c r="C68" s="27">
        <v>1000.0</v>
      </c>
      <c r="D68" s="134" t="s">
        <v>34</v>
      </c>
      <c r="F68" s="130">
        <f>IFERROR(__xludf.DUMMYFUNCTION("""COMPUTED_VALUE"""),75067.0)</f>
        <v>75067</v>
      </c>
      <c r="G68" s="132">
        <f t="shared" si="2"/>
        <v>950</v>
      </c>
      <c r="H68" s="132">
        <f t="shared" si="3"/>
        <v>0</v>
      </c>
      <c r="I68" s="132">
        <f t="shared" ref="I68:Z68" si="70">SUMIFS($C:$C,$B:$B,$F68,$D:$D,I$1)</f>
        <v>0</v>
      </c>
      <c r="J68" s="132">
        <f t="shared" si="70"/>
        <v>0</v>
      </c>
      <c r="K68" s="132">
        <f t="shared" si="70"/>
        <v>0</v>
      </c>
      <c r="L68" s="132">
        <f t="shared" si="70"/>
        <v>0</v>
      </c>
      <c r="M68" s="132">
        <f t="shared" si="70"/>
        <v>0</v>
      </c>
      <c r="N68" s="132">
        <f t="shared" si="70"/>
        <v>0</v>
      </c>
      <c r="O68" s="132">
        <f t="shared" si="70"/>
        <v>0</v>
      </c>
      <c r="P68" s="132">
        <f t="shared" si="70"/>
        <v>0</v>
      </c>
      <c r="Q68" s="132">
        <f t="shared" si="70"/>
        <v>0</v>
      </c>
      <c r="R68" s="132">
        <f t="shared" si="70"/>
        <v>0</v>
      </c>
      <c r="S68" s="132">
        <f t="shared" si="70"/>
        <v>0</v>
      </c>
      <c r="T68" s="132">
        <f t="shared" si="70"/>
        <v>1000</v>
      </c>
      <c r="U68" s="132">
        <f t="shared" si="70"/>
        <v>0</v>
      </c>
      <c r="V68" s="132">
        <f t="shared" si="70"/>
        <v>0</v>
      </c>
      <c r="W68" s="132">
        <f t="shared" si="70"/>
        <v>0</v>
      </c>
      <c r="X68" s="132">
        <f t="shared" si="70"/>
        <v>0</v>
      </c>
      <c r="Y68" s="132">
        <f t="shared" si="70"/>
        <v>0</v>
      </c>
      <c r="Z68" s="132">
        <f t="shared" si="70"/>
        <v>0</v>
      </c>
      <c r="AA68" s="133">
        <f t="shared" si="5"/>
        <v>1950</v>
      </c>
    </row>
    <row r="69">
      <c r="A69" s="130" t="s">
        <v>3294</v>
      </c>
      <c r="B69" s="25">
        <v>75360.0</v>
      </c>
      <c r="C69" s="27">
        <v>1000.0</v>
      </c>
      <c r="D69" s="134" t="s">
        <v>29</v>
      </c>
      <c r="F69" s="130">
        <f>IFERROR(__xludf.DUMMYFUNCTION("""COMPUTED_VALUE"""),75702.0)</f>
        <v>75702</v>
      </c>
      <c r="G69" s="132">
        <f t="shared" si="2"/>
        <v>189.7</v>
      </c>
      <c r="H69" s="132">
        <f t="shared" si="3"/>
        <v>0</v>
      </c>
      <c r="I69" s="132">
        <f t="shared" ref="I69:Z69" si="71">SUMIFS($C:$C,$B:$B,$F69,$D:$D,I$1)</f>
        <v>0</v>
      </c>
      <c r="J69" s="132">
        <f t="shared" si="71"/>
        <v>0</v>
      </c>
      <c r="K69" s="132">
        <f t="shared" si="71"/>
        <v>0</v>
      </c>
      <c r="L69" s="132">
        <f t="shared" si="71"/>
        <v>0</v>
      </c>
      <c r="M69" s="132">
        <f t="shared" si="71"/>
        <v>0</v>
      </c>
      <c r="N69" s="132">
        <f t="shared" si="71"/>
        <v>0</v>
      </c>
      <c r="O69" s="132">
        <f t="shared" si="71"/>
        <v>0</v>
      </c>
      <c r="P69" s="132">
        <f t="shared" si="71"/>
        <v>0</v>
      </c>
      <c r="Q69" s="132">
        <f t="shared" si="71"/>
        <v>0</v>
      </c>
      <c r="R69" s="132">
        <f t="shared" si="71"/>
        <v>0</v>
      </c>
      <c r="S69" s="132">
        <f t="shared" si="71"/>
        <v>0</v>
      </c>
      <c r="T69" s="132">
        <f t="shared" si="71"/>
        <v>0</v>
      </c>
      <c r="U69" s="132">
        <f t="shared" si="71"/>
        <v>0</v>
      </c>
      <c r="V69" s="132">
        <f t="shared" si="71"/>
        <v>0</v>
      </c>
      <c r="W69" s="132">
        <f t="shared" si="71"/>
        <v>0</v>
      </c>
      <c r="X69" s="132">
        <f t="shared" si="71"/>
        <v>0</v>
      </c>
      <c r="Y69" s="132">
        <f t="shared" si="71"/>
        <v>0</v>
      </c>
      <c r="Z69" s="132">
        <f t="shared" si="71"/>
        <v>0</v>
      </c>
      <c r="AA69" s="133">
        <f t="shared" si="5"/>
        <v>189.7</v>
      </c>
    </row>
    <row r="70">
      <c r="A70" s="130" t="s">
        <v>3294</v>
      </c>
      <c r="B70" s="25">
        <v>75360.0</v>
      </c>
      <c r="C70" s="27">
        <v>1000.0</v>
      </c>
      <c r="D70" s="134" t="s">
        <v>33</v>
      </c>
      <c r="F70" s="130">
        <f>IFERROR(__xludf.DUMMYFUNCTION("""COMPUTED_VALUE"""),75222.0)</f>
        <v>75222</v>
      </c>
      <c r="G70" s="132">
        <f t="shared" si="2"/>
        <v>700</v>
      </c>
      <c r="H70" s="132">
        <f t="shared" si="3"/>
        <v>0</v>
      </c>
      <c r="I70" s="132">
        <f t="shared" ref="I70:Z70" si="72">SUMIFS($C:$C,$B:$B,$F70,$D:$D,I$1)</f>
        <v>500</v>
      </c>
      <c r="J70" s="132">
        <f t="shared" si="72"/>
        <v>0</v>
      </c>
      <c r="K70" s="132">
        <f t="shared" si="72"/>
        <v>0</v>
      </c>
      <c r="L70" s="132">
        <f t="shared" si="72"/>
        <v>0</v>
      </c>
      <c r="M70" s="132">
        <f t="shared" si="72"/>
        <v>0</v>
      </c>
      <c r="N70" s="132">
        <f t="shared" si="72"/>
        <v>0</v>
      </c>
      <c r="O70" s="132">
        <f t="shared" si="72"/>
        <v>0</v>
      </c>
      <c r="P70" s="132">
        <f t="shared" si="72"/>
        <v>0</v>
      </c>
      <c r="Q70" s="132">
        <f t="shared" si="72"/>
        <v>0</v>
      </c>
      <c r="R70" s="132">
        <f t="shared" si="72"/>
        <v>0</v>
      </c>
      <c r="S70" s="132">
        <f t="shared" si="72"/>
        <v>0</v>
      </c>
      <c r="T70" s="132">
        <f t="shared" si="72"/>
        <v>0</v>
      </c>
      <c r="U70" s="132">
        <f t="shared" si="72"/>
        <v>0</v>
      </c>
      <c r="V70" s="132">
        <f t="shared" si="72"/>
        <v>0</v>
      </c>
      <c r="W70" s="132">
        <f t="shared" si="72"/>
        <v>0</v>
      </c>
      <c r="X70" s="132">
        <f t="shared" si="72"/>
        <v>0</v>
      </c>
      <c r="Y70" s="132">
        <f t="shared" si="72"/>
        <v>0</v>
      </c>
      <c r="Z70" s="132">
        <f t="shared" si="72"/>
        <v>0</v>
      </c>
      <c r="AA70" s="133">
        <f t="shared" si="5"/>
        <v>1200</v>
      </c>
    </row>
    <row r="71">
      <c r="A71" s="130" t="s">
        <v>3285</v>
      </c>
      <c r="B71" s="25">
        <v>75204.0</v>
      </c>
      <c r="C71" s="27">
        <v>1000.0</v>
      </c>
      <c r="D71" s="134" t="s">
        <v>34</v>
      </c>
      <c r="F71" s="130">
        <f>IFERROR(__xludf.DUMMYFUNCTION("""COMPUTED_VALUE"""),76063.0)</f>
        <v>76063</v>
      </c>
      <c r="G71" s="132">
        <f t="shared" si="2"/>
        <v>1000</v>
      </c>
      <c r="H71" s="132">
        <f t="shared" si="3"/>
        <v>0</v>
      </c>
      <c r="I71" s="132">
        <f t="shared" ref="I71:Z71" si="73">SUMIFS($C:$C,$B:$B,$F71,$D:$D,I$1)</f>
        <v>0</v>
      </c>
      <c r="J71" s="132">
        <f t="shared" si="73"/>
        <v>0</v>
      </c>
      <c r="K71" s="132">
        <f t="shared" si="73"/>
        <v>50</v>
      </c>
      <c r="L71" s="132">
        <f t="shared" si="73"/>
        <v>0</v>
      </c>
      <c r="M71" s="132">
        <f t="shared" si="73"/>
        <v>0</v>
      </c>
      <c r="N71" s="132">
        <f t="shared" si="73"/>
        <v>0</v>
      </c>
      <c r="O71" s="132">
        <f t="shared" si="73"/>
        <v>0</v>
      </c>
      <c r="P71" s="132">
        <f t="shared" si="73"/>
        <v>0</v>
      </c>
      <c r="Q71" s="132">
        <f t="shared" si="73"/>
        <v>0</v>
      </c>
      <c r="R71" s="132">
        <f t="shared" si="73"/>
        <v>0</v>
      </c>
      <c r="S71" s="132">
        <f t="shared" si="73"/>
        <v>0</v>
      </c>
      <c r="T71" s="132">
        <f t="shared" si="73"/>
        <v>0</v>
      </c>
      <c r="U71" s="132">
        <f t="shared" si="73"/>
        <v>0</v>
      </c>
      <c r="V71" s="132">
        <f t="shared" si="73"/>
        <v>0</v>
      </c>
      <c r="W71" s="132">
        <f t="shared" si="73"/>
        <v>0</v>
      </c>
      <c r="X71" s="132">
        <f t="shared" si="73"/>
        <v>0</v>
      </c>
      <c r="Y71" s="132">
        <f t="shared" si="73"/>
        <v>0</v>
      </c>
      <c r="Z71" s="132">
        <f t="shared" si="73"/>
        <v>0</v>
      </c>
      <c r="AA71" s="133">
        <f t="shared" si="5"/>
        <v>1050</v>
      </c>
    </row>
    <row r="72">
      <c r="A72" s="130" t="s">
        <v>3285</v>
      </c>
      <c r="B72" s="25">
        <v>75204.0</v>
      </c>
      <c r="C72" s="27">
        <v>1000.0</v>
      </c>
      <c r="D72" s="134" t="s">
        <v>29</v>
      </c>
      <c r="F72" s="130">
        <f>IFERROR(__xludf.DUMMYFUNCTION("""COMPUTED_VALUE"""),75235.0)</f>
        <v>75235</v>
      </c>
      <c r="G72" s="132">
        <f t="shared" si="2"/>
        <v>1550</v>
      </c>
      <c r="H72" s="132">
        <f t="shared" si="3"/>
        <v>1000</v>
      </c>
      <c r="I72" s="132">
        <f t="shared" ref="I72:Z72" si="74">SUMIFS($C:$C,$B:$B,$F72,$D:$D,I$1)</f>
        <v>0</v>
      </c>
      <c r="J72" s="132">
        <f t="shared" si="74"/>
        <v>1500</v>
      </c>
      <c r="K72" s="132">
        <f t="shared" si="74"/>
        <v>2050</v>
      </c>
      <c r="L72" s="132">
        <f t="shared" si="74"/>
        <v>0</v>
      </c>
      <c r="M72" s="132">
        <f t="shared" si="74"/>
        <v>1200</v>
      </c>
      <c r="N72" s="132">
        <f t="shared" si="74"/>
        <v>0</v>
      </c>
      <c r="O72" s="132">
        <f t="shared" si="74"/>
        <v>2000</v>
      </c>
      <c r="P72" s="132">
        <f t="shared" si="74"/>
        <v>1000</v>
      </c>
      <c r="Q72" s="132">
        <f t="shared" si="74"/>
        <v>0</v>
      </c>
      <c r="R72" s="132">
        <f t="shared" si="74"/>
        <v>0</v>
      </c>
      <c r="S72" s="132">
        <f t="shared" si="74"/>
        <v>0</v>
      </c>
      <c r="T72" s="132">
        <f t="shared" si="74"/>
        <v>0</v>
      </c>
      <c r="U72" s="132">
        <f t="shared" si="74"/>
        <v>0</v>
      </c>
      <c r="V72" s="132">
        <f t="shared" si="74"/>
        <v>0</v>
      </c>
      <c r="W72" s="132">
        <f t="shared" si="74"/>
        <v>1000</v>
      </c>
      <c r="X72" s="132">
        <f t="shared" si="74"/>
        <v>0</v>
      </c>
      <c r="Y72" s="132">
        <f t="shared" si="74"/>
        <v>0</v>
      </c>
      <c r="Z72" s="132">
        <f t="shared" si="74"/>
        <v>0</v>
      </c>
      <c r="AA72" s="133">
        <f t="shared" si="5"/>
        <v>11300</v>
      </c>
    </row>
    <row r="73">
      <c r="A73" s="130" t="s">
        <v>3285</v>
      </c>
      <c r="B73" s="25">
        <v>75204.0</v>
      </c>
      <c r="C73" s="27">
        <v>1000.0</v>
      </c>
      <c r="D73" s="134" t="s">
        <v>27</v>
      </c>
      <c r="F73" s="130">
        <f>IFERROR(__xludf.DUMMYFUNCTION("""COMPUTED_VALUE"""),75013.0)</f>
        <v>75013</v>
      </c>
      <c r="G73" s="132">
        <f t="shared" si="2"/>
        <v>1000</v>
      </c>
      <c r="H73" s="132">
        <f t="shared" si="3"/>
        <v>0</v>
      </c>
      <c r="I73" s="132">
        <f t="shared" ref="I73:Z73" si="75">SUMIFS($C:$C,$B:$B,$F73,$D:$D,I$1)</f>
        <v>0</v>
      </c>
      <c r="J73" s="132">
        <f t="shared" si="75"/>
        <v>0</v>
      </c>
      <c r="K73" s="132">
        <f t="shared" si="75"/>
        <v>7750</v>
      </c>
      <c r="L73" s="132">
        <f t="shared" si="75"/>
        <v>0</v>
      </c>
      <c r="M73" s="132">
        <f t="shared" si="75"/>
        <v>0</v>
      </c>
      <c r="N73" s="132">
        <f t="shared" si="75"/>
        <v>0</v>
      </c>
      <c r="O73" s="132">
        <f t="shared" si="75"/>
        <v>0</v>
      </c>
      <c r="P73" s="132">
        <f t="shared" si="75"/>
        <v>0</v>
      </c>
      <c r="Q73" s="132">
        <f t="shared" si="75"/>
        <v>0</v>
      </c>
      <c r="R73" s="132">
        <f t="shared" si="75"/>
        <v>0</v>
      </c>
      <c r="S73" s="132">
        <f t="shared" si="75"/>
        <v>0</v>
      </c>
      <c r="T73" s="132">
        <f t="shared" si="75"/>
        <v>0</v>
      </c>
      <c r="U73" s="132">
        <f t="shared" si="75"/>
        <v>0</v>
      </c>
      <c r="V73" s="132">
        <f t="shared" si="75"/>
        <v>0</v>
      </c>
      <c r="W73" s="132">
        <f t="shared" si="75"/>
        <v>0</v>
      </c>
      <c r="X73" s="132">
        <f t="shared" si="75"/>
        <v>0</v>
      </c>
      <c r="Y73" s="132">
        <f t="shared" si="75"/>
        <v>0</v>
      </c>
      <c r="Z73" s="132">
        <f t="shared" si="75"/>
        <v>0</v>
      </c>
      <c r="AA73" s="133">
        <f t="shared" si="5"/>
        <v>8750</v>
      </c>
    </row>
    <row r="74">
      <c r="A74" s="130" t="s">
        <v>3273</v>
      </c>
      <c r="B74" s="25">
        <v>75205.0</v>
      </c>
      <c r="C74" s="27">
        <v>1000.0</v>
      </c>
      <c r="D74" s="134" t="s">
        <v>34</v>
      </c>
      <c r="F74" s="130">
        <f>IFERROR(__xludf.DUMMYFUNCTION("""COMPUTED_VALUE"""),75215.0)</f>
        <v>75215</v>
      </c>
      <c r="G74" s="132">
        <f t="shared" si="2"/>
        <v>987</v>
      </c>
      <c r="H74" s="132">
        <f t="shared" si="3"/>
        <v>0</v>
      </c>
      <c r="I74" s="132">
        <f t="shared" ref="I74:Z74" si="76">SUMIFS($C:$C,$B:$B,$F74,$D:$D,I$1)</f>
        <v>1500</v>
      </c>
      <c r="J74" s="132">
        <f t="shared" si="76"/>
        <v>200</v>
      </c>
      <c r="K74" s="132">
        <f t="shared" si="76"/>
        <v>1700</v>
      </c>
      <c r="L74" s="132">
        <f t="shared" si="76"/>
        <v>0</v>
      </c>
      <c r="M74" s="132">
        <f t="shared" si="76"/>
        <v>0</v>
      </c>
      <c r="N74" s="132">
        <f t="shared" si="76"/>
        <v>1000</v>
      </c>
      <c r="O74" s="132">
        <f t="shared" si="76"/>
        <v>1000</v>
      </c>
      <c r="P74" s="132">
        <f t="shared" si="76"/>
        <v>0</v>
      </c>
      <c r="Q74" s="132">
        <f t="shared" si="76"/>
        <v>500</v>
      </c>
      <c r="R74" s="132">
        <f t="shared" si="76"/>
        <v>0</v>
      </c>
      <c r="S74" s="132">
        <f t="shared" si="76"/>
        <v>0</v>
      </c>
      <c r="T74" s="132">
        <f t="shared" si="76"/>
        <v>0</v>
      </c>
      <c r="U74" s="132">
        <f t="shared" si="76"/>
        <v>0</v>
      </c>
      <c r="V74" s="132">
        <f t="shared" si="76"/>
        <v>0</v>
      </c>
      <c r="W74" s="132">
        <f t="shared" si="76"/>
        <v>500</v>
      </c>
      <c r="X74" s="132">
        <f t="shared" si="76"/>
        <v>0</v>
      </c>
      <c r="Y74" s="132">
        <f t="shared" si="76"/>
        <v>0</v>
      </c>
      <c r="Z74" s="132">
        <f t="shared" si="76"/>
        <v>0</v>
      </c>
      <c r="AA74" s="133">
        <f t="shared" si="5"/>
        <v>7387</v>
      </c>
    </row>
    <row r="75">
      <c r="A75" s="130" t="s">
        <v>3279</v>
      </c>
      <c r="B75" s="25">
        <v>75225.0</v>
      </c>
      <c r="C75" s="27">
        <v>100.0</v>
      </c>
      <c r="D75" s="134" t="s">
        <v>21</v>
      </c>
      <c r="F75" s="130">
        <f>IFERROR(__xludf.DUMMYFUNCTION("""COMPUTED_VALUE"""),75244.0)</f>
        <v>75244</v>
      </c>
      <c r="G75" s="132">
        <f t="shared" si="2"/>
        <v>2000</v>
      </c>
      <c r="H75" s="132">
        <f t="shared" si="3"/>
        <v>0</v>
      </c>
      <c r="I75" s="132">
        <f t="shared" ref="I75:Z75" si="77">SUMIFS($C:$C,$B:$B,$F75,$D:$D,I$1)</f>
        <v>0</v>
      </c>
      <c r="J75" s="132">
        <f t="shared" si="77"/>
        <v>1000</v>
      </c>
      <c r="K75" s="132">
        <f t="shared" si="77"/>
        <v>600</v>
      </c>
      <c r="L75" s="132">
        <f t="shared" si="77"/>
        <v>0</v>
      </c>
      <c r="M75" s="132">
        <f t="shared" si="77"/>
        <v>0</v>
      </c>
      <c r="N75" s="132">
        <f t="shared" si="77"/>
        <v>0</v>
      </c>
      <c r="O75" s="132">
        <f t="shared" si="77"/>
        <v>0</v>
      </c>
      <c r="P75" s="132">
        <f t="shared" si="77"/>
        <v>1350</v>
      </c>
      <c r="Q75" s="132">
        <f t="shared" si="77"/>
        <v>0</v>
      </c>
      <c r="R75" s="132">
        <f t="shared" si="77"/>
        <v>102</v>
      </c>
      <c r="S75" s="132">
        <f t="shared" si="77"/>
        <v>0</v>
      </c>
      <c r="T75" s="132">
        <f t="shared" si="77"/>
        <v>0</v>
      </c>
      <c r="U75" s="132">
        <f t="shared" si="77"/>
        <v>0</v>
      </c>
      <c r="V75" s="132">
        <f t="shared" si="77"/>
        <v>0</v>
      </c>
      <c r="W75" s="132">
        <f t="shared" si="77"/>
        <v>0</v>
      </c>
      <c r="X75" s="132">
        <f t="shared" si="77"/>
        <v>0</v>
      </c>
      <c r="Y75" s="132">
        <f t="shared" si="77"/>
        <v>0</v>
      </c>
      <c r="Z75" s="132">
        <f t="shared" si="77"/>
        <v>0</v>
      </c>
      <c r="AA75" s="133">
        <f t="shared" si="5"/>
        <v>5052</v>
      </c>
    </row>
    <row r="76">
      <c r="A76" s="130" t="s">
        <v>3275</v>
      </c>
      <c r="B76" s="25">
        <v>75207.0</v>
      </c>
      <c r="C76" s="27">
        <v>1000.0</v>
      </c>
      <c r="D76" s="134" t="s">
        <v>24</v>
      </c>
      <c r="F76" s="130">
        <f>IFERROR(__xludf.DUMMYFUNCTION("""COMPUTED_VALUE"""),75298.0)</f>
        <v>75298</v>
      </c>
      <c r="G76" s="132">
        <f t="shared" si="2"/>
        <v>250</v>
      </c>
      <c r="H76" s="132">
        <f t="shared" si="3"/>
        <v>0</v>
      </c>
      <c r="I76" s="132">
        <f t="shared" ref="I76:Z76" si="78">SUMIFS($C:$C,$B:$B,$F76,$D:$D,I$1)</f>
        <v>0</v>
      </c>
      <c r="J76" s="132">
        <f t="shared" si="78"/>
        <v>0</v>
      </c>
      <c r="K76" s="132">
        <f t="shared" si="78"/>
        <v>0</v>
      </c>
      <c r="L76" s="132">
        <f t="shared" si="78"/>
        <v>0</v>
      </c>
      <c r="M76" s="132">
        <f t="shared" si="78"/>
        <v>0</v>
      </c>
      <c r="N76" s="132">
        <f t="shared" si="78"/>
        <v>0</v>
      </c>
      <c r="O76" s="132">
        <f t="shared" si="78"/>
        <v>0</v>
      </c>
      <c r="P76" s="132">
        <f t="shared" si="78"/>
        <v>0</v>
      </c>
      <c r="Q76" s="132">
        <f t="shared" si="78"/>
        <v>0</v>
      </c>
      <c r="R76" s="132">
        <f t="shared" si="78"/>
        <v>0</v>
      </c>
      <c r="S76" s="132">
        <f t="shared" si="78"/>
        <v>0</v>
      </c>
      <c r="T76" s="132">
        <f t="shared" si="78"/>
        <v>0</v>
      </c>
      <c r="U76" s="132">
        <f t="shared" si="78"/>
        <v>0</v>
      </c>
      <c r="V76" s="132">
        <f t="shared" si="78"/>
        <v>0</v>
      </c>
      <c r="W76" s="132">
        <f t="shared" si="78"/>
        <v>0</v>
      </c>
      <c r="X76" s="132">
        <f t="shared" si="78"/>
        <v>0</v>
      </c>
      <c r="Y76" s="132">
        <f t="shared" si="78"/>
        <v>0</v>
      </c>
      <c r="Z76" s="132">
        <f t="shared" si="78"/>
        <v>0</v>
      </c>
      <c r="AA76" s="133">
        <f t="shared" si="5"/>
        <v>250</v>
      </c>
    </row>
    <row r="77">
      <c r="A77" s="130" t="s">
        <v>3295</v>
      </c>
      <c r="B77" s="25">
        <v>75504.0</v>
      </c>
      <c r="C77" s="27">
        <v>10000.0</v>
      </c>
      <c r="D77" s="134" t="s">
        <v>25</v>
      </c>
      <c r="F77" s="130">
        <f>IFERROR(__xludf.DUMMYFUNCTION("""COMPUTED_VALUE"""),75093.0)</f>
        <v>75093</v>
      </c>
      <c r="G77" s="132">
        <f t="shared" si="2"/>
        <v>3700</v>
      </c>
      <c r="H77" s="132">
        <f t="shared" si="3"/>
        <v>0</v>
      </c>
      <c r="I77" s="132">
        <f t="shared" ref="I77:Z77" si="79">SUMIFS($C:$C,$B:$B,$F77,$D:$D,I$1)</f>
        <v>0</v>
      </c>
      <c r="J77" s="132">
        <f t="shared" si="79"/>
        <v>2500</v>
      </c>
      <c r="K77" s="132">
        <f t="shared" si="79"/>
        <v>0</v>
      </c>
      <c r="L77" s="132">
        <f t="shared" si="79"/>
        <v>0</v>
      </c>
      <c r="M77" s="132">
        <f t="shared" si="79"/>
        <v>0</v>
      </c>
      <c r="N77" s="132">
        <f t="shared" si="79"/>
        <v>5000</v>
      </c>
      <c r="O77" s="132">
        <f t="shared" si="79"/>
        <v>0</v>
      </c>
      <c r="P77" s="132">
        <f t="shared" si="79"/>
        <v>0</v>
      </c>
      <c r="Q77" s="132">
        <f t="shared" si="79"/>
        <v>0</v>
      </c>
      <c r="R77" s="132">
        <f t="shared" si="79"/>
        <v>0</v>
      </c>
      <c r="S77" s="132">
        <f t="shared" si="79"/>
        <v>0</v>
      </c>
      <c r="T77" s="132">
        <f t="shared" si="79"/>
        <v>0</v>
      </c>
      <c r="U77" s="132">
        <f t="shared" si="79"/>
        <v>0</v>
      </c>
      <c r="V77" s="132">
        <f t="shared" si="79"/>
        <v>0</v>
      </c>
      <c r="W77" s="132">
        <f t="shared" si="79"/>
        <v>0</v>
      </c>
      <c r="X77" s="132">
        <f t="shared" si="79"/>
        <v>0</v>
      </c>
      <c r="Y77" s="132">
        <f t="shared" si="79"/>
        <v>0</v>
      </c>
      <c r="Z77" s="132">
        <f t="shared" si="79"/>
        <v>0</v>
      </c>
      <c r="AA77" s="133">
        <f t="shared" si="5"/>
        <v>11200</v>
      </c>
    </row>
    <row r="78">
      <c r="A78" s="130" t="s">
        <v>3296</v>
      </c>
      <c r="B78" s="25">
        <v>75039.0</v>
      </c>
      <c r="C78" s="27">
        <v>50.0</v>
      </c>
      <c r="D78" s="134" t="s">
        <v>24</v>
      </c>
      <c r="F78" s="130">
        <f>IFERROR(__xludf.DUMMYFUNCTION("""COMPUTED_VALUE"""),78768.0)</f>
        <v>78768</v>
      </c>
      <c r="G78" s="132">
        <f t="shared" si="2"/>
        <v>2500</v>
      </c>
      <c r="H78" s="132">
        <f t="shared" si="3"/>
        <v>0</v>
      </c>
      <c r="I78" s="132">
        <f t="shared" ref="I78:Z78" si="80">SUMIFS($C:$C,$B:$B,$F78,$D:$D,I$1)</f>
        <v>0</v>
      </c>
      <c r="J78" s="132">
        <f t="shared" si="80"/>
        <v>2500</v>
      </c>
      <c r="K78" s="132">
        <f t="shared" si="80"/>
        <v>10000</v>
      </c>
      <c r="L78" s="132">
        <f t="shared" si="80"/>
        <v>0</v>
      </c>
      <c r="M78" s="132">
        <f t="shared" si="80"/>
        <v>0</v>
      </c>
      <c r="N78" s="132">
        <f t="shared" si="80"/>
        <v>0</v>
      </c>
      <c r="O78" s="132">
        <f t="shared" si="80"/>
        <v>0</v>
      </c>
      <c r="P78" s="132">
        <f t="shared" si="80"/>
        <v>0</v>
      </c>
      <c r="Q78" s="132">
        <f t="shared" si="80"/>
        <v>0</v>
      </c>
      <c r="R78" s="132">
        <f t="shared" si="80"/>
        <v>0</v>
      </c>
      <c r="S78" s="132">
        <f t="shared" si="80"/>
        <v>0</v>
      </c>
      <c r="T78" s="132">
        <f t="shared" si="80"/>
        <v>0</v>
      </c>
      <c r="U78" s="132">
        <f t="shared" si="80"/>
        <v>0</v>
      </c>
      <c r="V78" s="132">
        <f t="shared" si="80"/>
        <v>0</v>
      </c>
      <c r="W78" s="132">
        <f t="shared" si="80"/>
        <v>0</v>
      </c>
      <c r="X78" s="132">
        <f t="shared" si="80"/>
        <v>0</v>
      </c>
      <c r="Y78" s="132">
        <f t="shared" si="80"/>
        <v>0</v>
      </c>
      <c r="Z78" s="132">
        <f t="shared" si="80"/>
        <v>0</v>
      </c>
      <c r="AA78" s="133">
        <f t="shared" si="5"/>
        <v>15000</v>
      </c>
    </row>
    <row r="79">
      <c r="A79" s="130" t="s">
        <v>3297</v>
      </c>
      <c r="B79" s="25">
        <v>75049.0</v>
      </c>
      <c r="C79" s="27">
        <v>1000.0</v>
      </c>
      <c r="D79" s="134" t="s">
        <v>21</v>
      </c>
      <c r="F79" s="130">
        <f>IFERROR(__xludf.DUMMYFUNCTION("""COMPUTED_VALUE"""),75007.0)</f>
        <v>75007</v>
      </c>
      <c r="G79" s="132">
        <f t="shared" si="2"/>
        <v>0</v>
      </c>
      <c r="H79" s="132">
        <f t="shared" si="3"/>
        <v>0</v>
      </c>
      <c r="I79" s="132">
        <f t="shared" ref="I79:Z79" si="81">SUMIFS($C:$C,$B:$B,$F79,$D:$D,I$1)</f>
        <v>0</v>
      </c>
      <c r="J79" s="132">
        <f t="shared" si="81"/>
        <v>0</v>
      </c>
      <c r="K79" s="132">
        <f t="shared" si="81"/>
        <v>1250</v>
      </c>
      <c r="L79" s="132">
        <f t="shared" si="81"/>
        <v>0</v>
      </c>
      <c r="M79" s="132">
        <f t="shared" si="81"/>
        <v>0</v>
      </c>
      <c r="N79" s="132">
        <f t="shared" si="81"/>
        <v>0</v>
      </c>
      <c r="O79" s="132">
        <f t="shared" si="81"/>
        <v>0</v>
      </c>
      <c r="P79" s="132">
        <f t="shared" si="81"/>
        <v>0</v>
      </c>
      <c r="Q79" s="132">
        <f t="shared" si="81"/>
        <v>0</v>
      </c>
      <c r="R79" s="132">
        <f t="shared" si="81"/>
        <v>0</v>
      </c>
      <c r="S79" s="132">
        <f t="shared" si="81"/>
        <v>0</v>
      </c>
      <c r="T79" s="132">
        <f t="shared" si="81"/>
        <v>0</v>
      </c>
      <c r="U79" s="132">
        <f t="shared" si="81"/>
        <v>0</v>
      </c>
      <c r="V79" s="132">
        <f t="shared" si="81"/>
        <v>0</v>
      </c>
      <c r="W79" s="132">
        <f t="shared" si="81"/>
        <v>0</v>
      </c>
      <c r="X79" s="132">
        <f t="shared" si="81"/>
        <v>0</v>
      </c>
      <c r="Y79" s="132">
        <f t="shared" si="81"/>
        <v>0</v>
      </c>
      <c r="Z79" s="132">
        <f t="shared" si="81"/>
        <v>0</v>
      </c>
      <c r="AA79" s="133">
        <f t="shared" si="5"/>
        <v>1250</v>
      </c>
    </row>
    <row r="80">
      <c r="A80" s="130" t="s">
        <v>3289</v>
      </c>
      <c r="B80" s="25">
        <v>75219.0</v>
      </c>
      <c r="C80" s="27">
        <v>250.0</v>
      </c>
      <c r="D80" s="134" t="s">
        <v>25</v>
      </c>
      <c r="F80" s="130">
        <f>IFERROR(__xludf.DUMMYFUNCTION("""COMPUTED_VALUE"""),75048.0)</f>
        <v>75048</v>
      </c>
      <c r="G80" s="132">
        <f t="shared" si="2"/>
        <v>0</v>
      </c>
      <c r="H80" s="132">
        <f t="shared" si="3"/>
        <v>0</v>
      </c>
      <c r="I80" s="132">
        <f t="shared" ref="I80:Z80" si="82">SUMIFS($C:$C,$B:$B,$F80,$D:$D,I$1)</f>
        <v>0</v>
      </c>
      <c r="J80" s="132">
        <f t="shared" si="82"/>
        <v>0</v>
      </c>
      <c r="K80" s="132">
        <f t="shared" si="82"/>
        <v>1000</v>
      </c>
      <c r="L80" s="132">
        <f t="shared" si="82"/>
        <v>0</v>
      </c>
      <c r="M80" s="132">
        <f t="shared" si="82"/>
        <v>0</v>
      </c>
      <c r="N80" s="132">
        <f t="shared" si="82"/>
        <v>0</v>
      </c>
      <c r="O80" s="132">
        <f t="shared" si="82"/>
        <v>0</v>
      </c>
      <c r="P80" s="132">
        <f t="shared" si="82"/>
        <v>0</v>
      </c>
      <c r="Q80" s="132">
        <f t="shared" si="82"/>
        <v>0</v>
      </c>
      <c r="R80" s="132">
        <f t="shared" si="82"/>
        <v>0</v>
      </c>
      <c r="S80" s="132">
        <f t="shared" si="82"/>
        <v>0</v>
      </c>
      <c r="T80" s="132">
        <f t="shared" si="82"/>
        <v>0</v>
      </c>
      <c r="U80" s="132">
        <f t="shared" si="82"/>
        <v>0</v>
      </c>
      <c r="V80" s="132">
        <f t="shared" si="82"/>
        <v>0</v>
      </c>
      <c r="W80" s="132">
        <f t="shared" si="82"/>
        <v>0</v>
      </c>
      <c r="X80" s="132">
        <f t="shared" si="82"/>
        <v>0</v>
      </c>
      <c r="Y80" s="132">
        <f t="shared" si="82"/>
        <v>0</v>
      </c>
      <c r="Z80" s="132">
        <f t="shared" si="82"/>
        <v>0</v>
      </c>
      <c r="AA80" s="133">
        <f t="shared" si="5"/>
        <v>1000</v>
      </c>
    </row>
    <row r="81">
      <c r="A81" s="130" t="s">
        <v>3298</v>
      </c>
      <c r="B81" s="25">
        <v>78701.0</v>
      </c>
      <c r="C81" s="27">
        <v>5000.0</v>
      </c>
      <c r="D81" s="134" t="s">
        <v>25</v>
      </c>
      <c r="F81" s="130">
        <f>IFERROR(__xludf.DUMMYFUNCTION("""COMPUTED_VALUE"""),94109.0)</f>
        <v>94109</v>
      </c>
      <c r="G81" s="132">
        <f t="shared" si="2"/>
        <v>0</v>
      </c>
      <c r="H81" s="132">
        <f t="shared" si="3"/>
        <v>0</v>
      </c>
      <c r="I81" s="132">
        <f t="shared" ref="I81:Z81" si="83">SUMIFS($C:$C,$B:$B,$F81,$D:$D,I$1)</f>
        <v>0</v>
      </c>
      <c r="J81" s="132">
        <f t="shared" si="83"/>
        <v>0</v>
      </c>
      <c r="K81" s="132">
        <f t="shared" si="83"/>
        <v>100</v>
      </c>
      <c r="L81" s="132">
        <f t="shared" si="83"/>
        <v>0</v>
      </c>
      <c r="M81" s="132">
        <f t="shared" si="83"/>
        <v>0</v>
      </c>
      <c r="N81" s="132">
        <f t="shared" si="83"/>
        <v>0</v>
      </c>
      <c r="O81" s="132">
        <f t="shared" si="83"/>
        <v>0</v>
      </c>
      <c r="P81" s="132">
        <f t="shared" si="83"/>
        <v>0</v>
      </c>
      <c r="Q81" s="132">
        <f t="shared" si="83"/>
        <v>0</v>
      </c>
      <c r="R81" s="132">
        <f t="shared" si="83"/>
        <v>0</v>
      </c>
      <c r="S81" s="132">
        <f t="shared" si="83"/>
        <v>0</v>
      </c>
      <c r="T81" s="132">
        <f t="shared" si="83"/>
        <v>0</v>
      </c>
      <c r="U81" s="132">
        <f t="shared" si="83"/>
        <v>0</v>
      </c>
      <c r="V81" s="132">
        <f t="shared" si="83"/>
        <v>0</v>
      </c>
      <c r="W81" s="132">
        <f t="shared" si="83"/>
        <v>0</v>
      </c>
      <c r="X81" s="132">
        <f t="shared" si="83"/>
        <v>0</v>
      </c>
      <c r="Y81" s="132">
        <f t="shared" si="83"/>
        <v>0</v>
      </c>
      <c r="Z81" s="132">
        <f t="shared" si="83"/>
        <v>0</v>
      </c>
      <c r="AA81" s="133">
        <f t="shared" si="5"/>
        <v>100</v>
      </c>
    </row>
    <row r="82">
      <c r="A82" s="130" t="s">
        <v>3298</v>
      </c>
      <c r="B82" s="25">
        <v>78701.0</v>
      </c>
      <c r="C82" s="27">
        <v>5000.0</v>
      </c>
      <c r="D82" s="134" t="s">
        <v>25</v>
      </c>
      <c r="F82" s="130">
        <f>IFERROR(__xludf.DUMMYFUNCTION("""COMPUTED_VALUE"""),10006.0)</f>
        <v>10006</v>
      </c>
      <c r="G82" s="132">
        <f t="shared" si="2"/>
        <v>0</v>
      </c>
      <c r="H82" s="132">
        <f t="shared" si="3"/>
        <v>0</v>
      </c>
      <c r="I82" s="132">
        <f t="shared" ref="I82:Z82" si="84">SUMIFS($C:$C,$B:$B,$F82,$D:$D,I$1)</f>
        <v>0</v>
      </c>
      <c r="J82" s="132">
        <f t="shared" si="84"/>
        <v>0</v>
      </c>
      <c r="K82" s="132">
        <f t="shared" si="84"/>
        <v>200</v>
      </c>
      <c r="L82" s="132">
        <f t="shared" si="84"/>
        <v>0</v>
      </c>
      <c r="M82" s="132">
        <f t="shared" si="84"/>
        <v>0</v>
      </c>
      <c r="N82" s="132">
        <f t="shared" si="84"/>
        <v>0</v>
      </c>
      <c r="O82" s="132">
        <f t="shared" si="84"/>
        <v>0</v>
      </c>
      <c r="P82" s="132">
        <f t="shared" si="84"/>
        <v>0</v>
      </c>
      <c r="Q82" s="132">
        <f t="shared" si="84"/>
        <v>0</v>
      </c>
      <c r="R82" s="132">
        <f t="shared" si="84"/>
        <v>0</v>
      </c>
      <c r="S82" s="132">
        <f t="shared" si="84"/>
        <v>0</v>
      </c>
      <c r="T82" s="132">
        <f t="shared" si="84"/>
        <v>0</v>
      </c>
      <c r="U82" s="132">
        <f t="shared" si="84"/>
        <v>0</v>
      </c>
      <c r="V82" s="132">
        <f t="shared" si="84"/>
        <v>0</v>
      </c>
      <c r="W82" s="132">
        <f t="shared" si="84"/>
        <v>0</v>
      </c>
      <c r="X82" s="132">
        <f t="shared" si="84"/>
        <v>0</v>
      </c>
      <c r="Y82" s="132">
        <f t="shared" si="84"/>
        <v>0</v>
      </c>
      <c r="Z82" s="132">
        <f t="shared" si="84"/>
        <v>0</v>
      </c>
      <c r="AA82" s="133">
        <f t="shared" si="5"/>
        <v>200</v>
      </c>
    </row>
    <row r="83">
      <c r="A83" s="130" t="s">
        <v>3299</v>
      </c>
      <c r="B83" s="25">
        <v>75070.0</v>
      </c>
      <c r="C83" s="27">
        <v>1000.0</v>
      </c>
      <c r="D83" s="134" t="s">
        <v>21</v>
      </c>
      <c r="F83" s="130">
        <f>IFERROR(__xludf.DUMMYFUNCTION("""COMPUTED_VALUE"""),75081.0)</f>
        <v>75081</v>
      </c>
      <c r="G83" s="132">
        <f t="shared" si="2"/>
        <v>0</v>
      </c>
      <c r="H83" s="132">
        <f t="shared" si="3"/>
        <v>0</v>
      </c>
      <c r="I83" s="132">
        <f t="shared" ref="I83:Z83" si="85">SUMIFS($C:$C,$B:$B,$F83,$D:$D,I$1)</f>
        <v>0</v>
      </c>
      <c r="J83" s="132">
        <f t="shared" si="85"/>
        <v>0</v>
      </c>
      <c r="K83" s="132">
        <f t="shared" si="85"/>
        <v>750</v>
      </c>
      <c r="L83" s="132">
        <f t="shared" si="85"/>
        <v>0</v>
      </c>
      <c r="M83" s="132">
        <f t="shared" si="85"/>
        <v>0</v>
      </c>
      <c r="N83" s="132">
        <f t="shared" si="85"/>
        <v>0</v>
      </c>
      <c r="O83" s="132">
        <f t="shared" si="85"/>
        <v>0</v>
      </c>
      <c r="P83" s="132">
        <f t="shared" si="85"/>
        <v>0</v>
      </c>
      <c r="Q83" s="132">
        <f t="shared" si="85"/>
        <v>0</v>
      </c>
      <c r="R83" s="132">
        <f t="shared" si="85"/>
        <v>0</v>
      </c>
      <c r="S83" s="132">
        <f t="shared" si="85"/>
        <v>0</v>
      </c>
      <c r="T83" s="132">
        <f t="shared" si="85"/>
        <v>0</v>
      </c>
      <c r="U83" s="132">
        <f t="shared" si="85"/>
        <v>0</v>
      </c>
      <c r="V83" s="132">
        <f t="shared" si="85"/>
        <v>0</v>
      </c>
      <c r="W83" s="132">
        <f t="shared" si="85"/>
        <v>0</v>
      </c>
      <c r="X83" s="132">
        <f t="shared" si="85"/>
        <v>0</v>
      </c>
      <c r="Y83" s="132">
        <f t="shared" si="85"/>
        <v>0</v>
      </c>
      <c r="Z83" s="132">
        <f t="shared" si="85"/>
        <v>0</v>
      </c>
      <c r="AA83" s="133">
        <f t="shared" si="5"/>
        <v>750</v>
      </c>
    </row>
    <row r="84">
      <c r="A84" s="130" t="s">
        <v>3299</v>
      </c>
      <c r="B84" s="25">
        <v>75070.0</v>
      </c>
      <c r="C84" s="27">
        <v>1000.0</v>
      </c>
      <c r="D84" s="134" t="s">
        <v>21</v>
      </c>
      <c r="F84" s="130">
        <f>IFERROR(__xludf.DUMMYFUNCTION("""COMPUTED_VALUE"""),75376.0)</f>
        <v>75376</v>
      </c>
      <c r="G84" s="132">
        <f t="shared" si="2"/>
        <v>0</v>
      </c>
      <c r="H84" s="132">
        <f t="shared" si="3"/>
        <v>250</v>
      </c>
      <c r="I84" s="132">
        <f t="shared" ref="I84:Z84" si="86">SUMIFS($C:$C,$B:$B,$F84,$D:$D,I$1)</f>
        <v>250</v>
      </c>
      <c r="J84" s="132">
        <f t="shared" si="86"/>
        <v>250</v>
      </c>
      <c r="K84" s="132">
        <f t="shared" si="86"/>
        <v>1000</v>
      </c>
      <c r="L84" s="132">
        <f t="shared" si="86"/>
        <v>0</v>
      </c>
      <c r="M84" s="132">
        <f t="shared" si="86"/>
        <v>0</v>
      </c>
      <c r="N84" s="132">
        <f t="shared" si="86"/>
        <v>0</v>
      </c>
      <c r="O84" s="132">
        <f t="shared" si="86"/>
        <v>250</v>
      </c>
      <c r="P84" s="132">
        <f t="shared" si="86"/>
        <v>250</v>
      </c>
      <c r="Q84" s="132">
        <f t="shared" si="86"/>
        <v>0</v>
      </c>
      <c r="R84" s="132">
        <f t="shared" si="86"/>
        <v>0</v>
      </c>
      <c r="S84" s="132">
        <f t="shared" si="86"/>
        <v>0</v>
      </c>
      <c r="T84" s="132">
        <f t="shared" si="86"/>
        <v>0</v>
      </c>
      <c r="U84" s="132">
        <f t="shared" si="86"/>
        <v>0</v>
      </c>
      <c r="V84" s="132">
        <f t="shared" si="86"/>
        <v>0</v>
      </c>
      <c r="W84" s="132">
        <f t="shared" si="86"/>
        <v>0</v>
      </c>
      <c r="X84" s="132">
        <f t="shared" si="86"/>
        <v>0</v>
      </c>
      <c r="Y84" s="132">
        <f t="shared" si="86"/>
        <v>0</v>
      </c>
      <c r="Z84" s="132">
        <f t="shared" si="86"/>
        <v>0</v>
      </c>
      <c r="AA84" s="133">
        <f t="shared" si="5"/>
        <v>2250</v>
      </c>
    </row>
    <row r="85">
      <c r="A85" s="130" t="s">
        <v>3282</v>
      </c>
      <c r="B85" s="25">
        <v>75208.0</v>
      </c>
      <c r="C85" s="27">
        <v>100.0</v>
      </c>
      <c r="D85" s="134" t="s">
        <v>21</v>
      </c>
      <c r="F85" s="130">
        <f>IFERROR(__xludf.DUMMYFUNCTION("""COMPUTED_VALUE"""),10119.0)</f>
        <v>10119</v>
      </c>
      <c r="G85" s="132">
        <f t="shared" si="2"/>
        <v>0</v>
      </c>
      <c r="H85" s="132">
        <f t="shared" si="3"/>
        <v>0</v>
      </c>
      <c r="I85" s="132">
        <f t="shared" ref="I85:Z85" si="87">SUMIFS($C:$C,$B:$B,$F85,$D:$D,I$1)</f>
        <v>0</v>
      </c>
      <c r="J85" s="132">
        <f t="shared" si="87"/>
        <v>0</v>
      </c>
      <c r="K85" s="132">
        <f t="shared" si="87"/>
        <v>2000</v>
      </c>
      <c r="L85" s="132">
        <f t="shared" si="87"/>
        <v>0</v>
      </c>
      <c r="M85" s="132">
        <f t="shared" si="87"/>
        <v>0</v>
      </c>
      <c r="N85" s="132">
        <f t="shared" si="87"/>
        <v>0</v>
      </c>
      <c r="O85" s="132">
        <f t="shared" si="87"/>
        <v>0</v>
      </c>
      <c r="P85" s="132">
        <f t="shared" si="87"/>
        <v>0</v>
      </c>
      <c r="Q85" s="132">
        <f t="shared" si="87"/>
        <v>0</v>
      </c>
      <c r="R85" s="132">
        <f t="shared" si="87"/>
        <v>0</v>
      </c>
      <c r="S85" s="132">
        <f t="shared" si="87"/>
        <v>0</v>
      </c>
      <c r="T85" s="132">
        <f t="shared" si="87"/>
        <v>0</v>
      </c>
      <c r="U85" s="132">
        <f t="shared" si="87"/>
        <v>0</v>
      </c>
      <c r="V85" s="132">
        <f t="shared" si="87"/>
        <v>0</v>
      </c>
      <c r="W85" s="132">
        <f t="shared" si="87"/>
        <v>0</v>
      </c>
      <c r="X85" s="132">
        <f t="shared" si="87"/>
        <v>0</v>
      </c>
      <c r="Y85" s="132">
        <f t="shared" si="87"/>
        <v>0</v>
      </c>
      <c r="Z85" s="132">
        <f t="shared" si="87"/>
        <v>0</v>
      </c>
      <c r="AA85" s="133">
        <f t="shared" si="5"/>
        <v>2000</v>
      </c>
    </row>
    <row r="86">
      <c r="A86" s="130" t="s">
        <v>3292</v>
      </c>
      <c r="B86" s="25">
        <v>75243.0</v>
      </c>
      <c r="C86" s="27">
        <v>250.0</v>
      </c>
      <c r="D86" s="134" t="s">
        <v>25</v>
      </c>
      <c r="F86" s="130">
        <f>IFERROR(__xludf.DUMMYFUNCTION("""COMPUTED_VALUE"""),75134.0)</f>
        <v>75134</v>
      </c>
      <c r="G86" s="132">
        <f t="shared" si="2"/>
        <v>0</v>
      </c>
      <c r="H86" s="132">
        <f t="shared" si="3"/>
        <v>0</v>
      </c>
      <c r="I86" s="132">
        <f t="shared" ref="I86:Z86" si="88">SUMIFS($C:$C,$B:$B,$F86,$D:$D,I$1)</f>
        <v>0</v>
      </c>
      <c r="J86" s="132">
        <f t="shared" si="88"/>
        <v>0</v>
      </c>
      <c r="K86" s="132">
        <f t="shared" si="88"/>
        <v>400</v>
      </c>
      <c r="L86" s="132">
        <f t="shared" si="88"/>
        <v>0</v>
      </c>
      <c r="M86" s="132">
        <f t="shared" si="88"/>
        <v>0</v>
      </c>
      <c r="N86" s="132">
        <f t="shared" si="88"/>
        <v>0</v>
      </c>
      <c r="O86" s="132">
        <f t="shared" si="88"/>
        <v>0</v>
      </c>
      <c r="P86" s="132">
        <f t="shared" si="88"/>
        <v>0</v>
      </c>
      <c r="Q86" s="132">
        <f t="shared" si="88"/>
        <v>0</v>
      </c>
      <c r="R86" s="132">
        <f t="shared" si="88"/>
        <v>0</v>
      </c>
      <c r="S86" s="132">
        <f t="shared" si="88"/>
        <v>0</v>
      </c>
      <c r="T86" s="132">
        <f t="shared" si="88"/>
        <v>0</v>
      </c>
      <c r="U86" s="132">
        <f t="shared" si="88"/>
        <v>0</v>
      </c>
      <c r="V86" s="132">
        <f t="shared" si="88"/>
        <v>0</v>
      </c>
      <c r="W86" s="132">
        <f t="shared" si="88"/>
        <v>0</v>
      </c>
      <c r="X86" s="132">
        <f t="shared" si="88"/>
        <v>0</v>
      </c>
      <c r="Y86" s="132">
        <f t="shared" si="88"/>
        <v>0</v>
      </c>
      <c r="Z86" s="132">
        <f t="shared" si="88"/>
        <v>0</v>
      </c>
      <c r="AA86" s="133">
        <f t="shared" si="5"/>
        <v>400</v>
      </c>
    </row>
    <row r="87">
      <c r="A87" s="130" t="s">
        <v>3292</v>
      </c>
      <c r="B87" s="25">
        <v>75243.0</v>
      </c>
      <c r="C87" s="27">
        <v>50.0</v>
      </c>
      <c r="D87" s="134" t="s">
        <v>25</v>
      </c>
      <c r="F87" s="130">
        <f>IFERROR(__xludf.DUMMYFUNCTION("""COMPUTED_VALUE"""),76710.0)</f>
        <v>76710</v>
      </c>
      <c r="G87" s="132">
        <f t="shared" si="2"/>
        <v>0</v>
      </c>
      <c r="H87" s="132">
        <f t="shared" si="3"/>
        <v>0</v>
      </c>
      <c r="I87" s="132">
        <f t="shared" ref="I87:Z87" si="89">SUMIFS($C:$C,$B:$B,$F87,$D:$D,I$1)</f>
        <v>0</v>
      </c>
      <c r="J87" s="132">
        <f t="shared" si="89"/>
        <v>0</v>
      </c>
      <c r="K87" s="132">
        <f t="shared" si="89"/>
        <v>7500</v>
      </c>
      <c r="L87" s="132">
        <f t="shared" si="89"/>
        <v>0</v>
      </c>
      <c r="M87" s="132">
        <f t="shared" si="89"/>
        <v>0</v>
      </c>
      <c r="N87" s="132">
        <f t="shared" si="89"/>
        <v>0</v>
      </c>
      <c r="O87" s="132">
        <f t="shared" si="89"/>
        <v>0</v>
      </c>
      <c r="P87" s="132">
        <f t="shared" si="89"/>
        <v>0</v>
      </c>
      <c r="Q87" s="132">
        <f t="shared" si="89"/>
        <v>0</v>
      </c>
      <c r="R87" s="132">
        <f t="shared" si="89"/>
        <v>0</v>
      </c>
      <c r="S87" s="132">
        <f t="shared" si="89"/>
        <v>0</v>
      </c>
      <c r="T87" s="132">
        <f t="shared" si="89"/>
        <v>0</v>
      </c>
      <c r="U87" s="132">
        <f t="shared" si="89"/>
        <v>0</v>
      </c>
      <c r="V87" s="132">
        <f t="shared" si="89"/>
        <v>0</v>
      </c>
      <c r="W87" s="132">
        <f t="shared" si="89"/>
        <v>0</v>
      </c>
      <c r="X87" s="132">
        <f t="shared" si="89"/>
        <v>0</v>
      </c>
      <c r="Y87" s="132">
        <f t="shared" si="89"/>
        <v>0</v>
      </c>
      <c r="Z87" s="132">
        <f t="shared" si="89"/>
        <v>0</v>
      </c>
      <c r="AA87" s="133">
        <f t="shared" si="5"/>
        <v>7500</v>
      </c>
    </row>
    <row r="88">
      <c r="A88" s="130" t="s">
        <v>3278</v>
      </c>
      <c r="B88" s="25">
        <v>75248.0</v>
      </c>
      <c r="C88" s="27">
        <v>50.0</v>
      </c>
      <c r="D88" s="134" t="s">
        <v>31</v>
      </c>
      <c r="F88" s="130">
        <f>IFERROR(__xludf.DUMMYFUNCTION("""COMPUTED_VALUE"""),74136.0)</f>
        <v>74136</v>
      </c>
      <c r="G88" s="132">
        <f t="shared" si="2"/>
        <v>0</v>
      </c>
      <c r="H88" s="132">
        <f t="shared" si="3"/>
        <v>0</v>
      </c>
      <c r="I88" s="132">
        <f t="shared" ref="I88:Z88" si="90">SUMIFS($C:$C,$B:$B,$F88,$D:$D,I$1)</f>
        <v>0</v>
      </c>
      <c r="J88" s="132">
        <f t="shared" si="90"/>
        <v>0</v>
      </c>
      <c r="K88" s="132">
        <f t="shared" si="90"/>
        <v>250</v>
      </c>
      <c r="L88" s="132">
        <f t="shared" si="90"/>
        <v>0</v>
      </c>
      <c r="M88" s="132">
        <f t="shared" si="90"/>
        <v>0</v>
      </c>
      <c r="N88" s="132">
        <f t="shared" si="90"/>
        <v>0</v>
      </c>
      <c r="O88" s="132">
        <f t="shared" si="90"/>
        <v>0</v>
      </c>
      <c r="P88" s="132">
        <f t="shared" si="90"/>
        <v>0</v>
      </c>
      <c r="Q88" s="132">
        <f t="shared" si="90"/>
        <v>0</v>
      </c>
      <c r="R88" s="132">
        <f t="shared" si="90"/>
        <v>0</v>
      </c>
      <c r="S88" s="132">
        <f t="shared" si="90"/>
        <v>0</v>
      </c>
      <c r="T88" s="132">
        <f t="shared" si="90"/>
        <v>0</v>
      </c>
      <c r="U88" s="132">
        <f t="shared" si="90"/>
        <v>0</v>
      </c>
      <c r="V88" s="132">
        <f t="shared" si="90"/>
        <v>0</v>
      </c>
      <c r="W88" s="132">
        <f t="shared" si="90"/>
        <v>0</v>
      </c>
      <c r="X88" s="132">
        <f t="shared" si="90"/>
        <v>0</v>
      </c>
      <c r="Y88" s="132">
        <f t="shared" si="90"/>
        <v>0</v>
      </c>
      <c r="Z88" s="132">
        <f t="shared" si="90"/>
        <v>0</v>
      </c>
      <c r="AA88" s="133">
        <f t="shared" si="5"/>
        <v>250</v>
      </c>
    </row>
    <row r="89">
      <c r="A89" s="130" t="s">
        <v>3272</v>
      </c>
      <c r="B89" s="25">
        <v>75238.0</v>
      </c>
      <c r="C89" s="27">
        <v>50.0</v>
      </c>
      <c r="D89" s="134" t="s">
        <v>32</v>
      </c>
      <c r="F89" s="130">
        <f>IFERROR(__xludf.DUMMYFUNCTION("""COMPUTED_VALUE"""),75033.0)</f>
        <v>75033</v>
      </c>
      <c r="G89" s="132">
        <f t="shared" si="2"/>
        <v>0</v>
      </c>
      <c r="H89" s="132">
        <f t="shared" si="3"/>
        <v>0</v>
      </c>
      <c r="I89" s="132">
        <f t="shared" ref="I89:Z89" si="91">SUMIFS($C:$C,$B:$B,$F89,$D:$D,I$1)</f>
        <v>0</v>
      </c>
      <c r="J89" s="132">
        <f t="shared" si="91"/>
        <v>0</v>
      </c>
      <c r="K89" s="132">
        <f t="shared" si="91"/>
        <v>250</v>
      </c>
      <c r="L89" s="132">
        <f t="shared" si="91"/>
        <v>0</v>
      </c>
      <c r="M89" s="132">
        <f t="shared" si="91"/>
        <v>0</v>
      </c>
      <c r="N89" s="132">
        <f t="shared" si="91"/>
        <v>0</v>
      </c>
      <c r="O89" s="132">
        <f t="shared" si="91"/>
        <v>0</v>
      </c>
      <c r="P89" s="132">
        <f t="shared" si="91"/>
        <v>0</v>
      </c>
      <c r="Q89" s="132">
        <f t="shared" si="91"/>
        <v>0</v>
      </c>
      <c r="R89" s="132">
        <f t="shared" si="91"/>
        <v>0</v>
      </c>
      <c r="S89" s="132">
        <f t="shared" si="91"/>
        <v>0</v>
      </c>
      <c r="T89" s="132">
        <f t="shared" si="91"/>
        <v>0</v>
      </c>
      <c r="U89" s="132">
        <f t="shared" si="91"/>
        <v>0</v>
      </c>
      <c r="V89" s="132">
        <f t="shared" si="91"/>
        <v>0</v>
      </c>
      <c r="W89" s="132">
        <f t="shared" si="91"/>
        <v>0</v>
      </c>
      <c r="X89" s="132">
        <f t="shared" si="91"/>
        <v>0</v>
      </c>
      <c r="Y89" s="132">
        <f t="shared" si="91"/>
        <v>0</v>
      </c>
      <c r="Z89" s="132">
        <f t="shared" si="91"/>
        <v>0</v>
      </c>
      <c r="AA89" s="133">
        <f t="shared" si="5"/>
        <v>250</v>
      </c>
    </row>
    <row r="90">
      <c r="A90" s="130" t="s">
        <v>3292</v>
      </c>
      <c r="B90" s="25">
        <v>75243.0</v>
      </c>
      <c r="C90" s="27">
        <v>1000.0</v>
      </c>
      <c r="D90" s="134" t="s">
        <v>26</v>
      </c>
      <c r="F90" s="130">
        <f>IFERROR(__xludf.DUMMYFUNCTION("""COMPUTED_VALUE"""),20745.0)</f>
        <v>20745</v>
      </c>
      <c r="G90" s="132">
        <f t="shared" si="2"/>
        <v>0</v>
      </c>
      <c r="H90" s="132">
        <f t="shared" si="3"/>
        <v>0</v>
      </c>
      <c r="I90" s="132">
        <f t="shared" ref="I90:Z90" si="92">SUMIFS($C:$C,$B:$B,$F90,$D:$D,I$1)</f>
        <v>0</v>
      </c>
      <c r="J90" s="132">
        <f t="shared" si="92"/>
        <v>0</v>
      </c>
      <c r="K90" s="132">
        <f t="shared" si="92"/>
        <v>1000</v>
      </c>
      <c r="L90" s="132">
        <f t="shared" si="92"/>
        <v>0</v>
      </c>
      <c r="M90" s="132">
        <f t="shared" si="92"/>
        <v>0</v>
      </c>
      <c r="N90" s="132">
        <f t="shared" si="92"/>
        <v>0</v>
      </c>
      <c r="O90" s="132">
        <f t="shared" si="92"/>
        <v>0</v>
      </c>
      <c r="P90" s="132">
        <f t="shared" si="92"/>
        <v>0</v>
      </c>
      <c r="Q90" s="132">
        <f t="shared" si="92"/>
        <v>0</v>
      </c>
      <c r="R90" s="132">
        <f t="shared" si="92"/>
        <v>0</v>
      </c>
      <c r="S90" s="132">
        <f t="shared" si="92"/>
        <v>0</v>
      </c>
      <c r="T90" s="132">
        <f t="shared" si="92"/>
        <v>0</v>
      </c>
      <c r="U90" s="132">
        <f t="shared" si="92"/>
        <v>0</v>
      </c>
      <c r="V90" s="132">
        <f t="shared" si="92"/>
        <v>0</v>
      </c>
      <c r="W90" s="132">
        <f t="shared" si="92"/>
        <v>0</v>
      </c>
      <c r="X90" s="132">
        <f t="shared" si="92"/>
        <v>0</v>
      </c>
      <c r="Y90" s="132">
        <f t="shared" si="92"/>
        <v>0</v>
      </c>
      <c r="Z90" s="132">
        <f t="shared" si="92"/>
        <v>0</v>
      </c>
      <c r="AA90" s="133">
        <f t="shared" si="5"/>
        <v>1000</v>
      </c>
    </row>
    <row r="91">
      <c r="A91" s="130" t="s">
        <v>3300</v>
      </c>
      <c r="B91" s="25">
        <v>75228.0</v>
      </c>
      <c r="C91" s="27">
        <v>100.0</v>
      </c>
      <c r="D91" s="134" t="s">
        <v>32</v>
      </c>
      <c r="F91" s="130">
        <f>IFERROR(__xludf.DUMMYFUNCTION("""COMPUTED_VALUE"""),75043.0)</f>
        <v>75043</v>
      </c>
      <c r="G91" s="132">
        <f t="shared" si="2"/>
        <v>0</v>
      </c>
      <c r="H91" s="132">
        <f t="shared" si="3"/>
        <v>0</v>
      </c>
      <c r="I91" s="132">
        <f t="shared" ref="I91:Z91" si="93">SUMIFS($C:$C,$B:$B,$F91,$D:$D,I$1)</f>
        <v>0</v>
      </c>
      <c r="J91" s="132">
        <f t="shared" si="93"/>
        <v>0</v>
      </c>
      <c r="K91" s="132">
        <f t="shared" si="93"/>
        <v>5050</v>
      </c>
      <c r="L91" s="132">
        <f t="shared" si="93"/>
        <v>0</v>
      </c>
      <c r="M91" s="132">
        <f t="shared" si="93"/>
        <v>0</v>
      </c>
      <c r="N91" s="132">
        <f t="shared" si="93"/>
        <v>0</v>
      </c>
      <c r="O91" s="132">
        <f t="shared" si="93"/>
        <v>0</v>
      </c>
      <c r="P91" s="132">
        <f t="shared" si="93"/>
        <v>0</v>
      </c>
      <c r="Q91" s="132">
        <f t="shared" si="93"/>
        <v>0</v>
      </c>
      <c r="R91" s="132">
        <f t="shared" si="93"/>
        <v>0</v>
      </c>
      <c r="S91" s="132">
        <f t="shared" si="93"/>
        <v>0</v>
      </c>
      <c r="T91" s="132">
        <f t="shared" si="93"/>
        <v>0</v>
      </c>
      <c r="U91" s="132">
        <f t="shared" si="93"/>
        <v>0</v>
      </c>
      <c r="V91" s="132">
        <f t="shared" si="93"/>
        <v>0</v>
      </c>
      <c r="W91" s="132">
        <f t="shared" si="93"/>
        <v>0</v>
      </c>
      <c r="X91" s="132">
        <f t="shared" si="93"/>
        <v>0</v>
      </c>
      <c r="Y91" s="132">
        <f t="shared" si="93"/>
        <v>0</v>
      </c>
      <c r="Z91" s="132">
        <f t="shared" si="93"/>
        <v>0</v>
      </c>
      <c r="AA91" s="133">
        <f t="shared" si="5"/>
        <v>5050</v>
      </c>
    </row>
    <row r="92">
      <c r="A92" s="130" t="s">
        <v>3273</v>
      </c>
      <c r="B92" s="25">
        <v>75205.0</v>
      </c>
      <c r="C92" s="27">
        <v>1000.0</v>
      </c>
      <c r="D92" s="134" t="s">
        <v>25</v>
      </c>
      <c r="F92" s="130">
        <f>IFERROR(__xludf.DUMMYFUNCTION("""COMPUTED_VALUE"""),75038.0)</f>
        <v>75038</v>
      </c>
      <c r="G92" s="132">
        <f t="shared" si="2"/>
        <v>0</v>
      </c>
      <c r="H92" s="132">
        <f t="shared" si="3"/>
        <v>0</v>
      </c>
      <c r="I92" s="132">
        <f t="shared" ref="I92:Z92" si="94">SUMIFS($C:$C,$B:$B,$F92,$D:$D,I$1)</f>
        <v>0</v>
      </c>
      <c r="J92" s="132">
        <f t="shared" si="94"/>
        <v>350</v>
      </c>
      <c r="K92" s="132">
        <f t="shared" si="94"/>
        <v>3000</v>
      </c>
      <c r="L92" s="132">
        <f t="shared" si="94"/>
        <v>0</v>
      </c>
      <c r="M92" s="132">
        <f t="shared" si="94"/>
        <v>0</v>
      </c>
      <c r="N92" s="132">
        <f t="shared" si="94"/>
        <v>0</v>
      </c>
      <c r="O92" s="132">
        <f t="shared" si="94"/>
        <v>1000</v>
      </c>
      <c r="P92" s="132">
        <f t="shared" si="94"/>
        <v>100</v>
      </c>
      <c r="Q92" s="132">
        <f t="shared" si="94"/>
        <v>0</v>
      </c>
      <c r="R92" s="132">
        <f t="shared" si="94"/>
        <v>0</v>
      </c>
      <c r="S92" s="132">
        <f t="shared" si="94"/>
        <v>0</v>
      </c>
      <c r="T92" s="132">
        <f t="shared" si="94"/>
        <v>0</v>
      </c>
      <c r="U92" s="132">
        <f t="shared" si="94"/>
        <v>0</v>
      </c>
      <c r="V92" s="132">
        <f t="shared" si="94"/>
        <v>0</v>
      </c>
      <c r="W92" s="132">
        <f t="shared" si="94"/>
        <v>0</v>
      </c>
      <c r="X92" s="132">
        <f t="shared" si="94"/>
        <v>0</v>
      </c>
      <c r="Y92" s="132">
        <f t="shared" si="94"/>
        <v>0</v>
      </c>
      <c r="Z92" s="132">
        <f t="shared" si="94"/>
        <v>0</v>
      </c>
      <c r="AA92" s="133">
        <f t="shared" si="5"/>
        <v>4450</v>
      </c>
    </row>
    <row r="93">
      <c r="A93" s="130" t="s">
        <v>3273</v>
      </c>
      <c r="B93" s="25">
        <v>75205.0</v>
      </c>
      <c r="C93" s="27">
        <v>2500.0</v>
      </c>
      <c r="D93" s="134" t="s">
        <v>25</v>
      </c>
      <c r="F93" s="130">
        <f>IFERROR(__xludf.DUMMYFUNCTION("""COMPUTED_VALUE"""),75069.0)</f>
        <v>75069</v>
      </c>
      <c r="G93" s="132">
        <f t="shared" si="2"/>
        <v>0</v>
      </c>
      <c r="H93" s="132">
        <f t="shared" si="3"/>
        <v>0</v>
      </c>
      <c r="I93" s="132">
        <f t="shared" ref="I93:Z93" si="95">SUMIFS($C:$C,$B:$B,$F93,$D:$D,I$1)</f>
        <v>0</v>
      </c>
      <c r="J93" s="132">
        <f t="shared" si="95"/>
        <v>0</v>
      </c>
      <c r="K93" s="132">
        <f t="shared" si="95"/>
        <v>250</v>
      </c>
      <c r="L93" s="132">
        <f t="shared" si="95"/>
        <v>0</v>
      </c>
      <c r="M93" s="132">
        <f t="shared" si="95"/>
        <v>0</v>
      </c>
      <c r="N93" s="132">
        <f t="shared" si="95"/>
        <v>0</v>
      </c>
      <c r="O93" s="132">
        <f t="shared" si="95"/>
        <v>0</v>
      </c>
      <c r="P93" s="132">
        <f t="shared" si="95"/>
        <v>0</v>
      </c>
      <c r="Q93" s="132">
        <f t="shared" si="95"/>
        <v>0</v>
      </c>
      <c r="R93" s="132">
        <f t="shared" si="95"/>
        <v>0</v>
      </c>
      <c r="S93" s="132">
        <f t="shared" si="95"/>
        <v>0</v>
      </c>
      <c r="T93" s="132">
        <f t="shared" si="95"/>
        <v>0</v>
      </c>
      <c r="U93" s="132">
        <f t="shared" si="95"/>
        <v>0</v>
      </c>
      <c r="V93" s="132">
        <f t="shared" si="95"/>
        <v>0</v>
      </c>
      <c r="W93" s="132">
        <f t="shared" si="95"/>
        <v>0</v>
      </c>
      <c r="X93" s="132">
        <f t="shared" si="95"/>
        <v>0</v>
      </c>
      <c r="Y93" s="132">
        <f t="shared" si="95"/>
        <v>0</v>
      </c>
      <c r="Z93" s="132">
        <f t="shared" si="95"/>
        <v>0</v>
      </c>
      <c r="AA93" s="133">
        <f t="shared" si="5"/>
        <v>250</v>
      </c>
    </row>
    <row r="94">
      <c r="A94" s="130" t="s">
        <v>3301</v>
      </c>
      <c r="B94" s="25">
        <v>75220.0</v>
      </c>
      <c r="C94" s="27">
        <v>500.0</v>
      </c>
      <c r="D94" s="134" t="s">
        <v>25</v>
      </c>
      <c r="F94" s="130">
        <f>IFERROR(__xludf.DUMMYFUNCTION("""COMPUTED_VALUE"""),75034.0)</f>
        <v>75034</v>
      </c>
      <c r="G94" s="132">
        <f t="shared" si="2"/>
        <v>0</v>
      </c>
      <c r="H94" s="132">
        <f t="shared" si="3"/>
        <v>0</v>
      </c>
      <c r="I94" s="132">
        <f t="shared" ref="I94:Z94" si="96">SUMIFS($C:$C,$B:$B,$F94,$D:$D,I$1)</f>
        <v>0</v>
      </c>
      <c r="J94" s="132">
        <f t="shared" si="96"/>
        <v>0</v>
      </c>
      <c r="K94" s="132">
        <f t="shared" si="96"/>
        <v>2500</v>
      </c>
      <c r="L94" s="132">
        <f t="shared" si="96"/>
        <v>0</v>
      </c>
      <c r="M94" s="132">
        <f t="shared" si="96"/>
        <v>0</v>
      </c>
      <c r="N94" s="132">
        <f t="shared" si="96"/>
        <v>0</v>
      </c>
      <c r="O94" s="132">
        <f t="shared" si="96"/>
        <v>0</v>
      </c>
      <c r="P94" s="132">
        <f t="shared" si="96"/>
        <v>0</v>
      </c>
      <c r="Q94" s="132">
        <f t="shared" si="96"/>
        <v>0</v>
      </c>
      <c r="R94" s="132">
        <f t="shared" si="96"/>
        <v>0</v>
      </c>
      <c r="S94" s="132">
        <f t="shared" si="96"/>
        <v>0</v>
      </c>
      <c r="T94" s="132">
        <f t="shared" si="96"/>
        <v>0</v>
      </c>
      <c r="U94" s="132">
        <f t="shared" si="96"/>
        <v>0</v>
      </c>
      <c r="V94" s="132">
        <f t="shared" si="96"/>
        <v>0</v>
      </c>
      <c r="W94" s="132">
        <f t="shared" si="96"/>
        <v>0</v>
      </c>
      <c r="X94" s="132">
        <f t="shared" si="96"/>
        <v>0</v>
      </c>
      <c r="Y94" s="132">
        <f t="shared" si="96"/>
        <v>0</v>
      </c>
      <c r="Z94" s="132">
        <f t="shared" si="96"/>
        <v>0</v>
      </c>
      <c r="AA94" s="133">
        <f t="shared" si="5"/>
        <v>2500</v>
      </c>
    </row>
    <row r="95">
      <c r="A95" s="130" t="s">
        <v>3272</v>
      </c>
      <c r="B95" s="25">
        <v>75238.0</v>
      </c>
      <c r="C95" s="27">
        <v>100.0</v>
      </c>
      <c r="D95" s="134" t="s">
        <v>32</v>
      </c>
      <c r="F95" s="130">
        <f>IFERROR(__xludf.DUMMYFUNCTION("""COMPUTED_VALUE"""),78610.0)</f>
        <v>78610</v>
      </c>
      <c r="G95" s="132">
        <f t="shared" si="2"/>
        <v>0</v>
      </c>
      <c r="H95" s="132">
        <f t="shared" si="3"/>
        <v>0</v>
      </c>
      <c r="I95" s="132">
        <f t="shared" ref="I95:Z95" si="97">SUMIFS($C:$C,$B:$B,$F95,$D:$D,I$1)</f>
        <v>0</v>
      </c>
      <c r="J95" s="132">
        <f t="shared" si="97"/>
        <v>250</v>
      </c>
      <c r="K95" s="132">
        <f t="shared" si="97"/>
        <v>1800</v>
      </c>
      <c r="L95" s="132">
        <f t="shared" si="97"/>
        <v>0</v>
      </c>
      <c r="M95" s="132">
        <f t="shared" si="97"/>
        <v>0</v>
      </c>
      <c r="N95" s="132">
        <f t="shared" si="97"/>
        <v>0</v>
      </c>
      <c r="O95" s="132">
        <f t="shared" si="97"/>
        <v>0</v>
      </c>
      <c r="P95" s="132">
        <f t="shared" si="97"/>
        <v>0</v>
      </c>
      <c r="Q95" s="132">
        <f t="shared" si="97"/>
        <v>0</v>
      </c>
      <c r="R95" s="132">
        <f t="shared" si="97"/>
        <v>0</v>
      </c>
      <c r="S95" s="132">
        <f t="shared" si="97"/>
        <v>0</v>
      </c>
      <c r="T95" s="132">
        <f t="shared" si="97"/>
        <v>0</v>
      </c>
      <c r="U95" s="132">
        <f t="shared" si="97"/>
        <v>0</v>
      </c>
      <c r="V95" s="132">
        <f t="shared" si="97"/>
        <v>0</v>
      </c>
      <c r="W95" s="132">
        <f t="shared" si="97"/>
        <v>0</v>
      </c>
      <c r="X95" s="132">
        <f t="shared" si="97"/>
        <v>0</v>
      </c>
      <c r="Y95" s="132">
        <f t="shared" si="97"/>
        <v>0</v>
      </c>
      <c r="Z95" s="132">
        <f t="shared" si="97"/>
        <v>0</v>
      </c>
      <c r="AA95" s="133">
        <f t="shared" si="5"/>
        <v>2050</v>
      </c>
    </row>
    <row r="96">
      <c r="A96" s="130" t="s">
        <v>3272</v>
      </c>
      <c r="B96" s="25">
        <v>75238.0</v>
      </c>
      <c r="C96" s="27">
        <v>250.0</v>
      </c>
      <c r="D96" s="134" t="s">
        <v>26</v>
      </c>
      <c r="F96" s="130">
        <f>IFERROR(__xludf.DUMMYFUNCTION("""COMPUTED_VALUE"""),85248.0)</f>
        <v>85248</v>
      </c>
      <c r="G96" s="132">
        <f t="shared" si="2"/>
        <v>0</v>
      </c>
      <c r="H96" s="132">
        <f t="shared" si="3"/>
        <v>0</v>
      </c>
      <c r="I96" s="132">
        <f t="shared" ref="I96:Z96" si="98">SUMIFS($C:$C,$B:$B,$F96,$D:$D,I$1)</f>
        <v>0</v>
      </c>
      <c r="J96" s="132">
        <f t="shared" si="98"/>
        <v>0</v>
      </c>
      <c r="K96" s="132">
        <f t="shared" si="98"/>
        <v>500</v>
      </c>
      <c r="L96" s="132">
        <f t="shared" si="98"/>
        <v>0</v>
      </c>
      <c r="M96" s="132">
        <f t="shared" si="98"/>
        <v>0</v>
      </c>
      <c r="N96" s="132">
        <f t="shared" si="98"/>
        <v>0</v>
      </c>
      <c r="O96" s="132">
        <f t="shared" si="98"/>
        <v>0</v>
      </c>
      <c r="P96" s="132">
        <f t="shared" si="98"/>
        <v>0</v>
      </c>
      <c r="Q96" s="132">
        <f t="shared" si="98"/>
        <v>0</v>
      </c>
      <c r="R96" s="132">
        <f t="shared" si="98"/>
        <v>0</v>
      </c>
      <c r="S96" s="132">
        <f t="shared" si="98"/>
        <v>0</v>
      </c>
      <c r="T96" s="132">
        <f t="shared" si="98"/>
        <v>0</v>
      </c>
      <c r="U96" s="132">
        <f t="shared" si="98"/>
        <v>0</v>
      </c>
      <c r="V96" s="132">
        <f t="shared" si="98"/>
        <v>0</v>
      </c>
      <c r="W96" s="132">
        <f t="shared" si="98"/>
        <v>0</v>
      </c>
      <c r="X96" s="132">
        <f t="shared" si="98"/>
        <v>0</v>
      </c>
      <c r="Y96" s="132">
        <f t="shared" si="98"/>
        <v>0</v>
      </c>
      <c r="Z96" s="132">
        <f t="shared" si="98"/>
        <v>0</v>
      </c>
      <c r="AA96" s="133">
        <f t="shared" si="5"/>
        <v>500</v>
      </c>
    </row>
    <row r="97">
      <c r="A97" s="130" t="s">
        <v>3302</v>
      </c>
      <c r="B97" s="25">
        <v>75226.0</v>
      </c>
      <c r="C97" s="27">
        <v>500.0</v>
      </c>
      <c r="D97" s="134" t="s">
        <v>21</v>
      </c>
      <c r="F97" s="130">
        <f>IFERROR(__xludf.DUMMYFUNCTION("""COMPUTED_VALUE"""),75180.0)</f>
        <v>75180</v>
      </c>
      <c r="G97" s="132">
        <f t="shared" si="2"/>
        <v>0</v>
      </c>
      <c r="H97" s="132">
        <f t="shared" si="3"/>
        <v>0</v>
      </c>
      <c r="I97" s="132">
        <f t="shared" ref="I97:Z97" si="99">SUMIFS($C:$C,$B:$B,$F97,$D:$D,I$1)</f>
        <v>0</v>
      </c>
      <c r="J97" s="132">
        <f t="shared" si="99"/>
        <v>0</v>
      </c>
      <c r="K97" s="132">
        <f t="shared" si="99"/>
        <v>50</v>
      </c>
      <c r="L97" s="132">
        <f t="shared" si="99"/>
        <v>0</v>
      </c>
      <c r="M97" s="132">
        <f t="shared" si="99"/>
        <v>0</v>
      </c>
      <c r="N97" s="132">
        <f t="shared" si="99"/>
        <v>0</v>
      </c>
      <c r="O97" s="132">
        <f t="shared" si="99"/>
        <v>0</v>
      </c>
      <c r="P97" s="132">
        <f t="shared" si="99"/>
        <v>0</v>
      </c>
      <c r="Q97" s="132">
        <f t="shared" si="99"/>
        <v>0</v>
      </c>
      <c r="R97" s="132">
        <f t="shared" si="99"/>
        <v>0</v>
      </c>
      <c r="S97" s="132">
        <f t="shared" si="99"/>
        <v>0</v>
      </c>
      <c r="T97" s="132">
        <f t="shared" si="99"/>
        <v>0</v>
      </c>
      <c r="U97" s="132">
        <f t="shared" si="99"/>
        <v>0</v>
      </c>
      <c r="V97" s="132">
        <f t="shared" si="99"/>
        <v>0</v>
      </c>
      <c r="W97" s="132">
        <f t="shared" si="99"/>
        <v>0</v>
      </c>
      <c r="X97" s="132">
        <f t="shared" si="99"/>
        <v>0</v>
      </c>
      <c r="Y97" s="132">
        <f t="shared" si="99"/>
        <v>0</v>
      </c>
      <c r="Z97" s="132">
        <f t="shared" si="99"/>
        <v>0</v>
      </c>
      <c r="AA97" s="133">
        <f t="shared" si="5"/>
        <v>50</v>
      </c>
    </row>
    <row r="98">
      <c r="A98" s="130" t="s">
        <v>3302</v>
      </c>
      <c r="B98" s="25">
        <v>75226.0</v>
      </c>
      <c r="C98" s="27">
        <v>500.0</v>
      </c>
      <c r="D98" s="134" t="s">
        <v>24</v>
      </c>
      <c r="F98" s="130">
        <f>IFERROR(__xludf.DUMMYFUNCTION("""COMPUTED_VALUE"""),75054.0)</f>
        <v>75054</v>
      </c>
      <c r="G98" s="132">
        <f t="shared" si="2"/>
        <v>0</v>
      </c>
      <c r="H98" s="132">
        <f t="shared" si="3"/>
        <v>0</v>
      </c>
      <c r="I98" s="132">
        <f t="shared" ref="I98:Z98" si="100">SUMIFS($C:$C,$B:$B,$F98,$D:$D,I$1)</f>
        <v>0</v>
      </c>
      <c r="J98" s="132">
        <f t="shared" si="100"/>
        <v>0</v>
      </c>
      <c r="K98" s="132">
        <f t="shared" si="100"/>
        <v>250</v>
      </c>
      <c r="L98" s="132">
        <f t="shared" si="100"/>
        <v>0</v>
      </c>
      <c r="M98" s="132">
        <f t="shared" si="100"/>
        <v>0</v>
      </c>
      <c r="N98" s="132">
        <f t="shared" si="100"/>
        <v>0</v>
      </c>
      <c r="O98" s="132">
        <f t="shared" si="100"/>
        <v>0</v>
      </c>
      <c r="P98" s="132">
        <f t="shared" si="100"/>
        <v>0</v>
      </c>
      <c r="Q98" s="132">
        <f t="shared" si="100"/>
        <v>0</v>
      </c>
      <c r="R98" s="132">
        <f t="shared" si="100"/>
        <v>0</v>
      </c>
      <c r="S98" s="132">
        <f t="shared" si="100"/>
        <v>0</v>
      </c>
      <c r="T98" s="132">
        <f t="shared" si="100"/>
        <v>0</v>
      </c>
      <c r="U98" s="132">
        <f t="shared" si="100"/>
        <v>0</v>
      </c>
      <c r="V98" s="132">
        <f t="shared" si="100"/>
        <v>0</v>
      </c>
      <c r="W98" s="132">
        <f t="shared" si="100"/>
        <v>0</v>
      </c>
      <c r="X98" s="132">
        <f t="shared" si="100"/>
        <v>0</v>
      </c>
      <c r="Y98" s="132">
        <f t="shared" si="100"/>
        <v>0</v>
      </c>
      <c r="Z98" s="132">
        <f t="shared" si="100"/>
        <v>0</v>
      </c>
      <c r="AA98" s="133">
        <f t="shared" si="5"/>
        <v>250</v>
      </c>
    </row>
    <row r="99">
      <c r="A99" s="130" t="s">
        <v>3273</v>
      </c>
      <c r="B99" s="25">
        <v>75205.0</v>
      </c>
      <c r="C99" s="27">
        <v>950.0</v>
      </c>
      <c r="D99" s="134" t="s">
        <v>21</v>
      </c>
      <c r="F99" s="130">
        <f>IFERROR(__xludf.DUMMYFUNCTION("""COMPUTED_VALUE"""),75236.0)</f>
        <v>75236</v>
      </c>
      <c r="G99" s="132">
        <f t="shared" si="2"/>
        <v>0</v>
      </c>
      <c r="H99" s="132">
        <f t="shared" si="3"/>
        <v>0</v>
      </c>
      <c r="I99" s="132">
        <f t="shared" ref="I99:Z99" si="101">SUMIFS($C:$C,$B:$B,$F99,$D:$D,I$1)</f>
        <v>0</v>
      </c>
      <c r="J99" s="132">
        <f t="shared" si="101"/>
        <v>0</v>
      </c>
      <c r="K99" s="132">
        <f t="shared" si="101"/>
        <v>5350</v>
      </c>
      <c r="L99" s="132">
        <f t="shared" si="101"/>
        <v>0</v>
      </c>
      <c r="M99" s="132">
        <f t="shared" si="101"/>
        <v>0</v>
      </c>
      <c r="N99" s="132">
        <f t="shared" si="101"/>
        <v>0</v>
      </c>
      <c r="O99" s="132">
        <f t="shared" si="101"/>
        <v>0</v>
      </c>
      <c r="P99" s="132">
        <f t="shared" si="101"/>
        <v>0</v>
      </c>
      <c r="Q99" s="132">
        <f t="shared" si="101"/>
        <v>0</v>
      </c>
      <c r="R99" s="132">
        <f t="shared" si="101"/>
        <v>0</v>
      </c>
      <c r="S99" s="132">
        <f t="shared" si="101"/>
        <v>0</v>
      </c>
      <c r="T99" s="132">
        <f t="shared" si="101"/>
        <v>0</v>
      </c>
      <c r="U99" s="132">
        <f t="shared" si="101"/>
        <v>0</v>
      </c>
      <c r="V99" s="132">
        <f t="shared" si="101"/>
        <v>0</v>
      </c>
      <c r="W99" s="132">
        <f t="shared" si="101"/>
        <v>0</v>
      </c>
      <c r="X99" s="132">
        <f t="shared" si="101"/>
        <v>0</v>
      </c>
      <c r="Y99" s="132">
        <f t="shared" si="101"/>
        <v>0</v>
      </c>
      <c r="Z99" s="132">
        <f t="shared" si="101"/>
        <v>0</v>
      </c>
      <c r="AA99" s="133">
        <f t="shared" si="5"/>
        <v>5350</v>
      </c>
    </row>
    <row r="100">
      <c r="A100" s="130" t="s">
        <v>3303</v>
      </c>
      <c r="B100" s="25">
        <v>75035.0</v>
      </c>
      <c r="C100" s="27">
        <v>50.0</v>
      </c>
      <c r="D100" s="134" t="s">
        <v>23</v>
      </c>
      <c r="F100" s="130">
        <f>IFERROR(__xludf.DUMMYFUNCTION("""COMPUTED_VALUE"""),75237.0)</f>
        <v>75237</v>
      </c>
      <c r="G100" s="132">
        <f t="shared" si="2"/>
        <v>0</v>
      </c>
      <c r="H100" s="132">
        <f t="shared" si="3"/>
        <v>1000</v>
      </c>
      <c r="I100" s="132">
        <f t="shared" ref="I100:Z100" si="102">SUMIFS($C:$C,$B:$B,$F100,$D:$D,I$1)</f>
        <v>0</v>
      </c>
      <c r="J100" s="132">
        <f t="shared" si="102"/>
        <v>0</v>
      </c>
      <c r="K100" s="132">
        <f t="shared" si="102"/>
        <v>2160</v>
      </c>
      <c r="L100" s="132">
        <f t="shared" si="102"/>
        <v>0</v>
      </c>
      <c r="M100" s="132">
        <f t="shared" si="102"/>
        <v>0</v>
      </c>
      <c r="N100" s="132">
        <f t="shared" si="102"/>
        <v>0</v>
      </c>
      <c r="O100" s="132">
        <f t="shared" si="102"/>
        <v>500</v>
      </c>
      <c r="P100" s="132">
        <f t="shared" si="102"/>
        <v>0</v>
      </c>
      <c r="Q100" s="132">
        <f t="shared" si="102"/>
        <v>0</v>
      </c>
      <c r="R100" s="132">
        <f t="shared" si="102"/>
        <v>0</v>
      </c>
      <c r="S100" s="132">
        <f t="shared" si="102"/>
        <v>0</v>
      </c>
      <c r="T100" s="132">
        <f t="shared" si="102"/>
        <v>0</v>
      </c>
      <c r="U100" s="132">
        <f t="shared" si="102"/>
        <v>0</v>
      </c>
      <c r="V100" s="132">
        <f t="shared" si="102"/>
        <v>0</v>
      </c>
      <c r="W100" s="132">
        <f t="shared" si="102"/>
        <v>0</v>
      </c>
      <c r="X100" s="132">
        <f t="shared" si="102"/>
        <v>0</v>
      </c>
      <c r="Y100" s="132">
        <f t="shared" si="102"/>
        <v>0</v>
      </c>
      <c r="Z100" s="132">
        <f t="shared" si="102"/>
        <v>0</v>
      </c>
      <c r="AA100" s="133">
        <f t="shared" si="5"/>
        <v>3660</v>
      </c>
    </row>
    <row r="101">
      <c r="A101" s="130" t="s">
        <v>3292</v>
      </c>
      <c r="B101" s="25">
        <v>75243.0</v>
      </c>
      <c r="C101" s="27">
        <v>250.0</v>
      </c>
      <c r="D101" s="134" t="s">
        <v>26</v>
      </c>
      <c r="F101" s="130">
        <f>IFERROR(__xludf.DUMMYFUNCTION("""COMPUTED_VALUE"""),37027.0)</f>
        <v>37027</v>
      </c>
      <c r="G101" s="132">
        <f t="shared" si="2"/>
        <v>0</v>
      </c>
      <c r="H101" s="132">
        <f t="shared" si="3"/>
        <v>0</v>
      </c>
      <c r="I101" s="132">
        <f t="shared" ref="I101:Z101" si="103">SUMIFS($C:$C,$B:$B,$F101,$D:$D,I$1)</f>
        <v>0</v>
      </c>
      <c r="J101" s="132">
        <f t="shared" si="103"/>
        <v>0</v>
      </c>
      <c r="K101" s="132">
        <f t="shared" si="103"/>
        <v>1000</v>
      </c>
      <c r="L101" s="132">
        <f t="shared" si="103"/>
        <v>0</v>
      </c>
      <c r="M101" s="132">
        <f t="shared" si="103"/>
        <v>0</v>
      </c>
      <c r="N101" s="132">
        <f t="shared" si="103"/>
        <v>0</v>
      </c>
      <c r="O101" s="132">
        <f t="shared" si="103"/>
        <v>0</v>
      </c>
      <c r="P101" s="132">
        <f t="shared" si="103"/>
        <v>0</v>
      </c>
      <c r="Q101" s="132">
        <f t="shared" si="103"/>
        <v>0</v>
      </c>
      <c r="R101" s="132">
        <f t="shared" si="103"/>
        <v>0</v>
      </c>
      <c r="S101" s="132">
        <f t="shared" si="103"/>
        <v>0</v>
      </c>
      <c r="T101" s="132">
        <f t="shared" si="103"/>
        <v>0</v>
      </c>
      <c r="U101" s="132">
        <f t="shared" si="103"/>
        <v>0</v>
      </c>
      <c r="V101" s="132">
        <f t="shared" si="103"/>
        <v>0</v>
      </c>
      <c r="W101" s="132">
        <f t="shared" si="103"/>
        <v>0</v>
      </c>
      <c r="X101" s="132">
        <f t="shared" si="103"/>
        <v>0</v>
      </c>
      <c r="Y101" s="132">
        <f t="shared" si="103"/>
        <v>0</v>
      </c>
      <c r="Z101" s="132">
        <f t="shared" si="103"/>
        <v>0</v>
      </c>
      <c r="AA101" s="133">
        <f t="shared" si="5"/>
        <v>1000</v>
      </c>
    </row>
    <row r="102">
      <c r="A102" s="130" t="s">
        <v>3304</v>
      </c>
      <c r="B102" s="25">
        <v>75202.0</v>
      </c>
      <c r="C102" s="27">
        <v>51.0</v>
      </c>
      <c r="D102" s="134" t="s">
        <v>32</v>
      </c>
      <c r="F102" s="130">
        <f>IFERROR(__xludf.DUMMYFUNCTION("""COMPUTED_VALUE"""),75249.0)</f>
        <v>75249</v>
      </c>
      <c r="G102" s="132">
        <f t="shared" si="2"/>
        <v>0</v>
      </c>
      <c r="H102" s="132">
        <f t="shared" si="3"/>
        <v>0</v>
      </c>
      <c r="I102" s="132">
        <f t="shared" ref="I102:Z102" si="104">SUMIFS($C:$C,$B:$B,$F102,$D:$D,I$1)</f>
        <v>0</v>
      </c>
      <c r="J102" s="132">
        <f t="shared" si="104"/>
        <v>0</v>
      </c>
      <c r="K102" s="132">
        <f t="shared" si="104"/>
        <v>500</v>
      </c>
      <c r="L102" s="132">
        <f t="shared" si="104"/>
        <v>0</v>
      </c>
      <c r="M102" s="132">
        <f t="shared" si="104"/>
        <v>0</v>
      </c>
      <c r="N102" s="132">
        <f t="shared" si="104"/>
        <v>0</v>
      </c>
      <c r="O102" s="132">
        <f t="shared" si="104"/>
        <v>0</v>
      </c>
      <c r="P102" s="132">
        <f t="shared" si="104"/>
        <v>0</v>
      </c>
      <c r="Q102" s="132">
        <f t="shared" si="104"/>
        <v>0</v>
      </c>
      <c r="R102" s="132">
        <f t="shared" si="104"/>
        <v>0</v>
      </c>
      <c r="S102" s="132">
        <f t="shared" si="104"/>
        <v>0</v>
      </c>
      <c r="T102" s="132">
        <f t="shared" si="104"/>
        <v>0</v>
      </c>
      <c r="U102" s="132">
        <f t="shared" si="104"/>
        <v>0</v>
      </c>
      <c r="V102" s="132">
        <f t="shared" si="104"/>
        <v>0</v>
      </c>
      <c r="W102" s="132">
        <f t="shared" si="104"/>
        <v>0</v>
      </c>
      <c r="X102" s="132">
        <f t="shared" si="104"/>
        <v>0</v>
      </c>
      <c r="Y102" s="132">
        <f t="shared" si="104"/>
        <v>0</v>
      </c>
      <c r="Z102" s="132">
        <f t="shared" si="104"/>
        <v>0</v>
      </c>
      <c r="AA102" s="133">
        <f t="shared" si="5"/>
        <v>500</v>
      </c>
    </row>
    <row r="103">
      <c r="A103" s="130" t="s">
        <v>3296</v>
      </c>
      <c r="B103" s="25">
        <v>75039.0</v>
      </c>
      <c r="C103" s="27">
        <v>100.0</v>
      </c>
      <c r="D103" s="134" t="s">
        <v>25</v>
      </c>
      <c r="F103" s="130">
        <f>IFERROR(__xludf.DUMMYFUNCTION("""COMPUTED_VALUE"""),33140.0)</f>
        <v>33140</v>
      </c>
      <c r="G103" s="132">
        <f t="shared" si="2"/>
        <v>0</v>
      </c>
      <c r="H103" s="132">
        <f t="shared" si="3"/>
        <v>0</v>
      </c>
      <c r="I103" s="132">
        <f t="shared" ref="I103:Z103" si="105">SUMIFS($C:$C,$B:$B,$F103,$D:$D,I$1)</f>
        <v>0</v>
      </c>
      <c r="J103" s="132">
        <f t="shared" si="105"/>
        <v>0</v>
      </c>
      <c r="K103" s="132">
        <f t="shared" si="105"/>
        <v>1000</v>
      </c>
      <c r="L103" s="132">
        <f t="shared" si="105"/>
        <v>0</v>
      </c>
      <c r="M103" s="132">
        <f t="shared" si="105"/>
        <v>0</v>
      </c>
      <c r="N103" s="132">
        <f t="shared" si="105"/>
        <v>0</v>
      </c>
      <c r="O103" s="132">
        <f t="shared" si="105"/>
        <v>0</v>
      </c>
      <c r="P103" s="132">
        <f t="shared" si="105"/>
        <v>0</v>
      </c>
      <c r="Q103" s="132">
        <f t="shared" si="105"/>
        <v>0</v>
      </c>
      <c r="R103" s="132">
        <f t="shared" si="105"/>
        <v>0</v>
      </c>
      <c r="S103" s="132">
        <f t="shared" si="105"/>
        <v>0</v>
      </c>
      <c r="T103" s="132">
        <f t="shared" si="105"/>
        <v>0</v>
      </c>
      <c r="U103" s="132">
        <f t="shared" si="105"/>
        <v>0</v>
      </c>
      <c r="V103" s="132">
        <f t="shared" si="105"/>
        <v>0</v>
      </c>
      <c r="W103" s="132">
        <f t="shared" si="105"/>
        <v>0</v>
      </c>
      <c r="X103" s="132">
        <f t="shared" si="105"/>
        <v>0</v>
      </c>
      <c r="Y103" s="132">
        <f t="shared" si="105"/>
        <v>0</v>
      </c>
      <c r="Z103" s="132">
        <f t="shared" si="105"/>
        <v>0</v>
      </c>
      <c r="AA103" s="133">
        <f t="shared" si="5"/>
        <v>1000</v>
      </c>
    </row>
    <row r="104">
      <c r="A104" s="130" t="s">
        <v>3305</v>
      </c>
      <c r="B104" s="25">
        <v>75254.0</v>
      </c>
      <c r="C104" s="27">
        <v>1000.0</v>
      </c>
      <c r="D104" s="134" t="s">
        <v>31</v>
      </c>
      <c r="F104" s="130">
        <f>IFERROR(__xludf.DUMMYFUNCTION("""COMPUTED_VALUE"""),76112.0)</f>
        <v>76112</v>
      </c>
      <c r="G104" s="132">
        <f t="shared" si="2"/>
        <v>0</v>
      </c>
      <c r="H104" s="132">
        <f t="shared" si="3"/>
        <v>0</v>
      </c>
      <c r="I104" s="132">
        <f t="shared" ref="I104:Z104" si="106">SUMIFS($C:$C,$B:$B,$F104,$D:$D,I$1)</f>
        <v>0</v>
      </c>
      <c r="J104" s="132">
        <f t="shared" si="106"/>
        <v>0</v>
      </c>
      <c r="K104" s="132">
        <f t="shared" si="106"/>
        <v>500</v>
      </c>
      <c r="L104" s="132">
        <f t="shared" si="106"/>
        <v>0</v>
      </c>
      <c r="M104" s="132">
        <f t="shared" si="106"/>
        <v>0</v>
      </c>
      <c r="N104" s="132">
        <f t="shared" si="106"/>
        <v>0</v>
      </c>
      <c r="O104" s="132">
        <f t="shared" si="106"/>
        <v>0</v>
      </c>
      <c r="P104" s="132">
        <f t="shared" si="106"/>
        <v>0</v>
      </c>
      <c r="Q104" s="132">
        <f t="shared" si="106"/>
        <v>0</v>
      </c>
      <c r="R104" s="132">
        <f t="shared" si="106"/>
        <v>0</v>
      </c>
      <c r="S104" s="132">
        <f t="shared" si="106"/>
        <v>0</v>
      </c>
      <c r="T104" s="132">
        <f t="shared" si="106"/>
        <v>0</v>
      </c>
      <c r="U104" s="132">
        <f t="shared" si="106"/>
        <v>0</v>
      </c>
      <c r="V104" s="132">
        <f t="shared" si="106"/>
        <v>0</v>
      </c>
      <c r="W104" s="132">
        <f t="shared" si="106"/>
        <v>0</v>
      </c>
      <c r="X104" s="132">
        <f t="shared" si="106"/>
        <v>0</v>
      </c>
      <c r="Y104" s="132">
        <f t="shared" si="106"/>
        <v>0</v>
      </c>
      <c r="Z104" s="132">
        <f t="shared" si="106"/>
        <v>0</v>
      </c>
      <c r="AA104" s="133">
        <f t="shared" si="5"/>
        <v>500</v>
      </c>
    </row>
    <row r="105">
      <c r="A105" s="130" t="s">
        <v>3306</v>
      </c>
      <c r="B105" s="25">
        <v>76040.0</v>
      </c>
      <c r="C105" s="27">
        <v>2500.0</v>
      </c>
      <c r="D105" s="134" t="s">
        <v>25</v>
      </c>
      <c r="F105" s="130">
        <f>IFERROR(__xludf.DUMMYFUNCTION("""COMPUTED_VALUE"""),75001.0)</f>
        <v>75001</v>
      </c>
      <c r="G105" s="132">
        <f t="shared" si="2"/>
        <v>500</v>
      </c>
      <c r="H105" s="132">
        <f t="shared" si="3"/>
        <v>0</v>
      </c>
      <c r="I105" s="132">
        <f t="shared" ref="I105:Z105" si="107">SUMIFS($C:$C,$B:$B,$F105,$D:$D,I$1)</f>
        <v>0</v>
      </c>
      <c r="J105" s="132">
        <f t="shared" si="107"/>
        <v>0</v>
      </c>
      <c r="K105" s="132">
        <f t="shared" si="107"/>
        <v>500</v>
      </c>
      <c r="L105" s="132">
        <f t="shared" si="107"/>
        <v>0</v>
      </c>
      <c r="M105" s="132">
        <f t="shared" si="107"/>
        <v>0</v>
      </c>
      <c r="N105" s="132">
        <f t="shared" si="107"/>
        <v>0</v>
      </c>
      <c r="O105" s="132">
        <f t="shared" si="107"/>
        <v>0</v>
      </c>
      <c r="P105" s="132">
        <f t="shared" si="107"/>
        <v>0</v>
      </c>
      <c r="Q105" s="132">
        <f t="shared" si="107"/>
        <v>0</v>
      </c>
      <c r="R105" s="132">
        <f t="shared" si="107"/>
        <v>0</v>
      </c>
      <c r="S105" s="132">
        <f t="shared" si="107"/>
        <v>0</v>
      </c>
      <c r="T105" s="132">
        <f t="shared" si="107"/>
        <v>0</v>
      </c>
      <c r="U105" s="132">
        <f t="shared" si="107"/>
        <v>0</v>
      </c>
      <c r="V105" s="132">
        <f t="shared" si="107"/>
        <v>0</v>
      </c>
      <c r="W105" s="132">
        <f t="shared" si="107"/>
        <v>0</v>
      </c>
      <c r="X105" s="132">
        <f t="shared" si="107"/>
        <v>0</v>
      </c>
      <c r="Y105" s="132">
        <f t="shared" si="107"/>
        <v>0</v>
      </c>
      <c r="Z105" s="132">
        <f t="shared" si="107"/>
        <v>0</v>
      </c>
      <c r="AA105" s="133">
        <f t="shared" si="5"/>
        <v>1000</v>
      </c>
    </row>
    <row r="106">
      <c r="A106" s="130" t="s">
        <v>3305</v>
      </c>
      <c r="B106" s="25">
        <v>75254.0</v>
      </c>
      <c r="C106" s="27">
        <v>180.0</v>
      </c>
      <c r="D106" s="134" t="s">
        <v>31</v>
      </c>
      <c r="F106" s="130">
        <f>IFERROR(__xludf.DUMMYFUNCTION("""COMPUTED_VALUE"""),75063.0)</f>
        <v>75063</v>
      </c>
      <c r="G106" s="132">
        <f t="shared" si="2"/>
        <v>0</v>
      </c>
      <c r="H106" s="132">
        <f t="shared" si="3"/>
        <v>0</v>
      </c>
      <c r="I106" s="132">
        <f t="shared" ref="I106:Z106" si="108">SUMIFS($C:$C,$B:$B,$F106,$D:$D,I$1)</f>
        <v>0</v>
      </c>
      <c r="J106" s="132">
        <f t="shared" si="108"/>
        <v>1000</v>
      </c>
      <c r="K106" s="132">
        <f t="shared" si="108"/>
        <v>1000</v>
      </c>
      <c r="L106" s="132">
        <f t="shared" si="108"/>
        <v>0</v>
      </c>
      <c r="M106" s="132">
        <f t="shared" si="108"/>
        <v>0</v>
      </c>
      <c r="N106" s="132">
        <f t="shared" si="108"/>
        <v>0</v>
      </c>
      <c r="O106" s="132">
        <f t="shared" si="108"/>
        <v>0</v>
      </c>
      <c r="P106" s="132">
        <f t="shared" si="108"/>
        <v>0</v>
      </c>
      <c r="Q106" s="132">
        <f t="shared" si="108"/>
        <v>0</v>
      </c>
      <c r="R106" s="132">
        <f t="shared" si="108"/>
        <v>0</v>
      </c>
      <c r="S106" s="132">
        <f t="shared" si="108"/>
        <v>0</v>
      </c>
      <c r="T106" s="132">
        <f t="shared" si="108"/>
        <v>0</v>
      </c>
      <c r="U106" s="132">
        <f t="shared" si="108"/>
        <v>0</v>
      </c>
      <c r="V106" s="132">
        <f t="shared" si="108"/>
        <v>0</v>
      </c>
      <c r="W106" s="132">
        <f t="shared" si="108"/>
        <v>0</v>
      </c>
      <c r="X106" s="132">
        <f t="shared" si="108"/>
        <v>0</v>
      </c>
      <c r="Y106" s="132">
        <f t="shared" si="108"/>
        <v>0</v>
      </c>
      <c r="Z106" s="132">
        <f t="shared" si="108"/>
        <v>0</v>
      </c>
      <c r="AA106" s="133">
        <f t="shared" si="5"/>
        <v>2000</v>
      </c>
    </row>
    <row r="107">
      <c r="A107" s="130" t="s">
        <v>3275</v>
      </c>
      <c r="B107" s="25">
        <v>75207.0</v>
      </c>
      <c r="C107" s="27">
        <v>2500.0</v>
      </c>
      <c r="D107" s="134" t="s">
        <v>25</v>
      </c>
      <c r="F107" s="130">
        <f>IFERROR(__xludf.DUMMYFUNCTION("""COMPUTED_VALUE"""),85268.0)</f>
        <v>85268</v>
      </c>
      <c r="G107" s="132">
        <f t="shared" si="2"/>
        <v>0</v>
      </c>
      <c r="H107" s="132">
        <f t="shared" si="3"/>
        <v>0</v>
      </c>
      <c r="I107" s="132">
        <f t="shared" ref="I107:Z107" si="109">SUMIFS($C:$C,$B:$B,$F107,$D:$D,I$1)</f>
        <v>0</v>
      </c>
      <c r="J107" s="132">
        <f t="shared" si="109"/>
        <v>0</v>
      </c>
      <c r="K107" s="132">
        <f t="shared" si="109"/>
        <v>500</v>
      </c>
      <c r="L107" s="132">
        <f t="shared" si="109"/>
        <v>0</v>
      </c>
      <c r="M107" s="132">
        <f t="shared" si="109"/>
        <v>0</v>
      </c>
      <c r="N107" s="132">
        <f t="shared" si="109"/>
        <v>0</v>
      </c>
      <c r="O107" s="132">
        <f t="shared" si="109"/>
        <v>0</v>
      </c>
      <c r="P107" s="132">
        <f t="shared" si="109"/>
        <v>0</v>
      </c>
      <c r="Q107" s="132">
        <f t="shared" si="109"/>
        <v>0</v>
      </c>
      <c r="R107" s="132">
        <f t="shared" si="109"/>
        <v>0</v>
      </c>
      <c r="S107" s="132">
        <f t="shared" si="109"/>
        <v>0</v>
      </c>
      <c r="T107" s="132">
        <f t="shared" si="109"/>
        <v>0</v>
      </c>
      <c r="U107" s="132">
        <f t="shared" si="109"/>
        <v>0</v>
      </c>
      <c r="V107" s="132">
        <f t="shared" si="109"/>
        <v>0</v>
      </c>
      <c r="W107" s="132">
        <f t="shared" si="109"/>
        <v>0</v>
      </c>
      <c r="X107" s="132">
        <f t="shared" si="109"/>
        <v>0</v>
      </c>
      <c r="Y107" s="132">
        <f t="shared" si="109"/>
        <v>0</v>
      </c>
      <c r="Z107" s="132">
        <f t="shared" si="109"/>
        <v>0</v>
      </c>
      <c r="AA107" s="133">
        <f t="shared" si="5"/>
        <v>500</v>
      </c>
    </row>
    <row r="108">
      <c r="A108" s="130" t="s">
        <v>3307</v>
      </c>
      <c r="B108" s="25">
        <v>11733.0</v>
      </c>
      <c r="C108" s="27">
        <v>25.0</v>
      </c>
      <c r="D108" s="134" t="s">
        <v>21</v>
      </c>
      <c r="F108" s="130">
        <f>IFERROR(__xludf.DUMMYFUNCTION("""COMPUTED_VALUE"""),30312.0)</f>
        <v>30312</v>
      </c>
      <c r="G108" s="132">
        <f t="shared" si="2"/>
        <v>0</v>
      </c>
      <c r="H108" s="132">
        <f t="shared" si="3"/>
        <v>0</v>
      </c>
      <c r="I108" s="132">
        <f t="shared" ref="I108:Z108" si="110">SUMIFS($C:$C,$B:$B,$F108,$D:$D,I$1)</f>
        <v>0</v>
      </c>
      <c r="J108" s="132">
        <f t="shared" si="110"/>
        <v>0</v>
      </c>
      <c r="K108" s="132">
        <f t="shared" si="110"/>
        <v>500</v>
      </c>
      <c r="L108" s="132">
        <f t="shared" si="110"/>
        <v>0</v>
      </c>
      <c r="M108" s="132">
        <f t="shared" si="110"/>
        <v>0</v>
      </c>
      <c r="N108" s="132">
        <f t="shared" si="110"/>
        <v>0</v>
      </c>
      <c r="O108" s="132">
        <f t="shared" si="110"/>
        <v>0</v>
      </c>
      <c r="P108" s="132">
        <f t="shared" si="110"/>
        <v>0</v>
      </c>
      <c r="Q108" s="132">
        <f t="shared" si="110"/>
        <v>0</v>
      </c>
      <c r="R108" s="132">
        <f t="shared" si="110"/>
        <v>0</v>
      </c>
      <c r="S108" s="132">
        <f t="shared" si="110"/>
        <v>0</v>
      </c>
      <c r="T108" s="132">
        <f t="shared" si="110"/>
        <v>0</v>
      </c>
      <c r="U108" s="132">
        <f t="shared" si="110"/>
        <v>0</v>
      </c>
      <c r="V108" s="132">
        <f t="shared" si="110"/>
        <v>0</v>
      </c>
      <c r="W108" s="132">
        <f t="shared" si="110"/>
        <v>0</v>
      </c>
      <c r="X108" s="132">
        <f t="shared" si="110"/>
        <v>0</v>
      </c>
      <c r="Y108" s="132">
        <f t="shared" si="110"/>
        <v>0</v>
      </c>
      <c r="Z108" s="132">
        <f t="shared" si="110"/>
        <v>0</v>
      </c>
      <c r="AA108" s="133">
        <f t="shared" si="5"/>
        <v>500</v>
      </c>
    </row>
    <row r="109">
      <c r="A109" s="130" t="s">
        <v>3308</v>
      </c>
      <c r="B109" s="25">
        <v>75227.0</v>
      </c>
      <c r="C109" s="27">
        <v>100.0</v>
      </c>
      <c r="D109" s="134" t="s">
        <v>24</v>
      </c>
      <c r="F109" s="130">
        <f>IFERROR(__xludf.DUMMYFUNCTION("""COMPUTED_VALUE"""),22308.0)</f>
        <v>22308</v>
      </c>
      <c r="G109" s="132">
        <f t="shared" si="2"/>
        <v>0</v>
      </c>
      <c r="H109" s="132">
        <f t="shared" si="3"/>
        <v>0</v>
      </c>
      <c r="I109" s="132">
        <f t="shared" ref="I109:Z109" si="111">SUMIFS($C:$C,$B:$B,$F109,$D:$D,I$1)</f>
        <v>0</v>
      </c>
      <c r="J109" s="132">
        <f t="shared" si="111"/>
        <v>0</v>
      </c>
      <c r="K109" s="132">
        <f t="shared" si="111"/>
        <v>100</v>
      </c>
      <c r="L109" s="132">
        <f t="shared" si="111"/>
        <v>0</v>
      </c>
      <c r="M109" s="132">
        <f t="shared" si="111"/>
        <v>0</v>
      </c>
      <c r="N109" s="132">
        <f t="shared" si="111"/>
        <v>0</v>
      </c>
      <c r="O109" s="132">
        <f t="shared" si="111"/>
        <v>0</v>
      </c>
      <c r="P109" s="132">
        <f t="shared" si="111"/>
        <v>0</v>
      </c>
      <c r="Q109" s="132">
        <f t="shared" si="111"/>
        <v>0</v>
      </c>
      <c r="R109" s="132">
        <f t="shared" si="111"/>
        <v>0</v>
      </c>
      <c r="S109" s="132">
        <f t="shared" si="111"/>
        <v>0</v>
      </c>
      <c r="T109" s="132">
        <f t="shared" si="111"/>
        <v>0</v>
      </c>
      <c r="U109" s="132">
        <f t="shared" si="111"/>
        <v>0</v>
      </c>
      <c r="V109" s="132">
        <f t="shared" si="111"/>
        <v>0</v>
      </c>
      <c r="W109" s="132">
        <f t="shared" si="111"/>
        <v>0</v>
      </c>
      <c r="X109" s="132">
        <f t="shared" si="111"/>
        <v>0</v>
      </c>
      <c r="Y109" s="132">
        <f t="shared" si="111"/>
        <v>0</v>
      </c>
      <c r="Z109" s="132">
        <f t="shared" si="111"/>
        <v>0</v>
      </c>
      <c r="AA109" s="133">
        <f t="shared" si="5"/>
        <v>100</v>
      </c>
    </row>
    <row r="110">
      <c r="A110" s="130" t="s">
        <v>3308</v>
      </c>
      <c r="B110" s="25">
        <v>75227.0</v>
      </c>
      <c r="C110" s="27">
        <v>50.0</v>
      </c>
      <c r="D110" s="134" t="s">
        <v>31</v>
      </c>
      <c r="F110" s="130">
        <f>IFERROR(__xludf.DUMMYFUNCTION("""COMPUTED_VALUE"""),75367.0)</f>
        <v>75367</v>
      </c>
      <c r="G110" s="132">
        <f t="shared" si="2"/>
        <v>0</v>
      </c>
      <c r="H110" s="132">
        <f t="shared" si="3"/>
        <v>0</v>
      </c>
      <c r="I110" s="132">
        <f t="shared" ref="I110:Z110" si="112">SUMIFS($C:$C,$B:$B,$F110,$D:$D,I$1)</f>
        <v>0</v>
      </c>
      <c r="J110" s="132">
        <f t="shared" si="112"/>
        <v>2000</v>
      </c>
      <c r="K110" s="132">
        <f t="shared" si="112"/>
        <v>0</v>
      </c>
      <c r="L110" s="132">
        <f t="shared" si="112"/>
        <v>0</v>
      </c>
      <c r="M110" s="132">
        <f t="shared" si="112"/>
        <v>0</v>
      </c>
      <c r="N110" s="132">
        <f t="shared" si="112"/>
        <v>0</v>
      </c>
      <c r="O110" s="132">
        <f t="shared" si="112"/>
        <v>0</v>
      </c>
      <c r="P110" s="132">
        <f t="shared" si="112"/>
        <v>0</v>
      </c>
      <c r="Q110" s="132">
        <f t="shared" si="112"/>
        <v>0</v>
      </c>
      <c r="R110" s="132">
        <f t="shared" si="112"/>
        <v>0</v>
      </c>
      <c r="S110" s="132">
        <f t="shared" si="112"/>
        <v>0</v>
      </c>
      <c r="T110" s="132">
        <f t="shared" si="112"/>
        <v>0</v>
      </c>
      <c r="U110" s="132">
        <f t="shared" si="112"/>
        <v>0</v>
      </c>
      <c r="V110" s="132">
        <f t="shared" si="112"/>
        <v>0</v>
      </c>
      <c r="W110" s="132">
        <f t="shared" si="112"/>
        <v>0</v>
      </c>
      <c r="X110" s="132">
        <f t="shared" si="112"/>
        <v>0</v>
      </c>
      <c r="Y110" s="132">
        <f t="shared" si="112"/>
        <v>0</v>
      </c>
      <c r="Z110" s="132">
        <f t="shared" si="112"/>
        <v>0</v>
      </c>
      <c r="AA110" s="133">
        <f t="shared" si="5"/>
        <v>2000</v>
      </c>
    </row>
    <row r="111">
      <c r="A111" s="130" t="s">
        <v>3309</v>
      </c>
      <c r="B111" s="25">
        <v>76065.0</v>
      </c>
      <c r="C111" s="27">
        <v>75.0</v>
      </c>
      <c r="D111" s="134" t="s">
        <v>23</v>
      </c>
      <c r="F111" s="130">
        <f>IFERROR(__xludf.DUMMYFUNCTION("""COMPUTED_VALUE"""),77021.0)</f>
        <v>77021</v>
      </c>
      <c r="G111" s="132">
        <f t="shared" si="2"/>
        <v>0</v>
      </c>
      <c r="H111" s="132">
        <f t="shared" si="3"/>
        <v>0</v>
      </c>
      <c r="I111" s="132">
        <f t="shared" ref="I111:Z111" si="113">SUMIFS($C:$C,$B:$B,$F111,$D:$D,I$1)</f>
        <v>0</v>
      </c>
      <c r="J111" s="132">
        <f t="shared" si="113"/>
        <v>1000</v>
      </c>
      <c r="K111" s="132">
        <f t="shared" si="113"/>
        <v>1000</v>
      </c>
      <c r="L111" s="132">
        <f t="shared" si="113"/>
        <v>0</v>
      </c>
      <c r="M111" s="132">
        <f t="shared" si="113"/>
        <v>0</v>
      </c>
      <c r="N111" s="132">
        <f t="shared" si="113"/>
        <v>0</v>
      </c>
      <c r="O111" s="132">
        <f t="shared" si="113"/>
        <v>0</v>
      </c>
      <c r="P111" s="132">
        <f t="shared" si="113"/>
        <v>0</v>
      </c>
      <c r="Q111" s="132">
        <f t="shared" si="113"/>
        <v>0</v>
      </c>
      <c r="R111" s="132">
        <f t="shared" si="113"/>
        <v>0</v>
      </c>
      <c r="S111" s="132">
        <f t="shared" si="113"/>
        <v>0</v>
      </c>
      <c r="T111" s="132">
        <f t="shared" si="113"/>
        <v>0</v>
      </c>
      <c r="U111" s="132">
        <f t="shared" si="113"/>
        <v>0</v>
      </c>
      <c r="V111" s="132">
        <f t="shared" si="113"/>
        <v>0</v>
      </c>
      <c r="W111" s="132">
        <f t="shared" si="113"/>
        <v>0</v>
      </c>
      <c r="X111" s="132">
        <f t="shared" si="113"/>
        <v>0</v>
      </c>
      <c r="Y111" s="132">
        <f t="shared" si="113"/>
        <v>0</v>
      </c>
      <c r="Z111" s="132">
        <f t="shared" si="113"/>
        <v>0</v>
      </c>
      <c r="AA111" s="133">
        <f t="shared" si="5"/>
        <v>2000</v>
      </c>
    </row>
    <row r="112">
      <c r="A112" s="130" t="s">
        <v>3281</v>
      </c>
      <c r="B112" s="25">
        <v>75218.0</v>
      </c>
      <c r="C112" s="27">
        <v>250.0</v>
      </c>
      <c r="D112" s="134" t="s">
        <v>24</v>
      </c>
      <c r="F112" s="130">
        <f>IFERROR(__xludf.DUMMYFUNCTION("""COMPUTED_VALUE"""),71106.0)</f>
        <v>71106</v>
      </c>
      <c r="G112" s="132">
        <f t="shared" si="2"/>
        <v>0</v>
      </c>
      <c r="H112" s="132">
        <f t="shared" si="3"/>
        <v>0</v>
      </c>
      <c r="I112" s="132">
        <f t="shared" ref="I112:Z112" si="114">SUMIFS($C:$C,$B:$B,$F112,$D:$D,I$1)</f>
        <v>0</v>
      </c>
      <c r="J112" s="132">
        <f t="shared" si="114"/>
        <v>500</v>
      </c>
      <c r="K112" s="132">
        <f t="shared" si="114"/>
        <v>0</v>
      </c>
      <c r="L112" s="132">
        <f t="shared" si="114"/>
        <v>0</v>
      </c>
      <c r="M112" s="132">
        <f t="shared" si="114"/>
        <v>0</v>
      </c>
      <c r="N112" s="132">
        <f t="shared" si="114"/>
        <v>0</v>
      </c>
      <c r="O112" s="132">
        <f t="shared" si="114"/>
        <v>0</v>
      </c>
      <c r="P112" s="132">
        <f t="shared" si="114"/>
        <v>0</v>
      </c>
      <c r="Q112" s="132">
        <f t="shared" si="114"/>
        <v>0</v>
      </c>
      <c r="R112" s="132">
        <f t="shared" si="114"/>
        <v>0</v>
      </c>
      <c r="S112" s="132">
        <f t="shared" si="114"/>
        <v>0</v>
      </c>
      <c r="T112" s="132">
        <f t="shared" si="114"/>
        <v>0</v>
      </c>
      <c r="U112" s="132">
        <f t="shared" si="114"/>
        <v>0</v>
      </c>
      <c r="V112" s="132">
        <f t="shared" si="114"/>
        <v>0</v>
      </c>
      <c r="W112" s="132">
        <f t="shared" si="114"/>
        <v>0</v>
      </c>
      <c r="X112" s="132">
        <f t="shared" si="114"/>
        <v>0</v>
      </c>
      <c r="Y112" s="132">
        <f t="shared" si="114"/>
        <v>0</v>
      </c>
      <c r="Z112" s="132">
        <f t="shared" si="114"/>
        <v>0</v>
      </c>
      <c r="AA112" s="133">
        <f t="shared" si="5"/>
        <v>500</v>
      </c>
    </row>
    <row r="113">
      <c r="A113" s="130" t="s">
        <v>3281</v>
      </c>
      <c r="B113" s="25">
        <v>75218.0</v>
      </c>
      <c r="C113" s="27">
        <v>100.0</v>
      </c>
      <c r="D113" s="134" t="s">
        <v>24</v>
      </c>
      <c r="F113" s="130">
        <f>IFERROR(__xludf.DUMMYFUNCTION("""COMPUTED_VALUE"""),75210.0)</f>
        <v>75210</v>
      </c>
      <c r="G113" s="132">
        <f t="shared" si="2"/>
        <v>0</v>
      </c>
      <c r="H113" s="132">
        <f t="shared" si="3"/>
        <v>0</v>
      </c>
      <c r="I113" s="132">
        <f t="shared" ref="I113:Z113" si="115">SUMIFS($C:$C,$B:$B,$F113,$D:$D,I$1)</f>
        <v>500</v>
      </c>
      <c r="J113" s="132">
        <f t="shared" si="115"/>
        <v>500</v>
      </c>
      <c r="K113" s="132">
        <f t="shared" si="115"/>
        <v>0</v>
      </c>
      <c r="L113" s="132">
        <f t="shared" si="115"/>
        <v>0</v>
      </c>
      <c r="M113" s="132">
        <f t="shared" si="115"/>
        <v>0</v>
      </c>
      <c r="N113" s="132">
        <f t="shared" si="115"/>
        <v>0</v>
      </c>
      <c r="O113" s="132">
        <f t="shared" si="115"/>
        <v>100</v>
      </c>
      <c r="P113" s="132">
        <f t="shared" si="115"/>
        <v>0</v>
      </c>
      <c r="Q113" s="132">
        <f t="shared" si="115"/>
        <v>0</v>
      </c>
      <c r="R113" s="132">
        <f t="shared" si="115"/>
        <v>0</v>
      </c>
      <c r="S113" s="132">
        <f t="shared" si="115"/>
        <v>0</v>
      </c>
      <c r="T113" s="132">
        <f t="shared" si="115"/>
        <v>0</v>
      </c>
      <c r="U113" s="132">
        <f t="shared" si="115"/>
        <v>0</v>
      </c>
      <c r="V113" s="132">
        <f t="shared" si="115"/>
        <v>0</v>
      </c>
      <c r="W113" s="132">
        <f t="shared" si="115"/>
        <v>0</v>
      </c>
      <c r="X113" s="132">
        <f t="shared" si="115"/>
        <v>0</v>
      </c>
      <c r="Y113" s="132">
        <f t="shared" si="115"/>
        <v>0</v>
      </c>
      <c r="Z113" s="132">
        <f t="shared" si="115"/>
        <v>0</v>
      </c>
      <c r="AA113" s="133">
        <f t="shared" si="5"/>
        <v>1100</v>
      </c>
    </row>
    <row r="114">
      <c r="A114" s="130" t="s">
        <v>3266</v>
      </c>
      <c r="B114" s="25">
        <v>75230.0</v>
      </c>
      <c r="C114" s="27">
        <v>100.0</v>
      </c>
      <c r="D114" s="134" t="s">
        <v>24</v>
      </c>
      <c r="F114" s="130">
        <f>IFERROR(__xludf.DUMMYFUNCTION("""COMPUTED_VALUE"""),78737.0)</f>
        <v>78737</v>
      </c>
      <c r="G114" s="132">
        <f t="shared" si="2"/>
        <v>0</v>
      </c>
      <c r="H114" s="132">
        <f t="shared" si="3"/>
        <v>0</v>
      </c>
      <c r="I114" s="132">
        <f t="shared" ref="I114:Z114" si="116">SUMIFS($C:$C,$B:$B,$F114,$D:$D,I$1)</f>
        <v>0</v>
      </c>
      <c r="J114" s="132">
        <f t="shared" si="116"/>
        <v>120</v>
      </c>
      <c r="K114" s="132">
        <f t="shared" si="116"/>
        <v>0</v>
      </c>
      <c r="L114" s="132">
        <f t="shared" si="116"/>
        <v>0</v>
      </c>
      <c r="M114" s="132">
        <f t="shared" si="116"/>
        <v>0</v>
      </c>
      <c r="N114" s="132">
        <f t="shared" si="116"/>
        <v>0</v>
      </c>
      <c r="O114" s="132">
        <f t="shared" si="116"/>
        <v>0</v>
      </c>
      <c r="P114" s="132">
        <f t="shared" si="116"/>
        <v>0</v>
      </c>
      <c r="Q114" s="132">
        <f t="shared" si="116"/>
        <v>0</v>
      </c>
      <c r="R114" s="132">
        <f t="shared" si="116"/>
        <v>0</v>
      </c>
      <c r="S114" s="132">
        <f t="shared" si="116"/>
        <v>0</v>
      </c>
      <c r="T114" s="132">
        <f t="shared" si="116"/>
        <v>0</v>
      </c>
      <c r="U114" s="132">
        <f t="shared" si="116"/>
        <v>0</v>
      </c>
      <c r="V114" s="132">
        <f t="shared" si="116"/>
        <v>0</v>
      </c>
      <c r="W114" s="132">
        <f t="shared" si="116"/>
        <v>0</v>
      </c>
      <c r="X114" s="132">
        <f t="shared" si="116"/>
        <v>0</v>
      </c>
      <c r="Y114" s="132">
        <f t="shared" si="116"/>
        <v>0</v>
      </c>
      <c r="Z114" s="132">
        <f t="shared" si="116"/>
        <v>0</v>
      </c>
      <c r="AA114" s="133">
        <f t="shared" si="5"/>
        <v>120</v>
      </c>
    </row>
    <row r="115">
      <c r="A115" s="130" t="s">
        <v>3310</v>
      </c>
      <c r="B115" s="25">
        <v>75120.0</v>
      </c>
      <c r="C115" s="27">
        <v>1000.0</v>
      </c>
      <c r="D115" s="134" t="s">
        <v>25</v>
      </c>
      <c r="F115" s="130">
        <f>IFERROR(__xludf.DUMMYFUNCTION("""COMPUTED_VALUE"""),78760.0)</f>
        <v>78760</v>
      </c>
      <c r="G115" s="132">
        <f t="shared" si="2"/>
        <v>1000</v>
      </c>
      <c r="H115" s="132">
        <f t="shared" si="3"/>
        <v>0</v>
      </c>
      <c r="I115" s="132">
        <f t="shared" ref="I115:Z115" si="117">SUMIFS($C:$C,$B:$B,$F115,$D:$D,I$1)</f>
        <v>1000</v>
      </c>
      <c r="J115" s="132">
        <f t="shared" si="117"/>
        <v>1000</v>
      </c>
      <c r="K115" s="132">
        <f t="shared" si="117"/>
        <v>0</v>
      </c>
      <c r="L115" s="132">
        <f t="shared" si="117"/>
        <v>0</v>
      </c>
      <c r="M115" s="132">
        <f t="shared" si="117"/>
        <v>1000</v>
      </c>
      <c r="N115" s="132">
        <f t="shared" si="117"/>
        <v>0</v>
      </c>
      <c r="O115" s="132">
        <f t="shared" si="117"/>
        <v>1000</v>
      </c>
      <c r="P115" s="132">
        <f t="shared" si="117"/>
        <v>1000</v>
      </c>
      <c r="Q115" s="132">
        <f t="shared" si="117"/>
        <v>0</v>
      </c>
      <c r="R115" s="132">
        <f t="shared" si="117"/>
        <v>0</v>
      </c>
      <c r="S115" s="132">
        <f t="shared" si="117"/>
        <v>0</v>
      </c>
      <c r="T115" s="132">
        <f t="shared" si="117"/>
        <v>0</v>
      </c>
      <c r="U115" s="132">
        <f t="shared" si="117"/>
        <v>0</v>
      </c>
      <c r="V115" s="132">
        <f t="shared" si="117"/>
        <v>0</v>
      </c>
      <c r="W115" s="132">
        <f t="shared" si="117"/>
        <v>0</v>
      </c>
      <c r="X115" s="132">
        <f t="shared" si="117"/>
        <v>0</v>
      </c>
      <c r="Y115" s="132">
        <f t="shared" si="117"/>
        <v>0</v>
      </c>
      <c r="Z115" s="132">
        <f t="shared" si="117"/>
        <v>0</v>
      </c>
      <c r="AA115" s="133">
        <f t="shared" si="5"/>
        <v>6000</v>
      </c>
    </row>
    <row r="116">
      <c r="A116" s="130" t="s">
        <v>3273</v>
      </c>
      <c r="B116" s="25">
        <v>75205.0</v>
      </c>
      <c r="C116" s="27">
        <v>950.0</v>
      </c>
      <c r="D116" s="134" t="s">
        <v>21</v>
      </c>
      <c r="F116" s="130">
        <f>IFERROR(__xludf.DUMMYFUNCTION("""COMPUTED_VALUE"""),78748.0)</f>
        <v>78748</v>
      </c>
      <c r="G116" s="132">
        <f t="shared" si="2"/>
        <v>0</v>
      </c>
      <c r="H116" s="132">
        <f t="shared" si="3"/>
        <v>0</v>
      </c>
      <c r="I116" s="132">
        <f t="shared" ref="I116:Z116" si="118">SUMIFS($C:$C,$B:$B,$F116,$D:$D,I$1)</f>
        <v>100</v>
      </c>
      <c r="J116" s="132">
        <f t="shared" si="118"/>
        <v>100</v>
      </c>
      <c r="K116" s="132">
        <f t="shared" si="118"/>
        <v>0</v>
      </c>
      <c r="L116" s="132">
        <f t="shared" si="118"/>
        <v>0</v>
      </c>
      <c r="M116" s="132">
        <f t="shared" si="118"/>
        <v>0</v>
      </c>
      <c r="N116" s="132">
        <f t="shared" si="118"/>
        <v>0</v>
      </c>
      <c r="O116" s="132">
        <f t="shared" si="118"/>
        <v>0</v>
      </c>
      <c r="P116" s="132">
        <f t="shared" si="118"/>
        <v>0</v>
      </c>
      <c r="Q116" s="132">
        <f t="shared" si="118"/>
        <v>0</v>
      </c>
      <c r="R116" s="132">
        <f t="shared" si="118"/>
        <v>0</v>
      </c>
      <c r="S116" s="132">
        <f t="shared" si="118"/>
        <v>0</v>
      </c>
      <c r="T116" s="132">
        <f t="shared" si="118"/>
        <v>0</v>
      </c>
      <c r="U116" s="132">
        <f t="shared" si="118"/>
        <v>0</v>
      </c>
      <c r="V116" s="132">
        <f t="shared" si="118"/>
        <v>0</v>
      </c>
      <c r="W116" s="132">
        <f t="shared" si="118"/>
        <v>0</v>
      </c>
      <c r="X116" s="132">
        <f t="shared" si="118"/>
        <v>0</v>
      </c>
      <c r="Y116" s="132">
        <f t="shared" si="118"/>
        <v>0</v>
      </c>
      <c r="Z116" s="132">
        <f t="shared" si="118"/>
        <v>0</v>
      </c>
      <c r="AA116" s="133">
        <f t="shared" si="5"/>
        <v>200</v>
      </c>
    </row>
    <row r="117">
      <c r="A117" s="130" t="s">
        <v>3311</v>
      </c>
      <c r="B117" s="25">
        <v>75182.0</v>
      </c>
      <c r="C117" s="27">
        <v>1000.0</v>
      </c>
      <c r="D117" s="134" t="s">
        <v>25</v>
      </c>
      <c r="F117" s="130">
        <f>IFERROR(__xludf.DUMMYFUNCTION("""COMPUTED_VALUE"""),75216.0)</f>
        <v>75216</v>
      </c>
      <c r="G117" s="132">
        <f t="shared" si="2"/>
        <v>0</v>
      </c>
      <c r="H117" s="132">
        <f t="shared" si="3"/>
        <v>0</v>
      </c>
      <c r="I117" s="132">
        <f t="shared" ref="I117:Z117" si="119">SUMIFS($C:$C,$B:$B,$F117,$D:$D,I$1)</f>
        <v>0</v>
      </c>
      <c r="J117" s="132">
        <f t="shared" si="119"/>
        <v>100</v>
      </c>
      <c r="K117" s="132">
        <f t="shared" si="119"/>
        <v>50</v>
      </c>
      <c r="L117" s="132">
        <f t="shared" si="119"/>
        <v>0</v>
      </c>
      <c r="M117" s="132">
        <f t="shared" si="119"/>
        <v>0</v>
      </c>
      <c r="N117" s="132">
        <f t="shared" si="119"/>
        <v>0</v>
      </c>
      <c r="O117" s="132">
        <f t="shared" si="119"/>
        <v>0</v>
      </c>
      <c r="P117" s="132">
        <f t="shared" si="119"/>
        <v>0</v>
      </c>
      <c r="Q117" s="132">
        <f t="shared" si="119"/>
        <v>0</v>
      </c>
      <c r="R117" s="132">
        <f t="shared" si="119"/>
        <v>0</v>
      </c>
      <c r="S117" s="132">
        <f t="shared" si="119"/>
        <v>0</v>
      </c>
      <c r="T117" s="132">
        <f t="shared" si="119"/>
        <v>0</v>
      </c>
      <c r="U117" s="132">
        <f t="shared" si="119"/>
        <v>0</v>
      </c>
      <c r="V117" s="132">
        <f t="shared" si="119"/>
        <v>0</v>
      </c>
      <c r="W117" s="132">
        <f t="shared" si="119"/>
        <v>0</v>
      </c>
      <c r="X117" s="132">
        <f t="shared" si="119"/>
        <v>100</v>
      </c>
      <c r="Y117" s="132">
        <f t="shared" si="119"/>
        <v>0</v>
      </c>
      <c r="Z117" s="132">
        <f t="shared" si="119"/>
        <v>0</v>
      </c>
      <c r="AA117" s="133">
        <f t="shared" si="5"/>
        <v>250</v>
      </c>
    </row>
    <row r="118">
      <c r="A118" s="130" t="s">
        <v>3311</v>
      </c>
      <c r="B118" s="25">
        <v>75182.0</v>
      </c>
      <c r="C118" s="27">
        <v>1000.0</v>
      </c>
      <c r="D118" s="134" t="s">
        <v>25</v>
      </c>
      <c r="F118" s="130">
        <f>IFERROR(__xludf.DUMMYFUNCTION("""COMPUTED_VALUE"""),75234.0)</f>
        <v>75234</v>
      </c>
      <c r="G118" s="132">
        <f t="shared" si="2"/>
        <v>1000</v>
      </c>
      <c r="H118" s="132">
        <f t="shared" si="3"/>
        <v>0</v>
      </c>
      <c r="I118" s="132">
        <f t="shared" ref="I118:Z118" si="120">SUMIFS($C:$C,$B:$B,$F118,$D:$D,I$1)</f>
        <v>0</v>
      </c>
      <c r="J118" s="132">
        <f t="shared" si="120"/>
        <v>50</v>
      </c>
      <c r="K118" s="132">
        <f t="shared" si="120"/>
        <v>700</v>
      </c>
      <c r="L118" s="132">
        <f t="shared" si="120"/>
        <v>0</v>
      </c>
      <c r="M118" s="132">
        <f t="shared" si="120"/>
        <v>0</v>
      </c>
      <c r="N118" s="132">
        <f t="shared" si="120"/>
        <v>0</v>
      </c>
      <c r="O118" s="132">
        <f t="shared" si="120"/>
        <v>0</v>
      </c>
      <c r="P118" s="132">
        <f t="shared" si="120"/>
        <v>25</v>
      </c>
      <c r="Q118" s="132">
        <f t="shared" si="120"/>
        <v>0</v>
      </c>
      <c r="R118" s="132">
        <f t="shared" si="120"/>
        <v>0</v>
      </c>
      <c r="S118" s="132">
        <f t="shared" si="120"/>
        <v>0</v>
      </c>
      <c r="T118" s="132">
        <f t="shared" si="120"/>
        <v>0</v>
      </c>
      <c r="U118" s="132">
        <f t="shared" si="120"/>
        <v>0</v>
      </c>
      <c r="V118" s="132">
        <f t="shared" si="120"/>
        <v>0</v>
      </c>
      <c r="W118" s="132">
        <f t="shared" si="120"/>
        <v>0</v>
      </c>
      <c r="X118" s="132">
        <f t="shared" si="120"/>
        <v>0</v>
      </c>
      <c r="Y118" s="132">
        <f t="shared" si="120"/>
        <v>0</v>
      </c>
      <c r="Z118" s="132">
        <f t="shared" si="120"/>
        <v>0</v>
      </c>
      <c r="AA118" s="133">
        <f t="shared" si="5"/>
        <v>1775</v>
      </c>
    </row>
    <row r="119">
      <c r="A119" s="130" t="s">
        <v>3312</v>
      </c>
      <c r="B119" s="25">
        <v>75201.0</v>
      </c>
      <c r="C119" s="27">
        <v>50.0</v>
      </c>
      <c r="D119" s="134" t="s">
        <v>24</v>
      </c>
      <c r="F119" s="130">
        <f>IFERROR(__xludf.DUMMYFUNCTION("""COMPUTED_VALUE"""),75016.0)</f>
        <v>75016</v>
      </c>
      <c r="G119" s="132">
        <f t="shared" si="2"/>
        <v>0</v>
      </c>
      <c r="H119" s="132">
        <f t="shared" si="3"/>
        <v>0</v>
      </c>
      <c r="I119" s="132">
        <f t="shared" ref="I119:Z119" si="121">SUMIFS($C:$C,$B:$B,$F119,$D:$D,I$1)</f>
        <v>0</v>
      </c>
      <c r="J119" s="132">
        <f t="shared" si="121"/>
        <v>250</v>
      </c>
      <c r="K119" s="132">
        <f t="shared" si="121"/>
        <v>0</v>
      </c>
      <c r="L119" s="132">
        <f t="shared" si="121"/>
        <v>0</v>
      </c>
      <c r="M119" s="132">
        <f t="shared" si="121"/>
        <v>0</v>
      </c>
      <c r="N119" s="132">
        <f t="shared" si="121"/>
        <v>0</v>
      </c>
      <c r="O119" s="132">
        <f t="shared" si="121"/>
        <v>0</v>
      </c>
      <c r="P119" s="132">
        <f t="shared" si="121"/>
        <v>0</v>
      </c>
      <c r="Q119" s="132">
        <f t="shared" si="121"/>
        <v>0</v>
      </c>
      <c r="R119" s="132">
        <f t="shared" si="121"/>
        <v>0</v>
      </c>
      <c r="S119" s="132">
        <f t="shared" si="121"/>
        <v>0</v>
      </c>
      <c r="T119" s="132">
        <f t="shared" si="121"/>
        <v>0</v>
      </c>
      <c r="U119" s="132">
        <f t="shared" si="121"/>
        <v>0</v>
      </c>
      <c r="V119" s="132">
        <f t="shared" si="121"/>
        <v>0</v>
      </c>
      <c r="W119" s="132">
        <f t="shared" si="121"/>
        <v>0</v>
      </c>
      <c r="X119" s="132">
        <f t="shared" si="121"/>
        <v>0</v>
      </c>
      <c r="Y119" s="132">
        <f t="shared" si="121"/>
        <v>0</v>
      </c>
      <c r="Z119" s="132">
        <f t="shared" si="121"/>
        <v>0</v>
      </c>
      <c r="AA119" s="133">
        <f t="shared" si="5"/>
        <v>250</v>
      </c>
    </row>
    <row r="120">
      <c r="A120" s="130" t="s">
        <v>3313</v>
      </c>
      <c r="B120" s="25">
        <v>78759.0</v>
      </c>
      <c r="C120" s="27">
        <v>100.0</v>
      </c>
      <c r="D120" s="134" t="s">
        <v>26</v>
      </c>
      <c r="F120" s="130">
        <f>IFERROR(__xludf.DUMMYFUNCTION("""COMPUTED_VALUE"""),27612.0)</f>
        <v>27612</v>
      </c>
      <c r="G120" s="132">
        <f t="shared" si="2"/>
        <v>0</v>
      </c>
      <c r="H120" s="132">
        <f t="shared" si="3"/>
        <v>0</v>
      </c>
      <c r="I120" s="132">
        <f t="shared" ref="I120:Z120" si="122">SUMIFS($C:$C,$B:$B,$F120,$D:$D,I$1)</f>
        <v>0</v>
      </c>
      <c r="J120" s="132">
        <f t="shared" si="122"/>
        <v>60</v>
      </c>
      <c r="K120" s="132">
        <f t="shared" si="122"/>
        <v>0</v>
      </c>
      <c r="L120" s="132">
        <f t="shared" si="122"/>
        <v>0</v>
      </c>
      <c r="M120" s="132">
        <f t="shared" si="122"/>
        <v>0</v>
      </c>
      <c r="N120" s="132">
        <f t="shared" si="122"/>
        <v>0</v>
      </c>
      <c r="O120" s="132">
        <f t="shared" si="122"/>
        <v>0</v>
      </c>
      <c r="P120" s="132">
        <f t="shared" si="122"/>
        <v>0</v>
      </c>
      <c r="Q120" s="132">
        <f t="shared" si="122"/>
        <v>0</v>
      </c>
      <c r="R120" s="132">
        <f t="shared" si="122"/>
        <v>0</v>
      </c>
      <c r="S120" s="132">
        <f t="shared" si="122"/>
        <v>0</v>
      </c>
      <c r="T120" s="132">
        <f t="shared" si="122"/>
        <v>0</v>
      </c>
      <c r="U120" s="132">
        <f t="shared" si="122"/>
        <v>0</v>
      </c>
      <c r="V120" s="132">
        <f t="shared" si="122"/>
        <v>0</v>
      </c>
      <c r="W120" s="132">
        <f t="shared" si="122"/>
        <v>0</v>
      </c>
      <c r="X120" s="132">
        <f t="shared" si="122"/>
        <v>0</v>
      </c>
      <c r="Y120" s="132">
        <f t="shared" si="122"/>
        <v>0</v>
      </c>
      <c r="Z120" s="132">
        <f t="shared" si="122"/>
        <v>0</v>
      </c>
      <c r="AA120" s="133">
        <f t="shared" si="5"/>
        <v>60</v>
      </c>
    </row>
    <row r="121">
      <c r="A121" s="130" t="s">
        <v>3314</v>
      </c>
      <c r="B121" s="25">
        <v>75231.0</v>
      </c>
      <c r="C121" s="27">
        <v>180.0</v>
      </c>
      <c r="D121" s="134" t="s">
        <v>31</v>
      </c>
      <c r="F121" s="130">
        <f>IFERROR(__xludf.DUMMYFUNCTION("""COMPUTED_VALUE"""),75009.0)</f>
        <v>75009</v>
      </c>
      <c r="G121" s="132">
        <f t="shared" si="2"/>
        <v>0</v>
      </c>
      <c r="H121" s="132">
        <f t="shared" si="3"/>
        <v>0</v>
      </c>
      <c r="I121" s="132">
        <f t="shared" ref="I121:Z121" si="123">SUMIFS($C:$C,$B:$B,$F121,$D:$D,I$1)</f>
        <v>0</v>
      </c>
      <c r="J121" s="132">
        <f t="shared" si="123"/>
        <v>0</v>
      </c>
      <c r="K121" s="132">
        <f t="shared" si="123"/>
        <v>100</v>
      </c>
      <c r="L121" s="132">
        <f t="shared" si="123"/>
        <v>0</v>
      </c>
      <c r="M121" s="132">
        <f t="shared" si="123"/>
        <v>0</v>
      </c>
      <c r="N121" s="132">
        <f t="shared" si="123"/>
        <v>0</v>
      </c>
      <c r="O121" s="132">
        <f t="shared" si="123"/>
        <v>100</v>
      </c>
      <c r="P121" s="132">
        <f t="shared" si="123"/>
        <v>0</v>
      </c>
      <c r="Q121" s="132">
        <f t="shared" si="123"/>
        <v>0</v>
      </c>
      <c r="R121" s="132">
        <f t="shared" si="123"/>
        <v>0</v>
      </c>
      <c r="S121" s="132">
        <f t="shared" si="123"/>
        <v>0</v>
      </c>
      <c r="T121" s="132">
        <f t="shared" si="123"/>
        <v>0</v>
      </c>
      <c r="U121" s="132">
        <f t="shared" si="123"/>
        <v>0</v>
      </c>
      <c r="V121" s="132">
        <f t="shared" si="123"/>
        <v>0</v>
      </c>
      <c r="W121" s="132">
        <f t="shared" si="123"/>
        <v>0</v>
      </c>
      <c r="X121" s="132">
        <f t="shared" si="123"/>
        <v>0</v>
      </c>
      <c r="Y121" s="132">
        <f t="shared" si="123"/>
        <v>0</v>
      </c>
      <c r="Z121" s="132">
        <f t="shared" si="123"/>
        <v>0</v>
      </c>
      <c r="AA121" s="133">
        <f t="shared" si="5"/>
        <v>200</v>
      </c>
    </row>
    <row r="122">
      <c r="A122" s="130" t="s">
        <v>3285</v>
      </c>
      <c r="B122" s="25">
        <v>75204.0</v>
      </c>
      <c r="C122" s="27">
        <v>1000.0</v>
      </c>
      <c r="D122" s="134" t="s">
        <v>26</v>
      </c>
      <c r="F122" s="130">
        <f>IFERROR(__xludf.DUMMYFUNCTION("""COMPUTED_VALUE"""),76225.0)</f>
        <v>76225</v>
      </c>
      <c r="G122" s="132">
        <f t="shared" si="2"/>
        <v>0</v>
      </c>
      <c r="H122" s="132">
        <f t="shared" si="3"/>
        <v>0</v>
      </c>
      <c r="I122" s="132">
        <f t="shared" ref="I122:Z122" si="124">SUMIFS($C:$C,$B:$B,$F122,$D:$D,I$1)</f>
        <v>0</v>
      </c>
      <c r="J122" s="132">
        <f t="shared" si="124"/>
        <v>0</v>
      </c>
      <c r="K122" s="132">
        <f t="shared" si="124"/>
        <v>0</v>
      </c>
      <c r="L122" s="132">
        <f t="shared" si="124"/>
        <v>0</v>
      </c>
      <c r="M122" s="132">
        <f t="shared" si="124"/>
        <v>0</v>
      </c>
      <c r="N122" s="132">
        <f t="shared" si="124"/>
        <v>0</v>
      </c>
      <c r="O122" s="132">
        <f t="shared" si="124"/>
        <v>1000</v>
      </c>
      <c r="P122" s="132">
        <f t="shared" si="124"/>
        <v>0</v>
      </c>
      <c r="Q122" s="132">
        <f t="shared" si="124"/>
        <v>0</v>
      </c>
      <c r="R122" s="132">
        <f t="shared" si="124"/>
        <v>0</v>
      </c>
      <c r="S122" s="132">
        <f t="shared" si="124"/>
        <v>0</v>
      </c>
      <c r="T122" s="132">
        <f t="shared" si="124"/>
        <v>0</v>
      </c>
      <c r="U122" s="132">
        <f t="shared" si="124"/>
        <v>0</v>
      </c>
      <c r="V122" s="132">
        <f t="shared" si="124"/>
        <v>0</v>
      </c>
      <c r="W122" s="132">
        <f t="shared" si="124"/>
        <v>0</v>
      </c>
      <c r="X122" s="132">
        <f t="shared" si="124"/>
        <v>0</v>
      </c>
      <c r="Y122" s="132">
        <f t="shared" si="124"/>
        <v>0</v>
      </c>
      <c r="Z122" s="132">
        <f t="shared" si="124"/>
        <v>0</v>
      </c>
      <c r="AA122" s="133">
        <f t="shared" si="5"/>
        <v>1000</v>
      </c>
    </row>
    <row r="123">
      <c r="A123" s="130" t="s">
        <v>3315</v>
      </c>
      <c r="B123" s="25">
        <v>87508.0</v>
      </c>
      <c r="C123" s="27">
        <v>25.0</v>
      </c>
      <c r="D123" s="134" t="s">
        <v>32</v>
      </c>
      <c r="F123" s="130">
        <f>IFERROR(__xludf.DUMMYFUNCTION("""COMPUTED_VALUE"""),12345.0)</f>
        <v>12345</v>
      </c>
      <c r="G123" s="132">
        <f t="shared" si="2"/>
        <v>0</v>
      </c>
      <c r="H123" s="132">
        <f t="shared" si="3"/>
        <v>0</v>
      </c>
      <c r="I123" s="132">
        <f t="shared" ref="I123:Z123" si="125">SUMIFS($C:$C,$B:$B,$F123,$D:$D,I$1)</f>
        <v>0</v>
      </c>
      <c r="J123" s="132">
        <f t="shared" si="125"/>
        <v>0</v>
      </c>
      <c r="K123" s="132">
        <f t="shared" si="125"/>
        <v>0</v>
      </c>
      <c r="L123" s="132">
        <f t="shared" si="125"/>
        <v>0</v>
      </c>
      <c r="M123" s="132">
        <f t="shared" si="125"/>
        <v>0</v>
      </c>
      <c r="N123" s="132">
        <f t="shared" si="125"/>
        <v>0</v>
      </c>
      <c r="O123" s="132">
        <f t="shared" si="125"/>
        <v>0</v>
      </c>
      <c r="P123" s="132">
        <f t="shared" si="125"/>
        <v>0</v>
      </c>
      <c r="Q123" s="132">
        <f t="shared" si="125"/>
        <v>0</v>
      </c>
      <c r="R123" s="132">
        <f t="shared" si="125"/>
        <v>0</v>
      </c>
      <c r="S123" s="132">
        <f t="shared" si="125"/>
        <v>100</v>
      </c>
      <c r="T123" s="132">
        <f t="shared" si="125"/>
        <v>0</v>
      </c>
      <c r="U123" s="132">
        <f t="shared" si="125"/>
        <v>0</v>
      </c>
      <c r="V123" s="132">
        <f t="shared" si="125"/>
        <v>0</v>
      </c>
      <c r="W123" s="132">
        <f t="shared" si="125"/>
        <v>0</v>
      </c>
      <c r="X123" s="132">
        <f t="shared" si="125"/>
        <v>0</v>
      </c>
      <c r="Y123" s="132">
        <f t="shared" si="125"/>
        <v>0</v>
      </c>
      <c r="Z123" s="132">
        <f t="shared" si="125"/>
        <v>0</v>
      </c>
      <c r="AA123" s="133">
        <f t="shared" si="5"/>
        <v>100</v>
      </c>
    </row>
    <row r="124">
      <c r="A124" s="130" t="s">
        <v>3272</v>
      </c>
      <c r="B124" s="25">
        <v>75238.0</v>
      </c>
      <c r="C124" s="27">
        <v>1000.0</v>
      </c>
      <c r="D124" s="134" t="s">
        <v>26</v>
      </c>
      <c r="F124" s="130">
        <f>IFERROR(__xludf.DUMMYFUNCTION("""COMPUTED_VALUE"""),78756.0)</f>
        <v>78756</v>
      </c>
      <c r="G124" s="132">
        <f t="shared" si="2"/>
        <v>0</v>
      </c>
      <c r="H124" s="132">
        <f t="shared" si="3"/>
        <v>0</v>
      </c>
      <c r="I124" s="132">
        <f t="shared" ref="I124:Z124" si="126">SUMIFS($C:$C,$B:$B,$F124,$D:$D,I$1)</f>
        <v>0</v>
      </c>
      <c r="J124" s="132">
        <f t="shared" si="126"/>
        <v>0</v>
      </c>
      <c r="K124" s="132">
        <f t="shared" si="126"/>
        <v>0</v>
      </c>
      <c r="L124" s="132">
        <f t="shared" si="126"/>
        <v>1000</v>
      </c>
      <c r="M124" s="132">
        <f t="shared" si="126"/>
        <v>0</v>
      </c>
      <c r="N124" s="132">
        <f t="shared" si="126"/>
        <v>0</v>
      </c>
      <c r="O124" s="132">
        <f t="shared" si="126"/>
        <v>0</v>
      </c>
      <c r="P124" s="132">
        <f t="shared" si="126"/>
        <v>0</v>
      </c>
      <c r="Q124" s="132">
        <f t="shared" si="126"/>
        <v>0</v>
      </c>
      <c r="R124" s="132">
        <f t="shared" si="126"/>
        <v>0</v>
      </c>
      <c r="S124" s="132">
        <f t="shared" si="126"/>
        <v>0</v>
      </c>
      <c r="T124" s="132">
        <f t="shared" si="126"/>
        <v>0</v>
      </c>
      <c r="U124" s="132">
        <f t="shared" si="126"/>
        <v>0</v>
      </c>
      <c r="V124" s="132">
        <f t="shared" si="126"/>
        <v>0</v>
      </c>
      <c r="W124" s="132">
        <f t="shared" si="126"/>
        <v>0</v>
      </c>
      <c r="X124" s="132">
        <f t="shared" si="126"/>
        <v>0</v>
      </c>
      <c r="Y124" s="132">
        <f t="shared" si="126"/>
        <v>0</v>
      </c>
      <c r="Z124" s="132">
        <f t="shared" si="126"/>
        <v>0</v>
      </c>
      <c r="AA124" s="133">
        <f t="shared" si="5"/>
        <v>1000</v>
      </c>
    </row>
    <row r="125">
      <c r="A125" s="130" t="s">
        <v>3272</v>
      </c>
      <c r="B125" s="25">
        <v>75238.0</v>
      </c>
      <c r="C125" s="27">
        <v>1000.0</v>
      </c>
      <c r="D125" s="134" t="s">
        <v>26</v>
      </c>
      <c r="F125" s="130">
        <f>IFERROR(__xludf.DUMMYFUNCTION("""COMPUTED_VALUE"""),78731.0)</f>
        <v>78731</v>
      </c>
      <c r="G125" s="132">
        <f t="shared" si="2"/>
        <v>0</v>
      </c>
      <c r="H125" s="132">
        <f t="shared" si="3"/>
        <v>0</v>
      </c>
      <c r="I125" s="132">
        <f t="shared" ref="I125:Z125" si="127">SUMIFS($C:$C,$B:$B,$F125,$D:$D,I$1)</f>
        <v>0</v>
      </c>
      <c r="J125" s="132">
        <f t="shared" si="127"/>
        <v>0</v>
      </c>
      <c r="K125" s="132">
        <f t="shared" si="127"/>
        <v>0</v>
      </c>
      <c r="L125" s="132">
        <f t="shared" si="127"/>
        <v>1000</v>
      </c>
      <c r="M125" s="132">
        <f t="shared" si="127"/>
        <v>0</v>
      </c>
      <c r="N125" s="132">
        <f t="shared" si="127"/>
        <v>0</v>
      </c>
      <c r="O125" s="132">
        <f t="shared" si="127"/>
        <v>0</v>
      </c>
      <c r="P125" s="132">
        <f t="shared" si="127"/>
        <v>0</v>
      </c>
      <c r="Q125" s="132">
        <f t="shared" si="127"/>
        <v>0</v>
      </c>
      <c r="R125" s="132">
        <f t="shared" si="127"/>
        <v>0</v>
      </c>
      <c r="S125" s="132">
        <f t="shared" si="127"/>
        <v>0</v>
      </c>
      <c r="T125" s="132">
        <f t="shared" si="127"/>
        <v>0</v>
      </c>
      <c r="U125" s="132">
        <f t="shared" si="127"/>
        <v>0</v>
      </c>
      <c r="V125" s="132">
        <f t="shared" si="127"/>
        <v>0</v>
      </c>
      <c r="W125" s="132">
        <f t="shared" si="127"/>
        <v>0</v>
      </c>
      <c r="X125" s="132">
        <f t="shared" si="127"/>
        <v>0</v>
      </c>
      <c r="Y125" s="132">
        <f t="shared" si="127"/>
        <v>0</v>
      </c>
      <c r="Z125" s="132">
        <f t="shared" si="127"/>
        <v>0</v>
      </c>
      <c r="AA125" s="133">
        <f t="shared" si="5"/>
        <v>1000</v>
      </c>
    </row>
    <row r="126">
      <c r="A126" s="130" t="s">
        <v>3316</v>
      </c>
      <c r="B126" s="25">
        <v>22044.0</v>
      </c>
      <c r="C126" s="27">
        <v>100.0</v>
      </c>
      <c r="D126" s="134" t="s">
        <v>31</v>
      </c>
      <c r="F126" s="130">
        <f>IFERROR(__xludf.DUMMYFUNCTION("""COMPUTED_VALUE"""),78616.0)</f>
        <v>78616</v>
      </c>
      <c r="G126" s="132">
        <f t="shared" si="2"/>
        <v>0</v>
      </c>
      <c r="H126" s="132">
        <f t="shared" si="3"/>
        <v>0</v>
      </c>
      <c r="I126" s="132">
        <f t="shared" ref="I126:Z126" si="128">SUMIFS($C:$C,$B:$B,$F126,$D:$D,I$1)</f>
        <v>0</v>
      </c>
      <c r="J126" s="132">
        <f t="shared" si="128"/>
        <v>0</v>
      </c>
      <c r="K126" s="132">
        <f t="shared" si="128"/>
        <v>0</v>
      </c>
      <c r="L126" s="132">
        <f t="shared" si="128"/>
        <v>100</v>
      </c>
      <c r="M126" s="132">
        <f t="shared" si="128"/>
        <v>0</v>
      </c>
      <c r="N126" s="132">
        <f t="shared" si="128"/>
        <v>0</v>
      </c>
      <c r="O126" s="132">
        <f t="shared" si="128"/>
        <v>0</v>
      </c>
      <c r="P126" s="132">
        <f t="shared" si="128"/>
        <v>0</v>
      </c>
      <c r="Q126" s="132">
        <f t="shared" si="128"/>
        <v>0</v>
      </c>
      <c r="R126" s="132">
        <f t="shared" si="128"/>
        <v>0</v>
      </c>
      <c r="S126" s="132">
        <f t="shared" si="128"/>
        <v>0</v>
      </c>
      <c r="T126" s="132">
        <f t="shared" si="128"/>
        <v>0</v>
      </c>
      <c r="U126" s="132">
        <f t="shared" si="128"/>
        <v>0</v>
      </c>
      <c r="V126" s="132">
        <f t="shared" si="128"/>
        <v>0</v>
      </c>
      <c r="W126" s="132">
        <f t="shared" si="128"/>
        <v>0</v>
      </c>
      <c r="X126" s="132">
        <f t="shared" si="128"/>
        <v>0</v>
      </c>
      <c r="Y126" s="132">
        <f t="shared" si="128"/>
        <v>0</v>
      </c>
      <c r="Z126" s="132">
        <f t="shared" si="128"/>
        <v>0</v>
      </c>
      <c r="AA126" s="133">
        <f t="shared" si="5"/>
        <v>100</v>
      </c>
    </row>
    <row r="127">
      <c r="A127" s="130" t="s">
        <v>3302</v>
      </c>
      <c r="B127" s="25">
        <v>75226.0</v>
      </c>
      <c r="C127" s="27">
        <v>500.0</v>
      </c>
      <c r="D127" s="134" t="s">
        <v>25</v>
      </c>
      <c r="F127" s="130">
        <f>IFERROR(__xludf.DUMMYFUNCTION("""COMPUTED_VALUE"""),76264.0)</f>
        <v>76264</v>
      </c>
      <c r="G127" s="132">
        <f t="shared" si="2"/>
        <v>0</v>
      </c>
      <c r="H127" s="132">
        <f t="shared" si="3"/>
        <v>1000</v>
      </c>
      <c r="I127" s="132">
        <f t="shared" ref="I127:Z127" si="129">SUMIFS($C:$C,$B:$B,$F127,$D:$D,I$1)</f>
        <v>0</v>
      </c>
      <c r="J127" s="132">
        <f t="shared" si="129"/>
        <v>0</v>
      </c>
      <c r="K127" s="132">
        <f t="shared" si="129"/>
        <v>0</v>
      </c>
      <c r="L127" s="132">
        <f t="shared" si="129"/>
        <v>0</v>
      </c>
      <c r="M127" s="132">
        <f t="shared" si="129"/>
        <v>0</v>
      </c>
      <c r="N127" s="132">
        <f t="shared" si="129"/>
        <v>0</v>
      </c>
      <c r="O127" s="132">
        <f t="shared" si="129"/>
        <v>0</v>
      </c>
      <c r="P127" s="132">
        <f t="shared" si="129"/>
        <v>0</v>
      </c>
      <c r="Q127" s="132">
        <f t="shared" si="129"/>
        <v>0</v>
      </c>
      <c r="R127" s="132">
        <f t="shared" si="129"/>
        <v>0</v>
      </c>
      <c r="S127" s="132">
        <f t="shared" si="129"/>
        <v>0</v>
      </c>
      <c r="T127" s="132">
        <f t="shared" si="129"/>
        <v>0</v>
      </c>
      <c r="U127" s="132">
        <f t="shared" si="129"/>
        <v>0</v>
      </c>
      <c r="V127" s="132">
        <f t="shared" si="129"/>
        <v>0</v>
      </c>
      <c r="W127" s="132">
        <f t="shared" si="129"/>
        <v>0</v>
      </c>
      <c r="X127" s="132">
        <f t="shared" si="129"/>
        <v>0</v>
      </c>
      <c r="Y127" s="132">
        <f t="shared" si="129"/>
        <v>0</v>
      </c>
      <c r="Z127" s="132">
        <f t="shared" si="129"/>
        <v>0</v>
      </c>
      <c r="AA127" s="133">
        <f t="shared" si="5"/>
        <v>1000</v>
      </c>
    </row>
    <row r="128">
      <c r="A128" s="130" t="s">
        <v>3281</v>
      </c>
      <c r="B128" s="25">
        <v>75218.0</v>
      </c>
      <c r="C128" s="27">
        <v>500.0</v>
      </c>
      <c r="D128" s="134" t="s">
        <v>24</v>
      </c>
      <c r="F128" s="130">
        <f>IFERROR(__xludf.DUMMYFUNCTION("""COMPUTED_VALUE"""),75116.0)</f>
        <v>75116</v>
      </c>
      <c r="G128" s="132">
        <f t="shared" si="2"/>
        <v>0</v>
      </c>
      <c r="H128" s="132">
        <f t="shared" si="3"/>
        <v>1000</v>
      </c>
      <c r="I128" s="132">
        <f t="shared" ref="I128:Z128" si="130">SUMIFS($C:$C,$B:$B,$F128,$D:$D,I$1)</f>
        <v>0</v>
      </c>
      <c r="J128" s="132">
        <f t="shared" si="130"/>
        <v>0</v>
      </c>
      <c r="K128" s="132">
        <f t="shared" si="130"/>
        <v>0</v>
      </c>
      <c r="L128" s="132">
        <f t="shared" si="130"/>
        <v>0</v>
      </c>
      <c r="M128" s="132">
        <f t="shared" si="130"/>
        <v>0</v>
      </c>
      <c r="N128" s="132">
        <f t="shared" si="130"/>
        <v>0</v>
      </c>
      <c r="O128" s="132">
        <f t="shared" si="130"/>
        <v>0</v>
      </c>
      <c r="P128" s="132">
        <f t="shared" si="130"/>
        <v>0</v>
      </c>
      <c r="Q128" s="132">
        <f t="shared" si="130"/>
        <v>0</v>
      </c>
      <c r="R128" s="132">
        <f t="shared" si="130"/>
        <v>0</v>
      </c>
      <c r="S128" s="132">
        <f t="shared" si="130"/>
        <v>0</v>
      </c>
      <c r="T128" s="132">
        <f t="shared" si="130"/>
        <v>0</v>
      </c>
      <c r="U128" s="132">
        <f t="shared" si="130"/>
        <v>0</v>
      </c>
      <c r="V128" s="132">
        <f t="shared" si="130"/>
        <v>0</v>
      </c>
      <c r="W128" s="132">
        <f t="shared" si="130"/>
        <v>0</v>
      </c>
      <c r="X128" s="132">
        <f t="shared" si="130"/>
        <v>0</v>
      </c>
      <c r="Y128" s="132">
        <f t="shared" si="130"/>
        <v>0</v>
      </c>
      <c r="Z128" s="132">
        <f t="shared" si="130"/>
        <v>0</v>
      </c>
      <c r="AA128" s="133">
        <f t="shared" si="5"/>
        <v>1000</v>
      </c>
    </row>
    <row r="129">
      <c r="A129" s="130" t="s">
        <v>3317</v>
      </c>
      <c r="B129" s="25">
        <v>77002.0</v>
      </c>
      <c r="C129" s="27">
        <v>500.0</v>
      </c>
      <c r="D129" s="134" t="s">
        <v>25</v>
      </c>
      <c r="F129" s="130">
        <f>IFERROR(__xludf.DUMMYFUNCTION("""COMPUTED_VALUE"""),76011.0)</f>
        <v>76011</v>
      </c>
      <c r="G129" s="132">
        <f t="shared" si="2"/>
        <v>0</v>
      </c>
      <c r="H129" s="132">
        <f t="shared" si="3"/>
        <v>1000</v>
      </c>
      <c r="I129" s="132">
        <f t="shared" ref="I129:Z129" si="131">SUMIFS($C:$C,$B:$B,$F129,$D:$D,I$1)</f>
        <v>0</v>
      </c>
      <c r="J129" s="132">
        <f t="shared" si="131"/>
        <v>100</v>
      </c>
      <c r="K129" s="132">
        <f t="shared" si="131"/>
        <v>0</v>
      </c>
      <c r="L129" s="132">
        <f t="shared" si="131"/>
        <v>0</v>
      </c>
      <c r="M129" s="132">
        <f t="shared" si="131"/>
        <v>0</v>
      </c>
      <c r="N129" s="132">
        <f t="shared" si="131"/>
        <v>0</v>
      </c>
      <c r="O129" s="132">
        <f t="shared" si="131"/>
        <v>0</v>
      </c>
      <c r="P129" s="132">
        <f t="shared" si="131"/>
        <v>0</v>
      </c>
      <c r="Q129" s="132">
        <f t="shared" si="131"/>
        <v>0</v>
      </c>
      <c r="R129" s="132">
        <f t="shared" si="131"/>
        <v>0</v>
      </c>
      <c r="S129" s="132">
        <f t="shared" si="131"/>
        <v>0</v>
      </c>
      <c r="T129" s="132">
        <f t="shared" si="131"/>
        <v>0</v>
      </c>
      <c r="U129" s="132">
        <f t="shared" si="131"/>
        <v>0</v>
      </c>
      <c r="V129" s="132">
        <f t="shared" si="131"/>
        <v>0</v>
      </c>
      <c r="W129" s="132">
        <f t="shared" si="131"/>
        <v>0</v>
      </c>
      <c r="X129" s="132">
        <f t="shared" si="131"/>
        <v>0</v>
      </c>
      <c r="Y129" s="132">
        <f t="shared" si="131"/>
        <v>0</v>
      </c>
      <c r="Z129" s="132">
        <f t="shared" si="131"/>
        <v>0</v>
      </c>
      <c r="AA129" s="133">
        <f t="shared" si="5"/>
        <v>1100</v>
      </c>
    </row>
    <row r="130">
      <c r="A130" s="130" t="s">
        <v>3266</v>
      </c>
      <c r="B130" s="25">
        <v>75230.0</v>
      </c>
      <c r="C130" s="27">
        <v>250.0</v>
      </c>
      <c r="D130" s="134" t="s">
        <v>31</v>
      </c>
      <c r="F130" s="130">
        <f>IFERROR(__xludf.DUMMYFUNCTION("""COMPUTED_VALUE"""),75078.0)</f>
        <v>75078</v>
      </c>
      <c r="G130" s="132">
        <f t="shared" si="2"/>
        <v>0</v>
      </c>
      <c r="H130" s="132">
        <f t="shared" si="3"/>
        <v>100</v>
      </c>
      <c r="I130" s="132">
        <f t="shared" ref="I130:Z130" si="132">SUMIFS($C:$C,$B:$B,$F130,$D:$D,I$1)</f>
        <v>0</v>
      </c>
      <c r="J130" s="132">
        <f t="shared" si="132"/>
        <v>0</v>
      </c>
      <c r="K130" s="132">
        <f t="shared" si="132"/>
        <v>0</v>
      </c>
      <c r="L130" s="132">
        <f t="shared" si="132"/>
        <v>0</v>
      </c>
      <c r="M130" s="132">
        <f t="shared" si="132"/>
        <v>0</v>
      </c>
      <c r="N130" s="132">
        <f t="shared" si="132"/>
        <v>0</v>
      </c>
      <c r="O130" s="132">
        <f t="shared" si="132"/>
        <v>0</v>
      </c>
      <c r="P130" s="132">
        <f t="shared" si="132"/>
        <v>0</v>
      </c>
      <c r="Q130" s="132">
        <f t="shared" si="132"/>
        <v>0</v>
      </c>
      <c r="R130" s="132">
        <f t="shared" si="132"/>
        <v>0</v>
      </c>
      <c r="S130" s="132">
        <f t="shared" si="132"/>
        <v>0</v>
      </c>
      <c r="T130" s="132">
        <f t="shared" si="132"/>
        <v>0</v>
      </c>
      <c r="U130" s="132">
        <f t="shared" si="132"/>
        <v>0</v>
      </c>
      <c r="V130" s="132">
        <f t="shared" si="132"/>
        <v>0</v>
      </c>
      <c r="W130" s="132">
        <f t="shared" si="132"/>
        <v>0</v>
      </c>
      <c r="X130" s="132">
        <f t="shared" si="132"/>
        <v>0</v>
      </c>
      <c r="Y130" s="132">
        <f t="shared" si="132"/>
        <v>0</v>
      </c>
      <c r="Z130" s="132">
        <f t="shared" si="132"/>
        <v>0</v>
      </c>
      <c r="AA130" s="133">
        <f t="shared" si="5"/>
        <v>100</v>
      </c>
    </row>
    <row r="131">
      <c r="A131" s="130" t="s">
        <v>3318</v>
      </c>
      <c r="B131" s="25">
        <v>75137.0</v>
      </c>
      <c r="C131" s="27">
        <v>250.0</v>
      </c>
      <c r="D131" s="134" t="s">
        <v>25</v>
      </c>
      <c r="F131" s="130">
        <f>IFERROR(__xludf.DUMMYFUNCTION("""COMPUTED_VALUE"""),77434.0)</f>
        <v>77434</v>
      </c>
      <c r="G131" s="132">
        <f t="shared" si="2"/>
        <v>0</v>
      </c>
      <c r="H131" s="132">
        <f t="shared" si="3"/>
        <v>0</v>
      </c>
      <c r="I131" s="132">
        <f t="shared" ref="I131:Z131" si="133">SUMIFS($C:$C,$B:$B,$F131,$D:$D,I$1)</f>
        <v>0</v>
      </c>
      <c r="J131" s="132">
        <f t="shared" si="133"/>
        <v>0</v>
      </c>
      <c r="K131" s="132">
        <f t="shared" si="133"/>
        <v>500</v>
      </c>
      <c r="L131" s="132">
        <f t="shared" si="133"/>
        <v>0</v>
      </c>
      <c r="M131" s="132">
        <f t="shared" si="133"/>
        <v>0</v>
      </c>
      <c r="N131" s="132">
        <f t="shared" si="133"/>
        <v>0</v>
      </c>
      <c r="O131" s="132">
        <f t="shared" si="133"/>
        <v>0</v>
      </c>
      <c r="P131" s="132">
        <f t="shared" si="133"/>
        <v>0</v>
      </c>
      <c r="Q131" s="132">
        <f t="shared" si="133"/>
        <v>0</v>
      </c>
      <c r="R131" s="132">
        <f t="shared" si="133"/>
        <v>0</v>
      </c>
      <c r="S131" s="132">
        <f t="shared" si="133"/>
        <v>0</v>
      </c>
      <c r="T131" s="132">
        <f t="shared" si="133"/>
        <v>0</v>
      </c>
      <c r="U131" s="132">
        <f t="shared" si="133"/>
        <v>0</v>
      </c>
      <c r="V131" s="132">
        <f t="shared" si="133"/>
        <v>0</v>
      </c>
      <c r="W131" s="132">
        <f t="shared" si="133"/>
        <v>0</v>
      </c>
      <c r="X131" s="132">
        <f t="shared" si="133"/>
        <v>0</v>
      </c>
      <c r="Y131" s="132">
        <f t="shared" si="133"/>
        <v>0</v>
      </c>
      <c r="Z131" s="132">
        <f t="shared" si="133"/>
        <v>0</v>
      </c>
      <c r="AA131" s="133">
        <f t="shared" si="5"/>
        <v>500</v>
      </c>
    </row>
    <row r="132">
      <c r="A132" s="130" t="s">
        <v>3318</v>
      </c>
      <c r="B132" s="25">
        <v>75137.0</v>
      </c>
      <c r="C132" s="27">
        <v>50.0</v>
      </c>
      <c r="D132" s="134" t="s">
        <v>25</v>
      </c>
      <c r="F132" s="130">
        <f>IFERROR(__xludf.DUMMYFUNCTION("""COMPUTED_VALUE"""),77019.0)</f>
        <v>77019</v>
      </c>
      <c r="G132" s="132">
        <f t="shared" si="2"/>
        <v>0</v>
      </c>
      <c r="H132" s="132">
        <f t="shared" si="3"/>
        <v>0</v>
      </c>
      <c r="I132" s="132">
        <f t="shared" ref="I132:Z132" si="134">SUMIFS($C:$C,$B:$B,$F132,$D:$D,I$1)</f>
        <v>0</v>
      </c>
      <c r="J132" s="132">
        <f t="shared" si="134"/>
        <v>0</v>
      </c>
      <c r="K132" s="132">
        <f t="shared" si="134"/>
        <v>3250</v>
      </c>
      <c r="L132" s="132">
        <f t="shared" si="134"/>
        <v>0</v>
      </c>
      <c r="M132" s="132">
        <f t="shared" si="134"/>
        <v>0</v>
      </c>
      <c r="N132" s="132">
        <f t="shared" si="134"/>
        <v>0</v>
      </c>
      <c r="O132" s="132">
        <f t="shared" si="134"/>
        <v>0</v>
      </c>
      <c r="P132" s="132">
        <f t="shared" si="134"/>
        <v>0</v>
      </c>
      <c r="Q132" s="132">
        <f t="shared" si="134"/>
        <v>0</v>
      </c>
      <c r="R132" s="132">
        <f t="shared" si="134"/>
        <v>0</v>
      </c>
      <c r="S132" s="132">
        <f t="shared" si="134"/>
        <v>0</v>
      </c>
      <c r="T132" s="132">
        <f t="shared" si="134"/>
        <v>0</v>
      </c>
      <c r="U132" s="132">
        <f t="shared" si="134"/>
        <v>0</v>
      </c>
      <c r="V132" s="132">
        <f t="shared" si="134"/>
        <v>0</v>
      </c>
      <c r="W132" s="132">
        <f t="shared" si="134"/>
        <v>0</v>
      </c>
      <c r="X132" s="132">
        <f t="shared" si="134"/>
        <v>0</v>
      </c>
      <c r="Y132" s="132">
        <f t="shared" si="134"/>
        <v>0</v>
      </c>
      <c r="Z132" s="132">
        <f t="shared" si="134"/>
        <v>0</v>
      </c>
      <c r="AA132" s="133">
        <f t="shared" si="5"/>
        <v>3250</v>
      </c>
    </row>
    <row r="133">
      <c r="A133" s="130" t="s">
        <v>3301</v>
      </c>
      <c r="B133" s="25">
        <v>75220.0</v>
      </c>
      <c r="C133" s="27">
        <v>1000.0</v>
      </c>
      <c r="D133" s="134" t="s">
        <v>23</v>
      </c>
      <c r="F133" s="130">
        <f>IFERROR(__xludf.DUMMYFUNCTION("""COMPUTED_VALUE"""),77010.0)</f>
        <v>77010</v>
      </c>
      <c r="G133" s="132">
        <f t="shared" si="2"/>
        <v>0</v>
      </c>
      <c r="H133" s="132">
        <f t="shared" si="3"/>
        <v>0</v>
      </c>
      <c r="I133" s="132">
        <f t="shared" ref="I133:Z133" si="135">SUMIFS($C:$C,$B:$B,$F133,$D:$D,I$1)</f>
        <v>0</v>
      </c>
      <c r="J133" s="132">
        <f t="shared" si="135"/>
        <v>0</v>
      </c>
      <c r="K133" s="132">
        <f t="shared" si="135"/>
        <v>2500</v>
      </c>
      <c r="L133" s="132">
        <f t="shared" si="135"/>
        <v>0</v>
      </c>
      <c r="M133" s="132">
        <f t="shared" si="135"/>
        <v>0</v>
      </c>
      <c r="N133" s="132">
        <f t="shared" si="135"/>
        <v>0</v>
      </c>
      <c r="O133" s="132">
        <f t="shared" si="135"/>
        <v>0</v>
      </c>
      <c r="P133" s="132">
        <f t="shared" si="135"/>
        <v>0</v>
      </c>
      <c r="Q133" s="132">
        <f t="shared" si="135"/>
        <v>0</v>
      </c>
      <c r="R133" s="132">
        <f t="shared" si="135"/>
        <v>0</v>
      </c>
      <c r="S133" s="132">
        <f t="shared" si="135"/>
        <v>0</v>
      </c>
      <c r="T133" s="132">
        <f t="shared" si="135"/>
        <v>0</v>
      </c>
      <c r="U133" s="132">
        <f t="shared" si="135"/>
        <v>0</v>
      </c>
      <c r="V133" s="132">
        <f t="shared" si="135"/>
        <v>0</v>
      </c>
      <c r="W133" s="132">
        <f t="shared" si="135"/>
        <v>0</v>
      </c>
      <c r="X133" s="132">
        <f t="shared" si="135"/>
        <v>0</v>
      </c>
      <c r="Y133" s="132">
        <f t="shared" si="135"/>
        <v>0</v>
      </c>
      <c r="Z133" s="132">
        <f t="shared" si="135"/>
        <v>0</v>
      </c>
      <c r="AA133" s="133">
        <f t="shared" si="5"/>
        <v>2500</v>
      </c>
    </row>
    <row r="134">
      <c r="A134" s="130" t="s">
        <v>3301</v>
      </c>
      <c r="B134" s="25">
        <v>75220.0</v>
      </c>
      <c r="C134" s="27">
        <v>1000.0</v>
      </c>
      <c r="D134" s="134" t="s">
        <v>25</v>
      </c>
      <c r="F134" s="130">
        <f>IFERROR(__xludf.DUMMYFUNCTION("""COMPUTED_VALUE"""),77027.0)</f>
        <v>77027</v>
      </c>
      <c r="G134" s="132">
        <f t="shared" si="2"/>
        <v>0</v>
      </c>
      <c r="H134" s="132">
        <f t="shared" si="3"/>
        <v>0</v>
      </c>
      <c r="I134" s="132">
        <f t="shared" ref="I134:Z134" si="136">SUMIFS($C:$C,$B:$B,$F134,$D:$D,I$1)</f>
        <v>0</v>
      </c>
      <c r="J134" s="132">
        <f t="shared" si="136"/>
        <v>0</v>
      </c>
      <c r="K134" s="132">
        <f t="shared" si="136"/>
        <v>1000</v>
      </c>
      <c r="L134" s="132">
        <f t="shared" si="136"/>
        <v>0</v>
      </c>
      <c r="M134" s="132">
        <f t="shared" si="136"/>
        <v>0</v>
      </c>
      <c r="N134" s="132">
        <f t="shared" si="136"/>
        <v>0</v>
      </c>
      <c r="O134" s="132">
        <f t="shared" si="136"/>
        <v>0</v>
      </c>
      <c r="P134" s="132">
        <f t="shared" si="136"/>
        <v>0</v>
      </c>
      <c r="Q134" s="132">
        <f t="shared" si="136"/>
        <v>0</v>
      </c>
      <c r="R134" s="132">
        <f t="shared" si="136"/>
        <v>0</v>
      </c>
      <c r="S134" s="132">
        <f t="shared" si="136"/>
        <v>0</v>
      </c>
      <c r="T134" s="132">
        <f t="shared" si="136"/>
        <v>0</v>
      </c>
      <c r="U134" s="132">
        <f t="shared" si="136"/>
        <v>0</v>
      </c>
      <c r="V134" s="132">
        <f t="shared" si="136"/>
        <v>0</v>
      </c>
      <c r="W134" s="132">
        <f t="shared" si="136"/>
        <v>0</v>
      </c>
      <c r="X134" s="132">
        <f t="shared" si="136"/>
        <v>0</v>
      </c>
      <c r="Y134" s="132">
        <f t="shared" si="136"/>
        <v>0</v>
      </c>
      <c r="Z134" s="132">
        <f t="shared" si="136"/>
        <v>0</v>
      </c>
      <c r="AA134" s="133">
        <f t="shared" si="5"/>
        <v>1000</v>
      </c>
    </row>
    <row r="135">
      <c r="A135" s="130" t="s">
        <v>3301</v>
      </c>
      <c r="B135" s="25">
        <v>75220.0</v>
      </c>
      <c r="C135" s="27">
        <v>1000.0</v>
      </c>
      <c r="D135" s="134" t="s">
        <v>25</v>
      </c>
      <c r="F135" s="130">
        <f>IFERROR(__xludf.DUMMYFUNCTION("""COMPUTED_VALUE"""),75098.0)</f>
        <v>75098</v>
      </c>
      <c r="G135" s="132">
        <f t="shared" si="2"/>
        <v>0</v>
      </c>
      <c r="H135" s="132">
        <f t="shared" si="3"/>
        <v>0</v>
      </c>
      <c r="I135" s="132">
        <f t="shared" ref="I135:Z135" si="137">SUMIFS($C:$C,$B:$B,$F135,$D:$D,I$1)</f>
        <v>0</v>
      </c>
      <c r="J135" s="132">
        <f t="shared" si="137"/>
        <v>0</v>
      </c>
      <c r="K135" s="132">
        <f t="shared" si="137"/>
        <v>5000</v>
      </c>
      <c r="L135" s="132">
        <f t="shared" si="137"/>
        <v>0</v>
      </c>
      <c r="M135" s="132">
        <f t="shared" si="137"/>
        <v>0</v>
      </c>
      <c r="N135" s="132">
        <f t="shared" si="137"/>
        <v>0</v>
      </c>
      <c r="O135" s="132">
        <f t="shared" si="137"/>
        <v>0</v>
      </c>
      <c r="P135" s="132">
        <f t="shared" si="137"/>
        <v>0</v>
      </c>
      <c r="Q135" s="132">
        <f t="shared" si="137"/>
        <v>0</v>
      </c>
      <c r="R135" s="132">
        <f t="shared" si="137"/>
        <v>0</v>
      </c>
      <c r="S135" s="132">
        <f t="shared" si="137"/>
        <v>0</v>
      </c>
      <c r="T135" s="132">
        <f t="shared" si="137"/>
        <v>0</v>
      </c>
      <c r="U135" s="132">
        <f t="shared" si="137"/>
        <v>0</v>
      </c>
      <c r="V135" s="132">
        <f t="shared" si="137"/>
        <v>0</v>
      </c>
      <c r="W135" s="132">
        <f t="shared" si="137"/>
        <v>0</v>
      </c>
      <c r="X135" s="132">
        <f t="shared" si="137"/>
        <v>0</v>
      </c>
      <c r="Y135" s="132">
        <f t="shared" si="137"/>
        <v>0</v>
      </c>
      <c r="Z135" s="132">
        <f t="shared" si="137"/>
        <v>0</v>
      </c>
      <c r="AA135" s="133">
        <f t="shared" si="5"/>
        <v>5000</v>
      </c>
    </row>
    <row r="136">
      <c r="A136" s="130" t="s">
        <v>3319</v>
      </c>
      <c r="B136" s="25">
        <v>33496.0</v>
      </c>
      <c r="C136" s="27">
        <v>1000.0</v>
      </c>
      <c r="D136" s="134" t="s">
        <v>22</v>
      </c>
      <c r="F136" s="130">
        <f>IFERROR(__xludf.DUMMYFUNCTION("""COMPUTED_VALUE"""),77042.0)</f>
        <v>77042</v>
      </c>
      <c r="G136" s="132">
        <f t="shared" si="2"/>
        <v>0</v>
      </c>
      <c r="H136" s="132">
        <f t="shared" si="3"/>
        <v>0</v>
      </c>
      <c r="I136" s="132">
        <f t="shared" ref="I136:Z136" si="138">SUMIFS($C:$C,$B:$B,$F136,$D:$D,I$1)</f>
        <v>0</v>
      </c>
      <c r="J136" s="132">
        <f t="shared" si="138"/>
        <v>0</v>
      </c>
      <c r="K136" s="132">
        <f t="shared" si="138"/>
        <v>500</v>
      </c>
      <c r="L136" s="132">
        <f t="shared" si="138"/>
        <v>0</v>
      </c>
      <c r="M136" s="132">
        <f t="shared" si="138"/>
        <v>0</v>
      </c>
      <c r="N136" s="132">
        <f t="shared" si="138"/>
        <v>0</v>
      </c>
      <c r="O136" s="132">
        <f t="shared" si="138"/>
        <v>0</v>
      </c>
      <c r="P136" s="132">
        <f t="shared" si="138"/>
        <v>0</v>
      </c>
      <c r="Q136" s="132">
        <f t="shared" si="138"/>
        <v>0</v>
      </c>
      <c r="R136" s="132">
        <f t="shared" si="138"/>
        <v>0</v>
      </c>
      <c r="S136" s="132">
        <f t="shared" si="138"/>
        <v>0</v>
      </c>
      <c r="T136" s="132">
        <f t="shared" si="138"/>
        <v>0</v>
      </c>
      <c r="U136" s="132">
        <f t="shared" si="138"/>
        <v>0</v>
      </c>
      <c r="V136" s="132">
        <f t="shared" si="138"/>
        <v>0</v>
      </c>
      <c r="W136" s="132">
        <f t="shared" si="138"/>
        <v>0</v>
      </c>
      <c r="X136" s="132">
        <f t="shared" si="138"/>
        <v>0</v>
      </c>
      <c r="Y136" s="132">
        <f t="shared" si="138"/>
        <v>0</v>
      </c>
      <c r="Z136" s="132">
        <f t="shared" si="138"/>
        <v>0</v>
      </c>
      <c r="AA136" s="133">
        <f t="shared" si="5"/>
        <v>500</v>
      </c>
    </row>
    <row r="137">
      <c r="A137" s="130" t="s">
        <v>3270</v>
      </c>
      <c r="B137" s="25">
        <v>75206.0</v>
      </c>
      <c r="C137" s="27">
        <v>1000.0</v>
      </c>
      <c r="D137" s="134" t="s">
        <v>24</v>
      </c>
      <c r="F137" s="130">
        <f>IFERROR(__xludf.DUMMYFUNCTION("""COMPUTED_VALUE"""),77024.0)</f>
        <v>77024</v>
      </c>
      <c r="G137" s="132">
        <f t="shared" si="2"/>
        <v>0</v>
      </c>
      <c r="H137" s="132">
        <f t="shared" si="3"/>
        <v>0</v>
      </c>
      <c r="I137" s="132">
        <f t="shared" ref="I137:Z137" si="139">SUMIFS($C:$C,$B:$B,$F137,$D:$D,I$1)</f>
        <v>1000</v>
      </c>
      <c r="J137" s="132">
        <f t="shared" si="139"/>
        <v>1000</v>
      </c>
      <c r="K137" s="132">
        <f t="shared" si="139"/>
        <v>2250</v>
      </c>
      <c r="L137" s="132">
        <f t="shared" si="139"/>
        <v>0</v>
      </c>
      <c r="M137" s="132">
        <f t="shared" si="139"/>
        <v>0</v>
      </c>
      <c r="N137" s="132">
        <f t="shared" si="139"/>
        <v>0</v>
      </c>
      <c r="O137" s="132">
        <f t="shared" si="139"/>
        <v>0</v>
      </c>
      <c r="P137" s="132">
        <f t="shared" si="139"/>
        <v>1000</v>
      </c>
      <c r="Q137" s="132">
        <f t="shared" si="139"/>
        <v>0</v>
      </c>
      <c r="R137" s="132">
        <f t="shared" si="139"/>
        <v>0</v>
      </c>
      <c r="S137" s="132">
        <f t="shared" si="139"/>
        <v>0</v>
      </c>
      <c r="T137" s="132">
        <f t="shared" si="139"/>
        <v>0</v>
      </c>
      <c r="U137" s="132">
        <f t="shared" si="139"/>
        <v>0</v>
      </c>
      <c r="V137" s="132">
        <f t="shared" si="139"/>
        <v>0</v>
      </c>
      <c r="W137" s="132">
        <f t="shared" si="139"/>
        <v>0</v>
      </c>
      <c r="X137" s="132">
        <f t="shared" si="139"/>
        <v>0</v>
      </c>
      <c r="Y137" s="132">
        <f t="shared" si="139"/>
        <v>0</v>
      </c>
      <c r="Z137" s="132">
        <f t="shared" si="139"/>
        <v>0</v>
      </c>
      <c r="AA137" s="133">
        <f t="shared" si="5"/>
        <v>5250</v>
      </c>
    </row>
    <row r="138">
      <c r="A138" s="130" t="s">
        <v>3270</v>
      </c>
      <c r="B138" s="25">
        <v>75206.0</v>
      </c>
      <c r="C138" s="27">
        <v>950.0</v>
      </c>
      <c r="D138" s="134" t="s">
        <v>21</v>
      </c>
      <c r="F138" s="130">
        <f>IFERROR(__xludf.DUMMYFUNCTION("""COMPUTED_VALUE"""),78738.0)</f>
        <v>78738</v>
      </c>
      <c r="G138" s="132">
        <f t="shared" si="2"/>
        <v>0</v>
      </c>
      <c r="H138" s="132">
        <f t="shared" si="3"/>
        <v>0</v>
      </c>
      <c r="I138" s="132">
        <f t="shared" ref="I138:Z138" si="140">SUMIFS($C:$C,$B:$B,$F138,$D:$D,I$1)</f>
        <v>0</v>
      </c>
      <c r="J138" s="132">
        <f t="shared" si="140"/>
        <v>0</v>
      </c>
      <c r="K138" s="132">
        <f t="shared" si="140"/>
        <v>2000</v>
      </c>
      <c r="L138" s="132">
        <f t="shared" si="140"/>
        <v>0</v>
      </c>
      <c r="M138" s="132">
        <f t="shared" si="140"/>
        <v>0</v>
      </c>
      <c r="N138" s="132">
        <f t="shared" si="140"/>
        <v>0</v>
      </c>
      <c r="O138" s="132">
        <f t="shared" si="140"/>
        <v>0</v>
      </c>
      <c r="P138" s="132">
        <f t="shared" si="140"/>
        <v>0</v>
      </c>
      <c r="Q138" s="132">
        <f t="shared" si="140"/>
        <v>0</v>
      </c>
      <c r="R138" s="132">
        <f t="shared" si="140"/>
        <v>0</v>
      </c>
      <c r="S138" s="132">
        <f t="shared" si="140"/>
        <v>0</v>
      </c>
      <c r="T138" s="132">
        <f t="shared" si="140"/>
        <v>0</v>
      </c>
      <c r="U138" s="132">
        <f t="shared" si="140"/>
        <v>0</v>
      </c>
      <c r="V138" s="132">
        <f t="shared" si="140"/>
        <v>0</v>
      </c>
      <c r="W138" s="132">
        <f t="shared" si="140"/>
        <v>0</v>
      </c>
      <c r="X138" s="132">
        <f t="shared" si="140"/>
        <v>0</v>
      </c>
      <c r="Y138" s="132">
        <f t="shared" si="140"/>
        <v>0</v>
      </c>
      <c r="Z138" s="132">
        <f t="shared" si="140"/>
        <v>0</v>
      </c>
      <c r="AA138" s="133">
        <f t="shared" si="5"/>
        <v>2000</v>
      </c>
    </row>
    <row r="139">
      <c r="A139" s="130" t="s">
        <v>3280</v>
      </c>
      <c r="B139" s="25">
        <v>75252.0</v>
      </c>
      <c r="C139" s="27">
        <v>1000.0</v>
      </c>
      <c r="D139" s="134" t="s">
        <v>21</v>
      </c>
      <c r="F139" s="130">
        <f>IFERROR(__xludf.DUMMYFUNCTION("""COMPUTED_VALUE"""),76448.0)</f>
        <v>76448</v>
      </c>
      <c r="G139" s="132">
        <f t="shared" si="2"/>
        <v>0</v>
      </c>
      <c r="H139" s="132">
        <f t="shared" si="3"/>
        <v>0</v>
      </c>
      <c r="I139" s="132">
        <f t="shared" ref="I139:Z139" si="141">SUMIFS($C:$C,$B:$B,$F139,$D:$D,I$1)</f>
        <v>0</v>
      </c>
      <c r="J139" s="132">
        <f t="shared" si="141"/>
        <v>0</v>
      </c>
      <c r="K139" s="132">
        <f t="shared" si="141"/>
        <v>1500</v>
      </c>
      <c r="L139" s="132">
        <f t="shared" si="141"/>
        <v>0</v>
      </c>
      <c r="M139" s="132">
        <f t="shared" si="141"/>
        <v>0</v>
      </c>
      <c r="N139" s="132">
        <f t="shared" si="141"/>
        <v>0</v>
      </c>
      <c r="O139" s="132">
        <f t="shared" si="141"/>
        <v>0</v>
      </c>
      <c r="P139" s="132">
        <f t="shared" si="141"/>
        <v>0</v>
      </c>
      <c r="Q139" s="132">
        <f t="shared" si="141"/>
        <v>0</v>
      </c>
      <c r="R139" s="132">
        <f t="shared" si="141"/>
        <v>0</v>
      </c>
      <c r="S139" s="132">
        <f t="shared" si="141"/>
        <v>0</v>
      </c>
      <c r="T139" s="132">
        <f t="shared" si="141"/>
        <v>0</v>
      </c>
      <c r="U139" s="132">
        <f t="shared" si="141"/>
        <v>0</v>
      </c>
      <c r="V139" s="132">
        <f t="shared" si="141"/>
        <v>0</v>
      </c>
      <c r="W139" s="132">
        <f t="shared" si="141"/>
        <v>0</v>
      </c>
      <c r="X139" s="132">
        <f t="shared" si="141"/>
        <v>0</v>
      </c>
      <c r="Y139" s="132">
        <f t="shared" si="141"/>
        <v>0</v>
      </c>
      <c r="Z139" s="132">
        <f t="shared" si="141"/>
        <v>0</v>
      </c>
      <c r="AA139" s="133">
        <f t="shared" si="5"/>
        <v>1500</v>
      </c>
    </row>
    <row r="140">
      <c r="A140" s="130" t="s">
        <v>3292</v>
      </c>
      <c r="B140" s="25">
        <v>75243.0</v>
      </c>
      <c r="C140" s="27">
        <v>100.0</v>
      </c>
      <c r="D140" s="134" t="s">
        <v>35</v>
      </c>
      <c r="F140" s="130">
        <f>IFERROR(__xludf.DUMMYFUNCTION("""COMPUTED_VALUE"""),60601.0)</f>
        <v>60601</v>
      </c>
      <c r="G140" s="132">
        <f t="shared" si="2"/>
        <v>0</v>
      </c>
      <c r="H140" s="132">
        <f t="shared" si="3"/>
        <v>0</v>
      </c>
      <c r="I140" s="132">
        <f t="shared" ref="I140:Z140" si="142">SUMIFS($C:$C,$B:$B,$F140,$D:$D,I$1)</f>
        <v>0</v>
      </c>
      <c r="J140" s="132">
        <f t="shared" si="142"/>
        <v>0</v>
      </c>
      <c r="K140" s="132">
        <f t="shared" si="142"/>
        <v>500</v>
      </c>
      <c r="L140" s="132">
        <f t="shared" si="142"/>
        <v>0</v>
      </c>
      <c r="M140" s="132">
        <f t="shared" si="142"/>
        <v>0</v>
      </c>
      <c r="N140" s="132">
        <f t="shared" si="142"/>
        <v>0</v>
      </c>
      <c r="O140" s="132">
        <f t="shared" si="142"/>
        <v>0</v>
      </c>
      <c r="P140" s="132">
        <f t="shared" si="142"/>
        <v>0</v>
      </c>
      <c r="Q140" s="132">
        <f t="shared" si="142"/>
        <v>0</v>
      </c>
      <c r="R140" s="132">
        <f t="shared" si="142"/>
        <v>0</v>
      </c>
      <c r="S140" s="132">
        <f t="shared" si="142"/>
        <v>0</v>
      </c>
      <c r="T140" s="132">
        <f t="shared" si="142"/>
        <v>0</v>
      </c>
      <c r="U140" s="132">
        <f t="shared" si="142"/>
        <v>0</v>
      </c>
      <c r="V140" s="132">
        <f t="shared" si="142"/>
        <v>0</v>
      </c>
      <c r="W140" s="132">
        <f t="shared" si="142"/>
        <v>0</v>
      </c>
      <c r="X140" s="132">
        <f t="shared" si="142"/>
        <v>0</v>
      </c>
      <c r="Y140" s="132">
        <f t="shared" si="142"/>
        <v>0</v>
      </c>
      <c r="Z140" s="132">
        <f t="shared" si="142"/>
        <v>0</v>
      </c>
      <c r="AA140" s="133">
        <f t="shared" si="5"/>
        <v>500</v>
      </c>
    </row>
    <row r="141">
      <c r="A141" s="130" t="s">
        <v>3320</v>
      </c>
      <c r="B141" s="25">
        <v>75201.0</v>
      </c>
      <c r="C141" s="27">
        <v>1000.0</v>
      </c>
      <c r="D141" s="134" t="s">
        <v>29</v>
      </c>
      <c r="F141" s="130">
        <f>IFERROR(__xludf.DUMMYFUNCTION("""COMPUTED_VALUE"""),77004.0)</f>
        <v>77004</v>
      </c>
      <c r="G141" s="132">
        <f t="shared" si="2"/>
        <v>0</v>
      </c>
      <c r="H141" s="132">
        <f t="shared" si="3"/>
        <v>0</v>
      </c>
      <c r="I141" s="132">
        <f t="shared" ref="I141:Z141" si="143">SUMIFS($C:$C,$B:$B,$F141,$D:$D,I$1)</f>
        <v>0</v>
      </c>
      <c r="J141" s="132">
        <f t="shared" si="143"/>
        <v>0</v>
      </c>
      <c r="K141" s="132">
        <f t="shared" si="143"/>
        <v>1500</v>
      </c>
      <c r="L141" s="132">
        <f t="shared" si="143"/>
        <v>0</v>
      </c>
      <c r="M141" s="132">
        <f t="shared" si="143"/>
        <v>0</v>
      </c>
      <c r="N141" s="132">
        <f t="shared" si="143"/>
        <v>0</v>
      </c>
      <c r="O141" s="132">
        <f t="shared" si="143"/>
        <v>0</v>
      </c>
      <c r="P141" s="132">
        <f t="shared" si="143"/>
        <v>0</v>
      </c>
      <c r="Q141" s="132">
        <f t="shared" si="143"/>
        <v>0</v>
      </c>
      <c r="R141" s="132">
        <f t="shared" si="143"/>
        <v>0</v>
      </c>
      <c r="S141" s="132">
        <f t="shared" si="143"/>
        <v>0</v>
      </c>
      <c r="T141" s="132">
        <f t="shared" si="143"/>
        <v>0</v>
      </c>
      <c r="U141" s="132">
        <f t="shared" si="143"/>
        <v>0</v>
      </c>
      <c r="V141" s="132">
        <f t="shared" si="143"/>
        <v>0</v>
      </c>
      <c r="W141" s="132">
        <f t="shared" si="143"/>
        <v>0</v>
      </c>
      <c r="X141" s="132">
        <f t="shared" si="143"/>
        <v>0</v>
      </c>
      <c r="Y141" s="132">
        <f t="shared" si="143"/>
        <v>0</v>
      </c>
      <c r="Z141" s="132">
        <f t="shared" si="143"/>
        <v>0</v>
      </c>
      <c r="AA141" s="133">
        <f t="shared" si="5"/>
        <v>1500</v>
      </c>
    </row>
    <row r="142">
      <c r="A142" s="130" t="s">
        <v>3321</v>
      </c>
      <c r="B142" s="25">
        <v>75209.0</v>
      </c>
      <c r="C142" s="27">
        <v>2500.0</v>
      </c>
      <c r="D142" s="134" t="s">
        <v>25</v>
      </c>
      <c r="F142" s="130">
        <f>IFERROR(__xludf.DUMMYFUNCTION("""COMPUTED_VALUE"""),64108.0)</f>
        <v>64108</v>
      </c>
      <c r="G142" s="132">
        <f t="shared" si="2"/>
        <v>0</v>
      </c>
      <c r="H142" s="132">
        <f t="shared" si="3"/>
        <v>0</v>
      </c>
      <c r="I142" s="132">
        <f t="shared" ref="I142:Z142" si="144">SUMIFS($C:$C,$B:$B,$F142,$D:$D,I$1)</f>
        <v>0</v>
      </c>
      <c r="J142" s="132">
        <f t="shared" si="144"/>
        <v>0</v>
      </c>
      <c r="K142" s="132">
        <f t="shared" si="144"/>
        <v>1000</v>
      </c>
      <c r="L142" s="132">
        <f t="shared" si="144"/>
        <v>0</v>
      </c>
      <c r="M142" s="132">
        <f t="shared" si="144"/>
        <v>0</v>
      </c>
      <c r="N142" s="132">
        <f t="shared" si="144"/>
        <v>0</v>
      </c>
      <c r="O142" s="132">
        <f t="shared" si="144"/>
        <v>0</v>
      </c>
      <c r="P142" s="132">
        <f t="shared" si="144"/>
        <v>0</v>
      </c>
      <c r="Q142" s="132">
        <f t="shared" si="144"/>
        <v>0</v>
      </c>
      <c r="R142" s="132">
        <f t="shared" si="144"/>
        <v>0</v>
      </c>
      <c r="S142" s="132">
        <f t="shared" si="144"/>
        <v>0</v>
      </c>
      <c r="T142" s="132">
        <f t="shared" si="144"/>
        <v>0</v>
      </c>
      <c r="U142" s="132">
        <f t="shared" si="144"/>
        <v>0</v>
      </c>
      <c r="V142" s="132">
        <f t="shared" si="144"/>
        <v>0</v>
      </c>
      <c r="W142" s="132">
        <f t="shared" si="144"/>
        <v>0</v>
      </c>
      <c r="X142" s="132">
        <f t="shared" si="144"/>
        <v>0</v>
      </c>
      <c r="Y142" s="132">
        <f t="shared" si="144"/>
        <v>0</v>
      </c>
      <c r="Z142" s="132">
        <f t="shared" si="144"/>
        <v>0</v>
      </c>
      <c r="AA142" s="133">
        <f t="shared" si="5"/>
        <v>1000</v>
      </c>
    </row>
    <row r="143">
      <c r="A143" s="130" t="s">
        <v>3312</v>
      </c>
      <c r="B143" s="25">
        <v>75201.0</v>
      </c>
      <c r="C143" s="27">
        <v>950.0</v>
      </c>
      <c r="D143" s="134" t="s">
        <v>21</v>
      </c>
      <c r="F143" s="130">
        <f>IFERROR(__xludf.DUMMYFUNCTION("""COMPUTED_VALUE"""),2138.0)</f>
        <v>2138</v>
      </c>
      <c r="G143" s="132">
        <f t="shared" si="2"/>
        <v>0</v>
      </c>
      <c r="H143" s="132">
        <f t="shared" si="3"/>
        <v>0</v>
      </c>
      <c r="I143" s="132">
        <f t="shared" ref="I143:Z143" si="145">SUMIFS($C:$C,$B:$B,$F143,$D:$D,I$1)</f>
        <v>0</v>
      </c>
      <c r="J143" s="132">
        <f t="shared" si="145"/>
        <v>0</v>
      </c>
      <c r="K143" s="132">
        <f t="shared" si="145"/>
        <v>500</v>
      </c>
      <c r="L143" s="132">
        <f t="shared" si="145"/>
        <v>0</v>
      </c>
      <c r="M143" s="132">
        <f t="shared" si="145"/>
        <v>0</v>
      </c>
      <c r="N143" s="132">
        <f t="shared" si="145"/>
        <v>0</v>
      </c>
      <c r="O143" s="132">
        <f t="shared" si="145"/>
        <v>0</v>
      </c>
      <c r="P143" s="132">
        <f t="shared" si="145"/>
        <v>0</v>
      </c>
      <c r="Q143" s="132">
        <f t="shared" si="145"/>
        <v>0</v>
      </c>
      <c r="R143" s="132">
        <f t="shared" si="145"/>
        <v>0</v>
      </c>
      <c r="S143" s="132">
        <f t="shared" si="145"/>
        <v>0</v>
      </c>
      <c r="T143" s="132">
        <f t="shared" si="145"/>
        <v>1000</v>
      </c>
      <c r="U143" s="132">
        <f t="shared" si="145"/>
        <v>0</v>
      </c>
      <c r="V143" s="132">
        <f t="shared" si="145"/>
        <v>0</v>
      </c>
      <c r="W143" s="132">
        <f t="shared" si="145"/>
        <v>0</v>
      </c>
      <c r="X143" s="132">
        <f t="shared" si="145"/>
        <v>0</v>
      </c>
      <c r="Y143" s="132">
        <f t="shared" si="145"/>
        <v>0</v>
      </c>
      <c r="Z143" s="132">
        <f t="shared" si="145"/>
        <v>0</v>
      </c>
      <c r="AA143" s="133">
        <f t="shared" si="5"/>
        <v>1500</v>
      </c>
    </row>
    <row r="144">
      <c r="A144" s="130" t="s">
        <v>3312</v>
      </c>
      <c r="B144" s="25">
        <v>75201.0</v>
      </c>
      <c r="C144" s="27">
        <v>3500.0</v>
      </c>
      <c r="D144" s="134" t="s">
        <v>25</v>
      </c>
      <c r="F144" s="130">
        <f>IFERROR(__xludf.DUMMYFUNCTION("""COMPUTED_VALUE"""),77041.0)</f>
        <v>77041</v>
      </c>
      <c r="G144" s="132">
        <f t="shared" si="2"/>
        <v>0</v>
      </c>
      <c r="H144" s="132">
        <f t="shared" si="3"/>
        <v>0</v>
      </c>
      <c r="I144" s="132">
        <f t="shared" ref="I144:Z144" si="146">SUMIFS($C:$C,$B:$B,$F144,$D:$D,I$1)</f>
        <v>0</v>
      </c>
      <c r="J144" s="132">
        <f t="shared" si="146"/>
        <v>0</v>
      </c>
      <c r="K144" s="132">
        <f t="shared" si="146"/>
        <v>100</v>
      </c>
      <c r="L144" s="132">
        <f t="shared" si="146"/>
        <v>0</v>
      </c>
      <c r="M144" s="132">
        <f t="shared" si="146"/>
        <v>0</v>
      </c>
      <c r="N144" s="132">
        <f t="shared" si="146"/>
        <v>0</v>
      </c>
      <c r="O144" s="132">
        <f t="shared" si="146"/>
        <v>0</v>
      </c>
      <c r="P144" s="132">
        <f t="shared" si="146"/>
        <v>0</v>
      </c>
      <c r="Q144" s="132">
        <f t="shared" si="146"/>
        <v>0</v>
      </c>
      <c r="R144" s="132">
        <f t="shared" si="146"/>
        <v>0</v>
      </c>
      <c r="S144" s="132">
        <f t="shared" si="146"/>
        <v>0</v>
      </c>
      <c r="T144" s="132">
        <f t="shared" si="146"/>
        <v>0</v>
      </c>
      <c r="U144" s="132">
        <f t="shared" si="146"/>
        <v>0</v>
      </c>
      <c r="V144" s="132">
        <f t="shared" si="146"/>
        <v>0</v>
      </c>
      <c r="W144" s="132">
        <f t="shared" si="146"/>
        <v>0</v>
      </c>
      <c r="X144" s="132">
        <f t="shared" si="146"/>
        <v>0</v>
      </c>
      <c r="Y144" s="132">
        <f t="shared" si="146"/>
        <v>0</v>
      </c>
      <c r="Z144" s="132">
        <f t="shared" si="146"/>
        <v>0</v>
      </c>
      <c r="AA144" s="133">
        <f t="shared" si="5"/>
        <v>100</v>
      </c>
    </row>
    <row r="145">
      <c r="A145" s="130" t="s">
        <v>3312</v>
      </c>
      <c r="B145" s="25">
        <v>75201.0</v>
      </c>
      <c r="C145" s="27">
        <v>1000.0</v>
      </c>
      <c r="D145" s="134" t="s">
        <v>31</v>
      </c>
      <c r="F145" s="130">
        <f>IFERROR(__xludf.DUMMYFUNCTION("""COMPUTED_VALUE"""),78704.0)</f>
        <v>78704</v>
      </c>
      <c r="G145" s="132">
        <f t="shared" si="2"/>
        <v>0</v>
      </c>
      <c r="H145" s="132">
        <f t="shared" si="3"/>
        <v>0</v>
      </c>
      <c r="I145" s="132">
        <f t="shared" ref="I145:Z145" si="147">SUMIFS($C:$C,$B:$B,$F145,$D:$D,I$1)</f>
        <v>0</v>
      </c>
      <c r="J145" s="132">
        <f t="shared" si="147"/>
        <v>0</v>
      </c>
      <c r="K145" s="132">
        <f t="shared" si="147"/>
        <v>3000</v>
      </c>
      <c r="L145" s="132">
        <f t="shared" si="147"/>
        <v>0</v>
      </c>
      <c r="M145" s="132">
        <f t="shared" si="147"/>
        <v>0</v>
      </c>
      <c r="N145" s="132">
        <f t="shared" si="147"/>
        <v>0</v>
      </c>
      <c r="O145" s="132">
        <f t="shared" si="147"/>
        <v>0</v>
      </c>
      <c r="P145" s="132">
        <f t="shared" si="147"/>
        <v>0</v>
      </c>
      <c r="Q145" s="132">
        <f t="shared" si="147"/>
        <v>0</v>
      </c>
      <c r="R145" s="132">
        <f t="shared" si="147"/>
        <v>0</v>
      </c>
      <c r="S145" s="132">
        <f t="shared" si="147"/>
        <v>0</v>
      </c>
      <c r="T145" s="132">
        <f t="shared" si="147"/>
        <v>0</v>
      </c>
      <c r="U145" s="132">
        <f t="shared" si="147"/>
        <v>0</v>
      </c>
      <c r="V145" s="132">
        <f t="shared" si="147"/>
        <v>0</v>
      </c>
      <c r="W145" s="132">
        <f t="shared" si="147"/>
        <v>0</v>
      </c>
      <c r="X145" s="132">
        <f t="shared" si="147"/>
        <v>0</v>
      </c>
      <c r="Y145" s="132">
        <f t="shared" si="147"/>
        <v>0</v>
      </c>
      <c r="Z145" s="132">
        <f t="shared" si="147"/>
        <v>0</v>
      </c>
      <c r="AA145" s="133">
        <f t="shared" si="5"/>
        <v>3000</v>
      </c>
    </row>
    <row r="146">
      <c r="A146" s="130" t="s">
        <v>3312</v>
      </c>
      <c r="B146" s="25">
        <v>75201.0</v>
      </c>
      <c r="C146" s="27">
        <v>1000.0</v>
      </c>
      <c r="D146" s="134" t="s">
        <v>25</v>
      </c>
      <c r="F146" s="130">
        <f>IFERROR(__xludf.DUMMYFUNCTION("""COMPUTED_VALUE"""),75154.0)</f>
        <v>75154</v>
      </c>
      <c r="G146" s="132">
        <f t="shared" si="2"/>
        <v>0</v>
      </c>
      <c r="H146" s="132">
        <f t="shared" si="3"/>
        <v>0</v>
      </c>
      <c r="I146" s="132">
        <f t="shared" ref="I146:Z146" si="148">SUMIFS($C:$C,$B:$B,$F146,$D:$D,I$1)</f>
        <v>0</v>
      </c>
      <c r="J146" s="132">
        <f t="shared" si="148"/>
        <v>0</v>
      </c>
      <c r="K146" s="132">
        <f t="shared" si="148"/>
        <v>1025</v>
      </c>
      <c r="L146" s="132">
        <f t="shared" si="148"/>
        <v>0</v>
      </c>
      <c r="M146" s="132">
        <f t="shared" si="148"/>
        <v>0</v>
      </c>
      <c r="N146" s="132">
        <f t="shared" si="148"/>
        <v>0</v>
      </c>
      <c r="O146" s="132">
        <f t="shared" si="148"/>
        <v>0</v>
      </c>
      <c r="P146" s="132">
        <f t="shared" si="148"/>
        <v>0</v>
      </c>
      <c r="Q146" s="132">
        <f t="shared" si="148"/>
        <v>0</v>
      </c>
      <c r="R146" s="132">
        <f t="shared" si="148"/>
        <v>0</v>
      </c>
      <c r="S146" s="132">
        <f t="shared" si="148"/>
        <v>0</v>
      </c>
      <c r="T146" s="132">
        <f t="shared" si="148"/>
        <v>0</v>
      </c>
      <c r="U146" s="132">
        <f t="shared" si="148"/>
        <v>0</v>
      </c>
      <c r="V146" s="132">
        <f t="shared" si="148"/>
        <v>0</v>
      </c>
      <c r="W146" s="132">
        <f t="shared" si="148"/>
        <v>0</v>
      </c>
      <c r="X146" s="132">
        <f t="shared" si="148"/>
        <v>0</v>
      </c>
      <c r="Y146" s="132">
        <f t="shared" si="148"/>
        <v>0</v>
      </c>
      <c r="Z146" s="132">
        <f t="shared" si="148"/>
        <v>0</v>
      </c>
      <c r="AA146" s="133">
        <f t="shared" si="5"/>
        <v>1025</v>
      </c>
    </row>
    <row r="147">
      <c r="A147" s="130" t="s">
        <v>3312</v>
      </c>
      <c r="B147" s="25">
        <v>75201.0</v>
      </c>
      <c r="C147" s="27">
        <v>500.0</v>
      </c>
      <c r="D147" s="134" t="s">
        <v>25</v>
      </c>
      <c r="F147" s="130">
        <f>IFERROR(__xludf.DUMMYFUNCTION("""COMPUTED_VALUE"""),75241.0)</f>
        <v>75241</v>
      </c>
      <c r="G147" s="132">
        <f t="shared" si="2"/>
        <v>0</v>
      </c>
      <c r="H147" s="132">
        <f t="shared" si="3"/>
        <v>0</v>
      </c>
      <c r="I147" s="132">
        <f t="shared" ref="I147:Z147" si="149">SUMIFS($C:$C,$B:$B,$F147,$D:$D,I$1)</f>
        <v>0</v>
      </c>
      <c r="J147" s="132">
        <f t="shared" si="149"/>
        <v>0</v>
      </c>
      <c r="K147" s="132">
        <f t="shared" si="149"/>
        <v>20</v>
      </c>
      <c r="L147" s="132">
        <f t="shared" si="149"/>
        <v>0</v>
      </c>
      <c r="M147" s="132">
        <f t="shared" si="149"/>
        <v>0</v>
      </c>
      <c r="N147" s="132">
        <f t="shared" si="149"/>
        <v>0</v>
      </c>
      <c r="O147" s="132">
        <f t="shared" si="149"/>
        <v>50</v>
      </c>
      <c r="P147" s="132">
        <f t="shared" si="149"/>
        <v>0</v>
      </c>
      <c r="Q147" s="132">
        <f t="shared" si="149"/>
        <v>0</v>
      </c>
      <c r="R147" s="132">
        <f t="shared" si="149"/>
        <v>0</v>
      </c>
      <c r="S147" s="132">
        <f t="shared" si="149"/>
        <v>0</v>
      </c>
      <c r="T147" s="132">
        <f t="shared" si="149"/>
        <v>0</v>
      </c>
      <c r="U147" s="132">
        <f t="shared" si="149"/>
        <v>0</v>
      </c>
      <c r="V147" s="132">
        <f t="shared" si="149"/>
        <v>0</v>
      </c>
      <c r="W147" s="132">
        <f t="shared" si="149"/>
        <v>0</v>
      </c>
      <c r="X147" s="132">
        <f t="shared" si="149"/>
        <v>0</v>
      </c>
      <c r="Y147" s="132">
        <f t="shared" si="149"/>
        <v>0</v>
      </c>
      <c r="Z147" s="132">
        <f t="shared" si="149"/>
        <v>0</v>
      </c>
      <c r="AA147" s="133">
        <f t="shared" si="5"/>
        <v>70</v>
      </c>
    </row>
    <row r="148">
      <c r="A148" s="130" t="s">
        <v>3312</v>
      </c>
      <c r="B148" s="25">
        <v>75201.0</v>
      </c>
      <c r="C148" s="27">
        <v>500.0</v>
      </c>
      <c r="D148" s="134" t="s">
        <v>24</v>
      </c>
      <c r="F148" s="130">
        <f>IFERROR(__xludf.DUMMYFUNCTION("""COMPUTED_VALUE"""),20020.0)</f>
        <v>20020</v>
      </c>
      <c r="G148" s="132">
        <f t="shared" si="2"/>
        <v>0</v>
      </c>
      <c r="H148" s="132">
        <f t="shared" si="3"/>
        <v>0</v>
      </c>
      <c r="I148" s="132">
        <f t="shared" ref="I148:Z148" si="150">SUMIFS($C:$C,$B:$B,$F148,$D:$D,I$1)</f>
        <v>0</v>
      </c>
      <c r="J148" s="132">
        <f t="shared" si="150"/>
        <v>0</v>
      </c>
      <c r="K148" s="132">
        <f t="shared" si="150"/>
        <v>25</v>
      </c>
      <c r="L148" s="132">
        <f t="shared" si="150"/>
        <v>0</v>
      </c>
      <c r="M148" s="132">
        <f t="shared" si="150"/>
        <v>0</v>
      </c>
      <c r="N148" s="132">
        <f t="shared" si="150"/>
        <v>0</v>
      </c>
      <c r="O148" s="132">
        <f t="shared" si="150"/>
        <v>0</v>
      </c>
      <c r="P148" s="132">
        <f t="shared" si="150"/>
        <v>0</v>
      </c>
      <c r="Q148" s="132">
        <f t="shared" si="150"/>
        <v>0</v>
      </c>
      <c r="R148" s="132">
        <f t="shared" si="150"/>
        <v>0</v>
      </c>
      <c r="S148" s="132">
        <f t="shared" si="150"/>
        <v>0</v>
      </c>
      <c r="T148" s="132">
        <f t="shared" si="150"/>
        <v>0</v>
      </c>
      <c r="U148" s="132">
        <f t="shared" si="150"/>
        <v>0</v>
      </c>
      <c r="V148" s="132">
        <f t="shared" si="150"/>
        <v>0</v>
      </c>
      <c r="W148" s="132">
        <f t="shared" si="150"/>
        <v>0</v>
      </c>
      <c r="X148" s="132">
        <f t="shared" si="150"/>
        <v>0</v>
      </c>
      <c r="Y148" s="132">
        <f t="shared" si="150"/>
        <v>0</v>
      </c>
      <c r="Z148" s="132">
        <f t="shared" si="150"/>
        <v>0</v>
      </c>
      <c r="AA148" s="133">
        <f t="shared" si="5"/>
        <v>25</v>
      </c>
    </row>
    <row r="149">
      <c r="A149" s="130" t="s">
        <v>3312</v>
      </c>
      <c r="B149" s="25">
        <v>75201.0</v>
      </c>
      <c r="C149" s="27">
        <v>1000.0</v>
      </c>
      <c r="D149" s="134" t="s">
        <v>25</v>
      </c>
      <c r="F149" s="130">
        <f>IFERROR(__xludf.DUMMYFUNCTION("""COMPUTED_VALUE"""),78739.0)</f>
        <v>78739</v>
      </c>
      <c r="G149" s="132">
        <f t="shared" si="2"/>
        <v>0</v>
      </c>
      <c r="H149" s="132">
        <f t="shared" si="3"/>
        <v>0</v>
      </c>
      <c r="I149" s="132">
        <f t="shared" ref="I149:Z149" si="151">SUMIFS($C:$C,$B:$B,$F149,$D:$D,I$1)</f>
        <v>0</v>
      </c>
      <c r="J149" s="132">
        <f t="shared" si="151"/>
        <v>0</v>
      </c>
      <c r="K149" s="132">
        <f t="shared" si="151"/>
        <v>5000</v>
      </c>
      <c r="L149" s="132">
        <f t="shared" si="151"/>
        <v>0</v>
      </c>
      <c r="M149" s="132">
        <f t="shared" si="151"/>
        <v>0</v>
      </c>
      <c r="N149" s="132">
        <f t="shared" si="151"/>
        <v>0</v>
      </c>
      <c r="O149" s="132">
        <f t="shared" si="151"/>
        <v>0</v>
      </c>
      <c r="P149" s="132">
        <f t="shared" si="151"/>
        <v>0</v>
      </c>
      <c r="Q149" s="132">
        <f t="shared" si="151"/>
        <v>0</v>
      </c>
      <c r="R149" s="132">
        <f t="shared" si="151"/>
        <v>0</v>
      </c>
      <c r="S149" s="132">
        <f t="shared" si="151"/>
        <v>0</v>
      </c>
      <c r="T149" s="132">
        <f t="shared" si="151"/>
        <v>0</v>
      </c>
      <c r="U149" s="132">
        <f t="shared" si="151"/>
        <v>0</v>
      </c>
      <c r="V149" s="132">
        <f t="shared" si="151"/>
        <v>0</v>
      </c>
      <c r="W149" s="132">
        <f t="shared" si="151"/>
        <v>0</v>
      </c>
      <c r="X149" s="132">
        <f t="shared" si="151"/>
        <v>0</v>
      </c>
      <c r="Y149" s="132">
        <f t="shared" si="151"/>
        <v>0</v>
      </c>
      <c r="Z149" s="132">
        <f t="shared" si="151"/>
        <v>0</v>
      </c>
      <c r="AA149" s="133">
        <f t="shared" si="5"/>
        <v>5000</v>
      </c>
    </row>
    <row r="150">
      <c r="A150" s="130" t="s">
        <v>3322</v>
      </c>
      <c r="B150" s="25">
        <v>76226.0</v>
      </c>
      <c r="C150" s="27">
        <v>1000.0</v>
      </c>
      <c r="D150" s="134" t="s">
        <v>24</v>
      </c>
      <c r="F150" s="130">
        <f>IFERROR(__xludf.DUMMYFUNCTION("""COMPUTED_VALUE"""),76227.0)</f>
        <v>76227</v>
      </c>
      <c r="G150" s="132">
        <f t="shared" si="2"/>
        <v>0</v>
      </c>
      <c r="H150" s="132">
        <f t="shared" si="3"/>
        <v>0</v>
      </c>
      <c r="I150" s="132">
        <f t="shared" ref="I150:Z150" si="152">SUMIFS($C:$C,$B:$B,$F150,$D:$D,I$1)</f>
        <v>0</v>
      </c>
      <c r="J150" s="132">
        <f t="shared" si="152"/>
        <v>0</v>
      </c>
      <c r="K150" s="132">
        <f t="shared" si="152"/>
        <v>500</v>
      </c>
      <c r="L150" s="132">
        <f t="shared" si="152"/>
        <v>0</v>
      </c>
      <c r="M150" s="132">
        <f t="shared" si="152"/>
        <v>0</v>
      </c>
      <c r="N150" s="132">
        <f t="shared" si="152"/>
        <v>0</v>
      </c>
      <c r="O150" s="132">
        <f t="shared" si="152"/>
        <v>0</v>
      </c>
      <c r="P150" s="132">
        <f t="shared" si="152"/>
        <v>0</v>
      </c>
      <c r="Q150" s="132">
        <f t="shared" si="152"/>
        <v>0</v>
      </c>
      <c r="R150" s="132">
        <f t="shared" si="152"/>
        <v>0</v>
      </c>
      <c r="S150" s="132">
        <f t="shared" si="152"/>
        <v>0</v>
      </c>
      <c r="T150" s="132">
        <f t="shared" si="152"/>
        <v>0</v>
      </c>
      <c r="U150" s="132">
        <f t="shared" si="152"/>
        <v>0</v>
      </c>
      <c r="V150" s="132">
        <f t="shared" si="152"/>
        <v>0</v>
      </c>
      <c r="W150" s="132">
        <f t="shared" si="152"/>
        <v>0</v>
      </c>
      <c r="X150" s="132">
        <f t="shared" si="152"/>
        <v>0</v>
      </c>
      <c r="Y150" s="132">
        <f t="shared" si="152"/>
        <v>0</v>
      </c>
      <c r="Z150" s="132">
        <f t="shared" si="152"/>
        <v>0</v>
      </c>
      <c r="AA150" s="133">
        <f t="shared" si="5"/>
        <v>500</v>
      </c>
    </row>
    <row r="151">
      <c r="A151" s="130" t="s">
        <v>3273</v>
      </c>
      <c r="B151" s="25">
        <v>75205.0</v>
      </c>
      <c r="C151" s="27">
        <v>500.0</v>
      </c>
      <c r="D151" s="134" t="s">
        <v>21</v>
      </c>
      <c r="F151" s="130">
        <f>IFERROR(__xludf.DUMMYFUNCTION("""COMPUTED_VALUE"""),75212.0)</f>
        <v>75212</v>
      </c>
      <c r="G151" s="132">
        <f t="shared" si="2"/>
        <v>0</v>
      </c>
      <c r="H151" s="132">
        <f t="shared" si="3"/>
        <v>0</v>
      </c>
      <c r="I151" s="132">
        <f t="shared" ref="I151:Z151" si="153">SUMIFS($C:$C,$B:$B,$F151,$D:$D,I$1)</f>
        <v>0</v>
      </c>
      <c r="J151" s="132">
        <f t="shared" si="153"/>
        <v>0</v>
      </c>
      <c r="K151" s="132">
        <f t="shared" si="153"/>
        <v>50</v>
      </c>
      <c r="L151" s="132">
        <f t="shared" si="153"/>
        <v>0</v>
      </c>
      <c r="M151" s="132">
        <f t="shared" si="153"/>
        <v>0</v>
      </c>
      <c r="N151" s="132">
        <f t="shared" si="153"/>
        <v>0</v>
      </c>
      <c r="O151" s="132">
        <f t="shared" si="153"/>
        <v>0</v>
      </c>
      <c r="P151" s="132">
        <f t="shared" si="153"/>
        <v>0</v>
      </c>
      <c r="Q151" s="132">
        <f t="shared" si="153"/>
        <v>0</v>
      </c>
      <c r="R151" s="132">
        <f t="shared" si="153"/>
        <v>0</v>
      </c>
      <c r="S151" s="132">
        <f t="shared" si="153"/>
        <v>0</v>
      </c>
      <c r="T151" s="132">
        <f t="shared" si="153"/>
        <v>0</v>
      </c>
      <c r="U151" s="132">
        <f t="shared" si="153"/>
        <v>0</v>
      </c>
      <c r="V151" s="132">
        <f t="shared" si="153"/>
        <v>0</v>
      </c>
      <c r="W151" s="132">
        <f t="shared" si="153"/>
        <v>0</v>
      </c>
      <c r="X151" s="132">
        <f t="shared" si="153"/>
        <v>0</v>
      </c>
      <c r="Y151" s="132">
        <f t="shared" si="153"/>
        <v>0</v>
      </c>
      <c r="Z151" s="132">
        <f t="shared" si="153"/>
        <v>0</v>
      </c>
      <c r="AA151" s="133">
        <f t="shared" si="5"/>
        <v>50</v>
      </c>
    </row>
    <row r="152">
      <c r="A152" s="130" t="s">
        <v>3273</v>
      </c>
      <c r="B152" s="25">
        <v>75205.0</v>
      </c>
      <c r="C152" s="27">
        <v>500.0</v>
      </c>
      <c r="D152" s="134" t="s">
        <v>21</v>
      </c>
      <c r="F152" s="130">
        <f>IFERROR(__xludf.DUMMYFUNCTION("""COMPUTED_VALUE"""),75185.0)</f>
        <v>75185</v>
      </c>
      <c r="G152" s="132">
        <f t="shared" si="2"/>
        <v>0</v>
      </c>
      <c r="H152" s="132">
        <f t="shared" si="3"/>
        <v>0</v>
      </c>
      <c r="I152" s="132">
        <f t="shared" ref="I152:Z152" si="154">SUMIFS($C:$C,$B:$B,$F152,$D:$D,I$1)</f>
        <v>0</v>
      </c>
      <c r="J152" s="132">
        <f t="shared" si="154"/>
        <v>0</v>
      </c>
      <c r="K152" s="132">
        <f t="shared" si="154"/>
        <v>50</v>
      </c>
      <c r="L152" s="132">
        <f t="shared" si="154"/>
        <v>0</v>
      </c>
      <c r="M152" s="132">
        <f t="shared" si="154"/>
        <v>0</v>
      </c>
      <c r="N152" s="132">
        <f t="shared" si="154"/>
        <v>0</v>
      </c>
      <c r="O152" s="132">
        <f t="shared" si="154"/>
        <v>0</v>
      </c>
      <c r="P152" s="132">
        <f t="shared" si="154"/>
        <v>0</v>
      </c>
      <c r="Q152" s="132">
        <f t="shared" si="154"/>
        <v>0</v>
      </c>
      <c r="R152" s="132">
        <f t="shared" si="154"/>
        <v>0</v>
      </c>
      <c r="S152" s="132">
        <f t="shared" si="154"/>
        <v>0</v>
      </c>
      <c r="T152" s="132">
        <f t="shared" si="154"/>
        <v>0</v>
      </c>
      <c r="U152" s="132">
        <f t="shared" si="154"/>
        <v>0</v>
      </c>
      <c r="V152" s="132">
        <f t="shared" si="154"/>
        <v>0</v>
      </c>
      <c r="W152" s="132">
        <f t="shared" si="154"/>
        <v>0</v>
      </c>
      <c r="X152" s="132">
        <f t="shared" si="154"/>
        <v>0</v>
      </c>
      <c r="Y152" s="132">
        <f t="shared" si="154"/>
        <v>0</v>
      </c>
      <c r="Z152" s="132">
        <f t="shared" si="154"/>
        <v>0</v>
      </c>
      <c r="AA152" s="133">
        <f t="shared" si="5"/>
        <v>50</v>
      </c>
    </row>
    <row r="153">
      <c r="A153" s="130" t="s">
        <v>3323</v>
      </c>
      <c r="B153" s="25">
        <v>75104.0</v>
      </c>
      <c r="C153" s="27">
        <v>50.0</v>
      </c>
      <c r="D153" s="134" t="s">
        <v>25</v>
      </c>
      <c r="F153" s="130">
        <f>IFERROR(__xludf.DUMMYFUNCTION("""COMPUTED_VALUE"""),75217.0)</f>
        <v>75217</v>
      </c>
      <c r="G153" s="132">
        <f t="shared" si="2"/>
        <v>0</v>
      </c>
      <c r="H153" s="132">
        <f t="shared" si="3"/>
        <v>0</v>
      </c>
      <c r="I153" s="132">
        <f t="shared" ref="I153:Z153" si="155">SUMIFS($C:$C,$B:$B,$F153,$D:$D,I$1)</f>
        <v>0</v>
      </c>
      <c r="J153" s="132">
        <f t="shared" si="155"/>
        <v>0</v>
      </c>
      <c r="K153" s="132">
        <f t="shared" si="155"/>
        <v>150</v>
      </c>
      <c r="L153" s="132">
        <f t="shared" si="155"/>
        <v>0</v>
      </c>
      <c r="M153" s="132">
        <f t="shared" si="155"/>
        <v>0</v>
      </c>
      <c r="N153" s="132">
        <f t="shared" si="155"/>
        <v>0</v>
      </c>
      <c r="O153" s="132">
        <f t="shared" si="155"/>
        <v>50</v>
      </c>
      <c r="P153" s="132">
        <f t="shared" si="155"/>
        <v>0</v>
      </c>
      <c r="Q153" s="132">
        <f t="shared" si="155"/>
        <v>0</v>
      </c>
      <c r="R153" s="132">
        <f t="shared" si="155"/>
        <v>0</v>
      </c>
      <c r="S153" s="132">
        <f t="shared" si="155"/>
        <v>0</v>
      </c>
      <c r="T153" s="132">
        <f t="shared" si="155"/>
        <v>0</v>
      </c>
      <c r="U153" s="132">
        <f t="shared" si="155"/>
        <v>0</v>
      </c>
      <c r="V153" s="132">
        <f t="shared" si="155"/>
        <v>0</v>
      </c>
      <c r="W153" s="132">
        <f t="shared" si="155"/>
        <v>0</v>
      </c>
      <c r="X153" s="132">
        <f t="shared" si="155"/>
        <v>0</v>
      </c>
      <c r="Y153" s="132">
        <f t="shared" si="155"/>
        <v>0</v>
      </c>
      <c r="Z153" s="132">
        <f t="shared" si="155"/>
        <v>0</v>
      </c>
      <c r="AA153" s="133">
        <f t="shared" si="5"/>
        <v>200</v>
      </c>
    </row>
    <row r="154">
      <c r="A154" s="130" t="s">
        <v>3273</v>
      </c>
      <c r="B154" s="25">
        <v>75205.0</v>
      </c>
      <c r="C154" s="27">
        <v>2500.0</v>
      </c>
      <c r="D154" s="134" t="s">
        <v>25</v>
      </c>
      <c r="F154" s="130">
        <f>IFERROR(__xludf.DUMMYFUNCTION("""COMPUTED_VALUE"""),75146.0)</f>
        <v>75146</v>
      </c>
      <c r="G154" s="132">
        <f t="shared" si="2"/>
        <v>0</v>
      </c>
      <c r="H154" s="132">
        <f t="shared" si="3"/>
        <v>0</v>
      </c>
      <c r="I154" s="132">
        <f t="shared" ref="I154:Z154" si="156">SUMIFS($C:$C,$B:$B,$F154,$D:$D,I$1)</f>
        <v>0</v>
      </c>
      <c r="J154" s="132">
        <f t="shared" si="156"/>
        <v>0</v>
      </c>
      <c r="K154" s="132">
        <f t="shared" si="156"/>
        <v>200</v>
      </c>
      <c r="L154" s="132">
        <f t="shared" si="156"/>
        <v>0</v>
      </c>
      <c r="M154" s="132">
        <f t="shared" si="156"/>
        <v>0</v>
      </c>
      <c r="N154" s="132">
        <f t="shared" si="156"/>
        <v>0</v>
      </c>
      <c r="O154" s="132">
        <f t="shared" si="156"/>
        <v>0</v>
      </c>
      <c r="P154" s="132">
        <f t="shared" si="156"/>
        <v>0</v>
      </c>
      <c r="Q154" s="132">
        <f t="shared" si="156"/>
        <v>0</v>
      </c>
      <c r="R154" s="132">
        <f t="shared" si="156"/>
        <v>0</v>
      </c>
      <c r="S154" s="132">
        <f t="shared" si="156"/>
        <v>0</v>
      </c>
      <c r="T154" s="132">
        <f t="shared" si="156"/>
        <v>0</v>
      </c>
      <c r="U154" s="132">
        <f t="shared" si="156"/>
        <v>0</v>
      </c>
      <c r="V154" s="132">
        <f t="shared" si="156"/>
        <v>0</v>
      </c>
      <c r="W154" s="132">
        <f t="shared" si="156"/>
        <v>0</v>
      </c>
      <c r="X154" s="132">
        <f t="shared" si="156"/>
        <v>0</v>
      </c>
      <c r="Y154" s="132">
        <f t="shared" si="156"/>
        <v>0</v>
      </c>
      <c r="Z154" s="132">
        <f t="shared" si="156"/>
        <v>0</v>
      </c>
      <c r="AA154" s="133">
        <f t="shared" si="5"/>
        <v>200</v>
      </c>
    </row>
    <row r="155">
      <c r="A155" s="130" t="s">
        <v>3284</v>
      </c>
      <c r="B155" s="25">
        <v>75229.0</v>
      </c>
      <c r="C155" s="27">
        <v>100.0</v>
      </c>
      <c r="D155" s="134" t="s">
        <v>24</v>
      </c>
      <c r="F155" s="130">
        <f>IFERROR(__xludf.DUMMYFUNCTION("""COMPUTED_VALUE"""),77098.0)</f>
        <v>77098</v>
      </c>
      <c r="G155" s="132">
        <f t="shared" si="2"/>
        <v>0</v>
      </c>
      <c r="H155" s="132">
        <f t="shared" si="3"/>
        <v>0</v>
      </c>
      <c r="I155" s="132">
        <f t="shared" ref="I155:Z155" si="157">SUMIFS($C:$C,$B:$B,$F155,$D:$D,I$1)</f>
        <v>0</v>
      </c>
      <c r="J155" s="132">
        <f t="shared" si="157"/>
        <v>0</v>
      </c>
      <c r="K155" s="132">
        <f t="shared" si="157"/>
        <v>2500</v>
      </c>
      <c r="L155" s="132">
        <f t="shared" si="157"/>
        <v>0</v>
      </c>
      <c r="M155" s="132">
        <f t="shared" si="157"/>
        <v>0</v>
      </c>
      <c r="N155" s="132">
        <f t="shared" si="157"/>
        <v>0</v>
      </c>
      <c r="O155" s="132">
        <f t="shared" si="157"/>
        <v>0</v>
      </c>
      <c r="P155" s="132">
        <f t="shared" si="157"/>
        <v>0</v>
      </c>
      <c r="Q155" s="132">
        <f t="shared" si="157"/>
        <v>0</v>
      </c>
      <c r="R155" s="132">
        <f t="shared" si="157"/>
        <v>0</v>
      </c>
      <c r="S155" s="132">
        <f t="shared" si="157"/>
        <v>0</v>
      </c>
      <c r="T155" s="132">
        <f t="shared" si="157"/>
        <v>0</v>
      </c>
      <c r="U155" s="132">
        <f t="shared" si="157"/>
        <v>0</v>
      </c>
      <c r="V155" s="132">
        <f t="shared" si="157"/>
        <v>0</v>
      </c>
      <c r="W155" s="132">
        <f t="shared" si="157"/>
        <v>0</v>
      </c>
      <c r="X155" s="132">
        <f t="shared" si="157"/>
        <v>0</v>
      </c>
      <c r="Y155" s="132">
        <f t="shared" si="157"/>
        <v>0</v>
      </c>
      <c r="Z155" s="132">
        <f t="shared" si="157"/>
        <v>0</v>
      </c>
      <c r="AA155" s="133">
        <f t="shared" si="5"/>
        <v>2500</v>
      </c>
    </row>
    <row r="156">
      <c r="A156" s="130" t="s">
        <v>3282</v>
      </c>
      <c r="B156" s="25">
        <v>75208.0</v>
      </c>
      <c r="C156" s="27">
        <v>1000.0</v>
      </c>
      <c r="D156" s="134" t="s">
        <v>23</v>
      </c>
      <c r="F156" s="130">
        <f>IFERROR(__xludf.DUMMYFUNCTION("""COMPUTED_VALUE"""),30326.0)</f>
        <v>30326</v>
      </c>
      <c r="G156" s="132">
        <f t="shared" si="2"/>
        <v>0</v>
      </c>
      <c r="H156" s="132">
        <f t="shared" si="3"/>
        <v>0</v>
      </c>
      <c r="I156" s="132">
        <f t="shared" ref="I156:Z156" si="158">SUMIFS($C:$C,$B:$B,$F156,$D:$D,I$1)</f>
        <v>0</v>
      </c>
      <c r="J156" s="132">
        <f t="shared" si="158"/>
        <v>0</v>
      </c>
      <c r="K156" s="132">
        <f t="shared" si="158"/>
        <v>1000</v>
      </c>
      <c r="L156" s="132">
        <f t="shared" si="158"/>
        <v>0</v>
      </c>
      <c r="M156" s="132">
        <f t="shared" si="158"/>
        <v>0</v>
      </c>
      <c r="N156" s="132">
        <f t="shared" si="158"/>
        <v>0</v>
      </c>
      <c r="O156" s="132">
        <f t="shared" si="158"/>
        <v>0</v>
      </c>
      <c r="P156" s="132">
        <f t="shared" si="158"/>
        <v>0</v>
      </c>
      <c r="Q156" s="132">
        <f t="shared" si="158"/>
        <v>0</v>
      </c>
      <c r="R156" s="132">
        <f t="shared" si="158"/>
        <v>0</v>
      </c>
      <c r="S156" s="132">
        <f t="shared" si="158"/>
        <v>0</v>
      </c>
      <c r="T156" s="132">
        <f t="shared" si="158"/>
        <v>0</v>
      </c>
      <c r="U156" s="132">
        <f t="shared" si="158"/>
        <v>0</v>
      </c>
      <c r="V156" s="132">
        <f t="shared" si="158"/>
        <v>0</v>
      </c>
      <c r="W156" s="132">
        <f t="shared" si="158"/>
        <v>0</v>
      </c>
      <c r="X156" s="132">
        <f t="shared" si="158"/>
        <v>0</v>
      </c>
      <c r="Y156" s="132">
        <f t="shared" si="158"/>
        <v>0</v>
      </c>
      <c r="Z156" s="132">
        <f t="shared" si="158"/>
        <v>0</v>
      </c>
      <c r="AA156" s="133">
        <f t="shared" si="5"/>
        <v>1000</v>
      </c>
    </row>
    <row r="157">
      <c r="A157" s="130" t="s">
        <v>3282</v>
      </c>
      <c r="B157" s="25">
        <v>75208.0</v>
      </c>
      <c r="C157" s="27">
        <v>950.0</v>
      </c>
      <c r="D157" s="134" t="s">
        <v>21</v>
      </c>
      <c r="F157" s="130">
        <f>IFERROR(__xludf.DUMMYFUNCTION("""COMPUTED_VALUE"""),75372.0)</f>
        <v>75372</v>
      </c>
      <c r="G157" s="132">
        <f t="shared" si="2"/>
        <v>0</v>
      </c>
      <c r="H157" s="132">
        <f t="shared" si="3"/>
        <v>0</v>
      </c>
      <c r="I157" s="132">
        <f t="shared" ref="I157:Z157" si="159">SUMIFS($C:$C,$B:$B,$F157,$D:$D,I$1)</f>
        <v>0</v>
      </c>
      <c r="J157" s="132">
        <f t="shared" si="159"/>
        <v>0</v>
      </c>
      <c r="K157" s="132">
        <f t="shared" si="159"/>
        <v>150</v>
      </c>
      <c r="L157" s="132">
        <f t="shared" si="159"/>
        <v>0</v>
      </c>
      <c r="M157" s="132">
        <f t="shared" si="159"/>
        <v>0</v>
      </c>
      <c r="N157" s="132">
        <f t="shared" si="159"/>
        <v>0</v>
      </c>
      <c r="O157" s="132">
        <f t="shared" si="159"/>
        <v>0</v>
      </c>
      <c r="P157" s="132">
        <f t="shared" si="159"/>
        <v>0</v>
      </c>
      <c r="Q157" s="132">
        <f t="shared" si="159"/>
        <v>0</v>
      </c>
      <c r="R157" s="132">
        <f t="shared" si="159"/>
        <v>0</v>
      </c>
      <c r="S157" s="132">
        <f t="shared" si="159"/>
        <v>0</v>
      </c>
      <c r="T157" s="132">
        <f t="shared" si="159"/>
        <v>0</v>
      </c>
      <c r="U157" s="132">
        <f t="shared" si="159"/>
        <v>0</v>
      </c>
      <c r="V157" s="132">
        <f t="shared" si="159"/>
        <v>0</v>
      </c>
      <c r="W157" s="132">
        <f t="shared" si="159"/>
        <v>0</v>
      </c>
      <c r="X157" s="132">
        <f t="shared" si="159"/>
        <v>0</v>
      </c>
      <c r="Y157" s="132">
        <f t="shared" si="159"/>
        <v>0</v>
      </c>
      <c r="Z157" s="132">
        <f t="shared" si="159"/>
        <v>0</v>
      </c>
      <c r="AA157" s="133">
        <f t="shared" si="5"/>
        <v>150</v>
      </c>
    </row>
    <row r="158">
      <c r="A158" s="130" t="s">
        <v>3282</v>
      </c>
      <c r="B158" s="25">
        <v>75208.0</v>
      </c>
      <c r="C158" s="27">
        <v>1000.0</v>
      </c>
      <c r="D158" s="134" t="s">
        <v>25</v>
      </c>
      <c r="F158" s="130">
        <f>IFERROR(__xludf.DUMMYFUNCTION("""COMPUTED_VALUE"""),75024.0)</f>
        <v>75024</v>
      </c>
      <c r="G158" s="132">
        <f t="shared" si="2"/>
        <v>0</v>
      </c>
      <c r="H158" s="132">
        <f t="shared" si="3"/>
        <v>0</v>
      </c>
      <c r="I158" s="132">
        <f t="shared" ref="I158:Z158" si="160">SUMIFS($C:$C,$B:$B,$F158,$D:$D,I$1)</f>
        <v>0</v>
      </c>
      <c r="J158" s="132">
        <f t="shared" si="160"/>
        <v>0</v>
      </c>
      <c r="K158" s="132">
        <f t="shared" si="160"/>
        <v>500</v>
      </c>
      <c r="L158" s="132">
        <f t="shared" si="160"/>
        <v>0</v>
      </c>
      <c r="M158" s="132">
        <f t="shared" si="160"/>
        <v>0</v>
      </c>
      <c r="N158" s="132">
        <f t="shared" si="160"/>
        <v>0</v>
      </c>
      <c r="O158" s="132">
        <f t="shared" si="160"/>
        <v>0</v>
      </c>
      <c r="P158" s="132">
        <f t="shared" si="160"/>
        <v>0</v>
      </c>
      <c r="Q158" s="132">
        <f t="shared" si="160"/>
        <v>118</v>
      </c>
      <c r="R158" s="132">
        <f t="shared" si="160"/>
        <v>0</v>
      </c>
      <c r="S158" s="132">
        <f t="shared" si="160"/>
        <v>0</v>
      </c>
      <c r="T158" s="132">
        <f t="shared" si="160"/>
        <v>0</v>
      </c>
      <c r="U158" s="132">
        <f t="shared" si="160"/>
        <v>0</v>
      </c>
      <c r="V158" s="132">
        <f t="shared" si="160"/>
        <v>0</v>
      </c>
      <c r="W158" s="132">
        <f t="shared" si="160"/>
        <v>0</v>
      </c>
      <c r="X158" s="132">
        <f t="shared" si="160"/>
        <v>0</v>
      </c>
      <c r="Y158" s="132">
        <f t="shared" si="160"/>
        <v>0</v>
      </c>
      <c r="Z158" s="132">
        <f t="shared" si="160"/>
        <v>0</v>
      </c>
      <c r="AA158" s="133">
        <f t="shared" si="5"/>
        <v>618</v>
      </c>
    </row>
    <row r="159">
      <c r="A159" s="130" t="s">
        <v>3324</v>
      </c>
      <c r="B159" s="25">
        <v>75232.0</v>
      </c>
      <c r="C159" s="27">
        <v>150.0</v>
      </c>
      <c r="D159" s="134" t="s">
        <v>22</v>
      </c>
      <c r="F159" s="130">
        <f>IFERROR(__xludf.DUMMYFUNCTION("""COMPUTED_VALUE"""),77008.0)</f>
        <v>77008</v>
      </c>
      <c r="G159" s="132">
        <f t="shared" si="2"/>
        <v>0</v>
      </c>
      <c r="H159" s="132">
        <f t="shared" si="3"/>
        <v>0</v>
      </c>
      <c r="I159" s="132">
        <f t="shared" ref="I159:Z159" si="161">SUMIFS($C:$C,$B:$B,$F159,$D:$D,I$1)</f>
        <v>0</v>
      </c>
      <c r="J159" s="132">
        <f t="shared" si="161"/>
        <v>0</v>
      </c>
      <c r="K159" s="132">
        <f t="shared" si="161"/>
        <v>550</v>
      </c>
      <c r="L159" s="132">
        <f t="shared" si="161"/>
        <v>0</v>
      </c>
      <c r="M159" s="132">
        <f t="shared" si="161"/>
        <v>0</v>
      </c>
      <c r="N159" s="132">
        <f t="shared" si="161"/>
        <v>0</v>
      </c>
      <c r="O159" s="132">
        <f t="shared" si="161"/>
        <v>0</v>
      </c>
      <c r="P159" s="132">
        <f t="shared" si="161"/>
        <v>0</v>
      </c>
      <c r="Q159" s="132">
        <f t="shared" si="161"/>
        <v>0</v>
      </c>
      <c r="R159" s="132">
        <f t="shared" si="161"/>
        <v>0</v>
      </c>
      <c r="S159" s="132">
        <f t="shared" si="161"/>
        <v>0</v>
      </c>
      <c r="T159" s="132">
        <f t="shared" si="161"/>
        <v>0</v>
      </c>
      <c r="U159" s="132">
        <f t="shared" si="161"/>
        <v>0</v>
      </c>
      <c r="V159" s="132">
        <f t="shared" si="161"/>
        <v>0</v>
      </c>
      <c r="W159" s="132">
        <f t="shared" si="161"/>
        <v>0</v>
      </c>
      <c r="X159" s="132">
        <f t="shared" si="161"/>
        <v>0</v>
      </c>
      <c r="Y159" s="132">
        <f t="shared" si="161"/>
        <v>0</v>
      </c>
      <c r="Z159" s="132">
        <f t="shared" si="161"/>
        <v>0</v>
      </c>
      <c r="AA159" s="133">
        <f t="shared" si="5"/>
        <v>550</v>
      </c>
    </row>
    <row r="160">
      <c r="A160" s="130" t="s">
        <v>3325</v>
      </c>
      <c r="B160" s="25">
        <v>75223.0</v>
      </c>
      <c r="C160" s="27">
        <v>50.0</v>
      </c>
      <c r="D160" s="134" t="s">
        <v>27</v>
      </c>
      <c r="F160" s="130">
        <f>IFERROR(__xludf.DUMMYFUNCTION("""COMPUTED_VALUE"""),75057.0)</f>
        <v>75057</v>
      </c>
      <c r="G160" s="132">
        <f t="shared" si="2"/>
        <v>1000</v>
      </c>
      <c r="H160" s="132">
        <f t="shared" si="3"/>
        <v>0</v>
      </c>
      <c r="I160" s="132">
        <f t="shared" ref="I160:Z160" si="162">SUMIFS($C:$C,$B:$B,$F160,$D:$D,I$1)</f>
        <v>1000</v>
      </c>
      <c r="J160" s="132">
        <f t="shared" si="162"/>
        <v>2000</v>
      </c>
      <c r="K160" s="132">
        <f t="shared" si="162"/>
        <v>50</v>
      </c>
      <c r="L160" s="132">
        <f t="shared" si="162"/>
        <v>0</v>
      </c>
      <c r="M160" s="132">
        <f t="shared" si="162"/>
        <v>0</v>
      </c>
      <c r="N160" s="132">
        <f t="shared" si="162"/>
        <v>0</v>
      </c>
      <c r="O160" s="132">
        <f t="shared" si="162"/>
        <v>0</v>
      </c>
      <c r="P160" s="132">
        <f t="shared" si="162"/>
        <v>0</v>
      </c>
      <c r="Q160" s="132">
        <f t="shared" si="162"/>
        <v>0</v>
      </c>
      <c r="R160" s="132">
        <f t="shared" si="162"/>
        <v>0</v>
      </c>
      <c r="S160" s="132">
        <f t="shared" si="162"/>
        <v>0</v>
      </c>
      <c r="T160" s="132">
        <f t="shared" si="162"/>
        <v>0</v>
      </c>
      <c r="U160" s="132">
        <f t="shared" si="162"/>
        <v>0</v>
      </c>
      <c r="V160" s="132">
        <f t="shared" si="162"/>
        <v>0</v>
      </c>
      <c r="W160" s="132">
        <f t="shared" si="162"/>
        <v>0</v>
      </c>
      <c r="X160" s="132">
        <f t="shared" si="162"/>
        <v>0</v>
      </c>
      <c r="Y160" s="132">
        <f t="shared" si="162"/>
        <v>0</v>
      </c>
      <c r="Z160" s="132">
        <f t="shared" si="162"/>
        <v>0</v>
      </c>
      <c r="AA160" s="133">
        <f t="shared" si="5"/>
        <v>4050</v>
      </c>
    </row>
    <row r="161">
      <c r="A161" s="130" t="s">
        <v>3279</v>
      </c>
      <c r="B161" s="25">
        <v>75225.0</v>
      </c>
      <c r="C161" s="27">
        <v>1000.0</v>
      </c>
      <c r="D161" s="134" t="s">
        <v>25</v>
      </c>
      <c r="F161" s="130">
        <f>IFERROR(__xludf.DUMMYFUNCTION("""COMPUTED_VALUE"""),75050.0)</f>
        <v>75050</v>
      </c>
      <c r="G161" s="132">
        <f t="shared" si="2"/>
        <v>0</v>
      </c>
      <c r="H161" s="132">
        <f t="shared" si="3"/>
        <v>0</v>
      </c>
      <c r="I161" s="132">
        <f t="shared" ref="I161:Z161" si="163">SUMIFS($C:$C,$B:$B,$F161,$D:$D,I$1)</f>
        <v>0</v>
      </c>
      <c r="J161" s="132">
        <f t="shared" si="163"/>
        <v>0</v>
      </c>
      <c r="K161" s="132">
        <f t="shared" si="163"/>
        <v>100</v>
      </c>
      <c r="L161" s="132">
        <f t="shared" si="163"/>
        <v>0</v>
      </c>
      <c r="M161" s="132">
        <f t="shared" si="163"/>
        <v>0</v>
      </c>
      <c r="N161" s="132">
        <f t="shared" si="163"/>
        <v>0</v>
      </c>
      <c r="O161" s="132">
        <f t="shared" si="163"/>
        <v>0</v>
      </c>
      <c r="P161" s="132">
        <f t="shared" si="163"/>
        <v>0</v>
      </c>
      <c r="Q161" s="132">
        <f t="shared" si="163"/>
        <v>0</v>
      </c>
      <c r="R161" s="132">
        <f t="shared" si="163"/>
        <v>0</v>
      </c>
      <c r="S161" s="132">
        <f t="shared" si="163"/>
        <v>0</v>
      </c>
      <c r="T161" s="132">
        <f t="shared" si="163"/>
        <v>0</v>
      </c>
      <c r="U161" s="132">
        <f t="shared" si="163"/>
        <v>0</v>
      </c>
      <c r="V161" s="132">
        <f t="shared" si="163"/>
        <v>0</v>
      </c>
      <c r="W161" s="132">
        <f t="shared" si="163"/>
        <v>0</v>
      </c>
      <c r="X161" s="132">
        <f t="shared" si="163"/>
        <v>0</v>
      </c>
      <c r="Y161" s="132">
        <f t="shared" si="163"/>
        <v>0</v>
      </c>
      <c r="Z161" s="132">
        <f t="shared" si="163"/>
        <v>0</v>
      </c>
      <c r="AA161" s="133">
        <f t="shared" si="5"/>
        <v>100</v>
      </c>
    </row>
    <row r="162">
      <c r="A162" s="130" t="s">
        <v>3267</v>
      </c>
      <c r="B162" s="25">
        <v>75214.0</v>
      </c>
      <c r="C162" s="27">
        <v>950.0</v>
      </c>
      <c r="D162" s="134" t="s">
        <v>21</v>
      </c>
      <c r="F162" s="130">
        <f>IFERROR(__xludf.DUMMYFUNCTION("""COMPUTED_VALUE"""),77057.0)</f>
        <v>77057</v>
      </c>
      <c r="G162" s="132">
        <f t="shared" si="2"/>
        <v>0</v>
      </c>
      <c r="H162" s="132">
        <f t="shared" si="3"/>
        <v>0</v>
      </c>
      <c r="I162" s="132">
        <f t="shared" ref="I162:Z162" si="164">SUMIFS($C:$C,$B:$B,$F162,$D:$D,I$1)</f>
        <v>0</v>
      </c>
      <c r="J162" s="132">
        <f t="shared" si="164"/>
        <v>0</v>
      </c>
      <c r="K162" s="132">
        <f t="shared" si="164"/>
        <v>500</v>
      </c>
      <c r="L162" s="132">
        <f t="shared" si="164"/>
        <v>0</v>
      </c>
      <c r="M162" s="132">
        <f t="shared" si="164"/>
        <v>0</v>
      </c>
      <c r="N162" s="132">
        <f t="shared" si="164"/>
        <v>0</v>
      </c>
      <c r="O162" s="132">
        <f t="shared" si="164"/>
        <v>0</v>
      </c>
      <c r="P162" s="132">
        <f t="shared" si="164"/>
        <v>0</v>
      </c>
      <c r="Q162" s="132">
        <f t="shared" si="164"/>
        <v>0</v>
      </c>
      <c r="R162" s="132">
        <f t="shared" si="164"/>
        <v>0</v>
      </c>
      <c r="S162" s="132">
        <f t="shared" si="164"/>
        <v>0</v>
      </c>
      <c r="T162" s="132">
        <f t="shared" si="164"/>
        <v>0</v>
      </c>
      <c r="U162" s="132">
        <f t="shared" si="164"/>
        <v>0</v>
      </c>
      <c r="V162" s="132">
        <f t="shared" si="164"/>
        <v>0</v>
      </c>
      <c r="W162" s="132">
        <f t="shared" si="164"/>
        <v>0</v>
      </c>
      <c r="X162" s="132">
        <f t="shared" si="164"/>
        <v>0</v>
      </c>
      <c r="Y162" s="132">
        <f t="shared" si="164"/>
        <v>0</v>
      </c>
      <c r="Z162" s="132">
        <f t="shared" si="164"/>
        <v>0</v>
      </c>
      <c r="AA162" s="133">
        <f t="shared" si="5"/>
        <v>500</v>
      </c>
    </row>
    <row r="163">
      <c r="A163" s="130" t="s">
        <v>3305</v>
      </c>
      <c r="B163" s="25">
        <v>75254.0</v>
      </c>
      <c r="C163" s="27">
        <v>1000.0</v>
      </c>
      <c r="D163" s="134" t="s">
        <v>31</v>
      </c>
      <c r="F163" s="130">
        <f>IFERROR(__xludf.DUMMYFUNCTION("""COMPUTED_VALUE"""),77006.0)</f>
        <v>77006</v>
      </c>
      <c r="G163" s="132">
        <f t="shared" si="2"/>
        <v>0</v>
      </c>
      <c r="H163" s="132">
        <f t="shared" si="3"/>
        <v>0</v>
      </c>
      <c r="I163" s="132">
        <f t="shared" ref="I163:Z163" si="165">SUMIFS($C:$C,$B:$B,$F163,$D:$D,I$1)</f>
        <v>0</v>
      </c>
      <c r="J163" s="132">
        <f t="shared" si="165"/>
        <v>0</v>
      </c>
      <c r="K163" s="132">
        <f t="shared" si="165"/>
        <v>150</v>
      </c>
      <c r="L163" s="132">
        <f t="shared" si="165"/>
        <v>0</v>
      </c>
      <c r="M163" s="132">
        <f t="shared" si="165"/>
        <v>0</v>
      </c>
      <c r="N163" s="132">
        <f t="shared" si="165"/>
        <v>0</v>
      </c>
      <c r="O163" s="132">
        <f t="shared" si="165"/>
        <v>0</v>
      </c>
      <c r="P163" s="132">
        <f t="shared" si="165"/>
        <v>0</v>
      </c>
      <c r="Q163" s="132">
        <f t="shared" si="165"/>
        <v>0</v>
      </c>
      <c r="R163" s="132">
        <f t="shared" si="165"/>
        <v>0</v>
      </c>
      <c r="S163" s="132">
        <f t="shared" si="165"/>
        <v>0</v>
      </c>
      <c r="T163" s="132">
        <f t="shared" si="165"/>
        <v>0</v>
      </c>
      <c r="U163" s="132">
        <f t="shared" si="165"/>
        <v>0</v>
      </c>
      <c r="V163" s="132">
        <f t="shared" si="165"/>
        <v>0</v>
      </c>
      <c r="W163" s="132">
        <f t="shared" si="165"/>
        <v>0</v>
      </c>
      <c r="X163" s="132">
        <f t="shared" si="165"/>
        <v>0</v>
      </c>
      <c r="Y163" s="132">
        <f t="shared" si="165"/>
        <v>0</v>
      </c>
      <c r="Z163" s="132">
        <f t="shared" si="165"/>
        <v>0</v>
      </c>
      <c r="AA163" s="133">
        <f t="shared" si="5"/>
        <v>150</v>
      </c>
    </row>
    <row r="164">
      <c r="A164" s="130" t="s">
        <v>3279</v>
      </c>
      <c r="B164" s="25">
        <v>75225.0</v>
      </c>
      <c r="C164" s="27">
        <v>500.0</v>
      </c>
      <c r="D164" s="134" t="s">
        <v>30</v>
      </c>
      <c r="F164" s="130">
        <f>IFERROR(__xludf.DUMMYFUNCTION("""COMPUTED_VALUE"""),76120.0)</f>
        <v>76120</v>
      </c>
      <c r="G164" s="132">
        <f t="shared" si="2"/>
        <v>0</v>
      </c>
      <c r="H164" s="132">
        <f t="shared" si="3"/>
        <v>0</v>
      </c>
      <c r="I164" s="132">
        <f t="shared" ref="I164:Z164" si="166">SUMIFS($C:$C,$B:$B,$F164,$D:$D,I$1)</f>
        <v>0</v>
      </c>
      <c r="J164" s="132">
        <f t="shared" si="166"/>
        <v>0</v>
      </c>
      <c r="K164" s="132">
        <f t="shared" si="166"/>
        <v>5000</v>
      </c>
      <c r="L164" s="132">
        <f t="shared" si="166"/>
        <v>0</v>
      </c>
      <c r="M164" s="132">
        <f t="shared" si="166"/>
        <v>0</v>
      </c>
      <c r="N164" s="132">
        <f t="shared" si="166"/>
        <v>0</v>
      </c>
      <c r="O164" s="132">
        <f t="shared" si="166"/>
        <v>0</v>
      </c>
      <c r="P164" s="132">
        <f t="shared" si="166"/>
        <v>0</v>
      </c>
      <c r="Q164" s="132">
        <f t="shared" si="166"/>
        <v>0</v>
      </c>
      <c r="R164" s="132">
        <f t="shared" si="166"/>
        <v>0</v>
      </c>
      <c r="S164" s="132">
        <f t="shared" si="166"/>
        <v>0</v>
      </c>
      <c r="T164" s="132">
        <f t="shared" si="166"/>
        <v>0</v>
      </c>
      <c r="U164" s="132">
        <f t="shared" si="166"/>
        <v>0</v>
      </c>
      <c r="V164" s="132">
        <f t="shared" si="166"/>
        <v>0</v>
      </c>
      <c r="W164" s="132">
        <f t="shared" si="166"/>
        <v>0</v>
      </c>
      <c r="X164" s="132">
        <f t="shared" si="166"/>
        <v>0</v>
      </c>
      <c r="Y164" s="132">
        <f t="shared" si="166"/>
        <v>0</v>
      </c>
      <c r="Z164" s="132">
        <f t="shared" si="166"/>
        <v>0</v>
      </c>
      <c r="AA164" s="133">
        <f t="shared" si="5"/>
        <v>5000</v>
      </c>
    </row>
    <row r="165">
      <c r="A165" s="130" t="s">
        <v>3289</v>
      </c>
      <c r="B165" s="25">
        <v>75219.0</v>
      </c>
      <c r="C165" s="27">
        <v>250.0</v>
      </c>
      <c r="D165" s="134" t="s">
        <v>31</v>
      </c>
      <c r="F165" s="130">
        <f>IFERROR(__xludf.DUMMYFUNCTION("""COMPUTED_VALUE"""),20003.0)</f>
        <v>20003</v>
      </c>
      <c r="G165" s="132">
        <f t="shared" si="2"/>
        <v>0</v>
      </c>
      <c r="H165" s="132">
        <f t="shared" si="3"/>
        <v>0</v>
      </c>
      <c r="I165" s="132">
        <f t="shared" ref="I165:Z165" si="167">SUMIFS($C:$C,$B:$B,$F165,$D:$D,I$1)</f>
        <v>0</v>
      </c>
      <c r="J165" s="132">
        <f t="shared" si="167"/>
        <v>0</v>
      </c>
      <c r="K165" s="132">
        <f t="shared" si="167"/>
        <v>2500</v>
      </c>
      <c r="L165" s="132">
        <f t="shared" si="167"/>
        <v>0</v>
      </c>
      <c r="M165" s="132">
        <f t="shared" si="167"/>
        <v>0</v>
      </c>
      <c r="N165" s="132">
        <f t="shared" si="167"/>
        <v>0</v>
      </c>
      <c r="O165" s="132">
        <f t="shared" si="167"/>
        <v>0</v>
      </c>
      <c r="P165" s="132">
        <f t="shared" si="167"/>
        <v>0</v>
      </c>
      <c r="Q165" s="132">
        <f t="shared" si="167"/>
        <v>0</v>
      </c>
      <c r="R165" s="132">
        <f t="shared" si="167"/>
        <v>0</v>
      </c>
      <c r="S165" s="132">
        <f t="shared" si="167"/>
        <v>0</v>
      </c>
      <c r="T165" s="132">
        <f t="shared" si="167"/>
        <v>0</v>
      </c>
      <c r="U165" s="132">
        <f t="shared" si="167"/>
        <v>0</v>
      </c>
      <c r="V165" s="132">
        <f t="shared" si="167"/>
        <v>0</v>
      </c>
      <c r="W165" s="132">
        <f t="shared" si="167"/>
        <v>0</v>
      </c>
      <c r="X165" s="132">
        <f t="shared" si="167"/>
        <v>0</v>
      </c>
      <c r="Y165" s="132">
        <f t="shared" si="167"/>
        <v>0</v>
      </c>
      <c r="Z165" s="132">
        <f t="shared" si="167"/>
        <v>0</v>
      </c>
      <c r="AA165" s="133">
        <f t="shared" si="5"/>
        <v>2500</v>
      </c>
    </row>
    <row r="166">
      <c r="A166" s="130" t="s">
        <v>3267</v>
      </c>
      <c r="B166" s="25">
        <v>75214.0</v>
      </c>
      <c r="C166" s="27">
        <v>500.0</v>
      </c>
      <c r="D166" s="134" t="s">
        <v>24</v>
      </c>
      <c r="F166" s="130">
        <f>IFERROR(__xludf.DUMMYFUNCTION("""COMPUTED_VALUE"""),75380.0)</f>
        <v>75380</v>
      </c>
      <c r="G166" s="132">
        <f t="shared" si="2"/>
        <v>0</v>
      </c>
      <c r="H166" s="132">
        <f t="shared" si="3"/>
        <v>0</v>
      </c>
      <c r="I166" s="132">
        <f t="shared" ref="I166:Z166" si="168">SUMIFS($C:$C,$B:$B,$F166,$D:$D,I$1)</f>
        <v>0</v>
      </c>
      <c r="J166" s="132">
        <f t="shared" si="168"/>
        <v>0</v>
      </c>
      <c r="K166" s="132">
        <f t="shared" si="168"/>
        <v>10000</v>
      </c>
      <c r="L166" s="132">
        <f t="shared" si="168"/>
        <v>0</v>
      </c>
      <c r="M166" s="132">
        <f t="shared" si="168"/>
        <v>0</v>
      </c>
      <c r="N166" s="132">
        <f t="shared" si="168"/>
        <v>0</v>
      </c>
      <c r="O166" s="132">
        <f t="shared" si="168"/>
        <v>0</v>
      </c>
      <c r="P166" s="132">
        <f t="shared" si="168"/>
        <v>0</v>
      </c>
      <c r="Q166" s="132">
        <f t="shared" si="168"/>
        <v>0</v>
      </c>
      <c r="R166" s="132">
        <f t="shared" si="168"/>
        <v>0</v>
      </c>
      <c r="S166" s="132">
        <f t="shared" si="168"/>
        <v>0</v>
      </c>
      <c r="T166" s="132">
        <f t="shared" si="168"/>
        <v>0</v>
      </c>
      <c r="U166" s="132">
        <f t="shared" si="168"/>
        <v>0</v>
      </c>
      <c r="V166" s="132">
        <f t="shared" si="168"/>
        <v>0</v>
      </c>
      <c r="W166" s="132">
        <f t="shared" si="168"/>
        <v>0</v>
      </c>
      <c r="X166" s="132">
        <f t="shared" si="168"/>
        <v>0</v>
      </c>
      <c r="Y166" s="132">
        <f t="shared" si="168"/>
        <v>0</v>
      </c>
      <c r="Z166" s="132">
        <f t="shared" si="168"/>
        <v>0</v>
      </c>
      <c r="AA166" s="133">
        <f t="shared" si="5"/>
        <v>10000</v>
      </c>
    </row>
    <row r="167">
      <c r="A167" s="130" t="s">
        <v>3267</v>
      </c>
      <c r="B167" s="25">
        <v>75214.0</v>
      </c>
      <c r="C167" s="27">
        <v>250.0</v>
      </c>
      <c r="D167" s="134" t="s">
        <v>25</v>
      </c>
      <c r="F167" s="130">
        <f>IFERROR(__xludf.DUMMYFUNCTION("""COMPUTED_VALUE"""),77493.0)</f>
        <v>77493</v>
      </c>
      <c r="G167" s="132">
        <f t="shared" si="2"/>
        <v>0</v>
      </c>
      <c r="H167" s="132">
        <f t="shared" si="3"/>
        <v>1000</v>
      </c>
      <c r="I167" s="132">
        <f t="shared" ref="I167:Z167" si="169">SUMIFS($C:$C,$B:$B,$F167,$D:$D,I$1)</f>
        <v>0</v>
      </c>
      <c r="J167" s="132">
        <f t="shared" si="169"/>
        <v>0</v>
      </c>
      <c r="K167" s="132">
        <f t="shared" si="169"/>
        <v>0</v>
      </c>
      <c r="L167" s="132">
        <f t="shared" si="169"/>
        <v>0</v>
      </c>
      <c r="M167" s="132">
        <f t="shared" si="169"/>
        <v>0</v>
      </c>
      <c r="N167" s="132">
        <f t="shared" si="169"/>
        <v>0</v>
      </c>
      <c r="O167" s="132">
        <f t="shared" si="169"/>
        <v>0</v>
      </c>
      <c r="P167" s="132">
        <f t="shared" si="169"/>
        <v>0</v>
      </c>
      <c r="Q167" s="132">
        <f t="shared" si="169"/>
        <v>0</v>
      </c>
      <c r="R167" s="132">
        <f t="shared" si="169"/>
        <v>0</v>
      </c>
      <c r="S167" s="132">
        <f t="shared" si="169"/>
        <v>0</v>
      </c>
      <c r="T167" s="132">
        <f t="shared" si="169"/>
        <v>0</v>
      </c>
      <c r="U167" s="132">
        <f t="shared" si="169"/>
        <v>0</v>
      </c>
      <c r="V167" s="132">
        <f t="shared" si="169"/>
        <v>0</v>
      </c>
      <c r="W167" s="132">
        <f t="shared" si="169"/>
        <v>0</v>
      </c>
      <c r="X167" s="132">
        <f t="shared" si="169"/>
        <v>0</v>
      </c>
      <c r="Y167" s="132">
        <f t="shared" si="169"/>
        <v>0</v>
      </c>
      <c r="Z167" s="132">
        <f t="shared" si="169"/>
        <v>0</v>
      </c>
      <c r="AA167" s="133">
        <f t="shared" si="5"/>
        <v>1000</v>
      </c>
    </row>
    <row r="168">
      <c r="A168" s="130" t="s">
        <v>3266</v>
      </c>
      <c r="B168" s="25">
        <v>75230.0</v>
      </c>
      <c r="C168" s="27">
        <v>500.0</v>
      </c>
      <c r="D168" s="134" t="s">
        <v>31</v>
      </c>
      <c r="F168" s="130">
        <f>IFERROR(__xludf.DUMMYFUNCTION("""COMPUTED_VALUE"""),20882.0)</f>
        <v>20882</v>
      </c>
      <c r="G168" s="132">
        <f t="shared" si="2"/>
        <v>0</v>
      </c>
      <c r="H168" s="132">
        <f t="shared" si="3"/>
        <v>0</v>
      </c>
      <c r="I168" s="132">
        <f t="shared" ref="I168:Z168" si="170">SUMIFS($C:$C,$B:$B,$F168,$D:$D,I$1)</f>
        <v>0</v>
      </c>
      <c r="J168" s="132">
        <f t="shared" si="170"/>
        <v>0</v>
      </c>
      <c r="K168" s="132">
        <f t="shared" si="170"/>
        <v>0</v>
      </c>
      <c r="L168" s="132">
        <f t="shared" si="170"/>
        <v>0</v>
      </c>
      <c r="M168" s="132">
        <f t="shared" si="170"/>
        <v>0</v>
      </c>
      <c r="N168" s="132">
        <f t="shared" si="170"/>
        <v>0</v>
      </c>
      <c r="O168" s="132">
        <f t="shared" si="170"/>
        <v>0</v>
      </c>
      <c r="P168" s="132">
        <f t="shared" si="170"/>
        <v>0</v>
      </c>
      <c r="Q168" s="132">
        <f t="shared" si="170"/>
        <v>100</v>
      </c>
      <c r="R168" s="132">
        <f t="shared" si="170"/>
        <v>0</v>
      </c>
      <c r="S168" s="132">
        <f t="shared" si="170"/>
        <v>0</v>
      </c>
      <c r="T168" s="132">
        <f t="shared" si="170"/>
        <v>0</v>
      </c>
      <c r="U168" s="132">
        <f t="shared" si="170"/>
        <v>0</v>
      </c>
      <c r="V168" s="132">
        <f t="shared" si="170"/>
        <v>0</v>
      </c>
      <c r="W168" s="132">
        <f t="shared" si="170"/>
        <v>0</v>
      </c>
      <c r="X168" s="132">
        <f t="shared" si="170"/>
        <v>0</v>
      </c>
      <c r="Y168" s="132">
        <f t="shared" si="170"/>
        <v>0</v>
      </c>
      <c r="Z168" s="132">
        <f t="shared" si="170"/>
        <v>0</v>
      </c>
      <c r="AA168" s="133">
        <f t="shared" si="5"/>
        <v>100</v>
      </c>
    </row>
    <row r="169">
      <c r="A169" s="130" t="s">
        <v>3300</v>
      </c>
      <c r="B169" s="25">
        <v>75228.0</v>
      </c>
      <c r="C169" s="27">
        <v>500.0</v>
      </c>
      <c r="D169" s="134" t="s">
        <v>21</v>
      </c>
      <c r="F169" s="130">
        <f>IFERROR(__xludf.DUMMYFUNCTION("""COMPUTED_VALUE"""),35223.0)</f>
        <v>35223</v>
      </c>
      <c r="G169" s="132">
        <f t="shared" si="2"/>
        <v>0</v>
      </c>
      <c r="H169" s="132">
        <f t="shared" si="3"/>
        <v>0</v>
      </c>
      <c r="I169" s="132">
        <f t="shared" ref="I169:Z169" si="171">SUMIFS($C:$C,$B:$B,$F169,$D:$D,I$1)</f>
        <v>0</v>
      </c>
      <c r="J169" s="132">
        <f t="shared" si="171"/>
        <v>0</v>
      </c>
      <c r="K169" s="132">
        <f t="shared" si="171"/>
        <v>0</v>
      </c>
      <c r="L169" s="132">
        <f t="shared" si="171"/>
        <v>0</v>
      </c>
      <c r="M169" s="132">
        <f t="shared" si="171"/>
        <v>0</v>
      </c>
      <c r="N169" s="132">
        <f t="shared" si="171"/>
        <v>0</v>
      </c>
      <c r="O169" s="132">
        <f t="shared" si="171"/>
        <v>0</v>
      </c>
      <c r="P169" s="132">
        <f t="shared" si="171"/>
        <v>0</v>
      </c>
      <c r="Q169" s="132">
        <f t="shared" si="171"/>
        <v>250</v>
      </c>
      <c r="R169" s="132">
        <f t="shared" si="171"/>
        <v>0</v>
      </c>
      <c r="S169" s="132">
        <f t="shared" si="171"/>
        <v>0</v>
      </c>
      <c r="T169" s="132">
        <f t="shared" si="171"/>
        <v>0</v>
      </c>
      <c r="U169" s="132">
        <f t="shared" si="171"/>
        <v>0</v>
      </c>
      <c r="V169" s="132">
        <f t="shared" si="171"/>
        <v>0</v>
      </c>
      <c r="W169" s="132">
        <f t="shared" si="171"/>
        <v>0</v>
      </c>
      <c r="X169" s="132">
        <f t="shared" si="171"/>
        <v>0</v>
      </c>
      <c r="Y169" s="132">
        <f t="shared" si="171"/>
        <v>0</v>
      </c>
      <c r="Z169" s="132">
        <f t="shared" si="171"/>
        <v>0</v>
      </c>
      <c r="AA169" s="133">
        <f t="shared" si="5"/>
        <v>250</v>
      </c>
    </row>
    <row r="170">
      <c r="A170" s="130" t="s">
        <v>3282</v>
      </c>
      <c r="B170" s="25">
        <v>75208.0</v>
      </c>
      <c r="C170" s="27">
        <v>100.0</v>
      </c>
      <c r="D170" s="134" t="s">
        <v>21</v>
      </c>
      <c r="F170" s="130">
        <f>IFERROR(__xludf.DUMMYFUNCTION("""COMPUTED_VALUE"""),21403.0)</f>
        <v>21403</v>
      </c>
      <c r="G170" s="132">
        <f t="shared" si="2"/>
        <v>0</v>
      </c>
      <c r="H170" s="132">
        <f t="shared" si="3"/>
        <v>0</v>
      </c>
      <c r="I170" s="132">
        <f t="shared" ref="I170:Z170" si="172">SUMIFS($C:$C,$B:$B,$F170,$D:$D,I$1)</f>
        <v>0</v>
      </c>
      <c r="J170" s="132">
        <f t="shared" si="172"/>
        <v>0</v>
      </c>
      <c r="K170" s="132">
        <f t="shared" si="172"/>
        <v>0</v>
      </c>
      <c r="L170" s="132">
        <f t="shared" si="172"/>
        <v>0</v>
      </c>
      <c r="M170" s="132">
        <f t="shared" si="172"/>
        <v>0</v>
      </c>
      <c r="N170" s="132">
        <f t="shared" si="172"/>
        <v>0</v>
      </c>
      <c r="O170" s="132">
        <f t="shared" si="172"/>
        <v>0</v>
      </c>
      <c r="P170" s="132">
        <f t="shared" si="172"/>
        <v>0</v>
      </c>
      <c r="Q170" s="132">
        <f t="shared" si="172"/>
        <v>360</v>
      </c>
      <c r="R170" s="132">
        <f t="shared" si="172"/>
        <v>0</v>
      </c>
      <c r="S170" s="132">
        <f t="shared" si="172"/>
        <v>0</v>
      </c>
      <c r="T170" s="132">
        <f t="shared" si="172"/>
        <v>0</v>
      </c>
      <c r="U170" s="132">
        <f t="shared" si="172"/>
        <v>0</v>
      </c>
      <c r="V170" s="132">
        <f t="shared" si="172"/>
        <v>0</v>
      </c>
      <c r="W170" s="132">
        <f t="shared" si="172"/>
        <v>0</v>
      </c>
      <c r="X170" s="132">
        <f t="shared" si="172"/>
        <v>0</v>
      </c>
      <c r="Y170" s="132">
        <f t="shared" si="172"/>
        <v>0</v>
      </c>
      <c r="Z170" s="132">
        <f t="shared" si="172"/>
        <v>0</v>
      </c>
      <c r="AA170" s="133">
        <f t="shared" si="5"/>
        <v>360</v>
      </c>
    </row>
    <row r="171">
      <c r="A171" s="130" t="s">
        <v>3282</v>
      </c>
      <c r="B171" s="25">
        <v>75208.0</v>
      </c>
      <c r="C171" s="27">
        <v>500.0</v>
      </c>
      <c r="D171" s="134" t="s">
        <v>21</v>
      </c>
      <c r="F171" s="130">
        <f>IFERROR(__xludf.DUMMYFUNCTION("""COMPUTED_VALUE"""),75246.0)</f>
        <v>75246</v>
      </c>
      <c r="G171" s="132">
        <f t="shared" si="2"/>
        <v>0</v>
      </c>
      <c r="H171" s="132">
        <f t="shared" si="3"/>
        <v>0</v>
      </c>
      <c r="I171" s="132">
        <f t="shared" ref="I171:Z171" si="173">SUMIFS($C:$C,$B:$B,$F171,$D:$D,I$1)</f>
        <v>0</v>
      </c>
      <c r="J171" s="132">
        <f t="shared" si="173"/>
        <v>0</v>
      </c>
      <c r="K171" s="132">
        <f t="shared" si="173"/>
        <v>0</v>
      </c>
      <c r="L171" s="132">
        <f t="shared" si="173"/>
        <v>0</v>
      </c>
      <c r="M171" s="132">
        <f t="shared" si="173"/>
        <v>0</v>
      </c>
      <c r="N171" s="132">
        <f t="shared" si="173"/>
        <v>0</v>
      </c>
      <c r="O171" s="132">
        <f t="shared" si="173"/>
        <v>0</v>
      </c>
      <c r="P171" s="132">
        <f t="shared" si="173"/>
        <v>250</v>
      </c>
      <c r="Q171" s="132">
        <f t="shared" si="173"/>
        <v>100</v>
      </c>
      <c r="R171" s="132">
        <f t="shared" si="173"/>
        <v>0</v>
      </c>
      <c r="S171" s="132">
        <f t="shared" si="173"/>
        <v>0</v>
      </c>
      <c r="T171" s="132">
        <f t="shared" si="173"/>
        <v>0</v>
      </c>
      <c r="U171" s="132">
        <f t="shared" si="173"/>
        <v>0</v>
      </c>
      <c r="V171" s="132">
        <f t="shared" si="173"/>
        <v>0</v>
      </c>
      <c r="W171" s="132">
        <f t="shared" si="173"/>
        <v>0</v>
      </c>
      <c r="X171" s="132">
        <f t="shared" si="173"/>
        <v>0</v>
      </c>
      <c r="Y171" s="132">
        <f t="shared" si="173"/>
        <v>0</v>
      </c>
      <c r="Z171" s="132">
        <f t="shared" si="173"/>
        <v>0</v>
      </c>
      <c r="AA171" s="133">
        <f t="shared" si="5"/>
        <v>350</v>
      </c>
    </row>
    <row r="172">
      <c r="A172" s="130" t="s">
        <v>3326</v>
      </c>
      <c r="B172" s="25">
        <v>75224.0</v>
      </c>
      <c r="C172" s="27">
        <v>500.0</v>
      </c>
      <c r="D172" s="134" t="s">
        <v>21</v>
      </c>
      <c r="F172" s="130">
        <f>IFERROR(__xludf.DUMMYFUNCTION("""COMPUTED_VALUE"""),33066.0)</f>
        <v>33066</v>
      </c>
      <c r="G172" s="132">
        <f t="shared" si="2"/>
        <v>0</v>
      </c>
      <c r="H172" s="132">
        <f t="shared" si="3"/>
        <v>0</v>
      </c>
      <c r="I172" s="132">
        <f t="shared" ref="I172:Z172" si="174">SUMIFS($C:$C,$B:$B,$F172,$D:$D,I$1)</f>
        <v>0</v>
      </c>
      <c r="J172" s="132">
        <f t="shared" si="174"/>
        <v>0</v>
      </c>
      <c r="K172" s="132">
        <f t="shared" si="174"/>
        <v>0</v>
      </c>
      <c r="L172" s="132">
        <f t="shared" si="174"/>
        <v>0</v>
      </c>
      <c r="M172" s="132">
        <f t="shared" si="174"/>
        <v>0</v>
      </c>
      <c r="N172" s="132">
        <f t="shared" si="174"/>
        <v>0</v>
      </c>
      <c r="O172" s="132">
        <f t="shared" si="174"/>
        <v>0</v>
      </c>
      <c r="P172" s="132">
        <f t="shared" si="174"/>
        <v>0</v>
      </c>
      <c r="Q172" s="132">
        <f t="shared" si="174"/>
        <v>100</v>
      </c>
      <c r="R172" s="132">
        <f t="shared" si="174"/>
        <v>0</v>
      </c>
      <c r="S172" s="132">
        <f t="shared" si="174"/>
        <v>0</v>
      </c>
      <c r="T172" s="132">
        <f t="shared" si="174"/>
        <v>0</v>
      </c>
      <c r="U172" s="132">
        <f t="shared" si="174"/>
        <v>0</v>
      </c>
      <c r="V172" s="132">
        <f t="shared" si="174"/>
        <v>0</v>
      </c>
      <c r="W172" s="132">
        <f t="shared" si="174"/>
        <v>0</v>
      </c>
      <c r="X172" s="132">
        <f t="shared" si="174"/>
        <v>0</v>
      </c>
      <c r="Y172" s="132">
        <f t="shared" si="174"/>
        <v>0</v>
      </c>
      <c r="Z172" s="132">
        <f t="shared" si="174"/>
        <v>0</v>
      </c>
      <c r="AA172" s="133">
        <f t="shared" si="5"/>
        <v>100</v>
      </c>
    </row>
    <row r="173">
      <c r="A173" s="130" t="s">
        <v>3327</v>
      </c>
      <c r="B173" s="25">
        <v>75022.0</v>
      </c>
      <c r="C173" s="27">
        <v>500.0</v>
      </c>
      <c r="D173" s="134" t="s">
        <v>21</v>
      </c>
      <c r="F173" s="130">
        <f>IFERROR(__xludf.DUMMYFUNCTION("""COMPUTED_VALUE"""),90048.0)</f>
        <v>90048</v>
      </c>
      <c r="G173" s="132">
        <f t="shared" si="2"/>
        <v>0</v>
      </c>
      <c r="H173" s="132">
        <f t="shared" si="3"/>
        <v>0</v>
      </c>
      <c r="I173" s="132">
        <f t="shared" ref="I173:Z173" si="175">SUMIFS($C:$C,$B:$B,$F173,$D:$D,I$1)</f>
        <v>0</v>
      </c>
      <c r="J173" s="132">
        <f t="shared" si="175"/>
        <v>0</v>
      </c>
      <c r="K173" s="132">
        <f t="shared" si="175"/>
        <v>0</v>
      </c>
      <c r="L173" s="132">
        <f t="shared" si="175"/>
        <v>0</v>
      </c>
      <c r="M173" s="132">
        <f t="shared" si="175"/>
        <v>0</v>
      </c>
      <c r="N173" s="132">
        <f t="shared" si="175"/>
        <v>0</v>
      </c>
      <c r="O173" s="132">
        <f t="shared" si="175"/>
        <v>0</v>
      </c>
      <c r="P173" s="132">
        <f t="shared" si="175"/>
        <v>0</v>
      </c>
      <c r="Q173" s="132">
        <f t="shared" si="175"/>
        <v>500</v>
      </c>
      <c r="R173" s="132">
        <f t="shared" si="175"/>
        <v>0</v>
      </c>
      <c r="S173" s="132">
        <f t="shared" si="175"/>
        <v>0</v>
      </c>
      <c r="T173" s="132">
        <f t="shared" si="175"/>
        <v>0</v>
      </c>
      <c r="U173" s="132">
        <f t="shared" si="175"/>
        <v>0</v>
      </c>
      <c r="V173" s="132">
        <f t="shared" si="175"/>
        <v>0</v>
      </c>
      <c r="W173" s="132">
        <f t="shared" si="175"/>
        <v>0</v>
      </c>
      <c r="X173" s="132">
        <f t="shared" si="175"/>
        <v>0</v>
      </c>
      <c r="Y173" s="132">
        <f t="shared" si="175"/>
        <v>0</v>
      </c>
      <c r="Z173" s="132">
        <f t="shared" si="175"/>
        <v>0</v>
      </c>
      <c r="AA173" s="133">
        <f t="shared" si="5"/>
        <v>500</v>
      </c>
    </row>
    <row r="174">
      <c r="A174" s="130" t="s">
        <v>3326</v>
      </c>
      <c r="B174" s="25">
        <v>75224.0</v>
      </c>
      <c r="C174" s="27">
        <v>500.0</v>
      </c>
      <c r="D174" s="134" t="s">
        <v>21</v>
      </c>
      <c r="F174" s="130">
        <f>IFERROR(__xludf.DUMMYFUNCTION("""COMPUTED_VALUE"""),75339.0)</f>
        <v>75339</v>
      </c>
      <c r="G174" s="132">
        <f t="shared" si="2"/>
        <v>0</v>
      </c>
      <c r="H174" s="132">
        <f t="shared" si="3"/>
        <v>0</v>
      </c>
      <c r="I174" s="132">
        <f t="shared" ref="I174:Z174" si="176">SUMIFS($C:$C,$B:$B,$F174,$D:$D,I$1)</f>
        <v>0</v>
      </c>
      <c r="J174" s="132">
        <f t="shared" si="176"/>
        <v>0</v>
      </c>
      <c r="K174" s="132">
        <f t="shared" si="176"/>
        <v>0</v>
      </c>
      <c r="L174" s="132">
        <f t="shared" si="176"/>
        <v>0</v>
      </c>
      <c r="M174" s="132">
        <f t="shared" si="176"/>
        <v>0</v>
      </c>
      <c r="N174" s="132">
        <f t="shared" si="176"/>
        <v>0</v>
      </c>
      <c r="O174" s="132">
        <f t="shared" si="176"/>
        <v>0</v>
      </c>
      <c r="P174" s="132">
        <f t="shared" si="176"/>
        <v>0</v>
      </c>
      <c r="Q174" s="132">
        <f t="shared" si="176"/>
        <v>100</v>
      </c>
      <c r="R174" s="132">
        <f t="shared" si="176"/>
        <v>0</v>
      </c>
      <c r="S174" s="132">
        <f t="shared" si="176"/>
        <v>0</v>
      </c>
      <c r="T174" s="132">
        <f t="shared" si="176"/>
        <v>0</v>
      </c>
      <c r="U174" s="132">
        <f t="shared" si="176"/>
        <v>0</v>
      </c>
      <c r="V174" s="132">
        <f t="shared" si="176"/>
        <v>0</v>
      </c>
      <c r="W174" s="132">
        <f t="shared" si="176"/>
        <v>0</v>
      </c>
      <c r="X174" s="132">
        <f t="shared" si="176"/>
        <v>0</v>
      </c>
      <c r="Y174" s="132">
        <f t="shared" si="176"/>
        <v>0</v>
      </c>
      <c r="Z174" s="132">
        <f t="shared" si="176"/>
        <v>0</v>
      </c>
      <c r="AA174" s="133">
        <f t="shared" si="5"/>
        <v>100</v>
      </c>
    </row>
    <row r="175">
      <c r="A175" s="130" t="s">
        <v>3282</v>
      </c>
      <c r="B175" s="25">
        <v>75208.0</v>
      </c>
      <c r="C175" s="27">
        <v>500.0</v>
      </c>
      <c r="D175" s="134" t="s">
        <v>21</v>
      </c>
      <c r="F175" s="130">
        <f>IFERROR(__xludf.DUMMYFUNCTION("""COMPUTED_VALUE"""),92651.0)</f>
        <v>92651</v>
      </c>
      <c r="G175" s="132">
        <f t="shared" si="2"/>
        <v>0</v>
      </c>
      <c r="H175" s="132">
        <f t="shared" si="3"/>
        <v>0</v>
      </c>
      <c r="I175" s="132">
        <f t="shared" ref="I175:Z175" si="177">SUMIFS($C:$C,$B:$B,$F175,$D:$D,I$1)</f>
        <v>0</v>
      </c>
      <c r="J175" s="132">
        <f t="shared" si="177"/>
        <v>0</v>
      </c>
      <c r="K175" s="132">
        <f t="shared" si="177"/>
        <v>0</v>
      </c>
      <c r="L175" s="132">
        <f t="shared" si="177"/>
        <v>0</v>
      </c>
      <c r="M175" s="132">
        <f t="shared" si="177"/>
        <v>0</v>
      </c>
      <c r="N175" s="132">
        <f t="shared" si="177"/>
        <v>0</v>
      </c>
      <c r="O175" s="132">
        <f t="shared" si="177"/>
        <v>0</v>
      </c>
      <c r="P175" s="132">
        <f t="shared" si="177"/>
        <v>0</v>
      </c>
      <c r="Q175" s="132">
        <f t="shared" si="177"/>
        <v>1000</v>
      </c>
      <c r="R175" s="132">
        <f t="shared" si="177"/>
        <v>0</v>
      </c>
      <c r="S175" s="132">
        <f t="shared" si="177"/>
        <v>0</v>
      </c>
      <c r="T175" s="132">
        <f t="shared" si="177"/>
        <v>0</v>
      </c>
      <c r="U175" s="132">
        <f t="shared" si="177"/>
        <v>0</v>
      </c>
      <c r="V175" s="132">
        <f t="shared" si="177"/>
        <v>0</v>
      </c>
      <c r="W175" s="132">
        <f t="shared" si="177"/>
        <v>0</v>
      </c>
      <c r="X175" s="132">
        <f t="shared" si="177"/>
        <v>0</v>
      </c>
      <c r="Y175" s="132">
        <f t="shared" si="177"/>
        <v>0</v>
      </c>
      <c r="Z175" s="132">
        <f t="shared" si="177"/>
        <v>0</v>
      </c>
      <c r="AA175" s="133">
        <f t="shared" si="5"/>
        <v>1000</v>
      </c>
    </row>
    <row r="176">
      <c r="A176" s="130" t="s">
        <v>3312</v>
      </c>
      <c r="B176" s="25">
        <v>75201.0</v>
      </c>
      <c r="C176" s="27">
        <v>250.0</v>
      </c>
      <c r="D176" s="134" t="s">
        <v>21</v>
      </c>
      <c r="F176" s="130">
        <f>IFERROR(__xludf.DUMMYFUNCTION("""COMPUTED_VALUE"""),66208.0)</f>
        <v>66208</v>
      </c>
      <c r="G176" s="132">
        <f t="shared" si="2"/>
        <v>0</v>
      </c>
      <c r="H176" s="132">
        <f t="shared" si="3"/>
        <v>0</v>
      </c>
      <c r="I176" s="132">
        <f t="shared" ref="I176:Z176" si="178">SUMIFS($C:$C,$B:$B,$F176,$D:$D,I$1)</f>
        <v>0</v>
      </c>
      <c r="J176" s="132">
        <f t="shared" si="178"/>
        <v>0</v>
      </c>
      <c r="K176" s="132">
        <f t="shared" si="178"/>
        <v>0</v>
      </c>
      <c r="L176" s="132">
        <f t="shared" si="178"/>
        <v>0</v>
      </c>
      <c r="M176" s="132">
        <f t="shared" si="178"/>
        <v>0</v>
      </c>
      <c r="N176" s="132">
        <f t="shared" si="178"/>
        <v>0</v>
      </c>
      <c r="O176" s="132">
        <f t="shared" si="178"/>
        <v>0</v>
      </c>
      <c r="P176" s="132">
        <f t="shared" si="178"/>
        <v>0</v>
      </c>
      <c r="Q176" s="132">
        <f t="shared" si="178"/>
        <v>180</v>
      </c>
      <c r="R176" s="132">
        <f t="shared" si="178"/>
        <v>0</v>
      </c>
      <c r="S176" s="132">
        <f t="shared" si="178"/>
        <v>0</v>
      </c>
      <c r="T176" s="132">
        <f t="shared" si="178"/>
        <v>0</v>
      </c>
      <c r="U176" s="132">
        <f t="shared" si="178"/>
        <v>0</v>
      </c>
      <c r="V176" s="132">
        <f t="shared" si="178"/>
        <v>0</v>
      </c>
      <c r="W176" s="132">
        <f t="shared" si="178"/>
        <v>0</v>
      </c>
      <c r="X176" s="132">
        <f t="shared" si="178"/>
        <v>0</v>
      </c>
      <c r="Y176" s="132">
        <f t="shared" si="178"/>
        <v>0</v>
      </c>
      <c r="Z176" s="132">
        <f t="shared" si="178"/>
        <v>0</v>
      </c>
      <c r="AA176" s="133">
        <f t="shared" si="5"/>
        <v>180</v>
      </c>
    </row>
    <row r="177">
      <c r="A177" s="130" t="s">
        <v>3282</v>
      </c>
      <c r="B177" s="25">
        <v>75208.0</v>
      </c>
      <c r="C177" s="27">
        <v>100.0</v>
      </c>
      <c r="D177" s="134" t="s">
        <v>21</v>
      </c>
      <c r="F177" s="130">
        <f>IFERROR(__xludf.DUMMYFUNCTION("""COMPUTED_VALUE"""),63105.0)</f>
        <v>63105</v>
      </c>
      <c r="G177" s="132">
        <f t="shared" si="2"/>
        <v>0</v>
      </c>
      <c r="H177" s="132">
        <f t="shared" si="3"/>
        <v>0</v>
      </c>
      <c r="I177" s="132">
        <f t="shared" ref="I177:Z177" si="179">SUMIFS($C:$C,$B:$B,$F177,$D:$D,I$1)</f>
        <v>0</v>
      </c>
      <c r="J177" s="132">
        <f t="shared" si="179"/>
        <v>0</v>
      </c>
      <c r="K177" s="132">
        <f t="shared" si="179"/>
        <v>0</v>
      </c>
      <c r="L177" s="132">
        <f t="shared" si="179"/>
        <v>0</v>
      </c>
      <c r="M177" s="132">
        <f t="shared" si="179"/>
        <v>0</v>
      </c>
      <c r="N177" s="132">
        <f t="shared" si="179"/>
        <v>0</v>
      </c>
      <c r="O177" s="132">
        <f t="shared" si="179"/>
        <v>0</v>
      </c>
      <c r="P177" s="132">
        <f t="shared" si="179"/>
        <v>0</v>
      </c>
      <c r="Q177" s="132">
        <f t="shared" si="179"/>
        <v>1000</v>
      </c>
      <c r="R177" s="132">
        <f t="shared" si="179"/>
        <v>0</v>
      </c>
      <c r="S177" s="132">
        <f t="shared" si="179"/>
        <v>0</v>
      </c>
      <c r="T177" s="132">
        <f t="shared" si="179"/>
        <v>0</v>
      </c>
      <c r="U177" s="132">
        <f t="shared" si="179"/>
        <v>0</v>
      </c>
      <c r="V177" s="132">
        <f t="shared" si="179"/>
        <v>0</v>
      </c>
      <c r="W177" s="132">
        <f t="shared" si="179"/>
        <v>0</v>
      </c>
      <c r="X177" s="132">
        <f t="shared" si="179"/>
        <v>0</v>
      </c>
      <c r="Y177" s="132">
        <f t="shared" si="179"/>
        <v>0</v>
      </c>
      <c r="Z177" s="132">
        <f t="shared" si="179"/>
        <v>0</v>
      </c>
      <c r="AA177" s="133">
        <f t="shared" si="5"/>
        <v>1000</v>
      </c>
    </row>
    <row r="178">
      <c r="A178" s="130" t="s">
        <v>3282</v>
      </c>
      <c r="B178" s="25">
        <v>75208.0</v>
      </c>
      <c r="C178" s="27">
        <v>100.0</v>
      </c>
      <c r="D178" s="134" t="s">
        <v>21</v>
      </c>
      <c r="F178" s="130">
        <f>IFERROR(__xludf.DUMMYFUNCTION("""COMPUTED_VALUE"""),76712.0)</f>
        <v>76712</v>
      </c>
      <c r="G178" s="132">
        <f t="shared" si="2"/>
        <v>0</v>
      </c>
      <c r="H178" s="132">
        <f t="shared" si="3"/>
        <v>0</v>
      </c>
      <c r="I178" s="132">
        <f t="shared" ref="I178:Z178" si="180">SUMIFS($C:$C,$B:$B,$F178,$D:$D,I$1)</f>
        <v>0</v>
      </c>
      <c r="J178" s="132">
        <f t="shared" si="180"/>
        <v>250</v>
      </c>
      <c r="K178" s="132">
        <f t="shared" si="180"/>
        <v>0</v>
      </c>
      <c r="L178" s="132">
        <f t="shared" si="180"/>
        <v>0</v>
      </c>
      <c r="M178" s="132">
        <f t="shared" si="180"/>
        <v>0</v>
      </c>
      <c r="N178" s="132">
        <f t="shared" si="180"/>
        <v>0</v>
      </c>
      <c r="O178" s="132">
        <f t="shared" si="180"/>
        <v>0</v>
      </c>
      <c r="P178" s="132">
        <f t="shared" si="180"/>
        <v>0</v>
      </c>
      <c r="Q178" s="132">
        <f t="shared" si="180"/>
        <v>0</v>
      </c>
      <c r="R178" s="132">
        <f t="shared" si="180"/>
        <v>0</v>
      </c>
      <c r="S178" s="132">
        <f t="shared" si="180"/>
        <v>0</v>
      </c>
      <c r="T178" s="132">
        <f t="shared" si="180"/>
        <v>0</v>
      </c>
      <c r="U178" s="132">
        <f t="shared" si="180"/>
        <v>0</v>
      </c>
      <c r="V178" s="132">
        <f t="shared" si="180"/>
        <v>0</v>
      </c>
      <c r="W178" s="132">
        <f t="shared" si="180"/>
        <v>0</v>
      </c>
      <c r="X178" s="132">
        <f t="shared" si="180"/>
        <v>0</v>
      </c>
      <c r="Y178" s="132">
        <f t="shared" si="180"/>
        <v>0</v>
      </c>
      <c r="Z178" s="132">
        <f t="shared" si="180"/>
        <v>0</v>
      </c>
      <c r="AA178" s="133">
        <f t="shared" si="5"/>
        <v>250</v>
      </c>
    </row>
    <row r="179">
      <c r="A179" s="130" t="s">
        <v>3282</v>
      </c>
      <c r="B179" s="25">
        <v>75208.0</v>
      </c>
      <c r="C179" s="27">
        <v>950.0</v>
      </c>
      <c r="D179" s="134" t="s">
        <v>21</v>
      </c>
      <c r="F179" s="130">
        <f>IFERROR(__xludf.DUMMYFUNCTION("""COMPUTED_VALUE"""),76051.0)</f>
        <v>76051</v>
      </c>
      <c r="G179" s="132">
        <f t="shared" si="2"/>
        <v>0</v>
      </c>
      <c r="H179" s="132">
        <f t="shared" si="3"/>
        <v>0</v>
      </c>
      <c r="I179" s="132">
        <f t="shared" ref="I179:Z179" si="181">SUMIFS($C:$C,$B:$B,$F179,$D:$D,I$1)</f>
        <v>0</v>
      </c>
      <c r="J179" s="132">
        <f t="shared" si="181"/>
        <v>500</v>
      </c>
      <c r="K179" s="132">
        <f t="shared" si="181"/>
        <v>0</v>
      </c>
      <c r="L179" s="132">
        <f t="shared" si="181"/>
        <v>0</v>
      </c>
      <c r="M179" s="132">
        <f t="shared" si="181"/>
        <v>1000</v>
      </c>
      <c r="N179" s="132">
        <f t="shared" si="181"/>
        <v>0</v>
      </c>
      <c r="O179" s="132">
        <f t="shared" si="181"/>
        <v>0</v>
      </c>
      <c r="P179" s="132">
        <f t="shared" si="181"/>
        <v>0</v>
      </c>
      <c r="Q179" s="132">
        <f t="shared" si="181"/>
        <v>0</v>
      </c>
      <c r="R179" s="132">
        <f t="shared" si="181"/>
        <v>0</v>
      </c>
      <c r="S179" s="132">
        <f t="shared" si="181"/>
        <v>0</v>
      </c>
      <c r="T179" s="132">
        <f t="shared" si="181"/>
        <v>1000</v>
      </c>
      <c r="U179" s="132">
        <f t="shared" si="181"/>
        <v>0</v>
      </c>
      <c r="V179" s="132">
        <f t="shared" si="181"/>
        <v>0</v>
      </c>
      <c r="W179" s="132">
        <f t="shared" si="181"/>
        <v>0</v>
      </c>
      <c r="X179" s="132">
        <f t="shared" si="181"/>
        <v>0</v>
      </c>
      <c r="Y179" s="132">
        <f t="shared" si="181"/>
        <v>0</v>
      </c>
      <c r="Z179" s="132">
        <f t="shared" si="181"/>
        <v>0</v>
      </c>
      <c r="AA179" s="133">
        <f t="shared" si="5"/>
        <v>2500</v>
      </c>
    </row>
    <row r="180">
      <c r="A180" s="130" t="s">
        <v>3282</v>
      </c>
      <c r="B180" s="25">
        <v>75208.0</v>
      </c>
      <c r="C180" s="27">
        <v>500.0</v>
      </c>
      <c r="D180" s="134" t="s">
        <v>21</v>
      </c>
      <c r="F180" s="130">
        <f>IFERROR(__xludf.DUMMYFUNCTION("""COMPUTED_VALUE"""),77046.0)</f>
        <v>77046</v>
      </c>
      <c r="G180" s="132">
        <f t="shared" si="2"/>
        <v>0</v>
      </c>
      <c r="H180" s="132">
        <f t="shared" si="3"/>
        <v>0</v>
      </c>
      <c r="I180" s="132">
        <f t="shared" ref="I180:Z180" si="182">SUMIFS($C:$C,$B:$B,$F180,$D:$D,I$1)</f>
        <v>0</v>
      </c>
      <c r="J180" s="132">
        <f t="shared" si="182"/>
        <v>1000</v>
      </c>
      <c r="K180" s="132">
        <f t="shared" si="182"/>
        <v>0</v>
      </c>
      <c r="L180" s="132">
        <f t="shared" si="182"/>
        <v>0</v>
      </c>
      <c r="M180" s="132">
        <f t="shared" si="182"/>
        <v>0</v>
      </c>
      <c r="N180" s="132">
        <f t="shared" si="182"/>
        <v>0</v>
      </c>
      <c r="O180" s="132">
        <f t="shared" si="182"/>
        <v>0</v>
      </c>
      <c r="P180" s="132">
        <f t="shared" si="182"/>
        <v>0</v>
      </c>
      <c r="Q180" s="132">
        <f t="shared" si="182"/>
        <v>0</v>
      </c>
      <c r="R180" s="132">
        <f t="shared" si="182"/>
        <v>0</v>
      </c>
      <c r="S180" s="132">
        <f t="shared" si="182"/>
        <v>0</v>
      </c>
      <c r="T180" s="132">
        <f t="shared" si="182"/>
        <v>0</v>
      </c>
      <c r="U180" s="132">
        <f t="shared" si="182"/>
        <v>0</v>
      </c>
      <c r="V180" s="132">
        <f t="shared" si="182"/>
        <v>0</v>
      </c>
      <c r="W180" s="132">
        <f t="shared" si="182"/>
        <v>0</v>
      </c>
      <c r="X180" s="132">
        <f t="shared" si="182"/>
        <v>0</v>
      </c>
      <c r="Y180" s="132">
        <f t="shared" si="182"/>
        <v>1000</v>
      </c>
      <c r="Z180" s="132">
        <f t="shared" si="182"/>
        <v>0</v>
      </c>
      <c r="AA180" s="133">
        <f t="shared" si="5"/>
        <v>2000</v>
      </c>
    </row>
    <row r="181">
      <c r="A181" s="130" t="s">
        <v>3328</v>
      </c>
      <c r="B181" s="25">
        <v>75071.0</v>
      </c>
      <c r="C181" s="27">
        <v>950.0</v>
      </c>
      <c r="D181" s="134" t="s">
        <v>21</v>
      </c>
      <c r="F181" s="130">
        <f>IFERROR(__xludf.DUMMYFUNCTION("""COMPUTED_VALUE"""),75002.0)</f>
        <v>75002</v>
      </c>
      <c r="G181" s="132">
        <f t="shared" si="2"/>
        <v>0</v>
      </c>
      <c r="H181" s="132">
        <f t="shared" si="3"/>
        <v>0</v>
      </c>
      <c r="I181" s="132">
        <f t="shared" ref="I181:Z181" si="183">SUMIFS($C:$C,$B:$B,$F181,$D:$D,I$1)</f>
        <v>0</v>
      </c>
      <c r="J181" s="132">
        <f t="shared" si="183"/>
        <v>1000</v>
      </c>
      <c r="K181" s="132">
        <f t="shared" si="183"/>
        <v>0</v>
      </c>
      <c r="L181" s="132">
        <f t="shared" si="183"/>
        <v>0</v>
      </c>
      <c r="M181" s="132">
        <f t="shared" si="183"/>
        <v>0</v>
      </c>
      <c r="N181" s="132">
        <f t="shared" si="183"/>
        <v>0</v>
      </c>
      <c r="O181" s="132">
        <f t="shared" si="183"/>
        <v>0</v>
      </c>
      <c r="P181" s="132">
        <f t="shared" si="183"/>
        <v>0</v>
      </c>
      <c r="Q181" s="132">
        <f t="shared" si="183"/>
        <v>0</v>
      </c>
      <c r="R181" s="132">
        <f t="shared" si="183"/>
        <v>0</v>
      </c>
      <c r="S181" s="132">
        <f t="shared" si="183"/>
        <v>0</v>
      </c>
      <c r="T181" s="132">
        <f t="shared" si="183"/>
        <v>0</v>
      </c>
      <c r="U181" s="132">
        <f t="shared" si="183"/>
        <v>0</v>
      </c>
      <c r="V181" s="132">
        <f t="shared" si="183"/>
        <v>0</v>
      </c>
      <c r="W181" s="132">
        <f t="shared" si="183"/>
        <v>0</v>
      </c>
      <c r="X181" s="132">
        <f t="shared" si="183"/>
        <v>0</v>
      </c>
      <c r="Y181" s="132">
        <f t="shared" si="183"/>
        <v>0</v>
      </c>
      <c r="Z181" s="132">
        <f t="shared" si="183"/>
        <v>0</v>
      </c>
      <c r="AA181" s="133">
        <f t="shared" si="5"/>
        <v>1000</v>
      </c>
    </row>
    <row r="182">
      <c r="A182" s="130" t="s">
        <v>3282</v>
      </c>
      <c r="B182" s="25">
        <v>75208.0</v>
      </c>
      <c r="C182" s="27">
        <v>500.0</v>
      </c>
      <c r="D182" s="134" t="s">
        <v>21</v>
      </c>
      <c r="F182" s="130">
        <f>IFERROR(__xludf.DUMMYFUNCTION("""COMPUTED_VALUE"""),20105.0)</f>
        <v>20105</v>
      </c>
      <c r="G182" s="132">
        <f t="shared" si="2"/>
        <v>0</v>
      </c>
      <c r="H182" s="132">
        <f t="shared" si="3"/>
        <v>0</v>
      </c>
      <c r="I182" s="132">
        <f t="shared" ref="I182:Z182" si="184">SUMIFS($C:$C,$B:$B,$F182,$D:$D,I$1)</f>
        <v>0</v>
      </c>
      <c r="J182" s="132">
        <f t="shared" si="184"/>
        <v>250</v>
      </c>
      <c r="K182" s="132">
        <f t="shared" si="184"/>
        <v>0</v>
      </c>
      <c r="L182" s="132">
        <f t="shared" si="184"/>
        <v>0</v>
      </c>
      <c r="M182" s="132">
        <f t="shared" si="184"/>
        <v>0</v>
      </c>
      <c r="N182" s="132">
        <f t="shared" si="184"/>
        <v>0</v>
      </c>
      <c r="O182" s="132">
        <f t="shared" si="184"/>
        <v>0</v>
      </c>
      <c r="P182" s="132">
        <f t="shared" si="184"/>
        <v>0</v>
      </c>
      <c r="Q182" s="132">
        <f t="shared" si="184"/>
        <v>0</v>
      </c>
      <c r="R182" s="132">
        <f t="shared" si="184"/>
        <v>0</v>
      </c>
      <c r="S182" s="132">
        <f t="shared" si="184"/>
        <v>0</v>
      </c>
      <c r="T182" s="132">
        <f t="shared" si="184"/>
        <v>0</v>
      </c>
      <c r="U182" s="132">
        <f t="shared" si="184"/>
        <v>0</v>
      </c>
      <c r="V182" s="132">
        <f t="shared" si="184"/>
        <v>0</v>
      </c>
      <c r="W182" s="132">
        <f t="shared" si="184"/>
        <v>0</v>
      </c>
      <c r="X182" s="132">
        <f t="shared" si="184"/>
        <v>0</v>
      </c>
      <c r="Y182" s="132">
        <f t="shared" si="184"/>
        <v>0</v>
      </c>
      <c r="Z182" s="132">
        <f t="shared" si="184"/>
        <v>0</v>
      </c>
      <c r="AA182" s="133">
        <f t="shared" si="5"/>
        <v>250</v>
      </c>
    </row>
    <row r="183">
      <c r="A183" s="130" t="s">
        <v>3329</v>
      </c>
      <c r="B183" s="25">
        <v>78703.0</v>
      </c>
      <c r="C183" s="27">
        <v>250.0</v>
      </c>
      <c r="D183" s="134" t="s">
        <v>21</v>
      </c>
      <c r="F183" s="130">
        <f>IFERROR(__xludf.DUMMYFUNCTION("""COMPUTED_VALUE"""),28403.0)</f>
        <v>28403</v>
      </c>
      <c r="G183" s="132">
        <f t="shared" si="2"/>
        <v>0</v>
      </c>
      <c r="H183" s="132">
        <f t="shared" si="3"/>
        <v>0</v>
      </c>
      <c r="I183" s="132">
        <f t="shared" ref="I183:Z183" si="185">SUMIFS($C:$C,$B:$B,$F183,$D:$D,I$1)</f>
        <v>0</v>
      </c>
      <c r="J183" s="132">
        <f t="shared" si="185"/>
        <v>0</v>
      </c>
      <c r="K183" s="132">
        <f t="shared" si="185"/>
        <v>0</v>
      </c>
      <c r="L183" s="132">
        <f t="shared" si="185"/>
        <v>0</v>
      </c>
      <c r="M183" s="132">
        <f t="shared" si="185"/>
        <v>0</v>
      </c>
      <c r="N183" s="132">
        <f t="shared" si="185"/>
        <v>0</v>
      </c>
      <c r="O183" s="132">
        <f t="shared" si="185"/>
        <v>0</v>
      </c>
      <c r="P183" s="132">
        <f t="shared" si="185"/>
        <v>0</v>
      </c>
      <c r="Q183" s="132">
        <f t="shared" si="185"/>
        <v>0</v>
      </c>
      <c r="R183" s="132">
        <f t="shared" si="185"/>
        <v>50</v>
      </c>
      <c r="S183" s="132">
        <f t="shared" si="185"/>
        <v>0</v>
      </c>
      <c r="T183" s="132">
        <f t="shared" si="185"/>
        <v>0</v>
      </c>
      <c r="U183" s="132">
        <f t="shared" si="185"/>
        <v>0</v>
      </c>
      <c r="V183" s="132">
        <f t="shared" si="185"/>
        <v>0</v>
      </c>
      <c r="W183" s="132">
        <f t="shared" si="185"/>
        <v>0</v>
      </c>
      <c r="X183" s="132">
        <f t="shared" si="185"/>
        <v>0</v>
      </c>
      <c r="Y183" s="132">
        <f t="shared" si="185"/>
        <v>0</v>
      </c>
      <c r="Z183" s="132">
        <f t="shared" si="185"/>
        <v>0</v>
      </c>
      <c r="AA183" s="133">
        <f t="shared" si="5"/>
        <v>50</v>
      </c>
    </row>
    <row r="184">
      <c r="A184" s="130" t="s">
        <v>3326</v>
      </c>
      <c r="B184" s="25">
        <v>75224.0</v>
      </c>
      <c r="C184" s="27">
        <v>500.0</v>
      </c>
      <c r="D184" s="134" t="s">
        <v>21</v>
      </c>
      <c r="F184" s="130">
        <f>IFERROR(__xludf.DUMMYFUNCTION("""COMPUTED_VALUE"""),19820.0)</f>
        <v>19820</v>
      </c>
      <c r="G184" s="132">
        <f t="shared" si="2"/>
        <v>0</v>
      </c>
      <c r="H184" s="132">
        <f t="shared" si="3"/>
        <v>0</v>
      </c>
      <c r="I184" s="132">
        <f t="shared" ref="I184:Z184" si="186">SUMIFS($C:$C,$B:$B,$F184,$D:$D,I$1)</f>
        <v>0</v>
      </c>
      <c r="J184" s="132">
        <f t="shared" si="186"/>
        <v>0</v>
      </c>
      <c r="K184" s="132">
        <f t="shared" si="186"/>
        <v>0</v>
      </c>
      <c r="L184" s="132">
        <f t="shared" si="186"/>
        <v>0</v>
      </c>
      <c r="M184" s="132">
        <f t="shared" si="186"/>
        <v>0</v>
      </c>
      <c r="N184" s="132">
        <f t="shared" si="186"/>
        <v>0</v>
      </c>
      <c r="O184" s="132">
        <f t="shared" si="186"/>
        <v>0</v>
      </c>
      <c r="P184" s="132">
        <f t="shared" si="186"/>
        <v>0</v>
      </c>
      <c r="Q184" s="132">
        <f t="shared" si="186"/>
        <v>0</v>
      </c>
      <c r="R184" s="132">
        <f t="shared" si="186"/>
        <v>51</v>
      </c>
      <c r="S184" s="132">
        <f t="shared" si="186"/>
        <v>0</v>
      </c>
      <c r="T184" s="132">
        <f t="shared" si="186"/>
        <v>0</v>
      </c>
      <c r="U184" s="132">
        <f t="shared" si="186"/>
        <v>0</v>
      </c>
      <c r="V184" s="132">
        <f t="shared" si="186"/>
        <v>0</v>
      </c>
      <c r="W184" s="132">
        <f t="shared" si="186"/>
        <v>0</v>
      </c>
      <c r="X184" s="132">
        <f t="shared" si="186"/>
        <v>0</v>
      </c>
      <c r="Y184" s="132">
        <f t="shared" si="186"/>
        <v>0</v>
      </c>
      <c r="Z184" s="132">
        <f t="shared" si="186"/>
        <v>0</v>
      </c>
      <c r="AA184" s="133">
        <f t="shared" si="5"/>
        <v>51</v>
      </c>
    </row>
    <row r="185">
      <c r="A185" s="130" t="s">
        <v>3282</v>
      </c>
      <c r="B185" s="25">
        <v>75208.0</v>
      </c>
      <c r="C185" s="27">
        <v>250.0</v>
      </c>
      <c r="D185" s="134" t="s">
        <v>21</v>
      </c>
      <c r="F185" s="130">
        <f>IFERROR(__xludf.DUMMYFUNCTION("""COMPUTED_VALUE"""),85745.0)</f>
        <v>85745</v>
      </c>
      <c r="G185" s="132">
        <f t="shared" si="2"/>
        <v>0</v>
      </c>
      <c r="H185" s="132">
        <f t="shared" si="3"/>
        <v>0</v>
      </c>
      <c r="I185" s="132">
        <f t="shared" ref="I185:Z185" si="187">SUMIFS($C:$C,$B:$B,$F185,$D:$D,I$1)</f>
        <v>0</v>
      </c>
      <c r="J185" s="132">
        <f t="shared" si="187"/>
        <v>0</v>
      </c>
      <c r="K185" s="132">
        <f t="shared" si="187"/>
        <v>0</v>
      </c>
      <c r="L185" s="132">
        <f t="shared" si="187"/>
        <v>0</v>
      </c>
      <c r="M185" s="132">
        <f t="shared" si="187"/>
        <v>0</v>
      </c>
      <c r="N185" s="132">
        <f t="shared" si="187"/>
        <v>0</v>
      </c>
      <c r="O185" s="132">
        <f t="shared" si="187"/>
        <v>0</v>
      </c>
      <c r="P185" s="132">
        <f t="shared" si="187"/>
        <v>0</v>
      </c>
      <c r="Q185" s="132">
        <f t="shared" si="187"/>
        <v>0</v>
      </c>
      <c r="R185" s="132">
        <f t="shared" si="187"/>
        <v>25</v>
      </c>
      <c r="S185" s="132">
        <f t="shared" si="187"/>
        <v>0</v>
      </c>
      <c r="T185" s="132">
        <f t="shared" si="187"/>
        <v>0</v>
      </c>
      <c r="U185" s="132">
        <f t="shared" si="187"/>
        <v>0</v>
      </c>
      <c r="V185" s="132">
        <f t="shared" si="187"/>
        <v>0</v>
      </c>
      <c r="W185" s="132">
        <f t="shared" si="187"/>
        <v>0</v>
      </c>
      <c r="X185" s="132">
        <f t="shared" si="187"/>
        <v>0</v>
      </c>
      <c r="Y185" s="132">
        <f t="shared" si="187"/>
        <v>0</v>
      </c>
      <c r="Z185" s="132">
        <f t="shared" si="187"/>
        <v>0</v>
      </c>
      <c r="AA185" s="133">
        <f t="shared" si="5"/>
        <v>25</v>
      </c>
    </row>
    <row r="186">
      <c r="A186" s="130" t="s">
        <v>3312</v>
      </c>
      <c r="B186" s="25">
        <v>75201.0</v>
      </c>
      <c r="C186" s="27">
        <v>500.0</v>
      </c>
      <c r="D186" s="134" t="s">
        <v>21</v>
      </c>
      <c r="F186" s="130">
        <f>IFERROR(__xludf.DUMMYFUNCTION("""COMPUTED_VALUE"""),79707.0)</f>
        <v>79707</v>
      </c>
      <c r="G186" s="132">
        <f t="shared" si="2"/>
        <v>0</v>
      </c>
      <c r="H186" s="132">
        <f t="shared" si="3"/>
        <v>0</v>
      </c>
      <c r="I186" s="132">
        <f t="shared" ref="I186:Z186" si="188">SUMIFS($C:$C,$B:$B,$F186,$D:$D,I$1)</f>
        <v>0</v>
      </c>
      <c r="J186" s="132">
        <f t="shared" si="188"/>
        <v>5000</v>
      </c>
      <c r="K186" s="132">
        <f t="shared" si="188"/>
        <v>0</v>
      </c>
      <c r="L186" s="132">
        <f t="shared" si="188"/>
        <v>0</v>
      </c>
      <c r="M186" s="132">
        <f t="shared" si="188"/>
        <v>0</v>
      </c>
      <c r="N186" s="132">
        <f t="shared" si="188"/>
        <v>0</v>
      </c>
      <c r="O186" s="132">
        <f t="shared" si="188"/>
        <v>0</v>
      </c>
      <c r="P186" s="132">
        <f t="shared" si="188"/>
        <v>0</v>
      </c>
      <c r="Q186" s="132">
        <f t="shared" si="188"/>
        <v>0</v>
      </c>
      <c r="R186" s="132">
        <f t="shared" si="188"/>
        <v>0</v>
      </c>
      <c r="S186" s="132">
        <f t="shared" si="188"/>
        <v>0</v>
      </c>
      <c r="T186" s="132">
        <f t="shared" si="188"/>
        <v>0</v>
      </c>
      <c r="U186" s="132">
        <f t="shared" si="188"/>
        <v>0</v>
      </c>
      <c r="V186" s="132">
        <f t="shared" si="188"/>
        <v>0</v>
      </c>
      <c r="W186" s="132">
        <f t="shared" si="188"/>
        <v>0</v>
      </c>
      <c r="X186" s="132">
        <f t="shared" si="188"/>
        <v>0</v>
      </c>
      <c r="Y186" s="132">
        <f t="shared" si="188"/>
        <v>0</v>
      </c>
      <c r="Z186" s="132">
        <f t="shared" si="188"/>
        <v>0</v>
      </c>
      <c r="AA186" s="133">
        <f t="shared" si="5"/>
        <v>5000</v>
      </c>
    </row>
    <row r="187">
      <c r="A187" s="130" t="s">
        <v>3330</v>
      </c>
      <c r="B187" s="25">
        <v>75211.0</v>
      </c>
      <c r="C187" s="27">
        <v>250.0</v>
      </c>
      <c r="D187" s="134" t="s">
        <v>21</v>
      </c>
      <c r="F187" s="130">
        <f>IFERROR(__xludf.DUMMYFUNCTION("""COMPUTED_VALUE"""),75094.0)</f>
        <v>75094</v>
      </c>
      <c r="G187" s="132">
        <f t="shared" si="2"/>
        <v>0</v>
      </c>
      <c r="H187" s="132">
        <f t="shared" si="3"/>
        <v>1000</v>
      </c>
      <c r="I187" s="132">
        <f t="shared" ref="I187:Z187" si="189">SUMIFS($C:$C,$B:$B,$F187,$D:$D,I$1)</f>
        <v>0</v>
      </c>
      <c r="J187" s="132">
        <f t="shared" si="189"/>
        <v>0</v>
      </c>
      <c r="K187" s="132">
        <f t="shared" si="189"/>
        <v>0</v>
      </c>
      <c r="L187" s="132">
        <f t="shared" si="189"/>
        <v>0</v>
      </c>
      <c r="M187" s="132">
        <f t="shared" si="189"/>
        <v>0</v>
      </c>
      <c r="N187" s="132">
        <f t="shared" si="189"/>
        <v>0</v>
      </c>
      <c r="O187" s="132">
        <f t="shared" si="189"/>
        <v>0</v>
      </c>
      <c r="P187" s="132">
        <f t="shared" si="189"/>
        <v>0</v>
      </c>
      <c r="Q187" s="132">
        <f t="shared" si="189"/>
        <v>0</v>
      </c>
      <c r="R187" s="132">
        <f t="shared" si="189"/>
        <v>0</v>
      </c>
      <c r="S187" s="132">
        <f t="shared" si="189"/>
        <v>0</v>
      </c>
      <c r="T187" s="132">
        <f t="shared" si="189"/>
        <v>0</v>
      </c>
      <c r="U187" s="132">
        <f t="shared" si="189"/>
        <v>0</v>
      </c>
      <c r="V187" s="132">
        <f t="shared" si="189"/>
        <v>0</v>
      </c>
      <c r="W187" s="132">
        <f t="shared" si="189"/>
        <v>0</v>
      </c>
      <c r="X187" s="132">
        <f t="shared" si="189"/>
        <v>0</v>
      </c>
      <c r="Y187" s="132">
        <f t="shared" si="189"/>
        <v>0</v>
      </c>
      <c r="Z187" s="132">
        <f t="shared" si="189"/>
        <v>0</v>
      </c>
      <c r="AA187" s="133">
        <f t="shared" si="5"/>
        <v>1000</v>
      </c>
    </row>
    <row r="188">
      <c r="A188" s="130" t="s">
        <v>3282</v>
      </c>
      <c r="B188" s="25">
        <v>75208.0</v>
      </c>
      <c r="C188" s="27">
        <v>833.0</v>
      </c>
      <c r="D188" s="134" t="s">
        <v>21</v>
      </c>
      <c r="F188" s="130">
        <f>IFERROR(__xludf.DUMMYFUNCTION("""COMPUTED_VALUE"""),75010.0)</f>
        <v>75010</v>
      </c>
      <c r="G188" s="132">
        <f t="shared" si="2"/>
        <v>0</v>
      </c>
      <c r="H188" s="132">
        <f t="shared" si="3"/>
        <v>0</v>
      </c>
      <c r="I188" s="132">
        <f t="shared" ref="I188:Z188" si="190">SUMIFS($C:$C,$B:$B,$F188,$D:$D,I$1)</f>
        <v>0</v>
      </c>
      <c r="J188" s="132">
        <f t="shared" si="190"/>
        <v>0</v>
      </c>
      <c r="K188" s="132">
        <f t="shared" si="190"/>
        <v>0</v>
      </c>
      <c r="L188" s="132">
        <f t="shared" si="190"/>
        <v>0</v>
      </c>
      <c r="M188" s="132">
        <f t="shared" si="190"/>
        <v>0</v>
      </c>
      <c r="N188" s="132">
        <f t="shared" si="190"/>
        <v>0</v>
      </c>
      <c r="O188" s="132">
        <f t="shared" si="190"/>
        <v>0</v>
      </c>
      <c r="P188" s="132">
        <f t="shared" si="190"/>
        <v>0</v>
      </c>
      <c r="Q188" s="132">
        <f t="shared" si="190"/>
        <v>0</v>
      </c>
      <c r="R188" s="132">
        <f t="shared" si="190"/>
        <v>0</v>
      </c>
      <c r="S188" s="132">
        <f t="shared" si="190"/>
        <v>0</v>
      </c>
      <c r="T188" s="132">
        <f t="shared" si="190"/>
        <v>0</v>
      </c>
      <c r="U188" s="132">
        <f t="shared" si="190"/>
        <v>0</v>
      </c>
      <c r="V188" s="132">
        <f t="shared" si="190"/>
        <v>0</v>
      </c>
      <c r="W188" s="132">
        <f t="shared" si="190"/>
        <v>1000</v>
      </c>
      <c r="X188" s="132">
        <f t="shared" si="190"/>
        <v>0</v>
      </c>
      <c r="Y188" s="132">
        <f t="shared" si="190"/>
        <v>0</v>
      </c>
      <c r="Z188" s="132">
        <f t="shared" si="190"/>
        <v>0</v>
      </c>
      <c r="AA188" s="133">
        <f t="shared" si="5"/>
        <v>1000</v>
      </c>
    </row>
    <row r="189">
      <c r="A189" s="130" t="s">
        <v>3331</v>
      </c>
      <c r="B189" s="25">
        <v>75028.0</v>
      </c>
      <c r="C189" s="27">
        <v>500.0</v>
      </c>
      <c r="D189" s="134" t="s">
        <v>21</v>
      </c>
      <c r="F189" s="130">
        <f>IFERROR(__xludf.DUMMYFUNCTION("""COMPUTED_VALUE"""),2115.0)</f>
        <v>2115</v>
      </c>
      <c r="G189" s="132">
        <f t="shared" si="2"/>
        <v>0</v>
      </c>
      <c r="H189" s="132">
        <f t="shared" si="3"/>
        <v>0</v>
      </c>
      <c r="I189" s="132">
        <f t="shared" ref="I189:Z189" si="191">SUMIFS($C:$C,$B:$B,$F189,$D:$D,I$1)</f>
        <v>0</v>
      </c>
      <c r="J189" s="132">
        <f t="shared" si="191"/>
        <v>0</v>
      </c>
      <c r="K189" s="132">
        <f t="shared" si="191"/>
        <v>0</v>
      </c>
      <c r="L189" s="132">
        <f t="shared" si="191"/>
        <v>0</v>
      </c>
      <c r="M189" s="132">
        <f t="shared" si="191"/>
        <v>0</v>
      </c>
      <c r="N189" s="132">
        <f t="shared" si="191"/>
        <v>0</v>
      </c>
      <c r="O189" s="132">
        <f t="shared" si="191"/>
        <v>0</v>
      </c>
      <c r="P189" s="132">
        <f t="shared" si="191"/>
        <v>0</v>
      </c>
      <c r="Q189" s="132">
        <f t="shared" si="191"/>
        <v>0</v>
      </c>
      <c r="R189" s="132">
        <f t="shared" si="191"/>
        <v>0</v>
      </c>
      <c r="S189" s="132">
        <f t="shared" si="191"/>
        <v>0</v>
      </c>
      <c r="T189" s="132">
        <f t="shared" si="191"/>
        <v>1000</v>
      </c>
      <c r="U189" s="132">
        <f t="shared" si="191"/>
        <v>0</v>
      </c>
      <c r="V189" s="132">
        <f t="shared" si="191"/>
        <v>0</v>
      </c>
      <c r="W189" s="132">
        <f t="shared" si="191"/>
        <v>0</v>
      </c>
      <c r="X189" s="132">
        <f t="shared" si="191"/>
        <v>0</v>
      </c>
      <c r="Y189" s="132">
        <f t="shared" si="191"/>
        <v>0</v>
      </c>
      <c r="Z189" s="132">
        <f t="shared" si="191"/>
        <v>0</v>
      </c>
      <c r="AA189" s="133">
        <f t="shared" si="5"/>
        <v>1000</v>
      </c>
    </row>
    <row r="190">
      <c r="A190" s="130" t="s">
        <v>3282</v>
      </c>
      <c r="B190" s="25">
        <v>75208.0</v>
      </c>
      <c r="C190" s="27">
        <v>833.0</v>
      </c>
      <c r="D190" s="134" t="s">
        <v>21</v>
      </c>
      <c r="F190" s="130">
        <f>IFERROR(__xludf.DUMMYFUNCTION("""COMPUTED_VALUE"""),75251.0)</f>
        <v>75251</v>
      </c>
      <c r="G190" s="132">
        <f t="shared" si="2"/>
        <v>0</v>
      </c>
      <c r="H190" s="132">
        <f t="shared" si="3"/>
        <v>0</v>
      </c>
      <c r="I190" s="132">
        <f t="shared" ref="I190:Z190" si="192">SUMIFS($C:$C,$B:$B,$F190,$D:$D,I$1)</f>
        <v>500</v>
      </c>
      <c r="J190" s="132">
        <f t="shared" si="192"/>
        <v>0</v>
      </c>
      <c r="K190" s="132">
        <f t="shared" si="192"/>
        <v>0</v>
      </c>
      <c r="L190" s="132">
        <f t="shared" si="192"/>
        <v>0</v>
      </c>
      <c r="M190" s="132">
        <f t="shared" si="192"/>
        <v>0</v>
      </c>
      <c r="N190" s="132">
        <f t="shared" si="192"/>
        <v>0</v>
      </c>
      <c r="O190" s="132">
        <f t="shared" si="192"/>
        <v>0</v>
      </c>
      <c r="P190" s="132">
        <f t="shared" si="192"/>
        <v>0</v>
      </c>
      <c r="Q190" s="132">
        <f t="shared" si="192"/>
        <v>0</v>
      </c>
      <c r="R190" s="132">
        <f t="shared" si="192"/>
        <v>0</v>
      </c>
      <c r="S190" s="132">
        <f t="shared" si="192"/>
        <v>0</v>
      </c>
      <c r="T190" s="132">
        <f t="shared" si="192"/>
        <v>0</v>
      </c>
      <c r="U190" s="132">
        <f t="shared" si="192"/>
        <v>0</v>
      </c>
      <c r="V190" s="132">
        <f t="shared" si="192"/>
        <v>0</v>
      </c>
      <c r="W190" s="132">
        <f t="shared" si="192"/>
        <v>0</v>
      </c>
      <c r="X190" s="132">
        <f t="shared" si="192"/>
        <v>0</v>
      </c>
      <c r="Y190" s="132">
        <f t="shared" si="192"/>
        <v>0</v>
      </c>
      <c r="Z190" s="132">
        <f t="shared" si="192"/>
        <v>0</v>
      </c>
      <c r="AA190" s="133">
        <f t="shared" si="5"/>
        <v>500</v>
      </c>
    </row>
    <row r="191">
      <c r="A191" s="130" t="s">
        <v>3332</v>
      </c>
      <c r="B191" s="25">
        <v>75115.0</v>
      </c>
      <c r="C191" s="27">
        <v>1000.0</v>
      </c>
      <c r="D191" s="134" t="s">
        <v>21</v>
      </c>
      <c r="F191" s="130">
        <f>IFERROR(__xludf.DUMMYFUNCTION("""COMPUTED_VALUE"""),75044.0)</f>
        <v>75044</v>
      </c>
      <c r="G191" s="132">
        <f t="shared" si="2"/>
        <v>0</v>
      </c>
      <c r="H191" s="132">
        <f t="shared" si="3"/>
        <v>0</v>
      </c>
      <c r="I191" s="132">
        <f t="shared" ref="I191:Z191" si="193">SUMIFS($C:$C,$B:$B,$F191,$D:$D,I$1)</f>
        <v>100</v>
      </c>
      <c r="J191" s="132">
        <f t="shared" si="193"/>
        <v>0</v>
      </c>
      <c r="K191" s="132">
        <f t="shared" si="193"/>
        <v>0</v>
      </c>
      <c r="L191" s="132">
        <f t="shared" si="193"/>
        <v>0</v>
      </c>
      <c r="M191" s="132">
        <f t="shared" si="193"/>
        <v>0</v>
      </c>
      <c r="N191" s="132">
        <f t="shared" si="193"/>
        <v>0</v>
      </c>
      <c r="O191" s="132">
        <f t="shared" si="193"/>
        <v>0</v>
      </c>
      <c r="P191" s="132">
        <f t="shared" si="193"/>
        <v>1000</v>
      </c>
      <c r="Q191" s="132">
        <f t="shared" si="193"/>
        <v>0</v>
      </c>
      <c r="R191" s="132">
        <f t="shared" si="193"/>
        <v>0</v>
      </c>
      <c r="S191" s="132">
        <f t="shared" si="193"/>
        <v>0</v>
      </c>
      <c r="T191" s="132">
        <f t="shared" si="193"/>
        <v>0</v>
      </c>
      <c r="U191" s="132">
        <f t="shared" si="193"/>
        <v>0</v>
      </c>
      <c r="V191" s="132">
        <f t="shared" si="193"/>
        <v>0</v>
      </c>
      <c r="W191" s="132">
        <f t="shared" si="193"/>
        <v>0</v>
      </c>
      <c r="X191" s="132">
        <f t="shared" si="193"/>
        <v>0</v>
      </c>
      <c r="Y191" s="132">
        <f t="shared" si="193"/>
        <v>0</v>
      </c>
      <c r="Z191" s="132">
        <f t="shared" si="193"/>
        <v>0</v>
      </c>
      <c r="AA191" s="133">
        <f t="shared" si="5"/>
        <v>1100</v>
      </c>
    </row>
    <row r="192">
      <c r="A192" s="130" t="s">
        <v>3267</v>
      </c>
      <c r="B192" s="25">
        <v>75214.0</v>
      </c>
      <c r="C192" s="27">
        <v>100.0</v>
      </c>
      <c r="D192" s="134" t="s">
        <v>21</v>
      </c>
      <c r="F192" s="130">
        <f>IFERROR(__xludf.DUMMYFUNCTION("""COMPUTED_VALUE"""),28778.0)</f>
        <v>28778</v>
      </c>
      <c r="G192" s="132">
        <f t="shared" si="2"/>
        <v>0</v>
      </c>
      <c r="H192" s="132">
        <f t="shared" si="3"/>
        <v>0</v>
      </c>
      <c r="I192" s="132">
        <f t="shared" ref="I192:Z192" si="194">SUMIFS($C:$C,$B:$B,$F192,$D:$D,I$1)</f>
        <v>50</v>
      </c>
      <c r="J192" s="132">
        <f t="shared" si="194"/>
        <v>0</v>
      </c>
      <c r="K192" s="132">
        <f t="shared" si="194"/>
        <v>0</v>
      </c>
      <c r="L192" s="132">
        <f t="shared" si="194"/>
        <v>0</v>
      </c>
      <c r="M192" s="132">
        <f t="shared" si="194"/>
        <v>0</v>
      </c>
      <c r="N192" s="132">
        <f t="shared" si="194"/>
        <v>0</v>
      </c>
      <c r="O192" s="132">
        <f t="shared" si="194"/>
        <v>0</v>
      </c>
      <c r="P192" s="132">
        <f t="shared" si="194"/>
        <v>0</v>
      </c>
      <c r="Q192" s="132">
        <f t="shared" si="194"/>
        <v>0</v>
      </c>
      <c r="R192" s="132">
        <f t="shared" si="194"/>
        <v>0</v>
      </c>
      <c r="S192" s="132">
        <f t="shared" si="194"/>
        <v>0</v>
      </c>
      <c r="T192" s="132">
        <f t="shared" si="194"/>
        <v>0</v>
      </c>
      <c r="U192" s="132">
        <f t="shared" si="194"/>
        <v>0</v>
      </c>
      <c r="V192" s="132">
        <f t="shared" si="194"/>
        <v>0</v>
      </c>
      <c r="W192" s="132">
        <f t="shared" si="194"/>
        <v>0</v>
      </c>
      <c r="X192" s="132">
        <f t="shared" si="194"/>
        <v>0</v>
      </c>
      <c r="Y192" s="132">
        <f t="shared" si="194"/>
        <v>0</v>
      </c>
      <c r="Z192" s="132">
        <f t="shared" si="194"/>
        <v>0</v>
      </c>
      <c r="AA192" s="133">
        <f t="shared" si="5"/>
        <v>50</v>
      </c>
    </row>
    <row r="193">
      <c r="A193" s="130" t="s">
        <v>3302</v>
      </c>
      <c r="B193" s="25">
        <v>75226.0</v>
      </c>
      <c r="C193" s="27">
        <v>500.0</v>
      </c>
      <c r="D193" s="134" t="s">
        <v>21</v>
      </c>
      <c r="F193" s="130">
        <f>IFERROR(__xludf.DUMMYFUNCTION("""COMPUTED_VALUE"""),76001.0)</f>
        <v>76001</v>
      </c>
      <c r="G193" s="132">
        <f t="shared" si="2"/>
        <v>0</v>
      </c>
      <c r="H193" s="132">
        <f t="shared" si="3"/>
        <v>0</v>
      </c>
      <c r="I193" s="132">
        <f t="shared" ref="I193:Z193" si="195">SUMIFS($C:$C,$B:$B,$F193,$D:$D,I$1)</f>
        <v>200</v>
      </c>
      <c r="J193" s="132">
        <f t="shared" si="195"/>
        <v>0</v>
      </c>
      <c r="K193" s="132">
        <f t="shared" si="195"/>
        <v>0</v>
      </c>
      <c r="L193" s="132">
        <f t="shared" si="195"/>
        <v>0</v>
      </c>
      <c r="M193" s="132">
        <f t="shared" si="195"/>
        <v>0</v>
      </c>
      <c r="N193" s="132">
        <f t="shared" si="195"/>
        <v>0</v>
      </c>
      <c r="O193" s="132">
        <f t="shared" si="195"/>
        <v>0</v>
      </c>
      <c r="P193" s="132">
        <f t="shared" si="195"/>
        <v>0</v>
      </c>
      <c r="Q193" s="132">
        <f t="shared" si="195"/>
        <v>0</v>
      </c>
      <c r="R193" s="132">
        <f t="shared" si="195"/>
        <v>0</v>
      </c>
      <c r="S193" s="132">
        <f t="shared" si="195"/>
        <v>0</v>
      </c>
      <c r="T193" s="132">
        <f t="shared" si="195"/>
        <v>0</v>
      </c>
      <c r="U193" s="132">
        <f t="shared" si="195"/>
        <v>0</v>
      </c>
      <c r="V193" s="132">
        <f t="shared" si="195"/>
        <v>0</v>
      </c>
      <c r="W193" s="132">
        <f t="shared" si="195"/>
        <v>0</v>
      </c>
      <c r="X193" s="132">
        <f t="shared" si="195"/>
        <v>0</v>
      </c>
      <c r="Y193" s="132">
        <f t="shared" si="195"/>
        <v>0</v>
      </c>
      <c r="Z193" s="132">
        <f t="shared" si="195"/>
        <v>0</v>
      </c>
      <c r="AA193" s="133">
        <f t="shared" si="5"/>
        <v>200</v>
      </c>
    </row>
    <row r="194">
      <c r="A194" s="130" t="s">
        <v>3282</v>
      </c>
      <c r="B194" s="25">
        <v>75208.0</v>
      </c>
      <c r="C194" s="27">
        <v>250.0</v>
      </c>
      <c r="D194" s="134" t="s">
        <v>21</v>
      </c>
      <c r="F194" s="130">
        <f>IFERROR(__xludf.DUMMYFUNCTION("""COMPUTED_VALUE"""),76653.0)</f>
        <v>76653</v>
      </c>
      <c r="G194" s="132">
        <f t="shared" si="2"/>
        <v>0</v>
      </c>
      <c r="H194" s="132">
        <f t="shared" si="3"/>
        <v>0</v>
      </c>
      <c r="I194" s="132">
        <f t="shared" ref="I194:Z194" si="196">SUMIFS($C:$C,$B:$B,$F194,$D:$D,I$1)</f>
        <v>500</v>
      </c>
      <c r="J194" s="132">
        <f t="shared" si="196"/>
        <v>0</v>
      </c>
      <c r="K194" s="132">
        <f t="shared" si="196"/>
        <v>0</v>
      </c>
      <c r="L194" s="132">
        <f t="shared" si="196"/>
        <v>0</v>
      </c>
      <c r="M194" s="132">
        <f t="shared" si="196"/>
        <v>0</v>
      </c>
      <c r="N194" s="132">
        <f t="shared" si="196"/>
        <v>0</v>
      </c>
      <c r="O194" s="132">
        <f t="shared" si="196"/>
        <v>0</v>
      </c>
      <c r="P194" s="132">
        <f t="shared" si="196"/>
        <v>0</v>
      </c>
      <c r="Q194" s="132">
        <f t="shared" si="196"/>
        <v>0</v>
      </c>
      <c r="R194" s="132">
        <f t="shared" si="196"/>
        <v>0</v>
      </c>
      <c r="S194" s="132">
        <f t="shared" si="196"/>
        <v>0</v>
      </c>
      <c r="T194" s="132">
        <f t="shared" si="196"/>
        <v>0</v>
      </c>
      <c r="U194" s="132">
        <f t="shared" si="196"/>
        <v>0</v>
      </c>
      <c r="V194" s="132">
        <f t="shared" si="196"/>
        <v>0</v>
      </c>
      <c r="W194" s="132">
        <f t="shared" si="196"/>
        <v>0</v>
      </c>
      <c r="X194" s="132">
        <f t="shared" si="196"/>
        <v>0</v>
      </c>
      <c r="Y194" s="132">
        <f t="shared" si="196"/>
        <v>0</v>
      </c>
      <c r="Z194" s="132">
        <f t="shared" si="196"/>
        <v>0</v>
      </c>
      <c r="AA194" s="133">
        <f t="shared" si="5"/>
        <v>500</v>
      </c>
    </row>
    <row r="195">
      <c r="A195" s="130" t="s">
        <v>3333</v>
      </c>
      <c r="B195" s="25">
        <v>75067.0</v>
      </c>
      <c r="C195" s="27">
        <v>950.0</v>
      </c>
      <c r="D195" s="134" t="s">
        <v>21</v>
      </c>
      <c r="F195" s="130">
        <f>IFERROR(__xludf.DUMMYFUNCTION("""COMPUTED_VALUE"""),76209.0)</f>
        <v>76209</v>
      </c>
      <c r="G195" s="132">
        <f t="shared" si="2"/>
        <v>0</v>
      </c>
      <c r="H195" s="132">
        <f t="shared" si="3"/>
        <v>0</v>
      </c>
      <c r="I195" s="132">
        <f t="shared" ref="I195:Z195" si="197">SUMIFS($C:$C,$B:$B,$F195,$D:$D,I$1)</f>
        <v>100</v>
      </c>
      <c r="J195" s="132">
        <f t="shared" si="197"/>
        <v>0</v>
      </c>
      <c r="K195" s="132">
        <f t="shared" si="197"/>
        <v>0</v>
      </c>
      <c r="L195" s="132">
        <f t="shared" si="197"/>
        <v>0</v>
      </c>
      <c r="M195" s="132">
        <f t="shared" si="197"/>
        <v>0</v>
      </c>
      <c r="N195" s="132">
        <f t="shared" si="197"/>
        <v>0</v>
      </c>
      <c r="O195" s="132">
        <f t="shared" si="197"/>
        <v>0</v>
      </c>
      <c r="P195" s="132">
        <f t="shared" si="197"/>
        <v>0</v>
      </c>
      <c r="Q195" s="132">
        <f t="shared" si="197"/>
        <v>0</v>
      </c>
      <c r="R195" s="132">
        <f t="shared" si="197"/>
        <v>0</v>
      </c>
      <c r="S195" s="132">
        <f t="shared" si="197"/>
        <v>0</v>
      </c>
      <c r="T195" s="132">
        <f t="shared" si="197"/>
        <v>0</v>
      </c>
      <c r="U195" s="132">
        <f t="shared" si="197"/>
        <v>0</v>
      </c>
      <c r="V195" s="132">
        <f t="shared" si="197"/>
        <v>0</v>
      </c>
      <c r="W195" s="132">
        <f t="shared" si="197"/>
        <v>0</v>
      </c>
      <c r="X195" s="132">
        <f t="shared" si="197"/>
        <v>0</v>
      </c>
      <c r="Y195" s="132">
        <f t="shared" si="197"/>
        <v>0</v>
      </c>
      <c r="Z195" s="132">
        <f t="shared" si="197"/>
        <v>0</v>
      </c>
      <c r="AA195" s="133">
        <f t="shared" si="5"/>
        <v>100</v>
      </c>
    </row>
    <row r="196">
      <c r="A196" s="130" t="s">
        <v>3282</v>
      </c>
      <c r="B196" s="25">
        <v>75208.0</v>
      </c>
      <c r="C196" s="27">
        <v>833.0</v>
      </c>
      <c r="D196" s="134" t="s">
        <v>21</v>
      </c>
      <c r="F196" s="130">
        <f>IFERROR(__xludf.DUMMYFUNCTION("""COMPUTED_VALUE"""),77055.0)</f>
        <v>77055</v>
      </c>
      <c r="G196" s="132">
        <f t="shared" si="2"/>
        <v>0</v>
      </c>
      <c r="H196" s="132">
        <f t="shared" si="3"/>
        <v>0</v>
      </c>
      <c r="I196" s="132">
        <f t="shared" ref="I196:Z196" si="198">SUMIFS($C:$C,$B:$B,$F196,$D:$D,I$1)</f>
        <v>0</v>
      </c>
      <c r="J196" s="132">
        <f t="shared" si="198"/>
        <v>0</v>
      </c>
      <c r="K196" s="132">
        <f t="shared" si="198"/>
        <v>0</v>
      </c>
      <c r="L196" s="132">
        <f t="shared" si="198"/>
        <v>0</v>
      </c>
      <c r="M196" s="132">
        <f t="shared" si="198"/>
        <v>0</v>
      </c>
      <c r="N196" s="132">
        <f t="shared" si="198"/>
        <v>0</v>
      </c>
      <c r="O196" s="132">
        <f t="shared" si="198"/>
        <v>1000</v>
      </c>
      <c r="P196" s="132">
        <f t="shared" si="198"/>
        <v>0</v>
      </c>
      <c r="Q196" s="132">
        <f t="shared" si="198"/>
        <v>0</v>
      </c>
      <c r="R196" s="132">
        <f t="shared" si="198"/>
        <v>0</v>
      </c>
      <c r="S196" s="132">
        <f t="shared" si="198"/>
        <v>0</v>
      </c>
      <c r="T196" s="132">
        <f t="shared" si="198"/>
        <v>0</v>
      </c>
      <c r="U196" s="132">
        <f t="shared" si="198"/>
        <v>0</v>
      </c>
      <c r="V196" s="132">
        <f t="shared" si="198"/>
        <v>0</v>
      </c>
      <c r="W196" s="132">
        <f t="shared" si="198"/>
        <v>0</v>
      </c>
      <c r="X196" s="132">
        <f t="shared" si="198"/>
        <v>0</v>
      </c>
      <c r="Y196" s="132">
        <f t="shared" si="198"/>
        <v>0</v>
      </c>
      <c r="Z196" s="132">
        <f t="shared" si="198"/>
        <v>0</v>
      </c>
      <c r="AA196" s="133">
        <f t="shared" si="5"/>
        <v>1000</v>
      </c>
    </row>
    <row r="197">
      <c r="A197" s="130" t="s">
        <v>3282</v>
      </c>
      <c r="B197" s="25">
        <v>75208.0</v>
      </c>
      <c r="C197" s="27">
        <v>237.0</v>
      </c>
      <c r="D197" s="134" t="s">
        <v>21</v>
      </c>
      <c r="F197" s="130">
        <f>IFERROR(__xludf.DUMMYFUNCTION("""COMPUTED_VALUE"""),30040.0)</f>
        <v>30040</v>
      </c>
      <c r="G197" s="132">
        <f t="shared" si="2"/>
        <v>0</v>
      </c>
      <c r="H197" s="132">
        <f t="shared" si="3"/>
        <v>0</v>
      </c>
      <c r="I197" s="132">
        <f t="shared" ref="I197:Z197" si="199">SUMIFS($C:$C,$B:$B,$F197,$D:$D,I$1)</f>
        <v>0</v>
      </c>
      <c r="J197" s="132">
        <f t="shared" si="199"/>
        <v>0</v>
      </c>
      <c r="K197" s="132">
        <f t="shared" si="199"/>
        <v>0</v>
      </c>
      <c r="L197" s="132">
        <f t="shared" si="199"/>
        <v>0</v>
      </c>
      <c r="M197" s="132">
        <f t="shared" si="199"/>
        <v>0</v>
      </c>
      <c r="N197" s="132">
        <f t="shared" si="199"/>
        <v>0</v>
      </c>
      <c r="O197" s="132">
        <f t="shared" si="199"/>
        <v>1000</v>
      </c>
      <c r="P197" s="132">
        <f t="shared" si="199"/>
        <v>0</v>
      </c>
      <c r="Q197" s="132">
        <f t="shared" si="199"/>
        <v>0</v>
      </c>
      <c r="R197" s="132">
        <f t="shared" si="199"/>
        <v>0</v>
      </c>
      <c r="S197" s="132">
        <f t="shared" si="199"/>
        <v>0</v>
      </c>
      <c r="T197" s="132">
        <f t="shared" si="199"/>
        <v>0</v>
      </c>
      <c r="U197" s="132">
        <f t="shared" si="199"/>
        <v>0</v>
      </c>
      <c r="V197" s="132">
        <f t="shared" si="199"/>
        <v>0</v>
      </c>
      <c r="W197" s="132">
        <f t="shared" si="199"/>
        <v>0</v>
      </c>
      <c r="X197" s="132">
        <f t="shared" si="199"/>
        <v>0</v>
      </c>
      <c r="Y197" s="132">
        <f t="shared" si="199"/>
        <v>0</v>
      </c>
      <c r="Z197" s="132">
        <f t="shared" si="199"/>
        <v>0</v>
      </c>
      <c r="AA197" s="133">
        <f t="shared" si="5"/>
        <v>1000</v>
      </c>
    </row>
    <row r="198">
      <c r="A198" s="130" t="s">
        <v>3282</v>
      </c>
      <c r="B198" s="25">
        <v>75208.0</v>
      </c>
      <c r="C198" s="27">
        <v>75.0</v>
      </c>
      <c r="D198" s="134" t="s">
        <v>21</v>
      </c>
      <c r="F198" s="130">
        <f>IFERROR(__xludf.DUMMYFUNCTION("""COMPUTED_VALUE"""),75068.0)</f>
        <v>75068</v>
      </c>
      <c r="G198" s="132">
        <f t="shared" si="2"/>
        <v>0</v>
      </c>
      <c r="H198" s="132">
        <f t="shared" si="3"/>
        <v>0</v>
      </c>
      <c r="I198" s="132">
        <f t="shared" ref="I198:Z198" si="200">SUMIFS($C:$C,$B:$B,$F198,$D:$D,I$1)</f>
        <v>0</v>
      </c>
      <c r="J198" s="132">
        <f t="shared" si="200"/>
        <v>0</v>
      </c>
      <c r="K198" s="132">
        <f t="shared" si="200"/>
        <v>0</v>
      </c>
      <c r="L198" s="132">
        <f t="shared" si="200"/>
        <v>0</v>
      </c>
      <c r="M198" s="132">
        <f t="shared" si="200"/>
        <v>0</v>
      </c>
      <c r="N198" s="132">
        <f t="shared" si="200"/>
        <v>0</v>
      </c>
      <c r="O198" s="132">
        <f t="shared" si="200"/>
        <v>0</v>
      </c>
      <c r="P198" s="132">
        <f t="shared" si="200"/>
        <v>100</v>
      </c>
      <c r="Q198" s="132">
        <f t="shared" si="200"/>
        <v>0</v>
      </c>
      <c r="R198" s="132">
        <f t="shared" si="200"/>
        <v>0</v>
      </c>
      <c r="S198" s="132">
        <f t="shared" si="200"/>
        <v>0</v>
      </c>
      <c r="T198" s="132">
        <f t="shared" si="200"/>
        <v>0</v>
      </c>
      <c r="U198" s="132">
        <f t="shared" si="200"/>
        <v>0</v>
      </c>
      <c r="V198" s="132">
        <f t="shared" si="200"/>
        <v>0</v>
      </c>
      <c r="W198" s="132">
        <f t="shared" si="200"/>
        <v>0</v>
      </c>
      <c r="X198" s="132">
        <f t="shared" si="200"/>
        <v>0</v>
      </c>
      <c r="Y198" s="132">
        <f t="shared" si="200"/>
        <v>0</v>
      </c>
      <c r="Z198" s="132">
        <f t="shared" si="200"/>
        <v>0</v>
      </c>
      <c r="AA198" s="133">
        <f t="shared" si="5"/>
        <v>100</v>
      </c>
    </row>
    <row r="199">
      <c r="A199" s="130" t="s">
        <v>3334</v>
      </c>
      <c r="B199" s="25">
        <v>75702.0</v>
      </c>
      <c r="C199" s="27">
        <v>95.0</v>
      </c>
      <c r="D199" s="134" t="s">
        <v>21</v>
      </c>
      <c r="F199" s="130">
        <f>IFERROR(__xludf.DUMMYFUNCTION("""COMPUTED_VALUE"""),75092.0)</f>
        <v>75092</v>
      </c>
      <c r="G199" s="132">
        <f t="shared" si="2"/>
        <v>0</v>
      </c>
      <c r="H199" s="132">
        <f t="shared" si="3"/>
        <v>0</v>
      </c>
      <c r="I199" s="132">
        <f t="shared" ref="I199:Z199" si="201">SUMIFS($C:$C,$B:$B,$F199,$D:$D,I$1)</f>
        <v>0</v>
      </c>
      <c r="J199" s="132">
        <f t="shared" si="201"/>
        <v>0</v>
      </c>
      <c r="K199" s="132">
        <f t="shared" si="201"/>
        <v>0</v>
      </c>
      <c r="L199" s="132">
        <f t="shared" si="201"/>
        <v>0</v>
      </c>
      <c r="M199" s="132">
        <f t="shared" si="201"/>
        <v>0</v>
      </c>
      <c r="N199" s="132">
        <f t="shared" si="201"/>
        <v>0</v>
      </c>
      <c r="O199" s="132">
        <f t="shared" si="201"/>
        <v>0</v>
      </c>
      <c r="P199" s="132">
        <f t="shared" si="201"/>
        <v>100</v>
      </c>
      <c r="Q199" s="132">
        <f t="shared" si="201"/>
        <v>0</v>
      </c>
      <c r="R199" s="132">
        <f t="shared" si="201"/>
        <v>0</v>
      </c>
      <c r="S199" s="132">
        <f t="shared" si="201"/>
        <v>0</v>
      </c>
      <c r="T199" s="132">
        <f t="shared" si="201"/>
        <v>0</v>
      </c>
      <c r="U199" s="132">
        <f t="shared" si="201"/>
        <v>0</v>
      </c>
      <c r="V199" s="132">
        <f t="shared" si="201"/>
        <v>0</v>
      </c>
      <c r="W199" s="132">
        <f t="shared" si="201"/>
        <v>0</v>
      </c>
      <c r="X199" s="132">
        <f t="shared" si="201"/>
        <v>0</v>
      </c>
      <c r="Y199" s="132">
        <f t="shared" si="201"/>
        <v>0</v>
      </c>
      <c r="Z199" s="132">
        <f t="shared" si="201"/>
        <v>0</v>
      </c>
      <c r="AA199" s="133">
        <f t="shared" si="5"/>
        <v>100</v>
      </c>
    </row>
    <row r="200">
      <c r="A200" s="130" t="s">
        <v>3282</v>
      </c>
      <c r="B200" s="25">
        <v>75208.0</v>
      </c>
      <c r="C200" s="27">
        <v>1000.0</v>
      </c>
      <c r="D200" s="134" t="s">
        <v>21</v>
      </c>
      <c r="F200" s="130">
        <f>IFERROR(__xludf.DUMMYFUNCTION("""COMPUTED_VALUE"""),76110.0)</f>
        <v>76110</v>
      </c>
      <c r="G200" s="132">
        <f t="shared" si="2"/>
        <v>474.7</v>
      </c>
      <c r="H200" s="132">
        <f t="shared" si="3"/>
        <v>0</v>
      </c>
      <c r="I200" s="132">
        <f t="shared" ref="I200:Z200" si="202">SUMIFS($C:$C,$B:$B,$F200,$D:$D,I$1)</f>
        <v>0</v>
      </c>
      <c r="J200" s="132">
        <f t="shared" si="202"/>
        <v>0</v>
      </c>
      <c r="K200" s="132">
        <f t="shared" si="202"/>
        <v>0</v>
      </c>
      <c r="L200" s="132">
        <f t="shared" si="202"/>
        <v>0</v>
      </c>
      <c r="M200" s="132">
        <f t="shared" si="202"/>
        <v>0</v>
      </c>
      <c r="N200" s="132">
        <f t="shared" si="202"/>
        <v>0</v>
      </c>
      <c r="O200" s="132">
        <f t="shared" si="202"/>
        <v>0</v>
      </c>
      <c r="P200" s="132">
        <f t="shared" si="202"/>
        <v>0</v>
      </c>
      <c r="Q200" s="132">
        <f t="shared" si="202"/>
        <v>0</v>
      </c>
      <c r="R200" s="132">
        <f t="shared" si="202"/>
        <v>0</v>
      </c>
      <c r="S200" s="132">
        <f t="shared" si="202"/>
        <v>0</v>
      </c>
      <c r="T200" s="132">
        <f t="shared" si="202"/>
        <v>0</v>
      </c>
      <c r="U200" s="132">
        <f t="shared" si="202"/>
        <v>0</v>
      </c>
      <c r="V200" s="132">
        <f t="shared" si="202"/>
        <v>0</v>
      </c>
      <c r="W200" s="132">
        <f t="shared" si="202"/>
        <v>0</v>
      </c>
      <c r="X200" s="132">
        <f t="shared" si="202"/>
        <v>0</v>
      </c>
      <c r="Y200" s="132">
        <f t="shared" si="202"/>
        <v>0</v>
      </c>
      <c r="Z200" s="132">
        <f t="shared" si="202"/>
        <v>0</v>
      </c>
      <c r="AA200" s="133">
        <f t="shared" si="5"/>
        <v>474.7</v>
      </c>
    </row>
    <row r="201">
      <c r="A201" s="130" t="s">
        <v>3282</v>
      </c>
      <c r="B201" s="25">
        <v>75208.0</v>
      </c>
      <c r="C201" s="27">
        <v>250.0</v>
      </c>
      <c r="D201" s="134" t="s">
        <v>21</v>
      </c>
      <c r="F201" s="130">
        <f>IFERROR(__xludf.DUMMYFUNCTION("""COMPUTED_VALUE"""),32205.0)</f>
        <v>32205</v>
      </c>
      <c r="G201" s="132">
        <f t="shared" si="2"/>
        <v>250</v>
      </c>
      <c r="H201" s="132">
        <f t="shared" si="3"/>
        <v>0</v>
      </c>
      <c r="I201" s="132">
        <f t="shared" ref="I201:Z201" si="203">SUMIFS($C:$C,$B:$B,$F201,$D:$D,I$1)</f>
        <v>0</v>
      </c>
      <c r="J201" s="132">
        <f t="shared" si="203"/>
        <v>0</v>
      </c>
      <c r="K201" s="132">
        <f t="shared" si="203"/>
        <v>0</v>
      </c>
      <c r="L201" s="132">
        <f t="shared" si="203"/>
        <v>0</v>
      </c>
      <c r="M201" s="132">
        <f t="shared" si="203"/>
        <v>0</v>
      </c>
      <c r="N201" s="132">
        <f t="shared" si="203"/>
        <v>0</v>
      </c>
      <c r="O201" s="132">
        <f t="shared" si="203"/>
        <v>0</v>
      </c>
      <c r="P201" s="132">
        <f t="shared" si="203"/>
        <v>0</v>
      </c>
      <c r="Q201" s="132">
        <f t="shared" si="203"/>
        <v>0</v>
      </c>
      <c r="R201" s="132">
        <f t="shared" si="203"/>
        <v>0</v>
      </c>
      <c r="S201" s="132">
        <f t="shared" si="203"/>
        <v>0</v>
      </c>
      <c r="T201" s="132">
        <f t="shared" si="203"/>
        <v>0</v>
      </c>
      <c r="U201" s="132">
        <f t="shared" si="203"/>
        <v>0</v>
      </c>
      <c r="V201" s="132">
        <f t="shared" si="203"/>
        <v>0</v>
      </c>
      <c r="W201" s="132">
        <f t="shared" si="203"/>
        <v>0</v>
      </c>
      <c r="X201" s="132">
        <f t="shared" si="203"/>
        <v>0</v>
      </c>
      <c r="Y201" s="132">
        <f t="shared" si="203"/>
        <v>0</v>
      </c>
      <c r="Z201" s="132">
        <f t="shared" si="203"/>
        <v>0</v>
      </c>
      <c r="AA201" s="133">
        <f t="shared" si="5"/>
        <v>250</v>
      </c>
    </row>
    <row r="202">
      <c r="A202" s="130" t="s">
        <v>3335</v>
      </c>
      <c r="B202" s="25">
        <v>75222.0</v>
      </c>
      <c r="C202" s="27">
        <v>150.0</v>
      </c>
      <c r="D202" s="134" t="s">
        <v>21</v>
      </c>
      <c r="F202" s="130">
        <f>IFERROR(__xludf.DUMMYFUNCTION("""COMPUTED_VALUE"""),76104.0)</f>
        <v>76104</v>
      </c>
      <c r="G202" s="132">
        <f t="shared" si="2"/>
        <v>1000</v>
      </c>
      <c r="H202" s="132">
        <f t="shared" si="3"/>
        <v>0</v>
      </c>
      <c r="I202" s="132">
        <f t="shared" ref="I202:Z202" si="204">SUMIFS($C:$C,$B:$B,$F202,$D:$D,I$1)</f>
        <v>0</v>
      </c>
      <c r="J202" s="132">
        <f t="shared" si="204"/>
        <v>0</v>
      </c>
      <c r="K202" s="132">
        <f t="shared" si="204"/>
        <v>0</v>
      </c>
      <c r="L202" s="132">
        <f t="shared" si="204"/>
        <v>0</v>
      </c>
      <c r="M202" s="132">
        <f t="shared" si="204"/>
        <v>0</v>
      </c>
      <c r="N202" s="132">
        <f t="shared" si="204"/>
        <v>0</v>
      </c>
      <c r="O202" s="132">
        <f t="shared" si="204"/>
        <v>0</v>
      </c>
      <c r="P202" s="132">
        <f t="shared" si="204"/>
        <v>0</v>
      </c>
      <c r="Q202" s="132">
        <f t="shared" si="204"/>
        <v>0</v>
      </c>
      <c r="R202" s="132">
        <f t="shared" si="204"/>
        <v>0</v>
      </c>
      <c r="S202" s="132">
        <f t="shared" si="204"/>
        <v>0</v>
      </c>
      <c r="T202" s="132">
        <f t="shared" si="204"/>
        <v>0</v>
      </c>
      <c r="U202" s="132">
        <f t="shared" si="204"/>
        <v>0</v>
      </c>
      <c r="V202" s="132">
        <f t="shared" si="204"/>
        <v>0</v>
      </c>
      <c r="W202" s="132">
        <f t="shared" si="204"/>
        <v>0</v>
      </c>
      <c r="X202" s="132">
        <f t="shared" si="204"/>
        <v>0</v>
      </c>
      <c r="Y202" s="132">
        <f t="shared" si="204"/>
        <v>0</v>
      </c>
      <c r="Z202" s="132">
        <f t="shared" si="204"/>
        <v>0</v>
      </c>
      <c r="AA202" s="133">
        <f t="shared" si="5"/>
        <v>1000</v>
      </c>
    </row>
    <row r="203">
      <c r="A203" s="130" t="s">
        <v>3282</v>
      </c>
      <c r="B203" s="25">
        <v>75208.0</v>
      </c>
      <c r="C203" s="27">
        <v>1000.0</v>
      </c>
      <c r="D203" s="134" t="s">
        <v>21</v>
      </c>
      <c r="F203" s="130">
        <f>IFERROR(__xludf.DUMMYFUNCTION("""COMPUTED_VALUE"""),75061.0)</f>
        <v>75061</v>
      </c>
      <c r="G203" s="132">
        <f t="shared" si="2"/>
        <v>500</v>
      </c>
      <c r="H203" s="132">
        <f t="shared" si="3"/>
        <v>0</v>
      </c>
      <c r="I203" s="132">
        <f t="shared" ref="I203:Z203" si="205">SUMIFS($C:$C,$B:$B,$F203,$D:$D,I$1)</f>
        <v>0</v>
      </c>
      <c r="J203" s="132">
        <f t="shared" si="205"/>
        <v>0</v>
      </c>
      <c r="K203" s="132">
        <f t="shared" si="205"/>
        <v>0</v>
      </c>
      <c r="L203" s="132">
        <f t="shared" si="205"/>
        <v>0</v>
      </c>
      <c r="M203" s="132">
        <f t="shared" si="205"/>
        <v>0</v>
      </c>
      <c r="N203" s="132">
        <f t="shared" si="205"/>
        <v>0</v>
      </c>
      <c r="O203" s="132">
        <f t="shared" si="205"/>
        <v>0</v>
      </c>
      <c r="P203" s="132">
        <f t="shared" si="205"/>
        <v>0</v>
      </c>
      <c r="Q203" s="132">
        <f t="shared" si="205"/>
        <v>0</v>
      </c>
      <c r="R203" s="132">
        <f t="shared" si="205"/>
        <v>0</v>
      </c>
      <c r="S203" s="132">
        <f t="shared" si="205"/>
        <v>0</v>
      </c>
      <c r="T203" s="132">
        <f t="shared" si="205"/>
        <v>0</v>
      </c>
      <c r="U203" s="132">
        <f t="shared" si="205"/>
        <v>0</v>
      </c>
      <c r="V203" s="132">
        <f t="shared" si="205"/>
        <v>2000</v>
      </c>
      <c r="W203" s="132">
        <f t="shared" si="205"/>
        <v>0</v>
      </c>
      <c r="X203" s="132">
        <f t="shared" si="205"/>
        <v>0</v>
      </c>
      <c r="Y203" s="132">
        <f t="shared" si="205"/>
        <v>0</v>
      </c>
      <c r="Z203" s="132">
        <f t="shared" si="205"/>
        <v>0</v>
      </c>
      <c r="AA203" s="133">
        <f t="shared" si="5"/>
        <v>2500</v>
      </c>
    </row>
    <row r="204">
      <c r="A204" s="130" t="s">
        <v>3282</v>
      </c>
      <c r="B204" s="25">
        <v>75208.0</v>
      </c>
      <c r="C204" s="27">
        <v>1000.0</v>
      </c>
      <c r="D204" s="134" t="s">
        <v>21</v>
      </c>
      <c r="F204" s="130">
        <f>IFERROR(__xludf.DUMMYFUNCTION("""COMPUTED_VALUE"""),76501.0)</f>
        <v>76501</v>
      </c>
      <c r="G204" s="132">
        <f t="shared" si="2"/>
        <v>1000</v>
      </c>
      <c r="H204" s="132">
        <f t="shared" si="3"/>
        <v>0</v>
      </c>
      <c r="I204" s="132">
        <f t="shared" ref="I204:Z204" si="206">SUMIFS($C:$C,$B:$B,$F204,$D:$D,I$1)</f>
        <v>0</v>
      </c>
      <c r="J204" s="132">
        <f t="shared" si="206"/>
        <v>0</v>
      </c>
      <c r="K204" s="132">
        <f t="shared" si="206"/>
        <v>0</v>
      </c>
      <c r="L204" s="132">
        <f t="shared" si="206"/>
        <v>0</v>
      </c>
      <c r="M204" s="132">
        <f t="shared" si="206"/>
        <v>0</v>
      </c>
      <c r="N204" s="132">
        <f t="shared" si="206"/>
        <v>0</v>
      </c>
      <c r="O204" s="132">
        <f t="shared" si="206"/>
        <v>0</v>
      </c>
      <c r="P204" s="132">
        <f t="shared" si="206"/>
        <v>0</v>
      </c>
      <c r="Q204" s="132">
        <f t="shared" si="206"/>
        <v>0</v>
      </c>
      <c r="R204" s="132">
        <f t="shared" si="206"/>
        <v>0</v>
      </c>
      <c r="S204" s="132">
        <f t="shared" si="206"/>
        <v>0</v>
      </c>
      <c r="T204" s="132">
        <f t="shared" si="206"/>
        <v>0</v>
      </c>
      <c r="U204" s="132">
        <f t="shared" si="206"/>
        <v>0</v>
      </c>
      <c r="V204" s="132">
        <f t="shared" si="206"/>
        <v>0</v>
      </c>
      <c r="W204" s="132">
        <f t="shared" si="206"/>
        <v>0</v>
      </c>
      <c r="X204" s="132">
        <f t="shared" si="206"/>
        <v>0</v>
      </c>
      <c r="Y204" s="132">
        <f t="shared" si="206"/>
        <v>0</v>
      </c>
      <c r="Z204" s="132">
        <f t="shared" si="206"/>
        <v>0</v>
      </c>
      <c r="AA204" s="133">
        <f t="shared" si="5"/>
        <v>1000</v>
      </c>
    </row>
    <row r="205">
      <c r="A205" s="130" t="s">
        <v>3282</v>
      </c>
      <c r="B205" s="25">
        <v>75208.0</v>
      </c>
      <c r="C205" s="27">
        <v>100.0</v>
      </c>
      <c r="D205" s="134" t="s">
        <v>21</v>
      </c>
      <c r="F205" s="130">
        <f>IFERROR(__xludf.DUMMYFUNCTION("""COMPUTED_VALUE"""),75089.0)</f>
        <v>75089</v>
      </c>
      <c r="G205" s="132">
        <f t="shared" si="2"/>
        <v>50</v>
      </c>
      <c r="H205" s="132">
        <f t="shared" si="3"/>
        <v>0</v>
      </c>
      <c r="I205" s="132">
        <f t="shared" ref="I205:Z205" si="207">SUMIFS($C:$C,$B:$B,$F205,$D:$D,I$1)</f>
        <v>0</v>
      </c>
      <c r="J205" s="132">
        <f t="shared" si="207"/>
        <v>0</v>
      </c>
      <c r="K205" s="132">
        <f t="shared" si="207"/>
        <v>0</v>
      </c>
      <c r="L205" s="132">
        <f t="shared" si="207"/>
        <v>0</v>
      </c>
      <c r="M205" s="132">
        <f t="shared" si="207"/>
        <v>0</v>
      </c>
      <c r="N205" s="132">
        <f t="shared" si="207"/>
        <v>0</v>
      </c>
      <c r="O205" s="132">
        <f t="shared" si="207"/>
        <v>0</v>
      </c>
      <c r="P205" s="132">
        <f t="shared" si="207"/>
        <v>0</v>
      </c>
      <c r="Q205" s="132">
        <f t="shared" si="207"/>
        <v>0</v>
      </c>
      <c r="R205" s="132">
        <f t="shared" si="207"/>
        <v>0</v>
      </c>
      <c r="S205" s="132">
        <f t="shared" si="207"/>
        <v>0</v>
      </c>
      <c r="T205" s="132">
        <f t="shared" si="207"/>
        <v>0</v>
      </c>
      <c r="U205" s="132">
        <f t="shared" si="207"/>
        <v>0</v>
      </c>
      <c r="V205" s="132">
        <f t="shared" si="207"/>
        <v>0</v>
      </c>
      <c r="W205" s="132">
        <f t="shared" si="207"/>
        <v>0</v>
      </c>
      <c r="X205" s="132">
        <f t="shared" si="207"/>
        <v>0</v>
      </c>
      <c r="Y205" s="132">
        <f t="shared" si="207"/>
        <v>0</v>
      </c>
      <c r="Z205" s="132">
        <f t="shared" si="207"/>
        <v>0</v>
      </c>
      <c r="AA205" s="133">
        <f t="shared" si="5"/>
        <v>50</v>
      </c>
    </row>
    <row r="206">
      <c r="A206" s="130" t="s">
        <v>3282</v>
      </c>
      <c r="B206" s="25">
        <v>75208.0</v>
      </c>
      <c r="C206" s="27">
        <v>249.0</v>
      </c>
      <c r="D206" s="134" t="s">
        <v>21</v>
      </c>
      <c r="F206" s="130">
        <f>IFERROR(__xludf.DUMMYFUNCTION("""COMPUTED_VALUE"""),93101.0)</f>
        <v>93101</v>
      </c>
      <c r="G206" s="132">
        <f t="shared" si="2"/>
        <v>5000</v>
      </c>
      <c r="H206" s="132">
        <f t="shared" si="3"/>
        <v>0</v>
      </c>
      <c r="I206" s="132">
        <f t="shared" ref="I206:Z206" si="208">SUMIFS($C:$C,$B:$B,$F206,$D:$D,I$1)</f>
        <v>0</v>
      </c>
      <c r="J206" s="132">
        <f t="shared" si="208"/>
        <v>0</v>
      </c>
      <c r="K206" s="132">
        <f t="shared" si="208"/>
        <v>0</v>
      </c>
      <c r="L206" s="132">
        <f t="shared" si="208"/>
        <v>0</v>
      </c>
      <c r="M206" s="132">
        <f t="shared" si="208"/>
        <v>0</v>
      </c>
      <c r="N206" s="132">
        <f t="shared" si="208"/>
        <v>0</v>
      </c>
      <c r="O206" s="132">
        <f t="shared" si="208"/>
        <v>0</v>
      </c>
      <c r="P206" s="132">
        <f t="shared" si="208"/>
        <v>0</v>
      </c>
      <c r="Q206" s="132">
        <f t="shared" si="208"/>
        <v>0</v>
      </c>
      <c r="R206" s="132">
        <f t="shared" si="208"/>
        <v>0</v>
      </c>
      <c r="S206" s="132">
        <f t="shared" si="208"/>
        <v>0</v>
      </c>
      <c r="T206" s="132">
        <f t="shared" si="208"/>
        <v>0</v>
      </c>
      <c r="U206" s="132">
        <f t="shared" si="208"/>
        <v>0</v>
      </c>
      <c r="V206" s="132">
        <f t="shared" si="208"/>
        <v>0</v>
      </c>
      <c r="W206" s="132">
        <f t="shared" si="208"/>
        <v>0</v>
      </c>
      <c r="X206" s="132">
        <f t="shared" si="208"/>
        <v>0</v>
      </c>
      <c r="Y206" s="132">
        <f t="shared" si="208"/>
        <v>0</v>
      </c>
      <c r="Z206" s="132">
        <f t="shared" si="208"/>
        <v>0</v>
      </c>
      <c r="AA206" s="133">
        <f t="shared" si="5"/>
        <v>5000</v>
      </c>
    </row>
    <row r="207">
      <c r="A207" s="130" t="s">
        <v>3335</v>
      </c>
      <c r="B207" s="25">
        <v>75222.0</v>
      </c>
      <c r="C207" s="27">
        <v>500.0</v>
      </c>
      <c r="D207" s="134" t="s">
        <v>21</v>
      </c>
      <c r="F207" s="130">
        <f>IFERROR(__xludf.DUMMYFUNCTION("""COMPUTED_VALUE"""),75065.0)</f>
        <v>75065</v>
      </c>
      <c r="G207" s="132">
        <f t="shared" si="2"/>
        <v>0</v>
      </c>
      <c r="H207" s="132">
        <f t="shared" si="3"/>
        <v>0</v>
      </c>
      <c r="I207" s="132">
        <f t="shared" ref="I207:Z207" si="209">SUMIFS($C:$C,$B:$B,$F207,$D:$D,I$1)</f>
        <v>0</v>
      </c>
      <c r="J207" s="132">
        <f t="shared" si="209"/>
        <v>0</v>
      </c>
      <c r="K207" s="132">
        <f t="shared" si="209"/>
        <v>0</v>
      </c>
      <c r="L207" s="132">
        <f t="shared" si="209"/>
        <v>0</v>
      </c>
      <c r="M207" s="132">
        <f t="shared" si="209"/>
        <v>1000</v>
      </c>
      <c r="N207" s="132">
        <f t="shared" si="209"/>
        <v>0</v>
      </c>
      <c r="O207" s="132">
        <f t="shared" si="209"/>
        <v>0</v>
      </c>
      <c r="P207" s="132">
        <f t="shared" si="209"/>
        <v>0</v>
      </c>
      <c r="Q207" s="132">
        <f t="shared" si="209"/>
        <v>0</v>
      </c>
      <c r="R207" s="132">
        <f t="shared" si="209"/>
        <v>0</v>
      </c>
      <c r="S207" s="132">
        <f t="shared" si="209"/>
        <v>0</v>
      </c>
      <c r="T207" s="132">
        <f t="shared" si="209"/>
        <v>0</v>
      </c>
      <c r="U207" s="132">
        <f t="shared" si="209"/>
        <v>0</v>
      </c>
      <c r="V207" s="132">
        <f t="shared" si="209"/>
        <v>0</v>
      </c>
      <c r="W207" s="132">
        <f t="shared" si="209"/>
        <v>0</v>
      </c>
      <c r="X207" s="132">
        <f t="shared" si="209"/>
        <v>0</v>
      </c>
      <c r="Y207" s="132">
        <f t="shared" si="209"/>
        <v>0</v>
      </c>
      <c r="Z207" s="132">
        <f t="shared" si="209"/>
        <v>0</v>
      </c>
      <c r="AA207" s="133">
        <f t="shared" si="5"/>
        <v>1000</v>
      </c>
    </row>
    <row r="208">
      <c r="A208" s="130" t="s">
        <v>3282</v>
      </c>
      <c r="B208" s="25">
        <v>75208.0</v>
      </c>
      <c r="C208" s="27">
        <v>100.0</v>
      </c>
      <c r="D208" s="134" t="s">
        <v>21</v>
      </c>
      <c r="F208" s="130">
        <f>IFERROR(__xludf.DUMMYFUNCTION("""COMPUTED_VALUE"""),77072.0)</f>
        <v>77072</v>
      </c>
      <c r="G208" s="132">
        <f t="shared" si="2"/>
        <v>0</v>
      </c>
      <c r="H208" s="132">
        <f t="shared" si="3"/>
        <v>0</v>
      </c>
      <c r="I208" s="132">
        <f t="shared" ref="I208:Z208" si="210">SUMIFS($C:$C,$B:$B,$F208,$D:$D,I$1)</f>
        <v>0</v>
      </c>
      <c r="J208" s="132">
        <f t="shared" si="210"/>
        <v>0</v>
      </c>
      <c r="K208" s="132">
        <f t="shared" si="210"/>
        <v>0</v>
      </c>
      <c r="L208" s="132">
        <f t="shared" si="210"/>
        <v>0</v>
      </c>
      <c r="M208" s="132">
        <f t="shared" si="210"/>
        <v>1000</v>
      </c>
      <c r="N208" s="132">
        <f t="shared" si="210"/>
        <v>0</v>
      </c>
      <c r="O208" s="132">
        <f t="shared" si="210"/>
        <v>0</v>
      </c>
      <c r="P208" s="132">
        <f t="shared" si="210"/>
        <v>0</v>
      </c>
      <c r="Q208" s="132">
        <f t="shared" si="210"/>
        <v>0</v>
      </c>
      <c r="R208" s="132">
        <f t="shared" si="210"/>
        <v>0</v>
      </c>
      <c r="S208" s="132">
        <f t="shared" si="210"/>
        <v>0</v>
      </c>
      <c r="T208" s="132">
        <f t="shared" si="210"/>
        <v>0</v>
      </c>
      <c r="U208" s="132">
        <f t="shared" si="210"/>
        <v>0</v>
      </c>
      <c r="V208" s="132">
        <f t="shared" si="210"/>
        <v>0</v>
      </c>
      <c r="W208" s="132">
        <f t="shared" si="210"/>
        <v>0</v>
      </c>
      <c r="X208" s="132">
        <f t="shared" si="210"/>
        <v>0</v>
      </c>
      <c r="Y208" s="132">
        <f t="shared" si="210"/>
        <v>0</v>
      </c>
      <c r="Z208" s="132">
        <f t="shared" si="210"/>
        <v>0</v>
      </c>
      <c r="AA208" s="133">
        <f t="shared" si="5"/>
        <v>1000</v>
      </c>
    </row>
    <row r="209">
      <c r="A209" s="130" t="s">
        <v>3279</v>
      </c>
      <c r="B209" s="25">
        <v>75225.0</v>
      </c>
      <c r="C209" s="27">
        <v>1000.0</v>
      </c>
      <c r="D209" s="134" t="s">
        <v>21</v>
      </c>
      <c r="F209" s="130">
        <f>IFERROR(__xludf.DUMMYFUNCTION("""COMPUTED_VALUE"""),75831.0)</f>
        <v>75831</v>
      </c>
      <c r="G209" s="132">
        <f t="shared" si="2"/>
        <v>0</v>
      </c>
      <c r="H209" s="132">
        <f t="shared" si="3"/>
        <v>0</v>
      </c>
      <c r="I209" s="132">
        <f t="shared" ref="I209:Z209" si="211">SUMIFS($C:$C,$B:$B,$F209,$D:$D,I$1)</f>
        <v>0</v>
      </c>
      <c r="J209" s="132">
        <f t="shared" si="211"/>
        <v>0</v>
      </c>
      <c r="K209" s="132">
        <f t="shared" si="211"/>
        <v>0</v>
      </c>
      <c r="L209" s="132">
        <f t="shared" si="211"/>
        <v>0</v>
      </c>
      <c r="M209" s="132">
        <f t="shared" si="211"/>
        <v>0</v>
      </c>
      <c r="N209" s="132">
        <f t="shared" si="211"/>
        <v>0</v>
      </c>
      <c r="O209" s="132">
        <f t="shared" si="211"/>
        <v>0</v>
      </c>
      <c r="P209" s="132">
        <f t="shared" si="211"/>
        <v>0</v>
      </c>
      <c r="Q209" s="132">
        <f t="shared" si="211"/>
        <v>0</v>
      </c>
      <c r="R209" s="132">
        <f t="shared" si="211"/>
        <v>0</v>
      </c>
      <c r="S209" s="132">
        <f t="shared" si="211"/>
        <v>0</v>
      </c>
      <c r="T209" s="132">
        <f t="shared" si="211"/>
        <v>0</v>
      </c>
      <c r="U209" s="132">
        <f t="shared" si="211"/>
        <v>0</v>
      </c>
      <c r="V209" s="132">
        <f t="shared" si="211"/>
        <v>0</v>
      </c>
      <c r="W209" s="132">
        <f t="shared" si="211"/>
        <v>0</v>
      </c>
      <c r="X209" s="132">
        <f t="shared" si="211"/>
        <v>0</v>
      </c>
      <c r="Y209" s="132">
        <f t="shared" si="211"/>
        <v>1000</v>
      </c>
      <c r="Z209" s="132">
        <f t="shared" si="211"/>
        <v>0</v>
      </c>
      <c r="AA209" s="133">
        <f t="shared" si="5"/>
        <v>1000</v>
      </c>
    </row>
    <row r="210">
      <c r="A210" s="130" t="s">
        <v>3325</v>
      </c>
      <c r="B210" s="25">
        <v>75223.0</v>
      </c>
      <c r="C210" s="27">
        <v>1000.0</v>
      </c>
      <c r="D210" s="134" t="s">
        <v>21</v>
      </c>
      <c r="F210" s="135">
        <f>IFERROR(__xludf.DUMMYFUNCTION("""COMPUTED_VALUE"""),60619.0)</f>
        <v>60619</v>
      </c>
      <c r="G210" s="136">
        <f t="shared" si="2"/>
        <v>0</v>
      </c>
      <c r="H210" s="136">
        <f t="shared" si="3"/>
        <v>0</v>
      </c>
      <c r="I210" s="136">
        <f t="shared" ref="I210:Z210" si="212">SUMIFS($C:$C,$B:$B,$F210,$D:$D,I$1)</f>
        <v>0</v>
      </c>
      <c r="J210" s="136">
        <f t="shared" si="212"/>
        <v>0</v>
      </c>
      <c r="K210" s="136">
        <f t="shared" si="212"/>
        <v>0</v>
      </c>
      <c r="L210" s="136">
        <f t="shared" si="212"/>
        <v>0</v>
      </c>
      <c r="M210" s="136">
        <f t="shared" si="212"/>
        <v>0</v>
      </c>
      <c r="N210" s="136">
        <f t="shared" si="212"/>
        <v>0</v>
      </c>
      <c r="O210" s="136">
        <f t="shared" si="212"/>
        <v>0</v>
      </c>
      <c r="P210" s="136">
        <f t="shared" si="212"/>
        <v>0</v>
      </c>
      <c r="Q210" s="136">
        <f t="shared" si="212"/>
        <v>0</v>
      </c>
      <c r="R210" s="136">
        <f t="shared" si="212"/>
        <v>0</v>
      </c>
      <c r="S210" s="136">
        <f t="shared" si="212"/>
        <v>0</v>
      </c>
      <c r="T210" s="136">
        <f t="shared" si="212"/>
        <v>0</v>
      </c>
      <c r="U210" s="136">
        <f t="shared" si="212"/>
        <v>0</v>
      </c>
      <c r="V210" s="136">
        <f t="shared" si="212"/>
        <v>0</v>
      </c>
      <c r="W210" s="136">
        <f t="shared" si="212"/>
        <v>0</v>
      </c>
      <c r="X210" s="136">
        <f t="shared" si="212"/>
        <v>0</v>
      </c>
      <c r="Y210" s="136">
        <f t="shared" si="212"/>
        <v>0</v>
      </c>
      <c r="Z210" s="136">
        <f t="shared" si="212"/>
        <v>312.45</v>
      </c>
      <c r="AA210" s="137">
        <f t="shared" si="5"/>
        <v>312.45</v>
      </c>
    </row>
    <row r="211">
      <c r="A211" s="130" t="s">
        <v>3282</v>
      </c>
      <c r="B211" s="25">
        <v>75208.0</v>
      </c>
      <c r="C211" s="27">
        <v>100.0</v>
      </c>
      <c r="D211" s="134" t="s">
        <v>21</v>
      </c>
      <c r="F211" s="25"/>
    </row>
    <row r="212">
      <c r="A212" s="130" t="s">
        <v>3282</v>
      </c>
      <c r="B212" s="25">
        <v>75208.0</v>
      </c>
      <c r="C212" s="27">
        <v>250.0</v>
      </c>
      <c r="D212" s="134" t="s">
        <v>21</v>
      </c>
      <c r="F212" s="25"/>
    </row>
    <row r="213">
      <c r="A213" s="130" t="s">
        <v>3284</v>
      </c>
      <c r="B213" s="25">
        <v>75229.0</v>
      </c>
      <c r="C213" s="27">
        <v>500.0</v>
      </c>
      <c r="D213" s="134" t="s">
        <v>21</v>
      </c>
      <c r="F213" s="25"/>
    </row>
    <row r="214">
      <c r="A214" s="130" t="s">
        <v>3336</v>
      </c>
      <c r="B214" s="25">
        <v>76063.0</v>
      </c>
      <c r="C214" s="27">
        <v>500.0</v>
      </c>
      <c r="D214" s="134" t="s">
        <v>21</v>
      </c>
      <c r="F214" s="25"/>
    </row>
    <row r="215">
      <c r="A215" s="130" t="s">
        <v>3282</v>
      </c>
      <c r="B215" s="25">
        <v>75208.0</v>
      </c>
      <c r="C215" s="27">
        <v>500.0</v>
      </c>
      <c r="D215" s="134" t="s">
        <v>21</v>
      </c>
      <c r="F215" s="25"/>
    </row>
    <row r="216">
      <c r="A216" s="130" t="s">
        <v>3282</v>
      </c>
      <c r="B216" s="25">
        <v>75208.0</v>
      </c>
      <c r="C216" s="27">
        <v>1000.0</v>
      </c>
      <c r="D216" s="134" t="s">
        <v>21</v>
      </c>
      <c r="F216" s="25"/>
    </row>
    <row r="217">
      <c r="A217" s="130" t="s">
        <v>3337</v>
      </c>
      <c r="B217" s="25">
        <v>75235.0</v>
      </c>
      <c r="C217" s="27">
        <v>50.0</v>
      </c>
      <c r="D217" s="134" t="s">
        <v>21</v>
      </c>
      <c r="F217" s="25"/>
    </row>
    <row r="218">
      <c r="A218" s="130" t="s">
        <v>3266</v>
      </c>
      <c r="B218" s="25">
        <v>75230.0</v>
      </c>
      <c r="C218" s="27">
        <v>1000.0</v>
      </c>
      <c r="D218" s="134" t="s">
        <v>21</v>
      </c>
      <c r="F218" s="25"/>
    </row>
    <row r="219">
      <c r="A219" s="130" t="s">
        <v>3282</v>
      </c>
      <c r="B219" s="25">
        <v>75208.0</v>
      </c>
      <c r="C219" s="27">
        <v>500.0</v>
      </c>
      <c r="D219" s="134" t="s">
        <v>21</v>
      </c>
      <c r="F219" s="25"/>
    </row>
    <row r="220">
      <c r="A220" s="130" t="s">
        <v>3289</v>
      </c>
      <c r="B220" s="25">
        <v>75219.0</v>
      </c>
      <c r="C220" s="27">
        <v>250.0</v>
      </c>
      <c r="D220" s="134" t="s">
        <v>21</v>
      </c>
      <c r="F220" s="25"/>
    </row>
    <row r="221">
      <c r="A221" s="130" t="s">
        <v>3302</v>
      </c>
      <c r="B221" s="25">
        <v>75226.0</v>
      </c>
      <c r="C221" s="27">
        <v>1000.0</v>
      </c>
      <c r="D221" s="134" t="s">
        <v>21</v>
      </c>
      <c r="F221" s="25"/>
    </row>
    <row r="222">
      <c r="A222" s="130" t="s">
        <v>3338</v>
      </c>
      <c r="B222" s="25">
        <v>75013.0</v>
      </c>
      <c r="C222" s="27">
        <v>1000.0</v>
      </c>
      <c r="D222" s="134" t="s">
        <v>21</v>
      </c>
      <c r="F222" s="25"/>
    </row>
    <row r="223">
      <c r="A223" s="130" t="s">
        <v>3299</v>
      </c>
      <c r="B223" s="25">
        <v>75070.0</v>
      </c>
      <c r="C223" s="27">
        <v>1000.0</v>
      </c>
      <c r="D223" s="134" t="s">
        <v>21</v>
      </c>
      <c r="F223" s="25"/>
    </row>
    <row r="224">
      <c r="A224" s="130" t="s">
        <v>3299</v>
      </c>
      <c r="B224" s="25">
        <v>75070.0</v>
      </c>
      <c r="C224" s="27">
        <v>1000.0</v>
      </c>
      <c r="D224" s="134" t="s">
        <v>21</v>
      </c>
      <c r="F224" s="25"/>
    </row>
    <row r="225">
      <c r="A225" s="130" t="s">
        <v>3282</v>
      </c>
      <c r="B225" s="25">
        <v>75208.0</v>
      </c>
      <c r="C225" s="27">
        <v>47.0</v>
      </c>
      <c r="D225" s="134" t="s">
        <v>21</v>
      </c>
      <c r="F225" s="25"/>
    </row>
    <row r="226">
      <c r="A226" s="130" t="s">
        <v>3339</v>
      </c>
      <c r="B226" s="25">
        <v>75215.0</v>
      </c>
      <c r="C226" s="27">
        <v>500.0</v>
      </c>
      <c r="D226" s="134" t="s">
        <v>21</v>
      </c>
      <c r="F226" s="25"/>
    </row>
    <row r="227">
      <c r="A227" s="130" t="s">
        <v>3326</v>
      </c>
      <c r="B227" s="25">
        <v>75224.0</v>
      </c>
      <c r="C227" s="27">
        <v>500.0</v>
      </c>
      <c r="D227" s="134" t="s">
        <v>21</v>
      </c>
      <c r="F227" s="25"/>
    </row>
    <row r="228">
      <c r="A228" s="130" t="s">
        <v>3326</v>
      </c>
      <c r="B228" s="25">
        <v>75224.0</v>
      </c>
      <c r="C228" s="27">
        <v>500.0</v>
      </c>
      <c r="D228" s="134" t="s">
        <v>21</v>
      </c>
      <c r="F228" s="25"/>
    </row>
    <row r="229">
      <c r="A229" s="130" t="s">
        <v>3282</v>
      </c>
      <c r="B229" s="25">
        <v>75208.0</v>
      </c>
      <c r="C229" s="27">
        <v>50.0</v>
      </c>
      <c r="D229" s="134" t="s">
        <v>21</v>
      </c>
      <c r="F229" s="25"/>
    </row>
    <row r="230">
      <c r="A230" s="130" t="s">
        <v>3340</v>
      </c>
      <c r="B230" s="25">
        <v>75244.0</v>
      </c>
      <c r="C230" s="27">
        <v>1000.0</v>
      </c>
      <c r="D230" s="134" t="s">
        <v>21</v>
      </c>
      <c r="F230" s="25"/>
    </row>
    <row r="231">
      <c r="A231" s="130" t="s">
        <v>3282</v>
      </c>
      <c r="B231" s="25">
        <v>75208.0</v>
      </c>
      <c r="C231" s="27">
        <v>500.0</v>
      </c>
      <c r="D231" s="134" t="s">
        <v>21</v>
      </c>
      <c r="F231" s="25"/>
    </row>
    <row r="232">
      <c r="A232" s="130" t="s">
        <v>3284</v>
      </c>
      <c r="B232" s="25">
        <v>75229.0</v>
      </c>
      <c r="C232" s="27">
        <v>25.0</v>
      </c>
      <c r="D232" s="134" t="s">
        <v>21</v>
      </c>
      <c r="F232" s="25"/>
    </row>
    <row r="233">
      <c r="A233" s="130" t="s">
        <v>3285</v>
      </c>
      <c r="B233" s="25">
        <v>75204.0</v>
      </c>
      <c r="C233" s="27">
        <v>25.0</v>
      </c>
      <c r="D233" s="134" t="s">
        <v>21</v>
      </c>
      <c r="F233" s="25"/>
    </row>
    <row r="234">
      <c r="A234" s="130" t="s">
        <v>3339</v>
      </c>
      <c r="B234" s="25">
        <v>75215.0</v>
      </c>
      <c r="C234" s="27">
        <v>237.0</v>
      </c>
      <c r="D234" s="134" t="s">
        <v>21</v>
      </c>
      <c r="F234" s="25"/>
    </row>
    <row r="235">
      <c r="A235" s="130" t="s">
        <v>3284</v>
      </c>
      <c r="B235" s="25">
        <v>75229.0</v>
      </c>
      <c r="C235" s="27">
        <v>500.0</v>
      </c>
      <c r="D235" s="134" t="s">
        <v>21</v>
      </c>
      <c r="F235" s="25"/>
    </row>
    <row r="236">
      <c r="A236" s="130" t="s">
        <v>3285</v>
      </c>
      <c r="B236" s="25">
        <v>75204.0</v>
      </c>
      <c r="C236" s="27">
        <v>250.0</v>
      </c>
      <c r="D236" s="134" t="s">
        <v>21</v>
      </c>
      <c r="F236" s="25"/>
    </row>
    <row r="237">
      <c r="A237" s="130" t="s">
        <v>3286</v>
      </c>
      <c r="B237" s="25">
        <v>75233.0</v>
      </c>
      <c r="C237" s="27">
        <v>500.0</v>
      </c>
      <c r="D237" s="134" t="s">
        <v>21</v>
      </c>
      <c r="F237" s="25"/>
    </row>
    <row r="238">
      <c r="A238" s="130" t="s">
        <v>3284</v>
      </c>
      <c r="B238" s="25">
        <v>75229.0</v>
      </c>
      <c r="C238" s="27">
        <v>500.0</v>
      </c>
      <c r="D238" s="134" t="s">
        <v>21</v>
      </c>
      <c r="F238" s="25"/>
    </row>
    <row r="239">
      <c r="A239" s="130" t="s">
        <v>3292</v>
      </c>
      <c r="B239" s="25">
        <v>75243.0</v>
      </c>
      <c r="C239" s="27">
        <v>950.0</v>
      </c>
      <c r="D239" s="134" t="s">
        <v>21</v>
      </c>
      <c r="F239" s="25"/>
    </row>
    <row r="240">
      <c r="A240" s="130" t="s">
        <v>3273</v>
      </c>
      <c r="B240" s="25">
        <v>75205.0</v>
      </c>
      <c r="C240" s="27">
        <v>950.0</v>
      </c>
      <c r="D240" s="134" t="s">
        <v>21</v>
      </c>
      <c r="F240" s="25"/>
    </row>
    <row r="241">
      <c r="A241" s="130" t="s">
        <v>3282</v>
      </c>
      <c r="B241" s="25">
        <v>75208.0</v>
      </c>
      <c r="C241" s="27">
        <v>100.0</v>
      </c>
      <c r="D241" s="134" t="s">
        <v>21</v>
      </c>
      <c r="F241" s="25"/>
    </row>
    <row r="242">
      <c r="A242" s="130" t="s">
        <v>3282</v>
      </c>
      <c r="B242" s="25">
        <v>75208.0</v>
      </c>
      <c r="C242" s="27">
        <v>50.0</v>
      </c>
      <c r="D242" s="134" t="s">
        <v>21</v>
      </c>
      <c r="F242" s="25"/>
    </row>
    <row r="243">
      <c r="A243" s="130" t="s">
        <v>3284</v>
      </c>
      <c r="B243" s="25">
        <v>75229.0</v>
      </c>
      <c r="C243" s="27">
        <v>500.0</v>
      </c>
      <c r="D243" s="134" t="s">
        <v>21</v>
      </c>
      <c r="F243" s="25"/>
    </row>
    <row r="244">
      <c r="A244" s="130" t="s">
        <v>3282</v>
      </c>
      <c r="B244" s="25">
        <v>75208.0</v>
      </c>
      <c r="C244" s="27">
        <v>250.0</v>
      </c>
      <c r="D244" s="134" t="s">
        <v>21</v>
      </c>
      <c r="F244" s="25"/>
    </row>
    <row r="245">
      <c r="A245" s="130" t="s">
        <v>3341</v>
      </c>
      <c r="B245" s="25">
        <v>75298.0</v>
      </c>
      <c r="C245" s="27">
        <v>250.0</v>
      </c>
      <c r="D245" s="134" t="s">
        <v>21</v>
      </c>
      <c r="F245" s="25"/>
    </row>
    <row r="246">
      <c r="A246" s="130" t="s">
        <v>3270</v>
      </c>
      <c r="B246" s="25">
        <v>75206.0</v>
      </c>
      <c r="C246" s="27">
        <v>950.0</v>
      </c>
      <c r="D246" s="134" t="s">
        <v>21</v>
      </c>
      <c r="F246" s="25"/>
    </row>
    <row r="247">
      <c r="A247" s="130" t="s">
        <v>3282</v>
      </c>
      <c r="B247" s="25">
        <v>75208.0</v>
      </c>
      <c r="C247" s="27">
        <v>100.0</v>
      </c>
      <c r="D247" s="134" t="s">
        <v>21</v>
      </c>
      <c r="F247" s="25"/>
    </row>
    <row r="248">
      <c r="A248" s="130" t="s">
        <v>3326</v>
      </c>
      <c r="B248" s="25">
        <v>75224.0</v>
      </c>
      <c r="C248" s="27">
        <v>250.0</v>
      </c>
      <c r="D248" s="134" t="s">
        <v>21</v>
      </c>
      <c r="F248" s="25"/>
    </row>
    <row r="249">
      <c r="A249" s="130" t="s">
        <v>3267</v>
      </c>
      <c r="B249" s="25">
        <v>75214.0</v>
      </c>
      <c r="C249" s="27">
        <v>950.0</v>
      </c>
      <c r="D249" s="134" t="s">
        <v>21</v>
      </c>
      <c r="F249" s="25"/>
    </row>
    <row r="250">
      <c r="A250" s="130" t="s">
        <v>3273</v>
      </c>
      <c r="B250" s="25">
        <v>75205.0</v>
      </c>
      <c r="C250" s="27">
        <v>950.0</v>
      </c>
      <c r="D250" s="134" t="s">
        <v>21</v>
      </c>
      <c r="F250" s="25"/>
    </row>
    <row r="251">
      <c r="A251" s="130" t="s">
        <v>3282</v>
      </c>
      <c r="B251" s="25">
        <v>75208.0</v>
      </c>
      <c r="C251" s="27">
        <v>250.0</v>
      </c>
      <c r="D251" s="134" t="s">
        <v>21</v>
      </c>
      <c r="F251" s="25"/>
    </row>
    <row r="252">
      <c r="A252" s="130" t="s">
        <v>3282</v>
      </c>
      <c r="B252" s="25">
        <v>75208.0</v>
      </c>
      <c r="C252" s="27">
        <v>50.0</v>
      </c>
      <c r="D252" s="134" t="s">
        <v>21</v>
      </c>
      <c r="F252" s="25"/>
    </row>
    <row r="253">
      <c r="A253" s="130" t="s">
        <v>3306</v>
      </c>
      <c r="B253" s="25">
        <v>76040.0</v>
      </c>
      <c r="C253" s="27">
        <v>500.0</v>
      </c>
      <c r="D253" s="134" t="s">
        <v>21</v>
      </c>
      <c r="F253" s="25"/>
    </row>
    <row r="254">
      <c r="A254" s="130" t="s">
        <v>3312</v>
      </c>
      <c r="B254" s="25">
        <v>75201.0</v>
      </c>
      <c r="C254" s="27">
        <v>1000.0</v>
      </c>
      <c r="D254" s="134" t="s">
        <v>21</v>
      </c>
      <c r="F254" s="25"/>
    </row>
    <row r="255">
      <c r="A255" s="130" t="s">
        <v>3302</v>
      </c>
      <c r="B255" s="25">
        <v>75226.0</v>
      </c>
      <c r="C255" s="27">
        <v>100.0</v>
      </c>
      <c r="D255" s="134" t="s">
        <v>21</v>
      </c>
      <c r="F255" s="25"/>
    </row>
    <row r="256">
      <c r="A256" s="130" t="s">
        <v>3289</v>
      </c>
      <c r="B256" s="25">
        <v>75219.0</v>
      </c>
      <c r="C256" s="27">
        <v>50.0</v>
      </c>
      <c r="D256" s="134" t="s">
        <v>21</v>
      </c>
      <c r="F256" s="25"/>
    </row>
    <row r="257">
      <c r="A257" s="130" t="s">
        <v>3273</v>
      </c>
      <c r="B257" s="25">
        <v>75205.0</v>
      </c>
      <c r="C257" s="27">
        <v>950.0</v>
      </c>
      <c r="D257" s="134" t="s">
        <v>21</v>
      </c>
      <c r="F257" s="25"/>
    </row>
    <row r="258">
      <c r="A258" s="130" t="s">
        <v>3282</v>
      </c>
      <c r="B258" s="25">
        <v>75208.0</v>
      </c>
      <c r="C258" s="27">
        <v>50.0</v>
      </c>
      <c r="D258" s="134" t="s">
        <v>21</v>
      </c>
      <c r="F258" s="25"/>
    </row>
    <row r="259">
      <c r="A259" s="130" t="s">
        <v>3282</v>
      </c>
      <c r="B259" s="25">
        <v>75208.0</v>
      </c>
      <c r="C259" s="27">
        <v>950.0</v>
      </c>
      <c r="D259" s="134" t="s">
        <v>21</v>
      </c>
      <c r="F259" s="25"/>
    </row>
    <row r="260">
      <c r="A260" s="130" t="s">
        <v>3342</v>
      </c>
      <c r="B260" s="25">
        <v>75093.0</v>
      </c>
      <c r="C260" s="27">
        <v>2500.0</v>
      </c>
      <c r="D260" s="134" t="s">
        <v>21</v>
      </c>
      <c r="F260" s="25"/>
    </row>
    <row r="261">
      <c r="A261" s="130" t="s">
        <v>3289</v>
      </c>
      <c r="B261" s="25">
        <v>75219.0</v>
      </c>
      <c r="C261" s="27">
        <v>500.0</v>
      </c>
      <c r="D261" s="134" t="s">
        <v>21</v>
      </c>
      <c r="F261" s="25"/>
    </row>
    <row r="262">
      <c r="A262" s="130" t="s">
        <v>3343</v>
      </c>
      <c r="B262" s="25">
        <v>78768.0</v>
      </c>
      <c r="C262" s="27">
        <v>2500.0</v>
      </c>
      <c r="D262" s="134" t="s">
        <v>21</v>
      </c>
      <c r="F262" s="25"/>
    </row>
    <row r="263">
      <c r="A263" s="130" t="s">
        <v>3279</v>
      </c>
      <c r="B263" s="25">
        <v>75225.0</v>
      </c>
      <c r="C263" s="27">
        <v>500.0</v>
      </c>
      <c r="D263" s="134" t="s">
        <v>27</v>
      </c>
      <c r="F263" s="25"/>
    </row>
    <row r="264">
      <c r="A264" s="130" t="s">
        <v>3284</v>
      </c>
      <c r="B264" s="25">
        <v>75229.0</v>
      </c>
      <c r="C264" s="27">
        <v>500.0</v>
      </c>
      <c r="D264" s="134" t="s">
        <v>27</v>
      </c>
      <c r="F264" s="25"/>
    </row>
    <row r="265">
      <c r="A265" s="130" t="s">
        <v>3289</v>
      </c>
      <c r="B265" s="25">
        <v>75219.0</v>
      </c>
      <c r="C265" s="27">
        <v>250.0</v>
      </c>
      <c r="D265" s="134" t="s">
        <v>27</v>
      </c>
      <c r="F265" s="25"/>
    </row>
    <row r="266">
      <c r="A266" s="130" t="s">
        <v>3273</v>
      </c>
      <c r="B266" s="25">
        <v>75205.0</v>
      </c>
      <c r="C266" s="27">
        <v>500.0</v>
      </c>
      <c r="D266" s="134" t="s">
        <v>27</v>
      </c>
      <c r="F266" s="25"/>
    </row>
    <row r="267">
      <c r="A267" s="130" t="s">
        <v>3295</v>
      </c>
      <c r="B267" s="25">
        <v>75504.0</v>
      </c>
      <c r="C267" s="27">
        <v>10000.0</v>
      </c>
      <c r="D267" s="134" t="s">
        <v>25</v>
      </c>
      <c r="F267" s="25"/>
    </row>
    <row r="268">
      <c r="A268" s="130" t="s">
        <v>3344</v>
      </c>
      <c r="B268" s="25">
        <v>75007.0</v>
      </c>
      <c r="C268" s="27">
        <v>250.0</v>
      </c>
      <c r="D268" s="134" t="s">
        <v>25</v>
      </c>
      <c r="F268" s="25"/>
    </row>
    <row r="269">
      <c r="A269" s="130" t="s">
        <v>3318</v>
      </c>
      <c r="B269" s="25">
        <v>75137.0</v>
      </c>
      <c r="C269" s="27">
        <v>250.0</v>
      </c>
      <c r="D269" s="134" t="s">
        <v>25</v>
      </c>
      <c r="F269" s="25"/>
    </row>
    <row r="270">
      <c r="A270" s="130" t="s">
        <v>3279</v>
      </c>
      <c r="B270" s="25">
        <v>75225.0</v>
      </c>
      <c r="C270" s="27">
        <v>1000.0</v>
      </c>
      <c r="D270" s="134" t="s">
        <v>25</v>
      </c>
      <c r="F270" s="25"/>
    </row>
    <row r="271">
      <c r="A271" s="130" t="s">
        <v>3282</v>
      </c>
      <c r="B271" s="25">
        <v>75208.0</v>
      </c>
      <c r="C271" s="27">
        <v>500.0</v>
      </c>
      <c r="D271" s="134" t="s">
        <v>25</v>
      </c>
      <c r="F271" s="25"/>
    </row>
    <row r="272">
      <c r="A272" s="130" t="s">
        <v>3289</v>
      </c>
      <c r="B272" s="25">
        <v>75219.0</v>
      </c>
      <c r="C272" s="27">
        <v>5000.0</v>
      </c>
      <c r="D272" s="134" t="s">
        <v>25</v>
      </c>
      <c r="F272" s="25"/>
    </row>
    <row r="273">
      <c r="A273" s="130" t="s">
        <v>3345</v>
      </c>
      <c r="B273" s="25">
        <v>75048.0</v>
      </c>
      <c r="C273" s="27">
        <v>1000.0</v>
      </c>
      <c r="D273" s="134" t="s">
        <v>25</v>
      </c>
      <c r="F273" s="25"/>
    </row>
    <row r="274">
      <c r="A274" s="130" t="s">
        <v>3346</v>
      </c>
      <c r="B274" s="25">
        <v>94109.0</v>
      </c>
      <c r="C274" s="27">
        <v>100.0</v>
      </c>
      <c r="D274" s="134" t="s">
        <v>25</v>
      </c>
      <c r="F274" s="25"/>
    </row>
    <row r="275">
      <c r="A275" s="130" t="s">
        <v>3347</v>
      </c>
      <c r="B275" s="25">
        <v>10006.0</v>
      </c>
      <c r="C275" s="27">
        <v>100.0</v>
      </c>
      <c r="D275" s="134" t="s">
        <v>25</v>
      </c>
      <c r="F275" s="25"/>
    </row>
    <row r="276">
      <c r="A276" s="130" t="s">
        <v>3312</v>
      </c>
      <c r="B276" s="25">
        <v>75201.0</v>
      </c>
      <c r="C276" s="27">
        <v>1000.0</v>
      </c>
      <c r="D276" s="134" t="s">
        <v>25</v>
      </c>
      <c r="F276" s="25"/>
    </row>
    <row r="277">
      <c r="A277" s="130" t="s">
        <v>3266</v>
      </c>
      <c r="B277" s="25">
        <v>75230.0</v>
      </c>
      <c r="C277" s="27">
        <v>10000.0</v>
      </c>
      <c r="D277" s="134" t="s">
        <v>25</v>
      </c>
      <c r="F277" s="25"/>
    </row>
    <row r="278">
      <c r="A278" s="130" t="s">
        <v>3344</v>
      </c>
      <c r="B278" s="25">
        <v>75007.0</v>
      </c>
      <c r="C278" s="27">
        <v>1000.0</v>
      </c>
      <c r="D278" s="134" t="s">
        <v>25</v>
      </c>
      <c r="F278" s="25"/>
    </row>
    <row r="279">
      <c r="A279" s="130" t="s">
        <v>3312</v>
      </c>
      <c r="B279" s="25">
        <v>75201.0</v>
      </c>
      <c r="C279" s="27">
        <v>2500.0</v>
      </c>
      <c r="D279" s="134" t="s">
        <v>25</v>
      </c>
      <c r="F279" s="25"/>
    </row>
    <row r="280">
      <c r="A280" s="130" t="s">
        <v>3266</v>
      </c>
      <c r="B280" s="25">
        <v>75230.0</v>
      </c>
      <c r="C280" s="27">
        <v>250.0</v>
      </c>
      <c r="D280" s="134" t="s">
        <v>25</v>
      </c>
      <c r="F280" s="25"/>
    </row>
    <row r="281">
      <c r="A281" s="130" t="s">
        <v>3321</v>
      </c>
      <c r="B281" s="25">
        <v>75209.0</v>
      </c>
      <c r="C281" s="27">
        <v>250.0</v>
      </c>
      <c r="D281" s="134" t="s">
        <v>25</v>
      </c>
      <c r="F281" s="25"/>
    </row>
    <row r="282">
      <c r="A282" s="130" t="s">
        <v>3301</v>
      </c>
      <c r="B282" s="25">
        <v>75220.0</v>
      </c>
      <c r="C282" s="27">
        <v>1000.0</v>
      </c>
      <c r="D282" s="134" t="s">
        <v>25</v>
      </c>
      <c r="F282" s="25"/>
    </row>
    <row r="283">
      <c r="A283" s="130" t="s">
        <v>3348</v>
      </c>
      <c r="B283" s="25">
        <v>75081.0</v>
      </c>
      <c r="C283" s="27">
        <v>250.0</v>
      </c>
      <c r="D283" s="134" t="s">
        <v>25</v>
      </c>
      <c r="F283" s="25"/>
    </row>
    <row r="284">
      <c r="A284" s="130" t="s">
        <v>3273</v>
      </c>
      <c r="B284" s="25">
        <v>75205.0</v>
      </c>
      <c r="C284" s="27">
        <v>1000.0</v>
      </c>
      <c r="D284" s="134" t="s">
        <v>25</v>
      </c>
      <c r="F284" s="25"/>
    </row>
    <row r="285">
      <c r="A285" s="130" t="s">
        <v>3278</v>
      </c>
      <c r="B285" s="25">
        <v>75248.0</v>
      </c>
      <c r="C285" s="27">
        <v>100.0</v>
      </c>
      <c r="D285" s="134" t="s">
        <v>25</v>
      </c>
      <c r="F285" s="25"/>
    </row>
    <row r="286">
      <c r="A286" s="130" t="s">
        <v>3321</v>
      </c>
      <c r="B286" s="25">
        <v>75209.0</v>
      </c>
      <c r="C286" s="27">
        <v>1000.0</v>
      </c>
      <c r="D286" s="134" t="s">
        <v>25</v>
      </c>
      <c r="F286" s="25"/>
    </row>
    <row r="287">
      <c r="A287" s="130" t="s">
        <v>3289</v>
      </c>
      <c r="B287" s="25">
        <v>75219.0</v>
      </c>
      <c r="C287" s="27">
        <v>250.0</v>
      </c>
      <c r="D287" s="134" t="s">
        <v>25</v>
      </c>
      <c r="F287" s="25"/>
    </row>
    <row r="288">
      <c r="A288" s="130" t="s">
        <v>3279</v>
      </c>
      <c r="B288" s="25">
        <v>75225.0</v>
      </c>
      <c r="C288" s="27">
        <v>1000.0</v>
      </c>
      <c r="D288" s="134" t="s">
        <v>25</v>
      </c>
      <c r="F288" s="25"/>
    </row>
    <row r="289">
      <c r="A289" s="130" t="s">
        <v>3338</v>
      </c>
      <c r="B289" s="25">
        <v>75013.0</v>
      </c>
      <c r="C289" s="27">
        <v>250.0</v>
      </c>
      <c r="D289" s="134" t="s">
        <v>25</v>
      </c>
      <c r="F289" s="25"/>
    </row>
    <row r="290">
      <c r="A290" s="130" t="s">
        <v>3289</v>
      </c>
      <c r="B290" s="25">
        <v>75219.0</v>
      </c>
      <c r="C290" s="27">
        <v>5000.0</v>
      </c>
      <c r="D290" s="134" t="s">
        <v>25</v>
      </c>
      <c r="F290" s="25"/>
    </row>
    <row r="291">
      <c r="A291" s="130" t="s">
        <v>3349</v>
      </c>
      <c r="B291" s="25">
        <v>75376.0</v>
      </c>
      <c r="C291" s="27">
        <v>1000.0</v>
      </c>
      <c r="D291" s="134" t="s">
        <v>25</v>
      </c>
      <c r="F291" s="25"/>
    </row>
    <row r="292">
      <c r="A292" s="130" t="s">
        <v>3301</v>
      </c>
      <c r="B292" s="25">
        <v>75220.0</v>
      </c>
      <c r="C292" s="27">
        <v>10000.0</v>
      </c>
      <c r="D292" s="134" t="s">
        <v>25</v>
      </c>
      <c r="F292" s="25"/>
    </row>
    <row r="293">
      <c r="A293" s="130" t="s">
        <v>3301</v>
      </c>
      <c r="B293" s="25">
        <v>75220.0</v>
      </c>
      <c r="C293" s="27">
        <v>5000.0</v>
      </c>
      <c r="D293" s="134" t="s">
        <v>25</v>
      </c>
      <c r="F293" s="25"/>
    </row>
    <row r="294">
      <c r="A294" s="130" t="s">
        <v>3300</v>
      </c>
      <c r="B294" s="25">
        <v>75228.0</v>
      </c>
      <c r="C294" s="27">
        <v>25.0</v>
      </c>
      <c r="D294" s="134" t="s">
        <v>25</v>
      </c>
      <c r="F294" s="25"/>
    </row>
    <row r="295">
      <c r="A295" s="130" t="s">
        <v>3332</v>
      </c>
      <c r="B295" s="25">
        <v>75115.0</v>
      </c>
      <c r="C295" s="27">
        <v>3000.0</v>
      </c>
      <c r="D295" s="134" t="s">
        <v>25</v>
      </c>
      <c r="F295" s="25"/>
    </row>
    <row r="296">
      <c r="A296" s="130" t="s">
        <v>3350</v>
      </c>
      <c r="B296" s="25">
        <v>10119.0</v>
      </c>
      <c r="C296" s="27">
        <v>1000.0</v>
      </c>
      <c r="D296" s="134" t="s">
        <v>25</v>
      </c>
      <c r="F296" s="25"/>
    </row>
    <row r="297">
      <c r="A297" s="130" t="s">
        <v>3289</v>
      </c>
      <c r="B297" s="25">
        <v>75219.0</v>
      </c>
      <c r="C297" s="27">
        <v>10000.0</v>
      </c>
      <c r="D297" s="134" t="s">
        <v>25</v>
      </c>
      <c r="F297" s="25"/>
    </row>
    <row r="298">
      <c r="A298" s="130" t="s">
        <v>3321</v>
      </c>
      <c r="B298" s="25">
        <v>75209.0</v>
      </c>
      <c r="C298" s="27">
        <v>2500.0</v>
      </c>
      <c r="D298" s="134" t="s">
        <v>25</v>
      </c>
      <c r="F298" s="25"/>
    </row>
    <row r="299">
      <c r="A299" s="130" t="s">
        <v>3289</v>
      </c>
      <c r="B299" s="25">
        <v>75219.0</v>
      </c>
      <c r="C299" s="27">
        <v>500.0</v>
      </c>
      <c r="D299" s="134" t="s">
        <v>34</v>
      </c>
      <c r="F299" s="25"/>
    </row>
    <row r="300">
      <c r="A300" s="130" t="s">
        <v>3266</v>
      </c>
      <c r="B300" s="25">
        <v>75230.0</v>
      </c>
      <c r="C300" s="27">
        <v>500.0</v>
      </c>
      <c r="D300" s="134" t="s">
        <v>25</v>
      </c>
      <c r="F300" s="25"/>
    </row>
    <row r="301">
      <c r="A301" s="130" t="s">
        <v>3279</v>
      </c>
      <c r="B301" s="25">
        <v>75225.0</v>
      </c>
      <c r="C301" s="27">
        <v>2500.0</v>
      </c>
      <c r="D301" s="134" t="s">
        <v>25</v>
      </c>
      <c r="F301" s="25"/>
    </row>
    <row r="302">
      <c r="A302" s="130" t="s">
        <v>3267</v>
      </c>
      <c r="B302" s="25">
        <v>75214.0</v>
      </c>
      <c r="C302" s="27">
        <v>250.0</v>
      </c>
      <c r="D302" s="134" t="s">
        <v>25</v>
      </c>
      <c r="F302" s="25"/>
    </row>
    <row r="303">
      <c r="A303" s="130" t="s">
        <v>3273</v>
      </c>
      <c r="B303" s="25">
        <v>75205.0</v>
      </c>
      <c r="C303" s="27">
        <v>1000.0</v>
      </c>
      <c r="D303" s="134" t="s">
        <v>25</v>
      </c>
      <c r="F303" s="25"/>
    </row>
    <row r="304">
      <c r="A304" s="130" t="s">
        <v>3321</v>
      </c>
      <c r="B304" s="25">
        <v>75209.0</v>
      </c>
      <c r="C304" s="27">
        <v>10000.0</v>
      </c>
      <c r="D304" s="134" t="s">
        <v>25</v>
      </c>
      <c r="F304" s="25"/>
    </row>
    <row r="305">
      <c r="A305" s="130" t="s">
        <v>3301</v>
      </c>
      <c r="B305" s="25">
        <v>75220.0</v>
      </c>
      <c r="C305" s="27">
        <v>500.0</v>
      </c>
      <c r="D305" s="134" t="s">
        <v>25</v>
      </c>
      <c r="F305" s="25"/>
    </row>
    <row r="306">
      <c r="A306" s="130" t="s">
        <v>3284</v>
      </c>
      <c r="B306" s="25">
        <v>75229.0</v>
      </c>
      <c r="C306" s="27">
        <v>250.0</v>
      </c>
      <c r="D306" s="134" t="s">
        <v>25</v>
      </c>
      <c r="F306" s="25"/>
    </row>
    <row r="307">
      <c r="A307" s="130" t="s">
        <v>3275</v>
      </c>
      <c r="B307" s="25">
        <v>75207.0</v>
      </c>
      <c r="C307" s="27">
        <v>10000.0</v>
      </c>
      <c r="D307" s="134" t="s">
        <v>25</v>
      </c>
      <c r="F307" s="25"/>
    </row>
    <row r="308">
      <c r="A308" s="130" t="s">
        <v>3351</v>
      </c>
      <c r="B308" s="25">
        <v>75232.0</v>
      </c>
      <c r="C308" s="27">
        <v>100.0</v>
      </c>
      <c r="D308" s="134" t="s">
        <v>25</v>
      </c>
      <c r="F308" s="25"/>
    </row>
    <row r="309">
      <c r="A309" s="130" t="s">
        <v>3352</v>
      </c>
      <c r="B309" s="25">
        <v>75134.0</v>
      </c>
      <c r="C309" s="27">
        <v>300.0</v>
      </c>
      <c r="D309" s="134" t="s">
        <v>25</v>
      </c>
      <c r="F309" s="25"/>
    </row>
    <row r="310">
      <c r="A310" s="130" t="s">
        <v>3353</v>
      </c>
      <c r="B310" s="25">
        <v>76710.0</v>
      </c>
      <c r="C310" s="27">
        <v>5000.0</v>
      </c>
      <c r="D310" s="134" t="s">
        <v>25</v>
      </c>
      <c r="F310" s="25"/>
    </row>
    <row r="311">
      <c r="A311" s="130" t="s">
        <v>3354</v>
      </c>
      <c r="B311" s="25">
        <v>74136.0</v>
      </c>
      <c r="C311" s="27">
        <v>250.0</v>
      </c>
      <c r="D311" s="134" t="s">
        <v>25</v>
      </c>
      <c r="F311" s="25"/>
    </row>
    <row r="312">
      <c r="A312" s="130" t="s">
        <v>3355</v>
      </c>
      <c r="B312" s="25">
        <v>75033.0</v>
      </c>
      <c r="C312" s="27">
        <v>250.0</v>
      </c>
      <c r="D312" s="134" t="s">
        <v>25</v>
      </c>
      <c r="F312" s="25"/>
    </row>
    <row r="313">
      <c r="A313" s="130" t="s">
        <v>3326</v>
      </c>
      <c r="B313" s="25">
        <v>75224.0</v>
      </c>
      <c r="C313" s="27">
        <v>250.0</v>
      </c>
      <c r="D313" s="134" t="s">
        <v>25</v>
      </c>
      <c r="F313" s="25"/>
    </row>
    <row r="314">
      <c r="A314" s="130" t="s">
        <v>3266</v>
      </c>
      <c r="B314" s="25">
        <v>75230.0</v>
      </c>
      <c r="C314" s="27">
        <v>10000.0</v>
      </c>
      <c r="D314" s="134" t="s">
        <v>25</v>
      </c>
      <c r="F314" s="25"/>
    </row>
    <row r="315">
      <c r="A315" s="130" t="s">
        <v>3266</v>
      </c>
      <c r="B315" s="25">
        <v>75230.0</v>
      </c>
      <c r="C315" s="27">
        <v>10000.0</v>
      </c>
      <c r="D315" s="134" t="s">
        <v>25</v>
      </c>
      <c r="F315" s="25"/>
    </row>
    <row r="316">
      <c r="A316" s="130" t="s">
        <v>3279</v>
      </c>
      <c r="B316" s="25">
        <v>75225.0</v>
      </c>
      <c r="C316" s="27">
        <v>750.0</v>
      </c>
      <c r="D316" s="134" t="s">
        <v>25</v>
      </c>
      <c r="F316" s="25"/>
    </row>
    <row r="317">
      <c r="A317" s="130" t="s">
        <v>3267</v>
      </c>
      <c r="B317" s="25">
        <v>75214.0</v>
      </c>
      <c r="C317" s="27">
        <v>250.0</v>
      </c>
      <c r="D317" s="134" t="s">
        <v>25</v>
      </c>
      <c r="F317" s="25"/>
    </row>
    <row r="318">
      <c r="A318" s="130" t="s">
        <v>3289</v>
      </c>
      <c r="B318" s="25">
        <v>75219.0</v>
      </c>
      <c r="C318" s="27">
        <v>250.0</v>
      </c>
      <c r="D318" s="134" t="s">
        <v>25</v>
      </c>
      <c r="F318" s="25"/>
    </row>
    <row r="319">
      <c r="A319" s="130" t="s">
        <v>3285</v>
      </c>
      <c r="B319" s="25">
        <v>75204.0</v>
      </c>
      <c r="C319" s="27">
        <v>250.0</v>
      </c>
      <c r="D319" s="134" t="s">
        <v>25</v>
      </c>
      <c r="F319" s="25"/>
    </row>
    <row r="320">
      <c r="A320" s="130" t="s">
        <v>3292</v>
      </c>
      <c r="B320" s="25">
        <v>75243.0</v>
      </c>
      <c r="C320" s="27">
        <v>500.0</v>
      </c>
      <c r="D320" s="134" t="s">
        <v>25</v>
      </c>
      <c r="F320" s="25"/>
    </row>
    <row r="321">
      <c r="A321" s="130" t="s">
        <v>3301</v>
      </c>
      <c r="B321" s="25">
        <v>75220.0</v>
      </c>
      <c r="C321" s="27">
        <v>5000.0</v>
      </c>
      <c r="D321" s="134" t="s">
        <v>25</v>
      </c>
      <c r="F321" s="25"/>
    </row>
    <row r="322">
      <c r="A322" s="130" t="s">
        <v>3338</v>
      </c>
      <c r="B322" s="25">
        <v>75013.0</v>
      </c>
      <c r="C322" s="27">
        <v>2500.0</v>
      </c>
      <c r="D322" s="134" t="s">
        <v>25</v>
      </c>
      <c r="F322" s="25"/>
    </row>
    <row r="323">
      <c r="A323" s="130" t="s">
        <v>3279</v>
      </c>
      <c r="B323" s="25">
        <v>75225.0</v>
      </c>
      <c r="C323" s="27">
        <v>250.0</v>
      </c>
      <c r="D323" s="134" t="s">
        <v>25</v>
      </c>
      <c r="F323" s="25"/>
    </row>
    <row r="324">
      <c r="A324" s="130" t="s">
        <v>3321</v>
      </c>
      <c r="B324" s="25">
        <v>75209.0</v>
      </c>
      <c r="C324" s="27">
        <v>500.0</v>
      </c>
      <c r="D324" s="134" t="s">
        <v>25</v>
      </c>
      <c r="F324" s="25"/>
    </row>
    <row r="325">
      <c r="A325" s="130" t="s">
        <v>3321</v>
      </c>
      <c r="B325" s="25">
        <v>75209.0</v>
      </c>
      <c r="C325" s="27">
        <v>250.0</v>
      </c>
      <c r="D325" s="134" t="s">
        <v>25</v>
      </c>
      <c r="F325" s="25"/>
    </row>
    <row r="326">
      <c r="A326" s="130" t="s">
        <v>3312</v>
      </c>
      <c r="B326" s="25">
        <v>75201.0</v>
      </c>
      <c r="C326" s="27">
        <v>250.0</v>
      </c>
      <c r="D326" s="134" t="s">
        <v>25</v>
      </c>
      <c r="F326" s="25"/>
    </row>
    <row r="327">
      <c r="A327" s="130" t="s">
        <v>3312</v>
      </c>
      <c r="B327" s="25">
        <v>75201.0</v>
      </c>
      <c r="C327" s="27">
        <v>5000.0</v>
      </c>
      <c r="D327" s="134" t="s">
        <v>25</v>
      </c>
      <c r="F327" s="25"/>
    </row>
    <row r="328">
      <c r="A328" s="130" t="s">
        <v>3321</v>
      </c>
      <c r="B328" s="25">
        <v>75209.0</v>
      </c>
      <c r="C328" s="27">
        <v>500.0</v>
      </c>
      <c r="D328" s="134" t="s">
        <v>25</v>
      </c>
      <c r="F328" s="25"/>
    </row>
    <row r="329">
      <c r="A329" s="130" t="s">
        <v>3279</v>
      </c>
      <c r="B329" s="25">
        <v>75225.0</v>
      </c>
      <c r="C329" s="27">
        <v>250.0</v>
      </c>
      <c r="D329" s="134" t="s">
        <v>25</v>
      </c>
      <c r="F329" s="25"/>
    </row>
    <row r="330">
      <c r="A330" s="130" t="s">
        <v>3267</v>
      </c>
      <c r="B330" s="25">
        <v>75214.0</v>
      </c>
      <c r="C330" s="27">
        <v>250.0</v>
      </c>
      <c r="D330" s="134" t="s">
        <v>25</v>
      </c>
      <c r="F330" s="25"/>
    </row>
    <row r="331">
      <c r="A331" s="130" t="s">
        <v>3279</v>
      </c>
      <c r="B331" s="25">
        <v>75225.0</v>
      </c>
      <c r="C331" s="27">
        <v>250.0</v>
      </c>
      <c r="D331" s="134" t="s">
        <v>25</v>
      </c>
      <c r="F331" s="25"/>
    </row>
    <row r="332">
      <c r="A332" s="130" t="s">
        <v>3356</v>
      </c>
      <c r="B332" s="25">
        <v>20745.0</v>
      </c>
      <c r="C332" s="27">
        <v>1000.0</v>
      </c>
      <c r="D332" s="134" t="s">
        <v>25</v>
      </c>
      <c r="F332" s="25"/>
    </row>
    <row r="333">
      <c r="A333" s="130" t="s">
        <v>3273</v>
      </c>
      <c r="B333" s="25">
        <v>75205.0</v>
      </c>
      <c r="C333" s="27">
        <v>500.0</v>
      </c>
      <c r="D333" s="134" t="s">
        <v>25</v>
      </c>
      <c r="F333" s="25"/>
    </row>
    <row r="334">
      <c r="A334" s="130" t="s">
        <v>3357</v>
      </c>
      <c r="B334" s="25">
        <v>75043.0</v>
      </c>
      <c r="C334" s="27">
        <v>5000.0</v>
      </c>
      <c r="D334" s="134" t="s">
        <v>25</v>
      </c>
      <c r="F334" s="25"/>
    </row>
    <row r="335">
      <c r="A335" s="130" t="s">
        <v>3281</v>
      </c>
      <c r="B335" s="25">
        <v>75218.0</v>
      </c>
      <c r="C335" s="27">
        <v>250.0</v>
      </c>
      <c r="D335" s="134" t="s">
        <v>25</v>
      </c>
      <c r="F335" s="25"/>
    </row>
    <row r="336">
      <c r="A336" s="130" t="s">
        <v>3284</v>
      </c>
      <c r="B336" s="25">
        <v>75229.0</v>
      </c>
      <c r="C336" s="27">
        <v>1000.0</v>
      </c>
      <c r="D336" s="134" t="s">
        <v>25</v>
      </c>
      <c r="F336" s="25"/>
    </row>
    <row r="337">
      <c r="A337" s="130" t="s">
        <v>3270</v>
      </c>
      <c r="B337" s="25">
        <v>75206.0</v>
      </c>
      <c r="C337" s="27">
        <v>2500.0</v>
      </c>
      <c r="D337" s="134" t="s">
        <v>25</v>
      </c>
      <c r="F337" s="25"/>
    </row>
    <row r="338">
      <c r="A338" s="130" t="s">
        <v>3358</v>
      </c>
      <c r="B338" s="25">
        <v>75038.0</v>
      </c>
      <c r="C338" s="27">
        <v>2500.0</v>
      </c>
      <c r="D338" s="134" t="s">
        <v>25</v>
      </c>
      <c r="F338" s="25"/>
    </row>
    <row r="339">
      <c r="A339" s="130" t="s">
        <v>3359</v>
      </c>
      <c r="B339" s="25">
        <v>75069.0</v>
      </c>
      <c r="C339" s="27">
        <v>250.0</v>
      </c>
      <c r="D339" s="134" t="s">
        <v>25</v>
      </c>
      <c r="F339" s="25"/>
    </row>
    <row r="340">
      <c r="A340" s="130" t="s">
        <v>3292</v>
      </c>
      <c r="B340" s="25">
        <v>75243.0</v>
      </c>
      <c r="C340" s="27">
        <v>250.0</v>
      </c>
      <c r="D340" s="134" t="s">
        <v>25</v>
      </c>
      <c r="F340" s="25"/>
    </row>
    <row r="341">
      <c r="A341" s="130" t="s">
        <v>3360</v>
      </c>
      <c r="B341" s="25">
        <v>75034.0</v>
      </c>
      <c r="C341" s="27">
        <v>2500.0</v>
      </c>
      <c r="D341" s="134" t="s">
        <v>25</v>
      </c>
      <c r="F341" s="25"/>
    </row>
    <row r="342">
      <c r="A342" s="130" t="s">
        <v>3273</v>
      </c>
      <c r="B342" s="25">
        <v>75205.0</v>
      </c>
      <c r="C342" s="27">
        <v>250.0</v>
      </c>
      <c r="D342" s="134" t="s">
        <v>25</v>
      </c>
      <c r="F342" s="25"/>
    </row>
    <row r="343">
      <c r="A343" s="130" t="s">
        <v>3278</v>
      </c>
      <c r="B343" s="25">
        <v>75248.0</v>
      </c>
      <c r="C343" s="27">
        <v>250.0</v>
      </c>
      <c r="D343" s="134" t="s">
        <v>25</v>
      </c>
      <c r="F343" s="25"/>
    </row>
    <row r="344">
      <c r="A344" s="130" t="s">
        <v>3285</v>
      </c>
      <c r="B344" s="25">
        <v>75204.0</v>
      </c>
      <c r="C344" s="27">
        <v>250.0</v>
      </c>
      <c r="D344" s="134" t="s">
        <v>25</v>
      </c>
      <c r="F344" s="25"/>
    </row>
    <row r="345">
      <c r="A345" s="130" t="s">
        <v>3361</v>
      </c>
      <c r="B345" s="25">
        <v>78610.0</v>
      </c>
      <c r="C345" s="27">
        <v>800.0</v>
      </c>
      <c r="D345" s="134" t="s">
        <v>25</v>
      </c>
      <c r="F345" s="25"/>
    </row>
    <row r="346">
      <c r="A346" s="130" t="s">
        <v>3281</v>
      </c>
      <c r="B346" s="25">
        <v>75218.0</v>
      </c>
      <c r="C346" s="27">
        <v>350.0</v>
      </c>
      <c r="D346" s="134" t="s">
        <v>25</v>
      </c>
      <c r="F346" s="25"/>
    </row>
    <row r="347">
      <c r="A347" s="130" t="s">
        <v>3362</v>
      </c>
      <c r="B347" s="25">
        <v>85248.0</v>
      </c>
      <c r="C347" s="27">
        <v>500.0</v>
      </c>
      <c r="D347" s="134" t="s">
        <v>25</v>
      </c>
      <c r="F347" s="25"/>
    </row>
    <row r="348">
      <c r="A348" s="130" t="s">
        <v>3363</v>
      </c>
      <c r="B348" s="25">
        <v>75115.0</v>
      </c>
      <c r="C348" s="27">
        <v>250.0</v>
      </c>
      <c r="D348" s="134" t="s">
        <v>25</v>
      </c>
      <c r="F348" s="25"/>
    </row>
    <row r="349">
      <c r="A349" s="130" t="s">
        <v>3305</v>
      </c>
      <c r="B349" s="25">
        <v>75254.0</v>
      </c>
      <c r="C349" s="27">
        <v>2500.0</v>
      </c>
      <c r="D349" s="134" t="s">
        <v>25</v>
      </c>
      <c r="F349" s="25"/>
    </row>
    <row r="350">
      <c r="A350" s="130" t="s">
        <v>3284</v>
      </c>
      <c r="B350" s="25">
        <v>75229.0</v>
      </c>
      <c r="C350" s="27">
        <v>1000.0</v>
      </c>
      <c r="D350" s="134" t="s">
        <v>25</v>
      </c>
      <c r="F350" s="25"/>
    </row>
    <row r="351">
      <c r="A351" s="130" t="s">
        <v>3267</v>
      </c>
      <c r="B351" s="25">
        <v>75214.0</v>
      </c>
      <c r="C351" s="27">
        <v>500.0</v>
      </c>
      <c r="D351" s="134" t="s">
        <v>25</v>
      </c>
      <c r="F351" s="25"/>
    </row>
    <row r="352">
      <c r="A352" s="130" t="s">
        <v>3364</v>
      </c>
      <c r="B352" s="25">
        <v>75180.0</v>
      </c>
      <c r="C352" s="27">
        <v>50.0</v>
      </c>
      <c r="D352" s="134" t="s">
        <v>25</v>
      </c>
      <c r="F352" s="25"/>
    </row>
    <row r="353">
      <c r="A353" s="130" t="s">
        <v>3365</v>
      </c>
      <c r="B353" s="25">
        <v>75054.0</v>
      </c>
      <c r="C353" s="27">
        <v>250.0</v>
      </c>
      <c r="D353" s="134" t="s">
        <v>25</v>
      </c>
      <c r="F353" s="25"/>
    </row>
    <row r="354">
      <c r="A354" s="130" t="s">
        <v>3279</v>
      </c>
      <c r="B354" s="25">
        <v>75225.0</v>
      </c>
      <c r="C354" s="27">
        <v>500.0</v>
      </c>
      <c r="D354" s="134" t="s">
        <v>25</v>
      </c>
      <c r="F354" s="25"/>
    </row>
    <row r="355">
      <c r="A355" s="130" t="s">
        <v>3277</v>
      </c>
      <c r="B355" s="25">
        <v>77077.0</v>
      </c>
      <c r="C355" s="27">
        <v>1000.0</v>
      </c>
      <c r="D355" s="134" t="s">
        <v>25</v>
      </c>
      <c r="F355" s="25"/>
    </row>
    <row r="356">
      <c r="A356" s="130" t="s">
        <v>3278</v>
      </c>
      <c r="B356" s="25">
        <v>75248.0</v>
      </c>
      <c r="C356" s="27">
        <v>250.0</v>
      </c>
      <c r="D356" s="134" t="s">
        <v>25</v>
      </c>
      <c r="F356" s="25"/>
    </row>
    <row r="357">
      <c r="A357" s="130" t="s">
        <v>3281</v>
      </c>
      <c r="B357" s="25">
        <v>75218.0</v>
      </c>
      <c r="C357" s="27">
        <v>500.0</v>
      </c>
      <c r="D357" s="134" t="s">
        <v>25</v>
      </c>
      <c r="F357" s="25"/>
    </row>
    <row r="358">
      <c r="A358" s="130" t="s">
        <v>3366</v>
      </c>
      <c r="B358" s="25">
        <v>75236.0</v>
      </c>
      <c r="C358" s="27">
        <v>250.0</v>
      </c>
      <c r="D358" s="134" t="s">
        <v>25</v>
      </c>
      <c r="F358" s="25"/>
    </row>
    <row r="359">
      <c r="A359" s="130" t="s">
        <v>3367</v>
      </c>
      <c r="B359" s="25">
        <v>75237.0</v>
      </c>
      <c r="C359" s="27">
        <v>1000.0</v>
      </c>
      <c r="D359" s="134" t="s">
        <v>25</v>
      </c>
      <c r="F359" s="25"/>
    </row>
    <row r="360">
      <c r="A360" s="130" t="s">
        <v>3267</v>
      </c>
      <c r="B360" s="25">
        <v>75214.0</v>
      </c>
      <c r="C360" s="27">
        <v>250.0</v>
      </c>
      <c r="D360" s="134" t="s">
        <v>25</v>
      </c>
      <c r="F360" s="25"/>
    </row>
    <row r="361">
      <c r="A361" s="130" t="s">
        <v>3317</v>
      </c>
      <c r="B361" s="25">
        <v>77002.0</v>
      </c>
      <c r="C361" s="27">
        <v>500.0</v>
      </c>
      <c r="D361" s="134" t="s">
        <v>25</v>
      </c>
      <c r="F361" s="25"/>
    </row>
    <row r="362">
      <c r="A362" s="130" t="s">
        <v>3266</v>
      </c>
      <c r="B362" s="25">
        <v>75230.0</v>
      </c>
      <c r="C362" s="27">
        <v>250.0</v>
      </c>
      <c r="D362" s="134" t="s">
        <v>25</v>
      </c>
      <c r="F362" s="25"/>
    </row>
    <row r="363">
      <c r="A363" s="130" t="s">
        <v>3368</v>
      </c>
      <c r="B363" s="25">
        <v>37027.0</v>
      </c>
      <c r="C363" s="27">
        <v>1000.0</v>
      </c>
      <c r="D363" s="134" t="s">
        <v>25</v>
      </c>
      <c r="F363" s="25"/>
    </row>
    <row r="364">
      <c r="A364" s="130" t="s">
        <v>3369</v>
      </c>
      <c r="B364" s="25">
        <v>75249.0</v>
      </c>
      <c r="C364" s="27">
        <v>250.0</v>
      </c>
      <c r="D364" s="134" t="s">
        <v>25</v>
      </c>
      <c r="F364" s="25"/>
    </row>
    <row r="365">
      <c r="A365" s="130" t="s">
        <v>3312</v>
      </c>
      <c r="B365" s="25">
        <v>75201.0</v>
      </c>
      <c r="C365" s="27">
        <v>250.0</v>
      </c>
      <c r="D365" s="134" t="s">
        <v>25</v>
      </c>
      <c r="F365" s="25"/>
    </row>
    <row r="366">
      <c r="A366" s="130" t="s">
        <v>3267</v>
      </c>
      <c r="B366" s="25">
        <v>75214.0</v>
      </c>
      <c r="C366" s="27">
        <v>500.0</v>
      </c>
      <c r="D366" s="134" t="s">
        <v>25</v>
      </c>
      <c r="F366" s="25"/>
    </row>
    <row r="367">
      <c r="A367" s="130" t="s">
        <v>3267</v>
      </c>
      <c r="B367" s="25">
        <v>75214.0</v>
      </c>
      <c r="C367" s="27">
        <v>250.0</v>
      </c>
      <c r="D367" s="134" t="s">
        <v>25</v>
      </c>
      <c r="F367" s="25"/>
    </row>
    <row r="368">
      <c r="A368" s="130" t="s">
        <v>3312</v>
      </c>
      <c r="B368" s="25">
        <v>75201.0</v>
      </c>
      <c r="C368" s="27">
        <v>500.0</v>
      </c>
      <c r="D368" s="134" t="s">
        <v>25</v>
      </c>
      <c r="F368" s="25"/>
    </row>
    <row r="369">
      <c r="A369" s="130" t="s">
        <v>3288</v>
      </c>
      <c r="B369" s="25">
        <v>75019.0</v>
      </c>
      <c r="C369" s="27">
        <v>1000.0</v>
      </c>
      <c r="D369" s="134" t="s">
        <v>25</v>
      </c>
      <c r="F369" s="25"/>
    </row>
    <row r="370">
      <c r="A370" s="130" t="s">
        <v>3273</v>
      </c>
      <c r="B370" s="25">
        <v>75205.0</v>
      </c>
      <c r="C370" s="27">
        <v>250.0</v>
      </c>
      <c r="D370" s="134" t="s">
        <v>25</v>
      </c>
      <c r="F370" s="25"/>
    </row>
    <row r="371">
      <c r="A371" s="130" t="s">
        <v>3370</v>
      </c>
      <c r="B371" s="25">
        <v>33140.0</v>
      </c>
      <c r="C371" s="27">
        <v>1000.0</v>
      </c>
      <c r="D371" s="134" t="s">
        <v>25</v>
      </c>
      <c r="F371" s="25"/>
    </row>
    <row r="372">
      <c r="A372" s="130" t="s">
        <v>3273</v>
      </c>
      <c r="B372" s="25">
        <v>75205.0</v>
      </c>
      <c r="C372" s="27">
        <v>2500.0</v>
      </c>
      <c r="D372" s="134" t="s">
        <v>25</v>
      </c>
      <c r="F372" s="25"/>
    </row>
    <row r="373">
      <c r="A373" s="130" t="s">
        <v>3323</v>
      </c>
      <c r="B373" s="25">
        <v>75104.0</v>
      </c>
      <c r="C373" s="27">
        <v>250.0</v>
      </c>
      <c r="D373" s="134" t="s">
        <v>25</v>
      </c>
      <c r="F373" s="25"/>
    </row>
    <row r="374">
      <c r="A374" s="130" t="s">
        <v>3284</v>
      </c>
      <c r="B374" s="25">
        <v>75229.0</v>
      </c>
      <c r="C374" s="27">
        <v>250.0</v>
      </c>
      <c r="D374" s="134" t="s">
        <v>25</v>
      </c>
      <c r="F374" s="25"/>
    </row>
    <row r="375">
      <c r="A375" s="130" t="s">
        <v>3290</v>
      </c>
      <c r="B375" s="25">
        <v>75240.0</v>
      </c>
      <c r="C375" s="27">
        <v>1000.0</v>
      </c>
      <c r="D375" s="134" t="s">
        <v>25</v>
      </c>
      <c r="F375" s="25"/>
    </row>
    <row r="376">
      <c r="A376" s="130" t="s">
        <v>3279</v>
      </c>
      <c r="B376" s="25">
        <v>75225.0</v>
      </c>
      <c r="C376" s="27">
        <v>350.0</v>
      </c>
      <c r="D376" s="134" t="s">
        <v>25</v>
      </c>
      <c r="F376" s="25"/>
    </row>
    <row r="377">
      <c r="A377" s="130" t="s">
        <v>3285</v>
      </c>
      <c r="B377" s="25">
        <v>75204.0</v>
      </c>
      <c r="C377" s="27">
        <v>500.0</v>
      </c>
      <c r="D377" s="134" t="s">
        <v>25</v>
      </c>
      <c r="F377" s="25"/>
    </row>
    <row r="378">
      <c r="A378" s="130" t="s">
        <v>3312</v>
      </c>
      <c r="B378" s="25">
        <v>75201.0</v>
      </c>
      <c r="C378" s="27">
        <v>250.0</v>
      </c>
      <c r="D378" s="134" t="s">
        <v>25</v>
      </c>
      <c r="F378" s="25"/>
    </row>
    <row r="379">
      <c r="A379" s="130" t="s">
        <v>3330</v>
      </c>
      <c r="B379" s="25">
        <v>75211.0</v>
      </c>
      <c r="C379" s="27">
        <v>10.0</v>
      </c>
      <c r="D379" s="134" t="s">
        <v>25</v>
      </c>
      <c r="F379" s="25"/>
    </row>
    <row r="380">
      <c r="A380" s="130" t="s">
        <v>3336</v>
      </c>
      <c r="B380" s="25">
        <v>76063.0</v>
      </c>
      <c r="C380" s="27">
        <v>50.0</v>
      </c>
      <c r="D380" s="134" t="s">
        <v>25</v>
      </c>
      <c r="F380" s="25"/>
    </row>
    <row r="381">
      <c r="A381" s="130" t="s">
        <v>3371</v>
      </c>
      <c r="B381" s="25">
        <v>76112.0</v>
      </c>
      <c r="C381" s="27">
        <v>500.0</v>
      </c>
      <c r="D381" s="134" t="s">
        <v>25</v>
      </c>
      <c r="F381" s="25"/>
    </row>
    <row r="382">
      <c r="A382" s="130" t="s">
        <v>3292</v>
      </c>
      <c r="B382" s="25">
        <v>75243.0</v>
      </c>
      <c r="C382" s="27">
        <v>250.0</v>
      </c>
      <c r="D382" s="134" t="s">
        <v>25</v>
      </c>
      <c r="F382" s="25"/>
    </row>
    <row r="383">
      <c r="A383" s="130" t="s">
        <v>3312</v>
      </c>
      <c r="B383" s="25">
        <v>75201.0</v>
      </c>
      <c r="C383" s="27">
        <v>100.0</v>
      </c>
      <c r="D383" s="134" t="s">
        <v>25</v>
      </c>
      <c r="F383" s="25"/>
    </row>
    <row r="384">
      <c r="A384" s="130" t="s">
        <v>3272</v>
      </c>
      <c r="B384" s="25">
        <v>75238.0</v>
      </c>
      <c r="C384" s="27">
        <v>1000.0</v>
      </c>
      <c r="D384" s="134" t="s">
        <v>25</v>
      </c>
      <c r="F384" s="25"/>
    </row>
    <row r="385">
      <c r="A385" s="130" t="s">
        <v>3279</v>
      </c>
      <c r="B385" s="25">
        <v>75225.0</v>
      </c>
      <c r="C385" s="27">
        <v>500.0</v>
      </c>
      <c r="D385" s="134" t="s">
        <v>25</v>
      </c>
      <c r="F385" s="25"/>
    </row>
    <row r="386">
      <c r="A386" s="130" t="s">
        <v>3266</v>
      </c>
      <c r="B386" s="25">
        <v>75230.0</v>
      </c>
      <c r="C386" s="27">
        <v>5000.0</v>
      </c>
      <c r="D386" s="134" t="s">
        <v>25</v>
      </c>
      <c r="F386" s="25"/>
    </row>
    <row r="387">
      <c r="A387" s="130" t="s">
        <v>3267</v>
      </c>
      <c r="B387" s="25">
        <v>75214.0</v>
      </c>
      <c r="C387" s="27">
        <v>250.0</v>
      </c>
      <c r="D387" s="134" t="s">
        <v>25</v>
      </c>
      <c r="F387" s="25"/>
    </row>
    <row r="388">
      <c r="A388" s="130" t="s">
        <v>3266</v>
      </c>
      <c r="B388" s="25">
        <v>75230.0</v>
      </c>
      <c r="C388" s="27">
        <v>1000.0</v>
      </c>
      <c r="D388" s="134" t="s">
        <v>25</v>
      </c>
      <c r="F388" s="25"/>
    </row>
    <row r="389">
      <c r="A389" s="130" t="s">
        <v>3266</v>
      </c>
      <c r="B389" s="25">
        <v>75230.0</v>
      </c>
      <c r="C389" s="27">
        <v>1000.0</v>
      </c>
      <c r="D389" s="134" t="s">
        <v>25</v>
      </c>
      <c r="F389" s="25"/>
    </row>
    <row r="390">
      <c r="A390" s="130" t="s">
        <v>3284</v>
      </c>
      <c r="B390" s="25">
        <v>75229.0</v>
      </c>
      <c r="C390" s="27">
        <v>5000.0</v>
      </c>
      <c r="D390" s="134" t="s">
        <v>25</v>
      </c>
      <c r="F390" s="25"/>
    </row>
    <row r="391">
      <c r="A391" s="130" t="s">
        <v>3266</v>
      </c>
      <c r="B391" s="25">
        <v>75230.0</v>
      </c>
      <c r="C391" s="27">
        <v>1000.0</v>
      </c>
      <c r="D391" s="134" t="s">
        <v>25</v>
      </c>
      <c r="F391" s="25"/>
    </row>
    <row r="392">
      <c r="A392" s="130" t="s">
        <v>3279</v>
      </c>
      <c r="B392" s="25">
        <v>75225.0</v>
      </c>
      <c r="C392" s="27">
        <v>2500.0</v>
      </c>
      <c r="D392" s="134" t="s">
        <v>25</v>
      </c>
      <c r="F392" s="25"/>
    </row>
    <row r="393">
      <c r="A393" s="130" t="s">
        <v>3372</v>
      </c>
      <c r="B393" s="25">
        <v>75001.0</v>
      </c>
      <c r="C393" s="27">
        <v>500.0</v>
      </c>
      <c r="D393" s="134" t="s">
        <v>25</v>
      </c>
      <c r="F393" s="25"/>
    </row>
    <row r="394">
      <c r="A394" s="130" t="s">
        <v>3285</v>
      </c>
      <c r="B394" s="25">
        <v>75204.0</v>
      </c>
      <c r="C394" s="27">
        <v>100.0</v>
      </c>
      <c r="D394" s="134" t="s">
        <v>25</v>
      </c>
      <c r="F394" s="25"/>
    </row>
    <row r="395">
      <c r="A395" s="130" t="s">
        <v>3373</v>
      </c>
      <c r="B395" s="25">
        <v>75063.0</v>
      </c>
      <c r="C395" s="27">
        <v>1000.0</v>
      </c>
      <c r="D395" s="134" t="s">
        <v>25</v>
      </c>
      <c r="F395" s="25"/>
    </row>
    <row r="396">
      <c r="A396" s="130" t="s">
        <v>3267</v>
      </c>
      <c r="B396" s="25">
        <v>75214.0</v>
      </c>
      <c r="C396" s="27">
        <v>1000.0</v>
      </c>
      <c r="D396" s="134" t="s">
        <v>25</v>
      </c>
      <c r="F396" s="25"/>
    </row>
    <row r="397">
      <c r="A397" s="130" t="s">
        <v>3273</v>
      </c>
      <c r="B397" s="25">
        <v>75205.0</v>
      </c>
      <c r="C397" s="27">
        <v>1000.0</v>
      </c>
      <c r="D397" s="134" t="s">
        <v>25</v>
      </c>
      <c r="F397" s="25"/>
    </row>
    <row r="398">
      <c r="A398" s="130" t="s">
        <v>3374</v>
      </c>
      <c r="B398" s="25">
        <v>85268.0</v>
      </c>
      <c r="C398" s="27">
        <v>500.0</v>
      </c>
      <c r="D398" s="134" t="s">
        <v>25</v>
      </c>
      <c r="F398" s="25"/>
    </row>
    <row r="399">
      <c r="A399" s="130" t="s">
        <v>3375</v>
      </c>
      <c r="B399" s="25">
        <v>30312.0</v>
      </c>
      <c r="C399" s="27">
        <v>500.0</v>
      </c>
      <c r="D399" s="134" t="s">
        <v>25</v>
      </c>
      <c r="F399" s="25"/>
    </row>
    <row r="400">
      <c r="A400" s="130" t="s">
        <v>3321</v>
      </c>
      <c r="B400" s="25">
        <v>75209.0</v>
      </c>
      <c r="C400" s="27">
        <v>500.0</v>
      </c>
      <c r="D400" s="134" t="s">
        <v>25</v>
      </c>
      <c r="F400" s="25"/>
    </row>
    <row r="401">
      <c r="A401" s="130" t="s">
        <v>3312</v>
      </c>
      <c r="B401" s="25">
        <v>75201.0</v>
      </c>
      <c r="C401" s="27">
        <v>5000.0</v>
      </c>
      <c r="D401" s="134" t="s">
        <v>25</v>
      </c>
      <c r="F401" s="25"/>
    </row>
    <row r="402">
      <c r="A402" s="130" t="s">
        <v>3292</v>
      </c>
      <c r="B402" s="25">
        <v>75243.0</v>
      </c>
      <c r="C402" s="27">
        <v>250.0</v>
      </c>
      <c r="D402" s="134" t="s">
        <v>25</v>
      </c>
      <c r="F402" s="25"/>
    </row>
    <row r="403">
      <c r="A403" s="130" t="s">
        <v>3280</v>
      </c>
      <c r="B403" s="25">
        <v>75252.0</v>
      </c>
      <c r="C403" s="27">
        <v>500.0</v>
      </c>
      <c r="D403" s="134" t="s">
        <v>25</v>
      </c>
      <c r="F403" s="25"/>
    </row>
    <row r="404">
      <c r="A404" s="130" t="s">
        <v>3285</v>
      </c>
      <c r="B404" s="25">
        <v>75204.0</v>
      </c>
      <c r="C404" s="27">
        <v>250.0</v>
      </c>
      <c r="D404" s="134" t="s">
        <v>25</v>
      </c>
      <c r="F404" s="25"/>
    </row>
    <row r="405">
      <c r="A405" s="130" t="s">
        <v>3290</v>
      </c>
      <c r="B405" s="25">
        <v>75240.0</v>
      </c>
      <c r="C405" s="27">
        <v>250.0</v>
      </c>
      <c r="D405" s="134" t="s">
        <v>25</v>
      </c>
      <c r="F405" s="25"/>
    </row>
    <row r="406">
      <c r="A406" s="130" t="s">
        <v>3267</v>
      </c>
      <c r="B406" s="25">
        <v>75214.0</v>
      </c>
      <c r="C406" s="27">
        <v>500.0</v>
      </c>
      <c r="D406" s="134" t="s">
        <v>25</v>
      </c>
      <c r="F406" s="25"/>
    </row>
    <row r="407">
      <c r="A407" s="130" t="s">
        <v>3280</v>
      </c>
      <c r="B407" s="25">
        <v>75252.0</v>
      </c>
      <c r="C407" s="27">
        <v>35.0</v>
      </c>
      <c r="D407" s="134" t="s">
        <v>25</v>
      </c>
      <c r="F407" s="25"/>
    </row>
    <row r="408">
      <c r="A408" s="130" t="s">
        <v>3266</v>
      </c>
      <c r="B408" s="25">
        <v>75230.0</v>
      </c>
      <c r="C408" s="27">
        <v>500.0</v>
      </c>
      <c r="D408" s="134" t="s">
        <v>25</v>
      </c>
      <c r="F408" s="25"/>
    </row>
    <row r="409">
      <c r="A409" s="130" t="s">
        <v>3267</v>
      </c>
      <c r="B409" s="25">
        <v>75214.0</v>
      </c>
      <c r="C409" s="27">
        <v>250.0</v>
      </c>
      <c r="D409" s="134" t="s">
        <v>25</v>
      </c>
      <c r="F409" s="25"/>
    </row>
    <row r="410">
      <c r="A410" s="130" t="s">
        <v>3289</v>
      </c>
      <c r="B410" s="25">
        <v>75219.0</v>
      </c>
      <c r="C410" s="27">
        <v>1000.0</v>
      </c>
      <c r="D410" s="134" t="s">
        <v>25</v>
      </c>
      <c r="F410" s="25"/>
    </row>
    <row r="411">
      <c r="A411" s="130" t="s">
        <v>3312</v>
      </c>
      <c r="B411" s="25">
        <v>75201.0</v>
      </c>
      <c r="C411" s="27">
        <v>1000.0</v>
      </c>
      <c r="D411" s="134" t="s">
        <v>25</v>
      </c>
      <c r="F411" s="25"/>
    </row>
    <row r="412">
      <c r="A412" s="130" t="s">
        <v>3376</v>
      </c>
      <c r="B412" s="25">
        <v>22308.0</v>
      </c>
      <c r="C412" s="27">
        <v>100.0</v>
      </c>
      <c r="D412" s="134" t="s">
        <v>25</v>
      </c>
      <c r="F412" s="25"/>
    </row>
    <row r="413">
      <c r="A413" s="130" t="s">
        <v>3312</v>
      </c>
      <c r="B413" s="25">
        <v>75201.0</v>
      </c>
      <c r="C413" s="27">
        <v>1000.0</v>
      </c>
      <c r="D413" s="134" t="s">
        <v>25</v>
      </c>
      <c r="F413" s="25"/>
    </row>
    <row r="414">
      <c r="A414" s="130" t="s">
        <v>3266</v>
      </c>
      <c r="B414" s="25">
        <v>75230.0</v>
      </c>
      <c r="C414" s="27">
        <v>100.0</v>
      </c>
      <c r="D414" s="134" t="s">
        <v>25</v>
      </c>
      <c r="F414" s="25"/>
    </row>
    <row r="415">
      <c r="A415" s="130" t="s">
        <v>3273</v>
      </c>
      <c r="B415" s="25">
        <v>75205.0</v>
      </c>
      <c r="C415" s="27">
        <v>2500.0</v>
      </c>
      <c r="D415" s="134" t="s">
        <v>25</v>
      </c>
      <c r="F415" s="25"/>
    </row>
    <row r="416">
      <c r="A416" s="130" t="s">
        <v>3312</v>
      </c>
      <c r="B416" s="25">
        <v>75201.0</v>
      </c>
      <c r="C416" s="27">
        <v>5000.0</v>
      </c>
      <c r="D416" s="134" t="s">
        <v>21</v>
      </c>
      <c r="F416" s="25"/>
    </row>
    <row r="417">
      <c r="A417" s="130" t="s">
        <v>3312</v>
      </c>
      <c r="B417" s="25">
        <v>75201.0</v>
      </c>
      <c r="C417" s="27">
        <v>5000.0</v>
      </c>
      <c r="D417" s="134" t="s">
        <v>21</v>
      </c>
      <c r="F417" s="25"/>
    </row>
    <row r="418">
      <c r="A418" s="130" t="s">
        <v>3273</v>
      </c>
      <c r="B418" s="25">
        <v>75205.0</v>
      </c>
      <c r="C418" s="27">
        <v>1000.0</v>
      </c>
      <c r="D418" s="134" t="s">
        <v>21</v>
      </c>
      <c r="F418" s="25"/>
    </row>
    <row r="419">
      <c r="A419" s="130" t="s">
        <v>3281</v>
      </c>
      <c r="B419" s="25">
        <v>75218.0</v>
      </c>
      <c r="C419" s="27">
        <v>250.0</v>
      </c>
      <c r="D419" s="134" t="s">
        <v>21</v>
      </c>
      <c r="F419" s="25"/>
    </row>
    <row r="420">
      <c r="A420" s="130" t="s">
        <v>3279</v>
      </c>
      <c r="B420" s="25">
        <v>75225.0</v>
      </c>
      <c r="C420" s="27">
        <v>100.0</v>
      </c>
      <c r="D420" s="134" t="s">
        <v>30</v>
      </c>
      <c r="F420" s="25"/>
    </row>
    <row r="421">
      <c r="A421" s="130" t="s">
        <v>3279</v>
      </c>
      <c r="B421" s="25">
        <v>75225.0</v>
      </c>
      <c r="C421" s="27">
        <v>500.0</v>
      </c>
      <c r="D421" s="134" t="s">
        <v>30</v>
      </c>
      <c r="F421" s="25"/>
    </row>
    <row r="422">
      <c r="A422" s="130" t="s">
        <v>3301</v>
      </c>
      <c r="B422" s="25">
        <v>75220.0</v>
      </c>
      <c r="C422" s="27">
        <v>360.0</v>
      </c>
      <c r="D422" s="134" t="s">
        <v>30</v>
      </c>
      <c r="F422" s="25"/>
    </row>
    <row r="423">
      <c r="A423" s="130" t="s">
        <v>3340</v>
      </c>
      <c r="B423" s="25">
        <v>75244.0</v>
      </c>
      <c r="C423" s="27">
        <v>100.0</v>
      </c>
      <c r="D423" s="134" t="s">
        <v>30</v>
      </c>
      <c r="F423" s="25"/>
    </row>
    <row r="424">
      <c r="A424" s="130" t="s">
        <v>3266</v>
      </c>
      <c r="B424" s="25">
        <v>75230.0</v>
      </c>
      <c r="C424" s="27">
        <v>100.0</v>
      </c>
      <c r="D424" s="134" t="s">
        <v>30</v>
      </c>
      <c r="F424" s="25"/>
    </row>
    <row r="425">
      <c r="A425" s="130" t="s">
        <v>3321</v>
      </c>
      <c r="B425" s="25">
        <v>75209.0</v>
      </c>
      <c r="C425" s="27">
        <v>300.0</v>
      </c>
      <c r="D425" s="134" t="s">
        <v>30</v>
      </c>
      <c r="F425" s="25"/>
    </row>
    <row r="426">
      <c r="A426" s="130" t="s">
        <v>3340</v>
      </c>
      <c r="B426" s="25">
        <v>75244.0</v>
      </c>
      <c r="C426" s="27">
        <v>200.0</v>
      </c>
      <c r="D426" s="134" t="s">
        <v>30</v>
      </c>
      <c r="F426" s="25"/>
    </row>
    <row r="427">
      <c r="A427" s="130" t="s">
        <v>3279</v>
      </c>
      <c r="B427" s="25">
        <v>75225.0</v>
      </c>
      <c r="C427" s="27">
        <v>500.0</v>
      </c>
      <c r="D427" s="134" t="s">
        <v>30</v>
      </c>
      <c r="F427" s="25"/>
    </row>
    <row r="428">
      <c r="A428" s="130" t="s">
        <v>3301</v>
      </c>
      <c r="B428" s="25">
        <v>75220.0</v>
      </c>
      <c r="C428" s="27">
        <v>150.0</v>
      </c>
      <c r="D428" s="134" t="s">
        <v>30</v>
      </c>
      <c r="F428" s="25"/>
    </row>
    <row r="429">
      <c r="A429" s="130" t="s">
        <v>3321</v>
      </c>
      <c r="B429" s="25">
        <v>75209.0</v>
      </c>
      <c r="C429" s="27">
        <v>100.0</v>
      </c>
      <c r="D429" s="134" t="s">
        <v>30</v>
      </c>
      <c r="F429" s="25"/>
    </row>
    <row r="430">
      <c r="A430" s="130" t="s">
        <v>3279</v>
      </c>
      <c r="B430" s="25">
        <v>75225.0</v>
      </c>
      <c r="C430" s="27">
        <v>100.0</v>
      </c>
      <c r="D430" s="134" t="s">
        <v>30</v>
      </c>
      <c r="F430" s="25"/>
    </row>
    <row r="431">
      <c r="A431" s="130" t="s">
        <v>3314</v>
      </c>
      <c r="B431" s="25">
        <v>75231.0</v>
      </c>
      <c r="C431" s="27">
        <v>500.0</v>
      </c>
      <c r="D431" s="134" t="s">
        <v>30</v>
      </c>
      <c r="F431" s="25"/>
    </row>
    <row r="432">
      <c r="A432" s="130" t="s">
        <v>3314</v>
      </c>
      <c r="B432" s="25">
        <v>75231.0</v>
      </c>
      <c r="C432" s="27">
        <v>10.0</v>
      </c>
      <c r="D432" s="134" t="s">
        <v>30</v>
      </c>
      <c r="F432" s="25"/>
    </row>
    <row r="433">
      <c r="A433" s="130" t="s">
        <v>3340</v>
      </c>
      <c r="B433" s="25">
        <v>75244.0</v>
      </c>
      <c r="C433" s="27">
        <v>100.0</v>
      </c>
      <c r="D433" s="134" t="s">
        <v>30</v>
      </c>
      <c r="F433" s="25"/>
    </row>
    <row r="434">
      <c r="A434" s="130" t="s">
        <v>3321</v>
      </c>
      <c r="B434" s="25">
        <v>75209.0</v>
      </c>
      <c r="C434" s="27">
        <v>100.0</v>
      </c>
      <c r="D434" s="134" t="s">
        <v>30</v>
      </c>
      <c r="F434" s="25"/>
    </row>
    <row r="435">
      <c r="A435" s="130" t="s">
        <v>3284</v>
      </c>
      <c r="B435" s="25">
        <v>75229.0</v>
      </c>
      <c r="C435" s="27">
        <v>300.0</v>
      </c>
      <c r="D435" s="134" t="s">
        <v>30</v>
      </c>
      <c r="F435" s="25"/>
    </row>
    <row r="436">
      <c r="A436" s="130" t="s">
        <v>3279</v>
      </c>
      <c r="B436" s="25">
        <v>75225.0</v>
      </c>
      <c r="C436" s="27">
        <v>1000.0</v>
      </c>
      <c r="D436" s="134" t="s">
        <v>30</v>
      </c>
      <c r="F436" s="25"/>
    </row>
    <row r="437">
      <c r="A437" s="130" t="s">
        <v>3321</v>
      </c>
      <c r="B437" s="25">
        <v>75209.0</v>
      </c>
      <c r="C437" s="27">
        <v>500.0</v>
      </c>
      <c r="D437" s="134" t="s">
        <v>30</v>
      </c>
      <c r="F437" s="25"/>
    </row>
    <row r="438">
      <c r="A438" s="130" t="s">
        <v>3314</v>
      </c>
      <c r="B438" s="25">
        <v>75231.0</v>
      </c>
      <c r="C438" s="27">
        <v>100.0</v>
      </c>
      <c r="D438" s="134" t="s">
        <v>30</v>
      </c>
      <c r="F438" s="25"/>
    </row>
    <row r="439">
      <c r="A439" s="130" t="s">
        <v>3321</v>
      </c>
      <c r="B439" s="25">
        <v>75209.0</v>
      </c>
      <c r="C439" s="27">
        <v>1000.0</v>
      </c>
      <c r="D439" s="134" t="s">
        <v>30</v>
      </c>
      <c r="F439" s="25"/>
    </row>
    <row r="440">
      <c r="A440" s="130" t="s">
        <v>3284</v>
      </c>
      <c r="B440" s="25">
        <v>75229.0</v>
      </c>
      <c r="C440" s="27">
        <v>50.0</v>
      </c>
      <c r="D440" s="134" t="s">
        <v>30</v>
      </c>
      <c r="F440" s="25"/>
    </row>
    <row r="441">
      <c r="A441" s="130" t="s">
        <v>3279</v>
      </c>
      <c r="B441" s="25">
        <v>75225.0</v>
      </c>
      <c r="C441" s="27">
        <v>25.0</v>
      </c>
      <c r="D441" s="134" t="s">
        <v>30</v>
      </c>
      <c r="F441" s="25"/>
    </row>
    <row r="442">
      <c r="A442" s="130" t="s">
        <v>3266</v>
      </c>
      <c r="B442" s="25">
        <v>75230.0</v>
      </c>
      <c r="C442" s="27">
        <v>100.0</v>
      </c>
      <c r="D442" s="134" t="s">
        <v>30</v>
      </c>
      <c r="F442" s="25"/>
    </row>
    <row r="443">
      <c r="A443" s="130" t="s">
        <v>3340</v>
      </c>
      <c r="B443" s="25">
        <v>75244.0</v>
      </c>
      <c r="C443" s="27">
        <v>250.0</v>
      </c>
      <c r="D443" s="134" t="s">
        <v>30</v>
      </c>
      <c r="F443" s="25"/>
    </row>
    <row r="444">
      <c r="A444" s="130" t="s">
        <v>3284</v>
      </c>
      <c r="B444" s="25">
        <v>75229.0</v>
      </c>
      <c r="C444" s="27">
        <v>250.0</v>
      </c>
      <c r="D444" s="134" t="s">
        <v>30</v>
      </c>
      <c r="F444" s="25"/>
    </row>
    <row r="445">
      <c r="A445" s="130" t="s">
        <v>3273</v>
      </c>
      <c r="B445" s="25">
        <v>75205.0</v>
      </c>
      <c r="C445" s="27">
        <v>50.0</v>
      </c>
      <c r="D445" s="134" t="s">
        <v>30</v>
      </c>
      <c r="F445" s="25"/>
    </row>
    <row r="446">
      <c r="A446" s="130" t="s">
        <v>3284</v>
      </c>
      <c r="B446" s="25">
        <v>75229.0</v>
      </c>
      <c r="C446" s="27">
        <v>100.0</v>
      </c>
      <c r="D446" s="134" t="s">
        <v>30</v>
      </c>
      <c r="F446" s="25"/>
    </row>
    <row r="447">
      <c r="A447" s="130" t="s">
        <v>3284</v>
      </c>
      <c r="B447" s="25">
        <v>75229.0</v>
      </c>
      <c r="C447" s="27">
        <v>2500.0</v>
      </c>
      <c r="D447" s="134" t="s">
        <v>30</v>
      </c>
      <c r="F447" s="25"/>
    </row>
    <row r="448">
      <c r="A448" s="130" t="s">
        <v>3321</v>
      </c>
      <c r="B448" s="25">
        <v>75209.0</v>
      </c>
      <c r="C448" s="27">
        <v>200.0</v>
      </c>
      <c r="D448" s="134" t="s">
        <v>30</v>
      </c>
      <c r="F448" s="25"/>
    </row>
    <row r="449">
      <c r="A449" s="130" t="s">
        <v>3284</v>
      </c>
      <c r="B449" s="25">
        <v>75229.0</v>
      </c>
      <c r="C449" s="27">
        <v>500.0</v>
      </c>
      <c r="D449" s="134" t="s">
        <v>30</v>
      </c>
      <c r="F449" s="25"/>
    </row>
    <row r="450">
      <c r="A450" s="130" t="s">
        <v>3285</v>
      </c>
      <c r="B450" s="25">
        <v>75204.0</v>
      </c>
      <c r="C450" s="27">
        <v>100.0</v>
      </c>
      <c r="D450" s="134" t="s">
        <v>30</v>
      </c>
      <c r="F450" s="25"/>
    </row>
    <row r="451">
      <c r="A451" s="130" t="s">
        <v>3314</v>
      </c>
      <c r="B451" s="25">
        <v>75231.0</v>
      </c>
      <c r="C451" s="27">
        <v>100.0</v>
      </c>
      <c r="D451" s="134" t="s">
        <v>30</v>
      </c>
      <c r="F451" s="25"/>
    </row>
    <row r="452">
      <c r="A452" s="130" t="s">
        <v>3279</v>
      </c>
      <c r="B452" s="25">
        <v>75225.0</v>
      </c>
      <c r="C452" s="27">
        <v>1000.0</v>
      </c>
      <c r="D452" s="134" t="s">
        <v>30</v>
      </c>
      <c r="F452" s="25"/>
    </row>
    <row r="453">
      <c r="A453" s="130" t="s">
        <v>3279</v>
      </c>
      <c r="B453" s="25">
        <v>75225.0</v>
      </c>
      <c r="C453" s="27">
        <v>100.0</v>
      </c>
      <c r="D453" s="134" t="s">
        <v>30</v>
      </c>
      <c r="F453" s="25"/>
    </row>
    <row r="454">
      <c r="A454" s="130" t="s">
        <v>3321</v>
      </c>
      <c r="B454" s="25">
        <v>75209.0</v>
      </c>
      <c r="C454" s="27">
        <v>100.0</v>
      </c>
      <c r="D454" s="134" t="s">
        <v>30</v>
      </c>
      <c r="F454" s="25"/>
    </row>
    <row r="455">
      <c r="A455" s="130" t="s">
        <v>3284</v>
      </c>
      <c r="B455" s="25">
        <v>75229.0</v>
      </c>
      <c r="C455" s="27">
        <v>50.0</v>
      </c>
      <c r="D455" s="134" t="s">
        <v>30</v>
      </c>
      <c r="F455" s="25"/>
    </row>
    <row r="456">
      <c r="A456" s="130" t="s">
        <v>3301</v>
      </c>
      <c r="B456" s="25">
        <v>75220.0</v>
      </c>
      <c r="C456" s="27">
        <v>250.0</v>
      </c>
      <c r="D456" s="134" t="s">
        <v>30</v>
      </c>
      <c r="F456" s="25"/>
    </row>
    <row r="457">
      <c r="A457" s="130" t="s">
        <v>3349</v>
      </c>
      <c r="B457" s="25">
        <v>75376.0</v>
      </c>
      <c r="C457" s="27">
        <v>250.0</v>
      </c>
      <c r="D457" s="134" t="s">
        <v>30</v>
      </c>
      <c r="F457" s="25"/>
    </row>
    <row r="458">
      <c r="A458" s="130" t="s">
        <v>3321</v>
      </c>
      <c r="B458" s="25">
        <v>75209.0</v>
      </c>
      <c r="C458" s="27">
        <v>100.0</v>
      </c>
      <c r="D458" s="134" t="s">
        <v>30</v>
      </c>
      <c r="F458" s="25"/>
    </row>
    <row r="459">
      <c r="A459" s="130" t="s">
        <v>3279</v>
      </c>
      <c r="B459" s="25">
        <v>75225.0</v>
      </c>
      <c r="C459" s="27">
        <v>100.0</v>
      </c>
      <c r="D459" s="134" t="s">
        <v>30</v>
      </c>
      <c r="F459" s="25"/>
    </row>
    <row r="460">
      <c r="A460" s="130" t="s">
        <v>3321</v>
      </c>
      <c r="B460" s="25">
        <v>75209.0</v>
      </c>
      <c r="C460" s="27">
        <v>50.0</v>
      </c>
      <c r="D460" s="134" t="s">
        <v>30</v>
      </c>
      <c r="F460" s="25"/>
    </row>
    <row r="461">
      <c r="A461" s="130" t="s">
        <v>3284</v>
      </c>
      <c r="B461" s="25">
        <v>75229.0</v>
      </c>
      <c r="C461" s="27">
        <v>30.0</v>
      </c>
      <c r="D461" s="134" t="s">
        <v>30</v>
      </c>
      <c r="F461" s="25"/>
    </row>
    <row r="462">
      <c r="A462" s="130" t="s">
        <v>3314</v>
      </c>
      <c r="B462" s="25">
        <v>75231.0</v>
      </c>
      <c r="C462" s="27">
        <v>10.0</v>
      </c>
      <c r="D462" s="134" t="s">
        <v>30</v>
      </c>
      <c r="F462" s="25"/>
    </row>
    <row r="463">
      <c r="A463" s="130" t="s">
        <v>3284</v>
      </c>
      <c r="B463" s="25">
        <v>75229.0</v>
      </c>
      <c r="C463" s="27">
        <v>100.0</v>
      </c>
      <c r="D463" s="134" t="s">
        <v>30</v>
      </c>
      <c r="F463" s="25"/>
    </row>
    <row r="464">
      <c r="A464" s="130" t="s">
        <v>3300</v>
      </c>
      <c r="B464" s="25">
        <v>75228.0</v>
      </c>
      <c r="C464" s="27">
        <v>250.0</v>
      </c>
      <c r="D464" s="134" t="s">
        <v>30</v>
      </c>
      <c r="F464" s="25"/>
    </row>
    <row r="465">
      <c r="A465" s="130" t="s">
        <v>3284</v>
      </c>
      <c r="B465" s="25">
        <v>75229.0</v>
      </c>
      <c r="C465" s="27">
        <v>100.0</v>
      </c>
      <c r="D465" s="134" t="s">
        <v>30</v>
      </c>
      <c r="F465" s="25"/>
    </row>
    <row r="466">
      <c r="A466" s="130" t="s">
        <v>3275</v>
      </c>
      <c r="B466" s="25">
        <v>75207.0</v>
      </c>
      <c r="C466" s="27">
        <v>1000.0</v>
      </c>
      <c r="D466" s="134" t="s">
        <v>30</v>
      </c>
      <c r="F466" s="25"/>
    </row>
    <row r="467">
      <c r="A467" s="130" t="s">
        <v>3266</v>
      </c>
      <c r="B467" s="25">
        <v>75230.0</v>
      </c>
      <c r="C467" s="27">
        <v>30.0</v>
      </c>
      <c r="D467" s="134" t="s">
        <v>30</v>
      </c>
      <c r="F467" s="25"/>
    </row>
    <row r="468">
      <c r="A468" s="130" t="s">
        <v>3266</v>
      </c>
      <c r="B468" s="25">
        <v>75230.0</v>
      </c>
      <c r="C468" s="27">
        <v>1000.0</v>
      </c>
      <c r="D468" s="134" t="s">
        <v>30</v>
      </c>
      <c r="F468" s="25"/>
    </row>
    <row r="469">
      <c r="A469" s="130" t="s">
        <v>3312</v>
      </c>
      <c r="B469" s="25">
        <v>75201.0</v>
      </c>
      <c r="C469" s="27">
        <v>1000.0</v>
      </c>
      <c r="D469" s="134" t="s">
        <v>30</v>
      </c>
      <c r="F469" s="25"/>
    </row>
    <row r="470">
      <c r="A470" s="130" t="s">
        <v>3321</v>
      </c>
      <c r="B470" s="25">
        <v>75209.0</v>
      </c>
      <c r="C470" s="27">
        <v>50.0</v>
      </c>
      <c r="D470" s="134" t="s">
        <v>30</v>
      </c>
      <c r="F470" s="25"/>
    </row>
    <row r="471">
      <c r="A471" s="130" t="s">
        <v>3302</v>
      </c>
      <c r="B471" s="25">
        <v>75226.0</v>
      </c>
      <c r="C471" s="27">
        <v>250.0</v>
      </c>
      <c r="D471" s="134" t="s">
        <v>24</v>
      </c>
      <c r="F471" s="25"/>
    </row>
    <row r="472">
      <c r="A472" s="130" t="s">
        <v>3300</v>
      </c>
      <c r="B472" s="25">
        <v>75228.0</v>
      </c>
      <c r="C472" s="27">
        <v>250.0</v>
      </c>
      <c r="D472" s="134" t="s">
        <v>24</v>
      </c>
      <c r="F472" s="25"/>
    </row>
    <row r="473">
      <c r="A473" s="130" t="s">
        <v>3300</v>
      </c>
      <c r="B473" s="25">
        <v>75228.0</v>
      </c>
      <c r="C473" s="27">
        <v>250.0</v>
      </c>
      <c r="D473" s="134" t="s">
        <v>24</v>
      </c>
      <c r="F473" s="25"/>
    </row>
    <row r="474">
      <c r="A474" s="130" t="s">
        <v>3377</v>
      </c>
      <c r="B474" s="25">
        <v>75367.0</v>
      </c>
      <c r="C474" s="27">
        <v>1000.0</v>
      </c>
      <c r="D474" s="134" t="s">
        <v>24</v>
      </c>
      <c r="F474" s="25"/>
    </row>
    <row r="475">
      <c r="A475" s="130" t="s">
        <v>3282</v>
      </c>
      <c r="B475" s="25">
        <v>75208.0</v>
      </c>
      <c r="C475" s="27">
        <v>1000.0</v>
      </c>
      <c r="D475" s="134" t="s">
        <v>24</v>
      </c>
      <c r="F475" s="25"/>
    </row>
    <row r="476">
      <c r="A476" s="130" t="s">
        <v>3300</v>
      </c>
      <c r="B476" s="25">
        <v>75228.0</v>
      </c>
      <c r="C476" s="27">
        <v>75.0</v>
      </c>
      <c r="D476" s="134" t="s">
        <v>24</v>
      </c>
      <c r="F476" s="25"/>
    </row>
    <row r="477">
      <c r="A477" s="130" t="s">
        <v>3302</v>
      </c>
      <c r="B477" s="25">
        <v>75226.0</v>
      </c>
      <c r="C477" s="27">
        <v>500.0</v>
      </c>
      <c r="D477" s="134" t="s">
        <v>24</v>
      </c>
      <c r="F477" s="25"/>
    </row>
    <row r="478">
      <c r="A478" s="130" t="s">
        <v>3321</v>
      </c>
      <c r="B478" s="25">
        <v>75209.0</v>
      </c>
      <c r="C478" s="27">
        <v>500.0</v>
      </c>
      <c r="D478" s="134" t="s">
        <v>24</v>
      </c>
      <c r="F478" s="25"/>
    </row>
    <row r="479">
      <c r="A479" s="130" t="s">
        <v>3281</v>
      </c>
      <c r="B479" s="25">
        <v>75218.0</v>
      </c>
      <c r="C479" s="27">
        <v>500.0</v>
      </c>
      <c r="D479" s="134" t="s">
        <v>24</v>
      </c>
      <c r="F479" s="25"/>
    </row>
    <row r="480">
      <c r="A480" s="130" t="s">
        <v>3273</v>
      </c>
      <c r="B480" s="25">
        <v>75205.0</v>
      </c>
      <c r="C480" s="27">
        <v>1000.0</v>
      </c>
      <c r="D480" s="134" t="s">
        <v>24</v>
      </c>
      <c r="F480" s="25"/>
    </row>
    <row r="481">
      <c r="A481" s="130" t="s">
        <v>3273</v>
      </c>
      <c r="B481" s="25">
        <v>75205.0</v>
      </c>
      <c r="C481" s="27">
        <v>1000.0</v>
      </c>
      <c r="D481" s="134" t="s">
        <v>24</v>
      </c>
      <c r="F481" s="25"/>
    </row>
    <row r="482">
      <c r="A482" s="130" t="s">
        <v>3273</v>
      </c>
      <c r="B482" s="25">
        <v>75205.0</v>
      </c>
      <c r="C482" s="27">
        <v>1000.0</v>
      </c>
      <c r="D482" s="134" t="s">
        <v>24</v>
      </c>
      <c r="F482" s="25"/>
    </row>
    <row r="483">
      <c r="A483" s="130" t="s">
        <v>3284</v>
      </c>
      <c r="B483" s="25">
        <v>75229.0</v>
      </c>
      <c r="C483" s="27">
        <v>500.0</v>
      </c>
      <c r="D483" s="134" t="s">
        <v>24</v>
      </c>
      <c r="F483" s="25"/>
    </row>
    <row r="484">
      <c r="A484" s="130" t="s">
        <v>3325</v>
      </c>
      <c r="B484" s="25">
        <v>75223.0</v>
      </c>
      <c r="C484" s="27">
        <v>250.0</v>
      </c>
      <c r="D484" s="134" t="s">
        <v>24</v>
      </c>
      <c r="F484" s="25"/>
    </row>
    <row r="485">
      <c r="A485" s="130" t="s">
        <v>3273</v>
      </c>
      <c r="B485" s="25">
        <v>75205.0</v>
      </c>
      <c r="C485" s="27">
        <v>500.0</v>
      </c>
      <c r="D485" s="134" t="s">
        <v>24</v>
      </c>
      <c r="F485" s="25"/>
    </row>
    <row r="486">
      <c r="A486" s="130" t="s">
        <v>3281</v>
      </c>
      <c r="B486" s="25">
        <v>75218.0</v>
      </c>
      <c r="C486" s="27">
        <v>250.0</v>
      </c>
      <c r="D486" s="134" t="s">
        <v>24</v>
      </c>
      <c r="F486" s="25"/>
    </row>
    <row r="487">
      <c r="A487" s="130" t="s">
        <v>3279</v>
      </c>
      <c r="B487" s="25">
        <v>75225.0</v>
      </c>
      <c r="C487" s="27">
        <v>500.0</v>
      </c>
      <c r="D487" s="134" t="s">
        <v>24</v>
      </c>
      <c r="F487" s="25"/>
    </row>
    <row r="488">
      <c r="A488" s="130" t="s">
        <v>3312</v>
      </c>
      <c r="B488" s="25">
        <v>75201.0</v>
      </c>
      <c r="C488" s="27">
        <v>100.0</v>
      </c>
      <c r="D488" s="134" t="s">
        <v>24</v>
      </c>
      <c r="F488" s="25"/>
    </row>
    <row r="489">
      <c r="A489" s="130" t="s">
        <v>3267</v>
      </c>
      <c r="B489" s="25">
        <v>75214.0</v>
      </c>
      <c r="C489" s="27">
        <v>25.0</v>
      </c>
      <c r="D489" s="134" t="s">
        <v>24</v>
      </c>
      <c r="F489" s="25"/>
    </row>
    <row r="490">
      <c r="A490" s="130" t="s">
        <v>3378</v>
      </c>
      <c r="B490" s="25">
        <v>75219.0</v>
      </c>
      <c r="C490" s="27">
        <v>500.0</v>
      </c>
      <c r="D490" s="134" t="s">
        <v>24</v>
      </c>
      <c r="F490" s="25"/>
    </row>
    <row r="491">
      <c r="A491" s="130" t="s">
        <v>3279</v>
      </c>
      <c r="B491" s="25">
        <v>75225.0</v>
      </c>
      <c r="C491" s="27">
        <v>350.0</v>
      </c>
      <c r="D491" s="134" t="s">
        <v>24</v>
      </c>
      <c r="F491" s="25"/>
    </row>
    <row r="492">
      <c r="A492" s="130" t="s">
        <v>3270</v>
      </c>
      <c r="B492" s="25">
        <v>75206.0</v>
      </c>
      <c r="C492" s="27">
        <v>250.0</v>
      </c>
      <c r="D492" s="134" t="s">
        <v>24</v>
      </c>
      <c r="F492" s="25"/>
    </row>
    <row r="493">
      <c r="A493" s="130" t="s">
        <v>3278</v>
      </c>
      <c r="B493" s="25">
        <v>75248.0</v>
      </c>
      <c r="C493" s="27">
        <v>100.0</v>
      </c>
      <c r="D493" s="134" t="s">
        <v>24</v>
      </c>
      <c r="F493" s="25"/>
    </row>
    <row r="494">
      <c r="A494" s="130" t="s">
        <v>3267</v>
      </c>
      <c r="B494" s="25">
        <v>75214.0</v>
      </c>
      <c r="C494" s="27">
        <v>100.0</v>
      </c>
      <c r="D494" s="134" t="s">
        <v>24</v>
      </c>
      <c r="F494" s="25"/>
    </row>
    <row r="495">
      <c r="A495" s="130" t="s">
        <v>3266</v>
      </c>
      <c r="B495" s="25">
        <v>75230.0</v>
      </c>
      <c r="C495" s="27">
        <v>1000.0</v>
      </c>
      <c r="D495" s="134" t="s">
        <v>24</v>
      </c>
      <c r="F495" s="25"/>
    </row>
    <row r="496">
      <c r="A496" s="130" t="s">
        <v>3267</v>
      </c>
      <c r="B496" s="25">
        <v>75214.0</v>
      </c>
      <c r="C496" s="27">
        <v>100.0</v>
      </c>
      <c r="D496" s="134" t="s">
        <v>24</v>
      </c>
      <c r="F496" s="25"/>
    </row>
    <row r="497">
      <c r="A497" s="130" t="s">
        <v>3267</v>
      </c>
      <c r="B497" s="25">
        <v>75214.0</v>
      </c>
      <c r="C497" s="27">
        <v>250.0</v>
      </c>
      <c r="D497" s="134" t="s">
        <v>24</v>
      </c>
      <c r="F497" s="25"/>
    </row>
    <row r="498">
      <c r="A498" s="130" t="s">
        <v>3267</v>
      </c>
      <c r="B498" s="25">
        <v>75214.0</v>
      </c>
      <c r="C498" s="27">
        <v>50.0</v>
      </c>
      <c r="D498" s="134" t="s">
        <v>24</v>
      </c>
      <c r="F498" s="25"/>
    </row>
    <row r="499">
      <c r="A499" s="130" t="s">
        <v>3312</v>
      </c>
      <c r="B499" s="25">
        <v>75201.0</v>
      </c>
      <c r="C499" s="27">
        <v>150.0</v>
      </c>
      <c r="D499" s="134" t="s">
        <v>24</v>
      </c>
      <c r="F499" s="25"/>
    </row>
    <row r="500">
      <c r="A500" s="130" t="s">
        <v>3379</v>
      </c>
      <c r="B500" s="25">
        <v>77021.0</v>
      </c>
      <c r="C500" s="27">
        <v>1000.0</v>
      </c>
      <c r="D500" s="134" t="s">
        <v>24</v>
      </c>
      <c r="F500" s="25"/>
    </row>
    <row r="501">
      <c r="A501" s="130" t="s">
        <v>3281</v>
      </c>
      <c r="B501" s="25">
        <v>75218.0</v>
      </c>
      <c r="C501" s="27">
        <v>100.0</v>
      </c>
      <c r="D501" s="134" t="s">
        <v>24</v>
      </c>
      <c r="F501" s="25"/>
    </row>
    <row r="502">
      <c r="A502" s="130" t="s">
        <v>3302</v>
      </c>
      <c r="B502" s="25">
        <v>75226.0</v>
      </c>
      <c r="C502" s="27">
        <v>500.0</v>
      </c>
      <c r="D502" s="134" t="s">
        <v>24</v>
      </c>
      <c r="F502" s="25"/>
    </row>
    <row r="503">
      <c r="A503" s="130" t="s">
        <v>3281</v>
      </c>
      <c r="B503" s="25">
        <v>75218.0</v>
      </c>
      <c r="C503" s="27">
        <v>100.0</v>
      </c>
      <c r="D503" s="134" t="s">
        <v>24</v>
      </c>
      <c r="F503" s="25"/>
    </row>
    <row r="504">
      <c r="A504" s="130" t="s">
        <v>3267</v>
      </c>
      <c r="B504" s="25">
        <v>75214.0</v>
      </c>
      <c r="C504" s="27">
        <v>500.0</v>
      </c>
      <c r="D504" s="134" t="s">
        <v>24</v>
      </c>
      <c r="F504" s="25"/>
    </row>
    <row r="505">
      <c r="A505" s="130" t="s">
        <v>3267</v>
      </c>
      <c r="B505" s="25">
        <v>75214.0</v>
      </c>
      <c r="C505" s="27">
        <v>500.0</v>
      </c>
      <c r="D505" s="134" t="s">
        <v>24</v>
      </c>
      <c r="F505" s="25"/>
    </row>
    <row r="506">
      <c r="A506" s="130" t="s">
        <v>3267</v>
      </c>
      <c r="B506" s="25">
        <v>75214.0</v>
      </c>
      <c r="C506" s="27">
        <v>1000.0</v>
      </c>
      <c r="D506" s="134" t="s">
        <v>24</v>
      </c>
      <c r="F506" s="25"/>
    </row>
    <row r="507">
      <c r="A507" s="130" t="s">
        <v>3281</v>
      </c>
      <c r="B507" s="25">
        <v>75218.0</v>
      </c>
      <c r="C507" s="27">
        <v>250.0</v>
      </c>
      <c r="D507" s="134" t="s">
        <v>24</v>
      </c>
      <c r="F507" s="25"/>
    </row>
    <row r="508">
      <c r="A508" s="130" t="s">
        <v>3284</v>
      </c>
      <c r="B508" s="25">
        <v>75229.0</v>
      </c>
      <c r="C508" s="27">
        <v>1000.0</v>
      </c>
      <c r="D508" s="134" t="s">
        <v>24</v>
      </c>
      <c r="F508" s="25"/>
    </row>
    <row r="509">
      <c r="A509" s="130" t="s">
        <v>3267</v>
      </c>
      <c r="B509" s="25">
        <v>75214.0</v>
      </c>
      <c r="C509" s="27">
        <v>100.0</v>
      </c>
      <c r="D509" s="134" t="s">
        <v>24</v>
      </c>
      <c r="F509" s="25"/>
    </row>
    <row r="510">
      <c r="A510" s="130" t="s">
        <v>3270</v>
      </c>
      <c r="B510" s="25">
        <v>75206.0</v>
      </c>
      <c r="C510" s="27">
        <v>250.0</v>
      </c>
      <c r="D510" s="134" t="s">
        <v>24</v>
      </c>
      <c r="F510" s="25"/>
    </row>
    <row r="511">
      <c r="A511" s="130" t="s">
        <v>3285</v>
      </c>
      <c r="B511" s="25">
        <v>75204.0</v>
      </c>
      <c r="C511" s="27">
        <v>100.0</v>
      </c>
      <c r="D511" s="134" t="s">
        <v>24</v>
      </c>
      <c r="F511" s="25"/>
    </row>
    <row r="512">
      <c r="A512" s="130" t="s">
        <v>3267</v>
      </c>
      <c r="B512" s="25">
        <v>75214.0</v>
      </c>
      <c r="C512" s="27">
        <v>250.0</v>
      </c>
      <c r="D512" s="134" t="s">
        <v>24</v>
      </c>
      <c r="F512" s="25"/>
    </row>
    <row r="513">
      <c r="A513" s="130" t="s">
        <v>3289</v>
      </c>
      <c r="B513" s="25">
        <v>75219.0</v>
      </c>
      <c r="C513" s="27">
        <v>150.0</v>
      </c>
      <c r="D513" s="134" t="s">
        <v>24</v>
      </c>
      <c r="F513" s="25"/>
    </row>
    <row r="514">
      <c r="A514" s="130" t="s">
        <v>3267</v>
      </c>
      <c r="B514" s="25">
        <v>75214.0</v>
      </c>
      <c r="C514" s="27">
        <v>250.0</v>
      </c>
      <c r="D514" s="134" t="s">
        <v>24</v>
      </c>
      <c r="F514" s="25"/>
    </row>
    <row r="515">
      <c r="A515" s="130" t="s">
        <v>3267</v>
      </c>
      <c r="B515" s="25">
        <v>75214.0</v>
      </c>
      <c r="C515" s="27">
        <v>250.0</v>
      </c>
      <c r="D515" s="134" t="s">
        <v>24</v>
      </c>
      <c r="F515" s="25"/>
    </row>
    <row r="516">
      <c r="A516" s="130" t="s">
        <v>3267</v>
      </c>
      <c r="B516" s="25">
        <v>75214.0</v>
      </c>
      <c r="C516" s="27">
        <v>100.0</v>
      </c>
      <c r="D516" s="134" t="s">
        <v>24</v>
      </c>
      <c r="F516" s="25"/>
    </row>
    <row r="517">
      <c r="A517" s="130" t="s">
        <v>3266</v>
      </c>
      <c r="B517" s="25">
        <v>75230.0</v>
      </c>
      <c r="C517" s="27">
        <v>250.0</v>
      </c>
      <c r="D517" s="134" t="s">
        <v>24</v>
      </c>
      <c r="F517" s="25"/>
    </row>
    <row r="518">
      <c r="A518" s="130" t="s">
        <v>3267</v>
      </c>
      <c r="B518" s="25">
        <v>75214.0</v>
      </c>
      <c r="C518" s="27">
        <v>250.0</v>
      </c>
      <c r="D518" s="134" t="s">
        <v>24</v>
      </c>
      <c r="F518" s="25"/>
    </row>
    <row r="519">
      <c r="A519" s="130" t="s">
        <v>3267</v>
      </c>
      <c r="B519" s="25">
        <v>75214.0</v>
      </c>
      <c r="C519" s="27">
        <v>1000.0</v>
      </c>
      <c r="D519" s="134" t="s">
        <v>24</v>
      </c>
      <c r="F519" s="25"/>
    </row>
    <row r="520">
      <c r="A520" s="130" t="s">
        <v>3321</v>
      </c>
      <c r="B520" s="25">
        <v>75209.0</v>
      </c>
      <c r="C520" s="27">
        <v>1000.0</v>
      </c>
      <c r="D520" s="134" t="s">
        <v>24</v>
      </c>
      <c r="F520" s="25"/>
    </row>
    <row r="521">
      <c r="A521" s="130" t="s">
        <v>3266</v>
      </c>
      <c r="B521" s="25">
        <v>75230.0</v>
      </c>
      <c r="C521" s="27">
        <v>500.0</v>
      </c>
      <c r="D521" s="134" t="s">
        <v>24</v>
      </c>
      <c r="F521" s="25"/>
    </row>
    <row r="522">
      <c r="A522" s="130" t="s">
        <v>3281</v>
      </c>
      <c r="B522" s="25">
        <v>75218.0</v>
      </c>
      <c r="C522" s="27">
        <v>100.0</v>
      </c>
      <c r="D522" s="134" t="s">
        <v>24</v>
      </c>
      <c r="F522" s="25"/>
    </row>
    <row r="523">
      <c r="A523" s="130" t="s">
        <v>3267</v>
      </c>
      <c r="B523" s="25">
        <v>75214.0</v>
      </c>
      <c r="C523" s="27">
        <v>100.0</v>
      </c>
      <c r="D523" s="134" t="s">
        <v>24</v>
      </c>
      <c r="F523" s="25"/>
    </row>
    <row r="524">
      <c r="A524" s="130" t="s">
        <v>3282</v>
      </c>
      <c r="B524" s="25">
        <v>75208.0</v>
      </c>
      <c r="C524" s="27">
        <v>100.0</v>
      </c>
      <c r="D524" s="134" t="s">
        <v>24</v>
      </c>
      <c r="F524" s="25"/>
    </row>
    <row r="525">
      <c r="A525" s="130" t="s">
        <v>3325</v>
      </c>
      <c r="B525" s="25">
        <v>75223.0</v>
      </c>
      <c r="C525" s="27">
        <v>250.0</v>
      </c>
      <c r="D525" s="134" t="s">
        <v>24</v>
      </c>
      <c r="F525" s="25"/>
    </row>
    <row r="526">
      <c r="A526" s="130" t="s">
        <v>3284</v>
      </c>
      <c r="B526" s="25">
        <v>75229.0</v>
      </c>
      <c r="C526" s="27">
        <v>1000.0</v>
      </c>
      <c r="D526" s="134" t="s">
        <v>24</v>
      </c>
      <c r="F526" s="25"/>
    </row>
    <row r="527">
      <c r="A527" s="130" t="s">
        <v>3380</v>
      </c>
      <c r="B527" s="25">
        <v>71106.0</v>
      </c>
      <c r="C527" s="27">
        <v>500.0</v>
      </c>
      <c r="D527" s="134" t="s">
        <v>24</v>
      </c>
      <c r="F527" s="25"/>
    </row>
    <row r="528">
      <c r="A528" s="130" t="s">
        <v>3281</v>
      </c>
      <c r="B528" s="25">
        <v>75218.0</v>
      </c>
      <c r="C528" s="27">
        <v>250.0</v>
      </c>
      <c r="D528" s="134" t="s">
        <v>24</v>
      </c>
      <c r="F528" s="25"/>
    </row>
    <row r="529">
      <c r="A529" s="130" t="s">
        <v>3284</v>
      </c>
      <c r="B529" s="25">
        <v>75229.0</v>
      </c>
      <c r="C529" s="27">
        <v>500.0</v>
      </c>
      <c r="D529" s="134" t="s">
        <v>24</v>
      </c>
      <c r="F529" s="25"/>
    </row>
    <row r="530">
      <c r="A530" s="130" t="s">
        <v>3267</v>
      </c>
      <c r="B530" s="25">
        <v>75214.0</v>
      </c>
      <c r="C530" s="27">
        <v>500.0</v>
      </c>
      <c r="D530" s="134" t="s">
        <v>24</v>
      </c>
      <c r="F530" s="25"/>
    </row>
    <row r="531">
      <c r="A531" s="130" t="s">
        <v>3267</v>
      </c>
      <c r="B531" s="25">
        <v>75214.0</v>
      </c>
      <c r="C531" s="27">
        <v>100.0</v>
      </c>
      <c r="D531" s="134" t="s">
        <v>24</v>
      </c>
      <c r="F531" s="25"/>
    </row>
    <row r="532">
      <c r="A532" s="130" t="s">
        <v>3289</v>
      </c>
      <c r="B532" s="25">
        <v>75219.0</v>
      </c>
      <c r="C532" s="27">
        <v>250.0</v>
      </c>
      <c r="D532" s="134" t="s">
        <v>24</v>
      </c>
      <c r="F532" s="25"/>
    </row>
    <row r="533">
      <c r="A533" s="130" t="s">
        <v>3281</v>
      </c>
      <c r="B533" s="25">
        <v>75218.0</v>
      </c>
      <c r="C533" s="27">
        <v>250.0</v>
      </c>
      <c r="D533" s="134" t="s">
        <v>24</v>
      </c>
      <c r="F533" s="25"/>
    </row>
    <row r="534">
      <c r="A534" s="130" t="s">
        <v>3312</v>
      </c>
      <c r="B534" s="25">
        <v>75201.0</v>
      </c>
      <c r="C534" s="27">
        <v>100.0</v>
      </c>
      <c r="D534" s="134" t="s">
        <v>24</v>
      </c>
      <c r="F534" s="25"/>
    </row>
    <row r="535">
      <c r="A535" s="130" t="s">
        <v>3289</v>
      </c>
      <c r="B535" s="25">
        <v>75219.0</v>
      </c>
      <c r="C535" s="27">
        <v>100.0</v>
      </c>
      <c r="D535" s="134" t="s">
        <v>24</v>
      </c>
      <c r="F535" s="25"/>
    </row>
    <row r="536">
      <c r="A536" s="130" t="s">
        <v>3266</v>
      </c>
      <c r="B536" s="25">
        <v>75230.0</v>
      </c>
      <c r="C536" s="27">
        <v>100.0</v>
      </c>
      <c r="D536" s="134" t="s">
        <v>24</v>
      </c>
      <c r="F536" s="25"/>
    </row>
    <row r="537">
      <c r="A537" s="130" t="s">
        <v>3267</v>
      </c>
      <c r="B537" s="25">
        <v>75214.0</v>
      </c>
      <c r="C537" s="27">
        <v>250.0</v>
      </c>
      <c r="D537" s="134" t="s">
        <v>24</v>
      </c>
      <c r="F537" s="25"/>
    </row>
    <row r="538">
      <c r="A538" s="130" t="s">
        <v>3267</v>
      </c>
      <c r="B538" s="25">
        <v>75214.0</v>
      </c>
      <c r="C538" s="27">
        <v>100.0</v>
      </c>
      <c r="D538" s="134" t="s">
        <v>24</v>
      </c>
      <c r="F538" s="25"/>
    </row>
    <row r="539">
      <c r="A539" s="130" t="s">
        <v>3381</v>
      </c>
      <c r="B539" s="25">
        <v>75210.0</v>
      </c>
      <c r="C539" s="27">
        <v>500.0</v>
      </c>
      <c r="D539" s="134" t="s">
        <v>24</v>
      </c>
      <c r="F539" s="25"/>
    </row>
    <row r="540">
      <c r="A540" s="130" t="s">
        <v>3285</v>
      </c>
      <c r="B540" s="25">
        <v>75204.0</v>
      </c>
      <c r="C540" s="27">
        <v>100.0</v>
      </c>
      <c r="D540" s="134" t="s">
        <v>24</v>
      </c>
      <c r="F540" s="25"/>
    </row>
    <row r="541">
      <c r="A541" s="130" t="s">
        <v>3267</v>
      </c>
      <c r="B541" s="25">
        <v>75214.0</v>
      </c>
      <c r="C541" s="27">
        <v>250.0</v>
      </c>
      <c r="D541" s="134" t="s">
        <v>24</v>
      </c>
      <c r="F541" s="25"/>
    </row>
    <row r="542">
      <c r="A542" s="130" t="s">
        <v>3267</v>
      </c>
      <c r="B542" s="25">
        <v>75214.0</v>
      </c>
      <c r="C542" s="27">
        <v>50.0</v>
      </c>
      <c r="D542" s="134" t="s">
        <v>24</v>
      </c>
      <c r="F542" s="25"/>
    </row>
    <row r="543">
      <c r="A543" s="130" t="s">
        <v>3267</v>
      </c>
      <c r="B543" s="25">
        <v>75214.0</v>
      </c>
      <c r="C543" s="27">
        <v>100.0</v>
      </c>
      <c r="D543" s="134" t="s">
        <v>24</v>
      </c>
      <c r="F543" s="25"/>
    </row>
    <row r="544">
      <c r="A544" s="130" t="s">
        <v>3289</v>
      </c>
      <c r="B544" s="25">
        <v>75219.0</v>
      </c>
      <c r="C544" s="27">
        <v>250.0</v>
      </c>
      <c r="D544" s="134" t="s">
        <v>24</v>
      </c>
      <c r="F544" s="25"/>
    </row>
    <row r="545">
      <c r="A545" s="130" t="s">
        <v>3300</v>
      </c>
      <c r="B545" s="25">
        <v>75228.0</v>
      </c>
      <c r="C545" s="27">
        <v>50.0</v>
      </c>
      <c r="D545" s="134" t="s">
        <v>24</v>
      </c>
      <c r="F545" s="25"/>
    </row>
    <row r="546">
      <c r="A546" s="130" t="s">
        <v>3270</v>
      </c>
      <c r="B546" s="25">
        <v>75206.0</v>
      </c>
      <c r="C546" s="27">
        <v>100.0</v>
      </c>
      <c r="D546" s="134" t="s">
        <v>24</v>
      </c>
      <c r="F546" s="25"/>
    </row>
    <row r="547">
      <c r="A547" s="130" t="s">
        <v>3278</v>
      </c>
      <c r="B547" s="25">
        <v>75248.0</v>
      </c>
      <c r="C547" s="27">
        <v>100.0</v>
      </c>
      <c r="D547" s="134" t="s">
        <v>24</v>
      </c>
      <c r="F547" s="25"/>
    </row>
    <row r="548">
      <c r="A548" s="130" t="s">
        <v>3382</v>
      </c>
      <c r="B548" s="25">
        <v>78737.0</v>
      </c>
      <c r="C548" s="27">
        <v>70.0</v>
      </c>
      <c r="D548" s="134" t="s">
        <v>24</v>
      </c>
      <c r="F548" s="25"/>
    </row>
    <row r="549">
      <c r="A549" s="130" t="s">
        <v>3281</v>
      </c>
      <c r="B549" s="25">
        <v>75218.0</v>
      </c>
      <c r="C549" s="27">
        <v>100.0</v>
      </c>
      <c r="D549" s="134" t="s">
        <v>24</v>
      </c>
      <c r="F549" s="25"/>
    </row>
    <row r="550">
      <c r="A550" s="130" t="s">
        <v>3267</v>
      </c>
      <c r="B550" s="25">
        <v>75214.0</v>
      </c>
      <c r="C550" s="27">
        <v>250.0</v>
      </c>
      <c r="D550" s="134" t="s">
        <v>24</v>
      </c>
      <c r="F550" s="25"/>
    </row>
    <row r="551">
      <c r="A551" s="130" t="s">
        <v>3267</v>
      </c>
      <c r="B551" s="25">
        <v>75214.0</v>
      </c>
      <c r="C551" s="27">
        <v>100.0</v>
      </c>
      <c r="D551" s="134" t="s">
        <v>24</v>
      </c>
      <c r="F551" s="25"/>
    </row>
    <row r="552">
      <c r="A552" s="130" t="s">
        <v>3281</v>
      </c>
      <c r="B552" s="25">
        <v>75218.0</v>
      </c>
      <c r="C552" s="27">
        <v>100.0</v>
      </c>
      <c r="D552" s="134" t="s">
        <v>24</v>
      </c>
      <c r="F552" s="25"/>
    </row>
    <row r="553">
      <c r="A553" s="130" t="s">
        <v>3281</v>
      </c>
      <c r="B553" s="25">
        <v>75218.0</v>
      </c>
      <c r="C553" s="27">
        <v>100.0</v>
      </c>
      <c r="D553" s="134" t="s">
        <v>24</v>
      </c>
      <c r="F553" s="25"/>
    </row>
    <row r="554">
      <c r="A554" s="130" t="s">
        <v>3281</v>
      </c>
      <c r="B554" s="25">
        <v>75218.0</v>
      </c>
      <c r="C554" s="27">
        <v>100.0</v>
      </c>
      <c r="D554" s="134" t="s">
        <v>24</v>
      </c>
      <c r="F554" s="25"/>
    </row>
    <row r="555">
      <c r="A555" s="130" t="s">
        <v>3267</v>
      </c>
      <c r="B555" s="25">
        <v>75214.0</v>
      </c>
      <c r="C555" s="27">
        <v>500.0</v>
      </c>
      <c r="D555" s="134" t="s">
        <v>24</v>
      </c>
      <c r="F555" s="25"/>
    </row>
    <row r="556">
      <c r="A556" s="130" t="s">
        <v>3312</v>
      </c>
      <c r="B556" s="25">
        <v>75201.0</v>
      </c>
      <c r="C556" s="27">
        <v>1000.0</v>
      </c>
      <c r="D556" s="134" t="s">
        <v>24</v>
      </c>
      <c r="F556" s="25"/>
    </row>
    <row r="557">
      <c r="A557" s="130" t="s">
        <v>3267</v>
      </c>
      <c r="B557" s="25">
        <v>75214.0</v>
      </c>
      <c r="C557" s="27">
        <v>250.0</v>
      </c>
      <c r="D557" s="134" t="s">
        <v>24</v>
      </c>
      <c r="F557" s="25"/>
    </row>
    <row r="558">
      <c r="A558" s="130" t="s">
        <v>3278</v>
      </c>
      <c r="B558" s="25">
        <v>75248.0</v>
      </c>
      <c r="C558" s="27">
        <v>100.0</v>
      </c>
      <c r="D558" s="134" t="s">
        <v>24</v>
      </c>
      <c r="F558" s="25"/>
    </row>
    <row r="559">
      <c r="A559" s="130" t="s">
        <v>3267</v>
      </c>
      <c r="B559" s="25">
        <v>75214.0</v>
      </c>
      <c r="C559" s="27">
        <v>100.0</v>
      </c>
      <c r="D559" s="134" t="s">
        <v>24</v>
      </c>
      <c r="F559" s="25"/>
    </row>
    <row r="560">
      <c r="A560" s="130" t="s">
        <v>3322</v>
      </c>
      <c r="B560" s="25">
        <v>76226.0</v>
      </c>
      <c r="C560" s="27">
        <v>1000.0</v>
      </c>
      <c r="D560" s="134" t="s">
        <v>24</v>
      </c>
      <c r="F560" s="25"/>
    </row>
    <row r="561">
      <c r="A561" s="130" t="s">
        <v>3383</v>
      </c>
      <c r="B561" s="25">
        <v>75038.0</v>
      </c>
      <c r="C561" s="27">
        <v>250.0</v>
      </c>
      <c r="D561" s="134" t="s">
        <v>24</v>
      </c>
      <c r="F561" s="25"/>
    </row>
    <row r="562">
      <c r="A562" s="130" t="s">
        <v>3384</v>
      </c>
      <c r="B562" s="25">
        <v>78760.0</v>
      </c>
      <c r="C562" s="27">
        <v>1000.0</v>
      </c>
      <c r="D562" s="134" t="s">
        <v>24</v>
      </c>
      <c r="F562" s="25"/>
    </row>
    <row r="563">
      <c r="A563" s="130" t="s">
        <v>3267</v>
      </c>
      <c r="B563" s="25">
        <v>75214.0</v>
      </c>
      <c r="C563" s="27">
        <v>50.0</v>
      </c>
      <c r="D563" s="134" t="s">
        <v>24</v>
      </c>
      <c r="F563" s="25"/>
    </row>
    <row r="564">
      <c r="A564" s="130" t="s">
        <v>3302</v>
      </c>
      <c r="B564" s="25">
        <v>75226.0</v>
      </c>
      <c r="C564" s="27">
        <v>50.0</v>
      </c>
      <c r="D564" s="134" t="s">
        <v>24</v>
      </c>
      <c r="F564" s="25"/>
    </row>
    <row r="565">
      <c r="A565" s="130" t="s">
        <v>3267</v>
      </c>
      <c r="B565" s="25">
        <v>75214.0</v>
      </c>
      <c r="C565" s="27">
        <v>100.0</v>
      </c>
      <c r="D565" s="134" t="s">
        <v>24</v>
      </c>
      <c r="F565" s="25"/>
    </row>
    <row r="566">
      <c r="A566" s="130" t="s">
        <v>3312</v>
      </c>
      <c r="B566" s="25">
        <v>75201.0</v>
      </c>
      <c r="C566" s="27">
        <v>1000.0</v>
      </c>
      <c r="D566" s="134" t="s">
        <v>24</v>
      </c>
      <c r="F566" s="25"/>
    </row>
    <row r="567">
      <c r="A567" s="130" t="s">
        <v>3302</v>
      </c>
      <c r="B567" s="25">
        <v>75226.0</v>
      </c>
      <c r="C567" s="27">
        <v>50.0</v>
      </c>
      <c r="D567" s="134" t="s">
        <v>24</v>
      </c>
      <c r="F567" s="25"/>
    </row>
    <row r="568">
      <c r="A568" s="130" t="s">
        <v>3312</v>
      </c>
      <c r="B568" s="25">
        <v>75201.0</v>
      </c>
      <c r="C568" s="27">
        <v>100.0</v>
      </c>
      <c r="D568" s="134" t="s">
        <v>24</v>
      </c>
      <c r="F568" s="25"/>
    </row>
    <row r="569">
      <c r="A569" s="130" t="s">
        <v>3266</v>
      </c>
      <c r="B569" s="25">
        <v>75230.0</v>
      </c>
      <c r="C569" s="27">
        <v>250.0</v>
      </c>
      <c r="D569" s="134" t="s">
        <v>24</v>
      </c>
      <c r="F569" s="25"/>
    </row>
    <row r="570">
      <c r="A570" s="130" t="s">
        <v>3285</v>
      </c>
      <c r="B570" s="25">
        <v>75204.0</v>
      </c>
      <c r="C570" s="27">
        <v>100.0</v>
      </c>
      <c r="D570" s="134" t="s">
        <v>24</v>
      </c>
      <c r="F570" s="25"/>
    </row>
    <row r="571">
      <c r="A571" s="130" t="s">
        <v>3270</v>
      </c>
      <c r="B571" s="25">
        <v>75206.0</v>
      </c>
      <c r="C571" s="27">
        <v>100.0</v>
      </c>
      <c r="D571" s="134" t="s">
        <v>24</v>
      </c>
      <c r="F571" s="25"/>
    </row>
    <row r="572">
      <c r="A572" s="130" t="s">
        <v>3312</v>
      </c>
      <c r="B572" s="25">
        <v>75201.0</v>
      </c>
      <c r="C572" s="27">
        <v>50.0</v>
      </c>
      <c r="D572" s="134" t="s">
        <v>24</v>
      </c>
      <c r="F572" s="25"/>
    </row>
    <row r="573">
      <c r="A573" s="130" t="s">
        <v>3311</v>
      </c>
      <c r="B573" s="25">
        <v>75182.0</v>
      </c>
      <c r="C573" s="27">
        <v>100.0</v>
      </c>
      <c r="D573" s="134" t="s">
        <v>24</v>
      </c>
      <c r="F573" s="25"/>
    </row>
    <row r="574">
      <c r="A574" s="130" t="s">
        <v>3385</v>
      </c>
      <c r="B574" s="25">
        <v>78768.0</v>
      </c>
      <c r="C574" s="27">
        <v>2500.0</v>
      </c>
      <c r="D574" s="134" t="s">
        <v>24</v>
      </c>
      <c r="F574" s="25"/>
    </row>
    <row r="575">
      <c r="A575" s="130" t="s">
        <v>3281</v>
      </c>
      <c r="B575" s="25">
        <v>75218.0</v>
      </c>
      <c r="C575" s="27">
        <v>50.0</v>
      </c>
      <c r="D575" s="134" t="s">
        <v>24</v>
      </c>
      <c r="F575" s="25"/>
    </row>
    <row r="576">
      <c r="A576" s="130" t="s">
        <v>3281</v>
      </c>
      <c r="B576" s="25">
        <v>75218.0</v>
      </c>
      <c r="C576" s="27">
        <v>100.0</v>
      </c>
      <c r="D576" s="134" t="s">
        <v>24</v>
      </c>
      <c r="F576" s="25"/>
    </row>
    <row r="577">
      <c r="A577" s="130" t="s">
        <v>3291</v>
      </c>
      <c r="B577" s="25">
        <v>75287.0</v>
      </c>
      <c r="C577" s="27">
        <v>1000.0</v>
      </c>
      <c r="D577" s="134" t="s">
        <v>24</v>
      </c>
      <c r="F577" s="25"/>
    </row>
    <row r="578">
      <c r="A578" s="130" t="s">
        <v>3300</v>
      </c>
      <c r="B578" s="25">
        <v>75228.0</v>
      </c>
      <c r="C578" s="27">
        <v>50.0</v>
      </c>
      <c r="D578" s="134" t="s">
        <v>24</v>
      </c>
      <c r="F578" s="25"/>
    </row>
    <row r="579">
      <c r="A579" s="130" t="s">
        <v>3300</v>
      </c>
      <c r="B579" s="25">
        <v>75228.0</v>
      </c>
      <c r="C579" s="27">
        <v>50.0</v>
      </c>
      <c r="D579" s="134" t="s">
        <v>24</v>
      </c>
      <c r="F579" s="25"/>
    </row>
    <row r="580">
      <c r="A580" s="130" t="s">
        <v>3386</v>
      </c>
      <c r="B580" s="25">
        <v>78748.0</v>
      </c>
      <c r="C580" s="27">
        <v>100.0</v>
      </c>
      <c r="D580" s="134" t="s">
        <v>24</v>
      </c>
      <c r="F580" s="25"/>
    </row>
    <row r="581">
      <c r="A581" s="130" t="s">
        <v>3266</v>
      </c>
      <c r="B581" s="25">
        <v>75230.0</v>
      </c>
      <c r="C581" s="27">
        <v>100.0</v>
      </c>
      <c r="D581" s="134" t="s">
        <v>24</v>
      </c>
      <c r="F581" s="25"/>
    </row>
    <row r="582">
      <c r="A582" s="130" t="s">
        <v>3387</v>
      </c>
      <c r="B582" s="25">
        <v>75216.0</v>
      </c>
      <c r="C582" s="27">
        <v>100.0</v>
      </c>
      <c r="D582" s="134" t="s">
        <v>24</v>
      </c>
      <c r="F582" s="25"/>
    </row>
    <row r="583">
      <c r="A583" s="130" t="s">
        <v>3267</v>
      </c>
      <c r="B583" s="25">
        <v>75214.0</v>
      </c>
      <c r="C583" s="27">
        <v>250.0</v>
      </c>
      <c r="D583" s="134" t="s">
        <v>24</v>
      </c>
      <c r="F583" s="25"/>
    </row>
    <row r="584">
      <c r="A584" s="130" t="s">
        <v>3314</v>
      </c>
      <c r="B584" s="25">
        <v>75231.0</v>
      </c>
      <c r="C584" s="27">
        <v>100.0</v>
      </c>
      <c r="D584" s="134" t="s">
        <v>24</v>
      </c>
      <c r="F584" s="25"/>
    </row>
    <row r="585">
      <c r="A585" s="130" t="s">
        <v>3273</v>
      </c>
      <c r="B585" s="25">
        <v>75205.0</v>
      </c>
      <c r="C585" s="27">
        <v>1000.0</v>
      </c>
      <c r="D585" s="134" t="s">
        <v>24</v>
      </c>
      <c r="F585" s="25"/>
    </row>
    <row r="586">
      <c r="A586" s="130" t="s">
        <v>3388</v>
      </c>
      <c r="B586" s="25">
        <v>75376.0</v>
      </c>
      <c r="C586" s="27">
        <v>250.0</v>
      </c>
      <c r="D586" s="134" t="s">
        <v>24</v>
      </c>
      <c r="F586" s="25"/>
    </row>
    <row r="587">
      <c r="A587" s="130" t="s">
        <v>3312</v>
      </c>
      <c r="B587" s="25">
        <v>75201.0</v>
      </c>
      <c r="C587" s="27">
        <v>100.0</v>
      </c>
      <c r="D587" s="134" t="s">
        <v>24</v>
      </c>
      <c r="F587" s="25"/>
    </row>
    <row r="588">
      <c r="A588" s="130" t="s">
        <v>3267</v>
      </c>
      <c r="B588" s="25">
        <v>75214.0</v>
      </c>
      <c r="C588" s="27">
        <v>50.0</v>
      </c>
      <c r="D588" s="134" t="s">
        <v>24</v>
      </c>
      <c r="F588" s="25"/>
    </row>
    <row r="589">
      <c r="A589" s="130" t="s">
        <v>3267</v>
      </c>
      <c r="B589" s="25">
        <v>75214.0</v>
      </c>
      <c r="C589" s="27">
        <v>1000.0</v>
      </c>
      <c r="D589" s="134" t="s">
        <v>24</v>
      </c>
      <c r="F589" s="25"/>
    </row>
    <row r="590">
      <c r="A590" s="130" t="s">
        <v>3285</v>
      </c>
      <c r="B590" s="25">
        <v>75204.0</v>
      </c>
      <c r="C590" s="27">
        <v>50.0</v>
      </c>
      <c r="D590" s="134" t="s">
        <v>24</v>
      </c>
      <c r="F590" s="25"/>
    </row>
    <row r="591">
      <c r="A591" s="130" t="s">
        <v>3389</v>
      </c>
      <c r="B591" s="25">
        <v>75234.0</v>
      </c>
      <c r="C591" s="27">
        <v>50.0</v>
      </c>
      <c r="D591" s="134" t="s">
        <v>24</v>
      </c>
      <c r="F591" s="25"/>
    </row>
    <row r="592">
      <c r="A592" s="130" t="s">
        <v>3281</v>
      </c>
      <c r="B592" s="25">
        <v>75218.0</v>
      </c>
      <c r="C592" s="27">
        <v>200.0</v>
      </c>
      <c r="D592" s="134" t="s">
        <v>24</v>
      </c>
      <c r="F592" s="25"/>
    </row>
    <row r="593">
      <c r="A593" s="130" t="s">
        <v>3300</v>
      </c>
      <c r="B593" s="25">
        <v>75228.0</v>
      </c>
      <c r="C593" s="27">
        <v>100.0</v>
      </c>
      <c r="D593" s="134" t="s">
        <v>24</v>
      </c>
      <c r="F593" s="25"/>
    </row>
    <row r="594">
      <c r="A594" s="130" t="s">
        <v>3275</v>
      </c>
      <c r="B594" s="25">
        <v>75207.0</v>
      </c>
      <c r="C594" s="27">
        <v>1000.0</v>
      </c>
      <c r="D594" s="134" t="s">
        <v>24</v>
      </c>
      <c r="F594" s="25"/>
    </row>
    <row r="595">
      <c r="A595" s="130" t="s">
        <v>3279</v>
      </c>
      <c r="B595" s="25">
        <v>75225.0</v>
      </c>
      <c r="C595" s="27">
        <v>500.0</v>
      </c>
      <c r="D595" s="134" t="s">
        <v>24</v>
      </c>
      <c r="F595" s="25"/>
    </row>
    <row r="596">
      <c r="A596" s="130" t="s">
        <v>3308</v>
      </c>
      <c r="B596" s="25">
        <v>75227.0</v>
      </c>
      <c r="C596" s="27">
        <v>100.0</v>
      </c>
      <c r="D596" s="134" t="s">
        <v>24</v>
      </c>
      <c r="F596" s="25"/>
    </row>
    <row r="597">
      <c r="A597" s="130" t="s">
        <v>3281</v>
      </c>
      <c r="B597" s="25">
        <v>75218.0</v>
      </c>
      <c r="C597" s="27">
        <v>500.0</v>
      </c>
      <c r="D597" s="134" t="s">
        <v>24</v>
      </c>
      <c r="F597" s="25"/>
    </row>
    <row r="598">
      <c r="A598" s="130" t="s">
        <v>3267</v>
      </c>
      <c r="B598" s="25">
        <v>75214.0</v>
      </c>
      <c r="C598" s="27">
        <v>500.0</v>
      </c>
      <c r="D598" s="134" t="s">
        <v>24</v>
      </c>
      <c r="F598" s="25"/>
    </row>
    <row r="599">
      <c r="A599" s="130" t="s">
        <v>3267</v>
      </c>
      <c r="B599" s="25">
        <v>75214.0</v>
      </c>
      <c r="C599" s="27">
        <v>200.0</v>
      </c>
      <c r="D599" s="134" t="s">
        <v>24</v>
      </c>
      <c r="F599" s="25"/>
    </row>
    <row r="600">
      <c r="A600" s="130" t="s">
        <v>3281</v>
      </c>
      <c r="B600" s="25">
        <v>75218.0</v>
      </c>
      <c r="C600" s="27">
        <v>500.0</v>
      </c>
      <c r="D600" s="134" t="s">
        <v>24</v>
      </c>
      <c r="F600" s="25"/>
    </row>
    <row r="601">
      <c r="A601" s="130" t="s">
        <v>3300</v>
      </c>
      <c r="B601" s="25">
        <v>75228.0</v>
      </c>
      <c r="C601" s="27">
        <v>100.0</v>
      </c>
      <c r="D601" s="134" t="s">
        <v>24</v>
      </c>
      <c r="F601" s="25"/>
    </row>
    <row r="602">
      <c r="A602" s="130" t="s">
        <v>3390</v>
      </c>
      <c r="B602" s="25">
        <v>75215.0</v>
      </c>
      <c r="C602" s="27">
        <v>100.0</v>
      </c>
      <c r="D602" s="134" t="s">
        <v>24</v>
      </c>
      <c r="F602" s="25"/>
    </row>
    <row r="603">
      <c r="A603" s="130" t="s">
        <v>3391</v>
      </c>
      <c r="B603" s="25">
        <v>75215.0</v>
      </c>
      <c r="C603" s="27">
        <v>100.0</v>
      </c>
      <c r="D603" s="134" t="s">
        <v>24</v>
      </c>
      <c r="F603" s="25"/>
    </row>
    <row r="604">
      <c r="A604" s="130" t="s">
        <v>3282</v>
      </c>
      <c r="B604" s="25">
        <v>75208.0</v>
      </c>
      <c r="C604" s="27">
        <v>100.0</v>
      </c>
      <c r="D604" s="134" t="s">
        <v>24</v>
      </c>
      <c r="F604" s="25"/>
    </row>
    <row r="605">
      <c r="A605" s="130" t="s">
        <v>3281</v>
      </c>
      <c r="B605" s="25">
        <v>75218.0</v>
      </c>
      <c r="C605" s="27">
        <v>500.0</v>
      </c>
      <c r="D605" s="134" t="s">
        <v>24</v>
      </c>
      <c r="F605" s="25"/>
    </row>
    <row r="606">
      <c r="A606" s="130" t="s">
        <v>3325</v>
      </c>
      <c r="B606" s="25">
        <v>75223.0</v>
      </c>
      <c r="C606" s="27">
        <v>50.0</v>
      </c>
      <c r="D606" s="134" t="s">
        <v>24</v>
      </c>
      <c r="F606" s="25"/>
    </row>
    <row r="607">
      <c r="A607" s="130" t="s">
        <v>3267</v>
      </c>
      <c r="B607" s="25">
        <v>75214.0</v>
      </c>
      <c r="C607" s="27">
        <v>100.0</v>
      </c>
      <c r="D607" s="134" t="s">
        <v>24</v>
      </c>
      <c r="F607" s="25"/>
    </row>
    <row r="608">
      <c r="A608" s="130" t="s">
        <v>3308</v>
      </c>
      <c r="B608" s="25">
        <v>75227.0</v>
      </c>
      <c r="C608" s="27">
        <v>100.0</v>
      </c>
      <c r="D608" s="134" t="s">
        <v>24</v>
      </c>
      <c r="F608" s="25"/>
    </row>
    <row r="609">
      <c r="A609" s="130" t="s">
        <v>3392</v>
      </c>
      <c r="B609" s="25">
        <v>75016.0</v>
      </c>
      <c r="C609" s="27">
        <v>250.0</v>
      </c>
      <c r="D609" s="134" t="s">
        <v>24</v>
      </c>
      <c r="F609" s="25"/>
    </row>
    <row r="610">
      <c r="A610" s="130" t="s">
        <v>3285</v>
      </c>
      <c r="B610" s="25">
        <v>75204.0</v>
      </c>
      <c r="C610" s="27">
        <v>500.0</v>
      </c>
      <c r="D610" s="134" t="s">
        <v>24</v>
      </c>
      <c r="F610" s="25"/>
    </row>
    <row r="611">
      <c r="A611" s="130" t="s">
        <v>3279</v>
      </c>
      <c r="B611" s="25">
        <v>75225.0</v>
      </c>
      <c r="C611" s="27">
        <v>50.0</v>
      </c>
      <c r="D611" s="134" t="s">
        <v>24</v>
      </c>
      <c r="F611" s="25"/>
    </row>
    <row r="612">
      <c r="A612" s="130" t="s">
        <v>3267</v>
      </c>
      <c r="B612" s="25">
        <v>75214.0</v>
      </c>
      <c r="C612" s="27">
        <v>1000.0</v>
      </c>
      <c r="D612" s="134" t="s">
        <v>24</v>
      </c>
      <c r="F612" s="25"/>
    </row>
    <row r="613">
      <c r="A613" s="130" t="s">
        <v>3281</v>
      </c>
      <c r="B613" s="25">
        <v>75218.0</v>
      </c>
      <c r="C613" s="27">
        <v>50.0</v>
      </c>
      <c r="D613" s="134" t="s">
        <v>24</v>
      </c>
      <c r="F613" s="25"/>
    </row>
    <row r="614">
      <c r="A614" s="130" t="s">
        <v>3267</v>
      </c>
      <c r="B614" s="25">
        <v>75214.0</v>
      </c>
      <c r="C614" s="27">
        <v>250.0</v>
      </c>
      <c r="D614" s="134" t="s">
        <v>24</v>
      </c>
      <c r="F614" s="25"/>
    </row>
    <row r="615">
      <c r="A615" s="130" t="s">
        <v>3267</v>
      </c>
      <c r="B615" s="25">
        <v>75214.0</v>
      </c>
      <c r="C615" s="27">
        <v>250.0</v>
      </c>
      <c r="D615" s="134" t="s">
        <v>24</v>
      </c>
      <c r="F615" s="25"/>
    </row>
    <row r="616">
      <c r="A616" s="130" t="s">
        <v>3267</v>
      </c>
      <c r="B616" s="25">
        <v>75214.0</v>
      </c>
      <c r="C616" s="27">
        <v>500.0</v>
      </c>
      <c r="D616" s="134" t="s">
        <v>24</v>
      </c>
      <c r="F616" s="25"/>
    </row>
    <row r="617">
      <c r="A617" s="130" t="s">
        <v>3284</v>
      </c>
      <c r="B617" s="25">
        <v>75229.0</v>
      </c>
      <c r="C617" s="27">
        <v>1000.0</v>
      </c>
      <c r="D617" s="134" t="s">
        <v>24</v>
      </c>
      <c r="F617" s="25"/>
    </row>
    <row r="618">
      <c r="A618" s="130" t="s">
        <v>3267</v>
      </c>
      <c r="B618" s="25">
        <v>75214.0</v>
      </c>
      <c r="C618" s="27">
        <v>500.0</v>
      </c>
      <c r="D618" s="134" t="s">
        <v>24</v>
      </c>
      <c r="F618" s="25"/>
    </row>
    <row r="619">
      <c r="A619" s="130" t="s">
        <v>3267</v>
      </c>
      <c r="B619" s="25">
        <v>75214.0</v>
      </c>
      <c r="C619" s="27">
        <v>100.0</v>
      </c>
      <c r="D619" s="134" t="s">
        <v>24</v>
      </c>
      <c r="F619" s="25"/>
    </row>
    <row r="620">
      <c r="A620" s="130" t="s">
        <v>3378</v>
      </c>
      <c r="B620" s="25">
        <v>75219.0</v>
      </c>
      <c r="C620" s="27">
        <v>500.0</v>
      </c>
      <c r="D620" s="134" t="s">
        <v>24</v>
      </c>
      <c r="F620" s="25"/>
    </row>
    <row r="621">
      <c r="A621" s="130" t="s">
        <v>3267</v>
      </c>
      <c r="B621" s="25">
        <v>75214.0</v>
      </c>
      <c r="C621" s="27">
        <v>250.0</v>
      </c>
      <c r="D621" s="134" t="s">
        <v>24</v>
      </c>
      <c r="F621" s="25"/>
    </row>
    <row r="622">
      <c r="A622" s="130" t="s">
        <v>3267</v>
      </c>
      <c r="B622" s="25">
        <v>75214.0</v>
      </c>
      <c r="C622" s="27">
        <v>150.0</v>
      </c>
      <c r="D622" s="134" t="s">
        <v>24</v>
      </c>
      <c r="F622" s="25"/>
    </row>
    <row r="623">
      <c r="A623" s="130" t="s">
        <v>3281</v>
      </c>
      <c r="B623" s="25">
        <v>75218.0</v>
      </c>
      <c r="C623" s="27">
        <v>250.0</v>
      </c>
      <c r="D623" s="134" t="s">
        <v>24</v>
      </c>
      <c r="F623" s="25"/>
    </row>
    <row r="624">
      <c r="A624" s="130" t="s">
        <v>3267</v>
      </c>
      <c r="B624" s="25">
        <v>75214.0</v>
      </c>
      <c r="C624" s="27">
        <v>250.0</v>
      </c>
      <c r="D624" s="134" t="s">
        <v>24</v>
      </c>
      <c r="F624" s="25"/>
    </row>
    <row r="625">
      <c r="A625" s="130" t="s">
        <v>3285</v>
      </c>
      <c r="B625" s="25">
        <v>75204.0</v>
      </c>
      <c r="C625" s="27">
        <v>250.0</v>
      </c>
      <c r="D625" s="134" t="s">
        <v>24</v>
      </c>
      <c r="F625" s="25"/>
    </row>
    <row r="626">
      <c r="A626" s="130" t="s">
        <v>3281</v>
      </c>
      <c r="B626" s="25">
        <v>75218.0</v>
      </c>
      <c r="C626" s="27">
        <v>100.0</v>
      </c>
      <c r="D626" s="134" t="s">
        <v>24</v>
      </c>
      <c r="F626" s="25"/>
    </row>
    <row r="627">
      <c r="A627" s="130" t="s">
        <v>3279</v>
      </c>
      <c r="B627" s="25">
        <v>75225.0</v>
      </c>
      <c r="C627" s="27">
        <v>1000.0</v>
      </c>
      <c r="D627" s="134" t="s">
        <v>24</v>
      </c>
      <c r="F627" s="25"/>
    </row>
    <row r="628">
      <c r="A628" s="130" t="s">
        <v>3267</v>
      </c>
      <c r="B628" s="25">
        <v>75214.0</v>
      </c>
      <c r="C628" s="27">
        <v>100.0</v>
      </c>
      <c r="D628" s="134" t="s">
        <v>24</v>
      </c>
      <c r="F628" s="25"/>
    </row>
    <row r="629">
      <c r="A629" s="130" t="s">
        <v>3267</v>
      </c>
      <c r="B629" s="25">
        <v>75214.0</v>
      </c>
      <c r="C629" s="27">
        <v>100.0</v>
      </c>
      <c r="D629" s="134" t="s">
        <v>24</v>
      </c>
      <c r="F629" s="25"/>
    </row>
    <row r="630">
      <c r="A630" s="130" t="s">
        <v>3267</v>
      </c>
      <c r="B630" s="25">
        <v>75214.0</v>
      </c>
      <c r="C630" s="27">
        <v>100.0</v>
      </c>
      <c r="D630" s="134" t="s">
        <v>24</v>
      </c>
      <c r="F630" s="25"/>
    </row>
    <row r="631">
      <c r="A631" s="130" t="s">
        <v>3281</v>
      </c>
      <c r="B631" s="25">
        <v>75218.0</v>
      </c>
      <c r="C631" s="27">
        <v>250.0</v>
      </c>
      <c r="D631" s="134" t="s">
        <v>24</v>
      </c>
      <c r="F631" s="25"/>
    </row>
    <row r="632">
      <c r="A632" s="130" t="s">
        <v>3266</v>
      </c>
      <c r="B632" s="25">
        <v>75230.0</v>
      </c>
      <c r="C632" s="27">
        <v>250.0</v>
      </c>
      <c r="D632" s="134" t="s">
        <v>24</v>
      </c>
      <c r="F632" s="25"/>
    </row>
    <row r="633">
      <c r="A633" s="130" t="s">
        <v>3267</v>
      </c>
      <c r="B633" s="25">
        <v>75214.0</v>
      </c>
      <c r="C633" s="27">
        <v>1000.0</v>
      </c>
      <c r="D633" s="134" t="s">
        <v>24</v>
      </c>
      <c r="F633" s="25"/>
    </row>
    <row r="634">
      <c r="A634" s="130" t="s">
        <v>3273</v>
      </c>
      <c r="B634" s="25">
        <v>75205.0</v>
      </c>
      <c r="C634" s="27">
        <v>1000.0</v>
      </c>
      <c r="D634" s="134" t="s">
        <v>24</v>
      </c>
      <c r="F634" s="25"/>
    </row>
    <row r="635">
      <c r="A635" s="130" t="s">
        <v>3273</v>
      </c>
      <c r="B635" s="25">
        <v>75205.0</v>
      </c>
      <c r="C635" s="27">
        <v>500.0</v>
      </c>
      <c r="D635" s="134" t="s">
        <v>24</v>
      </c>
      <c r="F635" s="25"/>
    </row>
    <row r="636">
      <c r="A636" s="130" t="s">
        <v>3267</v>
      </c>
      <c r="B636" s="25">
        <v>75214.0</v>
      </c>
      <c r="C636" s="27">
        <v>250.0</v>
      </c>
      <c r="D636" s="134" t="s">
        <v>24</v>
      </c>
      <c r="F636" s="25"/>
    </row>
    <row r="637">
      <c r="A637" s="130" t="s">
        <v>3321</v>
      </c>
      <c r="B637" s="25">
        <v>75209.0</v>
      </c>
      <c r="C637" s="27">
        <v>500.0</v>
      </c>
      <c r="D637" s="134" t="s">
        <v>24</v>
      </c>
      <c r="F637" s="25"/>
    </row>
    <row r="638">
      <c r="A638" s="130" t="s">
        <v>3269</v>
      </c>
      <c r="B638" s="25">
        <v>75247.0</v>
      </c>
      <c r="C638" s="27">
        <v>1000.0</v>
      </c>
      <c r="D638" s="134" t="s">
        <v>24</v>
      </c>
      <c r="F638" s="25"/>
    </row>
    <row r="639">
      <c r="A639" s="130" t="s">
        <v>3289</v>
      </c>
      <c r="B639" s="25">
        <v>75219.0</v>
      </c>
      <c r="C639" s="27">
        <v>250.0</v>
      </c>
      <c r="D639" s="134" t="s">
        <v>24</v>
      </c>
      <c r="F639" s="25"/>
    </row>
    <row r="640">
      <c r="A640" s="130" t="s">
        <v>3393</v>
      </c>
      <c r="B640" s="25">
        <v>27612.0</v>
      </c>
      <c r="C640" s="27">
        <v>60.0</v>
      </c>
      <c r="D640" s="134" t="s">
        <v>24</v>
      </c>
      <c r="F640" s="25"/>
    </row>
    <row r="641">
      <c r="A641" s="130" t="s">
        <v>3394</v>
      </c>
      <c r="B641" s="25">
        <v>75244.0</v>
      </c>
      <c r="C641" s="27">
        <v>1000.0</v>
      </c>
      <c r="D641" s="134" t="s">
        <v>24</v>
      </c>
      <c r="F641" s="25"/>
    </row>
    <row r="642">
      <c r="A642" s="130" t="s">
        <v>3312</v>
      </c>
      <c r="B642" s="25">
        <v>75201.0</v>
      </c>
      <c r="C642" s="27">
        <v>1000.0</v>
      </c>
      <c r="D642" s="134" t="s">
        <v>35</v>
      </c>
      <c r="F642" s="25"/>
    </row>
    <row r="643">
      <c r="A643" s="130" t="s">
        <v>3273</v>
      </c>
      <c r="B643" s="25">
        <v>75205.0</v>
      </c>
      <c r="C643" s="27">
        <v>1000.0</v>
      </c>
      <c r="D643" s="134" t="s">
        <v>35</v>
      </c>
      <c r="F643" s="25"/>
    </row>
    <row r="644">
      <c r="A644" s="130" t="s">
        <v>3384</v>
      </c>
      <c r="B644" s="25">
        <v>78760.0</v>
      </c>
      <c r="C644" s="27">
        <v>1000.0</v>
      </c>
      <c r="D644" s="134" t="s">
        <v>29</v>
      </c>
      <c r="F644" s="25"/>
    </row>
    <row r="645">
      <c r="A645" s="130" t="s">
        <v>3312</v>
      </c>
      <c r="B645" s="25">
        <v>75201.0</v>
      </c>
      <c r="C645" s="27">
        <v>1000.0</v>
      </c>
      <c r="D645" s="134" t="s">
        <v>29</v>
      </c>
      <c r="F645" s="25"/>
    </row>
    <row r="646">
      <c r="A646" s="130" t="s">
        <v>3267</v>
      </c>
      <c r="B646" s="25">
        <v>75214.0</v>
      </c>
      <c r="C646" s="27">
        <v>250.0</v>
      </c>
      <c r="D646" s="134" t="s">
        <v>29</v>
      </c>
      <c r="F646" s="25"/>
    </row>
    <row r="647">
      <c r="A647" s="130" t="s">
        <v>3367</v>
      </c>
      <c r="B647" s="25">
        <v>75237.0</v>
      </c>
      <c r="C647" s="27">
        <v>500.0</v>
      </c>
      <c r="D647" s="134" t="s">
        <v>29</v>
      </c>
      <c r="F647" s="25"/>
    </row>
    <row r="648">
      <c r="A648" s="130" t="s">
        <v>3301</v>
      </c>
      <c r="B648" s="25">
        <v>75220.0</v>
      </c>
      <c r="C648" s="27">
        <v>125.0</v>
      </c>
      <c r="D648" s="134" t="s">
        <v>29</v>
      </c>
      <c r="F648" s="25"/>
    </row>
    <row r="649">
      <c r="A649" s="130" t="s">
        <v>3282</v>
      </c>
      <c r="B649" s="25">
        <v>75208.0</v>
      </c>
      <c r="C649" s="27">
        <v>250.0</v>
      </c>
      <c r="D649" s="134" t="s">
        <v>29</v>
      </c>
      <c r="F649" s="25"/>
    </row>
    <row r="650">
      <c r="A650" s="130" t="s">
        <v>3330</v>
      </c>
      <c r="B650" s="25">
        <v>75211.0</v>
      </c>
      <c r="C650" s="27">
        <v>50.0</v>
      </c>
      <c r="D650" s="134" t="s">
        <v>29</v>
      </c>
      <c r="F650" s="25"/>
    </row>
    <row r="651">
      <c r="A651" s="130" t="s">
        <v>3395</v>
      </c>
      <c r="B651" s="25">
        <v>75009.0</v>
      </c>
      <c r="C651" s="27">
        <v>100.0</v>
      </c>
      <c r="D651" s="134" t="s">
        <v>29</v>
      </c>
      <c r="F651" s="25"/>
    </row>
    <row r="652">
      <c r="A652" s="130" t="s">
        <v>3275</v>
      </c>
      <c r="B652" s="25">
        <v>75207.0</v>
      </c>
      <c r="C652" s="27">
        <v>500.0</v>
      </c>
      <c r="D652" s="134" t="s">
        <v>29</v>
      </c>
      <c r="F652" s="25"/>
    </row>
    <row r="653">
      <c r="A653" s="130" t="s">
        <v>3304</v>
      </c>
      <c r="B653" s="25">
        <v>75202.0</v>
      </c>
      <c r="C653" s="27">
        <v>100.0</v>
      </c>
      <c r="D653" s="134" t="s">
        <v>29</v>
      </c>
      <c r="F653" s="25"/>
    </row>
    <row r="654">
      <c r="A654" s="130" t="s">
        <v>3396</v>
      </c>
      <c r="B654" s="25">
        <v>76225.0</v>
      </c>
      <c r="C654" s="27">
        <v>1000.0</v>
      </c>
      <c r="D654" s="134" t="s">
        <v>29</v>
      </c>
      <c r="F654" s="25"/>
    </row>
    <row r="655">
      <c r="A655" s="130" t="s">
        <v>3267</v>
      </c>
      <c r="B655" s="25">
        <v>75214.0</v>
      </c>
      <c r="C655" s="27">
        <v>2000.0</v>
      </c>
      <c r="D655" s="134" t="s">
        <v>36</v>
      </c>
      <c r="F655" s="25"/>
    </row>
    <row r="656">
      <c r="A656" s="130" t="s">
        <v>3267</v>
      </c>
      <c r="B656" s="25">
        <v>75214.0</v>
      </c>
      <c r="C656" s="27">
        <v>2000.0</v>
      </c>
      <c r="D656" s="134" t="s">
        <v>36</v>
      </c>
      <c r="F656" s="25"/>
    </row>
    <row r="657">
      <c r="A657" s="130" t="s">
        <v>3267</v>
      </c>
      <c r="B657" s="25">
        <v>75214.0</v>
      </c>
      <c r="C657" s="27">
        <v>2000.0</v>
      </c>
      <c r="D657" s="134" t="s">
        <v>36</v>
      </c>
      <c r="F657" s="25"/>
    </row>
    <row r="658">
      <c r="A658" s="130" t="s">
        <v>3270</v>
      </c>
      <c r="B658" s="25">
        <v>75206.0</v>
      </c>
      <c r="C658" s="27">
        <v>300.0</v>
      </c>
      <c r="D658" s="134" t="s">
        <v>33</v>
      </c>
      <c r="F658" s="25"/>
    </row>
    <row r="659">
      <c r="A659" s="130" t="s">
        <v>3397</v>
      </c>
      <c r="B659" s="25">
        <v>12345.0</v>
      </c>
      <c r="C659" s="27">
        <v>100.0</v>
      </c>
      <c r="D659" s="134" t="s">
        <v>33</v>
      </c>
      <c r="F659" s="25"/>
    </row>
    <row r="660">
      <c r="A660" s="130" t="s">
        <v>3270</v>
      </c>
      <c r="B660" s="25">
        <v>75206.0</v>
      </c>
      <c r="C660" s="27">
        <v>100.0</v>
      </c>
      <c r="D660" s="134" t="s">
        <v>23</v>
      </c>
      <c r="F660" s="25"/>
    </row>
    <row r="661">
      <c r="A661" s="130" t="s">
        <v>3273</v>
      </c>
      <c r="B661" s="25">
        <v>75205.0</v>
      </c>
      <c r="C661" s="27">
        <v>500.0</v>
      </c>
      <c r="D661" s="134" t="s">
        <v>23</v>
      </c>
      <c r="F661" s="25"/>
    </row>
    <row r="662">
      <c r="A662" s="130" t="s">
        <v>3312</v>
      </c>
      <c r="B662" s="25">
        <v>75201.0</v>
      </c>
      <c r="C662" s="27">
        <v>1000.0</v>
      </c>
      <c r="D662" s="134" t="s">
        <v>23</v>
      </c>
      <c r="F662" s="25"/>
    </row>
    <row r="663">
      <c r="A663" s="130" t="s">
        <v>3272</v>
      </c>
      <c r="B663" s="25">
        <v>75238.0</v>
      </c>
      <c r="C663" s="27">
        <v>500.0</v>
      </c>
      <c r="D663" s="134" t="s">
        <v>26</v>
      </c>
      <c r="F663" s="25"/>
    </row>
    <row r="664">
      <c r="A664" s="130" t="s">
        <v>3314</v>
      </c>
      <c r="B664" s="25">
        <v>75231.0</v>
      </c>
      <c r="C664" s="27">
        <v>50.0</v>
      </c>
      <c r="D664" s="134" t="s">
        <v>26</v>
      </c>
      <c r="F664" s="25"/>
    </row>
    <row r="665">
      <c r="A665" s="130" t="s">
        <v>3398</v>
      </c>
      <c r="B665" s="25">
        <v>78756.0</v>
      </c>
      <c r="C665" s="27">
        <v>1000.0</v>
      </c>
      <c r="D665" s="134" t="s">
        <v>26</v>
      </c>
      <c r="F665" s="25"/>
    </row>
    <row r="666">
      <c r="A666" s="130" t="s">
        <v>3274</v>
      </c>
      <c r="B666" s="25">
        <v>75082.0</v>
      </c>
      <c r="C666" s="27">
        <v>50.0</v>
      </c>
      <c r="D666" s="134" t="s">
        <v>26</v>
      </c>
      <c r="F666" s="25"/>
    </row>
    <row r="667">
      <c r="A667" s="130" t="s">
        <v>3274</v>
      </c>
      <c r="B667" s="25">
        <v>75082.0</v>
      </c>
      <c r="C667" s="27">
        <v>50.0</v>
      </c>
      <c r="D667" s="134" t="s">
        <v>26</v>
      </c>
      <c r="F667" s="25"/>
    </row>
    <row r="668">
      <c r="A668" s="130" t="s">
        <v>3272</v>
      </c>
      <c r="B668" s="25">
        <v>75238.0</v>
      </c>
      <c r="C668" s="27">
        <v>1000.0</v>
      </c>
      <c r="D668" s="134" t="s">
        <v>26</v>
      </c>
      <c r="F668" s="25"/>
    </row>
    <row r="669">
      <c r="A669" s="130" t="s">
        <v>3272</v>
      </c>
      <c r="B669" s="25">
        <v>75238.0</v>
      </c>
      <c r="C669" s="27">
        <v>1000.0</v>
      </c>
      <c r="D669" s="134" t="s">
        <v>26</v>
      </c>
      <c r="F669" s="25"/>
    </row>
    <row r="670">
      <c r="A670" s="130" t="s">
        <v>3272</v>
      </c>
      <c r="B670" s="25">
        <v>75238.0</v>
      </c>
      <c r="C670" s="27">
        <v>500.0</v>
      </c>
      <c r="D670" s="134" t="s">
        <v>26</v>
      </c>
      <c r="F670" s="25"/>
    </row>
    <row r="671">
      <c r="A671" s="130" t="s">
        <v>3272</v>
      </c>
      <c r="B671" s="25">
        <v>75238.0</v>
      </c>
      <c r="C671" s="27">
        <v>100.0</v>
      </c>
      <c r="D671" s="134" t="s">
        <v>26</v>
      </c>
      <c r="F671" s="25"/>
    </row>
    <row r="672">
      <c r="A672" s="130" t="s">
        <v>3272</v>
      </c>
      <c r="B672" s="25">
        <v>75238.0</v>
      </c>
      <c r="C672" s="27">
        <v>500.0</v>
      </c>
      <c r="D672" s="134" t="s">
        <v>26</v>
      </c>
      <c r="F672" s="25"/>
    </row>
    <row r="673">
      <c r="A673" s="130" t="s">
        <v>3281</v>
      </c>
      <c r="B673" s="25">
        <v>75218.0</v>
      </c>
      <c r="C673" s="27">
        <v>1000.0</v>
      </c>
      <c r="D673" s="134" t="s">
        <v>26</v>
      </c>
      <c r="F673" s="25"/>
    </row>
    <row r="674">
      <c r="A674" s="130" t="s">
        <v>3272</v>
      </c>
      <c r="B674" s="25">
        <v>75238.0</v>
      </c>
      <c r="C674" s="27">
        <v>500.0</v>
      </c>
      <c r="D674" s="134" t="s">
        <v>26</v>
      </c>
      <c r="F674" s="25"/>
    </row>
    <row r="675">
      <c r="A675" s="130" t="s">
        <v>3305</v>
      </c>
      <c r="B675" s="25">
        <v>75254.0</v>
      </c>
      <c r="C675" s="27">
        <v>500.0</v>
      </c>
      <c r="D675" s="134" t="s">
        <v>26</v>
      </c>
      <c r="F675" s="25"/>
    </row>
    <row r="676">
      <c r="A676" s="130" t="s">
        <v>3292</v>
      </c>
      <c r="B676" s="25">
        <v>75243.0</v>
      </c>
      <c r="C676" s="27">
        <v>250.0</v>
      </c>
      <c r="D676" s="134" t="s">
        <v>26</v>
      </c>
      <c r="F676" s="25"/>
    </row>
    <row r="677">
      <c r="A677" s="130" t="s">
        <v>3399</v>
      </c>
      <c r="B677" s="25">
        <v>78731.0</v>
      </c>
      <c r="C677" s="27">
        <v>1000.0</v>
      </c>
      <c r="D677" s="134" t="s">
        <v>26</v>
      </c>
      <c r="F677" s="25"/>
    </row>
    <row r="678">
      <c r="A678" s="130" t="s">
        <v>3292</v>
      </c>
      <c r="B678" s="25">
        <v>75243.0</v>
      </c>
      <c r="C678" s="27">
        <v>1000.0</v>
      </c>
      <c r="D678" s="134" t="s">
        <v>26</v>
      </c>
      <c r="F678" s="25"/>
    </row>
    <row r="679">
      <c r="A679" s="130" t="s">
        <v>3312</v>
      </c>
      <c r="B679" s="25">
        <v>75201.0</v>
      </c>
      <c r="C679" s="27">
        <v>1000.0</v>
      </c>
      <c r="D679" s="134" t="s">
        <v>26</v>
      </c>
      <c r="F679" s="25"/>
    </row>
    <row r="680">
      <c r="A680" s="130" t="s">
        <v>3272</v>
      </c>
      <c r="B680" s="25">
        <v>75238.0</v>
      </c>
      <c r="C680" s="27">
        <v>1000.0</v>
      </c>
      <c r="D680" s="134" t="s">
        <v>26</v>
      </c>
      <c r="F680" s="25"/>
    </row>
    <row r="681">
      <c r="A681" s="130" t="s">
        <v>3272</v>
      </c>
      <c r="B681" s="25">
        <v>75238.0</v>
      </c>
      <c r="C681" s="27">
        <v>1000.0</v>
      </c>
      <c r="D681" s="134" t="s">
        <v>26</v>
      </c>
      <c r="F681" s="25"/>
    </row>
    <row r="682">
      <c r="A682" s="130" t="s">
        <v>3292</v>
      </c>
      <c r="B682" s="25">
        <v>75243.0</v>
      </c>
      <c r="C682" s="27">
        <v>250.0</v>
      </c>
      <c r="D682" s="134" t="s">
        <v>26</v>
      </c>
      <c r="F682" s="25"/>
    </row>
    <row r="683">
      <c r="A683" s="130" t="s">
        <v>3272</v>
      </c>
      <c r="B683" s="25">
        <v>75238.0</v>
      </c>
      <c r="C683" s="27">
        <v>500.0</v>
      </c>
      <c r="D683" s="134" t="s">
        <v>26</v>
      </c>
      <c r="F683" s="25"/>
    </row>
    <row r="684">
      <c r="A684" s="130" t="s">
        <v>3314</v>
      </c>
      <c r="B684" s="25">
        <v>75231.0</v>
      </c>
      <c r="C684" s="27">
        <v>300.0</v>
      </c>
      <c r="D684" s="134" t="s">
        <v>26</v>
      </c>
      <c r="F684" s="25"/>
    </row>
    <row r="685">
      <c r="A685" s="130" t="s">
        <v>3272</v>
      </c>
      <c r="B685" s="25">
        <v>75238.0</v>
      </c>
      <c r="C685" s="27">
        <v>250.0</v>
      </c>
      <c r="D685" s="134" t="s">
        <v>26</v>
      </c>
      <c r="F685" s="25"/>
    </row>
    <row r="686">
      <c r="A686" s="130" t="s">
        <v>3292</v>
      </c>
      <c r="B686" s="25">
        <v>75243.0</v>
      </c>
      <c r="C686" s="27">
        <v>100.0</v>
      </c>
      <c r="D686" s="134" t="s">
        <v>26</v>
      </c>
      <c r="F686" s="25"/>
    </row>
    <row r="687">
      <c r="A687" s="130" t="s">
        <v>3272</v>
      </c>
      <c r="B687" s="25">
        <v>75238.0</v>
      </c>
      <c r="C687" s="27">
        <v>250.0</v>
      </c>
      <c r="D687" s="134" t="s">
        <v>26</v>
      </c>
      <c r="F687" s="25"/>
    </row>
    <row r="688">
      <c r="A688" s="130" t="s">
        <v>3272</v>
      </c>
      <c r="B688" s="25">
        <v>75238.0</v>
      </c>
      <c r="C688" s="27">
        <v>100.0</v>
      </c>
      <c r="D688" s="134" t="s">
        <v>26</v>
      </c>
      <c r="F688" s="25"/>
    </row>
    <row r="689">
      <c r="A689" s="130" t="s">
        <v>3314</v>
      </c>
      <c r="B689" s="25">
        <v>75231.0</v>
      </c>
      <c r="C689" s="27">
        <v>200.0</v>
      </c>
      <c r="D689" s="134" t="s">
        <v>26</v>
      </c>
      <c r="F689" s="25"/>
    </row>
    <row r="690">
      <c r="A690" s="130" t="s">
        <v>3266</v>
      </c>
      <c r="B690" s="25">
        <v>75230.0</v>
      </c>
      <c r="C690" s="27">
        <v>50.0</v>
      </c>
      <c r="D690" s="134" t="s">
        <v>26</v>
      </c>
      <c r="F690" s="25"/>
    </row>
    <row r="691">
      <c r="A691" s="130" t="s">
        <v>3266</v>
      </c>
      <c r="B691" s="25">
        <v>75230.0</v>
      </c>
      <c r="C691" s="27">
        <v>50.0</v>
      </c>
      <c r="D691" s="134" t="s">
        <v>26</v>
      </c>
      <c r="F691" s="25"/>
    </row>
    <row r="692">
      <c r="A692" s="130" t="s">
        <v>3272</v>
      </c>
      <c r="B692" s="25">
        <v>75238.0</v>
      </c>
      <c r="C692" s="27">
        <v>100.0</v>
      </c>
      <c r="D692" s="134" t="s">
        <v>26</v>
      </c>
      <c r="F692" s="25"/>
    </row>
    <row r="693">
      <c r="A693" s="130" t="s">
        <v>3400</v>
      </c>
      <c r="B693" s="25">
        <v>76226.0</v>
      </c>
      <c r="C693" s="27">
        <v>100.0</v>
      </c>
      <c r="D693" s="134" t="s">
        <v>26</v>
      </c>
      <c r="F693" s="25"/>
    </row>
    <row r="694">
      <c r="A694" s="130" t="s">
        <v>3272</v>
      </c>
      <c r="B694" s="25">
        <v>75238.0</v>
      </c>
      <c r="C694" s="27">
        <v>50.0</v>
      </c>
      <c r="D694" s="134" t="s">
        <v>26</v>
      </c>
      <c r="F694" s="25"/>
    </row>
    <row r="695">
      <c r="A695" s="130" t="s">
        <v>3292</v>
      </c>
      <c r="B695" s="25">
        <v>75243.0</v>
      </c>
      <c r="C695" s="27">
        <v>500.0</v>
      </c>
      <c r="D695" s="134" t="s">
        <v>26</v>
      </c>
      <c r="F695" s="25"/>
    </row>
    <row r="696">
      <c r="A696" s="130" t="s">
        <v>3314</v>
      </c>
      <c r="B696" s="25">
        <v>75231.0</v>
      </c>
      <c r="C696" s="27">
        <v>100.0</v>
      </c>
      <c r="D696" s="134" t="s">
        <v>26</v>
      </c>
      <c r="F696" s="25"/>
    </row>
    <row r="697">
      <c r="A697" s="130" t="s">
        <v>3272</v>
      </c>
      <c r="B697" s="25">
        <v>75238.0</v>
      </c>
      <c r="C697" s="27">
        <v>100.0</v>
      </c>
      <c r="D697" s="134" t="s">
        <v>26</v>
      </c>
      <c r="F697" s="25"/>
    </row>
    <row r="698">
      <c r="A698" s="130" t="s">
        <v>3401</v>
      </c>
      <c r="B698" s="25">
        <v>78616.0</v>
      </c>
      <c r="C698" s="27">
        <v>100.0</v>
      </c>
      <c r="D698" s="134" t="s">
        <v>26</v>
      </c>
      <c r="F698" s="25"/>
    </row>
    <row r="699">
      <c r="A699" s="130" t="s">
        <v>3314</v>
      </c>
      <c r="B699" s="25">
        <v>75231.0</v>
      </c>
      <c r="C699" s="27">
        <v>500.0</v>
      </c>
      <c r="D699" s="134" t="s">
        <v>26</v>
      </c>
      <c r="F699" s="25"/>
    </row>
    <row r="700">
      <c r="A700" s="130" t="s">
        <v>3314</v>
      </c>
      <c r="B700" s="25">
        <v>75231.0</v>
      </c>
      <c r="C700" s="27">
        <v>500.0</v>
      </c>
      <c r="D700" s="134" t="s">
        <v>26</v>
      </c>
      <c r="F700" s="25"/>
    </row>
    <row r="701">
      <c r="A701" s="130" t="s">
        <v>3273</v>
      </c>
      <c r="B701" s="25">
        <v>75205.0</v>
      </c>
      <c r="C701" s="27">
        <v>100.0</v>
      </c>
      <c r="D701" s="134" t="s">
        <v>26</v>
      </c>
      <c r="F701" s="25"/>
    </row>
    <row r="702">
      <c r="A702" s="130" t="s">
        <v>3272</v>
      </c>
      <c r="B702" s="25">
        <v>75238.0</v>
      </c>
      <c r="C702" s="27">
        <v>100.0</v>
      </c>
      <c r="D702" s="134" t="s">
        <v>26</v>
      </c>
      <c r="F702" s="25"/>
    </row>
    <row r="703">
      <c r="A703" s="130" t="s">
        <v>3267</v>
      </c>
      <c r="B703" s="25">
        <v>75214.0</v>
      </c>
      <c r="C703" s="27">
        <v>100.0</v>
      </c>
      <c r="D703" s="134" t="s">
        <v>26</v>
      </c>
      <c r="F703" s="25"/>
    </row>
    <row r="704">
      <c r="A704" s="130" t="s">
        <v>3292</v>
      </c>
      <c r="B704" s="25">
        <v>75243.0</v>
      </c>
      <c r="C704" s="27">
        <v>200.0</v>
      </c>
      <c r="D704" s="134" t="s">
        <v>26</v>
      </c>
      <c r="F704" s="25"/>
    </row>
    <row r="705">
      <c r="A705" s="130" t="s">
        <v>3272</v>
      </c>
      <c r="B705" s="25">
        <v>75238.0</v>
      </c>
      <c r="C705" s="27">
        <v>50.0</v>
      </c>
      <c r="D705" s="134" t="s">
        <v>26</v>
      </c>
      <c r="F705" s="25"/>
    </row>
    <row r="706">
      <c r="A706" s="130" t="s">
        <v>3272</v>
      </c>
      <c r="B706" s="25">
        <v>75238.0</v>
      </c>
      <c r="C706" s="27">
        <v>50.0</v>
      </c>
      <c r="D706" s="134" t="s">
        <v>26</v>
      </c>
      <c r="F706" s="25"/>
    </row>
    <row r="707">
      <c r="A707" s="130" t="s">
        <v>3272</v>
      </c>
      <c r="B707" s="25">
        <v>75238.0</v>
      </c>
      <c r="C707" s="27">
        <v>125.0</v>
      </c>
      <c r="D707" s="134" t="s">
        <v>26</v>
      </c>
      <c r="F707" s="25"/>
    </row>
    <row r="708">
      <c r="A708" s="130" t="s">
        <v>3272</v>
      </c>
      <c r="B708" s="25">
        <v>75238.0</v>
      </c>
      <c r="C708" s="27">
        <v>125.0</v>
      </c>
      <c r="D708" s="134" t="s">
        <v>26</v>
      </c>
      <c r="F708" s="25"/>
    </row>
    <row r="709">
      <c r="A709" s="130" t="s">
        <v>3272</v>
      </c>
      <c r="B709" s="25">
        <v>75238.0</v>
      </c>
      <c r="C709" s="27">
        <v>250.0</v>
      </c>
      <c r="D709" s="134" t="s">
        <v>26</v>
      </c>
      <c r="F709" s="25"/>
    </row>
    <row r="710">
      <c r="A710" s="130" t="s">
        <v>3272</v>
      </c>
      <c r="B710" s="25">
        <v>75238.0</v>
      </c>
      <c r="C710" s="27">
        <v>250.0</v>
      </c>
      <c r="D710" s="134" t="s">
        <v>26</v>
      </c>
      <c r="F710" s="25"/>
    </row>
    <row r="711">
      <c r="A711" s="130" t="s">
        <v>3272</v>
      </c>
      <c r="B711" s="25">
        <v>75238.0</v>
      </c>
      <c r="C711" s="27">
        <v>750.0</v>
      </c>
      <c r="D711" s="134" t="s">
        <v>26</v>
      </c>
      <c r="F711" s="25"/>
    </row>
    <row r="712">
      <c r="A712" s="130" t="s">
        <v>3272</v>
      </c>
      <c r="B712" s="25">
        <v>75238.0</v>
      </c>
      <c r="C712" s="27">
        <v>750.0</v>
      </c>
      <c r="D712" s="134" t="s">
        <v>26</v>
      </c>
      <c r="F712" s="25"/>
    </row>
    <row r="713">
      <c r="A713" s="130" t="s">
        <v>3272</v>
      </c>
      <c r="B713" s="25">
        <v>75238.0</v>
      </c>
      <c r="C713" s="27">
        <v>250.0</v>
      </c>
      <c r="D713" s="134" t="s">
        <v>26</v>
      </c>
      <c r="F713" s="25"/>
    </row>
    <row r="714">
      <c r="A714" s="130" t="s">
        <v>3314</v>
      </c>
      <c r="B714" s="25">
        <v>75231.0</v>
      </c>
      <c r="C714" s="27">
        <v>100.0</v>
      </c>
      <c r="D714" s="134" t="s">
        <v>26</v>
      </c>
      <c r="F714" s="25"/>
    </row>
    <row r="715">
      <c r="A715" s="130" t="s">
        <v>3272</v>
      </c>
      <c r="B715" s="25">
        <v>75238.0</v>
      </c>
      <c r="C715" s="27">
        <v>100.0</v>
      </c>
      <c r="D715" s="134" t="s">
        <v>26</v>
      </c>
      <c r="F715" s="25"/>
    </row>
    <row r="716">
      <c r="A716" s="130" t="s">
        <v>3292</v>
      </c>
      <c r="B716" s="25">
        <v>75243.0</v>
      </c>
      <c r="C716" s="27">
        <v>500.0</v>
      </c>
      <c r="D716" s="134" t="s">
        <v>26</v>
      </c>
      <c r="F716" s="25"/>
    </row>
    <row r="717">
      <c r="A717" s="130" t="s">
        <v>3289</v>
      </c>
      <c r="B717" s="25">
        <v>75219.0</v>
      </c>
      <c r="C717" s="27">
        <v>500.0</v>
      </c>
      <c r="D717" s="134" t="s">
        <v>26</v>
      </c>
      <c r="F717" s="25"/>
    </row>
    <row r="718">
      <c r="A718" s="130" t="s">
        <v>3292</v>
      </c>
      <c r="B718" s="25">
        <v>75243.0</v>
      </c>
      <c r="C718" s="27">
        <v>100.0</v>
      </c>
      <c r="D718" s="134" t="s">
        <v>26</v>
      </c>
      <c r="F718" s="25"/>
    </row>
    <row r="719">
      <c r="A719" s="130" t="s">
        <v>3270</v>
      </c>
      <c r="B719" s="25">
        <v>75206.0</v>
      </c>
      <c r="C719" s="27">
        <v>1000.0</v>
      </c>
      <c r="D719" s="134" t="s">
        <v>26</v>
      </c>
      <c r="F719" s="25"/>
    </row>
    <row r="720">
      <c r="A720" s="130" t="s">
        <v>3292</v>
      </c>
      <c r="B720" s="25">
        <v>75243.0</v>
      </c>
      <c r="C720" s="27">
        <v>100.0</v>
      </c>
      <c r="D720" s="134" t="s">
        <v>26</v>
      </c>
      <c r="F720" s="25"/>
    </row>
    <row r="721">
      <c r="A721" s="130" t="s">
        <v>3272</v>
      </c>
      <c r="B721" s="25">
        <v>75238.0</v>
      </c>
      <c r="C721" s="27">
        <v>500.0</v>
      </c>
      <c r="D721" s="134" t="s">
        <v>26</v>
      </c>
      <c r="F721" s="25"/>
    </row>
    <row r="722">
      <c r="A722" s="130" t="s">
        <v>3314</v>
      </c>
      <c r="B722" s="25">
        <v>75231.0</v>
      </c>
      <c r="C722" s="27">
        <v>250.0</v>
      </c>
      <c r="D722" s="134" t="s">
        <v>26</v>
      </c>
      <c r="F722" s="25"/>
    </row>
    <row r="723">
      <c r="A723" s="130" t="s">
        <v>3272</v>
      </c>
      <c r="B723" s="25">
        <v>75238.0</v>
      </c>
      <c r="C723" s="27">
        <v>50.0</v>
      </c>
      <c r="D723" s="134" t="s">
        <v>26</v>
      </c>
      <c r="F723" s="25"/>
    </row>
    <row r="724">
      <c r="A724" s="130" t="s">
        <v>3272</v>
      </c>
      <c r="B724" s="25">
        <v>75238.0</v>
      </c>
      <c r="C724" s="27">
        <v>250.0</v>
      </c>
      <c r="D724" s="134" t="s">
        <v>26</v>
      </c>
      <c r="F724" s="25"/>
    </row>
    <row r="725">
      <c r="A725" s="130" t="s">
        <v>3272</v>
      </c>
      <c r="B725" s="25">
        <v>75238.0</v>
      </c>
      <c r="C725" s="27">
        <v>1000.0</v>
      </c>
      <c r="D725" s="134" t="s">
        <v>26</v>
      </c>
      <c r="F725" s="25"/>
    </row>
    <row r="726">
      <c r="A726" s="130" t="s">
        <v>3402</v>
      </c>
      <c r="B726" s="25">
        <v>75232.0</v>
      </c>
      <c r="C726" s="27">
        <v>1000.0</v>
      </c>
      <c r="D726" s="134" t="s">
        <v>22</v>
      </c>
      <c r="F726" s="25"/>
    </row>
    <row r="727">
      <c r="A727" s="130" t="s">
        <v>3403</v>
      </c>
      <c r="B727" s="25">
        <v>75237.0</v>
      </c>
      <c r="C727" s="27">
        <v>1000.0</v>
      </c>
      <c r="D727" s="134" t="s">
        <v>22</v>
      </c>
      <c r="F727" s="25"/>
    </row>
    <row r="728">
      <c r="A728" s="130" t="s">
        <v>3337</v>
      </c>
      <c r="B728" s="25">
        <v>75235.0</v>
      </c>
      <c r="C728" s="27">
        <v>1000.0</v>
      </c>
      <c r="D728" s="134" t="s">
        <v>22</v>
      </c>
      <c r="F728" s="25"/>
    </row>
    <row r="729">
      <c r="A729" s="130" t="s">
        <v>3349</v>
      </c>
      <c r="B729" s="25">
        <v>75376.0</v>
      </c>
      <c r="C729" s="27">
        <v>250.0</v>
      </c>
      <c r="D729" s="134" t="s">
        <v>22</v>
      </c>
      <c r="F729" s="25"/>
    </row>
    <row r="730">
      <c r="A730" s="130" t="s">
        <v>3404</v>
      </c>
      <c r="B730" s="25">
        <v>76264.0</v>
      </c>
      <c r="C730" s="27">
        <v>1000.0</v>
      </c>
      <c r="D730" s="134" t="s">
        <v>22</v>
      </c>
      <c r="F730" s="25"/>
    </row>
    <row r="731">
      <c r="A731" s="130" t="s">
        <v>3306</v>
      </c>
      <c r="B731" s="25">
        <v>76040.0</v>
      </c>
      <c r="C731" s="27">
        <v>750.0</v>
      </c>
      <c r="D731" s="134" t="s">
        <v>22</v>
      </c>
      <c r="F731" s="25"/>
    </row>
    <row r="732">
      <c r="A732" s="130" t="s">
        <v>3405</v>
      </c>
      <c r="B732" s="25">
        <v>75116.0</v>
      </c>
      <c r="C732" s="27">
        <v>1000.0</v>
      </c>
      <c r="D732" s="134" t="s">
        <v>22</v>
      </c>
      <c r="F732" s="25"/>
    </row>
    <row r="733">
      <c r="A733" s="130" t="s">
        <v>3406</v>
      </c>
      <c r="B733" s="25">
        <v>76011.0</v>
      </c>
      <c r="C733" s="27">
        <v>1000.0</v>
      </c>
      <c r="D733" s="134" t="s">
        <v>22</v>
      </c>
      <c r="F733" s="25"/>
    </row>
    <row r="734">
      <c r="A734" s="130" t="s">
        <v>3407</v>
      </c>
      <c r="B734" s="25">
        <v>75078.0</v>
      </c>
      <c r="C734" s="27">
        <v>100.0</v>
      </c>
      <c r="D734" s="134" t="s">
        <v>22</v>
      </c>
      <c r="F734" s="25"/>
    </row>
    <row r="735">
      <c r="A735" s="130" t="s">
        <v>3319</v>
      </c>
      <c r="B735" s="25">
        <v>33496.0</v>
      </c>
      <c r="C735" s="27">
        <v>1000.0</v>
      </c>
      <c r="D735" s="134" t="s">
        <v>22</v>
      </c>
      <c r="F735" s="25"/>
    </row>
    <row r="736">
      <c r="A736" s="130" t="s">
        <v>3312</v>
      </c>
      <c r="B736" s="25">
        <v>75201.0</v>
      </c>
      <c r="C736" s="27">
        <v>1000.0</v>
      </c>
      <c r="D736" s="134" t="s">
        <v>22</v>
      </c>
      <c r="F736" s="25"/>
    </row>
    <row r="737">
      <c r="A737" s="130" t="s">
        <v>3292</v>
      </c>
      <c r="B737" s="25">
        <v>75243.0</v>
      </c>
      <c r="C737" s="27">
        <v>300.0</v>
      </c>
      <c r="D737" s="134" t="s">
        <v>26</v>
      </c>
      <c r="F737" s="25"/>
    </row>
    <row r="738">
      <c r="A738" s="130" t="s">
        <v>3292</v>
      </c>
      <c r="B738" s="25">
        <v>75243.0</v>
      </c>
      <c r="C738" s="27">
        <v>1000.0</v>
      </c>
      <c r="D738" s="134" t="s">
        <v>26</v>
      </c>
      <c r="F738" s="25"/>
    </row>
    <row r="739">
      <c r="A739" s="130" t="s">
        <v>3272</v>
      </c>
      <c r="B739" s="25">
        <v>75238.0</v>
      </c>
      <c r="C739" s="27">
        <v>1000.0</v>
      </c>
      <c r="D739" s="134" t="s">
        <v>26</v>
      </c>
      <c r="F739" s="25"/>
    </row>
    <row r="740">
      <c r="A740" s="130" t="s">
        <v>3314</v>
      </c>
      <c r="B740" s="25">
        <v>75231.0</v>
      </c>
      <c r="C740" s="27">
        <v>500.0</v>
      </c>
      <c r="D740" s="134" t="s">
        <v>26</v>
      </c>
      <c r="F740" s="25"/>
    </row>
    <row r="741">
      <c r="A741" s="130" t="s">
        <v>3272</v>
      </c>
      <c r="B741" s="25">
        <v>75238.0</v>
      </c>
      <c r="C741" s="27">
        <v>250.0</v>
      </c>
      <c r="D741" s="134" t="s">
        <v>26</v>
      </c>
      <c r="F741" s="25"/>
    </row>
    <row r="742">
      <c r="A742" s="130" t="s">
        <v>3285</v>
      </c>
      <c r="B742" s="25">
        <v>75204.0</v>
      </c>
      <c r="C742" s="27">
        <v>1000.0</v>
      </c>
      <c r="D742" s="134" t="s">
        <v>26</v>
      </c>
      <c r="F742" s="25"/>
    </row>
    <row r="743">
      <c r="A743" s="130" t="s">
        <v>3313</v>
      </c>
      <c r="B743" s="25">
        <v>78759.0</v>
      </c>
      <c r="C743" s="27">
        <v>100.0</v>
      </c>
      <c r="D743" s="134" t="s">
        <v>26</v>
      </c>
      <c r="F743" s="25"/>
    </row>
    <row r="744">
      <c r="A744" s="130" t="s">
        <v>3272</v>
      </c>
      <c r="B744" s="25">
        <v>75238.0</v>
      </c>
      <c r="C744" s="27">
        <v>400.0</v>
      </c>
      <c r="D744" s="134" t="s">
        <v>26</v>
      </c>
      <c r="F744" s="25"/>
    </row>
    <row r="745">
      <c r="A745" s="130" t="s">
        <v>3292</v>
      </c>
      <c r="B745" s="25">
        <v>75243.0</v>
      </c>
      <c r="C745" s="27">
        <v>100.0</v>
      </c>
      <c r="D745" s="134" t="s">
        <v>26</v>
      </c>
      <c r="F745" s="25"/>
    </row>
    <row r="746">
      <c r="A746" s="130" t="s">
        <v>3272</v>
      </c>
      <c r="B746" s="25">
        <v>75238.0</v>
      </c>
      <c r="C746" s="27">
        <v>250.0</v>
      </c>
      <c r="D746" s="134" t="s">
        <v>26</v>
      </c>
      <c r="F746" s="25"/>
    </row>
    <row r="747">
      <c r="A747" s="130" t="s">
        <v>3279</v>
      </c>
      <c r="B747" s="25">
        <v>75225.0</v>
      </c>
      <c r="C747" s="27">
        <v>5000.0</v>
      </c>
      <c r="D747" s="134" t="s">
        <v>25</v>
      </c>
      <c r="F747" s="25"/>
    </row>
    <row r="748">
      <c r="A748" s="130" t="s">
        <v>3321</v>
      </c>
      <c r="B748" s="25">
        <v>75209.0</v>
      </c>
      <c r="C748" s="27">
        <v>5000.0</v>
      </c>
      <c r="D748" s="134" t="s">
        <v>25</v>
      </c>
      <c r="F748" s="25"/>
    </row>
    <row r="749">
      <c r="A749" s="130" t="s">
        <v>3273</v>
      </c>
      <c r="B749" s="25">
        <v>75205.0</v>
      </c>
      <c r="C749" s="27">
        <v>2500.0</v>
      </c>
      <c r="D749" s="134" t="s">
        <v>25</v>
      </c>
      <c r="F749" s="25"/>
    </row>
    <row r="750">
      <c r="A750" s="130" t="s">
        <v>3306</v>
      </c>
      <c r="B750" s="25">
        <v>76040.0</v>
      </c>
      <c r="C750" s="27">
        <v>2500.0</v>
      </c>
      <c r="D750" s="134" t="s">
        <v>25</v>
      </c>
      <c r="F750" s="25"/>
    </row>
    <row r="751">
      <c r="A751" s="130" t="s">
        <v>3408</v>
      </c>
      <c r="B751" s="25">
        <v>77434.0</v>
      </c>
      <c r="C751" s="27">
        <v>500.0</v>
      </c>
      <c r="D751" s="134" t="s">
        <v>25</v>
      </c>
      <c r="F751" s="25"/>
    </row>
    <row r="752">
      <c r="A752" s="130" t="s">
        <v>3312</v>
      </c>
      <c r="B752" s="25">
        <v>75201.0</v>
      </c>
      <c r="C752" s="27">
        <v>2500.0</v>
      </c>
      <c r="D752" s="134" t="s">
        <v>25</v>
      </c>
      <c r="F752" s="25"/>
    </row>
    <row r="753">
      <c r="A753" s="130" t="s">
        <v>3279</v>
      </c>
      <c r="B753" s="25">
        <v>75225.0</v>
      </c>
      <c r="C753" s="27">
        <v>5000.0</v>
      </c>
      <c r="D753" s="134" t="s">
        <v>25</v>
      </c>
      <c r="F753" s="25"/>
    </row>
    <row r="754">
      <c r="A754" s="130" t="s">
        <v>3292</v>
      </c>
      <c r="B754" s="25">
        <v>75243.0</v>
      </c>
      <c r="C754" s="27">
        <v>5000.0</v>
      </c>
      <c r="D754" s="134" t="s">
        <v>25</v>
      </c>
      <c r="F754" s="25"/>
    </row>
    <row r="755">
      <c r="A755" s="130" t="s">
        <v>3273</v>
      </c>
      <c r="B755" s="25">
        <v>75205.0</v>
      </c>
      <c r="C755" s="27">
        <v>1000.0</v>
      </c>
      <c r="D755" s="134" t="s">
        <v>25</v>
      </c>
      <c r="F755" s="25"/>
    </row>
    <row r="756">
      <c r="A756" s="130" t="s">
        <v>3289</v>
      </c>
      <c r="B756" s="25">
        <v>75219.0</v>
      </c>
      <c r="C756" s="27">
        <v>10000.0</v>
      </c>
      <c r="D756" s="134" t="s">
        <v>25</v>
      </c>
      <c r="F756" s="25"/>
    </row>
    <row r="757">
      <c r="A757" s="130" t="s">
        <v>3409</v>
      </c>
      <c r="B757" s="25">
        <v>77019.0</v>
      </c>
      <c r="C757" s="27">
        <v>750.0</v>
      </c>
      <c r="D757" s="134" t="s">
        <v>25</v>
      </c>
      <c r="F757" s="25"/>
    </row>
    <row r="758">
      <c r="A758" s="130" t="s">
        <v>3298</v>
      </c>
      <c r="B758" s="25">
        <v>78701.0</v>
      </c>
      <c r="C758" s="27">
        <v>2500.0</v>
      </c>
      <c r="D758" s="134" t="s">
        <v>25</v>
      </c>
      <c r="F758" s="25"/>
    </row>
    <row r="759">
      <c r="A759" s="138" t="s">
        <v>3278</v>
      </c>
      <c r="B759" s="40">
        <v>75248.0</v>
      </c>
      <c r="C759" s="27">
        <v>2500.0</v>
      </c>
      <c r="D759" s="134" t="s">
        <v>25</v>
      </c>
      <c r="F759" s="40"/>
    </row>
    <row r="760">
      <c r="A760" s="139" t="s">
        <v>3282</v>
      </c>
      <c r="B760" s="22">
        <v>75208.0</v>
      </c>
      <c r="C760" s="27">
        <v>2500.0</v>
      </c>
      <c r="D760" s="134" t="s">
        <v>25</v>
      </c>
      <c r="F760" s="22"/>
    </row>
    <row r="761">
      <c r="A761" s="138" t="s">
        <v>3270</v>
      </c>
      <c r="B761" s="40">
        <v>75206.0</v>
      </c>
      <c r="C761" s="27">
        <v>500.0</v>
      </c>
      <c r="D761" s="134" t="s">
        <v>25</v>
      </c>
      <c r="F761" s="40"/>
    </row>
    <row r="762">
      <c r="A762" s="139" t="s">
        <v>3301</v>
      </c>
      <c r="B762" s="22">
        <v>75220.0</v>
      </c>
      <c r="C762" s="27">
        <v>10000.0</v>
      </c>
      <c r="D762" s="134" t="s">
        <v>25</v>
      </c>
      <c r="F762" s="22"/>
    </row>
    <row r="763">
      <c r="A763" s="138" t="s">
        <v>3332</v>
      </c>
      <c r="B763" s="40">
        <v>75115.0</v>
      </c>
      <c r="C763" s="27">
        <v>1500.0</v>
      </c>
      <c r="D763" s="134" t="s">
        <v>25</v>
      </c>
      <c r="F763" s="40"/>
    </row>
    <row r="764">
      <c r="A764" s="139" t="s">
        <v>3298</v>
      </c>
      <c r="B764" s="22">
        <v>78701.0</v>
      </c>
      <c r="C764" s="27">
        <v>5000.0</v>
      </c>
      <c r="D764" s="134" t="s">
        <v>25</v>
      </c>
      <c r="F764" s="22"/>
    </row>
    <row r="765">
      <c r="A765" s="138" t="s">
        <v>3298</v>
      </c>
      <c r="B765" s="40">
        <v>78701.0</v>
      </c>
      <c r="C765" s="27">
        <v>5000.0</v>
      </c>
      <c r="D765" s="134" t="s">
        <v>25</v>
      </c>
      <c r="F765" s="40"/>
    </row>
    <row r="766">
      <c r="A766" s="139" t="s">
        <v>3283</v>
      </c>
      <c r="B766" s="22">
        <v>20036.0</v>
      </c>
      <c r="C766" s="27">
        <v>2500.0</v>
      </c>
      <c r="D766" s="134" t="s">
        <v>25</v>
      </c>
      <c r="F766" s="22"/>
    </row>
    <row r="767">
      <c r="A767" s="138" t="s">
        <v>3290</v>
      </c>
      <c r="B767" s="40">
        <v>75240.0</v>
      </c>
      <c r="C767" s="27">
        <v>2500.0</v>
      </c>
      <c r="D767" s="134" t="s">
        <v>25</v>
      </c>
      <c r="F767" s="40"/>
    </row>
    <row r="768">
      <c r="A768" s="139" t="s">
        <v>3410</v>
      </c>
      <c r="B768" s="22">
        <v>77010.0</v>
      </c>
      <c r="C768" s="27">
        <v>2500.0</v>
      </c>
      <c r="D768" s="134" t="s">
        <v>25</v>
      </c>
      <c r="F768" s="22"/>
    </row>
    <row r="769">
      <c r="A769" s="138" t="s">
        <v>3339</v>
      </c>
      <c r="B769" s="40">
        <v>75215.0</v>
      </c>
      <c r="C769" s="27">
        <v>1000.0</v>
      </c>
      <c r="D769" s="134" t="s">
        <v>25</v>
      </c>
      <c r="F769" s="40"/>
    </row>
    <row r="770">
      <c r="A770" s="139" t="s">
        <v>3337</v>
      </c>
      <c r="B770" s="22">
        <v>75235.0</v>
      </c>
      <c r="C770" s="27">
        <v>1000.0</v>
      </c>
      <c r="D770" s="134" t="s">
        <v>25</v>
      </c>
      <c r="F770" s="22"/>
    </row>
    <row r="771">
      <c r="A771" s="138" t="s">
        <v>3298</v>
      </c>
      <c r="B771" s="40">
        <v>78701.0</v>
      </c>
      <c r="C771" s="27">
        <v>1000.0</v>
      </c>
      <c r="D771" s="134" t="s">
        <v>25</v>
      </c>
      <c r="F771" s="40"/>
    </row>
    <row r="772">
      <c r="A772" s="139" t="s">
        <v>3350</v>
      </c>
      <c r="B772" s="22">
        <v>10119.0</v>
      </c>
      <c r="C772" s="27">
        <v>1000.0</v>
      </c>
      <c r="D772" s="134" t="s">
        <v>25</v>
      </c>
      <c r="F772" s="22"/>
    </row>
    <row r="773">
      <c r="A773" s="138" t="s">
        <v>3273</v>
      </c>
      <c r="B773" s="40">
        <v>75205.0</v>
      </c>
      <c r="C773" s="27">
        <v>5000.0</v>
      </c>
      <c r="D773" s="134" t="s">
        <v>25</v>
      </c>
      <c r="F773" s="40"/>
    </row>
    <row r="774">
      <c r="A774" s="139" t="s">
        <v>3285</v>
      </c>
      <c r="B774" s="22">
        <v>75204.0</v>
      </c>
      <c r="C774" s="27">
        <v>5000.0</v>
      </c>
      <c r="D774" s="134" t="s">
        <v>25</v>
      </c>
      <c r="F774" s="22"/>
    </row>
    <row r="775">
      <c r="A775" s="138" t="s">
        <v>3273</v>
      </c>
      <c r="B775" s="40">
        <v>75205.0</v>
      </c>
      <c r="C775" s="27">
        <v>5000.0</v>
      </c>
      <c r="D775" s="134" t="s">
        <v>25</v>
      </c>
      <c r="F775" s="40"/>
    </row>
    <row r="776">
      <c r="A776" s="139" t="s">
        <v>3273</v>
      </c>
      <c r="B776" s="22">
        <v>75205.0</v>
      </c>
      <c r="C776" s="27">
        <v>5000.0</v>
      </c>
      <c r="D776" s="134" t="s">
        <v>25</v>
      </c>
      <c r="F776" s="22"/>
    </row>
    <row r="777">
      <c r="A777" s="138" t="s">
        <v>3289</v>
      </c>
      <c r="B777" s="40">
        <v>75219.0</v>
      </c>
      <c r="C777" s="27">
        <v>10000.0</v>
      </c>
      <c r="D777" s="134" t="s">
        <v>25</v>
      </c>
      <c r="F777" s="40"/>
    </row>
    <row r="778">
      <c r="A778" s="139" t="s">
        <v>3270</v>
      </c>
      <c r="B778" s="22">
        <v>75206.0</v>
      </c>
      <c r="C778" s="27">
        <v>1000.0</v>
      </c>
      <c r="D778" s="134" t="s">
        <v>25</v>
      </c>
      <c r="F778" s="22"/>
    </row>
    <row r="779">
      <c r="A779" s="138" t="s">
        <v>3279</v>
      </c>
      <c r="B779" s="40">
        <v>75225.0</v>
      </c>
      <c r="C779" s="27">
        <v>1000.0</v>
      </c>
      <c r="D779" s="134" t="s">
        <v>25</v>
      </c>
      <c r="F779" s="40"/>
    </row>
    <row r="780">
      <c r="A780" s="139" t="s">
        <v>3411</v>
      </c>
      <c r="B780" s="22">
        <v>77027.0</v>
      </c>
      <c r="C780" s="27">
        <v>1000.0</v>
      </c>
      <c r="D780" s="134" t="s">
        <v>25</v>
      </c>
      <c r="F780" s="22"/>
    </row>
    <row r="781">
      <c r="A781" s="138" t="s">
        <v>3312</v>
      </c>
      <c r="B781" s="40">
        <v>75201.0</v>
      </c>
      <c r="C781" s="27">
        <v>5000.0</v>
      </c>
      <c r="D781" s="134" t="s">
        <v>25</v>
      </c>
      <c r="F781" s="40"/>
    </row>
    <row r="782">
      <c r="A782" s="139" t="s">
        <v>3312</v>
      </c>
      <c r="B782" s="22">
        <v>75201.0</v>
      </c>
      <c r="C782" s="27">
        <v>5000.0</v>
      </c>
      <c r="D782" s="134" t="s">
        <v>25</v>
      </c>
      <c r="F782" s="22"/>
    </row>
    <row r="783">
      <c r="A783" s="138" t="s">
        <v>3312</v>
      </c>
      <c r="B783" s="40">
        <v>75201.0</v>
      </c>
      <c r="C783" s="27">
        <v>5000.0</v>
      </c>
      <c r="D783" s="134" t="s">
        <v>25</v>
      </c>
      <c r="F783" s="40"/>
    </row>
    <row r="784">
      <c r="A784" s="139" t="s">
        <v>3312</v>
      </c>
      <c r="B784" s="22">
        <v>75201.0</v>
      </c>
      <c r="C784" s="27">
        <v>5000.0</v>
      </c>
      <c r="D784" s="134" t="s">
        <v>25</v>
      </c>
      <c r="F784" s="22"/>
    </row>
    <row r="785">
      <c r="A785" s="138" t="s">
        <v>3278</v>
      </c>
      <c r="B785" s="40">
        <v>75248.0</v>
      </c>
      <c r="C785" s="27">
        <v>5000.0</v>
      </c>
      <c r="D785" s="134" t="s">
        <v>25</v>
      </c>
      <c r="F785" s="40"/>
    </row>
    <row r="786">
      <c r="A786" s="139" t="s">
        <v>3273</v>
      </c>
      <c r="B786" s="22">
        <v>75205.0</v>
      </c>
      <c r="C786" s="27">
        <v>4000.0</v>
      </c>
      <c r="D786" s="134" t="s">
        <v>25</v>
      </c>
      <c r="F786" s="22"/>
    </row>
    <row r="787">
      <c r="A787" s="138" t="s">
        <v>3273</v>
      </c>
      <c r="B787" s="40">
        <v>75205.0</v>
      </c>
      <c r="C787" s="27">
        <v>2500.0</v>
      </c>
      <c r="D787" s="134" t="s">
        <v>25</v>
      </c>
      <c r="F787" s="40"/>
    </row>
    <row r="788">
      <c r="A788" s="139" t="s">
        <v>3289</v>
      </c>
      <c r="B788" s="22">
        <v>75219.0</v>
      </c>
      <c r="C788" s="27">
        <v>5000.0</v>
      </c>
      <c r="D788" s="134" t="s">
        <v>25</v>
      </c>
      <c r="F788" s="22"/>
    </row>
    <row r="789">
      <c r="A789" s="138" t="s">
        <v>3273</v>
      </c>
      <c r="B789" s="40">
        <v>75205.0</v>
      </c>
      <c r="C789" s="27">
        <v>10000.0</v>
      </c>
      <c r="D789" s="134" t="s">
        <v>25</v>
      </c>
      <c r="F789" s="40"/>
    </row>
    <row r="790">
      <c r="A790" s="139" t="s">
        <v>3306</v>
      </c>
      <c r="B790" s="22">
        <v>76040.0</v>
      </c>
      <c r="C790" s="27">
        <v>2500.0</v>
      </c>
      <c r="D790" s="134" t="s">
        <v>25</v>
      </c>
      <c r="F790" s="22"/>
    </row>
    <row r="791">
      <c r="A791" s="138" t="s">
        <v>3412</v>
      </c>
      <c r="B791" s="40">
        <v>75098.0</v>
      </c>
      <c r="C791" s="27">
        <v>5000.0</v>
      </c>
      <c r="D791" s="134" t="s">
        <v>25</v>
      </c>
      <c r="F791" s="40"/>
    </row>
    <row r="792">
      <c r="A792" s="139" t="s">
        <v>3276</v>
      </c>
      <c r="B792" s="22">
        <v>77005.0</v>
      </c>
      <c r="C792" s="27">
        <v>1000.0</v>
      </c>
      <c r="D792" s="134" t="s">
        <v>25</v>
      </c>
      <c r="F792" s="22"/>
    </row>
    <row r="793">
      <c r="A793" s="138" t="s">
        <v>3276</v>
      </c>
      <c r="B793" s="40">
        <v>77005.0</v>
      </c>
      <c r="C793" s="27">
        <v>1000.0</v>
      </c>
      <c r="D793" s="134" t="s">
        <v>25</v>
      </c>
      <c r="F793" s="40"/>
    </row>
    <row r="794">
      <c r="A794" s="139" t="s">
        <v>3298</v>
      </c>
      <c r="B794" s="22">
        <v>78701.0</v>
      </c>
      <c r="C794" s="27">
        <v>1000.0</v>
      </c>
      <c r="D794" s="134" t="s">
        <v>25</v>
      </c>
      <c r="F794" s="22"/>
    </row>
    <row r="795">
      <c r="A795" s="138" t="s">
        <v>3413</v>
      </c>
      <c r="B795" s="40">
        <v>77042.0</v>
      </c>
      <c r="C795" s="27">
        <v>500.0</v>
      </c>
      <c r="D795" s="134" t="s">
        <v>25</v>
      </c>
      <c r="F795" s="40"/>
    </row>
    <row r="796">
      <c r="A796" s="139" t="s">
        <v>3339</v>
      </c>
      <c r="B796" s="22">
        <v>75215.0</v>
      </c>
      <c r="C796" s="27">
        <v>100.0</v>
      </c>
      <c r="D796" s="134" t="s">
        <v>25</v>
      </c>
      <c r="F796" s="22"/>
    </row>
    <row r="797">
      <c r="A797" s="138" t="s">
        <v>3409</v>
      </c>
      <c r="B797" s="40">
        <v>77019.0</v>
      </c>
      <c r="C797" s="27">
        <v>2500.0</v>
      </c>
      <c r="D797" s="134" t="s">
        <v>25</v>
      </c>
      <c r="F797" s="40"/>
    </row>
    <row r="798">
      <c r="A798" s="139" t="s">
        <v>3414</v>
      </c>
      <c r="B798" s="22">
        <v>77024.0</v>
      </c>
      <c r="C798" s="27">
        <v>250.0</v>
      </c>
      <c r="D798" s="134" t="s">
        <v>25</v>
      </c>
      <c r="F798" s="22"/>
    </row>
    <row r="799">
      <c r="A799" s="138" t="s">
        <v>3287</v>
      </c>
      <c r="B799" s="40">
        <v>78746.0</v>
      </c>
      <c r="C799" s="27">
        <v>1000.0</v>
      </c>
      <c r="D799" s="134" t="s">
        <v>25</v>
      </c>
      <c r="F799" s="40"/>
    </row>
    <row r="800">
      <c r="A800" s="139" t="s">
        <v>3298</v>
      </c>
      <c r="B800" s="22">
        <v>78701.0</v>
      </c>
      <c r="C800" s="27">
        <v>1000.0</v>
      </c>
      <c r="D800" s="134" t="s">
        <v>25</v>
      </c>
      <c r="F800" s="22"/>
    </row>
    <row r="801">
      <c r="A801" s="138" t="s">
        <v>3415</v>
      </c>
      <c r="B801" s="40">
        <v>78738.0</v>
      </c>
      <c r="C801" s="27">
        <v>1000.0</v>
      </c>
      <c r="D801" s="134" t="s">
        <v>25</v>
      </c>
      <c r="F801" s="40"/>
    </row>
    <row r="802">
      <c r="A802" s="139" t="s">
        <v>3415</v>
      </c>
      <c r="B802" s="22">
        <v>78738.0</v>
      </c>
      <c r="C802" s="27">
        <v>1000.0</v>
      </c>
      <c r="D802" s="134" t="s">
        <v>25</v>
      </c>
      <c r="F802" s="22"/>
    </row>
    <row r="803">
      <c r="A803" s="138" t="s">
        <v>3298</v>
      </c>
      <c r="B803" s="40">
        <v>78701.0</v>
      </c>
      <c r="C803" s="27">
        <v>1000.0</v>
      </c>
      <c r="D803" s="134" t="s">
        <v>25</v>
      </c>
      <c r="F803" s="40"/>
    </row>
    <row r="804">
      <c r="A804" s="139" t="s">
        <v>3298</v>
      </c>
      <c r="B804" s="22">
        <v>78701.0</v>
      </c>
      <c r="C804" s="27">
        <v>1000.0</v>
      </c>
      <c r="D804" s="134" t="s">
        <v>25</v>
      </c>
      <c r="F804" s="22"/>
    </row>
    <row r="805">
      <c r="A805" s="138" t="s">
        <v>3416</v>
      </c>
      <c r="B805" s="40">
        <v>76448.0</v>
      </c>
      <c r="C805" s="27">
        <v>1500.0</v>
      </c>
      <c r="D805" s="134" t="s">
        <v>25</v>
      </c>
      <c r="F805" s="40"/>
    </row>
    <row r="806">
      <c r="A806" s="139" t="s">
        <v>3317</v>
      </c>
      <c r="B806" s="22">
        <v>77002.0</v>
      </c>
      <c r="C806" s="27">
        <v>2500.0</v>
      </c>
      <c r="D806" s="134" t="s">
        <v>25</v>
      </c>
      <c r="F806" s="22"/>
    </row>
    <row r="807">
      <c r="A807" s="138" t="s">
        <v>3277</v>
      </c>
      <c r="B807" s="40">
        <v>77077.0</v>
      </c>
      <c r="C807" s="27">
        <v>1000.0</v>
      </c>
      <c r="D807" s="134" t="s">
        <v>25</v>
      </c>
      <c r="F807" s="40"/>
    </row>
    <row r="808">
      <c r="A808" s="139" t="s">
        <v>3298</v>
      </c>
      <c r="B808" s="22">
        <v>78701.0</v>
      </c>
      <c r="C808" s="27">
        <v>5000.0</v>
      </c>
      <c r="D808" s="134" t="s">
        <v>25</v>
      </c>
      <c r="F808" s="22"/>
    </row>
    <row r="809">
      <c r="A809" s="138" t="s">
        <v>3329</v>
      </c>
      <c r="B809" s="40">
        <v>78703.0</v>
      </c>
      <c r="C809" s="27">
        <v>1000.0</v>
      </c>
      <c r="D809" s="134" t="s">
        <v>25</v>
      </c>
      <c r="F809" s="40"/>
    </row>
    <row r="810">
      <c r="A810" s="139" t="s">
        <v>3311</v>
      </c>
      <c r="B810" s="22">
        <v>75182.0</v>
      </c>
      <c r="C810" s="27">
        <v>1000.0</v>
      </c>
      <c r="D810" s="134" t="s">
        <v>25</v>
      </c>
      <c r="F810" s="22"/>
    </row>
    <row r="811">
      <c r="A811" s="138" t="s">
        <v>3417</v>
      </c>
      <c r="B811" s="40">
        <v>78746.0</v>
      </c>
      <c r="C811" s="27">
        <v>2100.0</v>
      </c>
      <c r="D811" s="134" t="s">
        <v>25</v>
      </c>
      <c r="F811" s="40"/>
    </row>
    <row r="812">
      <c r="A812" s="139" t="s">
        <v>3343</v>
      </c>
      <c r="B812" s="22">
        <v>78768.0</v>
      </c>
      <c r="C812" s="27">
        <v>10000.0</v>
      </c>
      <c r="D812" s="134" t="s">
        <v>25</v>
      </c>
      <c r="F812" s="22"/>
    </row>
    <row r="813">
      <c r="A813" s="138" t="s">
        <v>3290</v>
      </c>
      <c r="B813" s="40">
        <v>75240.0</v>
      </c>
      <c r="C813" s="27">
        <v>7500.0</v>
      </c>
      <c r="D813" s="134" t="s">
        <v>25</v>
      </c>
      <c r="F813" s="40"/>
    </row>
    <row r="814">
      <c r="A814" s="139" t="s">
        <v>3298</v>
      </c>
      <c r="B814" s="22">
        <v>78701.0</v>
      </c>
      <c r="C814" s="27">
        <v>5000.0</v>
      </c>
      <c r="D814" s="134" t="s">
        <v>25</v>
      </c>
      <c r="F814" s="22"/>
    </row>
    <row r="815">
      <c r="A815" s="138" t="s">
        <v>3418</v>
      </c>
      <c r="B815" s="40">
        <v>60601.0</v>
      </c>
      <c r="C815" s="27">
        <v>500.0</v>
      </c>
      <c r="D815" s="134" t="s">
        <v>25</v>
      </c>
      <c r="F815" s="40"/>
    </row>
    <row r="816">
      <c r="A816" s="139" t="s">
        <v>3419</v>
      </c>
      <c r="B816" s="22">
        <v>77004.0</v>
      </c>
      <c r="C816" s="27">
        <v>500.0</v>
      </c>
      <c r="D816" s="134" t="s">
        <v>25</v>
      </c>
      <c r="F816" s="22"/>
    </row>
    <row r="817">
      <c r="A817" s="138" t="s">
        <v>3420</v>
      </c>
      <c r="B817" s="40">
        <v>64108.0</v>
      </c>
      <c r="C817" s="27">
        <v>1000.0</v>
      </c>
      <c r="D817" s="134" t="s">
        <v>25</v>
      </c>
      <c r="F817" s="40"/>
    </row>
    <row r="818">
      <c r="A818" s="139" t="s">
        <v>3312</v>
      </c>
      <c r="B818" s="22">
        <v>75201.0</v>
      </c>
      <c r="C818" s="27">
        <v>10000.0</v>
      </c>
      <c r="D818" s="134" t="s">
        <v>25</v>
      </c>
      <c r="F818" s="22"/>
    </row>
    <row r="819">
      <c r="A819" s="138" t="s">
        <v>3283</v>
      </c>
      <c r="B819" s="40">
        <v>20036.0</v>
      </c>
      <c r="C819" s="27">
        <v>2500.0</v>
      </c>
      <c r="D819" s="134" t="s">
        <v>25</v>
      </c>
      <c r="F819" s="40"/>
    </row>
    <row r="820">
      <c r="A820" s="139" t="s">
        <v>3317</v>
      </c>
      <c r="B820" s="22">
        <v>77002.0</v>
      </c>
      <c r="C820" s="27">
        <v>10000.0</v>
      </c>
      <c r="D820" s="134" t="s">
        <v>25</v>
      </c>
      <c r="F820" s="22"/>
    </row>
    <row r="821">
      <c r="A821" s="138" t="s">
        <v>3270</v>
      </c>
      <c r="B821" s="40">
        <v>75206.0</v>
      </c>
      <c r="C821" s="27">
        <v>350.0</v>
      </c>
      <c r="D821" s="134" t="s">
        <v>25</v>
      </c>
      <c r="F821" s="40"/>
    </row>
    <row r="822">
      <c r="A822" s="139" t="s">
        <v>3347</v>
      </c>
      <c r="B822" s="22">
        <v>10006.0</v>
      </c>
      <c r="C822" s="27">
        <v>100.0</v>
      </c>
      <c r="D822" s="134" t="s">
        <v>25</v>
      </c>
      <c r="F822" s="22"/>
    </row>
    <row r="823">
      <c r="A823" s="138" t="s">
        <v>3327</v>
      </c>
      <c r="B823" s="40">
        <v>75022.0</v>
      </c>
      <c r="C823" s="27">
        <v>4000.0</v>
      </c>
      <c r="D823" s="134" t="s">
        <v>25</v>
      </c>
      <c r="F823" s="40"/>
    </row>
    <row r="824">
      <c r="A824" s="139" t="s">
        <v>3366</v>
      </c>
      <c r="B824" s="22">
        <v>75236.0</v>
      </c>
      <c r="C824" s="27">
        <v>5000.0</v>
      </c>
      <c r="D824" s="134" t="s">
        <v>25</v>
      </c>
      <c r="F824" s="22"/>
    </row>
    <row r="825">
      <c r="A825" s="138" t="s">
        <v>3291</v>
      </c>
      <c r="B825" s="40">
        <v>75287.0</v>
      </c>
      <c r="C825" s="27">
        <v>25.0</v>
      </c>
      <c r="D825" s="134" t="s">
        <v>25</v>
      </c>
      <c r="F825" s="40"/>
    </row>
    <row r="826">
      <c r="A826" s="139" t="s">
        <v>3291</v>
      </c>
      <c r="B826" s="22">
        <v>75287.0</v>
      </c>
      <c r="C826" s="27">
        <v>50.0</v>
      </c>
      <c r="D826" s="134" t="s">
        <v>25</v>
      </c>
      <c r="F826" s="22"/>
    </row>
    <row r="827">
      <c r="A827" s="138" t="s">
        <v>3267</v>
      </c>
      <c r="B827" s="40">
        <v>75214.0</v>
      </c>
      <c r="C827" s="27">
        <v>1000.0</v>
      </c>
      <c r="D827" s="134" t="s">
        <v>25</v>
      </c>
      <c r="F827" s="40"/>
    </row>
    <row r="828">
      <c r="A828" s="139" t="s">
        <v>3266</v>
      </c>
      <c r="B828" s="22">
        <v>75230.0</v>
      </c>
      <c r="C828" s="27">
        <v>50.0</v>
      </c>
      <c r="D828" s="134" t="s">
        <v>25</v>
      </c>
      <c r="F828" s="22"/>
    </row>
    <row r="829">
      <c r="A829" s="138" t="s">
        <v>3281</v>
      </c>
      <c r="B829" s="40">
        <v>75218.0</v>
      </c>
      <c r="C829" s="27">
        <v>500.0</v>
      </c>
      <c r="D829" s="134" t="s">
        <v>25</v>
      </c>
      <c r="F829" s="40"/>
    </row>
    <row r="830">
      <c r="A830" s="139" t="s">
        <v>3296</v>
      </c>
      <c r="B830" s="22">
        <v>75039.0</v>
      </c>
      <c r="C830" s="27">
        <v>100.0</v>
      </c>
      <c r="D830" s="134" t="s">
        <v>25</v>
      </c>
      <c r="F830" s="22"/>
    </row>
    <row r="831">
      <c r="A831" s="138" t="s">
        <v>3421</v>
      </c>
      <c r="B831" s="40">
        <v>75039.0</v>
      </c>
      <c r="C831" s="27">
        <v>100.0</v>
      </c>
      <c r="D831" s="134" t="s">
        <v>25</v>
      </c>
      <c r="F831" s="40"/>
    </row>
    <row r="832">
      <c r="A832" s="139" t="s">
        <v>3321</v>
      </c>
      <c r="B832" s="22">
        <v>75209.0</v>
      </c>
      <c r="C832" s="27">
        <v>1000.0</v>
      </c>
      <c r="D832" s="134" t="s">
        <v>25</v>
      </c>
      <c r="F832" s="22"/>
    </row>
    <row r="833">
      <c r="A833" s="138" t="s">
        <v>3279</v>
      </c>
      <c r="B833" s="40">
        <v>75225.0</v>
      </c>
      <c r="C833" s="27">
        <v>50.0</v>
      </c>
      <c r="D833" s="134" t="s">
        <v>25</v>
      </c>
      <c r="F833" s="40"/>
    </row>
    <row r="834">
      <c r="A834" s="139" t="s">
        <v>3279</v>
      </c>
      <c r="B834" s="22">
        <v>75225.0</v>
      </c>
      <c r="C834" s="27">
        <v>1000.0</v>
      </c>
      <c r="D834" s="134" t="s">
        <v>25</v>
      </c>
      <c r="F834" s="22"/>
    </row>
    <row r="835">
      <c r="A835" s="138" t="s">
        <v>3267</v>
      </c>
      <c r="B835" s="40">
        <v>75214.0</v>
      </c>
      <c r="C835" s="27">
        <v>1000.0</v>
      </c>
      <c r="D835" s="134" t="s">
        <v>25</v>
      </c>
      <c r="F835" s="40"/>
    </row>
    <row r="836">
      <c r="A836" s="139" t="s">
        <v>3282</v>
      </c>
      <c r="B836" s="22">
        <v>75208.0</v>
      </c>
      <c r="C836" s="27">
        <v>50.0</v>
      </c>
      <c r="D836" s="134" t="s">
        <v>25</v>
      </c>
      <c r="F836" s="22"/>
    </row>
    <row r="837">
      <c r="A837" s="138" t="s">
        <v>3301</v>
      </c>
      <c r="B837" s="40">
        <v>75220.0</v>
      </c>
      <c r="C837" s="27">
        <v>1000.0</v>
      </c>
      <c r="D837" s="134" t="s">
        <v>25</v>
      </c>
      <c r="F837" s="40"/>
    </row>
    <row r="838">
      <c r="A838" s="139" t="s">
        <v>3422</v>
      </c>
      <c r="B838" s="22">
        <v>2138.0</v>
      </c>
      <c r="C838" s="27">
        <v>500.0</v>
      </c>
      <c r="D838" s="134" t="s">
        <v>25</v>
      </c>
      <c r="F838" s="22"/>
    </row>
    <row r="839">
      <c r="A839" s="138" t="s">
        <v>3361</v>
      </c>
      <c r="B839" s="40">
        <v>78610.0</v>
      </c>
      <c r="C839" s="27">
        <v>1000.0</v>
      </c>
      <c r="D839" s="134" t="s">
        <v>25</v>
      </c>
      <c r="F839" s="40"/>
    </row>
    <row r="840">
      <c r="A840" s="139" t="s">
        <v>3273</v>
      </c>
      <c r="B840" s="22">
        <v>75205.0</v>
      </c>
      <c r="C840" s="27">
        <v>500.0</v>
      </c>
      <c r="D840" s="134" t="s">
        <v>25</v>
      </c>
      <c r="F840" s="22"/>
    </row>
    <row r="841">
      <c r="A841" s="138" t="s">
        <v>3318</v>
      </c>
      <c r="B841" s="40">
        <v>75137.0</v>
      </c>
      <c r="C841" s="27">
        <v>200.0</v>
      </c>
      <c r="D841" s="134" t="s">
        <v>25</v>
      </c>
      <c r="F841" s="40"/>
    </row>
    <row r="842">
      <c r="A842" s="139" t="s">
        <v>3301</v>
      </c>
      <c r="B842" s="22">
        <v>75220.0</v>
      </c>
      <c r="C842" s="27">
        <v>1000.0</v>
      </c>
      <c r="D842" s="134" t="s">
        <v>25</v>
      </c>
      <c r="F842" s="22"/>
    </row>
    <row r="843">
      <c r="A843" s="138" t="s">
        <v>3267</v>
      </c>
      <c r="B843" s="40">
        <v>75214.0</v>
      </c>
      <c r="C843" s="27">
        <v>100.0</v>
      </c>
      <c r="D843" s="134" t="s">
        <v>25</v>
      </c>
      <c r="F843" s="40"/>
    </row>
    <row r="844">
      <c r="A844" s="139" t="s">
        <v>3353</v>
      </c>
      <c r="B844" s="22">
        <v>76710.0</v>
      </c>
      <c r="C844" s="27">
        <v>2500.0</v>
      </c>
      <c r="D844" s="134" t="s">
        <v>25</v>
      </c>
      <c r="F844" s="22"/>
    </row>
    <row r="845">
      <c r="A845" s="138" t="s">
        <v>3266</v>
      </c>
      <c r="B845" s="40">
        <v>75230.0</v>
      </c>
      <c r="C845" s="27">
        <v>500.0</v>
      </c>
      <c r="D845" s="134" t="s">
        <v>25</v>
      </c>
      <c r="F845" s="40"/>
    </row>
    <row r="846">
      <c r="A846" s="139" t="s">
        <v>3273</v>
      </c>
      <c r="B846" s="22">
        <v>75205.0</v>
      </c>
      <c r="C846" s="27">
        <v>2500.0</v>
      </c>
      <c r="D846" s="134" t="s">
        <v>25</v>
      </c>
      <c r="F846" s="22"/>
    </row>
    <row r="847">
      <c r="A847" s="138" t="s">
        <v>3300</v>
      </c>
      <c r="B847" s="40">
        <v>75228.0</v>
      </c>
      <c r="C847" s="27">
        <v>100.0</v>
      </c>
      <c r="D847" s="134" t="s">
        <v>25</v>
      </c>
      <c r="F847" s="40"/>
    </row>
    <row r="848">
      <c r="A848" s="139" t="s">
        <v>3270</v>
      </c>
      <c r="B848" s="22">
        <v>75206.0</v>
      </c>
      <c r="C848" s="27">
        <v>100.0</v>
      </c>
      <c r="D848" s="134" t="s">
        <v>25</v>
      </c>
      <c r="F848" s="22"/>
    </row>
    <row r="849">
      <c r="A849" s="138" t="s">
        <v>3267</v>
      </c>
      <c r="B849" s="40">
        <v>75214.0</v>
      </c>
      <c r="C849" s="27">
        <v>500.0</v>
      </c>
      <c r="D849" s="134" t="s">
        <v>25</v>
      </c>
      <c r="F849" s="40"/>
    </row>
    <row r="850">
      <c r="A850" s="139" t="s">
        <v>3331</v>
      </c>
      <c r="B850" s="22">
        <v>75028.0</v>
      </c>
      <c r="C850" s="27">
        <v>500.0</v>
      </c>
      <c r="D850" s="134" t="s">
        <v>25</v>
      </c>
      <c r="F850" s="22"/>
    </row>
    <row r="851">
      <c r="A851" s="138" t="s">
        <v>3351</v>
      </c>
      <c r="B851" s="40">
        <v>75232.0</v>
      </c>
      <c r="C851" s="27">
        <v>1000.0</v>
      </c>
      <c r="D851" s="134" t="s">
        <v>25</v>
      </c>
      <c r="F851" s="40"/>
    </row>
    <row r="852">
      <c r="A852" s="139" t="s">
        <v>3329</v>
      </c>
      <c r="B852" s="22">
        <v>78703.0</v>
      </c>
      <c r="C852" s="27">
        <v>1000.0</v>
      </c>
      <c r="D852" s="134" t="s">
        <v>25</v>
      </c>
      <c r="F852" s="22"/>
    </row>
    <row r="853">
      <c r="A853" s="138" t="s">
        <v>3266</v>
      </c>
      <c r="B853" s="40">
        <v>75230.0</v>
      </c>
      <c r="C853" s="27">
        <v>5000.0</v>
      </c>
      <c r="D853" s="134" t="s">
        <v>25</v>
      </c>
      <c r="F853" s="40"/>
    </row>
    <row r="854">
      <c r="A854" s="139" t="s">
        <v>3423</v>
      </c>
      <c r="B854" s="22">
        <v>78746.0</v>
      </c>
      <c r="C854" s="27">
        <v>1000.0</v>
      </c>
      <c r="D854" s="134" t="s">
        <v>25</v>
      </c>
      <c r="F854" s="22"/>
    </row>
    <row r="855">
      <c r="A855" s="138" t="s">
        <v>3369</v>
      </c>
      <c r="B855" s="40">
        <v>75249.0</v>
      </c>
      <c r="C855" s="27">
        <v>100.0</v>
      </c>
      <c r="D855" s="134" t="s">
        <v>25</v>
      </c>
      <c r="F855" s="40"/>
    </row>
    <row r="856">
      <c r="A856" s="139" t="s">
        <v>3326</v>
      </c>
      <c r="B856" s="22">
        <v>75224.0</v>
      </c>
      <c r="C856" s="27">
        <v>100.0</v>
      </c>
      <c r="D856" s="134" t="s">
        <v>25</v>
      </c>
      <c r="F856" s="22"/>
    </row>
    <row r="857">
      <c r="A857" s="138" t="s">
        <v>3278</v>
      </c>
      <c r="B857" s="40">
        <v>75248.0</v>
      </c>
      <c r="C857" s="27">
        <v>100.0</v>
      </c>
      <c r="D857" s="134" t="s">
        <v>25</v>
      </c>
      <c r="F857" s="40"/>
    </row>
    <row r="858">
      <c r="A858" s="139" t="s">
        <v>3340</v>
      </c>
      <c r="B858" s="22">
        <v>75244.0</v>
      </c>
      <c r="C858" s="27">
        <v>100.0</v>
      </c>
      <c r="D858" s="134" t="s">
        <v>25</v>
      </c>
      <c r="F858" s="22"/>
    </row>
    <row r="859">
      <c r="A859" s="138" t="s">
        <v>3312</v>
      </c>
      <c r="B859" s="40">
        <v>75201.0</v>
      </c>
      <c r="C859" s="27">
        <v>500.0</v>
      </c>
      <c r="D859" s="134" t="s">
        <v>25</v>
      </c>
      <c r="F859" s="40"/>
    </row>
    <row r="860">
      <c r="A860" s="139" t="s">
        <v>3292</v>
      </c>
      <c r="B860" s="22">
        <v>75243.0</v>
      </c>
      <c r="C860" s="27">
        <v>50.0</v>
      </c>
      <c r="D860" s="134" t="s">
        <v>25</v>
      </c>
      <c r="F860" s="22"/>
    </row>
    <row r="861">
      <c r="A861" s="138" t="s">
        <v>3367</v>
      </c>
      <c r="B861" s="40">
        <v>75237.0</v>
      </c>
      <c r="C861" s="27">
        <v>1000.0</v>
      </c>
      <c r="D861" s="134" t="s">
        <v>25</v>
      </c>
      <c r="F861" s="40"/>
    </row>
    <row r="862">
      <c r="A862" s="139" t="s">
        <v>3352</v>
      </c>
      <c r="B862" s="22">
        <v>75134.0</v>
      </c>
      <c r="C862" s="27">
        <v>100.0</v>
      </c>
      <c r="D862" s="134" t="s">
        <v>25</v>
      </c>
      <c r="F862" s="22"/>
    </row>
    <row r="863">
      <c r="A863" s="138" t="s">
        <v>3273</v>
      </c>
      <c r="B863" s="40">
        <v>75205.0</v>
      </c>
      <c r="C863" s="27">
        <v>500.0</v>
      </c>
      <c r="D863" s="134" t="s">
        <v>25</v>
      </c>
      <c r="F863" s="40"/>
    </row>
    <row r="864">
      <c r="A864" s="139" t="s">
        <v>3424</v>
      </c>
      <c r="B864" s="22">
        <v>77041.0</v>
      </c>
      <c r="C864" s="27">
        <v>100.0</v>
      </c>
      <c r="D864" s="134" t="s">
        <v>25</v>
      </c>
      <c r="F864" s="22"/>
    </row>
    <row r="865">
      <c r="A865" s="138" t="s">
        <v>3267</v>
      </c>
      <c r="B865" s="40">
        <v>75214.0</v>
      </c>
      <c r="C865" s="27">
        <v>100.0</v>
      </c>
      <c r="D865" s="134" t="s">
        <v>25</v>
      </c>
      <c r="F865" s="40"/>
    </row>
    <row r="866">
      <c r="A866" s="139" t="s">
        <v>3270</v>
      </c>
      <c r="B866" s="22">
        <v>75206.0</v>
      </c>
      <c r="C866" s="27">
        <v>100.0</v>
      </c>
      <c r="D866" s="134" t="s">
        <v>25</v>
      </c>
      <c r="F866" s="22"/>
    </row>
    <row r="867">
      <c r="A867" s="138" t="s">
        <v>3270</v>
      </c>
      <c r="B867" s="40">
        <v>75206.0</v>
      </c>
      <c r="C867" s="27">
        <v>100.0</v>
      </c>
      <c r="D867" s="134" t="s">
        <v>25</v>
      </c>
      <c r="F867" s="40"/>
    </row>
    <row r="868">
      <c r="A868" s="139" t="s">
        <v>3267</v>
      </c>
      <c r="B868" s="22">
        <v>75214.0</v>
      </c>
      <c r="C868" s="27">
        <v>250.0</v>
      </c>
      <c r="D868" s="134" t="s">
        <v>25</v>
      </c>
      <c r="F868" s="22"/>
    </row>
    <row r="869">
      <c r="A869" s="138" t="s">
        <v>3280</v>
      </c>
      <c r="B869" s="40">
        <v>75252.0</v>
      </c>
      <c r="C869" s="27">
        <v>50.0</v>
      </c>
      <c r="D869" s="134" t="s">
        <v>25</v>
      </c>
      <c r="F869" s="40"/>
    </row>
    <row r="870">
      <c r="A870" s="139" t="s">
        <v>3279</v>
      </c>
      <c r="B870" s="22">
        <v>75225.0</v>
      </c>
      <c r="C870" s="27">
        <v>1000.0</v>
      </c>
      <c r="D870" s="134" t="s">
        <v>25</v>
      </c>
      <c r="F870" s="22"/>
    </row>
    <row r="871">
      <c r="A871" s="138" t="s">
        <v>3298</v>
      </c>
      <c r="B871" s="40">
        <v>78701.0</v>
      </c>
      <c r="C871" s="27">
        <v>2500.0</v>
      </c>
      <c r="D871" s="134" t="s">
        <v>25</v>
      </c>
      <c r="F871" s="40"/>
    </row>
    <row r="872">
      <c r="A872" s="139" t="s">
        <v>3266</v>
      </c>
      <c r="B872" s="22">
        <v>75230.0</v>
      </c>
      <c r="C872" s="27">
        <v>1000.0</v>
      </c>
      <c r="D872" s="134" t="s">
        <v>25</v>
      </c>
      <c r="F872" s="22"/>
    </row>
    <row r="873">
      <c r="A873" s="138" t="s">
        <v>3312</v>
      </c>
      <c r="B873" s="40">
        <v>75201.0</v>
      </c>
      <c r="C873" s="27">
        <v>50.0</v>
      </c>
      <c r="D873" s="134" t="s">
        <v>25</v>
      </c>
      <c r="F873" s="40"/>
    </row>
    <row r="874">
      <c r="A874" s="139" t="s">
        <v>3387</v>
      </c>
      <c r="B874" s="22">
        <v>75216.0</v>
      </c>
      <c r="C874" s="27">
        <v>50.0</v>
      </c>
      <c r="D874" s="134" t="s">
        <v>25</v>
      </c>
      <c r="F874" s="22"/>
    </row>
    <row r="875">
      <c r="A875" s="138" t="s">
        <v>3300</v>
      </c>
      <c r="B875" s="40">
        <v>75228.0</v>
      </c>
      <c r="C875" s="27">
        <v>100.0</v>
      </c>
      <c r="D875" s="134" t="s">
        <v>25</v>
      </c>
      <c r="F875" s="40"/>
    </row>
    <row r="876">
      <c r="A876" s="139" t="s">
        <v>3425</v>
      </c>
      <c r="B876" s="22">
        <v>78704.0</v>
      </c>
      <c r="C876" s="27">
        <v>500.0</v>
      </c>
      <c r="D876" s="134" t="s">
        <v>25</v>
      </c>
      <c r="F876" s="22"/>
    </row>
    <row r="877">
      <c r="A877" s="138" t="s">
        <v>3326</v>
      </c>
      <c r="B877" s="40">
        <v>75224.0</v>
      </c>
      <c r="C877" s="27">
        <v>100.0</v>
      </c>
      <c r="D877" s="134" t="s">
        <v>25</v>
      </c>
      <c r="F877" s="40"/>
    </row>
    <row r="878">
      <c r="A878" s="139" t="s">
        <v>3304</v>
      </c>
      <c r="B878" s="22">
        <v>75202.0</v>
      </c>
      <c r="C878" s="27">
        <v>100.0</v>
      </c>
      <c r="D878" s="134" t="s">
        <v>25</v>
      </c>
      <c r="F878" s="22"/>
    </row>
    <row r="879">
      <c r="A879" s="138" t="s">
        <v>3266</v>
      </c>
      <c r="B879" s="40">
        <v>75230.0</v>
      </c>
      <c r="C879" s="27">
        <v>100.0</v>
      </c>
      <c r="D879" s="134" t="s">
        <v>25</v>
      </c>
      <c r="F879" s="40"/>
    </row>
    <row r="880">
      <c r="A880" s="139" t="s">
        <v>3280</v>
      </c>
      <c r="B880" s="22">
        <v>75252.0</v>
      </c>
      <c r="C880" s="27">
        <v>100.0</v>
      </c>
      <c r="D880" s="134" t="s">
        <v>25</v>
      </c>
      <c r="F880" s="22"/>
    </row>
    <row r="881">
      <c r="A881" s="138" t="s">
        <v>3351</v>
      </c>
      <c r="B881" s="40">
        <v>75232.0</v>
      </c>
      <c r="C881" s="27">
        <v>500.0</v>
      </c>
      <c r="D881" s="134" t="s">
        <v>25</v>
      </c>
      <c r="F881" s="40"/>
    </row>
    <row r="882">
      <c r="A882" s="139" t="s">
        <v>3285</v>
      </c>
      <c r="B882" s="22">
        <v>75204.0</v>
      </c>
      <c r="C882" s="27">
        <v>500.0</v>
      </c>
      <c r="D882" s="134" t="s">
        <v>25</v>
      </c>
      <c r="F882" s="22"/>
    </row>
    <row r="883">
      <c r="A883" s="138" t="s">
        <v>3318</v>
      </c>
      <c r="B883" s="40">
        <v>75137.0</v>
      </c>
      <c r="C883" s="27">
        <v>50.0</v>
      </c>
      <c r="D883" s="134" t="s">
        <v>25</v>
      </c>
      <c r="F883" s="40"/>
    </row>
    <row r="884">
      <c r="A884" s="139" t="s">
        <v>3287</v>
      </c>
      <c r="B884" s="22">
        <v>78746.0</v>
      </c>
      <c r="C884" s="27">
        <v>1000.0</v>
      </c>
      <c r="D884" s="134" t="s">
        <v>25</v>
      </c>
      <c r="F884" s="22"/>
    </row>
    <row r="885">
      <c r="A885" s="138" t="s">
        <v>3351</v>
      </c>
      <c r="B885" s="40">
        <v>75232.0</v>
      </c>
      <c r="C885" s="27">
        <v>100.0</v>
      </c>
      <c r="D885" s="134" t="s">
        <v>25</v>
      </c>
      <c r="F885" s="40"/>
    </row>
    <row r="886">
      <c r="A886" s="139" t="s">
        <v>3312</v>
      </c>
      <c r="B886" s="22">
        <v>75201.0</v>
      </c>
      <c r="C886" s="27">
        <v>100.0</v>
      </c>
      <c r="D886" s="134" t="s">
        <v>25</v>
      </c>
      <c r="F886" s="22"/>
    </row>
    <row r="887">
      <c r="A887" s="138" t="s">
        <v>3285</v>
      </c>
      <c r="B887" s="40">
        <v>75204.0</v>
      </c>
      <c r="C887" s="27">
        <v>50.0</v>
      </c>
      <c r="D887" s="134" t="s">
        <v>25</v>
      </c>
      <c r="F887" s="40"/>
    </row>
    <row r="888">
      <c r="A888" s="139" t="s">
        <v>3302</v>
      </c>
      <c r="B888" s="22">
        <v>75226.0</v>
      </c>
      <c r="C888" s="27">
        <v>250.0</v>
      </c>
      <c r="D888" s="134" t="s">
        <v>25</v>
      </c>
      <c r="F888" s="22"/>
    </row>
    <row r="889">
      <c r="A889" s="138" t="s">
        <v>3363</v>
      </c>
      <c r="B889" s="40">
        <v>75115.0</v>
      </c>
      <c r="C889" s="27">
        <v>10.0</v>
      </c>
      <c r="D889" s="134" t="s">
        <v>25</v>
      </c>
      <c r="F889" s="40"/>
    </row>
    <row r="890">
      <c r="A890" s="139" t="s">
        <v>3367</v>
      </c>
      <c r="B890" s="22">
        <v>75237.0</v>
      </c>
      <c r="C890" s="27">
        <v>100.0</v>
      </c>
      <c r="D890" s="134" t="s">
        <v>25</v>
      </c>
      <c r="F890" s="22"/>
    </row>
    <row r="891">
      <c r="A891" s="138" t="s">
        <v>3284</v>
      </c>
      <c r="B891" s="40">
        <v>75229.0</v>
      </c>
      <c r="C891" s="27">
        <v>50.0</v>
      </c>
      <c r="D891" s="134" t="s">
        <v>25</v>
      </c>
      <c r="F891" s="40"/>
    </row>
    <row r="892">
      <c r="A892" s="139" t="s">
        <v>3284</v>
      </c>
      <c r="B892" s="22">
        <v>75229.0</v>
      </c>
      <c r="C892" s="27">
        <v>100.0</v>
      </c>
      <c r="D892" s="134" t="s">
        <v>25</v>
      </c>
      <c r="F892" s="22"/>
    </row>
    <row r="893">
      <c r="A893" s="138" t="s">
        <v>3351</v>
      </c>
      <c r="B893" s="40">
        <v>75232.0</v>
      </c>
      <c r="C893" s="27">
        <v>250.0</v>
      </c>
      <c r="D893" s="134" t="s">
        <v>25</v>
      </c>
      <c r="F893" s="40"/>
    </row>
    <row r="894">
      <c r="A894" s="139" t="s">
        <v>3288</v>
      </c>
      <c r="B894" s="22">
        <v>75019.0</v>
      </c>
      <c r="C894" s="27">
        <v>500.0</v>
      </c>
      <c r="D894" s="134" t="s">
        <v>25</v>
      </c>
      <c r="F894" s="22"/>
    </row>
    <row r="895">
      <c r="A895" s="138" t="s">
        <v>3367</v>
      </c>
      <c r="B895" s="40">
        <v>75237.0</v>
      </c>
      <c r="C895" s="27">
        <v>10.0</v>
      </c>
      <c r="D895" s="134" t="s">
        <v>25</v>
      </c>
      <c r="F895" s="40"/>
    </row>
    <row r="896">
      <c r="A896" s="139" t="s">
        <v>3281</v>
      </c>
      <c r="B896" s="22">
        <v>75218.0</v>
      </c>
      <c r="C896" s="27">
        <v>250.0</v>
      </c>
      <c r="D896" s="134" t="s">
        <v>25</v>
      </c>
      <c r="F896" s="22"/>
    </row>
    <row r="897">
      <c r="A897" s="138" t="s">
        <v>3426</v>
      </c>
      <c r="B897" s="40">
        <v>75154.0</v>
      </c>
      <c r="C897" s="27">
        <v>1000.0</v>
      </c>
      <c r="D897" s="134" t="s">
        <v>25</v>
      </c>
      <c r="F897" s="40"/>
    </row>
    <row r="898">
      <c r="A898" s="139" t="s">
        <v>3312</v>
      </c>
      <c r="B898" s="22">
        <v>75201.0</v>
      </c>
      <c r="C898" s="27">
        <v>100.0</v>
      </c>
      <c r="D898" s="134" t="s">
        <v>25</v>
      </c>
      <c r="F898" s="22"/>
    </row>
    <row r="899">
      <c r="A899" s="138" t="s">
        <v>3427</v>
      </c>
      <c r="B899" s="40">
        <v>75241.0</v>
      </c>
      <c r="C899" s="27">
        <v>20.0</v>
      </c>
      <c r="D899" s="134" t="s">
        <v>25</v>
      </c>
      <c r="F899" s="40"/>
    </row>
    <row r="900">
      <c r="A900" s="139" t="s">
        <v>3312</v>
      </c>
      <c r="B900" s="22">
        <v>75201.0</v>
      </c>
      <c r="C900" s="27">
        <v>1000.0</v>
      </c>
      <c r="D900" s="134" t="s">
        <v>25</v>
      </c>
      <c r="F900" s="22"/>
    </row>
    <row r="901">
      <c r="A901" s="138" t="s">
        <v>3281</v>
      </c>
      <c r="B901" s="40">
        <v>75218.0</v>
      </c>
      <c r="C901" s="27">
        <v>100.0</v>
      </c>
      <c r="D901" s="134" t="s">
        <v>25</v>
      </c>
      <c r="F901" s="40"/>
    </row>
    <row r="902">
      <c r="A902" s="139" t="s">
        <v>3300</v>
      </c>
      <c r="B902" s="22">
        <v>75228.0</v>
      </c>
      <c r="C902" s="27">
        <v>50.0</v>
      </c>
      <c r="D902" s="134" t="s">
        <v>25</v>
      </c>
      <c r="F902" s="22"/>
    </row>
    <row r="903">
      <c r="A903" s="138" t="s">
        <v>3300</v>
      </c>
      <c r="B903" s="40">
        <v>75228.0</v>
      </c>
      <c r="C903" s="27">
        <v>100.0</v>
      </c>
      <c r="D903" s="134" t="s">
        <v>25</v>
      </c>
      <c r="F903" s="40"/>
    </row>
    <row r="904">
      <c r="A904" s="139" t="s">
        <v>3281</v>
      </c>
      <c r="B904" s="22">
        <v>75218.0</v>
      </c>
      <c r="C904" s="27">
        <v>100.0</v>
      </c>
      <c r="D904" s="134" t="s">
        <v>25</v>
      </c>
      <c r="F904" s="22"/>
    </row>
    <row r="905">
      <c r="A905" s="138" t="s">
        <v>3314</v>
      </c>
      <c r="B905" s="40">
        <v>75231.0</v>
      </c>
      <c r="C905" s="27">
        <v>5000.0</v>
      </c>
      <c r="D905" s="134" t="s">
        <v>25</v>
      </c>
      <c r="F905" s="40"/>
    </row>
    <row r="906">
      <c r="A906" s="139" t="s">
        <v>3289</v>
      </c>
      <c r="B906" s="22">
        <v>75219.0</v>
      </c>
      <c r="C906" s="27">
        <v>100.0</v>
      </c>
      <c r="D906" s="134" t="s">
        <v>25</v>
      </c>
      <c r="F906" s="22"/>
    </row>
    <row r="907">
      <c r="A907" s="138" t="s">
        <v>3428</v>
      </c>
      <c r="B907" s="40">
        <v>20020.0</v>
      </c>
      <c r="C907" s="27">
        <v>25.0</v>
      </c>
      <c r="D907" s="134" t="s">
        <v>25</v>
      </c>
      <c r="F907" s="40"/>
    </row>
    <row r="908">
      <c r="A908" s="139" t="s">
        <v>3429</v>
      </c>
      <c r="B908" s="22">
        <v>78739.0</v>
      </c>
      <c r="C908" s="27">
        <v>5000.0</v>
      </c>
      <c r="D908" s="134" t="s">
        <v>25</v>
      </c>
      <c r="F908" s="22"/>
    </row>
    <row r="909">
      <c r="A909" s="138" t="s">
        <v>3291</v>
      </c>
      <c r="B909" s="40">
        <v>75287.0</v>
      </c>
      <c r="C909" s="27">
        <v>100.0</v>
      </c>
      <c r="D909" s="134" t="s">
        <v>25</v>
      </c>
      <c r="F909" s="40"/>
    </row>
    <row r="910">
      <c r="A910" s="139" t="s">
        <v>3279</v>
      </c>
      <c r="B910" s="22">
        <v>75225.0</v>
      </c>
      <c r="C910" s="27">
        <v>50.0</v>
      </c>
      <c r="D910" s="134" t="s">
        <v>25</v>
      </c>
      <c r="F910" s="22"/>
    </row>
    <row r="911">
      <c r="A911" s="138" t="s">
        <v>3281</v>
      </c>
      <c r="B911" s="40">
        <v>75218.0</v>
      </c>
      <c r="C911" s="27">
        <v>100.0</v>
      </c>
      <c r="D911" s="134" t="s">
        <v>25</v>
      </c>
      <c r="F911" s="40"/>
    </row>
    <row r="912">
      <c r="A912" s="139" t="s">
        <v>3279</v>
      </c>
      <c r="B912" s="22">
        <v>75225.0</v>
      </c>
      <c r="C912" s="27">
        <v>100.0</v>
      </c>
      <c r="D912" s="134" t="s">
        <v>25</v>
      </c>
      <c r="F912" s="22"/>
    </row>
    <row r="913">
      <c r="A913" s="138" t="s">
        <v>3338</v>
      </c>
      <c r="B913" s="40">
        <v>75013.0</v>
      </c>
      <c r="C913" s="27">
        <v>2500.0</v>
      </c>
      <c r="D913" s="134" t="s">
        <v>25</v>
      </c>
      <c r="F913" s="40"/>
    </row>
    <row r="914">
      <c r="A914" s="139" t="s">
        <v>3278</v>
      </c>
      <c r="B914" s="22">
        <v>75248.0</v>
      </c>
      <c r="C914" s="27">
        <v>50.0</v>
      </c>
      <c r="D914" s="134" t="s">
        <v>25</v>
      </c>
      <c r="F914" s="22"/>
    </row>
    <row r="915">
      <c r="A915" s="138" t="s">
        <v>3284</v>
      </c>
      <c r="B915" s="40">
        <v>75229.0</v>
      </c>
      <c r="C915" s="27">
        <v>1000.0</v>
      </c>
      <c r="D915" s="134" t="s">
        <v>25</v>
      </c>
      <c r="F915" s="40"/>
    </row>
    <row r="916">
      <c r="A916" s="139" t="s">
        <v>3279</v>
      </c>
      <c r="B916" s="22">
        <v>75225.0</v>
      </c>
      <c r="C916" s="27">
        <v>25.0</v>
      </c>
      <c r="D916" s="134" t="s">
        <v>25</v>
      </c>
      <c r="F916" s="22"/>
    </row>
    <row r="917">
      <c r="A917" s="138" t="s">
        <v>3321</v>
      </c>
      <c r="B917" s="40">
        <v>75209.0</v>
      </c>
      <c r="C917" s="27">
        <v>500.0</v>
      </c>
      <c r="D917" s="134" t="s">
        <v>25</v>
      </c>
      <c r="F917" s="40"/>
    </row>
    <row r="918">
      <c r="A918" s="139" t="s">
        <v>3430</v>
      </c>
      <c r="B918" s="22">
        <v>76227.0</v>
      </c>
      <c r="C918" s="27">
        <v>500.0</v>
      </c>
      <c r="D918" s="134" t="s">
        <v>25</v>
      </c>
      <c r="F918" s="22"/>
    </row>
    <row r="919">
      <c r="A919" s="138" t="s">
        <v>3431</v>
      </c>
      <c r="B919" s="40">
        <v>75212.0</v>
      </c>
      <c r="C919" s="27">
        <v>50.0</v>
      </c>
      <c r="D919" s="134" t="s">
        <v>25</v>
      </c>
      <c r="F919" s="40"/>
    </row>
    <row r="920">
      <c r="A920" s="139" t="s">
        <v>3432</v>
      </c>
      <c r="B920" s="22">
        <v>75185.0</v>
      </c>
      <c r="C920" s="27">
        <v>50.0</v>
      </c>
      <c r="D920" s="134" t="s">
        <v>25</v>
      </c>
      <c r="F920" s="22"/>
    </row>
    <row r="921">
      <c r="A921" s="138" t="s">
        <v>3280</v>
      </c>
      <c r="B921" s="40">
        <v>75252.0</v>
      </c>
      <c r="C921" s="27">
        <v>500.0</v>
      </c>
      <c r="D921" s="134" t="s">
        <v>25</v>
      </c>
      <c r="F921" s="40"/>
    </row>
    <row r="922">
      <c r="A922" s="139" t="s">
        <v>3366</v>
      </c>
      <c r="B922" s="22">
        <v>75236.0</v>
      </c>
      <c r="C922" s="27">
        <v>100.0</v>
      </c>
      <c r="D922" s="134" t="s">
        <v>25</v>
      </c>
      <c r="F922" s="22"/>
    </row>
    <row r="923">
      <c r="A923" s="138" t="s">
        <v>3337</v>
      </c>
      <c r="B923" s="40">
        <v>75235.0</v>
      </c>
      <c r="C923" s="27">
        <v>50.0</v>
      </c>
      <c r="D923" s="134" t="s">
        <v>25</v>
      </c>
      <c r="F923" s="40"/>
    </row>
    <row r="924">
      <c r="A924" s="139" t="s">
        <v>3273</v>
      </c>
      <c r="B924" s="22">
        <v>75205.0</v>
      </c>
      <c r="C924" s="27">
        <v>1000.0</v>
      </c>
      <c r="D924" s="134" t="s">
        <v>25</v>
      </c>
      <c r="F924" s="22"/>
    </row>
    <row r="925">
      <c r="A925" s="138" t="s">
        <v>3433</v>
      </c>
      <c r="B925" s="40">
        <v>75217.0</v>
      </c>
      <c r="C925" s="27">
        <v>50.0</v>
      </c>
      <c r="D925" s="134" t="s">
        <v>25</v>
      </c>
      <c r="F925" s="40"/>
    </row>
    <row r="926">
      <c r="A926" s="139" t="s">
        <v>3273</v>
      </c>
      <c r="B926" s="22">
        <v>75205.0</v>
      </c>
      <c r="C926" s="27">
        <v>100.0</v>
      </c>
      <c r="D926" s="134" t="s">
        <v>25</v>
      </c>
      <c r="F926" s="22"/>
    </row>
    <row r="927">
      <c r="A927" s="138" t="s">
        <v>3434</v>
      </c>
      <c r="B927" s="40">
        <v>75146.0</v>
      </c>
      <c r="C927" s="27">
        <v>200.0</v>
      </c>
      <c r="D927" s="134" t="s">
        <v>25</v>
      </c>
      <c r="F927" s="40"/>
    </row>
    <row r="928">
      <c r="A928" s="139" t="s">
        <v>3321</v>
      </c>
      <c r="B928" s="22">
        <v>75209.0</v>
      </c>
      <c r="C928" s="27">
        <v>2500.0</v>
      </c>
      <c r="D928" s="134" t="s">
        <v>25</v>
      </c>
      <c r="F928" s="22"/>
    </row>
    <row r="929">
      <c r="A929" s="138" t="s">
        <v>3282</v>
      </c>
      <c r="B929" s="40">
        <v>75208.0</v>
      </c>
      <c r="C929" s="27">
        <v>50.0</v>
      </c>
      <c r="D929" s="134" t="s">
        <v>25</v>
      </c>
      <c r="F929" s="40"/>
    </row>
    <row r="930">
      <c r="A930" s="139" t="s">
        <v>3273</v>
      </c>
      <c r="B930" s="22">
        <v>75205.0</v>
      </c>
      <c r="C930" s="27">
        <v>200.0</v>
      </c>
      <c r="D930" s="134" t="s">
        <v>25</v>
      </c>
      <c r="F930" s="22"/>
    </row>
    <row r="931">
      <c r="A931" s="138" t="s">
        <v>3267</v>
      </c>
      <c r="B931" s="40">
        <v>75214.0</v>
      </c>
      <c r="C931" s="27">
        <v>100.0</v>
      </c>
      <c r="D931" s="134" t="s">
        <v>25</v>
      </c>
      <c r="F931" s="40"/>
    </row>
    <row r="932">
      <c r="A932" s="139" t="s">
        <v>3433</v>
      </c>
      <c r="B932" s="22">
        <v>75217.0</v>
      </c>
      <c r="C932" s="27">
        <v>100.0</v>
      </c>
      <c r="D932" s="134" t="s">
        <v>25</v>
      </c>
      <c r="F932" s="22"/>
    </row>
    <row r="933">
      <c r="A933" s="138" t="s">
        <v>3435</v>
      </c>
      <c r="B933" s="40">
        <v>77098.0</v>
      </c>
      <c r="C933" s="27">
        <v>2500.0</v>
      </c>
      <c r="D933" s="134" t="s">
        <v>25</v>
      </c>
      <c r="F933" s="40"/>
    </row>
    <row r="934">
      <c r="A934" s="139" t="s">
        <v>3323</v>
      </c>
      <c r="B934" s="22">
        <v>75104.0</v>
      </c>
      <c r="C934" s="27">
        <v>50.0</v>
      </c>
      <c r="D934" s="134" t="s">
        <v>25</v>
      </c>
      <c r="F934" s="22"/>
    </row>
    <row r="935">
      <c r="A935" s="138" t="s">
        <v>3337</v>
      </c>
      <c r="B935" s="40">
        <v>75235.0</v>
      </c>
      <c r="C935" s="27">
        <v>1000.0</v>
      </c>
      <c r="D935" s="134" t="s">
        <v>25</v>
      </c>
      <c r="F935" s="40"/>
    </row>
    <row r="936">
      <c r="A936" s="139" t="s">
        <v>3289</v>
      </c>
      <c r="B936" s="22">
        <v>75219.0</v>
      </c>
      <c r="C936" s="27">
        <v>100.0</v>
      </c>
      <c r="D936" s="134" t="s">
        <v>25</v>
      </c>
      <c r="F936" s="22"/>
    </row>
    <row r="937">
      <c r="A937" s="138" t="s">
        <v>3351</v>
      </c>
      <c r="B937" s="40">
        <v>75232.0</v>
      </c>
      <c r="C937" s="27">
        <v>50.0</v>
      </c>
      <c r="D937" s="134" t="s">
        <v>25</v>
      </c>
      <c r="F937" s="40"/>
    </row>
    <row r="938">
      <c r="A938" s="139" t="s">
        <v>3367</v>
      </c>
      <c r="B938" s="22">
        <v>75237.0</v>
      </c>
      <c r="C938" s="27">
        <v>50.0</v>
      </c>
      <c r="D938" s="134" t="s">
        <v>25</v>
      </c>
      <c r="F938" s="22"/>
    </row>
    <row r="939">
      <c r="A939" s="138" t="s">
        <v>3281</v>
      </c>
      <c r="B939" s="40">
        <v>75218.0</v>
      </c>
      <c r="C939" s="27">
        <v>500.0</v>
      </c>
      <c r="D939" s="134" t="s">
        <v>25</v>
      </c>
      <c r="F939" s="40"/>
    </row>
    <row r="940">
      <c r="A940" s="139" t="s">
        <v>3282</v>
      </c>
      <c r="B940" s="22">
        <v>75208.0</v>
      </c>
      <c r="C940" s="27">
        <v>1000.0</v>
      </c>
      <c r="D940" s="134" t="s">
        <v>25</v>
      </c>
      <c r="F940" s="22"/>
    </row>
    <row r="941">
      <c r="A941" s="138" t="s">
        <v>3284</v>
      </c>
      <c r="B941" s="40">
        <v>75229.0</v>
      </c>
      <c r="C941" s="27">
        <v>1000.0</v>
      </c>
      <c r="D941" s="134" t="s">
        <v>25</v>
      </c>
      <c r="F941" s="40"/>
    </row>
    <row r="942">
      <c r="A942" s="139" t="s">
        <v>3284</v>
      </c>
      <c r="B942" s="22">
        <v>75229.0</v>
      </c>
      <c r="C942" s="27">
        <v>1000.0</v>
      </c>
      <c r="D942" s="134" t="s">
        <v>25</v>
      </c>
      <c r="F942" s="22"/>
    </row>
    <row r="943">
      <c r="A943" s="138" t="s">
        <v>3296</v>
      </c>
      <c r="B943" s="40">
        <v>75039.0</v>
      </c>
      <c r="C943" s="27">
        <v>100.0</v>
      </c>
      <c r="D943" s="134" t="s">
        <v>25</v>
      </c>
      <c r="F943" s="40"/>
    </row>
    <row r="944">
      <c r="A944" s="139" t="s">
        <v>3436</v>
      </c>
      <c r="B944" s="22">
        <v>30326.0</v>
      </c>
      <c r="C944" s="27">
        <v>1000.0</v>
      </c>
      <c r="D944" s="134" t="s">
        <v>25</v>
      </c>
      <c r="F944" s="22"/>
    </row>
    <row r="945">
      <c r="A945" s="138" t="s">
        <v>3437</v>
      </c>
      <c r="B945" s="40">
        <v>75372.0</v>
      </c>
      <c r="C945" s="27">
        <v>150.0</v>
      </c>
      <c r="D945" s="134" t="s">
        <v>25</v>
      </c>
      <c r="F945" s="40"/>
    </row>
    <row r="946">
      <c r="A946" s="139" t="s">
        <v>3275</v>
      </c>
      <c r="B946" s="22">
        <v>75207.0</v>
      </c>
      <c r="C946" s="27">
        <v>100.0</v>
      </c>
      <c r="D946" s="134" t="s">
        <v>25</v>
      </c>
      <c r="F946" s="22"/>
    </row>
    <row r="947">
      <c r="A947" s="138" t="s">
        <v>3278</v>
      </c>
      <c r="B947" s="40">
        <v>75248.0</v>
      </c>
      <c r="C947" s="27">
        <v>100.0</v>
      </c>
      <c r="D947" s="134" t="s">
        <v>25</v>
      </c>
      <c r="F947" s="40"/>
    </row>
    <row r="948">
      <c r="A948" s="139" t="s">
        <v>3278</v>
      </c>
      <c r="B948" s="22">
        <v>75248.0</v>
      </c>
      <c r="C948" s="27">
        <v>100.0</v>
      </c>
      <c r="D948" s="134" t="s">
        <v>25</v>
      </c>
      <c r="F948" s="22"/>
    </row>
    <row r="949">
      <c r="A949" s="138" t="s">
        <v>3288</v>
      </c>
      <c r="B949" s="40">
        <v>75019.0</v>
      </c>
      <c r="C949" s="27">
        <v>50.0</v>
      </c>
      <c r="D949" s="134" t="s">
        <v>25</v>
      </c>
      <c r="F949" s="40"/>
    </row>
    <row r="950">
      <c r="A950" s="139" t="s">
        <v>3268</v>
      </c>
      <c r="B950" s="22">
        <v>75203.0</v>
      </c>
      <c r="C950" s="27">
        <v>250.0</v>
      </c>
      <c r="D950" s="134" t="s">
        <v>25</v>
      </c>
      <c r="F950" s="22"/>
    </row>
    <row r="951">
      <c r="A951" s="138" t="s">
        <v>3395</v>
      </c>
      <c r="B951" s="40">
        <v>75009.0</v>
      </c>
      <c r="C951" s="27">
        <v>100.0</v>
      </c>
      <c r="D951" s="134" t="s">
        <v>25</v>
      </c>
      <c r="F951" s="40"/>
    </row>
    <row r="952">
      <c r="A952" s="139" t="s">
        <v>3332</v>
      </c>
      <c r="B952" s="22">
        <v>75115.0</v>
      </c>
      <c r="C952" s="27">
        <v>1000.0</v>
      </c>
      <c r="D952" s="134" t="s">
        <v>25</v>
      </c>
      <c r="F952" s="22"/>
    </row>
    <row r="953">
      <c r="A953" s="138" t="s">
        <v>3272</v>
      </c>
      <c r="B953" s="40">
        <v>75238.0</v>
      </c>
      <c r="C953" s="27">
        <v>15.0</v>
      </c>
      <c r="D953" s="134" t="s">
        <v>25</v>
      </c>
      <c r="F953" s="40"/>
    </row>
    <row r="954">
      <c r="A954" s="139" t="s">
        <v>3285</v>
      </c>
      <c r="B954" s="22">
        <v>75204.0</v>
      </c>
      <c r="C954" s="27">
        <v>50.0</v>
      </c>
      <c r="D954" s="134" t="s">
        <v>25</v>
      </c>
      <c r="F954" s="22"/>
    </row>
    <row r="955">
      <c r="A955" s="138" t="s">
        <v>3339</v>
      </c>
      <c r="B955" s="40">
        <v>75215.0</v>
      </c>
      <c r="C955" s="27">
        <v>100.0</v>
      </c>
      <c r="D955" s="134" t="s">
        <v>25</v>
      </c>
      <c r="F955" s="40"/>
    </row>
    <row r="956">
      <c r="A956" s="139" t="s">
        <v>3438</v>
      </c>
      <c r="B956" s="22">
        <v>75024.0</v>
      </c>
      <c r="C956" s="27">
        <v>500.0</v>
      </c>
      <c r="D956" s="134" t="s">
        <v>25</v>
      </c>
      <c r="F956" s="22"/>
    </row>
    <row r="957">
      <c r="A957" s="138" t="s">
        <v>3290</v>
      </c>
      <c r="B957" s="40">
        <v>75240.0</v>
      </c>
      <c r="C957" s="27">
        <v>1000.0</v>
      </c>
      <c r="D957" s="134" t="s">
        <v>25</v>
      </c>
      <c r="F957" s="40"/>
    </row>
    <row r="958">
      <c r="A958" s="139" t="s">
        <v>3282</v>
      </c>
      <c r="B958" s="22">
        <v>75208.0</v>
      </c>
      <c r="C958" s="27">
        <v>100.0</v>
      </c>
      <c r="D958" s="134" t="s">
        <v>25</v>
      </c>
      <c r="F958" s="22"/>
    </row>
    <row r="959">
      <c r="A959" s="138" t="s">
        <v>3389</v>
      </c>
      <c r="B959" s="40">
        <v>75234.0</v>
      </c>
      <c r="C959" s="27">
        <v>100.0</v>
      </c>
      <c r="D959" s="134" t="s">
        <v>25</v>
      </c>
      <c r="F959" s="40"/>
    </row>
    <row r="960">
      <c r="A960" s="139" t="s">
        <v>3302</v>
      </c>
      <c r="B960" s="22">
        <v>75226.0</v>
      </c>
      <c r="C960" s="27">
        <v>500.0</v>
      </c>
      <c r="D960" s="134" t="s">
        <v>25</v>
      </c>
      <c r="F960" s="22"/>
    </row>
    <row r="961">
      <c r="A961" s="138" t="s">
        <v>3389</v>
      </c>
      <c r="B961" s="40">
        <v>75234.0</v>
      </c>
      <c r="C961" s="27">
        <v>100.0</v>
      </c>
      <c r="D961" s="134" t="s">
        <v>25</v>
      </c>
      <c r="F961" s="40"/>
    </row>
    <row r="962">
      <c r="A962" s="139" t="s">
        <v>3358</v>
      </c>
      <c r="B962" s="22">
        <v>75038.0</v>
      </c>
      <c r="C962" s="27">
        <v>500.0</v>
      </c>
      <c r="D962" s="134" t="s">
        <v>25</v>
      </c>
      <c r="F962" s="22"/>
    </row>
    <row r="963">
      <c r="A963" s="138" t="s">
        <v>3439</v>
      </c>
      <c r="B963" s="40">
        <v>75154.0</v>
      </c>
      <c r="C963" s="27">
        <v>25.0</v>
      </c>
      <c r="D963" s="134" t="s">
        <v>25</v>
      </c>
      <c r="F963" s="40"/>
    </row>
    <row r="964">
      <c r="A964" s="139" t="s">
        <v>3440</v>
      </c>
      <c r="B964" s="22">
        <v>77008.0</v>
      </c>
      <c r="C964" s="27">
        <v>50.0</v>
      </c>
      <c r="D964" s="134" t="s">
        <v>25</v>
      </c>
      <c r="F964" s="22"/>
    </row>
    <row r="965">
      <c r="A965" s="138" t="s">
        <v>3441</v>
      </c>
      <c r="B965" s="40">
        <v>75057.0</v>
      </c>
      <c r="C965" s="27">
        <v>50.0</v>
      </c>
      <c r="D965" s="134" t="s">
        <v>25</v>
      </c>
      <c r="F965" s="40"/>
    </row>
    <row r="966">
      <c r="A966" s="139" t="s">
        <v>3289</v>
      </c>
      <c r="B966" s="22">
        <v>75219.0</v>
      </c>
      <c r="C966" s="27">
        <v>100.0</v>
      </c>
      <c r="D966" s="134" t="s">
        <v>25</v>
      </c>
      <c r="F966" s="22"/>
    </row>
    <row r="967">
      <c r="A967" s="138" t="s">
        <v>3281</v>
      </c>
      <c r="B967" s="40">
        <v>75218.0</v>
      </c>
      <c r="C967" s="27">
        <v>50.0</v>
      </c>
      <c r="D967" s="134" t="s">
        <v>25</v>
      </c>
      <c r="F967" s="40"/>
    </row>
    <row r="968">
      <c r="A968" s="139" t="s">
        <v>3281</v>
      </c>
      <c r="B968" s="22">
        <v>75218.0</v>
      </c>
      <c r="C968" s="27">
        <v>50.0</v>
      </c>
      <c r="D968" s="134" t="s">
        <v>25</v>
      </c>
      <c r="F968" s="22"/>
    </row>
    <row r="969">
      <c r="A969" s="138" t="s">
        <v>3314</v>
      </c>
      <c r="B969" s="40">
        <v>75231.0</v>
      </c>
      <c r="C969" s="27">
        <v>50.0</v>
      </c>
      <c r="D969" s="134" t="s">
        <v>25</v>
      </c>
      <c r="F969" s="40"/>
    </row>
    <row r="970">
      <c r="A970" s="139" t="s">
        <v>3379</v>
      </c>
      <c r="B970" s="22">
        <v>77021.0</v>
      </c>
      <c r="C970" s="27">
        <v>1000.0</v>
      </c>
      <c r="D970" s="134" t="s">
        <v>25</v>
      </c>
      <c r="F970" s="22"/>
    </row>
    <row r="971">
      <c r="A971" s="138" t="s">
        <v>3280</v>
      </c>
      <c r="B971" s="40">
        <v>75252.0</v>
      </c>
      <c r="C971" s="27">
        <v>100.0</v>
      </c>
      <c r="D971" s="134" t="s">
        <v>25</v>
      </c>
      <c r="F971" s="40"/>
    </row>
    <row r="972">
      <c r="A972" s="139" t="s">
        <v>3284</v>
      </c>
      <c r="B972" s="22">
        <v>75229.0</v>
      </c>
      <c r="C972" s="27">
        <v>100.0</v>
      </c>
      <c r="D972" s="134" t="s">
        <v>25</v>
      </c>
      <c r="F972" s="22"/>
    </row>
    <row r="973">
      <c r="A973" s="138" t="s">
        <v>3305</v>
      </c>
      <c r="B973" s="40">
        <v>75254.0</v>
      </c>
      <c r="C973" s="27">
        <v>250.0</v>
      </c>
      <c r="D973" s="134" t="s">
        <v>25</v>
      </c>
      <c r="F973" s="40"/>
    </row>
    <row r="974">
      <c r="A974" s="139" t="s">
        <v>3267</v>
      </c>
      <c r="B974" s="22">
        <v>75214.0</v>
      </c>
      <c r="C974" s="27">
        <v>100.0</v>
      </c>
      <c r="D974" s="134" t="s">
        <v>25</v>
      </c>
      <c r="F974" s="22"/>
    </row>
    <row r="975">
      <c r="A975" s="138" t="s">
        <v>3267</v>
      </c>
      <c r="B975" s="40">
        <v>75214.0</v>
      </c>
      <c r="C975" s="27">
        <v>50.0</v>
      </c>
      <c r="D975" s="134" t="s">
        <v>25</v>
      </c>
      <c r="F975" s="40"/>
    </row>
    <row r="976">
      <c r="A976" s="139" t="s">
        <v>3308</v>
      </c>
      <c r="B976" s="22">
        <v>75227.0</v>
      </c>
      <c r="C976" s="27">
        <v>100.0</v>
      </c>
      <c r="D976" s="134" t="s">
        <v>25</v>
      </c>
      <c r="F976" s="22"/>
    </row>
    <row r="977">
      <c r="A977" s="138" t="s">
        <v>3279</v>
      </c>
      <c r="B977" s="40">
        <v>75225.0</v>
      </c>
      <c r="C977" s="27">
        <v>100.0</v>
      </c>
      <c r="D977" s="134" t="s">
        <v>25</v>
      </c>
      <c r="F977" s="40"/>
    </row>
    <row r="978">
      <c r="A978" s="139" t="s">
        <v>3279</v>
      </c>
      <c r="B978" s="22">
        <v>75225.0</v>
      </c>
      <c r="C978" s="27">
        <v>100.0</v>
      </c>
      <c r="D978" s="134" t="s">
        <v>25</v>
      </c>
      <c r="F978" s="22"/>
    </row>
    <row r="979">
      <c r="A979" s="138" t="s">
        <v>3317</v>
      </c>
      <c r="B979" s="40">
        <v>77002.0</v>
      </c>
      <c r="C979" s="27">
        <v>500.0</v>
      </c>
      <c r="D979" s="134" t="s">
        <v>25</v>
      </c>
      <c r="F979" s="40"/>
    </row>
    <row r="980">
      <c r="A980" s="139" t="s">
        <v>3272</v>
      </c>
      <c r="B980" s="22">
        <v>75238.0</v>
      </c>
      <c r="C980" s="27">
        <v>50.0</v>
      </c>
      <c r="D980" s="134" t="s">
        <v>25</v>
      </c>
      <c r="F980" s="22"/>
    </row>
    <row r="981">
      <c r="A981" s="138" t="s">
        <v>3442</v>
      </c>
      <c r="B981" s="40">
        <v>75043.0</v>
      </c>
      <c r="C981" s="27">
        <v>50.0</v>
      </c>
      <c r="D981" s="134" t="s">
        <v>25</v>
      </c>
      <c r="F981" s="40"/>
    </row>
    <row r="982">
      <c r="A982" s="139" t="s">
        <v>3321</v>
      </c>
      <c r="B982" s="22">
        <v>75209.0</v>
      </c>
      <c r="C982" s="27">
        <v>500.0</v>
      </c>
      <c r="D982" s="134" t="s">
        <v>25</v>
      </c>
      <c r="F982" s="22"/>
    </row>
    <row r="983">
      <c r="A983" s="138" t="s">
        <v>3301</v>
      </c>
      <c r="B983" s="40">
        <v>75220.0</v>
      </c>
      <c r="C983" s="27">
        <v>10000.0</v>
      </c>
      <c r="D983" s="134" t="s">
        <v>25</v>
      </c>
      <c r="F983" s="40"/>
    </row>
    <row r="984">
      <c r="A984" s="139" t="s">
        <v>3325</v>
      </c>
      <c r="B984" s="22">
        <v>75223.0</v>
      </c>
      <c r="C984" s="27">
        <v>500.0</v>
      </c>
      <c r="D984" s="134" t="s">
        <v>25</v>
      </c>
      <c r="F984" s="22"/>
    </row>
    <row r="985">
      <c r="A985" s="138" t="s">
        <v>3363</v>
      </c>
      <c r="B985" s="40">
        <v>75115.0</v>
      </c>
      <c r="C985" s="27">
        <v>50.0</v>
      </c>
      <c r="D985" s="134" t="s">
        <v>25</v>
      </c>
      <c r="F985" s="40"/>
    </row>
    <row r="986">
      <c r="A986" s="139" t="s">
        <v>3312</v>
      </c>
      <c r="B986" s="22">
        <v>75201.0</v>
      </c>
      <c r="C986" s="27">
        <v>1000.0</v>
      </c>
      <c r="D986" s="134" t="s">
        <v>25</v>
      </c>
      <c r="F986" s="22"/>
    </row>
    <row r="987">
      <c r="A987" s="138" t="s">
        <v>3279</v>
      </c>
      <c r="B987" s="40">
        <v>75225.0</v>
      </c>
      <c r="C987" s="27">
        <v>5000.0</v>
      </c>
      <c r="D987" s="134" t="s">
        <v>25</v>
      </c>
      <c r="F987" s="40"/>
    </row>
    <row r="988">
      <c r="A988" s="139" t="s">
        <v>3282</v>
      </c>
      <c r="B988" s="22">
        <v>75208.0</v>
      </c>
      <c r="C988" s="27">
        <v>100.0</v>
      </c>
      <c r="D988" s="134" t="s">
        <v>25</v>
      </c>
      <c r="F988" s="22"/>
    </row>
    <row r="989">
      <c r="A989" s="138" t="s">
        <v>3273</v>
      </c>
      <c r="B989" s="40">
        <v>75205.0</v>
      </c>
      <c r="C989" s="27">
        <v>100.0</v>
      </c>
      <c r="D989" s="134" t="s">
        <v>25</v>
      </c>
      <c r="F989" s="40"/>
    </row>
    <row r="990">
      <c r="A990" s="139" t="s">
        <v>3400</v>
      </c>
      <c r="B990" s="22">
        <v>76226.0</v>
      </c>
      <c r="C990" s="27">
        <v>5000.0</v>
      </c>
      <c r="D990" s="134" t="s">
        <v>25</v>
      </c>
      <c r="F990" s="22"/>
    </row>
    <row r="991">
      <c r="A991" s="138" t="s">
        <v>3279</v>
      </c>
      <c r="B991" s="40">
        <v>75225.0</v>
      </c>
      <c r="C991" s="27">
        <v>500.0</v>
      </c>
      <c r="D991" s="134" t="s">
        <v>25</v>
      </c>
      <c r="F991" s="40"/>
    </row>
    <row r="992">
      <c r="A992" s="139" t="s">
        <v>3369</v>
      </c>
      <c r="B992" s="22">
        <v>75249.0</v>
      </c>
      <c r="C992" s="27">
        <v>50.0</v>
      </c>
      <c r="D992" s="134" t="s">
        <v>25</v>
      </c>
      <c r="F992" s="22"/>
    </row>
    <row r="993">
      <c r="A993" s="138" t="s">
        <v>3312</v>
      </c>
      <c r="B993" s="40">
        <v>75201.0</v>
      </c>
      <c r="C993" s="27">
        <v>250.0</v>
      </c>
      <c r="D993" s="134" t="s">
        <v>25</v>
      </c>
      <c r="F993" s="40"/>
    </row>
    <row r="994">
      <c r="A994" s="139" t="s">
        <v>3280</v>
      </c>
      <c r="B994" s="22">
        <v>75252.0</v>
      </c>
      <c r="C994" s="27">
        <v>1500.0</v>
      </c>
      <c r="D994" s="134" t="s">
        <v>25</v>
      </c>
      <c r="F994" s="22"/>
    </row>
    <row r="995">
      <c r="A995" s="138" t="s">
        <v>3389</v>
      </c>
      <c r="B995" s="40">
        <v>75234.0</v>
      </c>
      <c r="C995" s="27">
        <v>500.0</v>
      </c>
      <c r="D995" s="134" t="s">
        <v>25</v>
      </c>
      <c r="F995" s="40"/>
    </row>
    <row r="996">
      <c r="A996" s="139" t="s">
        <v>3275</v>
      </c>
      <c r="B996" s="22">
        <v>75207.0</v>
      </c>
      <c r="C996" s="27">
        <v>5000.0</v>
      </c>
      <c r="D996" s="134" t="s">
        <v>25</v>
      </c>
      <c r="F996" s="22"/>
    </row>
    <row r="997">
      <c r="A997" s="138" t="s">
        <v>3443</v>
      </c>
      <c r="B997" s="40">
        <v>75115.0</v>
      </c>
      <c r="C997" s="27">
        <v>100.0</v>
      </c>
      <c r="D997" s="134" t="s">
        <v>25</v>
      </c>
      <c r="F997" s="40"/>
    </row>
    <row r="998">
      <c r="A998" s="139" t="s">
        <v>3312</v>
      </c>
      <c r="B998" s="22">
        <v>75201.0</v>
      </c>
      <c r="C998" s="27">
        <v>50.0</v>
      </c>
      <c r="D998" s="134" t="s">
        <v>25</v>
      </c>
      <c r="F998" s="22"/>
    </row>
    <row r="999">
      <c r="A999" s="138" t="s">
        <v>3278</v>
      </c>
      <c r="B999" s="40">
        <v>75248.0</v>
      </c>
      <c r="C999" s="27">
        <v>100.0</v>
      </c>
      <c r="D999" s="134" t="s">
        <v>25</v>
      </c>
      <c r="F999" s="40"/>
    </row>
    <row r="1000">
      <c r="A1000" s="139" t="s">
        <v>3369</v>
      </c>
      <c r="B1000" s="22">
        <v>75249.0</v>
      </c>
      <c r="C1000" s="27">
        <v>100.0</v>
      </c>
      <c r="D1000" s="134" t="s">
        <v>25</v>
      </c>
      <c r="F1000" s="22"/>
    </row>
    <row r="1001">
      <c r="A1001" s="138" t="s">
        <v>3444</v>
      </c>
      <c r="B1001" s="40">
        <v>75050.0</v>
      </c>
      <c r="C1001" s="27">
        <v>100.0</v>
      </c>
      <c r="D1001" s="134" t="s">
        <v>25</v>
      </c>
      <c r="F1001" s="40"/>
    </row>
    <row r="1002">
      <c r="A1002" s="139" t="s">
        <v>3363</v>
      </c>
      <c r="B1002" s="22">
        <v>75115.0</v>
      </c>
      <c r="C1002" s="27">
        <v>50.0</v>
      </c>
      <c r="D1002" s="134" t="s">
        <v>25</v>
      </c>
      <c r="F1002" s="22"/>
    </row>
    <row r="1003">
      <c r="A1003" s="138" t="s">
        <v>3338</v>
      </c>
      <c r="B1003" s="40">
        <v>75013.0</v>
      </c>
      <c r="C1003" s="27">
        <v>2500.0</v>
      </c>
      <c r="D1003" s="134" t="s">
        <v>25</v>
      </c>
      <c r="F1003" s="40"/>
    </row>
    <row r="1004">
      <c r="A1004" s="139" t="s">
        <v>3285</v>
      </c>
      <c r="B1004" s="22">
        <v>75204.0</v>
      </c>
      <c r="C1004" s="27">
        <v>100.0</v>
      </c>
      <c r="D1004" s="134" t="s">
        <v>25</v>
      </c>
      <c r="F1004" s="22"/>
    </row>
    <row r="1005">
      <c r="A1005" s="138" t="s">
        <v>3279</v>
      </c>
      <c r="B1005" s="40">
        <v>75225.0</v>
      </c>
      <c r="C1005" s="27">
        <v>1000.0</v>
      </c>
      <c r="D1005" s="134" t="s">
        <v>25</v>
      </c>
      <c r="F1005" s="40"/>
    </row>
    <row r="1006">
      <c r="A1006" s="139" t="s">
        <v>3266</v>
      </c>
      <c r="B1006" s="22">
        <v>75230.0</v>
      </c>
      <c r="C1006" s="27">
        <v>10000.0</v>
      </c>
      <c r="D1006" s="134" t="s">
        <v>25</v>
      </c>
      <c r="F1006" s="22"/>
    </row>
    <row r="1007">
      <c r="A1007" s="138" t="s">
        <v>3300</v>
      </c>
      <c r="B1007" s="40">
        <v>75228.0</v>
      </c>
      <c r="C1007" s="27">
        <v>50.0</v>
      </c>
      <c r="D1007" s="134" t="s">
        <v>25</v>
      </c>
      <c r="F1007" s="40"/>
    </row>
    <row r="1008">
      <c r="A1008" s="139" t="s">
        <v>3273</v>
      </c>
      <c r="B1008" s="22">
        <v>75205.0</v>
      </c>
      <c r="C1008" s="27">
        <v>5000.0</v>
      </c>
      <c r="D1008" s="134" t="s">
        <v>25</v>
      </c>
      <c r="F1008" s="22"/>
    </row>
    <row r="1009">
      <c r="A1009" s="138" t="s">
        <v>3273</v>
      </c>
      <c r="B1009" s="40">
        <v>75205.0</v>
      </c>
      <c r="C1009" s="27">
        <v>100.0</v>
      </c>
      <c r="D1009" s="134" t="s">
        <v>25</v>
      </c>
      <c r="F1009" s="40"/>
    </row>
    <row r="1010">
      <c r="A1010" s="139" t="s">
        <v>3340</v>
      </c>
      <c r="B1010" s="22">
        <v>75244.0</v>
      </c>
      <c r="C1010" s="27">
        <v>500.0</v>
      </c>
      <c r="D1010" s="134" t="s">
        <v>25</v>
      </c>
      <c r="F1010" s="22"/>
    </row>
    <row r="1011">
      <c r="A1011" s="138" t="s">
        <v>3281</v>
      </c>
      <c r="B1011" s="40">
        <v>75218.0</v>
      </c>
      <c r="C1011" s="27">
        <v>1000.0</v>
      </c>
      <c r="D1011" s="134" t="s">
        <v>25</v>
      </c>
      <c r="F1011" s="40"/>
    </row>
    <row r="1012">
      <c r="A1012" s="139" t="s">
        <v>3280</v>
      </c>
      <c r="B1012" s="22">
        <v>75252.0</v>
      </c>
      <c r="C1012" s="27">
        <v>100.0</v>
      </c>
      <c r="D1012" s="134" t="s">
        <v>25</v>
      </c>
      <c r="F1012" s="22"/>
    </row>
    <row r="1013">
      <c r="A1013" s="138" t="s">
        <v>3348</v>
      </c>
      <c r="B1013" s="40">
        <v>75081.0</v>
      </c>
      <c r="C1013" s="27">
        <v>500.0</v>
      </c>
      <c r="D1013" s="134" t="s">
        <v>25</v>
      </c>
      <c r="F1013" s="40"/>
    </row>
    <row r="1014">
      <c r="A1014" s="139" t="s">
        <v>3273</v>
      </c>
      <c r="B1014" s="22">
        <v>75205.0</v>
      </c>
      <c r="C1014" s="27">
        <v>2500.0</v>
      </c>
      <c r="D1014" s="134" t="s">
        <v>25</v>
      </c>
      <c r="F1014" s="22"/>
    </row>
    <row r="1015">
      <c r="A1015" s="138" t="s">
        <v>3440</v>
      </c>
      <c r="B1015" s="40">
        <v>77008.0</v>
      </c>
      <c r="C1015" s="27">
        <v>500.0</v>
      </c>
      <c r="D1015" s="134" t="s">
        <v>25</v>
      </c>
      <c r="F1015" s="40"/>
    </row>
    <row r="1016">
      <c r="A1016" s="139" t="s">
        <v>3445</v>
      </c>
      <c r="B1016" s="22">
        <v>77057.0</v>
      </c>
      <c r="C1016" s="27">
        <v>500.0</v>
      </c>
      <c r="D1016" s="134" t="s">
        <v>25</v>
      </c>
      <c r="F1016" s="22"/>
    </row>
    <row r="1017">
      <c r="A1017" s="138" t="s">
        <v>3339</v>
      </c>
      <c r="B1017" s="40">
        <v>75215.0</v>
      </c>
      <c r="C1017" s="27">
        <v>500.0</v>
      </c>
      <c r="D1017" s="134" t="s">
        <v>25</v>
      </c>
      <c r="F1017" s="40"/>
    </row>
    <row r="1018">
      <c r="A1018" s="139" t="s">
        <v>3414</v>
      </c>
      <c r="B1018" s="22">
        <v>77024.0</v>
      </c>
      <c r="C1018" s="27">
        <v>1000.0</v>
      </c>
      <c r="D1018" s="134" t="s">
        <v>25</v>
      </c>
      <c r="F1018" s="22"/>
    </row>
    <row r="1019">
      <c r="A1019" s="138" t="s">
        <v>3414</v>
      </c>
      <c r="B1019" s="40">
        <v>77024.0</v>
      </c>
      <c r="C1019" s="27">
        <v>1000.0</v>
      </c>
      <c r="D1019" s="134" t="s">
        <v>25</v>
      </c>
      <c r="F1019" s="40"/>
    </row>
    <row r="1020">
      <c r="A1020" s="139" t="s">
        <v>3419</v>
      </c>
      <c r="B1020" s="22">
        <v>77004.0</v>
      </c>
      <c r="C1020" s="27">
        <v>1000.0</v>
      </c>
      <c r="D1020" s="134" t="s">
        <v>25</v>
      </c>
      <c r="F1020" s="22"/>
    </row>
    <row r="1021">
      <c r="A1021" s="138" t="s">
        <v>3446</v>
      </c>
      <c r="B1021" s="40">
        <v>77006.0</v>
      </c>
      <c r="C1021" s="27">
        <v>150.0</v>
      </c>
      <c r="D1021" s="134" t="s">
        <v>25</v>
      </c>
      <c r="F1021" s="40"/>
    </row>
    <row r="1022">
      <c r="A1022" s="139" t="s">
        <v>3317</v>
      </c>
      <c r="B1022" s="22">
        <v>77002.0</v>
      </c>
      <c r="C1022" s="27">
        <v>50.0</v>
      </c>
      <c r="D1022" s="134" t="s">
        <v>25</v>
      </c>
      <c r="F1022" s="22"/>
    </row>
    <row r="1023">
      <c r="A1023" s="138" t="s">
        <v>3311</v>
      </c>
      <c r="B1023" s="40">
        <v>75182.0</v>
      </c>
      <c r="C1023" s="27">
        <v>1000.0</v>
      </c>
      <c r="D1023" s="134" t="s">
        <v>25</v>
      </c>
      <c r="F1023" s="40"/>
    </row>
    <row r="1024">
      <c r="A1024" s="139" t="s">
        <v>3279</v>
      </c>
      <c r="B1024" s="22">
        <v>75225.0</v>
      </c>
      <c r="C1024" s="27">
        <v>5000.0</v>
      </c>
      <c r="D1024" s="134" t="s">
        <v>25</v>
      </c>
      <c r="F1024" s="22"/>
    </row>
    <row r="1025">
      <c r="A1025" s="138" t="s">
        <v>3423</v>
      </c>
      <c r="B1025" s="40">
        <v>78746.0</v>
      </c>
      <c r="C1025" s="27">
        <v>2100.0</v>
      </c>
      <c r="D1025" s="134" t="s">
        <v>25</v>
      </c>
      <c r="F1025" s="40"/>
    </row>
    <row r="1026">
      <c r="A1026" s="139" t="s">
        <v>3290</v>
      </c>
      <c r="B1026" s="22">
        <v>75240.0</v>
      </c>
      <c r="C1026" s="27">
        <v>4000.0</v>
      </c>
      <c r="D1026" s="134" t="s">
        <v>25</v>
      </c>
      <c r="F1026" s="22"/>
    </row>
    <row r="1027">
      <c r="A1027" s="138" t="s">
        <v>3266</v>
      </c>
      <c r="B1027" s="40">
        <v>75230.0</v>
      </c>
      <c r="C1027" s="27">
        <v>5000.0</v>
      </c>
      <c r="D1027" s="134" t="s">
        <v>25</v>
      </c>
      <c r="F1027" s="40"/>
    </row>
    <row r="1028">
      <c r="A1028" s="139" t="s">
        <v>3284</v>
      </c>
      <c r="B1028" s="22">
        <v>75229.0</v>
      </c>
      <c r="C1028" s="27">
        <v>5000.0</v>
      </c>
      <c r="D1028" s="134" t="s">
        <v>25</v>
      </c>
      <c r="F1028" s="22"/>
    </row>
    <row r="1029">
      <c r="A1029" s="138" t="s">
        <v>3284</v>
      </c>
      <c r="B1029" s="40">
        <v>75229.0</v>
      </c>
      <c r="C1029" s="27">
        <v>5000.0</v>
      </c>
      <c r="D1029" s="134" t="s">
        <v>25</v>
      </c>
      <c r="F1029" s="40"/>
    </row>
    <row r="1030">
      <c r="A1030" s="139" t="s">
        <v>3305</v>
      </c>
      <c r="B1030" s="22">
        <v>75254.0</v>
      </c>
      <c r="C1030" s="27">
        <v>300.0</v>
      </c>
      <c r="D1030" s="134" t="s">
        <v>25</v>
      </c>
      <c r="F1030" s="22"/>
    </row>
    <row r="1031">
      <c r="A1031" s="138" t="s">
        <v>3312</v>
      </c>
      <c r="B1031" s="40">
        <v>75201.0</v>
      </c>
      <c r="C1031" s="27">
        <v>5000.0</v>
      </c>
      <c r="D1031" s="134" t="s">
        <v>25</v>
      </c>
      <c r="F1031" s="40"/>
    </row>
    <row r="1032">
      <c r="A1032" s="139" t="s">
        <v>3329</v>
      </c>
      <c r="B1032" s="22">
        <v>78703.0</v>
      </c>
      <c r="C1032" s="27">
        <v>1000.0</v>
      </c>
      <c r="D1032" s="134" t="s">
        <v>25</v>
      </c>
      <c r="F1032" s="22"/>
    </row>
    <row r="1033">
      <c r="A1033" s="138" t="s">
        <v>3351</v>
      </c>
      <c r="B1033" s="40">
        <v>75232.0</v>
      </c>
      <c r="C1033" s="27">
        <v>4000.0</v>
      </c>
      <c r="D1033" s="134" t="s">
        <v>25</v>
      </c>
      <c r="F1033" s="40"/>
    </row>
    <row r="1034">
      <c r="A1034" s="139" t="s">
        <v>3312</v>
      </c>
      <c r="B1034" s="22">
        <v>75201.0</v>
      </c>
      <c r="C1034" s="27">
        <v>2500.0</v>
      </c>
      <c r="D1034" s="134" t="s">
        <v>25</v>
      </c>
      <c r="F1034" s="22"/>
    </row>
    <row r="1035">
      <c r="A1035" s="138" t="s">
        <v>3312</v>
      </c>
      <c r="B1035" s="40">
        <v>75201.0</v>
      </c>
      <c r="C1035" s="27">
        <v>1000.0</v>
      </c>
      <c r="D1035" s="134" t="s">
        <v>25</v>
      </c>
      <c r="F1035" s="40"/>
    </row>
    <row r="1036">
      <c r="A1036" s="139" t="s">
        <v>3284</v>
      </c>
      <c r="B1036" s="22">
        <v>75229.0</v>
      </c>
      <c r="C1036" s="27">
        <v>2000.0</v>
      </c>
      <c r="D1036" s="134" t="s">
        <v>25</v>
      </c>
      <c r="F1036" s="22"/>
    </row>
    <row r="1037">
      <c r="A1037" s="138" t="s">
        <v>3312</v>
      </c>
      <c r="B1037" s="40">
        <v>75201.0</v>
      </c>
      <c r="C1037" s="27">
        <v>5000.0</v>
      </c>
      <c r="D1037" s="134" t="s">
        <v>25</v>
      </c>
      <c r="F1037" s="40"/>
    </row>
    <row r="1038">
      <c r="A1038" s="139" t="s">
        <v>3285</v>
      </c>
      <c r="B1038" s="22">
        <v>75204.0</v>
      </c>
      <c r="C1038" s="27">
        <v>5000.0</v>
      </c>
      <c r="D1038" s="134" t="s">
        <v>25</v>
      </c>
      <c r="F1038" s="22"/>
    </row>
    <row r="1039">
      <c r="A1039" s="138" t="s">
        <v>3312</v>
      </c>
      <c r="B1039" s="40">
        <v>75201.0</v>
      </c>
      <c r="C1039" s="27">
        <v>3500.0</v>
      </c>
      <c r="D1039" s="134" t="s">
        <v>25</v>
      </c>
      <c r="F1039" s="40"/>
    </row>
    <row r="1040">
      <c r="A1040" s="139" t="s">
        <v>3425</v>
      </c>
      <c r="B1040" s="22">
        <v>78704.0</v>
      </c>
      <c r="C1040" s="27">
        <v>2500.0</v>
      </c>
      <c r="D1040" s="134" t="s">
        <v>25</v>
      </c>
      <c r="F1040" s="22"/>
    </row>
    <row r="1041">
      <c r="A1041" s="138" t="s">
        <v>3447</v>
      </c>
      <c r="B1041" s="40">
        <v>76120.0</v>
      </c>
      <c r="C1041" s="27">
        <v>5000.0</v>
      </c>
      <c r="D1041" s="134" t="s">
        <v>25</v>
      </c>
      <c r="F1041" s="40"/>
    </row>
    <row r="1042">
      <c r="A1042" s="139" t="s">
        <v>3448</v>
      </c>
      <c r="B1042" s="22">
        <v>20003.0</v>
      </c>
      <c r="C1042" s="27">
        <v>2500.0</v>
      </c>
      <c r="D1042" s="134" t="s">
        <v>25</v>
      </c>
      <c r="F1042" s="22"/>
    </row>
    <row r="1043">
      <c r="A1043" s="138" t="s">
        <v>3304</v>
      </c>
      <c r="B1043" s="40">
        <v>75202.0</v>
      </c>
      <c r="C1043" s="27">
        <v>5000.0</v>
      </c>
      <c r="D1043" s="134" t="s">
        <v>25</v>
      </c>
      <c r="F1043" s="40"/>
    </row>
    <row r="1044">
      <c r="A1044" s="139" t="s">
        <v>3449</v>
      </c>
      <c r="B1044" s="22">
        <v>75380.0</v>
      </c>
      <c r="C1044" s="27">
        <v>10000.0</v>
      </c>
      <c r="D1044" s="134" t="s">
        <v>25</v>
      </c>
      <c r="F1044" s="22"/>
    </row>
    <row r="1045">
      <c r="A1045" s="138" t="s">
        <v>3450</v>
      </c>
      <c r="B1045" s="40">
        <v>77493.0</v>
      </c>
      <c r="C1045" s="27">
        <v>1000.0</v>
      </c>
      <c r="D1045" s="134" t="s">
        <v>22</v>
      </c>
      <c r="F1045" s="40"/>
    </row>
    <row r="1046">
      <c r="A1046" s="139" t="s">
        <v>3293</v>
      </c>
      <c r="B1046" s="22">
        <v>77073.0</v>
      </c>
      <c r="C1046" s="27">
        <v>1000.0</v>
      </c>
      <c r="D1046" s="134" t="s">
        <v>22</v>
      </c>
      <c r="F1046" s="22"/>
    </row>
    <row r="1047">
      <c r="A1047" s="138" t="s">
        <v>3273</v>
      </c>
      <c r="B1047" s="40">
        <v>75205.0</v>
      </c>
      <c r="C1047" s="27">
        <v>1000.0</v>
      </c>
      <c r="D1047" s="134" t="s">
        <v>22</v>
      </c>
      <c r="F1047" s="40"/>
    </row>
    <row r="1048">
      <c r="A1048" s="139" t="s">
        <v>3289</v>
      </c>
      <c r="B1048" s="22">
        <v>75219.0</v>
      </c>
      <c r="C1048" s="27">
        <v>1000.0</v>
      </c>
      <c r="D1048" s="134" t="s">
        <v>22</v>
      </c>
      <c r="F1048" s="22"/>
    </row>
    <row r="1049">
      <c r="A1049" s="138" t="s">
        <v>3273</v>
      </c>
      <c r="B1049" s="40">
        <v>75205.0</v>
      </c>
      <c r="C1049" s="27">
        <v>1000.0</v>
      </c>
      <c r="D1049" s="134" t="s">
        <v>28</v>
      </c>
      <c r="F1049" s="40"/>
    </row>
    <row r="1050">
      <c r="A1050" s="139" t="s">
        <v>3273</v>
      </c>
      <c r="B1050" s="22">
        <v>75205.0</v>
      </c>
      <c r="C1050" s="27">
        <v>1000.0</v>
      </c>
      <c r="D1050" s="134" t="s">
        <v>28</v>
      </c>
      <c r="F1050" s="22"/>
    </row>
    <row r="1051">
      <c r="A1051" s="138" t="s">
        <v>3273</v>
      </c>
      <c r="B1051" s="40">
        <v>75205.0</v>
      </c>
      <c r="C1051" s="27">
        <v>1000.0</v>
      </c>
      <c r="D1051" s="134" t="s">
        <v>28</v>
      </c>
      <c r="F1051" s="40"/>
    </row>
    <row r="1052">
      <c r="A1052" s="139" t="s">
        <v>3273</v>
      </c>
      <c r="B1052" s="22">
        <v>75205.0</v>
      </c>
      <c r="C1052" s="27">
        <v>1000.0</v>
      </c>
      <c r="D1052" s="134" t="s">
        <v>28</v>
      </c>
      <c r="F1052" s="22"/>
    </row>
    <row r="1053">
      <c r="A1053" s="138" t="s">
        <v>3342</v>
      </c>
      <c r="B1053" s="40">
        <v>75093.0</v>
      </c>
      <c r="C1053" s="27">
        <v>2500.0</v>
      </c>
      <c r="D1053" s="134" t="s">
        <v>28</v>
      </c>
      <c r="F1053" s="40"/>
    </row>
    <row r="1054">
      <c r="A1054" s="139" t="s">
        <v>3342</v>
      </c>
      <c r="B1054" s="22">
        <v>75093.0</v>
      </c>
      <c r="C1054" s="27">
        <v>2500.0</v>
      </c>
      <c r="D1054" s="134" t="s">
        <v>28</v>
      </c>
      <c r="F1054" s="22"/>
    </row>
    <row r="1055">
      <c r="A1055" s="138" t="s">
        <v>3266</v>
      </c>
      <c r="B1055" s="40">
        <v>75230.0</v>
      </c>
      <c r="C1055" s="27">
        <v>1000.0</v>
      </c>
      <c r="D1055" s="134" t="s">
        <v>28</v>
      </c>
      <c r="F1055" s="40"/>
    </row>
    <row r="1056">
      <c r="A1056" s="139" t="s">
        <v>3266</v>
      </c>
      <c r="B1056" s="22">
        <v>75230.0</v>
      </c>
      <c r="C1056" s="27">
        <v>1000.0</v>
      </c>
      <c r="D1056" s="134" t="s">
        <v>28</v>
      </c>
      <c r="F1056" s="22"/>
    </row>
    <row r="1057">
      <c r="A1057" s="138" t="s">
        <v>3312</v>
      </c>
      <c r="B1057" s="40">
        <v>75201.0</v>
      </c>
      <c r="C1057" s="27">
        <v>1000.0</v>
      </c>
      <c r="D1057" s="134" t="s">
        <v>28</v>
      </c>
      <c r="F1057" s="40"/>
    </row>
    <row r="1058">
      <c r="A1058" s="139" t="s">
        <v>3312</v>
      </c>
      <c r="B1058" s="22">
        <v>75201.0</v>
      </c>
      <c r="C1058" s="27">
        <v>1000.0</v>
      </c>
      <c r="D1058" s="134" t="s">
        <v>28</v>
      </c>
      <c r="F1058" s="22"/>
    </row>
    <row r="1059">
      <c r="A1059" s="138" t="s">
        <v>3339</v>
      </c>
      <c r="B1059" s="40">
        <v>75215.0</v>
      </c>
      <c r="C1059" s="27">
        <v>500.0</v>
      </c>
      <c r="D1059" s="134" t="s">
        <v>28</v>
      </c>
      <c r="F1059" s="40"/>
    </row>
    <row r="1060">
      <c r="A1060" s="139" t="s">
        <v>3339</v>
      </c>
      <c r="B1060" s="22">
        <v>75215.0</v>
      </c>
      <c r="C1060" s="27">
        <v>500.0</v>
      </c>
      <c r="D1060" s="134" t="s">
        <v>28</v>
      </c>
      <c r="F1060" s="22"/>
    </row>
    <row r="1061">
      <c r="A1061" s="138" t="s">
        <v>3301</v>
      </c>
      <c r="B1061" s="40">
        <v>75220.0</v>
      </c>
      <c r="C1061" s="27">
        <v>1000.0</v>
      </c>
      <c r="D1061" s="134" t="s">
        <v>28</v>
      </c>
      <c r="F1061" s="40"/>
    </row>
    <row r="1062">
      <c r="A1062" s="139" t="s">
        <v>3301</v>
      </c>
      <c r="B1062" s="22">
        <v>75220.0</v>
      </c>
      <c r="C1062" s="27">
        <v>1000.0</v>
      </c>
      <c r="D1062" s="134" t="s">
        <v>28</v>
      </c>
      <c r="F1062" s="22"/>
    </row>
    <row r="1063">
      <c r="A1063" s="138" t="s">
        <v>3301</v>
      </c>
      <c r="B1063" s="40">
        <v>75220.0</v>
      </c>
      <c r="C1063" s="27">
        <v>1000.0</v>
      </c>
      <c r="D1063" s="134" t="s">
        <v>28</v>
      </c>
      <c r="F1063" s="40"/>
    </row>
    <row r="1064">
      <c r="A1064" s="139" t="s">
        <v>3301</v>
      </c>
      <c r="B1064" s="22">
        <v>75220.0</v>
      </c>
      <c r="C1064" s="27">
        <v>1000.0</v>
      </c>
      <c r="D1064" s="134" t="s">
        <v>28</v>
      </c>
      <c r="F1064" s="22"/>
    </row>
    <row r="1065">
      <c r="A1065" s="138" t="s">
        <v>3301</v>
      </c>
      <c r="B1065" s="40">
        <v>75220.0</v>
      </c>
      <c r="C1065" s="27">
        <v>1000.0</v>
      </c>
      <c r="D1065" s="134" t="s">
        <v>28</v>
      </c>
      <c r="F1065" s="40"/>
    </row>
    <row r="1066">
      <c r="A1066" s="139" t="s">
        <v>3301</v>
      </c>
      <c r="B1066" s="22">
        <v>75220.0</v>
      </c>
      <c r="C1066" s="27">
        <v>1000.0</v>
      </c>
      <c r="D1066" s="134" t="s">
        <v>28</v>
      </c>
      <c r="F1066" s="22"/>
    </row>
    <row r="1067">
      <c r="A1067" s="138" t="s">
        <v>3278</v>
      </c>
      <c r="B1067" s="40">
        <v>75248.0</v>
      </c>
      <c r="C1067" s="27">
        <v>2000.0</v>
      </c>
      <c r="D1067" s="134" t="s">
        <v>28</v>
      </c>
      <c r="F1067" s="40"/>
    </row>
    <row r="1068">
      <c r="A1068" s="139" t="s">
        <v>3278</v>
      </c>
      <c r="B1068" s="22">
        <v>75248.0</v>
      </c>
      <c r="C1068" s="27">
        <v>2000.0</v>
      </c>
      <c r="D1068" s="134" t="s">
        <v>28</v>
      </c>
      <c r="F1068" s="22"/>
    </row>
    <row r="1069">
      <c r="A1069" s="138" t="s">
        <v>3280</v>
      </c>
      <c r="B1069" s="40">
        <v>75252.0</v>
      </c>
      <c r="C1069" s="27">
        <v>1000.0</v>
      </c>
      <c r="D1069" s="134" t="s">
        <v>28</v>
      </c>
      <c r="F1069" s="40"/>
    </row>
    <row r="1070">
      <c r="A1070" s="139" t="s">
        <v>3280</v>
      </c>
      <c r="B1070" s="22">
        <v>75252.0</v>
      </c>
      <c r="C1070" s="27">
        <v>1000.0</v>
      </c>
      <c r="D1070" s="134" t="s">
        <v>28</v>
      </c>
      <c r="F1070" s="22"/>
    </row>
    <row r="1071">
      <c r="A1071" s="138" t="s">
        <v>3285</v>
      </c>
      <c r="B1071" s="40">
        <v>75204.0</v>
      </c>
      <c r="C1071" s="27">
        <v>75.0</v>
      </c>
      <c r="D1071" s="134" t="s">
        <v>31</v>
      </c>
      <c r="F1071" s="40"/>
    </row>
    <row r="1072">
      <c r="A1072" s="139" t="s">
        <v>3284</v>
      </c>
      <c r="B1072" s="22">
        <v>75229.0</v>
      </c>
      <c r="C1072" s="27">
        <v>250.0</v>
      </c>
      <c r="D1072" s="134" t="s">
        <v>31</v>
      </c>
      <c r="F1072" s="22"/>
    </row>
    <row r="1073">
      <c r="A1073" s="138" t="s">
        <v>3451</v>
      </c>
      <c r="B1073" s="40">
        <v>20882.0</v>
      </c>
      <c r="C1073" s="27">
        <v>100.0</v>
      </c>
      <c r="D1073" s="134" t="s">
        <v>31</v>
      </c>
      <c r="F1073" s="40"/>
    </row>
    <row r="1074">
      <c r="A1074" s="139" t="s">
        <v>3289</v>
      </c>
      <c r="B1074" s="22">
        <v>75219.0</v>
      </c>
      <c r="C1074" s="27">
        <v>250.0</v>
      </c>
      <c r="D1074" s="134" t="s">
        <v>31</v>
      </c>
      <c r="F1074" s="22"/>
    </row>
    <row r="1075">
      <c r="A1075" s="138" t="s">
        <v>3266</v>
      </c>
      <c r="B1075" s="40">
        <v>75230.0</v>
      </c>
      <c r="C1075" s="27">
        <v>50.0</v>
      </c>
      <c r="D1075" s="134" t="s">
        <v>31</v>
      </c>
      <c r="F1075" s="40"/>
    </row>
    <row r="1076">
      <c r="A1076" s="139" t="s">
        <v>3452</v>
      </c>
      <c r="B1076" s="22">
        <v>35223.0</v>
      </c>
      <c r="C1076" s="27">
        <v>250.0</v>
      </c>
      <c r="D1076" s="134" t="s">
        <v>31</v>
      </c>
      <c r="F1076" s="22"/>
    </row>
    <row r="1077">
      <c r="A1077" s="138" t="s">
        <v>3305</v>
      </c>
      <c r="B1077" s="40">
        <v>75254.0</v>
      </c>
      <c r="C1077" s="27">
        <v>500.0</v>
      </c>
      <c r="D1077" s="134" t="s">
        <v>31</v>
      </c>
      <c r="F1077" s="40"/>
    </row>
    <row r="1078">
      <c r="A1078" s="139" t="s">
        <v>3278</v>
      </c>
      <c r="B1078" s="22">
        <v>75248.0</v>
      </c>
      <c r="C1078" s="27">
        <v>250.0</v>
      </c>
      <c r="D1078" s="134" t="s">
        <v>31</v>
      </c>
      <c r="F1078" s="22"/>
    </row>
    <row r="1079">
      <c r="A1079" s="138" t="s">
        <v>3266</v>
      </c>
      <c r="B1079" s="40">
        <v>75230.0</v>
      </c>
      <c r="C1079" s="27">
        <v>500.0</v>
      </c>
      <c r="D1079" s="134" t="s">
        <v>31</v>
      </c>
      <c r="F1079" s="40"/>
    </row>
    <row r="1080">
      <c r="A1080" s="139" t="s">
        <v>3272</v>
      </c>
      <c r="B1080" s="22">
        <v>75238.0</v>
      </c>
      <c r="C1080" s="27">
        <v>500.0</v>
      </c>
      <c r="D1080" s="134" t="s">
        <v>31</v>
      </c>
      <c r="F1080" s="22"/>
    </row>
    <row r="1081">
      <c r="A1081" s="138" t="s">
        <v>3266</v>
      </c>
      <c r="B1081" s="40">
        <v>75230.0</v>
      </c>
      <c r="C1081" s="27">
        <v>500.0</v>
      </c>
      <c r="D1081" s="134" t="s">
        <v>31</v>
      </c>
      <c r="F1081" s="40"/>
    </row>
    <row r="1082">
      <c r="A1082" s="139" t="s">
        <v>3321</v>
      </c>
      <c r="B1082" s="22">
        <v>75209.0</v>
      </c>
      <c r="C1082" s="27">
        <v>100.0</v>
      </c>
      <c r="D1082" s="134" t="s">
        <v>31</v>
      </c>
      <c r="F1082" s="22"/>
    </row>
    <row r="1083">
      <c r="A1083" s="138" t="s">
        <v>3266</v>
      </c>
      <c r="B1083" s="40">
        <v>75230.0</v>
      </c>
      <c r="C1083" s="27">
        <v>25.0</v>
      </c>
      <c r="D1083" s="134" t="s">
        <v>31</v>
      </c>
      <c r="F1083" s="40"/>
    </row>
    <row r="1084">
      <c r="A1084" s="139" t="s">
        <v>3284</v>
      </c>
      <c r="B1084" s="22">
        <v>75229.0</v>
      </c>
      <c r="C1084" s="27">
        <v>1000.0</v>
      </c>
      <c r="D1084" s="134" t="s">
        <v>31</v>
      </c>
      <c r="F1084" s="22"/>
    </row>
    <row r="1085">
      <c r="A1085" s="138" t="s">
        <v>3266</v>
      </c>
      <c r="B1085" s="40">
        <v>75230.0</v>
      </c>
      <c r="C1085" s="27">
        <v>250.0</v>
      </c>
      <c r="D1085" s="134" t="s">
        <v>31</v>
      </c>
      <c r="F1085" s="40"/>
    </row>
    <row r="1086">
      <c r="A1086" s="139" t="s">
        <v>3266</v>
      </c>
      <c r="B1086" s="22">
        <v>75230.0</v>
      </c>
      <c r="C1086" s="27">
        <v>50.0</v>
      </c>
      <c r="D1086" s="134" t="s">
        <v>31</v>
      </c>
      <c r="F1086" s="22"/>
    </row>
    <row r="1087">
      <c r="A1087" s="138" t="s">
        <v>3278</v>
      </c>
      <c r="B1087" s="40">
        <v>75248.0</v>
      </c>
      <c r="C1087" s="27">
        <v>50.0</v>
      </c>
      <c r="D1087" s="134" t="s">
        <v>31</v>
      </c>
      <c r="F1087" s="40"/>
    </row>
    <row r="1088">
      <c r="A1088" s="139" t="s">
        <v>3278</v>
      </c>
      <c r="B1088" s="22">
        <v>75248.0</v>
      </c>
      <c r="C1088" s="27">
        <v>100.0</v>
      </c>
      <c r="D1088" s="134" t="s">
        <v>31</v>
      </c>
      <c r="F1088" s="22"/>
    </row>
    <row r="1089">
      <c r="A1089" s="138" t="s">
        <v>3266</v>
      </c>
      <c r="B1089" s="40">
        <v>75230.0</v>
      </c>
      <c r="C1089" s="27">
        <v>50.0</v>
      </c>
      <c r="D1089" s="134" t="s">
        <v>31</v>
      </c>
      <c r="F1089" s="40"/>
    </row>
    <row r="1090">
      <c r="A1090" s="139" t="s">
        <v>3266</v>
      </c>
      <c r="B1090" s="22">
        <v>75230.0</v>
      </c>
      <c r="C1090" s="27">
        <v>500.0</v>
      </c>
      <c r="D1090" s="134" t="s">
        <v>31</v>
      </c>
      <c r="F1090" s="22"/>
    </row>
    <row r="1091">
      <c r="A1091" s="138" t="s">
        <v>3266</v>
      </c>
      <c r="B1091" s="40">
        <v>75230.0</v>
      </c>
      <c r="C1091" s="27">
        <v>25.0</v>
      </c>
      <c r="D1091" s="134" t="s">
        <v>31</v>
      </c>
      <c r="F1091" s="40"/>
    </row>
    <row r="1092">
      <c r="A1092" s="139" t="s">
        <v>3266</v>
      </c>
      <c r="B1092" s="22">
        <v>75230.0</v>
      </c>
      <c r="C1092" s="27">
        <v>100.0</v>
      </c>
      <c r="D1092" s="134" t="s">
        <v>31</v>
      </c>
      <c r="F1092" s="22"/>
    </row>
    <row r="1093">
      <c r="A1093" s="138" t="s">
        <v>3308</v>
      </c>
      <c r="B1093" s="40">
        <v>75227.0</v>
      </c>
      <c r="C1093" s="27">
        <v>50.0</v>
      </c>
      <c r="D1093" s="134" t="s">
        <v>31</v>
      </c>
      <c r="F1093" s="40"/>
    </row>
    <row r="1094">
      <c r="A1094" s="139" t="s">
        <v>3453</v>
      </c>
      <c r="B1094" s="22">
        <v>75230.0</v>
      </c>
      <c r="C1094" s="27">
        <v>500.0</v>
      </c>
      <c r="D1094" s="134" t="s">
        <v>31</v>
      </c>
      <c r="F1094" s="22"/>
    </row>
    <row r="1095">
      <c r="A1095" s="138" t="s">
        <v>3266</v>
      </c>
      <c r="B1095" s="40">
        <v>75230.0</v>
      </c>
      <c r="C1095" s="27">
        <v>300.0</v>
      </c>
      <c r="D1095" s="134" t="s">
        <v>31</v>
      </c>
      <c r="F1095" s="40"/>
    </row>
    <row r="1096">
      <c r="A1096" s="139" t="s">
        <v>3285</v>
      </c>
      <c r="B1096" s="22">
        <v>75204.0</v>
      </c>
      <c r="C1096" s="27">
        <v>250.0</v>
      </c>
      <c r="D1096" s="134" t="s">
        <v>31</v>
      </c>
      <c r="F1096" s="22"/>
    </row>
    <row r="1097">
      <c r="A1097" s="138" t="s">
        <v>3278</v>
      </c>
      <c r="B1097" s="40">
        <v>75248.0</v>
      </c>
      <c r="C1097" s="27">
        <v>50.0</v>
      </c>
      <c r="D1097" s="134" t="s">
        <v>31</v>
      </c>
      <c r="F1097" s="40"/>
    </row>
    <row r="1098">
      <c r="A1098" s="139" t="s">
        <v>3284</v>
      </c>
      <c r="B1098" s="22">
        <v>75229.0</v>
      </c>
      <c r="C1098" s="27">
        <v>500.0</v>
      </c>
      <c r="D1098" s="134" t="s">
        <v>31</v>
      </c>
      <c r="F1098" s="22"/>
    </row>
    <row r="1099">
      <c r="A1099" s="138" t="s">
        <v>3266</v>
      </c>
      <c r="B1099" s="40">
        <v>75230.0</v>
      </c>
      <c r="C1099" s="27">
        <v>500.0</v>
      </c>
      <c r="D1099" s="134" t="s">
        <v>31</v>
      </c>
      <c r="F1099" s="40"/>
    </row>
    <row r="1100">
      <c r="A1100" s="139" t="s">
        <v>3266</v>
      </c>
      <c r="B1100" s="22">
        <v>75230.0</v>
      </c>
      <c r="C1100" s="27">
        <v>100.0</v>
      </c>
      <c r="D1100" s="134" t="s">
        <v>31</v>
      </c>
      <c r="F1100" s="22"/>
    </row>
    <row r="1101">
      <c r="A1101" s="138" t="s">
        <v>3266</v>
      </c>
      <c r="B1101" s="40">
        <v>75230.0</v>
      </c>
      <c r="C1101" s="27">
        <v>250.0</v>
      </c>
      <c r="D1101" s="134" t="s">
        <v>31</v>
      </c>
      <c r="F1101" s="40"/>
    </row>
    <row r="1102">
      <c r="A1102" s="139" t="s">
        <v>3454</v>
      </c>
      <c r="B1102" s="22">
        <v>21403.0</v>
      </c>
      <c r="C1102" s="27">
        <v>360.0</v>
      </c>
      <c r="D1102" s="134" t="s">
        <v>31</v>
      </c>
      <c r="F1102" s="22"/>
    </row>
    <row r="1103">
      <c r="A1103" s="138" t="s">
        <v>3266</v>
      </c>
      <c r="B1103" s="40">
        <v>75230.0</v>
      </c>
      <c r="C1103" s="27">
        <v>100.0</v>
      </c>
      <c r="D1103" s="134" t="s">
        <v>31</v>
      </c>
      <c r="F1103" s="40"/>
    </row>
    <row r="1104">
      <c r="A1104" s="139" t="s">
        <v>3266</v>
      </c>
      <c r="B1104" s="22">
        <v>75230.0</v>
      </c>
      <c r="C1104" s="27">
        <v>25.0</v>
      </c>
      <c r="D1104" s="134" t="s">
        <v>31</v>
      </c>
      <c r="F1104" s="22"/>
    </row>
    <row r="1105">
      <c r="A1105" s="138" t="s">
        <v>3266</v>
      </c>
      <c r="B1105" s="40">
        <v>75230.0</v>
      </c>
      <c r="C1105" s="27">
        <v>500.0</v>
      </c>
      <c r="D1105" s="134" t="s">
        <v>31</v>
      </c>
      <c r="F1105" s="40"/>
    </row>
    <row r="1106">
      <c r="A1106" s="139" t="s">
        <v>3291</v>
      </c>
      <c r="B1106" s="22">
        <v>75287.0</v>
      </c>
      <c r="C1106" s="27">
        <v>100.0</v>
      </c>
      <c r="D1106" s="134" t="s">
        <v>31</v>
      </c>
      <c r="F1106" s="22"/>
    </row>
    <row r="1107">
      <c r="A1107" s="138" t="s">
        <v>3314</v>
      </c>
      <c r="B1107" s="40">
        <v>75231.0</v>
      </c>
      <c r="C1107" s="27">
        <v>180.0</v>
      </c>
      <c r="D1107" s="134" t="s">
        <v>31</v>
      </c>
      <c r="F1107" s="40"/>
    </row>
    <row r="1108">
      <c r="A1108" s="139" t="s">
        <v>3278</v>
      </c>
      <c r="B1108" s="22">
        <v>75248.0</v>
      </c>
      <c r="C1108" s="27">
        <v>100.0</v>
      </c>
      <c r="D1108" s="134" t="s">
        <v>31</v>
      </c>
      <c r="F1108" s="22"/>
    </row>
    <row r="1109">
      <c r="A1109" s="138" t="s">
        <v>3291</v>
      </c>
      <c r="B1109" s="40">
        <v>75287.0</v>
      </c>
      <c r="C1109" s="27">
        <v>100.0</v>
      </c>
      <c r="D1109" s="134" t="s">
        <v>31</v>
      </c>
      <c r="F1109" s="40"/>
    </row>
    <row r="1110">
      <c r="A1110" s="139" t="s">
        <v>3455</v>
      </c>
      <c r="B1110" s="22">
        <v>75246.0</v>
      </c>
      <c r="C1110" s="27">
        <v>100.0</v>
      </c>
      <c r="D1110" s="134" t="s">
        <v>31</v>
      </c>
      <c r="F1110" s="22"/>
    </row>
    <row r="1111">
      <c r="A1111" s="138" t="s">
        <v>3266</v>
      </c>
      <c r="B1111" s="40">
        <v>75230.0</v>
      </c>
      <c r="C1111" s="27">
        <v>100.0</v>
      </c>
      <c r="D1111" s="134" t="s">
        <v>31</v>
      </c>
      <c r="F1111" s="40"/>
    </row>
    <row r="1112">
      <c r="A1112" s="139" t="s">
        <v>3266</v>
      </c>
      <c r="B1112" s="22">
        <v>75230.0</v>
      </c>
      <c r="C1112" s="27">
        <v>100.0</v>
      </c>
      <c r="D1112" s="134" t="s">
        <v>31</v>
      </c>
      <c r="F1112" s="22"/>
    </row>
    <row r="1113">
      <c r="A1113" s="138" t="s">
        <v>3266</v>
      </c>
      <c r="B1113" s="40">
        <v>75230.0</v>
      </c>
      <c r="C1113" s="27">
        <v>18.0</v>
      </c>
      <c r="D1113" s="134" t="s">
        <v>31</v>
      </c>
      <c r="F1113" s="40"/>
    </row>
    <row r="1114">
      <c r="A1114" s="139" t="s">
        <v>3290</v>
      </c>
      <c r="B1114" s="22">
        <v>75240.0</v>
      </c>
      <c r="C1114" s="27">
        <v>100.0</v>
      </c>
      <c r="D1114" s="134" t="s">
        <v>31</v>
      </c>
      <c r="F1114" s="22"/>
    </row>
    <row r="1115">
      <c r="A1115" s="138" t="s">
        <v>3305</v>
      </c>
      <c r="B1115" s="40">
        <v>75254.0</v>
      </c>
      <c r="C1115" s="27">
        <v>100.0</v>
      </c>
      <c r="D1115" s="134" t="s">
        <v>31</v>
      </c>
      <c r="F1115" s="40"/>
    </row>
    <row r="1116">
      <c r="A1116" s="139" t="s">
        <v>3266</v>
      </c>
      <c r="B1116" s="22">
        <v>75230.0</v>
      </c>
      <c r="C1116" s="27">
        <v>500.0</v>
      </c>
      <c r="D1116" s="134" t="s">
        <v>31</v>
      </c>
      <c r="F1116" s="22"/>
    </row>
    <row r="1117">
      <c r="A1117" s="138" t="s">
        <v>3266</v>
      </c>
      <c r="B1117" s="40">
        <v>75230.0</v>
      </c>
      <c r="C1117" s="27">
        <v>500.0</v>
      </c>
      <c r="D1117" s="134" t="s">
        <v>31</v>
      </c>
      <c r="F1117" s="40"/>
    </row>
    <row r="1118">
      <c r="A1118" s="139" t="s">
        <v>3266</v>
      </c>
      <c r="B1118" s="22">
        <v>75230.0</v>
      </c>
      <c r="C1118" s="27">
        <v>100.0</v>
      </c>
      <c r="D1118" s="134" t="s">
        <v>31</v>
      </c>
      <c r="F1118" s="22"/>
    </row>
    <row r="1119">
      <c r="A1119" s="138" t="s">
        <v>3266</v>
      </c>
      <c r="B1119" s="40">
        <v>75230.0</v>
      </c>
      <c r="C1119" s="27">
        <v>50.0</v>
      </c>
      <c r="D1119" s="134" t="s">
        <v>31</v>
      </c>
      <c r="F1119" s="40"/>
    </row>
    <row r="1120">
      <c r="A1120" s="139" t="s">
        <v>3303</v>
      </c>
      <c r="B1120" s="22">
        <v>75035.0</v>
      </c>
      <c r="C1120" s="27">
        <v>25.0</v>
      </c>
      <c r="D1120" s="134" t="s">
        <v>31</v>
      </c>
      <c r="F1120" s="22"/>
    </row>
    <row r="1121">
      <c r="A1121" s="138" t="s">
        <v>3290</v>
      </c>
      <c r="B1121" s="40">
        <v>75240.0</v>
      </c>
      <c r="C1121" s="27">
        <v>25.0</v>
      </c>
      <c r="D1121" s="134" t="s">
        <v>31</v>
      </c>
      <c r="F1121" s="40"/>
    </row>
    <row r="1122">
      <c r="A1122" s="139" t="s">
        <v>3456</v>
      </c>
      <c r="B1122" s="22">
        <v>33066.0</v>
      </c>
      <c r="C1122" s="27">
        <v>100.0</v>
      </c>
      <c r="D1122" s="134" t="s">
        <v>31</v>
      </c>
      <c r="F1122" s="22"/>
    </row>
    <row r="1123">
      <c r="A1123" s="138" t="s">
        <v>3289</v>
      </c>
      <c r="B1123" s="40">
        <v>75219.0</v>
      </c>
      <c r="C1123" s="27">
        <v>250.0</v>
      </c>
      <c r="D1123" s="134" t="s">
        <v>31</v>
      </c>
      <c r="F1123" s="40"/>
    </row>
    <row r="1124">
      <c r="A1124" s="139" t="s">
        <v>3278</v>
      </c>
      <c r="B1124" s="22">
        <v>75248.0</v>
      </c>
      <c r="C1124" s="27">
        <v>100.0</v>
      </c>
      <c r="D1124" s="134" t="s">
        <v>31</v>
      </c>
      <c r="F1124" s="22"/>
    </row>
    <row r="1125">
      <c r="A1125" s="138" t="s">
        <v>3305</v>
      </c>
      <c r="B1125" s="40">
        <v>75254.0</v>
      </c>
      <c r="C1125" s="27">
        <v>1000.0</v>
      </c>
      <c r="D1125" s="134" t="s">
        <v>31</v>
      </c>
      <c r="F1125" s="40"/>
    </row>
    <row r="1126">
      <c r="A1126" s="139" t="s">
        <v>3296</v>
      </c>
      <c r="B1126" s="22">
        <v>75039.0</v>
      </c>
      <c r="C1126" s="27">
        <v>500.0</v>
      </c>
      <c r="D1126" s="134" t="s">
        <v>31</v>
      </c>
      <c r="F1126" s="22"/>
    </row>
    <row r="1127">
      <c r="A1127" s="138" t="s">
        <v>3266</v>
      </c>
      <c r="B1127" s="40">
        <v>75230.0</v>
      </c>
      <c r="C1127" s="27">
        <v>100.0</v>
      </c>
      <c r="D1127" s="134" t="s">
        <v>31</v>
      </c>
      <c r="F1127" s="40"/>
    </row>
    <row r="1128">
      <c r="A1128" s="139" t="s">
        <v>3266</v>
      </c>
      <c r="B1128" s="22">
        <v>75230.0</v>
      </c>
      <c r="C1128" s="27">
        <v>100.0</v>
      </c>
      <c r="D1128" s="134" t="s">
        <v>31</v>
      </c>
      <c r="F1128" s="22"/>
    </row>
    <row r="1129">
      <c r="A1129" s="138" t="s">
        <v>3278</v>
      </c>
      <c r="B1129" s="40">
        <v>75248.0</v>
      </c>
      <c r="C1129" s="27">
        <v>100.0</v>
      </c>
      <c r="D1129" s="134" t="s">
        <v>31</v>
      </c>
      <c r="F1129" s="40"/>
    </row>
    <row r="1130">
      <c r="A1130" s="139" t="s">
        <v>3266</v>
      </c>
      <c r="B1130" s="22">
        <v>75230.0</v>
      </c>
      <c r="C1130" s="27">
        <v>50.0</v>
      </c>
      <c r="D1130" s="134" t="s">
        <v>31</v>
      </c>
      <c r="F1130" s="22"/>
    </row>
    <row r="1131">
      <c r="A1131" s="138" t="s">
        <v>3266</v>
      </c>
      <c r="B1131" s="40">
        <v>75230.0</v>
      </c>
      <c r="C1131" s="27">
        <v>100.0</v>
      </c>
      <c r="D1131" s="134" t="s">
        <v>31</v>
      </c>
      <c r="F1131" s="40"/>
    </row>
    <row r="1132">
      <c r="A1132" s="139" t="s">
        <v>3266</v>
      </c>
      <c r="B1132" s="22">
        <v>75230.0</v>
      </c>
      <c r="C1132" s="27">
        <v>18.0</v>
      </c>
      <c r="D1132" s="134" t="s">
        <v>31</v>
      </c>
      <c r="F1132" s="22"/>
    </row>
    <row r="1133">
      <c r="A1133" s="138" t="s">
        <v>3305</v>
      </c>
      <c r="B1133" s="40">
        <v>75254.0</v>
      </c>
      <c r="C1133" s="27">
        <v>50.0</v>
      </c>
      <c r="D1133" s="134" t="s">
        <v>31</v>
      </c>
      <c r="F1133" s="40"/>
    </row>
    <row r="1134">
      <c r="A1134" s="139" t="s">
        <v>3266</v>
      </c>
      <c r="B1134" s="22">
        <v>75230.0</v>
      </c>
      <c r="C1134" s="27">
        <v>25.0</v>
      </c>
      <c r="D1134" s="134" t="s">
        <v>31</v>
      </c>
      <c r="F1134" s="22"/>
    </row>
    <row r="1135">
      <c r="A1135" s="138" t="s">
        <v>3266</v>
      </c>
      <c r="B1135" s="40">
        <v>75230.0</v>
      </c>
      <c r="C1135" s="27">
        <v>25.0</v>
      </c>
      <c r="D1135" s="134" t="s">
        <v>31</v>
      </c>
      <c r="F1135" s="40"/>
    </row>
    <row r="1136">
      <c r="A1136" s="139" t="s">
        <v>3278</v>
      </c>
      <c r="B1136" s="22">
        <v>75248.0</v>
      </c>
      <c r="C1136" s="27">
        <v>15.0</v>
      </c>
      <c r="D1136" s="134" t="s">
        <v>31</v>
      </c>
      <c r="F1136" s="22"/>
    </row>
    <row r="1137">
      <c r="A1137" s="138" t="s">
        <v>3291</v>
      </c>
      <c r="B1137" s="40">
        <v>75287.0</v>
      </c>
      <c r="C1137" s="27">
        <v>150.0</v>
      </c>
      <c r="D1137" s="134" t="s">
        <v>31</v>
      </c>
      <c r="F1137" s="40"/>
    </row>
    <row r="1138">
      <c r="A1138" s="139" t="s">
        <v>3266</v>
      </c>
      <c r="B1138" s="22">
        <v>75230.0</v>
      </c>
      <c r="C1138" s="27">
        <v>250.0</v>
      </c>
      <c r="D1138" s="134" t="s">
        <v>31</v>
      </c>
      <c r="F1138" s="22"/>
    </row>
    <row r="1139">
      <c r="A1139" s="138" t="s">
        <v>3266</v>
      </c>
      <c r="B1139" s="40">
        <v>75230.0</v>
      </c>
      <c r="C1139" s="27">
        <v>100.0</v>
      </c>
      <c r="D1139" s="134" t="s">
        <v>31</v>
      </c>
      <c r="F1139" s="40"/>
    </row>
    <row r="1140">
      <c r="A1140" s="139" t="s">
        <v>3266</v>
      </c>
      <c r="B1140" s="22">
        <v>75230.0</v>
      </c>
      <c r="C1140" s="27">
        <v>100.0</v>
      </c>
      <c r="D1140" s="134" t="s">
        <v>31</v>
      </c>
      <c r="F1140" s="22"/>
    </row>
    <row r="1141">
      <c r="A1141" s="138" t="s">
        <v>3282</v>
      </c>
      <c r="B1141" s="40">
        <v>75208.0</v>
      </c>
      <c r="C1141" s="27">
        <v>100.0</v>
      </c>
      <c r="D1141" s="134" t="s">
        <v>31</v>
      </c>
      <c r="F1141" s="40"/>
    </row>
    <row r="1142">
      <c r="A1142" s="139" t="s">
        <v>3305</v>
      </c>
      <c r="B1142" s="22">
        <v>75254.0</v>
      </c>
      <c r="C1142" s="27">
        <v>50.0</v>
      </c>
      <c r="D1142" s="134" t="s">
        <v>31</v>
      </c>
      <c r="F1142" s="22"/>
    </row>
    <row r="1143">
      <c r="A1143" s="138" t="s">
        <v>3266</v>
      </c>
      <c r="B1143" s="40">
        <v>75230.0</v>
      </c>
      <c r="C1143" s="27">
        <v>100.0</v>
      </c>
      <c r="D1143" s="134" t="s">
        <v>31</v>
      </c>
      <c r="F1143" s="40"/>
    </row>
    <row r="1144">
      <c r="A1144" s="139" t="s">
        <v>3290</v>
      </c>
      <c r="B1144" s="22">
        <v>75240.0</v>
      </c>
      <c r="C1144" s="27">
        <v>100.0</v>
      </c>
      <c r="D1144" s="134" t="s">
        <v>31</v>
      </c>
      <c r="F1144" s="22"/>
    </row>
    <row r="1145">
      <c r="A1145" s="138" t="s">
        <v>3339</v>
      </c>
      <c r="B1145" s="40">
        <v>75215.0</v>
      </c>
      <c r="C1145" s="27">
        <v>500.0</v>
      </c>
      <c r="D1145" s="134" t="s">
        <v>31</v>
      </c>
      <c r="F1145" s="40"/>
    </row>
    <row r="1146">
      <c r="A1146" s="139" t="s">
        <v>3266</v>
      </c>
      <c r="B1146" s="22">
        <v>75230.0</v>
      </c>
      <c r="C1146" s="27">
        <v>350.0</v>
      </c>
      <c r="D1146" s="134" t="s">
        <v>31</v>
      </c>
      <c r="F1146" s="22"/>
    </row>
    <row r="1147">
      <c r="A1147" s="138" t="s">
        <v>3279</v>
      </c>
      <c r="B1147" s="40">
        <v>75225.0</v>
      </c>
      <c r="C1147" s="27">
        <v>1000.0</v>
      </c>
      <c r="D1147" s="134" t="s">
        <v>31</v>
      </c>
      <c r="F1147" s="40"/>
    </row>
    <row r="1148">
      <c r="A1148" s="139" t="s">
        <v>3289</v>
      </c>
      <c r="B1148" s="22">
        <v>75219.0</v>
      </c>
      <c r="C1148" s="27">
        <v>250.0</v>
      </c>
      <c r="D1148" s="134" t="s">
        <v>31</v>
      </c>
      <c r="F1148" s="22"/>
    </row>
    <row r="1149">
      <c r="A1149" s="138" t="s">
        <v>3326</v>
      </c>
      <c r="B1149" s="40">
        <v>75224.0</v>
      </c>
      <c r="C1149" s="27">
        <v>250.0</v>
      </c>
      <c r="D1149" s="134" t="s">
        <v>31</v>
      </c>
      <c r="F1149" s="40"/>
    </row>
    <row r="1150">
      <c r="A1150" s="139" t="s">
        <v>3457</v>
      </c>
      <c r="B1150" s="22">
        <v>90048.0</v>
      </c>
      <c r="C1150" s="27">
        <v>500.0</v>
      </c>
      <c r="D1150" s="134" t="s">
        <v>31</v>
      </c>
      <c r="F1150" s="22"/>
    </row>
    <row r="1151">
      <c r="A1151" s="138" t="s">
        <v>3266</v>
      </c>
      <c r="B1151" s="40">
        <v>75230.0</v>
      </c>
      <c r="C1151" s="27">
        <v>250.0</v>
      </c>
      <c r="D1151" s="134" t="s">
        <v>31</v>
      </c>
      <c r="F1151" s="40"/>
    </row>
    <row r="1152">
      <c r="A1152" s="139" t="s">
        <v>3458</v>
      </c>
      <c r="B1152" s="22">
        <v>75339.0</v>
      </c>
      <c r="C1152" s="27">
        <v>100.0</v>
      </c>
      <c r="D1152" s="134" t="s">
        <v>31</v>
      </c>
      <c r="F1152" s="22"/>
    </row>
    <row r="1153">
      <c r="A1153" s="138" t="s">
        <v>3438</v>
      </c>
      <c r="B1153" s="40">
        <v>75024.0</v>
      </c>
      <c r="C1153" s="27">
        <v>118.0</v>
      </c>
      <c r="D1153" s="134" t="s">
        <v>31</v>
      </c>
      <c r="F1153" s="40"/>
    </row>
    <row r="1154">
      <c r="A1154" s="139" t="s">
        <v>3266</v>
      </c>
      <c r="B1154" s="22">
        <v>75230.0</v>
      </c>
      <c r="C1154" s="27">
        <v>25.0</v>
      </c>
      <c r="D1154" s="134" t="s">
        <v>31</v>
      </c>
      <c r="F1154" s="22"/>
    </row>
    <row r="1155">
      <c r="A1155" s="138" t="s">
        <v>3266</v>
      </c>
      <c r="B1155" s="40">
        <v>75230.0</v>
      </c>
      <c r="C1155" s="27">
        <v>1000.0</v>
      </c>
      <c r="D1155" s="134" t="s">
        <v>31</v>
      </c>
      <c r="F1155" s="40"/>
    </row>
    <row r="1156">
      <c r="A1156" s="139" t="s">
        <v>3267</v>
      </c>
      <c r="B1156" s="22">
        <v>75214.0</v>
      </c>
      <c r="C1156" s="27">
        <v>250.0</v>
      </c>
      <c r="D1156" s="134" t="s">
        <v>31</v>
      </c>
      <c r="F1156" s="22"/>
    </row>
    <row r="1157">
      <c r="A1157" s="138" t="s">
        <v>3266</v>
      </c>
      <c r="B1157" s="40">
        <v>75230.0</v>
      </c>
      <c r="C1157" s="27">
        <v>100.0</v>
      </c>
      <c r="D1157" s="134" t="s">
        <v>31</v>
      </c>
      <c r="F1157" s="40"/>
    </row>
    <row r="1158">
      <c r="A1158" s="139" t="s">
        <v>3266</v>
      </c>
      <c r="B1158" s="22">
        <v>75230.0</v>
      </c>
      <c r="C1158" s="27">
        <v>100.0</v>
      </c>
      <c r="D1158" s="134" t="s">
        <v>31</v>
      </c>
      <c r="F1158" s="22"/>
    </row>
    <row r="1159">
      <c r="A1159" s="138" t="s">
        <v>3278</v>
      </c>
      <c r="B1159" s="40">
        <v>75248.0</v>
      </c>
      <c r="C1159" s="27">
        <v>500.0</v>
      </c>
      <c r="D1159" s="134" t="s">
        <v>31</v>
      </c>
      <c r="F1159" s="40"/>
    </row>
    <row r="1160">
      <c r="A1160" s="139" t="s">
        <v>3266</v>
      </c>
      <c r="B1160" s="22">
        <v>75230.0</v>
      </c>
      <c r="C1160" s="27">
        <v>100.0</v>
      </c>
      <c r="D1160" s="134" t="s">
        <v>31</v>
      </c>
      <c r="F1160" s="22"/>
    </row>
    <row r="1161">
      <c r="A1161" s="138" t="s">
        <v>3266</v>
      </c>
      <c r="B1161" s="40">
        <v>75230.0</v>
      </c>
      <c r="C1161" s="27">
        <v>500.0</v>
      </c>
      <c r="D1161" s="134" t="s">
        <v>31</v>
      </c>
      <c r="F1161" s="40"/>
    </row>
    <row r="1162">
      <c r="A1162" s="139" t="s">
        <v>3459</v>
      </c>
      <c r="B1162" s="22">
        <v>75230.0</v>
      </c>
      <c r="C1162" s="27">
        <v>500.0</v>
      </c>
      <c r="D1162" s="134" t="s">
        <v>31</v>
      </c>
      <c r="F1162" s="22"/>
    </row>
    <row r="1163">
      <c r="A1163" s="138" t="s">
        <v>3280</v>
      </c>
      <c r="B1163" s="40">
        <v>75252.0</v>
      </c>
      <c r="C1163" s="27">
        <v>500.0</v>
      </c>
      <c r="D1163" s="134" t="s">
        <v>31</v>
      </c>
      <c r="F1163" s="40"/>
    </row>
    <row r="1164">
      <c r="A1164" s="139" t="s">
        <v>3289</v>
      </c>
      <c r="B1164" s="22">
        <v>75219.0</v>
      </c>
      <c r="C1164" s="27">
        <v>1000.0</v>
      </c>
      <c r="D1164" s="134" t="s">
        <v>31</v>
      </c>
      <c r="F1164" s="22"/>
    </row>
    <row r="1165">
      <c r="A1165" s="138" t="s">
        <v>3460</v>
      </c>
      <c r="B1165" s="40">
        <v>92651.0</v>
      </c>
      <c r="C1165" s="27">
        <v>1000.0</v>
      </c>
      <c r="D1165" s="134" t="s">
        <v>31</v>
      </c>
      <c r="F1165" s="40"/>
    </row>
    <row r="1166">
      <c r="A1166" s="139" t="s">
        <v>3282</v>
      </c>
      <c r="B1166" s="22">
        <v>75208.0</v>
      </c>
      <c r="C1166" s="27">
        <v>500.0</v>
      </c>
      <c r="D1166" s="134" t="s">
        <v>31</v>
      </c>
      <c r="F1166" s="22"/>
    </row>
    <row r="1167">
      <c r="A1167" s="138" t="s">
        <v>3266</v>
      </c>
      <c r="B1167" s="40">
        <v>75230.0</v>
      </c>
      <c r="C1167" s="27">
        <v>1000.0</v>
      </c>
      <c r="D1167" s="134" t="s">
        <v>31</v>
      </c>
      <c r="F1167" s="40"/>
    </row>
    <row r="1168">
      <c r="A1168" s="139" t="s">
        <v>3266</v>
      </c>
      <c r="B1168" s="22">
        <v>75230.0</v>
      </c>
      <c r="C1168" s="27">
        <v>250.0</v>
      </c>
      <c r="D1168" s="134" t="s">
        <v>31</v>
      </c>
      <c r="F1168" s="22"/>
    </row>
    <row r="1169">
      <c r="A1169" s="138" t="s">
        <v>3284</v>
      </c>
      <c r="B1169" s="40">
        <v>75229.0</v>
      </c>
      <c r="C1169" s="27">
        <v>500.0</v>
      </c>
      <c r="D1169" s="134" t="s">
        <v>31</v>
      </c>
      <c r="F1169" s="40"/>
    </row>
    <row r="1170">
      <c r="A1170" s="139" t="s">
        <v>3312</v>
      </c>
      <c r="B1170" s="22">
        <v>75201.0</v>
      </c>
      <c r="C1170" s="27">
        <v>1000.0</v>
      </c>
      <c r="D1170" s="134" t="s">
        <v>31</v>
      </c>
      <c r="F1170" s="22"/>
    </row>
    <row r="1171">
      <c r="A1171" s="138" t="s">
        <v>3279</v>
      </c>
      <c r="B1171" s="40">
        <v>75225.0</v>
      </c>
      <c r="C1171" s="27">
        <v>1000.0</v>
      </c>
      <c r="D1171" s="134" t="s">
        <v>31</v>
      </c>
      <c r="F1171" s="40"/>
    </row>
    <row r="1172">
      <c r="A1172" s="139" t="s">
        <v>3266</v>
      </c>
      <c r="B1172" s="22">
        <v>75230.0</v>
      </c>
      <c r="C1172" s="27">
        <v>100.0</v>
      </c>
      <c r="D1172" s="134" t="s">
        <v>31</v>
      </c>
      <c r="F1172" s="22"/>
    </row>
    <row r="1173">
      <c r="A1173" s="138" t="s">
        <v>3266</v>
      </c>
      <c r="B1173" s="40">
        <v>75230.0</v>
      </c>
      <c r="C1173" s="27">
        <v>1000.0</v>
      </c>
      <c r="D1173" s="134" t="s">
        <v>31</v>
      </c>
      <c r="F1173" s="40"/>
    </row>
    <row r="1174">
      <c r="A1174" s="139" t="s">
        <v>3278</v>
      </c>
      <c r="B1174" s="22">
        <v>75248.0</v>
      </c>
      <c r="C1174" s="27">
        <v>100.0</v>
      </c>
      <c r="D1174" s="134" t="s">
        <v>31</v>
      </c>
      <c r="F1174" s="22"/>
    </row>
    <row r="1175">
      <c r="A1175" s="138" t="s">
        <v>3461</v>
      </c>
      <c r="B1175" s="40">
        <v>66208.0</v>
      </c>
      <c r="C1175" s="27">
        <v>180.0</v>
      </c>
      <c r="D1175" s="134" t="s">
        <v>31</v>
      </c>
      <c r="F1175" s="40"/>
    </row>
    <row r="1176">
      <c r="A1176" s="139" t="s">
        <v>3282</v>
      </c>
      <c r="B1176" s="22">
        <v>75208.0</v>
      </c>
      <c r="C1176" s="27">
        <v>1000.0</v>
      </c>
      <c r="D1176" s="134" t="s">
        <v>31</v>
      </c>
      <c r="F1176" s="22"/>
    </row>
    <row r="1177">
      <c r="A1177" s="138" t="s">
        <v>3273</v>
      </c>
      <c r="B1177" s="40">
        <v>75205.0</v>
      </c>
      <c r="C1177" s="27">
        <v>1000.0</v>
      </c>
      <c r="D1177" s="134" t="s">
        <v>31</v>
      </c>
      <c r="F1177" s="40"/>
    </row>
    <row r="1178">
      <c r="A1178" s="139" t="s">
        <v>3266</v>
      </c>
      <c r="B1178" s="22">
        <v>75230.0</v>
      </c>
      <c r="C1178" s="27">
        <v>1000.0</v>
      </c>
      <c r="D1178" s="134" t="s">
        <v>31</v>
      </c>
      <c r="F1178" s="22"/>
    </row>
    <row r="1179">
      <c r="A1179" s="138" t="s">
        <v>3291</v>
      </c>
      <c r="B1179" s="40">
        <v>75287.0</v>
      </c>
      <c r="C1179" s="27">
        <v>250.0</v>
      </c>
      <c r="D1179" s="134" t="s">
        <v>31</v>
      </c>
      <c r="F1179" s="40"/>
    </row>
    <row r="1180">
      <c r="A1180" s="139" t="s">
        <v>3266</v>
      </c>
      <c r="B1180" s="22">
        <v>75230.0</v>
      </c>
      <c r="C1180" s="27">
        <v>500.0</v>
      </c>
      <c r="D1180" s="134" t="s">
        <v>31</v>
      </c>
      <c r="F1180" s="22"/>
    </row>
    <row r="1181">
      <c r="A1181" s="138" t="s">
        <v>3289</v>
      </c>
      <c r="B1181" s="40">
        <v>75219.0</v>
      </c>
      <c r="C1181" s="27">
        <v>1000.0</v>
      </c>
      <c r="D1181" s="134" t="s">
        <v>31</v>
      </c>
      <c r="F1181" s="40"/>
    </row>
    <row r="1182">
      <c r="A1182" s="139" t="s">
        <v>3462</v>
      </c>
      <c r="B1182" s="22">
        <v>63105.0</v>
      </c>
      <c r="C1182" s="27">
        <v>1000.0</v>
      </c>
      <c r="D1182" s="134" t="s">
        <v>31</v>
      </c>
      <c r="F1182" s="22"/>
    </row>
    <row r="1183">
      <c r="A1183" s="138" t="s">
        <v>3312</v>
      </c>
      <c r="B1183" s="40">
        <v>75201.0</v>
      </c>
      <c r="C1183" s="27">
        <v>1000.0</v>
      </c>
      <c r="D1183" s="134" t="s">
        <v>31</v>
      </c>
      <c r="F1183" s="40"/>
    </row>
    <row r="1184">
      <c r="A1184" s="139" t="s">
        <v>3312</v>
      </c>
      <c r="B1184" s="22">
        <v>75201.0</v>
      </c>
      <c r="C1184" s="27">
        <v>1000.0</v>
      </c>
      <c r="D1184" s="134" t="s">
        <v>24</v>
      </c>
      <c r="F1184" s="22"/>
    </row>
    <row r="1185">
      <c r="A1185" s="138" t="s">
        <v>3284</v>
      </c>
      <c r="B1185" s="40">
        <v>75229.0</v>
      </c>
      <c r="C1185" s="27">
        <v>100.0</v>
      </c>
      <c r="D1185" s="134" t="s">
        <v>24</v>
      </c>
      <c r="F1185" s="40"/>
    </row>
    <row r="1186">
      <c r="A1186" s="139" t="s">
        <v>3337</v>
      </c>
      <c r="B1186" s="22">
        <v>75235.0</v>
      </c>
      <c r="C1186" s="27">
        <v>1500.0</v>
      </c>
      <c r="D1186" s="134" t="s">
        <v>24</v>
      </c>
      <c r="F1186" s="22"/>
    </row>
    <row r="1187">
      <c r="A1187" s="138" t="s">
        <v>3463</v>
      </c>
      <c r="B1187" s="40">
        <v>76712.0</v>
      </c>
      <c r="C1187" s="27">
        <v>250.0</v>
      </c>
      <c r="D1187" s="134" t="s">
        <v>24</v>
      </c>
      <c r="F1187" s="40"/>
    </row>
    <row r="1188">
      <c r="A1188" s="139" t="s">
        <v>3270</v>
      </c>
      <c r="B1188" s="22">
        <v>75206.0</v>
      </c>
      <c r="C1188" s="27">
        <v>1000.0</v>
      </c>
      <c r="D1188" s="134" t="s">
        <v>24</v>
      </c>
      <c r="F1188" s="22"/>
    </row>
    <row r="1189">
      <c r="A1189" s="138" t="s">
        <v>3279</v>
      </c>
      <c r="B1189" s="40">
        <v>75225.0</v>
      </c>
      <c r="C1189" s="27">
        <v>500.0</v>
      </c>
      <c r="D1189" s="134" t="s">
        <v>24</v>
      </c>
      <c r="F1189" s="40"/>
    </row>
    <row r="1190">
      <c r="A1190" s="139" t="s">
        <v>3267</v>
      </c>
      <c r="B1190" s="22">
        <v>75214.0</v>
      </c>
      <c r="C1190" s="27">
        <v>1000.0</v>
      </c>
      <c r="D1190" s="134" t="s">
        <v>24</v>
      </c>
      <c r="F1190" s="22"/>
    </row>
    <row r="1191">
      <c r="A1191" s="138" t="s">
        <v>3312</v>
      </c>
      <c r="B1191" s="40">
        <v>75201.0</v>
      </c>
      <c r="C1191" s="27">
        <v>500.0</v>
      </c>
      <c r="D1191" s="134" t="s">
        <v>24</v>
      </c>
      <c r="F1191" s="40"/>
    </row>
    <row r="1192">
      <c r="A1192" s="139" t="s">
        <v>3275</v>
      </c>
      <c r="B1192" s="22">
        <v>75207.0</v>
      </c>
      <c r="C1192" s="27">
        <v>1000.0</v>
      </c>
      <c r="D1192" s="134" t="s">
        <v>24</v>
      </c>
      <c r="F1192" s="22"/>
    </row>
    <row r="1193">
      <c r="A1193" s="138" t="s">
        <v>3377</v>
      </c>
      <c r="B1193" s="40">
        <v>75367.0</v>
      </c>
      <c r="C1193" s="27">
        <v>1000.0</v>
      </c>
      <c r="D1193" s="134" t="s">
        <v>24</v>
      </c>
      <c r="F1193" s="40"/>
    </row>
    <row r="1194">
      <c r="A1194" s="139" t="s">
        <v>3312</v>
      </c>
      <c r="B1194" s="22">
        <v>75201.0</v>
      </c>
      <c r="C1194" s="27">
        <v>250.0</v>
      </c>
      <c r="D1194" s="134" t="s">
        <v>24</v>
      </c>
      <c r="F1194" s="22"/>
    </row>
    <row r="1195">
      <c r="A1195" s="138" t="s">
        <v>3267</v>
      </c>
      <c r="B1195" s="40">
        <v>75214.0</v>
      </c>
      <c r="C1195" s="27">
        <v>100.0</v>
      </c>
      <c r="D1195" s="134" t="s">
        <v>24</v>
      </c>
      <c r="F1195" s="40"/>
    </row>
    <row r="1196">
      <c r="A1196" s="139" t="s">
        <v>3464</v>
      </c>
      <c r="B1196" s="22">
        <v>76051.0</v>
      </c>
      <c r="C1196" s="27">
        <v>250.0</v>
      </c>
      <c r="D1196" s="134" t="s">
        <v>24</v>
      </c>
      <c r="F1196" s="22"/>
    </row>
    <row r="1197">
      <c r="A1197" s="138" t="s">
        <v>3268</v>
      </c>
      <c r="B1197" s="40">
        <v>75203.0</v>
      </c>
      <c r="C1197" s="27">
        <v>100.0</v>
      </c>
      <c r="D1197" s="134" t="s">
        <v>24</v>
      </c>
      <c r="F1197" s="40"/>
    </row>
    <row r="1198">
      <c r="A1198" s="139" t="s">
        <v>3273</v>
      </c>
      <c r="B1198" s="22">
        <v>75205.0</v>
      </c>
      <c r="C1198" s="27">
        <v>5000.0</v>
      </c>
      <c r="D1198" s="134" t="s">
        <v>24</v>
      </c>
      <c r="F1198" s="22"/>
    </row>
    <row r="1199">
      <c r="A1199" s="138" t="s">
        <v>3267</v>
      </c>
      <c r="B1199" s="40">
        <v>75214.0</v>
      </c>
      <c r="C1199" s="27">
        <v>2000.0</v>
      </c>
      <c r="D1199" s="134" t="s">
        <v>24</v>
      </c>
      <c r="F1199" s="40"/>
    </row>
    <row r="1200">
      <c r="A1200" s="139" t="s">
        <v>3284</v>
      </c>
      <c r="B1200" s="22">
        <v>75229.0</v>
      </c>
      <c r="C1200" s="27">
        <v>100.0</v>
      </c>
      <c r="D1200" s="134" t="s">
        <v>24</v>
      </c>
      <c r="F1200" s="22"/>
    </row>
    <row r="1201">
      <c r="A1201" s="138" t="s">
        <v>3267</v>
      </c>
      <c r="B1201" s="40">
        <v>75214.0</v>
      </c>
      <c r="C1201" s="27">
        <v>1000.0</v>
      </c>
      <c r="D1201" s="134" t="s">
        <v>24</v>
      </c>
      <c r="F1201" s="40"/>
    </row>
    <row r="1202">
      <c r="A1202" s="139" t="s">
        <v>3373</v>
      </c>
      <c r="B1202" s="22">
        <v>75063.0</v>
      </c>
      <c r="C1202" s="27">
        <v>1000.0</v>
      </c>
      <c r="D1202" s="134" t="s">
        <v>24</v>
      </c>
      <c r="F1202" s="22"/>
    </row>
    <row r="1203">
      <c r="A1203" s="138" t="s">
        <v>3465</v>
      </c>
      <c r="B1203" s="40">
        <v>77046.0</v>
      </c>
      <c r="C1203" s="27">
        <v>1000.0</v>
      </c>
      <c r="D1203" s="134" t="s">
        <v>24</v>
      </c>
      <c r="F1203" s="40"/>
    </row>
    <row r="1204">
      <c r="A1204" s="139" t="s">
        <v>3267</v>
      </c>
      <c r="B1204" s="22">
        <v>75214.0</v>
      </c>
      <c r="C1204" s="27">
        <v>1000.0</v>
      </c>
      <c r="D1204" s="134" t="s">
        <v>24</v>
      </c>
      <c r="F1204" s="22"/>
    </row>
    <row r="1205">
      <c r="A1205" s="138" t="s">
        <v>3312</v>
      </c>
      <c r="B1205" s="40">
        <v>75201.0</v>
      </c>
      <c r="C1205" s="27">
        <v>50.0</v>
      </c>
      <c r="D1205" s="134" t="s">
        <v>24</v>
      </c>
      <c r="F1205" s="40"/>
    </row>
    <row r="1206">
      <c r="A1206" s="139" t="s">
        <v>3281</v>
      </c>
      <c r="B1206" s="22">
        <v>75218.0</v>
      </c>
      <c r="C1206" s="27">
        <v>50.0</v>
      </c>
      <c r="D1206" s="134" t="s">
        <v>24</v>
      </c>
      <c r="F1206" s="22"/>
    </row>
    <row r="1207">
      <c r="A1207" s="138" t="s">
        <v>3267</v>
      </c>
      <c r="B1207" s="40">
        <v>75214.0</v>
      </c>
      <c r="C1207" s="27">
        <v>50.0</v>
      </c>
      <c r="D1207" s="134" t="s">
        <v>24</v>
      </c>
      <c r="F1207" s="40"/>
    </row>
    <row r="1208">
      <c r="A1208" s="139" t="s">
        <v>3312</v>
      </c>
      <c r="B1208" s="22">
        <v>75201.0</v>
      </c>
      <c r="C1208" s="27">
        <v>250.0</v>
      </c>
      <c r="D1208" s="134" t="s">
        <v>24</v>
      </c>
      <c r="F1208" s="22"/>
    </row>
    <row r="1209">
      <c r="A1209" s="138" t="s">
        <v>3325</v>
      </c>
      <c r="B1209" s="40">
        <v>75223.0</v>
      </c>
      <c r="C1209" s="27">
        <v>100.0</v>
      </c>
      <c r="D1209" s="134" t="s">
        <v>24</v>
      </c>
      <c r="F1209" s="40"/>
    </row>
    <row r="1210">
      <c r="A1210" s="139" t="s">
        <v>3383</v>
      </c>
      <c r="B1210" s="22">
        <v>75038.0</v>
      </c>
      <c r="C1210" s="27">
        <v>100.0</v>
      </c>
      <c r="D1210" s="134" t="s">
        <v>24</v>
      </c>
      <c r="F1210" s="22"/>
    </row>
    <row r="1211">
      <c r="A1211" s="138" t="s">
        <v>3267</v>
      </c>
      <c r="B1211" s="40">
        <v>75214.0</v>
      </c>
      <c r="C1211" s="27">
        <v>50.0</v>
      </c>
      <c r="D1211" s="134" t="s">
        <v>24</v>
      </c>
      <c r="F1211" s="40"/>
    </row>
    <row r="1212">
      <c r="A1212" s="139" t="s">
        <v>3300</v>
      </c>
      <c r="B1212" s="22">
        <v>75228.0</v>
      </c>
      <c r="C1212" s="27">
        <v>50.0</v>
      </c>
      <c r="D1212" s="134" t="s">
        <v>24</v>
      </c>
      <c r="F1212" s="22"/>
    </row>
    <row r="1213">
      <c r="A1213" s="138" t="s">
        <v>3267</v>
      </c>
      <c r="B1213" s="40">
        <v>75214.0</v>
      </c>
      <c r="C1213" s="27">
        <v>250.0</v>
      </c>
      <c r="D1213" s="134" t="s">
        <v>24</v>
      </c>
      <c r="F1213" s="40"/>
    </row>
    <row r="1214">
      <c r="A1214" s="139" t="s">
        <v>3342</v>
      </c>
      <c r="B1214" s="22">
        <v>75093.0</v>
      </c>
      <c r="C1214" s="27">
        <v>2500.0</v>
      </c>
      <c r="D1214" s="134" t="s">
        <v>24</v>
      </c>
      <c r="F1214" s="22"/>
    </row>
    <row r="1215">
      <c r="A1215" s="138" t="s">
        <v>3361</v>
      </c>
      <c r="B1215" s="40">
        <v>78610.0</v>
      </c>
      <c r="C1215" s="27">
        <v>250.0</v>
      </c>
      <c r="D1215" s="134" t="s">
        <v>24</v>
      </c>
      <c r="F1215" s="40"/>
    </row>
    <row r="1216">
      <c r="A1216" s="139" t="s">
        <v>3279</v>
      </c>
      <c r="B1216" s="22">
        <v>75225.0</v>
      </c>
      <c r="C1216" s="27">
        <v>100.0</v>
      </c>
      <c r="D1216" s="134" t="s">
        <v>24</v>
      </c>
      <c r="F1216" s="22"/>
    </row>
    <row r="1217">
      <c r="A1217" s="138" t="s">
        <v>3314</v>
      </c>
      <c r="B1217" s="40">
        <v>75231.0</v>
      </c>
      <c r="C1217" s="27">
        <v>100.0</v>
      </c>
      <c r="D1217" s="134" t="s">
        <v>24</v>
      </c>
      <c r="F1217" s="40"/>
    </row>
    <row r="1218">
      <c r="A1218" s="139" t="s">
        <v>3273</v>
      </c>
      <c r="B1218" s="22">
        <v>75205.0</v>
      </c>
      <c r="C1218" s="27">
        <v>500.0</v>
      </c>
      <c r="D1218" s="134" t="s">
        <v>24</v>
      </c>
      <c r="F1218" s="22"/>
    </row>
    <row r="1219">
      <c r="A1219" s="138" t="s">
        <v>3267</v>
      </c>
      <c r="B1219" s="40">
        <v>75214.0</v>
      </c>
      <c r="C1219" s="27">
        <v>100.0</v>
      </c>
      <c r="D1219" s="134" t="s">
        <v>24</v>
      </c>
      <c r="F1219" s="40"/>
    </row>
    <row r="1220">
      <c r="A1220" s="139" t="s">
        <v>3466</v>
      </c>
      <c r="B1220" s="22">
        <v>75002.0</v>
      </c>
      <c r="C1220" s="27">
        <v>1000.0</v>
      </c>
      <c r="D1220" s="134" t="s">
        <v>24</v>
      </c>
      <c r="F1220" s="22"/>
    </row>
    <row r="1221">
      <c r="A1221" s="138" t="s">
        <v>3267</v>
      </c>
      <c r="B1221" s="40">
        <v>75214.0</v>
      </c>
      <c r="C1221" s="27">
        <v>1000.0</v>
      </c>
      <c r="D1221" s="134" t="s">
        <v>24</v>
      </c>
      <c r="F1221" s="40"/>
    </row>
    <row r="1222">
      <c r="A1222" s="139" t="s">
        <v>3281</v>
      </c>
      <c r="B1222" s="22">
        <v>75218.0</v>
      </c>
      <c r="C1222" s="27">
        <v>250.0</v>
      </c>
      <c r="D1222" s="134" t="s">
        <v>24</v>
      </c>
      <c r="F1222" s="22"/>
    </row>
    <row r="1223">
      <c r="A1223" s="138" t="s">
        <v>3321</v>
      </c>
      <c r="B1223" s="40">
        <v>75209.0</v>
      </c>
      <c r="C1223" s="27">
        <v>1000.0</v>
      </c>
      <c r="D1223" s="134" t="s">
        <v>24</v>
      </c>
      <c r="F1223" s="40"/>
    </row>
    <row r="1224">
      <c r="A1224" s="139" t="s">
        <v>3282</v>
      </c>
      <c r="B1224" s="22">
        <v>75208.0</v>
      </c>
      <c r="C1224" s="27">
        <v>1000.0</v>
      </c>
      <c r="D1224" s="134" t="s">
        <v>24</v>
      </c>
      <c r="F1224" s="22"/>
    </row>
    <row r="1225">
      <c r="A1225" s="138" t="s">
        <v>3464</v>
      </c>
      <c r="B1225" s="40">
        <v>76051.0</v>
      </c>
      <c r="C1225" s="27">
        <v>250.0</v>
      </c>
      <c r="D1225" s="134" t="s">
        <v>24</v>
      </c>
      <c r="F1225" s="40"/>
    </row>
    <row r="1226">
      <c r="A1226" s="139" t="s">
        <v>3467</v>
      </c>
      <c r="B1226" s="22">
        <v>75214.0</v>
      </c>
      <c r="C1226" s="27">
        <v>100.0</v>
      </c>
      <c r="D1226" s="134" t="s">
        <v>24</v>
      </c>
      <c r="F1226" s="22"/>
    </row>
    <row r="1227">
      <c r="A1227" s="138" t="s">
        <v>3467</v>
      </c>
      <c r="B1227" s="40">
        <v>75214.0</v>
      </c>
      <c r="C1227" s="27">
        <v>50.0</v>
      </c>
      <c r="D1227" s="134" t="s">
        <v>24</v>
      </c>
      <c r="F1227" s="40"/>
    </row>
    <row r="1228">
      <c r="A1228" s="139" t="s">
        <v>3325</v>
      </c>
      <c r="B1228" s="22">
        <v>75223.0</v>
      </c>
      <c r="C1228" s="27">
        <v>100.0</v>
      </c>
      <c r="D1228" s="134" t="s">
        <v>24</v>
      </c>
      <c r="F1228" s="22"/>
    </row>
    <row r="1229">
      <c r="A1229" s="138" t="s">
        <v>3267</v>
      </c>
      <c r="B1229" s="40">
        <v>75214.0</v>
      </c>
      <c r="C1229" s="27">
        <v>200.0</v>
      </c>
      <c r="D1229" s="134" t="s">
        <v>24</v>
      </c>
      <c r="F1229" s="40"/>
    </row>
    <row r="1230">
      <c r="A1230" s="139" t="s">
        <v>3267</v>
      </c>
      <c r="B1230" s="22">
        <v>75214.0</v>
      </c>
      <c r="C1230" s="27">
        <v>250.0</v>
      </c>
      <c r="D1230" s="134" t="s">
        <v>24</v>
      </c>
      <c r="F1230" s="22"/>
    </row>
    <row r="1231">
      <c r="A1231" s="138" t="s">
        <v>3267</v>
      </c>
      <c r="B1231" s="40">
        <v>75214.0</v>
      </c>
      <c r="C1231" s="27">
        <v>50.0</v>
      </c>
      <c r="D1231" s="134" t="s">
        <v>24</v>
      </c>
      <c r="F1231" s="40"/>
    </row>
    <row r="1232">
      <c r="A1232" s="139" t="s">
        <v>3382</v>
      </c>
      <c r="B1232" s="22">
        <v>78737.0</v>
      </c>
      <c r="C1232" s="27">
        <v>50.0</v>
      </c>
      <c r="D1232" s="134" t="s">
        <v>24</v>
      </c>
      <c r="F1232" s="22"/>
    </row>
    <row r="1233">
      <c r="A1233" s="138" t="s">
        <v>3273</v>
      </c>
      <c r="B1233" s="40">
        <v>75205.0</v>
      </c>
      <c r="C1233" s="27">
        <v>1000.0</v>
      </c>
      <c r="D1233" s="134" t="s">
        <v>24</v>
      </c>
      <c r="F1233" s="40"/>
    </row>
    <row r="1234">
      <c r="A1234" s="139" t="s">
        <v>3312</v>
      </c>
      <c r="B1234" s="22">
        <v>75201.0</v>
      </c>
      <c r="C1234" s="27">
        <v>50.0</v>
      </c>
      <c r="D1234" s="134" t="s">
        <v>24</v>
      </c>
      <c r="F1234" s="22"/>
    </row>
    <row r="1235">
      <c r="A1235" s="138" t="s">
        <v>3267</v>
      </c>
      <c r="B1235" s="40">
        <v>75214.0</v>
      </c>
      <c r="C1235" s="27">
        <v>50.0</v>
      </c>
      <c r="D1235" s="134" t="s">
        <v>24</v>
      </c>
      <c r="F1235" s="40"/>
    </row>
    <row r="1236">
      <c r="A1236" s="139" t="s">
        <v>3267</v>
      </c>
      <c r="B1236" s="22">
        <v>75214.0</v>
      </c>
      <c r="C1236" s="27">
        <v>100.0</v>
      </c>
      <c r="D1236" s="134" t="s">
        <v>24</v>
      </c>
      <c r="F1236" s="22"/>
    </row>
    <row r="1237">
      <c r="A1237" s="138" t="s">
        <v>3278</v>
      </c>
      <c r="B1237" s="40">
        <v>75248.0</v>
      </c>
      <c r="C1237" s="27">
        <v>250.0</v>
      </c>
      <c r="D1237" s="134" t="s">
        <v>24</v>
      </c>
      <c r="F1237" s="40"/>
    </row>
    <row r="1238">
      <c r="A1238" s="139" t="s">
        <v>3267</v>
      </c>
      <c r="B1238" s="22">
        <v>75214.0</v>
      </c>
      <c r="C1238" s="27">
        <v>250.0</v>
      </c>
      <c r="D1238" s="134" t="s">
        <v>24</v>
      </c>
      <c r="F1238" s="22"/>
    </row>
    <row r="1239">
      <c r="A1239" s="138" t="s">
        <v>3296</v>
      </c>
      <c r="B1239" s="40">
        <v>75039.0</v>
      </c>
      <c r="C1239" s="27">
        <v>50.0</v>
      </c>
      <c r="D1239" s="134" t="s">
        <v>24</v>
      </c>
      <c r="F1239" s="40"/>
    </row>
    <row r="1240">
      <c r="A1240" s="139" t="s">
        <v>3267</v>
      </c>
      <c r="B1240" s="22">
        <v>75214.0</v>
      </c>
      <c r="C1240" s="27">
        <v>200.0</v>
      </c>
      <c r="D1240" s="134" t="s">
        <v>24</v>
      </c>
      <c r="F1240" s="22"/>
    </row>
    <row r="1241">
      <c r="A1241" s="138" t="s">
        <v>3314</v>
      </c>
      <c r="B1241" s="40">
        <v>75231.0</v>
      </c>
      <c r="C1241" s="27">
        <v>50.0</v>
      </c>
      <c r="D1241" s="134" t="s">
        <v>24</v>
      </c>
      <c r="F1241" s="40"/>
    </row>
    <row r="1242">
      <c r="A1242" s="139" t="s">
        <v>3441</v>
      </c>
      <c r="B1242" s="22">
        <v>75057.0</v>
      </c>
      <c r="C1242" s="27">
        <v>2000.0</v>
      </c>
      <c r="D1242" s="134" t="s">
        <v>24</v>
      </c>
      <c r="F1242" s="22"/>
    </row>
    <row r="1243">
      <c r="A1243" s="138" t="s">
        <v>3281</v>
      </c>
      <c r="B1243" s="40">
        <v>75218.0</v>
      </c>
      <c r="C1243" s="27">
        <v>50.0</v>
      </c>
      <c r="D1243" s="134" t="s">
        <v>24</v>
      </c>
      <c r="F1243" s="40"/>
    </row>
    <row r="1244">
      <c r="A1244" s="139" t="s">
        <v>3321</v>
      </c>
      <c r="B1244" s="22">
        <v>75209.0</v>
      </c>
      <c r="C1244" s="27">
        <v>100.0</v>
      </c>
      <c r="D1244" s="134" t="s">
        <v>24</v>
      </c>
      <c r="F1244" s="22"/>
    </row>
    <row r="1245">
      <c r="A1245" s="138" t="s">
        <v>3270</v>
      </c>
      <c r="B1245" s="40">
        <v>75206.0</v>
      </c>
      <c r="C1245" s="27">
        <v>150.0</v>
      </c>
      <c r="D1245" s="134" t="s">
        <v>24</v>
      </c>
      <c r="F1245" s="40"/>
    </row>
    <row r="1246">
      <c r="A1246" s="139" t="s">
        <v>3281</v>
      </c>
      <c r="B1246" s="22">
        <v>75218.0</v>
      </c>
      <c r="C1246" s="27">
        <v>50.0</v>
      </c>
      <c r="D1246" s="134" t="s">
        <v>24</v>
      </c>
      <c r="F1246" s="22"/>
    </row>
    <row r="1247">
      <c r="A1247" s="138" t="s">
        <v>3406</v>
      </c>
      <c r="B1247" s="40">
        <v>76011.0</v>
      </c>
      <c r="C1247" s="27">
        <v>100.0</v>
      </c>
      <c r="D1247" s="134" t="s">
        <v>24</v>
      </c>
      <c r="F1247" s="40"/>
    </row>
    <row r="1248">
      <c r="A1248" s="139" t="s">
        <v>3282</v>
      </c>
      <c r="B1248" s="22">
        <v>75208.0</v>
      </c>
      <c r="C1248" s="27">
        <v>250.0</v>
      </c>
      <c r="D1248" s="134" t="s">
        <v>24</v>
      </c>
      <c r="F1248" s="22"/>
    </row>
    <row r="1249">
      <c r="A1249" s="138" t="s">
        <v>3267</v>
      </c>
      <c r="B1249" s="40">
        <v>75214.0</v>
      </c>
      <c r="C1249" s="27">
        <v>150.0</v>
      </c>
      <c r="D1249" s="134" t="s">
        <v>24</v>
      </c>
      <c r="F1249" s="40"/>
    </row>
    <row r="1250">
      <c r="A1250" s="139" t="s">
        <v>3273</v>
      </c>
      <c r="B1250" s="22">
        <v>75205.0</v>
      </c>
      <c r="C1250" s="27">
        <v>1000.0</v>
      </c>
      <c r="D1250" s="134" t="s">
        <v>24</v>
      </c>
      <c r="F1250" s="22"/>
    </row>
    <row r="1251">
      <c r="A1251" s="138" t="s">
        <v>3351</v>
      </c>
      <c r="B1251" s="40">
        <v>75232.0</v>
      </c>
      <c r="C1251" s="27">
        <v>1000.0</v>
      </c>
      <c r="D1251" s="134" t="s">
        <v>24</v>
      </c>
      <c r="F1251" s="40"/>
    </row>
    <row r="1252">
      <c r="A1252" s="139" t="s">
        <v>3284</v>
      </c>
      <c r="B1252" s="22">
        <v>75229.0</v>
      </c>
      <c r="C1252" s="27">
        <v>1000.0</v>
      </c>
      <c r="D1252" s="134" t="s">
        <v>24</v>
      </c>
      <c r="F1252" s="22"/>
    </row>
    <row r="1253">
      <c r="A1253" s="138" t="s">
        <v>3325</v>
      </c>
      <c r="B1253" s="40">
        <v>75223.0</v>
      </c>
      <c r="C1253" s="27">
        <v>100.0</v>
      </c>
      <c r="D1253" s="134" t="s">
        <v>24</v>
      </c>
      <c r="F1253" s="40"/>
    </row>
    <row r="1254">
      <c r="A1254" s="139" t="s">
        <v>3468</v>
      </c>
      <c r="B1254" s="22">
        <v>20105.0</v>
      </c>
      <c r="C1254" s="27">
        <v>250.0</v>
      </c>
      <c r="D1254" s="134" t="s">
        <v>24</v>
      </c>
      <c r="F1254" s="22"/>
    </row>
    <row r="1255">
      <c r="A1255" s="138" t="s">
        <v>3300</v>
      </c>
      <c r="B1255" s="40">
        <v>75228.0</v>
      </c>
      <c r="C1255" s="27">
        <v>50.0</v>
      </c>
      <c r="D1255" s="134" t="s">
        <v>24</v>
      </c>
      <c r="F1255" s="40"/>
    </row>
    <row r="1256">
      <c r="A1256" s="139" t="s">
        <v>3312</v>
      </c>
      <c r="B1256" s="22">
        <v>75201.0</v>
      </c>
      <c r="C1256" s="27">
        <v>500.0</v>
      </c>
      <c r="D1256" s="134" t="s">
        <v>24</v>
      </c>
      <c r="F1256" s="22"/>
    </row>
    <row r="1257">
      <c r="A1257" s="138" t="s">
        <v>3414</v>
      </c>
      <c r="B1257" s="40">
        <v>77024.0</v>
      </c>
      <c r="C1257" s="27">
        <v>1000.0</v>
      </c>
      <c r="D1257" s="134" t="s">
        <v>24</v>
      </c>
      <c r="F1257" s="40"/>
    </row>
    <row r="1258">
      <c r="A1258" s="139" t="s">
        <v>3273</v>
      </c>
      <c r="B1258" s="22">
        <v>75205.0</v>
      </c>
      <c r="C1258" s="27">
        <v>1000.0</v>
      </c>
      <c r="D1258" s="134" t="s">
        <v>24</v>
      </c>
      <c r="F1258" s="22"/>
    </row>
    <row r="1259">
      <c r="A1259" s="138" t="s">
        <v>3281</v>
      </c>
      <c r="B1259" s="40">
        <v>75218.0</v>
      </c>
      <c r="C1259" s="27">
        <v>250.0</v>
      </c>
      <c r="D1259" s="134" t="s">
        <v>24</v>
      </c>
      <c r="F1259" s="40"/>
    </row>
    <row r="1260">
      <c r="A1260" s="139" t="s">
        <v>3320</v>
      </c>
      <c r="B1260" s="22">
        <v>75201.0</v>
      </c>
      <c r="C1260" s="27">
        <v>50.0</v>
      </c>
      <c r="D1260" s="134" t="s">
        <v>24</v>
      </c>
      <c r="F1260" s="22"/>
    </row>
    <row r="1261">
      <c r="A1261" s="138" t="s">
        <v>3284</v>
      </c>
      <c r="B1261" s="40">
        <v>75229.0</v>
      </c>
      <c r="C1261" s="27">
        <v>500.0</v>
      </c>
      <c r="D1261" s="134" t="s">
        <v>24</v>
      </c>
      <c r="F1261" s="40"/>
    </row>
    <row r="1262">
      <c r="A1262" s="139" t="s">
        <v>3267</v>
      </c>
      <c r="B1262" s="22">
        <v>75214.0</v>
      </c>
      <c r="C1262" s="27">
        <v>100.0</v>
      </c>
      <c r="D1262" s="134" t="s">
        <v>24</v>
      </c>
      <c r="F1262" s="22"/>
    </row>
    <row r="1263">
      <c r="A1263" s="138" t="s">
        <v>3301</v>
      </c>
      <c r="B1263" s="40">
        <v>75220.0</v>
      </c>
      <c r="C1263" s="27">
        <v>150.0</v>
      </c>
      <c r="D1263" s="134" t="s">
        <v>24</v>
      </c>
      <c r="F1263" s="40"/>
    </row>
    <row r="1264">
      <c r="A1264" s="139" t="s">
        <v>3289</v>
      </c>
      <c r="B1264" s="22">
        <v>75219.0</v>
      </c>
      <c r="C1264" s="27">
        <v>1000.0</v>
      </c>
      <c r="D1264" s="134" t="s">
        <v>24</v>
      </c>
      <c r="F1264" s="22"/>
    </row>
    <row r="1265">
      <c r="A1265" s="138" t="s">
        <v>3285</v>
      </c>
      <c r="B1265" s="40">
        <v>75204.0</v>
      </c>
      <c r="C1265" s="27">
        <v>1000.0</v>
      </c>
      <c r="D1265" s="134" t="s">
        <v>24</v>
      </c>
      <c r="F1265" s="40"/>
    </row>
    <row r="1266">
      <c r="A1266" s="139" t="s">
        <v>3267</v>
      </c>
      <c r="B1266" s="22">
        <v>75214.0</v>
      </c>
      <c r="C1266" s="27">
        <v>100.0</v>
      </c>
      <c r="D1266" s="134" t="s">
        <v>24</v>
      </c>
      <c r="F1266" s="22"/>
    </row>
    <row r="1267">
      <c r="A1267" s="138" t="s">
        <v>3266</v>
      </c>
      <c r="B1267" s="40">
        <v>75230.0</v>
      </c>
      <c r="C1267" s="27">
        <v>250.0</v>
      </c>
      <c r="D1267" s="134" t="s">
        <v>24</v>
      </c>
      <c r="F1267" s="40"/>
    </row>
    <row r="1268">
      <c r="A1268" s="139" t="s">
        <v>3266</v>
      </c>
      <c r="B1268" s="22">
        <v>75230.0</v>
      </c>
      <c r="C1268" s="27">
        <v>100.0</v>
      </c>
      <c r="D1268" s="134" t="s">
        <v>24</v>
      </c>
      <c r="F1268" s="22"/>
    </row>
    <row r="1269">
      <c r="A1269" s="138" t="s">
        <v>3285</v>
      </c>
      <c r="B1269" s="40">
        <v>75204.0</v>
      </c>
      <c r="C1269" s="27">
        <v>100.0</v>
      </c>
      <c r="D1269" s="134" t="s">
        <v>24</v>
      </c>
      <c r="F1269" s="40"/>
    </row>
    <row r="1270">
      <c r="A1270" s="139" t="s">
        <v>3272</v>
      </c>
      <c r="B1270" s="22">
        <v>75238.0</v>
      </c>
      <c r="C1270" s="27">
        <v>50.0</v>
      </c>
      <c r="D1270" s="134" t="s">
        <v>32</v>
      </c>
      <c r="F1270" s="22"/>
    </row>
    <row r="1271">
      <c r="A1271" s="138" t="s">
        <v>3267</v>
      </c>
      <c r="B1271" s="40">
        <v>75214.0</v>
      </c>
      <c r="C1271" s="27">
        <v>151.0</v>
      </c>
      <c r="D1271" s="134" t="s">
        <v>32</v>
      </c>
      <c r="F1271" s="40"/>
    </row>
    <row r="1272">
      <c r="A1272" s="139" t="s">
        <v>3267</v>
      </c>
      <c r="B1272" s="22">
        <v>75214.0</v>
      </c>
      <c r="C1272" s="27">
        <v>51.0</v>
      </c>
      <c r="D1272" s="134" t="s">
        <v>32</v>
      </c>
      <c r="F1272" s="22"/>
    </row>
    <row r="1273">
      <c r="A1273" s="138" t="s">
        <v>3299</v>
      </c>
      <c r="B1273" s="40">
        <v>75070.0</v>
      </c>
      <c r="C1273" s="27">
        <v>250.0</v>
      </c>
      <c r="D1273" s="134" t="s">
        <v>32</v>
      </c>
      <c r="F1273" s="40"/>
    </row>
    <row r="1274">
      <c r="A1274" s="139" t="s">
        <v>3272</v>
      </c>
      <c r="B1274" s="22">
        <v>75238.0</v>
      </c>
      <c r="C1274" s="27">
        <v>51.0</v>
      </c>
      <c r="D1274" s="134" t="s">
        <v>32</v>
      </c>
      <c r="F1274" s="22"/>
    </row>
    <row r="1275">
      <c r="A1275" s="138" t="s">
        <v>3300</v>
      </c>
      <c r="B1275" s="40">
        <v>75228.0</v>
      </c>
      <c r="C1275" s="27">
        <v>51.0</v>
      </c>
      <c r="D1275" s="134" t="s">
        <v>32</v>
      </c>
      <c r="F1275" s="40"/>
    </row>
    <row r="1276">
      <c r="A1276" s="139" t="s">
        <v>3288</v>
      </c>
      <c r="B1276" s="22">
        <v>75019.0</v>
      </c>
      <c r="C1276" s="27">
        <v>10.0</v>
      </c>
      <c r="D1276" s="134" t="s">
        <v>32</v>
      </c>
      <c r="F1276" s="22"/>
    </row>
    <row r="1277">
      <c r="A1277" s="138" t="s">
        <v>3469</v>
      </c>
      <c r="B1277" s="40">
        <v>28403.0</v>
      </c>
      <c r="C1277" s="27">
        <v>50.0</v>
      </c>
      <c r="D1277" s="134" t="s">
        <v>32</v>
      </c>
      <c r="F1277" s="40"/>
    </row>
    <row r="1278">
      <c r="A1278" s="139" t="s">
        <v>3340</v>
      </c>
      <c r="B1278" s="22">
        <v>75244.0</v>
      </c>
      <c r="C1278" s="27">
        <v>102.0</v>
      </c>
      <c r="D1278" s="134" t="s">
        <v>32</v>
      </c>
      <c r="F1278" s="22"/>
    </row>
    <row r="1279">
      <c r="A1279" s="138" t="s">
        <v>3272</v>
      </c>
      <c r="B1279" s="40">
        <v>75238.0</v>
      </c>
      <c r="C1279" s="27">
        <v>100.0</v>
      </c>
      <c r="D1279" s="134" t="s">
        <v>32</v>
      </c>
      <c r="F1279" s="40"/>
    </row>
    <row r="1280">
      <c r="A1280" s="139" t="s">
        <v>3300</v>
      </c>
      <c r="B1280" s="22">
        <v>75228.0</v>
      </c>
      <c r="C1280" s="27">
        <v>51.0</v>
      </c>
      <c r="D1280" s="134" t="s">
        <v>32</v>
      </c>
      <c r="F1280" s="22"/>
    </row>
    <row r="1281">
      <c r="A1281" s="138" t="s">
        <v>3267</v>
      </c>
      <c r="B1281" s="40">
        <v>75214.0</v>
      </c>
      <c r="C1281" s="27">
        <v>151.0</v>
      </c>
      <c r="D1281" s="134" t="s">
        <v>32</v>
      </c>
      <c r="F1281" s="40"/>
    </row>
    <row r="1282">
      <c r="A1282" s="139" t="s">
        <v>3272</v>
      </c>
      <c r="B1282" s="22">
        <v>75238.0</v>
      </c>
      <c r="C1282" s="27">
        <v>25.0</v>
      </c>
      <c r="D1282" s="134" t="s">
        <v>32</v>
      </c>
      <c r="F1282" s="22"/>
    </row>
    <row r="1283">
      <c r="A1283" s="138" t="s">
        <v>3266</v>
      </c>
      <c r="B1283" s="40">
        <v>75230.0</v>
      </c>
      <c r="C1283" s="27">
        <v>102.0</v>
      </c>
      <c r="D1283" s="134" t="s">
        <v>32</v>
      </c>
      <c r="F1283" s="40"/>
    </row>
    <row r="1284">
      <c r="A1284" s="139" t="s">
        <v>3300</v>
      </c>
      <c r="B1284" s="22">
        <v>75228.0</v>
      </c>
      <c r="C1284" s="27">
        <v>151.0</v>
      </c>
      <c r="D1284" s="134" t="s">
        <v>32</v>
      </c>
      <c r="F1284" s="22"/>
    </row>
    <row r="1285">
      <c r="A1285" s="138" t="s">
        <v>3467</v>
      </c>
      <c r="B1285" s="40">
        <v>75214.0</v>
      </c>
      <c r="C1285" s="27">
        <v>102.0</v>
      </c>
      <c r="D1285" s="134" t="s">
        <v>32</v>
      </c>
      <c r="F1285" s="40"/>
    </row>
    <row r="1286">
      <c r="A1286" s="139" t="s">
        <v>3470</v>
      </c>
      <c r="B1286" s="22">
        <v>19820.0</v>
      </c>
      <c r="C1286" s="27">
        <v>51.0</v>
      </c>
      <c r="D1286" s="134" t="s">
        <v>32</v>
      </c>
      <c r="F1286" s="22"/>
    </row>
    <row r="1287">
      <c r="A1287" s="138" t="s">
        <v>3270</v>
      </c>
      <c r="B1287" s="40">
        <v>75206.0</v>
      </c>
      <c r="C1287" s="27">
        <v>102.0</v>
      </c>
      <c r="D1287" s="134" t="s">
        <v>32</v>
      </c>
      <c r="F1287" s="40"/>
    </row>
    <row r="1288">
      <c r="A1288" s="139" t="s">
        <v>3300</v>
      </c>
      <c r="B1288" s="22">
        <v>75228.0</v>
      </c>
      <c r="C1288" s="27">
        <v>102.0</v>
      </c>
      <c r="D1288" s="134" t="s">
        <v>32</v>
      </c>
      <c r="F1288" s="22"/>
    </row>
    <row r="1289">
      <c r="A1289" s="138" t="s">
        <v>3272</v>
      </c>
      <c r="B1289" s="40">
        <v>75238.0</v>
      </c>
      <c r="C1289" s="27">
        <v>51.0</v>
      </c>
      <c r="D1289" s="134" t="s">
        <v>32</v>
      </c>
      <c r="F1289" s="40"/>
    </row>
    <row r="1290">
      <c r="A1290" s="139" t="s">
        <v>3291</v>
      </c>
      <c r="B1290" s="22">
        <v>75287.0</v>
      </c>
      <c r="C1290" s="27">
        <v>25.0</v>
      </c>
      <c r="D1290" s="134" t="s">
        <v>32</v>
      </c>
      <c r="F1290" s="22"/>
    </row>
    <row r="1291">
      <c r="A1291" s="138" t="s">
        <v>3304</v>
      </c>
      <c r="B1291" s="40">
        <v>75202.0</v>
      </c>
      <c r="C1291" s="27">
        <v>51.0</v>
      </c>
      <c r="D1291" s="134" t="s">
        <v>32</v>
      </c>
      <c r="F1291" s="40"/>
    </row>
    <row r="1292">
      <c r="A1292" s="139" t="s">
        <v>3471</v>
      </c>
      <c r="B1292" s="22">
        <v>75238.0</v>
      </c>
      <c r="C1292" s="27">
        <v>25.0</v>
      </c>
      <c r="D1292" s="134" t="s">
        <v>32</v>
      </c>
      <c r="F1292" s="22"/>
    </row>
    <row r="1293">
      <c r="A1293" s="138" t="s">
        <v>3267</v>
      </c>
      <c r="B1293" s="40">
        <v>75214.0</v>
      </c>
      <c r="C1293" s="27">
        <v>60.0</v>
      </c>
      <c r="D1293" s="134" t="s">
        <v>32</v>
      </c>
      <c r="F1293" s="40"/>
    </row>
    <row r="1294">
      <c r="A1294" s="139" t="s">
        <v>3472</v>
      </c>
      <c r="B1294" s="22">
        <v>85745.0</v>
      </c>
      <c r="C1294" s="27">
        <v>25.0</v>
      </c>
      <c r="D1294" s="134" t="s">
        <v>32</v>
      </c>
      <c r="F1294" s="22"/>
    </row>
    <row r="1295">
      <c r="A1295" s="138" t="s">
        <v>3267</v>
      </c>
      <c r="B1295" s="40">
        <v>75214.0</v>
      </c>
      <c r="C1295" s="27">
        <v>25.0</v>
      </c>
      <c r="D1295" s="134" t="s">
        <v>32</v>
      </c>
      <c r="F1295" s="40"/>
    </row>
    <row r="1296">
      <c r="A1296" s="139" t="s">
        <v>3312</v>
      </c>
      <c r="B1296" s="22">
        <v>75201.0</v>
      </c>
      <c r="C1296" s="27">
        <v>100.0</v>
      </c>
      <c r="D1296" s="134" t="s">
        <v>32</v>
      </c>
      <c r="F1296" s="22"/>
    </row>
    <row r="1297">
      <c r="A1297" s="138" t="s">
        <v>3267</v>
      </c>
      <c r="B1297" s="40">
        <v>75214.0</v>
      </c>
      <c r="C1297" s="27">
        <v>25.0</v>
      </c>
      <c r="D1297" s="134" t="s">
        <v>32</v>
      </c>
      <c r="F1297" s="40"/>
    </row>
    <row r="1298">
      <c r="A1298" s="139" t="s">
        <v>3471</v>
      </c>
      <c r="B1298" s="22">
        <v>75238.0</v>
      </c>
      <c r="C1298" s="27">
        <v>150.0</v>
      </c>
      <c r="D1298" s="134" t="s">
        <v>32</v>
      </c>
      <c r="F1298" s="22"/>
    </row>
    <row r="1299">
      <c r="A1299" s="138" t="s">
        <v>3267</v>
      </c>
      <c r="B1299" s="40">
        <v>75214.0</v>
      </c>
      <c r="C1299" s="27">
        <v>50.0</v>
      </c>
      <c r="D1299" s="134" t="s">
        <v>24</v>
      </c>
      <c r="F1299" s="40"/>
    </row>
    <row r="1300">
      <c r="A1300" s="139" t="s">
        <v>3473</v>
      </c>
      <c r="B1300" s="22">
        <v>79707.0</v>
      </c>
      <c r="C1300" s="27">
        <v>5000.0</v>
      </c>
      <c r="D1300" s="134" t="s">
        <v>24</v>
      </c>
      <c r="F1300" s="22"/>
    </row>
    <row r="1301">
      <c r="A1301" s="138" t="s">
        <v>3474</v>
      </c>
      <c r="B1301" s="40">
        <v>75094.0</v>
      </c>
      <c r="C1301" s="27">
        <v>1000.0</v>
      </c>
      <c r="D1301" s="134" t="s">
        <v>22</v>
      </c>
      <c r="F1301" s="40"/>
    </row>
    <row r="1302">
      <c r="A1302" s="139" t="s">
        <v>3285</v>
      </c>
      <c r="B1302" s="22">
        <v>75204.0</v>
      </c>
      <c r="C1302" s="27">
        <v>1000.0</v>
      </c>
      <c r="D1302" s="134" t="s">
        <v>22</v>
      </c>
      <c r="F1302" s="22"/>
    </row>
    <row r="1303">
      <c r="A1303" s="138" t="s">
        <v>3333</v>
      </c>
      <c r="B1303" s="40">
        <v>75067.0</v>
      </c>
      <c r="C1303" s="27">
        <v>1000.0</v>
      </c>
      <c r="D1303" s="134" t="s">
        <v>34</v>
      </c>
      <c r="F1303" s="40"/>
    </row>
    <row r="1304">
      <c r="A1304" s="139" t="s">
        <v>3285</v>
      </c>
      <c r="B1304" s="22">
        <v>75204.0</v>
      </c>
      <c r="C1304" s="27">
        <v>1000.0</v>
      </c>
      <c r="D1304" s="134" t="s">
        <v>34</v>
      </c>
      <c r="F1304" s="22"/>
    </row>
    <row r="1305">
      <c r="A1305" s="138" t="s">
        <v>3282</v>
      </c>
      <c r="B1305" s="40">
        <v>75208.0</v>
      </c>
      <c r="C1305" s="27">
        <v>500.0</v>
      </c>
      <c r="D1305" s="134" t="s">
        <v>37</v>
      </c>
      <c r="F1305" s="40"/>
    </row>
    <row r="1306">
      <c r="A1306" s="139" t="s">
        <v>3337</v>
      </c>
      <c r="B1306" s="22">
        <v>75235.0</v>
      </c>
      <c r="C1306" s="27">
        <v>1000.0</v>
      </c>
      <c r="D1306" s="134" t="s">
        <v>37</v>
      </c>
      <c r="F1306" s="22"/>
    </row>
    <row r="1307">
      <c r="A1307" s="138" t="s">
        <v>3475</v>
      </c>
      <c r="B1307" s="40">
        <v>75010.0</v>
      </c>
      <c r="C1307" s="27">
        <v>1000.0</v>
      </c>
      <c r="D1307" s="134" t="s">
        <v>37</v>
      </c>
      <c r="F1307" s="40"/>
    </row>
    <row r="1308">
      <c r="A1308" s="139" t="s">
        <v>3273</v>
      </c>
      <c r="B1308" s="22">
        <v>75205.0</v>
      </c>
      <c r="C1308" s="27">
        <v>1000.0</v>
      </c>
      <c r="D1308" s="134" t="s">
        <v>35</v>
      </c>
      <c r="F1308" s="22"/>
    </row>
    <row r="1309">
      <c r="A1309" s="138" t="s">
        <v>3312</v>
      </c>
      <c r="B1309" s="40">
        <v>75201.0</v>
      </c>
      <c r="C1309" s="27">
        <v>1000.0</v>
      </c>
      <c r="D1309" s="134" t="s">
        <v>35</v>
      </c>
      <c r="F1309" s="40"/>
    </row>
    <row r="1310">
      <c r="A1310" s="139" t="s">
        <v>3312</v>
      </c>
      <c r="B1310" s="22">
        <v>75201.0</v>
      </c>
      <c r="C1310" s="27">
        <v>1000.0</v>
      </c>
      <c r="D1310" s="134" t="s">
        <v>34</v>
      </c>
      <c r="F1310" s="22"/>
    </row>
    <row r="1311">
      <c r="A1311" s="138" t="s">
        <v>3285</v>
      </c>
      <c r="B1311" s="40">
        <v>75204.0</v>
      </c>
      <c r="C1311" s="27">
        <v>206.46</v>
      </c>
      <c r="D1311" s="134" t="s">
        <v>34</v>
      </c>
      <c r="F1311" s="40"/>
    </row>
    <row r="1312">
      <c r="A1312" s="139" t="s">
        <v>3289</v>
      </c>
      <c r="B1312" s="22">
        <v>75219.0</v>
      </c>
      <c r="C1312" s="27">
        <v>1000.0</v>
      </c>
      <c r="D1312" s="134" t="s">
        <v>34</v>
      </c>
      <c r="F1312" s="22"/>
    </row>
    <row r="1313">
      <c r="A1313" s="138" t="s">
        <v>3267</v>
      </c>
      <c r="B1313" s="40">
        <v>75214.0</v>
      </c>
      <c r="C1313" s="27">
        <v>51.99</v>
      </c>
      <c r="D1313" s="134" t="s">
        <v>34</v>
      </c>
      <c r="F1313" s="40"/>
    </row>
    <row r="1314">
      <c r="A1314" s="139" t="s">
        <v>3267</v>
      </c>
      <c r="B1314" s="22">
        <v>75214.0</v>
      </c>
      <c r="C1314" s="27">
        <v>1000.0</v>
      </c>
      <c r="D1314" s="134" t="s">
        <v>34</v>
      </c>
      <c r="F1314" s="22"/>
    </row>
    <row r="1315">
      <c r="A1315" s="138" t="s">
        <v>3267</v>
      </c>
      <c r="B1315" s="40">
        <v>75214.0</v>
      </c>
      <c r="C1315" s="27">
        <v>1000.0</v>
      </c>
      <c r="D1315" s="134" t="s">
        <v>34</v>
      </c>
      <c r="F1315" s="40"/>
    </row>
    <row r="1316">
      <c r="A1316" s="139" t="s">
        <v>3267</v>
      </c>
      <c r="B1316" s="22">
        <v>75214.0</v>
      </c>
      <c r="C1316" s="27">
        <v>300.0</v>
      </c>
      <c r="D1316" s="134" t="s">
        <v>34</v>
      </c>
      <c r="F1316" s="22"/>
    </row>
    <row r="1317">
      <c r="A1317" s="138" t="s">
        <v>3321</v>
      </c>
      <c r="B1317" s="40">
        <v>75209.0</v>
      </c>
      <c r="C1317" s="27">
        <v>250.0</v>
      </c>
      <c r="D1317" s="134" t="s">
        <v>34</v>
      </c>
      <c r="F1317" s="40"/>
    </row>
    <row r="1318">
      <c r="A1318" s="139" t="s">
        <v>3267</v>
      </c>
      <c r="B1318" s="22">
        <v>75214.0</v>
      </c>
      <c r="C1318" s="27">
        <v>150.0</v>
      </c>
      <c r="D1318" s="134" t="s">
        <v>34</v>
      </c>
      <c r="F1318" s="22"/>
    </row>
    <row r="1319">
      <c r="A1319" s="138" t="s">
        <v>3312</v>
      </c>
      <c r="B1319" s="40">
        <v>75201.0</v>
      </c>
      <c r="C1319" s="27">
        <v>500.0</v>
      </c>
      <c r="D1319" s="134" t="s">
        <v>34</v>
      </c>
      <c r="F1319" s="40"/>
    </row>
    <row r="1320">
      <c r="A1320" s="139" t="s">
        <v>3273</v>
      </c>
      <c r="B1320" s="22">
        <v>75205.0</v>
      </c>
      <c r="C1320" s="27">
        <v>500.0</v>
      </c>
      <c r="D1320" s="134" t="s">
        <v>34</v>
      </c>
      <c r="F1320" s="22"/>
    </row>
    <row r="1321">
      <c r="A1321" s="138" t="s">
        <v>3289</v>
      </c>
      <c r="B1321" s="40">
        <v>75219.0</v>
      </c>
      <c r="C1321" s="27">
        <v>1000.0</v>
      </c>
      <c r="D1321" s="134" t="s">
        <v>34</v>
      </c>
      <c r="F1321" s="40"/>
    </row>
    <row r="1322">
      <c r="A1322" s="139" t="s">
        <v>3312</v>
      </c>
      <c r="B1322" s="22">
        <v>75201.0</v>
      </c>
      <c r="C1322" s="27">
        <v>1000.0</v>
      </c>
      <c r="D1322" s="134" t="s">
        <v>34</v>
      </c>
      <c r="F1322" s="22"/>
    </row>
    <row r="1323">
      <c r="A1323" s="138" t="s">
        <v>3285</v>
      </c>
      <c r="B1323" s="40">
        <v>75204.0</v>
      </c>
      <c r="C1323" s="27">
        <v>250.0</v>
      </c>
      <c r="D1323" s="134" t="s">
        <v>34</v>
      </c>
      <c r="F1323" s="40"/>
    </row>
    <row r="1324">
      <c r="A1324" s="139" t="s">
        <v>3422</v>
      </c>
      <c r="B1324" s="22">
        <v>2138.0</v>
      </c>
      <c r="C1324" s="27">
        <v>1000.0</v>
      </c>
      <c r="D1324" s="134" t="s">
        <v>34</v>
      </c>
      <c r="F1324" s="22"/>
    </row>
    <row r="1325">
      <c r="A1325" s="138" t="s">
        <v>3476</v>
      </c>
      <c r="B1325" s="40">
        <v>2115.0</v>
      </c>
      <c r="C1325" s="27">
        <v>1000.0</v>
      </c>
      <c r="D1325" s="134" t="s">
        <v>34</v>
      </c>
      <c r="F1325" s="40"/>
    </row>
    <row r="1326">
      <c r="A1326" s="139" t="s">
        <v>3464</v>
      </c>
      <c r="B1326" s="22">
        <v>76051.0</v>
      </c>
      <c r="C1326" s="27">
        <v>1000.0</v>
      </c>
      <c r="D1326" s="134" t="s">
        <v>34</v>
      </c>
      <c r="F1326" s="22"/>
    </row>
    <row r="1327">
      <c r="A1327" s="138" t="s">
        <v>3285</v>
      </c>
      <c r="B1327" s="40">
        <v>75204.0</v>
      </c>
      <c r="C1327" s="27">
        <v>1000.0</v>
      </c>
      <c r="D1327" s="134" t="s">
        <v>34</v>
      </c>
      <c r="F1327" s="40"/>
    </row>
    <row r="1328">
      <c r="A1328" s="139" t="s">
        <v>3294</v>
      </c>
      <c r="B1328" s="22">
        <v>75360.0</v>
      </c>
      <c r="C1328" s="27">
        <v>1000.0</v>
      </c>
      <c r="D1328" s="134" t="s">
        <v>34</v>
      </c>
      <c r="F1328" s="22"/>
    </row>
    <row r="1329">
      <c r="A1329" s="138" t="s">
        <v>3273</v>
      </c>
      <c r="B1329" s="40">
        <v>75205.0</v>
      </c>
      <c r="C1329" s="27">
        <v>1000.0</v>
      </c>
      <c r="D1329" s="134" t="s">
        <v>34</v>
      </c>
      <c r="F1329" s="40"/>
    </row>
    <row r="1330">
      <c r="A1330" s="139" t="s">
        <v>3312</v>
      </c>
      <c r="B1330" s="22">
        <v>75201.0</v>
      </c>
      <c r="C1330" s="27">
        <v>1000.0</v>
      </c>
      <c r="D1330" s="134" t="s">
        <v>34</v>
      </c>
      <c r="F1330" s="22"/>
    </row>
    <row r="1331">
      <c r="A1331" s="138" t="s">
        <v>3300</v>
      </c>
      <c r="B1331" s="40">
        <v>75228.0</v>
      </c>
      <c r="C1331" s="27">
        <v>50.0</v>
      </c>
      <c r="D1331" s="134" t="s">
        <v>23</v>
      </c>
      <c r="F1331" s="40"/>
    </row>
    <row r="1332">
      <c r="A1332" s="139" t="s">
        <v>3289</v>
      </c>
      <c r="B1332" s="22">
        <v>75219.0</v>
      </c>
      <c r="C1332" s="27">
        <v>500.0</v>
      </c>
      <c r="D1332" s="134" t="s">
        <v>23</v>
      </c>
      <c r="F1332" s="22"/>
    </row>
    <row r="1333">
      <c r="A1333" s="138" t="s">
        <v>3384</v>
      </c>
      <c r="B1333" s="40">
        <v>78760.0</v>
      </c>
      <c r="C1333" s="27">
        <v>1000.0</v>
      </c>
      <c r="D1333" s="134" t="s">
        <v>23</v>
      </c>
      <c r="F1333" s="40"/>
    </row>
    <row r="1334">
      <c r="A1334" s="139" t="s">
        <v>3477</v>
      </c>
      <c r="B1334" s="22">
        <v>75251.0</v>
      </c>
      <c r="C1334" s="27">
        <v>500.0</v>
      </c>
      <c r="D1334" s="134" t="s">
        <v>23</v>
      </c>
      <c r="F1334" s="22"/>
    </row>
    <row r="1335">
      <c r="A1335" s="138" t="s">
        <v>3273</v>
      </c>
      <c r="B1335" s="40">
        <v>75205.0</v>
      </c>
      <c r="C1335" s="27">
        <v>100.0</v>
      </c>
      <c r="D1335" s="134" t="s">
        <v>23</v>
      </c>
      <c r="F1335" s="40"/>
    </row>
    <row r="1336">
      <c r="A1336" s="139" t="s">
        <v>3288</v>
      </c>
      <c r="B1336" s="22">
        <v>75019.0</v>
      </c>
      <c r="C1336" s="27">
        <v>50.0</v>
      </c>
      <c r="D1336" s="134" t="s">
        <v>23</v>
      </c>
      <c r="F1336" s="22"/>
    </row>
    <row r="1337">
      <c r="A1337" s="138" t="s">
        <v>3292</v>
      </c>
      <c r="B1337" s="40">
        <v>75243.0</v>
      </c>
      <c r="C1337" s="27">
        <v>50.0</v>
      </c>
      <c r="D1337" s="134" t="s">
        <v>23</v>
      </c>
      <c r="F1337" s="40"/>
    </row>
    <row r="1338">
      <c r="A1338" s="139" t="s">
        <v>3339</v>
      </c>
      <c r="B1338" s="22">
        <v>75215.0</v>
      </c>
      <c r="C1338" s="27">
        <v>1000.0</v>
      </c>
      <c r="D1338" s="134" t="s">
        <v>23</v>
      </c>
      <c r="F1338" s="22"/>
    </row>
    <row r="1339">
      <c r="A1339" s="138" t="s">
        <v>3267</v>
      </c>
      <c r="B1339" s="40">
        <v>75214.0</v>
      </c>
      <c r="C1339" s="27">
        <v>200.0</v>
      </c>
      <c r="D1339" s="134" t="s">
        <v>23</v>
      </c>
      <c r="F1339" s="40"/>
    </row>
    <row r="1340">
      <c r="A1340" s="139" t="s">
        <v>3278</v>
      </c>
      <c r="B1340" s="22">
        <v>75248.0</v>
      </c>
      <c r="C1340" s="27">
        <v>250.0</v>
      </c>
      <c r="D1340" s="134" t="s">
        <v>23</v>
      </c>
      <c r="F1340" s="22"/>
    </row>
    <row r="1341">
      <c r="A1341" s="138" t="s">
        <v>3267</v>
      </c>
      <c r="B1341" s="40">
        <v>75214.0</v>
      </c>
      <c r="C1341" s="27">
        <v>200.0</v>
      </c>
      <c r="D1341" s="134" t="s">
        <v>23</v>
      </c>
      <c r="F1341" s="40"/>
    </row>
    <row r="1342">
      <c r="A1342" s="139" t="s">
        <v>3281</v>
      </c>
      <c r="B1342" s="22">
        <v>75218.0</v>
      </c>
      <c r="C1342" s="27">
        <v>250.0</v>
      </c>
      <c r="D1342" s="134" t="s">
        <v>23</v>
      </c>
      <c r="F1342" s="22"/>
    </row>
    <row r="1343">
      <c r="A1343" s="138" t="s">
        <v>3304</v>
      </c>
      <c r="B1343" s="40">
        <v>75202.0</v>
      </c>
      <c r="C1343" s="27">
        <v>100.0</v>
      </c>
      <c r="D1343" s="134" t="s">
        <v>23</v>
      </c>
      <c r="F1343" s="40"/>
    </row>
    <row r="1344">
      <c r="A1344" s="139" t="s">
        <v>3270</v>
      </c>
      <c r="B1344" s="22">
        <v>75206.0</v>
      </c>
      <c r="C1344" s="27">
        <v>100.0</v>
      </c>
      <c r="D1344" s="134" t="s">
        <v>23</v>
      </c>
      <c r="F1344" s="22"/>
    </row>
    <row r="1345">
      <c r="A1345" s="138" t="s">
        <v>3300</v>
      </c>
      <c r="B1345" s="40">
        <v>75228.0</v>
      </c>
      <c r="C1345" s="27">
        <v>1000.0</v>
      </c>
      <c r="D1345" s="134" t="s">
        <v>23</v>
      </c>
      <c r="F1345" s="40"/>
    </row>
    <row r="1346">
      <c r="A1346" s="139" t="s">
        <v>3300</v>
      </c>
      <c r="B1346" s="22">
        <v>75228.0</v>
      </c>
      <c r="C1346" s="27">
        <v>1000.0</v>
      </c>
      <c r="D1346" s="134" t="s">
        <v>23</v>
      </c>
      <c r="F1346" s="22"/>
    </row>
    <row r="1347">
      <c r="A1347" s="138" t="s">
        <v>3304</v>
      </c>
      <c r="B1347" s="40">
        <v>75202.0</v>
      </c>
      <c r="C1347" s="27">
        <v>100.0</v>
      </c>
      <c r="D1347" s="134" t="s">
        <v>23</v>
      </c>
      <c r="F1347" s="40"/>
    </row>
    <row r="1348">
      <c r="A1348" s="139" t="s">
        <v>3441</v>
      </c>
      <c r="B1348" s="22">
        <v>75057.0</v>
      </c>
      <c r="C1348" s="27">
        <v>1000.0</v>
      </c>
      <c r="D1348" s="134" t="s">
        <v>23</v>
      </c>
      <c r="F1348" s="22"/>
    </row>
    <row r="1349">
      <c r="A1349" s="138" t="s">
        <v>3335</v>
      </c>
      <c r="B1349" s="40">
        <v>75222.0</v>
      </c>
      <c r="C1349" s="27">
        <v>500.0</v>
      </c>
      <c r="D1349" s="134" t="s">
        <v>23</v>
      </c>
      <c r="F1349" s="40"/>
    </row>
    <row r="1350">
      <c r="A1350" s="139" t="s">
        <v>3285</v>
      </c>
      <c r="B1350" s="22">
        <v>75204.0</v>
      </c>
      <c r="C1350" s="27">
        <v>150.0</v>
      </c>
      <c r="D1350" s="134" t="s">
        <v>23</v>
      </c>
      <c r="F1350" s="22"/>
    </row>
    <row r="1351">
      <c r="A1351" s="138" t="s">
        <v>3478</v>
      </c>
      <c r="B1351" s="40">
        <v>75044.0</v>
      </c>
      <c r="C1351" s="27">
        <v>100.0</v>
      </c>
      <c r="D1351" s="134" t="s">
        <v>23</v>
      </c>
      <c r="F1351" s="40"/>
    </row>
    <row r="1352">
      <c r="A1352" s="139" t="s">
        <v>3267</v>
      </c>
      <c r="B1352" s="22">
        <v>75214.0</v>
      </c>
      <c r="C1352" s="27">
        <v>100.0</v>
      </c>
      <c r="D1352" s="134" t="s">
        <v>23</v>
      </c>
      <c r="F1352" s="22"/>
    </row>
    <row r="1353">
      <c r="A1353" s="138" t="s">
        <v>3325</v>
      </c>
      <c r="B1353" s="40">
        <v>75223.0</v>
      </c>
      <c r="C1353" s="27">
        <v>200.0</v>
      </c>
      <c r="D1353" s="134" t="s">
        <v>23</v>
      </c>
      <c r="F1353" s="40"/>
    </row>
    <row r="1354">
      <c r="A1354" s="139" t="s">
        <v>3305</v>
      </c>
      <c r="B1354" s="22">
        <v>75254.0</v>
      </c>
      <c r="C1354" s="27">
        <v>100.0</v>
      </c>
      <c r="D1354" s="134" t="s">
        <v>23</v>
      </c>
      <c r="F1354" s="22"/>
    </row>
    <row r="1355">
      <c r="A1355" s="138" t="s">
        <v>3289</v>
      </c>
      <c r="B1355" s="40">
        <v>75219.0</v>
      </c>
      <c r="C1355" s="27">
        <v>250.0</v>
      </c>
      <c r="D1355" s="134" t="s">
        <v>23</v>
      </c>
      <c r="F1355" s="40"/>
    </row>
    <row r="1356">
      <c r="A1356" s="139" t="s">
        <v>3289</v>
      </c>
      <c r="B1356" s="22">
        <v>75219.0</v>
      </c>
      <c r="C1356" s="27">
        <v>50.0</v>
      </c>
      <c r="D1356" s="134" t="s">
        <v>23</v>
      </c>
      <c r="F1356" s="22"/>
    </row>
    <row r="1357">
      <c r="A1357" s="138" t="s">
        <v>3270</v>
      </c>
      <c r="B1357" s="40">
        <v>75206.0</v>
      </c>
      <c r="C1357" s="27">
        <v>100.0</v>
      </c>
      <c r="D1357" s="134" t="s">
        <v>23</v>
      </c>
      <c r="F1357" s="40"/>
    </row>
    <row r="1358">
      <c r="A1358" s="139" t="s">
        <v>3273</v>
      </c>
      <c r="B1358" s="22">
        <v>75205.0</v>
      </c>
      <c r="C1358" s="27">
        <v>200.0</v>
      </c>
      <c r="D1358" s="134" t="s">
        <v>23</v>
      </c>
      <c r="F1358" s="22"/>
    </row>
    <row r="1359">
      <c r="A1359" s="138" t="s">
        <v>3284</v>
      </c>
      <c r="B1359" s="40">
        <v>75229.0</v>
      </c>
      <c r="C1359" s="27">
        <v>100.0</v>
      </c>
      <c r="D1359" s="134" t="s">
        <v>23</v>
      </c>
      <c r="F1359" s="40"/>
    </row>
    <row r="1360">
      <c r="A1360" s="139" t="s">
        <v>3285</v>
      </c>
      <c r="B1360" s="22">
        <v>75204.0</v>
      </c>
      <c r="C1360" s="27">
        <v>100.0</v>
      </c>
      <c r="D1360" s="134" t="s">
        <v>23</v>
      </c>
      <c r="F1360" s="22"/>
    </row>
    <row r="1361">
      <c r="A1361" s="138" t="s">
        <v>3267</v>
      </c>
      <c r="B1361" s="40">
        <v>75214.0</v>
      </c>
      <c r="C1361" s="27">
        <v>500.0</v>
      </c>
      <c r="D1361" s="134" t="s">
        <v>23</v>
      </c>
      <c r="F1361" s="40"/>
    </row>
    <row r="1362">
      <c r="A1362" s="139" t="s">
        <v>3285</v>
      </c>
      <c r="B1362" s="22">
        <v>75204.0</v>
      </c>
      <c r="C1362" s="27">
        <v>250.0</v>
      </c>
      <c r="D1362" s="134" t="s">
        <v>23</v>
      </c>
      <c r="F1362" s="22"/>
    </row>
    <row r="1363">
      <c r="A1363" s="138" t="s">
        <v>3273</v>
      </c>
      <c r="B1363" s="40">
        <v>75205.0</v>
      </c>
      <c r="C1363" s="27">
        <v>500.0</v>
      </c>
      <c r="D1363" s="134" t="s">
        <v>23</v>
      </c>
      <c r="F1363" s="40"/>
    </row>
    <row r="1364">
      <c r="A1364" s="139" t="s">
        <v>3268</v>
      </c>
      <c r="B1364" s="22">
        <v>75203.0</v>
      </c>
      <c r="C1364" s="27">
        <v>500.0</v>
      </c>
      <c r="D1364" s="134" t="s">
        <v>23</v>
      </c>
      <c r="F1364" s="22"/>
    </row>
    <row r="1365">
      <c r="A1365" s="138" t="s">
        <v>3479</v>
      </c>
      <c r="B1365" s="40">
        <v>28778.0</v>
      </c>
      <c r="C1365" s="27">
        <v>50.0</v>
      </c>
      <c r="D1365" s="134" t="s">
        <v>23</v>
      </c>
      <c r="F1365" s="40"/>
    </row>
    <row r="1366">
      <c r="A1366" s="139" t="s">
        <v>3321</v>
      </c>
      <c r="B1366" s="22">
        <v>75209.0</v>
      </c>
      <c r="C1366" s="27">
        <v>500.0</v>
      </c>
      <c r="D1366" s="134" t="s">
        <v>23</v>
      </c>
      <c r="F1366" s="22"/>
    </row>
    <row r="1367">
      <c r="A1367" s="138" t="s">
        <v>3282</v>
      </c>
      <c r="B1367" s="40">
        <v>75208.0</v>
      </c>
      <c r="C1367" s="27">
        <v>1000.0</v>
      </c>
      <c r="D1367" s="134" t="s">
        <v>23</v>
      </c>
      <c r="F1367" s="40"/>
    </row>
    <row r="1368">
      <c r="A1368" s="139" t="s">
        <v>3321</v>
      </c>
      <c r="B1368" s="22">
        <v>75209.0</v>
      </c>
      <c r="C1368" s="27">
        <v>500.0</v>
      </c>
      <c r="D1368" s="134" t="s">
        <v>23</v>
      </c>
      <c r="F1368" s="22"/>
    </row>
    <row r="1369">
      <c r="A1369" s="138" t="s">
        <v>3480</v>
      </c>
      <c r="B1369" s="40">
        <v>76001.0</v>
      </c>
      <c r="C1369" s="27">
        <v>200.0</v>
      </c>
      <c r="D1369" s="134" t="s">
        <v>23</v>
      </c>
      <c r="F1369" s="40"/>
    </row>
    <row r="1370">
      <c r="A1370" s="139" t="s">
        <v>3332</v>
      </c>
      <c r="B1370" s="22">
        <v>75115.0</v>
      </c>
      <c r="C1370" s="27">
        <v>1000.0</v>
      </c>
      <c r="D1370" s="134" t="s">
        <v>23</v>
      </c>
      <c r="F1370" s="22"/>
    </row>
    <row r="1371">
      <c r="A1371" s="138" t="s">
        <v>3302</v>
      </c>
      <c r="B1371" s="40">
        <v>75226.0</v>
      </c>
      <c r="C1371" s="27">
        <v>250.0</v>
      </c>
      <c r="D1371" s="134" t="s">
        <v>23</v>
      </c>
      <c r="F1371" s="40"/>
    </row>
    <row r="1372">
      <c r="A1372" s="139" t="s">
        <v>3275</v>
      </c>
      <c r="B1372" s="22">
        <v>75207.0</v>
      </c>
      <c r="C1372" s="27">
        <v>1000.0</v>
      </c>
      <c r="D1372" s="134" t="s">
        <v>23</v>
      </c>
      <c r="F1372" s="22"/>
    </row>
    <row r="1373">
      <c r="A1373" s="138" t="s">
        <v>3285</v>
      </c>
      <c r="B1373" s="40">
        <v>75204.0</v>
      </c>
      <c r="C1373" s="27">
        <v>50.0</v>
      </c>
      <c r="D1373" s="134" t="s">
        <v>23</v>
      </c>
      <c r="F1373" s="40"/>
    </row>
    <row r="1374">
      <c r="A1374" s="139" t="s">
        <v>3312</v>
      </c>
      <c r="B1374" s="22">
        <v>75201.0</v>
      </c>
      <c r="C1374" s="27">
        <v>100.0</v>
      </c>
      <c r="D1374" s="134" t="s">
        <v>23</v>
      </c>
      <c r="F1374" s="22"/>
    </row>
    <row r="1375">
      <c r="A1375" s="138" t="s">
        <v>3281</v>
      </c>
      <c r="B1375" s="40">
        <v>75218.0</v>
      </c>
      <c r="C1375" s="27">
        <v>50.0</v>
      </c>
      <c r="D1375" s="134" t="s">
        <v>23</v>
      </c>
      <c r="F1375" s="40"/>
    </row>
    <row r="1376">
      <c r="A1376" s="139" t="s">
        <v>3481</v>
      </c>
      <c r="B1376" s="22">
        <v>76653.0</v>
      </c>
      <c r="C1376" s="27">
        <v>500.0</v>
      </c>
      <c r="D1376" s="134" t="s">
        <v>23</v>
      </c>
      <c r="F1376" s="22"/>
    </row>
    <row r="1377">
      <c r="A1377" s="138" t="s">
        <v>3301</v>
      </c>
      <c r="B1377" s="40">
        <v>75220.0</v>
      </c>
      <c r="C1377" s="27">
        <v>1000.0</v>
      </c>
      <c r="D1377" s="134" t="s">
        <v>23</v>
      </c>
      <c r="F1377" s="40"/>
    </row>
    <row r="1378">
      <c r="A1378" s="139" t="s">
        <v>3312</v>
      </c>
      <c r="B1378" s="22">
        <v>75201.0</v>
      </c>
      <c r="C1378" s="27">
        <v>50.0</v>
      </c>
      <c r="D1378" s="134" t="s">
        <v>23</v>
      </c>
      <c r="F1378" s="22"/>
    </row>
    <row r="1379">
      <c r="A1379" s="138" t="s">
        <v>3321</v>
      </c>
      <c r="B1379" s="40">
        <v>75209.0</v>
      </c>
      <c r="C1379" s="27">
        <v>1000.0</v>
      </c>
      <c r="D1379" s="134" t="s">
        <v>23</v>
      </c>
      <c r="F1379" s="40"/>
    </row>
    <row r="1380">
      <c r="A1380" s="139" t="s">
        <v>3270</v>
      </c>
      <c r="B1380" s="22">
        <v>75206.0</v>
      </c>
      <c r="C1380" s="27">
        <v>150.0</v>
      </c>
      <c r="D1380" s="134" t="s">
        <v>23</v>
      </c>
      <c r="F1380" s="22"/>
    </row>
    <row r="1381">
      <c r="A1381" s="138" t="s">
        <v>3273</v>
      </c>
      <c r="B1381" s="40">
        <v>75205.0</v>
      </c>
      <c r="C1381" s="27">
        <v>1000.0</v>
      </c>
      <c r="D1381" s="134" t="s">
        <v>23</v>
      </c>
      <c r="F1381" s="40"/>
    </row>
    <row r="1382">
      <c r="A1382" s="139" t="s">
        <v>3273</v>
      </c>
      <c r="B1382" s="22">
        <v>75205.0</v>
      </c>
      <c r="C1382" s="27">
        <v>1000.0</v>
      </c>
      <c r="D1382" s="134" t="s">
        <v>23</v>
      </c>
      <c r="F1382" s="22"/>
    </row>
    <row r="1383">
      <c r="A1383" s="138" t="s">
        <v>3381</v>
      </c>
      <c r="B1383" s="40">
        <v>75210.0</v>
      </c>
      <c r="C1383" s="27">
        <v>500.0</v>
      </c>
      <c r="D1383" s="134" t="s">
        <v>23</v>
      </c>
      <c r="F1383" s="40"/>
    </row>
    <row r="1384">
      <c r="A1384" s="139" t="s">
        <v>3300</v>
      </c>
      <c r="B1384" s="22">
        <v>75228.0</v>
      </c>
      <c r="C1384" s="27">
        <v>1000.0</v>
      </c>
      <c r="D1384" s="134" t="s">
        <v>23</v>
      </c>
      <c r="F1384" s="22"/>
    </row>
    <row r="1385">
      <c r="A1385" s="138" t="s">
        <v>3414</v>
      </c>
      <c r="B1385" s="40">
        <v>77024.0</v>
      </c>
      <c r="C1385" s="27">
        <v>1000.0</v>
      </c>
      <c r="D1385" s="134" t="s">
        <v>23</v>
      </c>
      <c r="F1385" s="40"/>
    </row>
    <row r="1386">
      <c r="A1386" s="139" t="s">
        <v>3273</v>
      </c>
      <c r="B1386" s="22">
        <v>75205.0</v>
      </c>
      <c r="C1386" s="27">
        <v>1000.0</v>
      </c>
      <c r="D1386" s="134" t="s">
        <v>23</v>
      </c>
      <c r="F1386" s="22"/>
    </row>
    <row r="1387">
      <c r="A1387" s="138" t="s">
        <v>3386</v>
      </c>
      <c r="B1387" s="40">
        <v>78748.0</v>
      </c>
      <c r="C1387" s="27">
        <v>100.0</v>
      </c>
      <c r="D1387" s="134" t="s">
        <v>23</v>
      </c>
      <c r="F1387" s="40"/>
    </row>
    <row r="1388">
      <c r="A1388" s="139" t="s">
        <v>3309</v>
      </c>
      <c r="B1388" s="22">
        <v>76065.0</v>
      </c>
      <c r="C1388" s="27">
        <v>75.0</v>
      </c>
      <c r="D1388" s="134" t="s">
        <v>23</v>
      </c>
      <c r="F1388" s="22"/>
    </row>
    <row r="1389">
      <c r="A1389" s="138" t="s">
        <v>3289</v>
      </c>
      <c r="B1389" s="40">
        <v>75219.0</v>
      </c>
      <c r="C1389" s="27">
        <v>1000.0</v>
      </c>
      <c r="D1389" s="134" t="s">
        <v>23</v>
      </c>
      <c r="F1389" s="40"/>
    </row>
    <row r="1390">
      <c r="A1390" s="139" t="s">
        <v>3339</v>
      </c>
      <c r="B1390" s="22">
        <v>75215.0</v>
      </c>
      <c r="C1390" s="27">
        <v>500.0</v>
      </c>
      <c r="D1390" s="134" t="s">
        <v>23</v>
      </c>
      <c r="F1390" s="22"/>
    </row>
    <row r="1391">
      <c r="A1391" s="138" t="s">
        <v>3349</v>
      </c>
      <c r="B1391" s="40">
        <v>75376.0</v>
      </c>
      <c r="C1391" s="27">
        <v>250.0</v>
      </c>
      <c r="D1391" s="134" t="s">
        <v>23</v>
      </c>
      <c r="F1391" s="40"/>
    </row>
    <row r="1392">
      <c r="A1392" s="139" t="s">
        <v>3267</v>
      </c>
      <c r="B1392" s="22">
        <v>75214.0</v>
      </c>
      <c r="C1392" s="27">
        <v>50.0</v>
      </c>
      <c r="D1392" s="134" t="s">
        <v>23</v>
      </c>
      <c r="F1392" s="22"/>
    </row>
    <row r="1393">
      <c r="A1393" s="138" t="s">
        <v>3482</v>
      </c>
      <c r="B1393" s="40">
        <v>76209.0</v>
      </c>
      <c r="C1393" s="27">
        <v>100.0</v>
      </c>
      <c r="D1393" s="134" t="s">
        <v>23</v>
      </c>
      <c r="F1393" s="40"/>
    </row>
    <row r="1394">
      <c r="A1394" s="139" t="s">
        <v>3308</v>
      </c>
      <c r="B1394" s="22">
        <v>75227.0</v>
      </c>
      <c r="C1394" s="27">
        <v>100.0</v>
      </c>
      <c r="D1394" s="134" t="s">
        <v>23</v>
      </c>
      <c r="F1394" s="22"/>
    </row>
    <row r="1395">
      <c r="A1395" s="138" t="s">
        <v>3282</v>
      </c>
      <c r="B1395" s="40">
        <v>75208.0</v>
      </c>
      <c r="C1395" s="27">
        <v>500.0</v>
      </c>
      <c r="D1395" s="134" t="s">
        <v>23</v>
      </c>
      <c r="F1395" s="40"/>
    </row>
    <row r="1396">
      <c r="A1396" s="139" t="s">
        <v>3337</v>
      </c>
      <c r="B1396" s="22">
        <v>75235.0</v>
      </c>
      <c r="C1396" s="27">
        <v>2000.0</v>
      </c>
      <c r="D1396" s="134" t="s">
        <v>29</v>
      </c>
      <c r="F1396" s="22"/>
    </row>
    <row r="1397">
      <c r="A1397" s="138" t="s">
        <v>3273</v>
      </c>
      <c r="B1397" s="40">
        <v>75205.0</v>
      </c>
      <c r="C1397" s="27">
        <v>1000.0</v>
      </c>
      <c r="D1397" s="134" t="s">
        <v>29</v>
      </c>
      <c r="F1397" s="40"/>
    </row>
    <row r="1398">
      <c r="A1398" s="139" t="s">
        <v>3483</v>
      </c>
      <c r="B1398" s="22">
        <v>77055.0</v>
      </c>
      <c r="C1398" s="27">
        <v>1000.0</v>
      </c>
      <c r="D1398" s="134" t="s">
        <v>29</v>
      </c>
      <c r="F1398" s="22"/>
    </row>
    <row r="1399">
      <c r="A1399" s="138" t="s">
        <v>3358</v>
      </c>
      <c r="B1399" s="40">
        <v>75038.0</v>
      </c>
      <c r="C1399" s="27">
        <v>1000.0</v>
      </c>
      <c r="D1399" s="134" t="s">
        <v>29</v>
      </c>
      <c r="F1399" s="40"/>
    </row>
    <row r="1400">
      <c r="A1400" s="139" t="s">
        <v>3312</v>
      </c>
      <c r="B1400" s="22">
        <v>75201.0</v>
      </c>
      <c r="C1400" s="27">
        <v>1000.0</v>
      </c>
      <c r="D1400" s="134" t="s">
        <v>29</v>
      </c>
      <c r="F1400" s="22"/>
    </row>
    <row r="1401">
      <c r="A1401" s="138" t="s">
        <v>3267</v>
      </c>
      <c r="B1401" s="40">
        <v>75214.0</v>
      </c>
      <c r="C1401" s="27">
        <v>500.0</v>
      </c>
      <c r="D1401" s="134" t="s">
        <v>29</v>
      </c>
      <c r="F1401" s="40"/>
    </row>
    <row r="1402">
      <c r="A1402" s="139" t="s">
        <v>3339</v>
      </c>
      <c r="B1402" s="22">
        <v>75215.0</v>
      </c>
      <c r="C1402" s="27">
        <v>1000.0</v>
      </c>
      <c r="D1402" s="134" t="s">
        <v>29</v>
      </c>
      <c r="F1402" s="22"/>
    </row>
    <row r="1403">
      <c r="A1403" s="138" t="s">
        <v>3275</v>
      </c>
      <c r="B1403" s="40">
        <v>75207.0</v>
      </c>
      <c r="C1403" s="27">
        <v>30.0</v>
      </c>
      <c r="D1403" s="134" t="s">
        <v>29</v>
      </c>
      <c r="F1403" s="40"/>
    </row>
    <row r="1404">
      <c r="A1404" s="139" t="s">
        <v>3318</v>
      </c>
      <c r="B1404" s="22">
        <v>75137.0</v>
      </c>
      <c r="C1404" s="27">
        <v>100.0</v>
      </c>
      <c r="D1404" s="134" t="s">
        <v>29</v>
      </c>
      <c r="F1404" s="22"/>
    </row>
    <row r="1405">
      <c r="A1405" s="138" t="s">
        <v>3433</v>
      </c>
      <c r="B1405" s="40">
        <v>75217.0</v>
      </c>
      <c r="C1405" s="27">
        <v>50.0</v>
      </c>
      <c r="D1405" s="134" t="s">
        <v>29</v>
      </c>
      <c r="F1405" s="40"/>
    </row>
    <row r="1406">
      <c r="A1406" s="139" t="s">
        <v>3278</v>
      </c>
      <c r="B1406" s="22">
        <v>75248.0</v>
      </c>
      <c r="C1406" s="27">
        <v>1000.0</v>
      </c>
      <c r="D1406" s="134" t="s">
        <v>29</v>
      </c>
      <c r="F1406" s="22"/>
    </row>
    <row r="1407">
      <c r="A1407" s="138" t="s">
        <v>3349</v>
      </c>
      <c r="B1407" s="40">
        <v>75376.0</v>
      </c>
      <c r="C1407" s="27">
        <v>250.0</v>
      </c>
      <c r="D1407" s="134" t="s">
        <v>29</v>
      </c>
      <c r="F1407" s="40"/>
    </row>
    <row r="1408">
      <c r="A1408" s="139" t="s">
        <v>3312</v>
      </c>
      <c r="B1408" s="22">
        <v>75201.0</v>
      </c>
      <c r="C1408" s="27">
        <v>1000.0</v>
      </c>
      <c r="D1408" s="134" t="s">
        <v>29</v>
      </c>
      <c r="F1408" s="22"/>
    </row>
    <row r="1409">
      <c r="A1409" s="138" t="s">
        <v>3284</v>
      </c>
      <c r="B1409" s="40">
        <v>75229.0</v>
      </c>
      <c r="C1409" s="27">
        <v>250.0</v>
      </c>
      <c r="D1409" s="134" t="s">
        <v>29</v>
      </c>
      <c r="F1409" s="40"/>
    </row>
    <row r="1410">
      <c r="A1410" s="139" t="s">
        <v>3325</v>
      </c>
      <c r="B1410" s="22">
        <v>75223.0</v>
      </c>
      <c r="C1410" s="27">
        <v>250.0</v>
      </c>
      <c r="D1410" s="134" t="s">
        <v>29</v>
      </c>
      <c r="F1410" s="22"/>
    </row>
    <row r="1411">
      <c r="A1411" s="138" t="s">
        <v>3427</v>
      </c>
      <c r="B1411" s="40">
        <v>75241.0</v>
      </c>
      <c r="C1411" s="27">
        <v>50.0</v>
      </c>
      <c r="D1411" s="134" t="s">
        <v>29</v>
      </c>
      <c r="F1411" s="40"/>
    </row>
    <row r="1412">
      <c r="A1412" s="139" t="s">
        <v>3381</v>
      </c>
      <c r="B1412" s="22">
        <v>75210.0</v>
      </c>
      <c r="C1412" s="27">
        <v>100.0</v>
      </c>
      <c r="D1412" s="134" t="s">
        <v>29</v>
      </c>
      <c r="F1412" s="22"/>
    </row>
    <row r="1413">
      <c r="A1413" s="138" t="s">
        <v>3289</v>
      </c>
      <c r="B1413" s="40">
        <v>75219.0</v>
      </c>
      <c r="C1413" s="27">
        <v>200.0</v>
      </c>
      <c r="D1413" s="134" t="s">
        <v>29</v>
      </c>
      <c r="F1413" s="40"/>
    </row>
    <row r="1414">
      <c r="A1414" s="139" t="s">
        <v>3281</v>
      </c>
      <c r="B1414" s="22">
        <v>75218.0</v>
      </c>
      <c r="C1414" s="27">
        <v>100.0</v>
      </c>
      <c r="D1414" s="134" t="s">
        <v>29</v>
      </c>
      <c r="F1414" s="22"/>
    </row>
    <row r="1415">
      <c r="A1415" s="138" t="s">
        <v>3484</v>
      </c>
      <c r="B1415" s="40">
        <v>30040.0</v>
      </c>
      <c r="C1415" s="27">
        <v>1000.0</v>
      </c>
      <c r="D1415" s="134" t="s">
        <v>29</v>
      </c>
      <c r="F1415" s="40"/>
    </row>
    <row r="1416">
      <c r="A1416" s="139" t="s">
        <v>3275</v>
      </c>
      <c r="B1416" s="22">
        <v>75207.0</v>
      </c>
      <c r="C1416" s="27">
        <v>750.0</v>
      </c>
      <c r="D1416" s="134" t="s">
        <v>29</v>
      </c>
      <c r="F1416" s="22"/>
    </row>
    <row r="1417">
      <c r="A1417" s="138" t="s">
        <v>3285</v>
      </c>
      <c r="B1417" s="40">
        <v>75204.0</v>
      </c>
      <c r="C1417" s="27">
        <v>1000.0</v>
      </c>
      <c r="D1417" s="134" t="s">
        <v>29</v>
      </c>
      <c r="F1417" s="40"/>
    </row>
    <row r="1418">
      <c r="A1418" s="139" t="s">
        <v>3294</v>
      </c>
      <c r="B1418" s="22">
        <v>75360.0</v>
      </c>
      <c r="C1418" s="27">
        <v>1000.0</v>
      </c>
      <c r="D1418" s="134" t="s">
        <v>29</v>
      </c>
      <c r="F1418" s="22"/>
    </row>
    <row r="1419">
      <c r="A1419" s="138" t="s">
        <v>3339</v>
      </c>
      <c r="B1419" s="40">
        <v>75215.0</v>
      </c>
      <c r="C1419" s="27">
        <v>500.0</v>
      </c>
      <c r="D1419" s="134" t="s">
        <v>37</v>
      </c>
      <c r="F1419" s="40"/>
    </row>
    <row r="1420">
      <c r="A1420" s="139" t="s">
        <v>3301</v>
      </c>
      <c r="B1420" s="22">
        <v>75220.0</v>
      </c>
      <c r="C1420" s="27">
        <v>2000.0</v>
      </c>
      <c r="D1420" s="134" t="s">
        <v>37</v>
      </c>
      <c r="F1420" s="22"/>
    </row>
    <row r="1421">
      <c r="A1421" s="138" t="s">
        <v>3314</v>
      </c>
      <c r="B1421" s="40">
        <v>75231.0</v>
      </c>
      <c r="C1421" s="27">
        <v>2000.0</v>
      </c>
      <c r="D1421" s="134" t="s">
        <v>37</v>
      </c>
      <c r="F1421" s="40"/>
    </row>
    <row r="1422">
      <c r="A1422" s="139" t="s">
        <v>3279</v>
      </c>
      <c r="B1422" s="22">
        <v>75225.0</v>
      </c>
      <c r="C1422" s="27">
        <v>1000.0</v>
      </c>
      <c r="D1422" s="134" t="s">
        <v>30</v>
      </c>
      <c r="F1422" s="22"/>
    </row>
    <row r="1423">
      <c r="A1423" s="138" t="s">
        <v>3266</v>
      </c>
      <c r="B1423" s="40">
        <v>75230.0</v>
      </c>
      <c r="C1423" s="27">
        <v>500.0</v>
      </c>
      <c r="D1423" s="134" t="s">
        <v>30</v>
      </c>
      <c r="F1423" s="40"/>
    </row>
    <row r="1424">
      <c r="A1424" s="139" t="s">
        <v>3485</v>
      </c>
      <c r="B1424" s="22">
        <v>75068.0</v>
      </c>
      <c r="C1424" s="27">
        <v>100.0</v>
      </c>
      <c r="D1424" s="134" t="s">
        <v>30</v>
      </c>
      <c r="F1424" s="22"/>
    </row>
    <row r="1425">
      <c r="A1425" s="138" t="s">
        <v>3301</v>
      </c>
      <c r="B1425" s="40">
        <v>75220.0</v>
      </c>
      <c r="C1425" s="27">
        <v>250.0</v>
      </c>
      <c r="D1425" s="134" t="s">
        <v>30</v>
      </c>
      <c r="F1425" s="40"/>
    </row>
    <row r="1426">
      <c r="A1426" s="139" t="s">
        <v>3340</v>
      </c>
      <c r="B1426" s="22">
        <v>75244.0</v>
      </c>
      <c r="C1426" s="27">
        <v>500.0</v>
      </c>
      <c r="D1426" s="134" t="s">
        <v>30</v>
      </c>
      <c r="F1426" s="22"/>
    </row>
    <row r="1427">
      <c r="A1427" s="138" t="s">
        <v>3284</v>
      </c>
      <c r="B1427" s="40">
        <v>75229.0</v>
      </c>
      <c r="C1427" s="27">
        <v>500.0</v>
      </c>
      <c r="D1427" s="134" t="s">
        <v>30</v>
      </c>
      <c r="F1427" s="40"/>
    </row>
    <row r="1428">
      <c r="A1428" s="139" t="s">
        <v>3266</v>
      </c>
      <c r="B1428" s="22">
        <v>75230.0</v>
      </c>
      <c r="C1428" s="27">
        <v>200.0</v>
      </c>
      <c r="D1428" s="134" t="s">
        <v>30</v>
      </c>
      <c r="F1428" s="22"/>
    </row>
    <row r="1429">
      <c r="A1429" s="138" t="s">
        <v>3340</v>
      </c>
      <c r="B1429" s="40">
        <v>75244.0</v>
      </c>
      <c r="C1429" s="27">
        <v>100.0</v>
      </c>
      <c r="D1429" s="134" t="s">
        <v>30</v>
      </c>
      <c r="F1429" s="40"/>
    </row>
    <row r="1430">
      <c r="A1430" s="139" t="s">
        <v>3284</v>
      </c>
      <c r="B1430" s="22">
        <v>75229.0</v>
      </c>
      <c r="C1430" s="27">
        <v>100.0</v>
      </c>
      <c r="D1430" s="134" t="s">
        <v>30</v>
      </c>
      <c r="F1430" s="22"/>
    </row>
    <row r="1431">
      <c r="A1431" s="138" t="s">
        <v>3314</v>
      </c>
      <c r="B1431" s="40">
        <v>75231.0</v>
      </c>
      <c r="C1431" s="27">
        <v>10.0</v>
      </c>
      <c r="D1431" s="134" t="s">
        <v>30</v>
      </c>
      <c r="F1431" s="40"/>
    </row>
    <row r="1432">
      <c r="A1432" s="139" t="s">
        <v>3285</v>
      </c>
      <c r="B1432" s="22">
        <v>75204.0</v>
      </c>
      <c r="C1432" s="27">
        <v>50.0</v>
      </c>
      <c r="D1432" s="134" t="s">
        <v>30</v>
      </c>
      <c r="F1432" s="22"/>
    </row>
    <row r="1433">
      <c r="A1433" s="138" t="s">
        <v>3314</v>
      </c>
      <c r="B1433" s="40">
        <v>75231.0</v>
      </c>
      <c r="C1433" s="27">
        <v>50.0</v>
      </c>
      <c r="D1433" s="134" t="s">
        <v>30</v>
      </c>
      <c r="F1433" s="40"/>
    </row>
    <row r="1434">
      <c r="A1434" s="139" t="s">
        <v>3266</v>
      </c>
      <c r="B1434" s="22">
        <v>75230.0</v>
      </c>
      <c r="C1434" s="27">
        <v>300.0</v>
      </c>
      <c r="D1434" s="134" t="s">
        <v>30</v>
      </c>
      <c r="F1434" s="22"/>
    </row>
    <row r="1435">
      <c r="A1435" s="138" t="s">
        <v>3273</v>
      </c>
      <c r="B1435" s="40">
        <v>75205.0</v>
      </c>
      <c r="C1435" s="27">
        <v>1000.0</v>
      </c>
      <c r="D1435" s="134" t="s">
        <v>30</v>
      </c>
      <c r="F1435" s="40"/>
    </row>
    <row r="1436">
      <c r="A1436" s="139" t="s">
        <v>3486</v>
      </c>
      <c r="B1436" s="22">
        <v>75234.0</v>
      </c>
      <c r="C1436" s="27">
        <v>25.0</v>
      </c>
      <c r="D1436" s="134" t="s">
        <v>30</v>
      </c>
      <c r="F1436" s="22"/>
    </row>
    <row r="1437">
      <c r="A1437" s="138" t="s">
        <v>3279</v>
      </c>
      <c r="B1437" s="40">
        <v>75225.0</v>
      </c>
      <c r="C1437" s="27">
        <v>500.0</v>
      </c>
      <c r="D1437" s="134" t="s">
        <v>30</v>
      </c>
      <c r="F1437" s="40"/>
    </row>
    <row r="1438">
      <c r="A1438" s="139" t="s">
        <v>3272</v>
      </c>
      <c r="B1438" s="22">
        <v>75238.0</v>
      </c>
      <c r="C1438" s="27">
        <v>250.0</v>
      </c>
      <c r="D1438" s="134" t="s">
        <v>30</v>
      </c>
      <c r="F1438" s="22"/>
    </row>
    <row r="1439">
      <c r="A1439" s="138" t="s">
        <v>3455</v>
      </c>
      <c r="B1439" s="40">
        <v>75246.0</v>
      </c>
      <c r="C1439" s="27">
        <v>250.0</v>
      </c>
      <c r="D1439" s="134" t="s">
        <v>30</v>
      </c>
      <c r="F1439" s="40"/>
    </row>
    <row r="1440">
      <c r="A1440" s="139" t="s">
        <v>3340</v>
      </c>
      <c r="B1440" s="22">
        <v>75244.0</v>
      </c>
      <c r="C1440" s="27">
        <v>100.0</v>
      </c>
      <c r="D1440" s="134" t="s">
        <v>30</v>
      </c>
      <c r="F1440" s="22"/>
    </row>
    <row r="1441">
      <c r="A1441" s="138" t="s">
        <v>3279</v>
      </c>
      <c r="B1441" s="40">
        <v>75225.0</v>
      </c>
      <c r="C1441" s="27">
        <v>100.0</v>
      </c>
      <c r="D1441" s="134" t="s">
        <v>30</v>
      </c>
      <c r="F1441" s="40"/>
    </row>
    <row r="1442">
      <c r="A1442" s="139" t="s">
        <v>3301</v>
      </c>
      <c r="B1442" s="22">
        <v>75220.0</v>
      </c>
      <c r="C1442" s="27">
        <v>1000.0</v>
      </c>
      <c r="D1442" s="134" t="s">
        <v>30</v>
      </c>
      <c r="F1442" s="22"/>
    </row>
    <row r="1443">
      <c r="A1443" s="138" t="s">
        <v>3266</v>
      </c>
      <c r="B1443" s="40">
        <v>75230.0</v>
      </c>
      <c r="C1443" s="27">
        <v>100.0</v>
      </c>
      <c r="D1443" s="134" t="s">
        <v>30</v>
      </c>
      <c r="F1443" s="40"/>
    </row>
    <row r="1444">
      <c r="A1444" s="139" t="s">
        <v>3301</v>
      </c>
      <c r="B1444" s="22">
        <v>75220.0</v>
      </c>
      <c r="C1444" s="27">
        <v>1000.0</v>
      </c>
      <c r="D1444" s="134" t="s">
        <v>30</v>
      </c>
      <c r="F1444" s="22"/>
    </row>
    <row r="1445">
      <c r="A1445" s="138" t="s">
        <v>3301</v>
      </c>
      <c r="B1445" s="40">
        <v>75220.0</v>
      </c>
      <c r="C1445" s="27">
        <v>350.0</v>
      </c>
      <c r="D1445" s="134" t="s">
        <v>30</v>
      </c>
      <c r="F1445" s="40"/>
    </row>
    <row r="1446">
      <c r="A1446" s="139" t="s">
        <v>3383</v>
      </c>
      <c r="B1446" s="22">
        <v>75038.0</v>
      </c>
      <c r="C1446" s="27">
        <v>100.0</v>
      </c>
      <c r="D1446" s="134" t="s">
        <v>30</v>
      </c>
      <c r="F1446" s="22"/>
    </row>
    <row r="1447">
      <c r="A1447" s="138" t="s">
        <v>3321</v>
      </c>
      <c r="B1447" s="40">
        <v>75209.0</v>
      </c>
      <c r="C1447" s="27">
        <v>1000.0</v>
      </c>
      <c r="D1447" s="134" t="s">
        <v>30</v>
      </c>
      <c r="F1447" s="40"/>
    </row>
    <row r="1448">
      <c r="A1448" s="139" t="s">
        <v>3321</v>
      </c>
      <c r="B1448" s="22">
        <v>75209.0</v>
      </c>
      <c r="C1448" s="27">
        <v>300.0</v>
      </c>
      <c r="D1448" s="134" t="s">
        <v>30</v>
      </c>
      <c r="F1448" s="22"/>
    </row>
    <row r="1449">
      <c r="A1449" s="138" t="s">
        <v>3301</v>
      </c>
      <c r="B1449" s="40">
        <v>75220.0</v>
      </c>
      <c r="C1449" s="27">
        <v>150.0</v>
      </c>
      <c r="D1449" s="134" t="s">
        <v>30</v>
      </c>
      <c r="F1449" s="40"/>
    </row>
    <row r="1450">
      <c r="A1450" s="139" t="s">
        <v>3284</v>
      </c>
      <c r="B1450" s="22">
        <v>75229.0</v>
      </c>
      <c r="C1450" s="27">
        <v>50.0</v>
      </c>
      <c r="D1450" s="134" t="s">
        <v>30</v>
      </c>
      <c r="F1450" s="22"/>
    </row>
    <row r="1451">
      <c r="A1451" s="138" t="s">
        <v>3285</v>
      </c>
      <c r="B1451" s="40">
        <v>75204.0</v>
      </c>
      <c r="C1451" s="27">
        <v>100.0</v>
      </c>
      <c r="D1451" s="134" t="s">
        <v>30</v>
      </c>
      <c r="F1451" s="40"/>
    </row>
    <row r="1452">
      <c r="A1452" s="139" t="s">
        <v>3289</v>
      </c>
      <c r="B1452" s="22">
        <v>75219.0</v>
      </c>
      <c r="C1452" s="27">
        <v>500.0</v>
      </c>
      <c r="D1452" s="134" t="s">
        <v>30</v>
      </c>
      <c r="F1452" s="22"/>
    </row>
    <row r="1453">
      <c r="A1453" s="138" t="s">
        <v>3284</v>
      </c>
      <c r="B1453" s="40">
        <v>75229.0</v>
      </c>
      <c r="C1453" s="27">
        <v>1000.0</v>
      </c>
      <c r="D1453" s="134" t="s">
        <v>30</v>
      </c>
      <c r="F1453" s="40"/>
    </row>
    <row r="1454">
      <c r="A1454" s="139" t="s">
        <v>3487</v>
      </c>
      <c r="B1454" s="22">
        <v>75219.0</v>
      </c>
      <c r="C1454" s="27">
        <v>1000.0</v>
      </c>
      <c r="D1454" s="134" t="s">
        <v>30</v>
      </c>
      <c r="F1454" s="22"/>
    </row>
    <row r="1455">
      <c r="A1455" s="138" t="s">
        <v>3273</v>
      </c>
      <c r="B1455" s="40">
        <v>75205.0</v>
      </c>
      <c r="C1455" s="27">
        <v>1000.0</v>
      </c>
      <c r="D1455" s="134" t="s">
        <v>30</v>
      </c>
      <c r="F1455" s="40"/>
    </row>
    <row r="1456">
      <c r="A1456" s="139" t="s">
        <v>3488</v>
      </c>
      <c r="B1456" s="22">
        <v>77024.0</v>
      </c>
      <c r="C1456" s="27">
        <v>1000.0</v>
      </c>
      <c r="D1456" s="134" t="s">
        <v>30</v>
      </c>
      <c r="F1456" s="22"/>
    </row>
    <row r="1457">
      <c r="A1457" s="138" t="s">
        <v>3284</v>
      </c>
      <c r="B1457" s="40">
        <v>75229.0</v>
      </c>
      <c r="C1457" s="27">
        <v>100.0</v>
      </c>
      <c r="D1457" s="134" t="s">
        <v>30</v>
      </c>
      <c r="F1457" s="40"/>
    </row>
    <row r="1458">
      <c r="A1458" s="139" t="s">
        <v>3284</v>
      </c>
      <c r="B1458" s="22">
        <v>75229.0</v>
      </c>
      <c r="C1458" s="27">
        <v>100.0</v>
      </c>
      <c r="D1458" s="134" t="s">
        <v>30</v>
      </c>
      <c r="F1458" s="22"/>
    </row>
    <row r="1459">
      <c r="A1459" s="138" t="s">
        <v>3478</v>
      </c>
      <c r="B1459" s="40">
        <v>75044.0</v>
      </c>
      <c r="C1459" s="27">
        <v>1000.0</v>
      </c>
      <c r="D1459" s="134" t="s">
        <v>30</v>
      </c>
      <c r="F1459" s="40"/>
    </row>
    <row r="1460">
      <c r="A1460" s="139" t="s">
        <v>3489</v>
      </c>
      <c r="B1460" s="22">
        <v>75092.0</v>
      </c>
      <c r="C1460" s="27">
        <v>100.0</v>
      </c>
      <c r="D1460" s="134" t="s">
        <v>30</v>
      </c>
      <c r="F1460" s="22"/>
    </row>
    <row r="1461">
      <c r="A1461" s="138" t="s">
        <v>3284</v>
      </c>
      <c r="B1461" s="40">
        <v>75229.0</v>
      </c>
      <c r="C1461" s="27">
        <v>100.0</v>
      </c>
      <c r="D1461" s="134" t="s">
        <v>30</v>
      </c>
      <c r="F1461" s="40"/>
    </row>
    <row r="1462">
      <c r="A1462" s="139" t="s">
        <v>3384</v>
      </c>
      <c r="B1462" s="22">
        <v>78760.0</v>
      </c>
      <c r="C1462" s="27">
        <v>1000.0</v>
      </c>
      <c r="D1462" s="134" t="s">
        <v>30</v>
      </c>
      <c r="F1462" s="22"/>
    </row>
    <row r="1463">
      <c r="A1463" s="138" t="s">
        <v>3490</v>
      </c>
      <c r="B1463" s="40">
        <v>75235.0</v>
      </c>
      <c r="C1463" s="27">
        <v>1000.0</v>
      </c>
      <c r="D1463" s="134" t="s">
        <v>30</v>
      </c>
      <c r="F1463" s="40"/>
    </row>
    <row r="1464">
      <c r="A1464" s="139" t="s">
        <v>3282</v>
      </c>
      <c r="B1464" s="22">
        <v>75208.0</v>
      </c>
      <c r="C1464" s="27">
        <v>950.0</v>
      </c>
      <c r="D1464" s="134" t="s">
        <v>38</v>
      </c>
      <c r="F1464" s="22"/>
    </row>
    <row r="1465">
      <c r="A1465" s="138" t="s">
        <v>3282</v>
      </c>
      <c r="B1465" s="40">
        <v>75208.0</v>
      </c>
      <c r="C1465" s="27">
        <v>500.0</v>
      </c>
      <c r="D1465" s="134" t="s">
        <v>38</v>
      </c>
      <c r="F1465" s="40"/>
    </row>
    <row r="1466">
      <c r="A1466" s="139" t="s">
        <v>3387</v>
      </c>
      <c r="B1466" s="22">
        <v>75216.0</v>
      </c>
      <c r="C1466" s="27">
        <v>100.0</v>
      </c>
      <c r="D1466" s="134" t="s">
        <v>38</v>
      </c>
      <c r="F1466" s="22"/>
    </row>
    <row r="1467">
      <c r="A1467" s="138" t="s">
        <v>3309</v>
      </c>
      <c r="B1467" s="40">
        <v>76065.0</v>
      </c>
      <c r="C1467" s="27">
        <v>50.0</v>
      </c>
      <c r="D1467" s="134" t="s">
        <v>38</v>
      </c>
      <c r="F1467" s="40"/>
    </row>
    <row r="1468">
      <c r="A1468" s="139" t="s">
        <v>3312</v>
      </c>
      <c r="B1468" s="22">
        <v>75201.0</v>
      </c>
      <c r="C1468" s="27">
        <v>1000.0</v>
      </c>
      <c r="D1468" s="134" t="s">
        <v>33</v>
      </c>
      <c r="F1468" s="22"/>
    </row>
    <row r="1469">
      <c r="A1469" s="138" t="s">
        <v>3294</v>
      </c>
      <c r="B1469" s="40">
        <v>75360.0</v>
      </c>
      <c r="C1469" s="27">
        <v>1000.0</v>
      </c>
      <c r="D1469" s="134" t="s">
        <v>33</v>
      </c>
      <c r="F1469" s="40"/>
    </row>
    <row r="1470">
      <c r="A1470" s="139" t="s">
        <v>3293</v>
      </c>
      <c r="B1470" s="22">
        <v>77073.0</v>
      </c>
      <c r="C1470" s="27">
        <v>1000.0</v>
      </c>
      <c r="D1470" s="134" t="s">
        <v>33</v>
      </c>
      <c r="F1470" s="22"/>
    </row>
    <row r="1471">
      <c r="A1471" s="138" t="s">
        <v>3282</v>
      </c>
      <c r="B1471" s="40">
        <v>75208.0</v>
      </c>
      <c r="C1471" s="27">
        <v>50.0</v>
      </c>
      <c r="D1471" s="134" t="s">
        <v>21</v>
      </c>
      <c r="F1471" s="40"/>
    </row>
    <row r="1472">
      <c r="A1472" s="139" t="s">
        <v>3282</v>
      </c>
      <c r="B1472" s="22">
        <v>75208.0</v>
      </c>
      <c r="C1472" s="27">
        <v>50.0</v>
      </c>
      <c r="D1472" s="134" t="s">
        <v>21</v>
      </c>
      <c r="F1472" s="22"/>
    </row>
    <row r="1473">
      <c r="A1473" s="138" t="s">
        <v>3282</v>
      </c>
      <c r="B1473" s="40">
        <v>75208.0</v>
      </c>
      <c r="C1473" s="27">
        <v>100.0</v>
      </c>
      <c r="D1473" s="134" t="s">
        <v>21</v>
      </c>
      <c r="F1473" s="40"/>
    </row>
    <row r="1474">
      <c r="A1474" s="139" t="s">
        <v>3266</v>
      </c>
      <c r="B1474" s="22">
        <v>75230.0</v>
      </c>
      <c r="C1474" s="27">
        <v>250.0</v>
      </c>
      <c r="D1474" s="134" t="s">
        <v>21</v>
      </c>
      <c r="F1474" s="22"/>
    </row>
    <row r="1475">
      <c r="A1475" s="138" t="s">
        <v>3389</v>
      </c>
      <c r="B1475" s="40">
        <v>75234.0</v>
      </c>
      <c r="C1475" s="27">
        <v>1000.0</v>
      </c>
      <c r="D1475" s="134" t="s">
        <v>21</v>
      </c>
      <c r="F1475" s="40"/>
    </row>
    <row r="1476">
      <c r="A1476" s="139" t="s">
        <v>3491</v>
      </c>
      <c r="B1476" s="22">
        <v>76110.0</v>
      </c>
      <c r="C1476" s="27">
        <v>474.7</v>
      </c>
      <c r="D1476" s="134" t="s">
        <v>21</v>
      </c>
      <c r="F1476" s="22"/>
    </row>
    <row r="1477">
      <c r="A1477" s="138" t="s">
        <v>3325</v>
      </c>
      <c r="B1477" s="40">
        <v>75223.0</v>
      </c>
      <c r="C1477" s="27">
        <v>100.0</v>
      </c>
      <c r="D1477" s="134" t="s">
        <v>21</v>
      </c>
      <c r="F1477" s="40"/>
    </row>
    <row r="1478">
      <c r="A1478" s="139" t="s">
        <v>3339</v>
      </c>
      <c r="B1478" s="22">
        <v>75215.0</v>
      </c>
      <c r="C1478" s="27">
        <v>250.0</v>
      </c>
      <c r="D1478" s="134" t="s">
        <v>21</v>
      </c>
      <c r="F1478" s="22"/>
    </row>
    <row r="1479">
      <c r="A1479" s="138" t="s">
        <v>3289</v>
      </c>
      <c r="B1479" s="40">
        <v>75219.0</v>
      </c>
      <c r="C1479" s="27">
        <v>500.0</v>
      </c>
      <c r="D1479" s="134" t="s">
        <v>21</v>
      </c>
      <c r="F1479" s="40"/>
    </row>
    <row r="1480">
      <c r="A1480" s="139" t="s">
        <v>3289</v>
      </c>
      <c r="B1480" s="22">
        <v>75219.0</v>
      </c>
      <c r="C1480" s="27">
        <v>250.0</v>
      </c>
      <c r="D1480" s="134" t="s">
        <v>21</v>
      </c>
      <c r="F1480" s="22"/>
    </row>
    <row r="1481">
      <c r="A1481" s="138" t="s">
        <v>3329</v>
      </c>
      <c r="B1481" s="40">
        <v>78703.0</v>
      </c>
      <c r="C1481" s="27">
        <v>500.0</v>
      </c>
      <c r="D1481" s="134" t="s">
        <v>21</v>
      </c>
      <c r="F1481" s="40"/>
    </row>
    <row r="1482">
      <c r="A1482" s="139" t="s">
        <v>3340</v>
      </c>
      <c r="B1482" s="22">
        <v>75244.0</v>
      </c>
      <c r="C1482" s="27">
        <v>1000.0</v>
      </c>
      <c r="D1482" s="134" t="s">
        <v>21</v>
      </c>
      <c r="F1482" s="22"/>
    </row>
    <row r="1483">
      <c r="A1483" s="138" t="s">
        <v>3300</v>
      </c>
      <c r="B1483" s="40">
        <v>75228.0</v>
      </c>
      <c r="C1483" s="27">
        <v>1000.0</v>
      </c>
      <c r="D1483" s="134" t="s">
        <v>21</v>
      </c>
      <c r="F1483" s="40"/>
    </row>
    <row r="1484">
      <c r="A1484" s="139" t="s">
        <v>3275</v>
      </c>
      <c r="B1484" s="22">
        <v>75207.0</v>
      </c>
      <c r="C1484" s="27">
        <v>500.0</v>
      </c>
      <c r="D1484" s="134" t="s">
        <v>21</v>
      </c>
      <c r="F1484" s="22"/>
    </row>
    <row r="1485">
      <c r="A1485" s="138" t="s">
        <v>3282</v>
      </c>
      <c r="B1485" s="40">
        <v>75208.0</v>
      </c>
      <c r="C1485" s="27">
        <v>100.0</v>
      </c>
      <c r="D1485" s="134" t="s">
        <v>21</v>
      </c>
      <c r="F1485" s="40"/>
    </row>
    <row r="1486">
      <c r="A1486" s="139" t="s">
        <v>3266</v>
      </c>
      <c r="B1486" s="22">
        <v>75230.0</v>
      </c>
      <c r="C1486" s="27">
        <v>1000.0</v>
      </c>
      <c r="D1486" s="134" t="s">
        <v>21</v>
      </c>
      <c r="F1486" s="22"/>
    </row>
    <row r="1487">
      <c r="A1487" s="138" t="s">
        <v>3312</v>
      </c>
      <c r="B1487" s="40">
        <v>75201.0</v>
      </c>
      <c r="C1487" s="27">
        <v>500.0</v>
      </c>
      <c r="D1487" s="134" t="s">
        <v>21</v>
      </c>
      <c r="F1487" s="40"/>
    </row>
    <row r="1488">
      <c r="A1488" s="139" t="s">
        <v>3282</v>
      </c>
      <c r="B1488" s="22">
        <v>75208.0</v>
      </c>
      <c r="C1488" s="27">
        <v>1000.0</v>
      </c>
      <c r="D1488" s="134" t="s">
        <v>21</v>
      </c>
      <c r="F1488" s="22"/>
    </row>
    <row r="1489">
      <c r="A1489" s="138" t="s">
        <v>3312</v>
      </c>
      <c r="B1489" s="40">
        <v>75201.0</v>
      </c>
      <c r="C1489" s="27">
        <v>250.0</v>
      </c>
      <c r="D1489" s="134" t="s">
        <v>21</v>
      </c>
      <c r="F1489" s="40"/>
    </row>
    <row r="1490">
      <c r="A1490" s="139" t="s">
        <v>3270</v>
      </c>
      <c r="B1490" s="22">
        <v>75206.0</v>
      </c>
      <c r="C1490" s="27">
        <v>250.0</v>
      </c>
      <c r="D1490" s="134" t="s">
        <v>21</v>
      </c>
      <c r="F1490" s="22"/>
    </row>
    <row r="1491">
      <c r="A1491" s="138" t="s">
        <v>3282</v>
      </c>
      <c r="B1491" s="40">
        <v>75208.0</v>
      </c>
      <c r="C1491" s="27">
        <v>100.0</v>
      </c>
      <c r="D1491" s="134" t="s">
        <v>21</v>
      </c>
      <c r="F1491" s="40"/>
    </row>
    <row r="1492">
      <c r="A1492" s="139" t="s">
        <v>3492</v>
      </c>
      <c r="B1492" s="22">
        <v>32205.0</v>
      </c>
      <c r="C1492" s="27">
        <v>250.0</v>
      </c>
      <c r="D1492" s="134" t="s">
        <v>21</v>
      </c>
      <c r="F1492" s="22"/>
    </row>
    <row r="1493">
      <c r="A1493" s="138" t="s">
        <v>3493</v>
      </c>
      <c r="B1493" s="40">
        <v>76104.0</v>
      </c>
      <c r="C1493" s="27">
        <v>1000.0</v>
      </c>
      <c r="D1493" s="134" t="s">
        <v>21</v>
      </c>
      <c r="F1493" s="40"/>
    </row>
    <row r="1494">
      <c r="A1494" s="139" t="s">
        <v>3330</v>
      </c>
      <c r="B1494" s="22">
        <v>75211.0</v>
      </c>
      <c r="C1494" s="27">
        <v>250.0</v>
      </c>
      <c r="D1494" s="134" t="s">
        <v>21</v>
      </c>
      <c r="F1494" s="22"/>
    </row>
    <row r="1495">
      <c r="A1495" s="138" t="s">
        <v>3312</v>
      </c>
      <c r="B1495" s="40">
        <v>75201.0</v>
      </c>
      <c r="C1495" s="27">
        <v>1000.0</v>
      </c>
      <c r="D1495" s="134" t="s">
        <v>21</v>
      </c>
      <c r="F1495" s="40"/>
    </row>
    <row r="1496">
      <c r="A1496" s="139" t="s">
        <v>3312</v>
      </c>
      <c r="B1496" s="22">
        <v>75201.0</v>
      </c>
      <c r="C1496" s="27">
        <v>474.7</v>
      </c>
      <c r="D1496" s="134" t="s">
        <v>21</v>
      </c>
      <c r="F1496" s="22"/>
    </row>
    <row r="1497">
      <c r="A1497" s="138" t="s">
        <v>3282</v>
      </c>
      <c r="B1497" s="40">
        <v>75208.0</v>
      </c>
      <c r="C1497" s="27">
        <v>250.0</v>
      </c>
      <c r="D1497" s="134" t="s">
        <v>21</v>
      </c>
      <c r="F1497" s="40"/>
    </row>
    <row r="1498">
      <c r="A1498" s="139" t="s">
        <v>3282</v>
      </c>
      <c r="B1498" s="22">
        <v>75208.0</v>
      </c>
      <c r="C1498" s="27">
        <v>100.0</v>
      </c>
      <c r="D1498" s="134" t="s">
        <v>21</v>
      </c>
      <c r="F1498" s="22"/>
    </row>
    <row r="1499">
      <c r="A1499" s="138" t="s">
        <v>3312</v>
      </c>
      <c r="B1499" s="40">
        <v>75201.0</v>
      </c>
      <c r="C1499" s="27">
        <v>1000.0</v>
      </c>
      <c r="D1499" s="134" t="s">
        <v>21</v>
      </c>
      <c r="F1499" s="40"/>
    </row>
    <row r="1500">
      <c r="A1500" s="139" t="s">
        <v>3342</v>
      </c>
      <c r="B1500" s="22">
        <v>75093.0</v>
      </c>
      <c r="C1500" s="27">
        <v>1000.0</v>
      </c>
      <c r="D1500" s="134" t="s">
        <v>21</v>
      </c>
      <c r="F1500" s="22"/>
    </row>
    <row r="1501">
      <c r="A1501" s="138" t="s">
        <v>3278</v>
      </c>
      <c r="B1501" s="40">
        <v>75248.0</v>
      </c>
      <c r="C1501" s="27">
        <v>250.0</v>
      </c>
      <c r="D1501" s="134" t="s">
        <v>21</v>
      </c>
      <c r="F1501" s="40"/>
    </row>
    <row r="1502">
      <c r="A1502" s="139" t="s">
        <v>3326</v>
      </c>
      <c r="B1502" s="22">
        <v>75224.0</v>
      </c>
      <c r="C1502" s="27">
        <v>100.0</v>
      </c>
      <c r="D1502" s="134" t="s">
        <v>21</v>
      </c>
      <c r="F1502" s="22"/>
    </row>
    <row r="1503">
      <c r="A1503" s="138" t="s">
        <v>3336</v>
      </c>
      <c r="B1503" s="40">
        <v>76063.0</v>
      </c>
      <c r="C1503" s="27">
        <v>500.0</v>
      </c>
      <c r="D1503" s="134" t="s">
        <v>21</v>
      </c>
      <c r="F1503" s="40"/>
    </row>
    <row r="1504">
      <c r="A1504" s="139" t="s">
        <v>3282</v>
      </c>
      <c r="B1504" s="22">
        <v>75208.0</v>
      </c>
      <c r="C1504" s="27">
        <v>100.0</v>
      </c>
      <c r="D1504" s="134" t="s">
        <v>21</v>
      </c>
      <c r="F1504" s="22"/>
    </row>
    <row r="1505">
      <c r="A1505" s="138" t="s">
        <v>3443</v>
      </c>
      <c r="B1505" s="40">
        <v>75115.0</v>
      </c>
      <c r="C1505" s="27">
        <v>1000.0</v>
      </c>
      <c r="D1505" s="134" t="s">
        <v>21</v>
      </c>
      <c r="F1505" s="40"/>
    </row>
    <row r="1506">
      <c r="A1506" s="139" t="s">
        <v>3334</v>
      </c>
      <c r="B1506" s="22">
        <v>75702.0</v>
      </c>
      <c r="C1506" s="27">
        <v>94.7</v>
      </c>
      <c r="D1506" s="134" t="s">
        <v>21</v>
      </c>
      <c r="F1506" s="22"/>
    </row>
    <row r="1507">
      <c r="A1507" s="138" t="s">
        <v>3282</v>
      </c>
      <c r="B1507" s="40">
        <v>75208.0</v>
      </c>
      <c r="C1507" s="27">
        <v>250.0</v>
      </c>
      <c r="D1507" s="134" t="s">
        <v>21</v>
      </c>
      <c r="F1507" s="40"/>
    </row>
    <row r="1508">
      <c r="A1508" s="139" t="s">
        <v>3494</v>
      </c>
      <c r="B1508" s="22">
        <v>75061.0</v>
      </c>
      <c r="C1508" s="27">
        <v>500.0</v>
      </c>
      <c r="D1508" s="134" t="s">
        <v>21</v>
      </c>
      <c r="F1508" s="22"/>
    </row>
    <row r="1509">
      <c r="A1509" s="138" t="s">
        <v>3278</v>
      </c>
      <c r="B1509" s="40">
        <v>75248.0</v>
      </c>
      <c r="C1509" s="27">
        <v>250.0</v>
      </c>
      <c r="D1509" s="134" t="s">
        <v>21</v>
      </c>
      <c r="F1509" s="40"/>
    </row>
    <row r="1510">
      <c r="A1510" s="139" t="s">
        <v>3384</v>
      </c>
      <c r="B1510" s="22">
        <v>78760.0</v>
      </c>
      <c r="C1510" s="27">
        <v>1000.0</v>
      </c>
      <c r="D1510" s="134" t="s">
        <v>21</v>
      </c>
      <c r="F1510" s="22"/>
    </row>
    <row r="1511">
      <c r="A1511" s="138" t="s">
        <v>3284</v>
      </c>
      <c r="B1511" s="40">
        <v>75229.0</v>
      </c>
      <c r="C1511" s="27">
        <v>500.0</v>
      </c>
      <c r="D1511" s="134" t="s">
        <v>21</v>
      </c>
      <c r="F1511" s="40"/>
    </row>
    <row r="1512">
      <c r="A1512" s="139" t="s">
        <v>3326</v>
      </c>
      <c r="B1512" s="22">
        <v>75224.0</v>
      </c>
      <c r="C1512" s="27">
        <v>250.0</v>
      </c>
      <c r="D1512" s="134" t="s">
        <v>21</v>
      </c>
      <c r="F1512" s="22"/>
    </row>
    <row r="1513">
      <c r="A1513" s="138" t="s">
        <v>3342</v>
      </c>
      <c r="B1513" s="40">
        <v>75093.0</v>
      </c>
      <c r="C1513" s="27">
        <v>200.0</v>
      </c>
      <c r="D1513" s="134" t="s">
        <v>21</v>
      </c>
      <c r="F1513" s="40"/>
    </row>
    <row r="1514">
      <c r="A1514" s="139" t="s">
        <v>3495</v>
      </c>
      <c r="B1514" s="22">
        <v>76501.0</v>
      </c>
      <c r="C1514" s="27">
        <v>1000.0</v>
      </c>
      <c r="D1514" s="134" t="s">
        <v>21</v>
      </c>
      <c r="F1514" s="22"/>
    </row>
    <row r="1515">
      <c r="A1515" s="138" t="s">
        <v>3309</v>
      </c>
      <c r="B1515" s="40">
        <v>76065.0</v>
      </c>
      <c r="C1515" s="27">
        <v>500.0</v>
      </c>
      <c r="D1515" s="134" t="s">
        <v>21</v>
      </c>
      <c r="F1515" s="40"/>
    </row>
    <row r="1516">
      <c r="A1516" s="139" t="s">
        <v>3300</v>
      </c>
      <c r="B1516" s="22">
        <v>75228.0</v>
      </c>
      <c r="C1516" s="27">
        <v>50.0</v>
      </c>
      <c r="D1516" s="134" t="s">
        <v>21</v>
      </c>
      <c r="F1516" s="22"/>
    </row>
    <row r="1517">
      <c r="A1517" s="138" t="s">
        <v>3282</v>
      </c>
      <c r="B1517" s="40">
        <v>75208.0</v>
      </c>
      <c r="C1517" s="27">
        <v>100.0</v>
      </c>
      <c r="D1517" s="134" t="s">
        <v>21</v>
      </c>
      <c r="F1517" s="40"/>
    </row>
    <row r="1518">
      <c r="A1518" s="139" t="s">
        <v>3273</v>
      </c>
      <c r="B1518" s="22">
        <v>75205.0</v>
      </c>
      <c r="C1518" s="27">
        <v>1000.0</v>
      </c>
      <c r="D1518" s="134" t="s">
        <v>21</v>
      </c>
      <c r="F1518" s="22"/>
    </row>
    <row r="1519">
      <c r="A1519" s="138" t="s">
        <v>3273</v>
      </c>
      <c r="B1519" s="40">
        <v>75205.0</v>
      </c>
      <c r="C1519" s="27">
        <v>1000.0</v>
      </c>
      <c r="D1519" s="134" t="s">
        <v>21</v>
      </c>
      <c r="F1519" s="40"/>
    </row>
    <row r="1520">
      <c r="A1520" s="139" t="s">
        <v>3307</v>
      </c>
      <c r="B1520" s="22">
        <v>11733.0</v>
      </c>
      <c r="C1520" s="27">
        <v>25.0</v>
      </c>
      <c r="D1520" s="134" t="s">
        <v>21</v>
      </c>
      <c r="F1520" s="22"/>
    </row>
    <row r="1521">
      <c r="A1521" s="138" t="s">
        <v>3301</v>
      </c>
      <c r="B1521" s="40">
        <v>75220.0</v>
      </c>
      <c r="C1521" s="27">
        <v>142.2</v>
      </c>
      <c r="D1521" s="134" t="s">
        <v>21</v>
      </c>
      <c r="F1521" s="40"/>
    </row>
    <row r="1522">
      <c r="A1522" s="139" t="s">
        <v>3496</v>
      </c>
      <c r="B1522" s="22">
        <v>75089.0</v>
      </c>
      <c r="C1522" s="27">
        <v>50.0</v>
      </c>
      <c r="D1522" s="134" t="s">
        <v>21</v>
      </c>
      <c r="F1522" s="22"/>
    </row>
    <row r="1523">
      <c r="A1523" s="138" t="s">
        <v>3266</v>
      </c>
      <c r="B1523" s="40">
        <v>75230.0</v>
      </c>
      <c r="C1523" s="27">
        <v>500.0</v>
      </c>
      <c r="D1523" s="134" t="s">
        <v>21</v>
      </c>
      <c r="F1523" s="40"/>
    </row>
    <row r="1524">
      <c r="A1524" s="139" t="s">
        <v>3321</v>
      </c>
      <c r="B1524" s="22">
        <v>75209.0</v>
      </c>
      <c r="C1524" s="27">
        <v>100.0</v>
      </c>
      <c r="D1524" s="134" t="s">
        <v>21</v>
      </c>
      <c r="F1524" s="22"/>
    </row>
    <row r="1525">
      <c r="A1525" s="138" t="s">
        <v>3282</v>
      </c>
      <c r="B1525" s="40">
        <v>75208.0</v>
      </c>
      <c r="C1525" s="27">
        <v>100.0</v>
      </c>
      <c r="D1525" s="134" t="s">
        <v>21</v>
      </c>
      <c r="F1525" s="40"/>
    </row>
    <row r="1526">
      <c r="A1526" s="139" t="s">
        <v>3270</v>
      </c>
      <c r="B1526" s="22">
        <v>75206.0</v>
      </c>
      <c r="C1526" s="27">
        <v>237.2</v>
      </c>
      <c r="D1526" s="134" t="s">
        <v>21</v>
      </c>
      <c r="F1526" s="22"/>
    </row>
    <row r="1527">
      <c r="A1527" s="138" t="s">
        <v>3266</v>
      </c>
      <c r="B1527" s="40">
        <v>75230.0</v>
      </c>
      <c r="C1527" s="27">
        <v>100.0</v>
      </c>
      <c r="D1527" s="134" t="s">
        <v>21</v>
      </c>
      <c r="F1527" s="40"/>
    </row>
    <row r="1528">
      <c r="A1528" s="139" t="s">
        <v>3312</v>
      </c>
      <c r="B1528" s="22">
        <v>75201.0</v>
      </c>
      <c r="C1528" s="27">
        <v>189.7</v>
      </c>
      <c r="D1528" s="134" t="s">
        <v>21</v>
      </c>
      <c r="F1528" s="22"/>
    </row>
    <row r="1529">
      <c r="A1529" s="138" t="s">
        <v>3276</v>
      </c>
      <c r="B1529" s="40">
        <v>77005.0</v>
      </c>
      <c r="C1529" s="27">
        <v>250.0</v>
      </c>
      <c r="D1529" s="134" t="s">
        <v>21</v>
      </c>
      <c r="F1529" s="40"/>
    </row>
    <row r="1530">
      <c r="A1530" s="139" t="s">
        <v>3321</v>
      </c>
      <c r="B1530" s="22">
        <v>75209.0</v>
      </c>
      <c r="C1530" s="27">
        <v>1000.0</v>
      </c>
      <c r="D1530" s="134" t="s">
        <v>21</v>
      </c>
      <c r="F1530" s="22"/>
    </row>
    <row r="1531">
      <c r="A1531" s="138" t="s">
        <v>3312</v>
      </c>
      <c r="B1531" s="40">
        <v>75201.0</v>
      </c>
      <c r="C1531" s="27">
        <v>189.7</v>
      </c>
      <c r="D1531" s="134" t="s">
        <v>21</v>
      </c>
      <c r="F1531" s="40"/>
    </row>
    <row r="1532">
      <c r="A1532" s="139" t="s">
        <v>3282</v>
      </c>
      <c r="B1532" s="22">
        <v>75208.0</v>
      </c>
      <c r="C1532" s="27">
        <v>100.0</v>
      </c>
      <c r="D1532" s="134" t="s">
        <v>21</v>
      </c>
      <c r="F1532" s="22"/>
    </row>
    <row r="1533">
      <c r="A1533" s="138" t="s">
        <v>3285</v>
      </c>
      <c r="B1533" s="40">
        <v>75204.0</v>
      </c>
      <c r="C1533" s="27">
        <v>100.0</v>
      </c>
      <c r="D1533" s="134" t="s">
        <v>21</v>
      </c>
      <c r="F1533" s="40"/>
    </row>
    <row r="1534">
      <c r="A1534" s="139" t="s">
        <v>3282</v>
      </c>
      <c r="B1534" s="22">
        <v>75208.0</v>
      </c>
      <c r="C1534" s="27">
        <v>50.0</v>
      </c>
      <c r="D1534" s="134" t="s">
        <v>21</v>
      </c>
      <c r="F1534" s="22"/>
    </row>
    <row r="1535">
      <c r="A1535" s="138" t="s">
        <v>3282</v>
      </c>
      <c r="B1535" s="40">
        <v>75208.0</v>
      </c>
      <c r="C1535" s="27">
        <v>100.0</v>
      </c>
      <c r="D1535" s="134" t="s">
        <v>21</v>
      </c>
      <c r="F1535" s="40"/>
    </row>
    <row r="1536">
      <c r="A1536" s="139" t="s">
        <v>3282</v>
      </c>
      <c r="B1536" s="22">
        <v>75208.0</v>
      </c>
      <c r="C1536" s="27">
        <v>400.0</v>
      </c>
      <c r="D1536" s="134" t="s">
        <v>21</v>
      </c>
      <c r="F1536" s="22"/>
    </row>
    <row r="1537">
      <c r="A1537" s="138" t="s">
        <v>3279</v>
      </c>
      <c r="B1537" s="40">
        <v>75225.0</v>
      </c>
      <c r="C1537" s="27">
        <v>100.0</v>
      </c>
      <c r="D1537" s="134" t="s">
        <v>21</v>
      </c>
      <c r="F1537" s="40"/>
    </row>
    <row r="1538">
      <c r="A1538" s="139" t="s">
        <v>3282</v>
      </c>
      <c r="B1538" s="22">
        <v>75208.0</v>
      </c>
      <c r="C1538" s="27">
        <v>50.0</v>
      </c>
      <c r="D1538" s="134" t="s">
        <v>21</v>
      </c>
      <c r="F1538" s="22"/>
    </row>
    <row r="1539">
      <c r="A1539" s="138" t="s">
        <v>3282</v>
      </c>
      <c r="B1539" s="40">
        <v>75208.0</v>
      </c>
      <c r="C1539" s="27">
        <v>25.0</v>
      </c>
      <c r="D1539" s="134" t="s">
        <v>21</v>
      </c>
      <c r="F1539" s="40"/>
    </row>
    <row r="1540">
      <c r="A1540" s="139" t="s">
        <v>3282</v>
      </c>
      <c r="B1540" s="22">
        <v>75208.0</v>
      </c>
      <c r="C1540" s="27">
        <v>50.0</v>
      </c>
      <c r="D1540" s="134" t="s">
        <v>21</v>
      </c>
      <c r="F1540" s="22"/>
    </row>
    <row r="1541">
      <c r="A1541" s="138" t="s">
        <v>3289</v>
      </c>
      <c r="B1541" s="40">
        <v>75219.0</v>
      </c>
      <c r="C1541" s="27">
        <v>500.0</v>
      </c>
      <c r="D1541" s="134" t="s">
        <v>21</v>
      </c>
      <c r="F1541" s="40"/>
    </row>
    <row r="1542">
      <c r="A1542" s="139" t="s">
        <v>3270</v>
      </c>
      <c r="B1542" s="22">
        <v>75206.0</v>
      </c>
      <c r="C1542" s="27">
        <v>250.0</v>
      </c>
      <c r="D1542" s="134" t="s">
        <v>21</v>
      </c>
      <c r="F1542" s="22"/>
    </row>
    <row r="1543">
      <c r="A1543" s="138" t="s">
        <v>3321</v>
      </c>
      <c r="B1543" s="40">
        <v>75209.0</v>
      </c>
      <c r="C1543" s="27">
        <v>250.0</v>
      </c>
      <c r="D1543" s="134" t="s">
        <v>21</v>
      </c>
      <c r="F1543" s="40"/>
    </row>
    <row r="1544">
      <c r="A1544" s="139" t="s">
        <v>3335</v>
      </c>
      <c r="B1544" s="22">
        <v>75222.0</v>
      </c>
      <c r="C1544" s="27">
        <v>50.0</v>
      </c>
      <c r="D1544" s="134" t="s">
        <v>21</v>
      </c>
      <c r="F1544" s="22"/>
    </row>
    <row r="1545">
      <c r="A1545" s="138" t="s">
        <v>3326</v>
      </c>
      <c r="B1545" s="40">
        <v>75224.0</v>
      </c>
      <c r="C1545" s="27">
        <v>50.0</v>
      </c>
      <c r="D1545" s="134" t="s">
        <v>21</v>
      </c>
      <c r="F1545" s="40"/>
    </row>
    <row r="1546">
      <c r="A1546" s="139" t="s">
        <v>3372</v>
      </c>
      <c r="B1546" s="22">
        <v>75001.0</v>
      </c>
      <c r="C1546" s="27">
        <v>500.0</v>
      </c>
      <c r="D1546" s="134" t="s">
        <v>21</v>
      </c>
      <c r="F1546" s="22"/>
    </row>
    <row r="1547">
      <c r="A1547" s="138" t="s">
        <v>3321</v>
      </c>
      <c r="B1547" s="40">
        <v>75209.0</v>
      </c>
      <c r="C1547" s="27">
        <v>1000.0</v>
      </c>
      <c r="D1547" s="134" t="s">
        <v>21</v>
      </c>
      <c r="F1547" s="40"/>
    </row>
    <row r="1548">
      <c r="A1548" s="139" t="s">
        <v>3282</v>
      </c>
      <c r="B1548" s="22">
        <v>75208.0</v>
      </c>
      <c r="C1548" s="27">
        <v>474.7</v>
      </c>
      <c r="D1548" s="134" t="s">
        <v>21</v>
      </c>
      <c r="F1548" s="22"/>
    </row>
    <row r="1549">
      <c r="A1549" s="138" t="s">
        <v>3282</v>
      </c>
      <c r="B1549" s="40">
        <v>75208.0</v>
      </c>
      <c r="C1549" s="27">
        <v>500.0</v>
      </c>
      <c r="D1549" s="134" t="s">
        <v>21</v>
      </c>
      <c r="F1549" s="40"/>
    </row>
    <row r="1550">
      <c r="A1550" s="139" t="s">
        <v>3312</v>
      </c>
      <c r="B1550" s="22">
        <v>75201.0</v>
      </c>
      <c r="C1550" s="27">
        <v>4000.0</v>
      </c>
      <c r="D1550" s="134" t="s">
        <v>21</v>
      </c>
      <c r="F1550" s="22"/>
    </row>
    <row r="1551">
      <c r="A1551" s="138" t="s">
        <v>3441</v>
      </c>
      <c r="B1551" s="40">
        <v>75057.0</v>
      </c>
      <c r="C1551" s="27">
        <v>1000.0</v>
      </c>
      <c r="D1551" s="134" t="s">
        <v>21</v>
      </c>
      <c r="F1551" s="40"/>
    </row>
    <row r="1552">
      <c r="A1552" s="139" t="s">
        <v>3282</v>
      </c>
      <c r="B1552" s="22">
        <v>75208.0</v>
      </c>
      <c r="C1552" s="27">
        <v>1000.0</v>
      </c>
      <c r="D1552" s="134" t="s">
        <v>21</v>
      </c>
      <c r="F1552" s="22"/>
    </row>
    <row r="1553">
      <c r="A1553" s="138" t="s">
        <v>3312</v>
      </c>
      <c r="B1553" s="40">
        <v>75201.0</v>
      </c>
      <c r="C1553" s="27">
        <v>1000.0</v>
      </c>
      <c r="D1553" s="134" t="s">
        <v>21</v>
      </c>
      <c r="F1553" s="40"/>
    </row>
    <row r="1554">
      <c r="A1554" s="139" t="s">
        <v>3285</v>
      </c>
      <c r="B1554" s="22">
        <v>75204.0</v>
      </c>
      <c r="C1554" s="27">
        <v>1000.0</v>
      </c>
      <c r="D1554" s="134" t="s">
        <v>21</v>
      </c>
      <c r="F1554" s="22"/>
    </row>
    <row r="1555">
      <c r="A1555" s="138" t="s">
        <v>3289</v>
      </c>
      <c r="B1555" s="40">
        <v>75219.0</v>
      </c>
      <c r="C1555" s="27">
        <v>250.0</v>
      </c>
      <c r="D1555" s="134" t="s">
        <v>21</v>
      </c>
      <c r="F1555" s="40"/>
    </row>
    <row r="1556">
      <c r="A1556" s="139" t="s">
        <v>3497</v>
      </c>
      <c r="B1556" s="22">
        <v>93101.0</v>
      </c>
      <c r="C1556" s="27">
        <v>4000.0</v>
      </c>
      <c r="D1556" s="134" t="s">
        <v>21</v>
      </c>
      <c r="F1556" s="22"/>
    </row>
    <row r="1557">
      <c r="A1557" s="138" t="s">
        <v>3497</v>
      </c>
      <c r="B1557" s="40">
        <v>93101.0</v>
      </c>
      <c r="C1557" s="27">
        <v>1000.0</v>
      </c>
      <c r="D1557" s="134" t="s">
        <v>21</v>
      </c>
      <c r="F1557" s="40"/>
    </row>
    <row r="1558">
      <c r="A1558" s="139" t="s">
        <v>3282</v>
      </c>
      <c r="B1558" s="22">
        <v>75208.0</v>
      </c>
      <c r="C1558" s="27">
        <v>500.0</v>
      </c>
      <c r="D1558" s="134" t="s">
        <v>21</v>
      </c>
      <c r="F1558" s="22"/>
    </row>
    <row r="1559">
      <c r="A1559" s="138" t="s">
        <v>3289</v>
      </c>
      <c r="B1559" s="40">
        <v>75219.0</v>
      </c>
      <c r="C1559" s="27">
        <v>1000.0</v>
      </c>
      <c r="D1559" s="134" t="s">
        <v>21</v>
      </c>
      <c r="F1559" s="40"/>
    </row>
    <row r="1560">
      <c r="A1560" s="139" t="s">
        <v>3337</v>
      </c>
      <c r="B1560" s="22">
        <v>75235.0</v>
      </c>
      <c r="C1560" s="27">
        <v>1500.0</v>
      </c>
      <c r="D1560" s="134" t="s">
        <v>21</v>
      </c>
      <c r="F1560" s="22"/>
    </row>
    <row r="1561">
      <c r="A1561" s="138" t="s">
        <v>3312</v>
      </c>
      <c r="B1561" s="40">
        <v>75201.0</v>
      </c>
      <c r="C1561" s="27">
        <v>500.0</v>
      </c>
      <c r="D1561" s="134" t="s">
        <v>27</v>
      </c>
      <c r="F1561" s="40"/>
    </row>
    <row r="1562">
      <c r="A1562" s="139" t="s">
        <v>3337</v>
      </c>
      <c r="B1562" s="22">
        <v>75235.0</v>
      </c>
      <c r="C1562" s="27">
        <v>50.0</v>
      </c>
      <c r="D1562" s="134" t="s">
        <v>27</v>
      </c>
      <c r="F1562" s="22"/>
    </row>
    <row r="1563">
      <c r="A1563" s="138" t="s">
        <v>3289</v>
      </c>
      <c r="B1563" s="40">
        <v>75219.0</v>
      </c>
      <c r="C1563" s="27">
        <v>100.0</v>
      </c>
      <c r="D1563" s="134" t="s">
        <v>27</v>
      </c>
      <c r="F1563" s="40"/>
    </row>
    <row r="1564">
      <c r="A1564" s="139" t="s">
        <v>3325</v>
      </c>
      <c r="B1564" s="22">
        <v>75223.0</v>
      </c>
      <c r="C1564" s="27">
        <v>200.0</v>
      </c>
      <c r="D1564" s="134" t="s">
        <v>27</v>
      </c>
      <c r="F1564" s="22"/>
    </row>
    <row r="1565">
      <c r="A1565" s="138" t="s">
        <v>3267</v>
      </c>
      <c r="B1565" s="40">
        <v>75214.0</v>
      </c>
      <c r="C1565" s="27">
        <v>1000.0</v>
      </c>
      <c r="D1565" s="134" t="s">
        <v>27</v>
      </c>
      <c r="F1565" s="40"/>
    </row>
    <row r="1566">
      <c r="A1566" s="139" t="s">
        <v>3286</v>
      </c>
      <c r="B1566" s="22">
        <v>75233.0</v>
      </c>
      <c r="C1566" s="27">
        <v>100.0</v>
      </c>
      <c r="D1566" s="134" t="s">
        <v>27</v>
      </c>
      <c r="F1566" s="22"/>
    </row>
    <row r="1567">
      <c r="A1567" s="138" t="s">
        <v>3301</v>
      </c>
      <c r="B1567" s="40">
        <v>75220.0</v>
      </c>
      <c r="C1567" s="27">
        <v>100.0</v>
      </c>
      <c r="D1567" s="134" t="s">
        <v>27</v>
      </c>
      <c r="F1567" s="40"/>
    </row>
    <row r="1568">
      <c r="A1568" s="139" t="s">
        <v>3288</v>
      </c>
      <c r="B1568" s="22">
        <v>75019.0</v>
      </c>
      <c r="C1568" s="27">
        <v>1000.0</v>
      </c>
      <c r="D1568" s="134" t="s">
        <v>27</v>
      </c>
      <c r="F1568" s="22"/>
    </row>
    <row r="1569">
      <c r="A1569" s="138" t="s">
        <v>3498</v>
      </c>
      <c r="B1569" s="40">
        <v>75115.0</v>
      </c>
      <c r="C1569" s="27">
        <v>1000.0</v>
      </c>
      <c r="D1569" s="134" t="s">
        <v>27</v>
      </c>
      <c r="F1569" s="40"/>
    </row>
    <row r="1570">
      <c r="A1570" s="139" t="s">
        <v>3499</v>
      </c>
      <c r="B1570" s="22">
        <v>75065.0</v>
      </c>
      <c r="C1570" s="27">
        <v>1000.0</v>
      </c>
      <c r="D1570" s="134" t="s">
        <v>27</v>
      </c>
      <c r="F1570" s="22"/>
    </row>
    <row r="1571">
      <c r="A1571" s="138" t="s">
        <v>3325</v>
      </c>
      <c r="B1571" s="40">
        <v>75223.0</v>
      </c>
      <c r="C1571" s="27">
        <v>50.0</v>
      </c>
      <c r="D1571" s="134" t="s">
        <v>27</v>
      </c>
      <c r="F1571" s="40"/>
    </row>
    <row r="1572">
      <c r="A1572" s="139" t="s">
        <v>3312</v>
      </c>
      <c r="B1572" s="22">
        <v>75201.0</v>
      </c>
      <c r="C1572" s="27">
        <v>500.0</v>
      </c>
      <c r="D1572" s="134" t="s">
        <v>27</v>
      </c>
      <c r="F1572" s="22"/>
    </row>
    <row r="1573">
      <c r="A1573" s="138" t="s">
        <v>3270</v>
      </c>
      <c r="B1573" s="40">
        <v>75206.0</v>
      </c>
      <c r="C1573" s="27">
        <v>100.0</v>
      </c>
      <c r="D1573" s="134" t="s">
        <v>27</v>
      </c>
      <c r="F1573" s="40"/>
    </row>
    <row r="1574">
      <c r="A1574" s="139" t="s">
        <v>3285</v>
      </c>
      <c r="B1574" s="22">
        <v>75204.0</v>
      </c>
      <c r="C1574" s="27">
        <v>100.0</v>
      </c>
      <c r="D1574" s="134" t="s">
        <v>27</v>
      </c>
      <c r="F1574" s="22"/>
    </row>
    <row r="1575">
      <c r="A1575" s="138" t="s">
        <v>3289</v>
      </c>
      <c r="B1575" s="40">
        <v>75219.0</v>
      </c>
      <c r="C1575" s="27">
        <v>1000.0</v>
      </c>
      <c r="D1575" s="134" t="s">
        <v>27</v>
      </c>
      <c r="F1575" s="40"/>
    </row>
    <row r="1576">
      <c r="A1576" s="139" t="s">
        <v>3312</v>
      </c>
      <c r="B1576" s="22">
        <v>75201.0</v>
      </c>
      <c r="C1576" s="27">
        <v>100.0</v>
      </c>
      <c r="D1576" s="134" t="s">
        <v>27</v>
      </c>
      <c r="F1576" s="22"/>
    </row>
    <row r="1577">
      <c r="A1577" s="138" t="s">
        <v>3270</v>
      </c>
      <c r="B1577" s="40">
        <v>75206.0</v>
      </c>
      <c r="C1577" s="27">
        <v>100.0</v>
      </c>
      <c r="D1577" s="134" t="s">
        <v>27</v>
      </c>
      <c r="F1577" s="40"/>
    </row>
    <row r="1578">
      <c r="A1578" s="139" t="s">
        <v>3312</v>
      </c>
      <c r="B1578" s="22">
        <v>75201.0</v>
      </c>
      <c r="C1578" s="27">
        <v>1000.0</v>
      </c>
      <c r="D1578" s="134" t="s">
        <v>27</v>
      </c>
      <c r="F1578" s="22"/>
    </row>
    <row r="1579">
      <c r="A1579" s="138" t="s">
        <v>3267</v>
      </c>
      <c r="B1579" s="40">
        <v>75214.0</v>
      </c>
      <c r="C1579" s="27">
        <v>500.0</v>
      </c>
      <c r="D1579" s="134" t="s">
        <v>27</v>
      </c>
      <c r="F1579" s="40"/>
    </row>
    <row r="1580">
      <c r="A1580" s="139" t="s">
        <v>3337</v>
      </c>
      <c r="B1580" s="22">
        <v>75235.0</v>
      </c>
      <c r="C1580" s="27">
        <v>150.0</v>
      </c>
      <c r="D1580" s="134" t="s">
        <v>27</v>
      </c>
      <c r="F1580" s="22"/>
    </row>
    <row r="1581">
      <c r="A1581" s="138" t="s">
        <v>3273</v>
      </c>
      <c r="B1581" s="40">
        <v>75205.0</v>
      </c>
      <c r="C1581" s="27">
        <v>500.0</v>
      </c>
      <c r="D1581" s="134" t="s">
        <v>27</v>
      </c>
      <c r="F1581" s="40"/>
    </row>
    <row r="1582">
      <c r="A1582" s="139" t="s">
        <v>3325</v>
      </c>
      <c r="B1582" s="22">
        <v>75223.0</v>
      </c>
      <c r="C1582" s="27">
        <v>1000.0</v>
      </c>
      <c r="D1582" s="134" t="s">
        <v>27</v>
      </c>
      <c r="F1582" s="22"/>
    </row>
    <row r="1583">
      <c r="A1583" s="138" t="s">
        <v>3292</v>
      </c>
      <c r="B1583" s="40">
        <v>75243.0</v>
      </c>
      <c r="C1583" s="27">
        <v>500.0</v>
      </c>
      <c r="D1583" s="134" t="s">
        <v>27</v>
      </c>
      <c r="F1583" s="40"/>
    </row>
    <row r="1584">
      <c r="A1584" s="139" t="s">
        <v>3289</v>
      </c>
      <c r="B1584" s="22">
        <v>75219.0</v>
      </c>
      <c r="C1584" s="27">
        <v>500.0</v>
      </c>
      <c r="D1584" s="134" t="s">
        <v>27</v>
      </c>
      <c r="F1584" s="22"/>
    </row>
    <row r="1585">
      <c r="A1585" s="138" t="s">
        <v>3289</v>
      </c>
      <c r="B1585" s="40">
        <v>75219.0</v>
      </c>
      <c r="C1585" s="27">
        <v>25.0</v>
      </c>
      <c r="D1585" s="134" t="s">
        <v>27</v>
      </c>
      <c r="F1585" s="40"/>
    </row>
    <row r="1586">
      <c r="A1586" s="139" t="s">
        <v>3284</v>
      </c>
      <c r="B1586" s="22">
        <v>75229.0</v>
      </c>
      <c r="C1586" s="27">
        <v>500.0</v>
      </c>
      <c r="D1586" s="134" t="s">
        <v>27</v>
      </c>
      <c r="F1586" s="22"/>
    </row>
    <row r="1587">
      <c r="A1587" s="138" t="s">
        <v>3273</v>
      </c>
      <c r="B1587" s="40">
        <v>75205.0</v>
      </c>
      <c r="C1587" s="27">
        <v>1000.0</v>
      </c>
      <c r="D1587" s="134" t="s">
        <v>27</v>
      </c>
      <c r="F1587" s="40"/>
    </row>
    <row r="1588">
      <c r="A1588" s="139" t="s">
        <v>3384</v>
      </c>
      <c r="B1588" s="22">
        <v>78760.0</v>
      </c>
      <c r="C1588" s="27">
        <v>1000.0</v>
      </c>
      <c r="D1588" s="134" t="s">
        <v>27</v>
      </c>
      <c r="F1588" s="22"/>
    </row>
    <row r="1589">
      <c r="A1589" s="138" t="s">
        <v>3289</v>
      </c>
      <c r="B1589" s="40">
        <v>75219.0</v>
      </c>
      <c r="C1589" s="27">
        <v>250.0</v>
      </c>
      <c r="D1589" s="134" t="s">
        <v>27</v>
      </c>
      <c r="F1589" s="40"/>
    </row>
    <row r="1590">
      <c r="A1590" s="139" t="s">
        <v>3500</v>
      </c>
      <c r="B1590" s="22">
        <v>77072.0</v>
      </c>
      <c r="C1590" s="27">
        <v>1000.0</v>
      </c>
      <c r="D1590" s="134" t="s">
        <v>27</v>
      </c>
      <c r="F1590" s="22"/>
    </row>
    <row r="1591">
      <c r="A1591" s="138" t="s">
        <v>3285</v>
      </c>
      <c r="B1591" s="40">
        <v>75204.0</v>
      </c>
      <c r="C1591" s="27">
        <v>1000.0</v>
      </c>
      <c r="D1591" s="134" t="s">
        <v>27</v>
      </c>
      <c r="F1591" s="40"/>
    </row>
    <row r="1592">
      <c r="A1592" s="139" t="s">
        <v>3464</v>
      </c>
      <c r="B1592" s="22">
        <v>76051.0</v>
      </c>
      <c r="C1592" s="27">
        <v>1000.0</v>
      </c>
      <c r="D1592" s="134" t="s">
        <v>27</v>
      </c>
      <c r="F1592" s="22"/>
    </row>
    <row r="1593">
      <c r="A1593" s="138" t="s">
        <v>3289</v>
      </c>
      <c r="B1593" s="40">
        <v>75219.0</v>
      </c>
      <c r="C1593" s="27">
        <v>1000.0</v>
      </c>
      <c r="D1593" s="134" t="s">
        <v>27</v>
      </c>
      <c r="F1593" s="40"/>
    </row>
    <row r="1594">
      <c r="A1594" s="139" t="s">
        <v>3273</v>
      </c>
      <c r="B1594" s="22">
        <v>75205.0</v>
      </c>
      <c r="C1594" s="27">
        <v>1000.0</v>
      </c>
      <c r="D1594" s="134" t="s">
        <v>27</v>
      </c>
      <c r="F1594" s="22"/>
    </row>
    <row r="1595">
      <c r="A1595" s="138" t="s">
        <v>3285</v>
      </c>
      <c r="B1595" s="40">
        <v>75204.0</v>
      </c>
      <c r="C1595" s="27">
        <v>1000.0</v>
      </c>
      <c r="D1595" s="134" t="s">
        <v>27</v>
      </c>
      <c r="F1595" s="40"/>
    </row>
    <row r="1596">
      <c r="A1596" s="139" t="s">
        <v>3337</v>
      </c>
      <c r="B1596" s="22">
        <v>75235.0</v>
      </c>
      <c r="C1596" s="27">
        <v>1000.0</v>
      </c>
      <c r="D1596" s="134" t="s">
        <v>27</v>
      </c>
      <c r="F1596" s="22"/>
    </row>
    <row r="1597">
      <c r="A1597" s="138" t="s">
        <v>3321</v>
      </c>
      <c r="B1597" s="40">
        <v>75209.0</v>
      </c>
      <c r="C1597" s="27">
        <v>1000.0</v>
      </c>
      <c r="D1597" s="134" t="s">
        <v>37</v>
      </c>
      <c r="F1597" s="40"/>
    </row>
    <row r="1598">
      <c r="A1598" s="139" t="s">
        <v>3501</v>
      </c>
      <c r="B1598" s="22">
        <v>77046.0</v>
      </c>
      <c r="C1598" s="27">
        <v>1000.0</v>
      </c>
      <c r="D1598" s="134" t="s">
        <v>39</v>
      </c>
      <c r="F1598" s="22"/>
    </row>
    <row r="1599">
      <c r="A1599" s="138" t="s">
        <v>3502</v>
      </c>
      <c r="B1599" s="40">
        <v>75831.0</v>
      </c>
      <c r="C1599" s="27">
        <v>1000.0</v>
      </c>
      <c r="D1599" s="134" t="s">
        <v>39</v>
      </c>
      <c r="F1599" s="40"/>
    </row>
    <row r="1600">
      <c r="A1600" s="139" t="s">
        <v>3301</v>
      </c>
      <c r="B1600" s="22">
        <v>75220.0</v>
      </c>
      <c r="C1600" s="27">
        <v>2000.0</v>
      </c>
      <c r="D1600" s="134" t="s">
        <v>37</v>
      </c>
      <c r="F1600" s="22"/>
    </row>
    <row r="1601">
      <c r="A1601" s="138" t="s">
        <v>3503</v>
      </c>
      <c r="B1601" s="40">
        <v>75061.0</v>
      </c>
      <c r="C1601" s="27">
        <v>2000.0</v>
      </c>
      <c r="D1601" s="134" t="s">
        <v>36</v>
      </c>
      <c r="F1601" s="40"/>
    </row>
    <row r="1602">
      <c r="A1602" s="139" t="s">
        <v>3292</v>
      </c>
      <c r="B1602" s="22">
        <v>75243.0</v>
      </c>
      <c r="C1602" s="27">
        <v>500.0</v>
      </c>
      <c r="D1602" s="134" t="s">
        <v>40</v>
      </c>
      <c r="F1602" s="22"/>
    </row>
    <row r="1603">
      <c r="A1603" s="138" t="s">
        <v>3292</v>
      </c>
      <c r="B1603" s="40">
        <v>75243.0</v>
      </c>
      <c r="C1603" s="27">
        <v>500.0</v>
      </c>
      <c r="D1603" s="134" t="s">
        <v>40</v>
      </c>
      <c r="F1603" s="40"/>
    </row>
    <row r="1604">
      <c r="A1604" s="139" t="s">
        <v>3292</v>
      </c>
      <c r="B1604" s="22">
        <v>75243.0</v>
      </c>
      <c r="C1604" s="27">
        <v>500.0</v>
      </c>
      <c r="D1604" s="134" t="s">
        <v>40</v>
      </c>
      <c r="F1604" s="22"/>
    </row>
    <row r="1605">
      <c r="A1605" s="138" t="s">
        <v>3504</v>
      </c>
      <c r="B1605" s="40">
        <v>60619.0</v>
      </c>
      <c r="C1605" s="27">
        <v>104.15</v>
      </c>
      <c r="D1605" s="134" t="s">
        <v>40</v>
      </c>
      <c r="F1605" s="40"/>
    </row>
    <row r="1606">
      <c r="A1606" s="139" t="s">
        <v>3504</v>
      </c>
      <c r="B1606" s="22">
        <v>60619.0</v>
      </c>
      <c r="C1606" s="27">
        <v>104.15</v>
      </c>
      <c r="D1606" s="134" t="s">
        <v>40</v>
      </c>
      <c r="F1606" s="22"/>
    </row>
    <row r="1607">
      <c r="A1607" s="140" t="s">
        <v>3504</v>
      </c>
      <c r="B1607" s="141">
        <v>60619.0</v>
      </c>
      <c r="C1607" s="142">
        <v>104.15</v>
      </c>
      <c r="D1607" s="143" t="s">
        <v>40</v>
      </c>
      <c r="F1607" s="4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3" max="23" width="19.75"/>
    <col customWidth="1" min="25" max="25" width="26.38"/>
  </cols>
  <sheetData>
    <row r="1">
      <c r="A1" s="144" t="s">
        <v>4</v>
      </c>
      <c r="B1" s="144" t="s">
        <v>45</v>
      </c>
      <c r="C1" s="128" t="s">
        <v>21</v>
      </c>
      <c r="D1" s="128" t="s">
        <v>22</v>
      </c>
      <c r="E1" s="128" t="s">
        <v>23</v>
      </c>
      <c r="F1" s="128" t="s">
        <v>24</v>
      </c>
      <c r="G1" s="128" t="s">
        <v>25</v>
      </c>
      <c r="H1" s="128" t="s">
        <v>26</v>
      </c>
      <c r="I1" s="128" t="s">
        <v>27</v>
      </c>
      <c r="J1" s="128" t="s">
        <v>28</v>
      </c>
      <c r="K1" s="128" t="s">
        <v>29</v>
      </c>
      <c r="L1" s="128" t="s">
        <v>30</v>
      </c>
      <c r="M1" s="128" t="s">
        <v>31</v>
      </c>
      <c r="N1" s="128" t="s">
        <v>32</v>
      </c>
      <c r="O1" s="128" t="s">
        <v>33</v>
      </c>
      <c r="P1" s="128" t="s">
        <v>34</v>
      </c>
      <c r="Q1" s="128" t="s">
        <v>35</v>
      </c>
      <c r="R1" s="128" t="s">
        <v>36</v>
      </c>
      <c r="S1" s="128" t="s">
        <v>37</v>
      </c>
      <c r="T1" s="128" t="s">
        <v>38</v>
      </c>
      <c r="U1" s="128" t="s">
        <v>39</v>
      </c>
      <c r="V1" s="128" t="s">
        <v>40</v>
      </c>
      <c r="W1" s="144" t="s">
        <v>41</v>
      </c>
      <c r="X1" s="128"/>
      <c r="Y1" s="144" t="s">
        <v>4</v>
      </c>
      <c r="Z1" s="128" t="s">
        <v>21</v>
      </c>
      <c r="AA1" s="128" t="s">
        <v>22</v>
      </c>
      <c r="AB1" s="128" t="s">
        <v>23</v>
      </c>
      <c r="AC1" s="128" t="s">
        <v>24</v>
      </c>
      <c r="AD1" s="128" t="s">
        <v>25</v>
      </c>
      <c r="AE1" s="128" t="s">
        <v>26</v>
      </c>
      <c r="AF1" s="128" t="s">
        <v>27</v>
      </c>
      <c r="AG1" s="128" t="s">
        <v>28</v>
      </c>
      <c r="AH1" s="128" t="s">
        <v>29</v>
      </c>
      <c r="AI1" s="128" t="s">
        <v>30</v>
      </c>
      <c r="AJ1" s="128" t="s">
        <v>31</v>
      </c>
      <c r="AK1" s="128" t="s">
        <v>32</v>
      </c>
      <c r="AL1" s="128" t="s">
        <v>33</v>
      </c>
      <c r="AM1" s="128" t="s">
        <v>34</v>
      </c>
      <c r="AN1" s="128" t="s">
        <v>35</v>
      </c>
      <c r="AO1" s="128" t="s">
        <v>36</v>
      </c>
      <c r="AP1" s="128" t="s">
        <v>37</v>
      </c>
      <c r="AQ1" s="128" t="s">
        <v>38</v>
      </c>
      <c r="AR1" s="128" t="s">
        <v>39</v>
      </c>
      <c r="AS1" s="128" t="s">
        <v>40</v>
      </c>
      <c r="AT1" s="128"/>
    </row>
    <row r="2">
      <c r="A2" s="145" t="s">
        <v>4</v>
      </c>
      <c r="B2" s="145" t="s">
        <v>45</v>
      </c>
      <c r="C2" s="132" t="s">
        <v>21</v>
      </c>
      <c r="D2" s="132" t="s">
        <v>22</v>
      </c>
      <c r="E2" s="132" t="s">
        <v>23</v>
      </c>
      <c r="F2" s="132" t="s">
        <v>24</v>
      </c>
      <c r="G2" s="132" t="s">
        <v>25</v>
      </c>
      <c r="H2" s="132" t="s">
        <v>26</v>
      </c>
      <c r="I2" s="132" t="s">
        <v>27</v>
      </c>
      <c r="J2" s="132" t="s">
        <v>28</v>
      </c>
      <c r="K2" s="132" t="s">
        <v>29</v>
      </c>
      <c r="L2" s="132" t="s">
        <v>30</v>
      </c>
      <c r="M2" s="132" t="s">
        <v>31</v>
      </c>
      <c r="N2" s="132" t="s">
        <v>32</v>
      </c>
      <c r="O2" s="132" t="s">
        <v>33</v>
      </c>
      <c r="P2" s="132" t="s">
        <v>34</v>
      </c>
      <c r="Q2" s="132" t="s">
        <v>35</v>
      </c>
      <c r="R2" s="132" t="s">
        <v>36</v>
      </c>
      <c r="S2" s="132" t="s">
        <v>37</v>
      </c>
      <c r="T2" s="132" t="s">
        <v>38</v>
      </c>
      <c r="U2" s="132" t="s">
        <v>39</v>
      </c>
      <c r="V2" s="132" t="s">
        <v>40</v>
      </c>
      <c r="Y2" s="145" t="s">
        <v>4</v>
      </c>
      <c r="Z2" s="132" t="s">
        <v>21</v>
      </c>
      <c r="AA2" s="132" t="s">
        <v>22</v>
      </c>
      <c r="AB2" s="132" t="s">
        <v>23</v>
      </c>
      <c r="AC2" s="132" t="s">
        <v>24</v>
      </c>
      <c r="AD2" s="132" t="s">
        <v>25</v>
      </c>
      <c r="AE2" s="132" t="s">
        <v>26</v>
      </c>
      <c r="AF2" s="132" t="s">
        <v>27</v>
      </c>
      <c r="AG2" s="132" t="s">
        <v>28</v>
      </c>
      <c r="AH2" s="132" t="s">
        <v>29</v>
      </c>
      <c r="AI2" s="132" t="s">
        <v>30</v>
      </c>
      <c r="AJ2" s="132" t="s">
        <v>31</v>
      </c>
      <c r="AK2" s="132" t="s">
        <v>32</v>
      </c>
      <c r="AL2" s="132" t="s">
        <v>33</v>
      </c>
      <c r="AM2" s="132" t="s">
        <v>34</v>
      </c>
      <c r="AN2" s="132" t="s">
        <v>35</v>
      </c>
      <c r="AO2" s="132" t="s">
        <v>36</v>
      </c>
      <c r="AP2" s="132" t="s">
        <v>37</v>
      </c>
      <c r="AQ2" s="132" t="s">
        <v>38</v>
      </c>
      <c r="AR2" s="132" t="s">
        <v>39</v>
      </c>
      <c r="AS2" s="132" t="s">
        <v>40</v>
      </c>
    </row>
    <row r="3">
      <c r="A3" s="132" t="s">
        <v>3505</v>
      </c>
      <c r="B3" s="132">
        <v>3000.0</v>
      </c>
      <c r="C3" s="132">
        <v>2000.0</v>
      </c>
      <c r="D3" s="132">
        <v>500.0</v>
      </c>
      <c r="E3" s="132">
        <v>500.0</v>
      </c>
      <c r="F3" s="132">
        <v>0.0</v>
      </c>
      <c r="G3" s="132">
        <v>0.0</v>
      </c>
      <c r="H3" s="132">
        <v>0.0</v>
      </c>
      <c r="I3" s="132">
        <v>0.0</v>
      </c>
      <c r="J3" s="132">
        <v>0.0</v>
      </c>
      <c r="K3" s="132">
        <v>0.0</v>
      </c>
      <c r="L3" s="132">
        <v>0.0</v>
      </c>
      <c r="M3" s="132">
        <v>0.0</v>
      </c>
      <c r="N3" s="132">
        <v>0.0</v>
      </c>
      <c r="O3" s="132">
        <v>0.0</v>
      </c>
      <c r="P3" s="132">
        <v>0.0</v>
      </c>
      <c r="Q3" s="132">
        <v>0.0</v>
      </c>
      <c r="R3" s="132">
        <v>0.0</v>
      </c>
      <c r="S3" s="132">
        <v>0.0</v>
      </c>
      <c r="T3" s="132">
        <v>0.0</v>
      </c>
      <c r="U3" s="132">
        <v>0.0</v>
      </c>
      <c r="V3" s="132">
        <v>0.0</v>
      </c>
      <c r="W3" s="132">
        <v>1.0</v>
      </c>
      <c r="Y3" s="132" t="s">
        <v>3505</v>
      </c>
      <c r="Z3" s="132">
        <f t="shared" ref="Z3:AC3" si="1">C3-1000</f>
        <v>1000</v>
      </c>
      <c r="AA3" s="132">
        <f t="shared" si="1"/>
        <v>-500</v>
      </c>
      <c r="AB3" s="132">
        <f t="shared" si="1"/>
        <v>-500</v>
      </c>
      <c r="AC3" s="132">
        <f t="shared" si="1"/>
        <v>-1000</v>
      </c>
      <c r="AD3" s="132">
        <f t="shared" ref="AD3:AD935" si="4">G3-10000</f>
        <v>-10000</v>
      </c>
      <c r="AE3" s="132">
        <f t="shared" ref="AE3:AS3" si="2">H3-1000</f>
        <v>-1000</v>
      </c>
      <c r="AF3" s="132">
        <f t="shared" si="2"/>
        <v>-1000</v>
      </c>
      <c r="AG3" s="132">
        <f t="shared" si="2"/>
        <v>-1000</v>
      </c>
      <c r="AH3" s="132">
        <f t="shared" si="2"/>
        <v>-1000</v>
      </c>
      <c r="AI3" s="132">
        <f t="shared" si="2"/>
        <v>-1000</v>
      </c>
      <c r="AJ3" s="132">
        <f t="shared" si="2"/>
        <v>-1000</v>
      </c>
      <c r="AK3" s="132">
        <f t="shared" si="2"/>
        <v>-1000</v>
      </c>
      <c r="AL3" s="132">
        <f t="shared" si="2"/>
        <v>-1000</v>
      </c>
      <c r="AM3" s="132">
        <f t="shared" si="2"/>
        <v>-1000</v>
      </c>
      <c r="AN3" s="132">
        <f t="shared" si="2"/>
        <v>-1000</v>
      </c>
      <c r="AO3" s="132">
        <f t="shared" si="2"/>
        <v>-1000</v>
      </c>
      <c r="AP3" s="132">
        <f t="shared" si="2"/>
        <v>-1000</v>
      </c>
      <c r="AQ3" s="132">
        <f t="shared" si="2"/>
        <v>-1000</v>
      </c>
      <c r="AR3" s="132">
        <f t="shared" si="2"/>
        <v>-1000</v>
      </c>
      <c r="AS3" s="132">
        <f t="shared" si="2"/>
        <v>-1000</v>
      </c>
    </row>
    <row r="4">
      <c r="A4" s="132" t="s">
        <v>3506</v>
      </c>
      <c r="B4" s="132">
        <v>200.0</v>
      </c>
      <c r="C4" s="132">
        <v>0.0</v>
      </c>
      <c r="D4" s="132">
        <v>0.0</v>
      </c>
      <c r="E4" s="132">
        <v>0.0</v>
      </c>
      <c r="F4" s="132">
        <v>200.0</v>
      </c>
      <c r="G4" s="132">
        <v>0.0</v>
      </c>
      <c r="H4" s="132">
        <v>0.0</v>
      </c>
      <c r="I4" s="132">
        <v>0.0</v>
      </c>
      <c r="J4" s="132">
        <v>0.0</v>
      </c>
      <c r="K4" s="132">
        <v>0.0</v>
      </c>
      <c r="L4" s="132">
        <v>0.0</v>
      </c>
      <c r="M4" s="132">
        <v>0.0</v>
      </c>
      <c r="N4" s="132">
        <v>0.0</v>
      </c>
      <c r="O4" s="132">
        <v>0.0</v>
      </c>
      <c r="P4" s="132">
        <v>0.0</v>
      </c>
      <c r="Q4" s="132">
        <v>0.0</v>
      </c>
      <c r="R4" s="132">
        <v>0.0</v>
      </c>
      <c r="S4" s="132">
        <v>0.0</v>
      </c>
      <c r="T4" s="132">
        <v>0.0</v>
      </c>
      <c r="U4" s="132">
        <v>0.0</v>
      </c>
      <c r="V4" s="132">
        <v>0.0</v>
      </c>
      <c r="W4" s="132">
        <v>0.0</v>
      </c>
      <c r="Y4" s="132" t="s">
        <v>3506</v>
      </c>
      <c r="Z4" s="132">
        <f t="shared" ref="Z4:AC4" si="3">C4-1000</f>
        <v>-1000</v>
      </c>
      <c r="AA4" s="132">
        <f t="shared" si="3"/>
        <v>-1000</v>
      </c>
      <c r="AB4" s="132">
        <f t="shared" si="3"/>
        <v>-1000</v>
      </c>
      <c r="AC4" s="132">
        <f t="shared" si="3"/>
        <v>-800</v>
      </c>
      <c r="AD4" s="132">
        <f t="shared" si="4"/>
        <v>-10000</v>
      </c>
      <c r="AE4" s="132">
        <f t="shared" ref="AE4:AS4" si="5">H4-1000</f>
        <v>-1000</v>
      </c>
      <c r="AF4" s="132">
        <f t="shared" si="5"/>
        <v>-1000</v>
      </c>
      <c r="AG4" s="132">
        <f t="shared" si="5"/>
        <v>-1000</v>
      </c>
      <c r="AH4" s="132">
        <f t="shared" si="5"/>
        <v>-1000</v>
      </c>
      <c r="AI4" s="132">
        <f t="shared" si="5"/>
        <v>-1000</v>
      </c>
      <c r="AJ4" s="132">
        <f t="shared" si="5"/>
        <v>-1000</v>
      </c>
      <c r="AK4" s="132">
        <f t="shared" si="5"/>
        <v>-1000</v>
      </c>
      <c r="AL4" s="132">
        <f t="shared" si="5"/>
        <v>-1000</v>
      </c>
      <c r="AM4" s="132">
        <f t="shared" si="5"/>
        <v>-1000</v>
      </c>
      <c r="AN4" s="132">
        <f t="shared" si="5"/>
        <v>-1000</v>
      </c>
      <c r="AO4" s="132">
        <f t="shared" si="5"/>
        <v>-1000</v>
      </c>
      <c r="AP4" s="132">
        <f t="shared" si="5"/>
        <v>-1000</v>
      </c>
      <c r="AQ4" s="132">
        <f t="shared" si="5"/>
        <v>-1000</v>
      </c>
      <c r="AR4" s="132">
        <f t="shared" si="5"/>
        <v>-1000</v>
      </c>
      <c r="AS4" s="132">
        <f t="shared" si="5"/>
        <v>-1000</v>
      </c>
    </row>
    <row r="5">
      <c r="A5" s="145" t="s">
        <v>3507</v>
      </c>
      <c r="B5" s="132">
        <v>1900.0</v>
      </c>
      <c r="C5" s="132">
        <v>950.0</v>
      </c>
      <c r="D5" s="132">
        <v>0.0</v>
      </c>
      <c r="E5" s="132">
        <v>250.0</v>
      </c>
      <c r="F5" s="132">
        <v>200.0</v>
      </c>
      <c r="G5" s="132">
        <v>500.0</v>
      </c>
      <c r="H5" s="132">
        <v>0.0</v>
      </c>
      <c r="I5" s="132">
        <v>0.0</v>
      </c>
      <c r="J5" s="132">
        <v>0.0</v>
      </c>
      <c r="K5" s="132">
        <v>0.0</v>
      </c>
      <c r="L5" s="132">
        <v>0.0</v>
      </c>
      <c r="M5" s="132">
        <v>0.0</v>
      </c>
      <c r="N5" s="132">
        <v>0.0</v>
      </c>
      <c r="O5" s="132">
        <v>0.0</v>
      </c>
      <c r="P5" s="132">
        <v>0.0</v>
      </c>
      <c r="Q5" s="132">
        <v>0.0</v>
      </c>
      <c r="R5" s="132">
        <v>0.0</v>
      </c>
      <c r="S5" s="132">
        <v>0.0</v>
      </c>
      <c r="T5" s="132">
        <v>0.0</v>
      </c>
      <c r="U5" s="132">
        <v>0.0</v>
      </c>
      <c r="V5" s="132">
        <v>0.0</v>
      </c>
      <c r="W5" s="132">
        <v>1.0</v>
      </c>
      <c r="Y5" s="145" t="s">
        <v>3507</v>
      </c>
      <c r="Z5" s="132">
        <f t="shared" ref="Z5:AC5" si="6">C5-1000</f>
        <v>-50</v>
      </c>
      <c r="AA5" s="132">
        <f t="shared" si="6"/>
        <v>-1000</v>
      </c>
      <c r="AB5" s="132">
        <f t="shared" si="6"/>
        <v>-750</v>
      </c>
      <c r="AC5" s="132">
        <f t="shared" si="6"/>
        <v>-800</v>
      </c>
      <c r="AD5" s="132">
        <f t="shared" si="4"/>
        <v>-9500</v>
      </c>
      <c r="AE5" s="132">
        <f t="shared" ref="AE5:AS5" si="7">H5-1000</f>
        <v>-1000</v>
      </c>
      <c r="AF5" s="132">
        <f t="shared" si="7"/>
        <v>-1000</v>
      </c>
      <c r="AG5" s="132">
        <f t="shared" si="7"/>
        <v>-1000</v>
      </c>
      <c r="AH5" s="132">
        <f t="shared" si="7"/>
        <v>-1000</v>
      </c>
      <c r="AI5" s="132">
        <f t="shared" si="7"/>
        <v>-1000</v>
      </c>
      <c r="AJ5" s="132">
        <f t="shared" si="7"/>
        <v>-1000</v>
      </c>
      <c r="AK5" s="132">
        <f t="shared" si="7"/>
        <v>-1000</v>
      </c>
      <c r="AL5" s="132">
        <f t="shared" si="7"/>
        <v>-1000</v>
      </c>
      <c r="AM5" s="132">
        <f t="shared" si="7"/>
        <v>-1000</v>
      </c>
      <c r="AN5" s="132">
        <f t="shared" si="7"/>
        <v>-1000</v>
      </c>
      <c r="AO5" s="132">
        <f t="shared" si="7"/>
        <v>-1000</v>
      </c>
      <c r="AP5" s="132">
        <f t="shared" si="7"/>
        <v>-1000</v>
      </c>
      <c r="AQ5" s="132">
        <f t="shared" si="7"/>
        <v>-1000</v>
      </c>
      <c r="AR5" s="132">
        <f t="shared" si="7"/>
        <v>-1000</v>
      </c>
      <c r="AS5" s="132">
        <f t="shared" si="7"/>
        <v>-1000</v>
      </c>
    </row>
    <row r="6">
      <c r="A6" s="132" t="s">
        <v>3508</v>
      </c>
      <c r="B6" s="132">
        <v>2000.0</v>
      </c>
      <c r="C6" s="132">
        <v>0.0</v>
      </c>
      <c r="D6" s="132">
        <v>0.0</v>
      </c>
      <c r="E6" s="132">
        <v>0.0</v>
      </c>
      <c r="F6" s="132">
        <v>2000.0</v>
      </c>
      <c r="G6" s="132">
        <v>0.0</v>
      </c>
      <c r="H6" s="132">
        <v>0.0</v>
      </c>
      <c r="I6" s="132">
        <v>0.0</v>
      </c>
      <c r="J6" s="132">
        <v>0.0</v>
      </c>
      <c r="K6" s="132">
        <v>0.0</v>
      </c>
      <c r="L6" s="132">
        <v>0.0</v>
      </c>
      <c r="M6" s="132">
        <v>0.0</v>
      </c>
      <c r="N6" s="132">
        <v>0.0</v>
      </c>
      <c r="O6" s="132">
        <v>0.0</v>
      </c>
      <c r="P6" s="132">
        <v>0.0</v>
      </c>
      <c r="Q6" s="132">
        <v>0.0</v>
      </c>
      <c r="R6" s="132">
        <v>0.0</v>
      </c>
      <c r="S6" s="132">
        <v>0.0</v>
      </c>
      <c r="T6" s="132">
        <v>0.0</v>
      </c>
      <c r="U6" s="132">
        <v>0.0</v>
      </c>
      <c r="V6" s="132">
        <v>0.0</v>
      </c>
      <c r="W6" s="132">
        <v>0.0</v>
      </c>
      <c r="Y6" s="132" t="s">
        <v>3508</v>
      </c>
      <c r="Z6" s="132">
        <f t="shared" ref="Z6:AC6" si="8">C6-1000</f>
        <v>-1000</v>
      </c>
      <c r="AA6" s="132">
        <f t="shared" si="8"/>
        <v>-1000</v>
      </c>
      <c r="AB6" s="132">
        <f t="shared" si="8"/>
        <v>-1000</v>
      </c>
      <c r="AC6" s="132">
        <f t="shared" si="8"/>
        <v>1000</v>
      </c>
      <c r="AD6" s="132">
        <f t="shared" si="4"/>
        <v>-10000</v>
      </c>
      <c r="AE6" s="132">
        <f t="shared" ref="AE6:AS6" si="9">H6-1000</f>
        <v>-1000</v>
      </c>
      <c r="AF6" s="132">
        <f t="shared" si="9"/>
        <v>-1000</v>
      </c>
      <c r="AG6" s="132">
        <f t="shared" si="9"/>
        <v>-1000</v>
      </c>
      <c r="AH6" s="132">
        <f t="shared" si="9"/>
        <v>-1000</v>
      </c>
      <c r="AI6" s="132">
        <f t="shared" si="9"/>
        <v>-1000</v>
      </c>
      <c r="AJ6" s="132">
        <f t="shared" si="9"/>
        <v>-1000</v>
      </c>
      <c r="AK6" s="132">
        <f t="shared" si="9"/>
        <v>-1000</v>
      </c>
      <c r="AL6" s="132">
        <f t="shared" si="9"/>
        <v>-1000</v>
      </c>
      <c r="AM6" s="132">
        <f t="shared" si="9"/>
        <v>-1000</v>
      </c>
      <c r="AN6" s="132">
        <f t="shared" si="9"/>
        <v>-1000</v>
      </c>
      <c r="AO6" s="132">
        <f t="shared" si="9"/>
        <v>-1000</v>
      </c>
      <c r="AP6" s="132">
        <f t="shared" si="9"/>
        <v>-1000</v>
      </c>
      <c r="AQ6" s="132">
        <f t="shared" si="9"/>
        <v>-1000</v>
      </c>
      <c r="AR6" s="132">
        <f t="shared" si="9"/>
        <v>-1000</v>
      </c>
      <c r="AS6" s="132">
        <f t="shared" si="9"/>
        <v>-1000</v>
      </c>
    </row>
    <row r="7">
      <c r="A7" s="132" t="s">
        <v>3509</v>
      </c>
      <c r="B7" s="132">
        <v>2000.0</v>
      </c>
      <c r="C7" s="132">
        <v>0.0</v>
      </c>
      <c r="D7" s="132">
        <v>0.0</v>
      </c>
      <c r="E7" s="132">
        <v>0.0</v>
      </c>
      <c r="F7" s="132">
        <v>0.0</v>
      </c>
      <c r="G7" s="132">
        <v>0.0</v>
      </c>
      <c r="H7" s="132">
        <v>2000.0</v>
      </c>
      <c r="I7" s="132">
        <v>0.0</v>
      </c>
      <c r="J7" s="132">
        <v>0.0</v>
      </c>
      <c r="K7" s="132">
        <v>0.0</v>
      </c>
      <c r="L7" s="132">
        <v>0.0</v>
      </c>
      <c r="M7" s="132">
        <v>0.0</v>
      </c>
      <c r="N7" s="132">
        <v>0.0</v>
      </c>
      <c r="O7" s="132">
        <v>0.0</v>
      </c>
      <c r="P7" s="132">
        <v>0.0</v>
      </c>
      <c r="Q7" s="132">
        <v>0.0</v>
      </c>
      <c r="R7" s="132">
        <v>0.0</v>
      </c>
      <c r="S7" s="132">
        <v>0.0</v>
      </c>
      <c r="T7" s="132">
        <v>0.0</v>
      </c>
      <c r="U7" s="132">
        <v>0.0</v>
      </c>
      <c r="V7" s="132">
        <v>0.0</v>
      </c>
      <c r="W7" s="132">
        <v>0.0</v>
      </c>
      <c r="Y7" s="132" t="s">
        <v>3509</v>
      </c>
      <c r="Z7" s="132">
        <f t="shared" ref="Z7:AC7" si="10">C7-1000</f>
        <v>-1000</v>
      </c>
      <c r="AA7" s="132">
        <f t="shared" si="10"/>
        <v>-1000</v>
      </c>
      <c r="AB7" s="132">
        <f t="shared" si="10"/>
        <v>-1000</v>
      </c>
      <c r="AC7" s="132">
        <f t="shared" si="10"/>
        <v>-1000</v>
      </c>
      <c r="AD7" s="132">
        <f t="shared" si="4"/>
        <v>-10000</v>
      </c>
      <c r="AE7" s="132">
        <f t="shared" ref="AE7:AS7" si="11">H7-1000</f>
        <v>1000</v>
      </c>
      <c r="AF7" s="132">
        <f t="shared" si="11"/>
        <v>-1000</v>
      </c>
      <c r="AG7" s="132">
        <f t="shared" si="11"/>
        <v>-1000</v>
      </c>
      <c r="AH7" s="132">
        <f t="shared" si="11"/>
        <v>-1000</v>
      </c>
      <c r="AI7" s="132">
        <f t="shared" si="11"/>
        <v>-1000</v>
      </c>
      <c r="AJ7" s="132">
        <f t="shared" si="11"/>
        <v>-1000</v>
      </c>
      <c r="AK7" s="132">
        <f t="shared" si="11"/>
        <v>-1000</v>
      </c>
      <c r="AL7" s="132">
        <f t="shared" si="11"/>
        <v>-1000</v>
      </c>
      <c r="AM7" s="132">
        <f t="shared" si="11"/>
        <v>-1000</v>
      </c>
      <c r="AN7" s="132">
        <f t="shared" si="11"/>
        <v>-1000</v>
      </c>
      <c r="AO7" s="132">
        <f t="shared" si="11"/>
        <v>-1000</v>
      </c>
      <c r="AP7" s="132">
        <f t="shared" si="11"/>
        <v>-1000</v>
      </c>
      <c r="AQ7" s="132">
        <f t="shared" si="11"/>
        <v>-1000</v>
      </c>
      <c r="AR7" s="132">
        <f t="shared" si="11"/>
        <v>-1000</v>
      </c>
      <c r="AS7" s="132">
        <f t="shared" si="11"/>
        <v>-1000</v>
      </c>
    </row>
    <row r="8">
      <c r="A8" s="132" t="s">
        <v>3510</v>
      </c>
      <c r="B8" s="132">
        <v>6050.0</v>
      </c>
      <c r="C8" s="132">
        <v>0.0</v>
      </c>
      <c r="D8" s="132">
        <v>0.0</v>
      </c>
      <c r="E8" s="132">
        <v>0.0</v>
      </c>
      <c r="F8" s="132">
        <v>0.0</v>
      </c>
      <c r="G8" s="132">
        <v>5000.0</v>
      </c>
      <c r="H8" s="132">
        <v>1000.0</v>
      </c>
      <c r="I8" s="132">
        <v>50.0</v>
      </c>
      <c r="J8" s="132">
        <v>0.0</v>
      </c>
      <c r="K8" s="132">
        <v>0.0</v>
      </c>
      <c r="L8" s="132">
        <v>0.0</v>
      </c>
      <c r="M8" s="132">
        <v>0.0</v>
      </c>
      <c r="N8" s="132">
        <v>0.0</v>
      </c>
      <c r="O8" s="132">
        <v>0.0</v>
      </c>
      <c r="P8" s="132">
        <v>0.0</v>
      </c>
      <c r="Q8" s="132">
        <v>0.0</v>
      </c>
      <c r="R8" s="132">
        <v>0.0</v>
      </c>
      <c r="S8" s="132">
        <v>0.0</v>
      </c>
      <c r="T8" s="132">
        <v>0.0</v>
      </c>
      <c r="U8" s="132">
        <v>0.0</v>
      </c>
      <c r="V8" s="132">
        <v>0.0</v>
      </c>
      <c r="W8" s="132">
        <v>1.0</v>
      </c>
      <c r="Y8" s="132" t="s">
        <v>3510</v>
      </c>
      <c r="Z8" s="132">
        <f t="shared" ref="Z8:AC8" si="12">C8-1000</f>
        <v>-1000</v>
      </c>
      <c r="AA8" s="132">
        <f t="shared" si="12"/>
        <v>-1000</v>
      </c>
      <c r="AB8" s="132">
        <f t="shared" si="12"/>
        <v>-1000</v>
      </c>
      <c r="AC8" s="132">
        <f t="shared" si="12"/>
        <v>-1000</v>
      </c>
      <c r="AD8" s="132">
        <f t="shared" si="4"/>
        <v>-5000</v>
      </c>
      <c r="AE8" s="132">
        <f t="shared" ref="AE8:AS8" si="13">H8-1000</f>
        <v>0</v>
      </c>
      <c r="AF8" s="132">
        <f t="shared" si="13"/>
        <v>-950</v>
      </c>
      <c r="AG8" s="132">
        <f t="shared" si="13"/>
        <v>-1000</v>
      </c>
      <c r="AH8" s="132">
        <f t="shared" si="13"/>
        <v>-1000</v>
      </c>
      <c r="AI8" s="132">
        <f t="shared" si="13"/>
        <v>-1000</v>
      </c>
      <c r="AJ8" s="132">
        <f t="shared" si="13"/>
        <v>-1000</v>
      </c>
      <c r="AK8" s="132">
        <f t="shared" si="13"/>
        <v>-1000</v>
      </c>
      <c r="AL8" s="132">
        <f t="shared" si="13"/>
        <v>-1000</v>
      </c>
      <c r="AM8" s="132">
        <f t="shared" si="13"/>
        <v>-1000</v>
      </c>
      <c r="AN8" s="132">
        <f t="shared" si="13"/>
        <v>-1000</v>
      </c>
      <c r="AO8" s="132">
        <f t="shared" si="13"/>
        <v>-1000</v>
      </c>
      <c r="AP8" s="132">
        <f t="shared" si="13"/>
        <v>-1000</v>
      </c>
      <c r="AQ8" s="132">
        <f t="shared" si="13"/>
        <v>-1000</v>
      </c>
      <c r="AR8" s="132">
        <f t="shared" si="13"/>
        <v>-1000</v>
      </c>
      <c r="AS8" s="132">
        <f t="shared" si="13"/>
        <v>-1000</v>
      </c>
    </row>
    <row r="9">
      <c r="A9" s="132" t="s">
        <v>3511</v>
      </c>
      <c r="B9" s="132">
        <v>18000.0</v>
      </c>
      <c r="C9" s="132">
        <v>3000.0</v>
      </c>
      <c r="D9" s="132">
        <v>0.0</v>
      </c>
      <c r="E9" s="132">
        <v>3000.0</v>
      </c>
      <c r="F9" s="132">
        <v>0.0</v>
      </c>
      <c r="G9" s="132">
        <v>0.0</v>
      </c>
      <c r="H9" s="132">
        <v>0.0</v>
      </c>
      <c r="I9" s="132">
        <v>2000.0</v>
      </c>
      <c r="J9" s="132">
        <v>8000.0</v>
      </c>
      <c r="K9" s="132">
        <v>2000.0</v>
      </c>
      <c r="L9" s="132">
        <v>0.0</v>
      </c>
      <c r="M9" s="132">
        <v>0.0</v>
      </c>
      <c r="N9" s="132">
        <v>0.0</v>
      </c>
      <c r="O9" s="132">
        <v>0.0</v>
      </c>
      <c r="P9" s="132">
        <v>0.0</v>
      </c>
      <c r="Q9" s="132">
        <v>0.0</v>
      </c>
      <c r="R9" s="132">
        <v>0.0</v>
      </c>
      <c r="S9" s="132">
        <v>0.0</v>
      </c>
      <c r="T9" s="132">
        <v>0.0</v>
      </c>
      <c r="U9" s="132">
        <v>0.0</v>
      </c>
      <c r="V9" s="132">
        <v>0.0</v>
      </c>
      <c r="W9" s="132">
        <v>1.0</v>
      </c>
      <c r="Y9" s="132" t="s">
        <v>3511</v>
      </c>
      <c r="Z9" s="132">
        <f t="shared" ref="Z9:AC9" si="14">C9-1000</f>
        <v>2000</v>
      </c>
      <c r="AA9" s="132">
        <f t="shared" si="14"/>
        <v>-1000</v>
      </c>
      <c r="AB9" s="132">
        <f t="shared" si="14"/>
        <v>2000</v>
      </c>
      <c r="AC9" s="132">
        <f t="shared" si="14"/>
        <v>-1000</v>
      </c>
      <c r="AD9" s="132">
        <f t="shared" si="4"/>
        <v>-10000</v>
      </c>
      <c r="AE9" s="132">
        <f t="shared" ref="AE9:AS9" si="15">H9-1000</f>
        <v>-1000</v>
      </c>
      <c r="AF9" s="132">
        <f t="shared" si="15"/>
        <v>1000</v>
      </c>
      <c r="AG9" s="132">
        <f t="shared" si="15"/>
        <v>7000</v>
      </c>
      <c r="AH9" s="132">
        <f t="shared" si="15"/>
        <v>1000</v>
      </c>
      <c r="AI9" s="132">
        <f t="shared" si="15"/>
        <v>-1000</v>
      </c>
      <c r="AJ9" s="132">
        <f t="shared" si="15"/>
        <v>-1000</v>
      </c>
      <c r="AK9" s="132">
        <f t="shared" si="15"/>
        <v>-1000</v>
      </c>
      <c r="AL9" s="132">
        <f t="shared" si="15"/>
        <v>-1000</v>
      </c>
      <c r="AM9" s="132">
        <f t="shared" si="15"/>
        <v>-1000</v>
      </c>
      <c r="AN9" s="132">
        <f t="shared" si="15"/>
        <v>-1000</v>
      </c>
      <c r="AO9" s="132">
        <f t="shared" si="15"/>
        <v>-1000</v>
      </c>
      <c r="AP9" s="132">
        <f t="shared" si="15"/>
        <v>-1000</v>
      </c>
      <c r="AQ9" s="132">
        <f t="shared" si="15"/>
        <v>-1000</v>
      </c>
      <c r="AR9" s="132">
        <f t="shared" si="15"/>
        <v>-1000</v>
      </c>
      <c r="AS9" s="132">
        <f t="shared" si="15"/>
        <v>-1000</v>
      </c>
    </row>
    <row r="10">
      <c r="A10" s="132" t="s">
        <v>3512</v>
      </c>
      <c r="B10" s="132">
        <v>200.0</v>
      </c>
      <c r="C10" s="132">
        <v>0.0</v>
      </c>
      <c r="D10" s="132">
        <v>0.0</v>
      </c>
      <c r="E10" s="132">
        <v>0.0</v>
      </c>
      <c r="F10" s="132">
        <v>0.0</v>
      </c>
      <c r="G10" s="132">
        <v>0.0</v>
      </c>
      <c r="H10" s="132">
        <v>200.0</v>
      </c>
      <c r="I10" s="132">
        <v>0.0</v>
      </c>
      <c r="J10" s="132">
        <v>0.0</v>
      </c>
      <c r="K10" s="132">
        <v>0.0</v>
      </c>
      <c r="L10" s="132">
        <v>0.0</v>
      </c>
      <c r="M10" s="132">
        <v>0.0</v>
      </c>
      <c r="N10" s="132">
        <v>0.0</v>
      </c>
      <c r="O10" s="132">
        <v>0.0</v>
      </c>
      <c r="P10" s="132">
        <v>0.0</v>
      </c>
      <c r="Q10" s="132">
        <v>0.0</v>
      </c>
      <c r="R10" s="132">
        <v>0.0</v>
      </c>
      <c r="S10" s="132">
        <v>0.0</v>
      </c>
      <c r="T10" s="132">
        <v>0.0</v>
      </c>
      <c r="U10" s="132">
        <v>0.0</v>
      </c>
      <c r="V10" s="132">
        <v>0.0</v>
      </c>
      <c r="W10" s="132">
        <v>1.0</v>
      </c>
      <c r="Y10" s="132" t="s">
        <v>3512</v>
      </c>
      <c r="Z10" s="132">
        <f t="shared" ref="Z10:AC10" si="16">C10-1000</f>
        <v>-1000</v>
      </c>
      <c r="AA10" s="132">
        <f t="shared" si="16"/>
        <v>-1000</v>
      </c>
      <c r="AB10" s="132">
        <f t="shared" si="16"/>
        <v>-1000</v>
      </c>
      <c r="AC10" s="132">
        <f t="shared" si="16"/>
        <v>-1000</v>
      </c>
      <c r="AD10" s="132">
        <f t="shared" si="4"/>
        <v>-10000</v>
      </c>
      <c r="AE10" s="132">
        <f t="shared" ref="AE10:AS10" si="17">H10-1000</f>
        <v>-800</v>
      </c>
      <c r="AF10" s="132">
        <f t="shared" si="17"/>
        <v>-1000</v>
      </c>
      <c r="AG10" s="132">
        <f t="shared" si="17"/>
        <v>-1000</v>
      </c>
      <c r="AH10" s="132">
        <f t="shared" si="17"/>
        <v>-1000</v>
      </c>
      <c r="AI10" s="132">
        <f t="shared" si="17"/>
        <v>-1000</v>
      </c>
      <c r="AJ10" s="132">
        <f t="shared" si="17"/>
        <v>-1000</v>
      </c>
      <c r="AK10" s="132">
        <f t="shared" si="17"/>
        <v>-1000</v>
      </c>
      <c r="AL10" s="132">
        <f t="shared" si="17"/>
        <v>-1000</v>
      </c>
      <c r="AM10" s="132">
        <f t="shared" si="17"/>
        <v>-1000</v>
      </c>
      <c r="AN10" s="132">
        <f t="shared" si="17"/>
        <v>-1000</v>
      </c>
      <c r="AO10" s="132">
        <f t="shared" si="17"/>
        <v>-1000</v>
      </c>
      <c r="AP10" s="132">
        <f t="shared" si="17"/>
        <v>-1000</v>
      </c>
      <c r="AQ10" s="132">
        <f t="shared" si="17"/>
        <v>-1000</v>
      </c>
      <c r="AR10" s="132">
        <f t="shared" si="17"/>
        <v>-1000</v>
      </c>
      <c r="AS10" s="132">
        <f t="shared" si="17"/>
        <v>-1000</v>
      </c>
    </row>
    <row r="11">
      <c r="A11" s="132" t="s">
        <v>3513</v>
      </c>
      <c r="B11" s="132">
        <v>27000.0</v>
      </c>
      <c r="C11" s="132">
        <v>0.0</v>
      </c>
      <c r="D11" s="132">
        <v>0.0</v>
      </c>
      <c r="E11" s="132">
        <v>2000.0</v>
      </c>
      <c r="F11" s="132">
        <v>0.0</v>
      </c>
      <c r="G11" s="132">
        <v>24000.0</v>
      </c>
      <c r="H11" s="132">
        <v>0.0</v>
      </c>
      <c r="I11" s="132">
        <v>0.0</v>
      </c>
      <c r="J11" s="132">
        <v>0.0</v>
      </c>
      <c r="K11" s="132">
        <v>1000.0</v>
      </c>
      <c r="L11" s="132">
        <v>0.0</v>
      </c>
      <c r="M11" s="132">
        <v>0.0</v>
      </c>
      <c r="N11" s="132">
        <v>0.0</v>
      </c>
      <c r="O11" s="132">
        <v>0.0</v>
      </c>
      <c r="P11" s="132">
        <v>0.0</v>
      </c>
      <c r="Q11" s="132">
        <v>0.0</v>
      </c>
      <c r="R11" s="132">
        <v>0.0</v>
      </c>
      <c r="S11" s="132">
        <v>0.0</v>
      </c>
      <c r="T11" s="132">
        <v>0.0</v>
      </c>
      <c r="U11" s="132">
        <v>0.0</v>
      </c>
      <c r="V11" s="132">
        <v>0.0</v>
      </c>
      <c r="W11" s="132">
        <v>1.0</v>
      </c>
      <c r="Y11" s="132" t="s">
        <v>3513</v>
      </c>
      <c r="Z11" s="132">
        <f t="shared" ref="Z11:AC11" si="18">C11-1000</f>
        <v>-1000</v>
      </c>
      <c r="AA11" s="132">
        <f t="shared" si="18"/>
        <v>-1000</v>
      </c>
      <c r="AB11" s="132">
        <f t="shared" si="18"/>
        <v>1000</v>
      </c>
      <c r="AC11" s="132">
        <f t="shared" si="18"/>
        <v>-1000</v>
      </c>
      <c r="AD11" s="132">
        <f t="shared" si="4"/>
        <v>14000</v>
      </c>
      <c r="AE11" s="132">
        <f t="shared" ref="AE11:AS11" si="19">H11-1000</f>
        <v>-1000</v>
      </c>
      <c r="AF11" s="132">
        <f t="shared" si="19"/>
        <v>-1000</v>
      </c>
      <c r="AG11" s="132">
        <f t="shared" si="19"/>
        <v>-1000</v>
      </c>
      <c r="AH11" s="132">
        <f t="shared" si="19"/>
        <v>0</v>
      </c>
      <c r="AI11" s="132">
        <f t="shared" si="19"/>
        <v>-1000</v>
      </c>
      <c r="AJ11" s="132">
        <f t="shared" si="19"/>
        <v>-1000</v>
      </c>
      <c r="AK11" s="132">
        <f t="shared" si="19"/>
        <v>-1000</v>
      </c>
      <c r="AL11" s="132">
        <f t="shared" si="19"/>
        <v>-1000</v>
      </c>
      <c r="AM11" s="132">
        <f t="shared" si="19"/>
        <v>-1000</v>
      </c>
      <c r="AN11" s="132">
        <f t="shared" si="19"/>
        <v>-1000</v>
      </c>
      <c r="AO11" s="132">
        <f t="shared" si="19"/>
        <v>-1000</v>
      </c>
      <c r="AP11" s="132">
        <f t="shared" si="19"/>
        <v>-1000</v>
      </c>
      <c r="AQ11" s="132">
        <f t="shared" si="19"/>
        <v>-1000</v>
      </c>
      <c r="AR11" s="132">
        <f t="shared" si="19"/>
        <v>-1000</v>
      </c>
      <c r="AS11" s="132">
        <f t="shared" si="19"/>
        <v>-1000</v>
      </c>
    </row>
    <row r="12">
      <c r="A12" s="132" t="s">
        <v>3514</v>
      </c>
      <c r="B12" s="132">
        <v>2500.0</v>
      </c>
      <c r="C12" s="132">
        <v>0.0</v>
      </c>
      <c r="D12" s="132">
        <v>0.0</v>
      </c>
      <c r="E12" s="132">
        <v>0.0</v>
      </c>
      <c r="F12" s="132">
        <v>0.0</v>
      </c>
      <c r="G12" s="132">
        <v>0.0</v>
      </c>
      <c r="H12" s="132">
        <v>0.0</v>
      </c>
      <c r="I12" s="132">
        <v>0.0</v>
      </c>
      <c r="J12" s="132">
        <v>0.0</v>
      </c>
      <c r="K12" s="132">
        <v>0.0</v>
      </c>
      <c r="L12" s="132">
        <v>2000.0</v>
      </c>
      <c r="M12" s="132">
        <v>500.0</v>
      </c>
      <c r="N12" s="132">
        <v>0.0</v>
      </c>
      <c r="O12" s="132">
        <v>0.0</v>
      </c>
      <c r="P12" s="132">
        <v>0.0</v>
      </c>
      <c r="Q12" s="132">
        <v>0.0</v>
      </c>
      <c r="R12" s="132">
        <v>0.0</v>
      </c>
      <c r="S12" s="132">
        <v>0.0</v>
      </c>
      <c r="T12" s="132">
        <v>0.0</v>
      </c>
      <c r="U12" s="132">
        <v>0.0</v>
      </c>
      <c r="V12" s="132">
        <v>0.0</v>
      </c>
      <c r="W12" s="132">
        <v>1.0</v>
      </c>
      <c r="Y12" s="132" t="s">
        <v>3514</v>
      </c>
      <c r="Z12" s="132">
        <f t="shared" ref="Z12:AC12" si="20">C12-1000</f>
        <v>-1000</v>
      </c>
      <c r="AA12" s="132">
        <f t="shared" si="20"/>
        <v>-1000</v>
      </c>
      <c r="AB12" s="132">
        <f t="shared" si="20"/>
        <v>-1000</v>
      </c>
      <c r="AC12" s="132">
        <f t="shared" si="20"/>
        <v>-1000</v>
      </c>
      <c r="AD12" s="132">
        <f t="shared" si="4"/>
        <v>-10000</v>
      </c>
      <c r="AE12" s="132">
        <f t="shared" ref="AE12:AS12" si="21">H12-1000</f>
        <v>-1000</v>
      </c>
      <c r="AF12" s="132">
        <f t="shared" si="21"/>
        <v>-1000</v>
      </c>
      <c r="AG12" s="132">
        <f t="shared" si="21"/>
        <v>-1000</v>
      </c>
      <c r="AH12" s="132">
        <f t="shared" si="21"/>
        <v>-1000</v>
      </c>
      <c r="AI12" s="132">
        <f t="shared" si="21"/>
        <v>1000</v>
      </c>
      <c r="AJ12" s="132">
        <f t="shared" si="21"/>
        <v>-500</v>
      </c>
      <c r="AK12" s="132">
        <f t="shared" si="21"/>
        <v>-1000</v>
      </c>
      <c r="AL12" s="132">
        <f t="shared" si="21"/>
        <v>-1000</v>
      </c>
      <c r="AM12" s="132">
        <f t="shared" si="21"/>
        <v>-1000</v>
      </c>
      <c r="AN12" s="132">
        <f t="shared" si="21"/>
        <v>-1000</v>
      </c>
      <c r="AO12" s="132">
        <f t="shared" si="21"/>
        <v>-1000</v>
      </c>
      <c r="AP12" s="132">
        <f t="shared" si="21"/>
        <v>-1000</v>
      </c>
      <c r="AQ12" s="132">
        <f t="shared" si="21"/>
        <v>-1000</v>
      </c>
      <c r="AR12" s="132">
        <f t="shared" si="21"/>
        <v>-1000</v>
      </c>
      <c r="AS12" s="132">
        <f t="shared" si="21"/>
        <v>-1000</v>
      </c>
    </row>
    <row r="13">
      <c r="A13" s="132" t="s">
        <v>3515</v>
      </c>
      <c r="B13" s="132">
        <v>200.0</v>
      </c>
      <c r="C13" s="132">
        <v>0.0</v>
      </c>
      <c r="D13" s="132">
        <v>0.0</v>
      </c>
      <c r="E13" s="132">
        <v>0.0</v>
      </c>
      <c r="F13" s="132">
        <v>0.0</v>
      </c>
      <c r="G13" s="132">
        <v>0.0</v>
      </c>
      <c r="H13" s="132">
        <v>0.0</v>
      </c>
      <c r="I13" s="132">
        <v>0.0</v>
      </c>
      <c r="J13" s="132">
        <v>0.0</v>
      </c>
      <c r="K13" s="132">
        <v>0.0</v>
      </c>
      <c r="L13" s="132">
        <v>0.0</v>
      </c>
      <c r="M13" s="132">
        <v>200.0</v>
      </c>
      <c r="N13" s="132">
        <v>0.0</v>
      </c>
      <c r="O13" s="132">
        <v>0.0</v>
      </c>
      <c r="P13" s="132">
        <v>0.0</v>
      </c>
      <c r="Q13" s="132">
        <v>0.0</v>
      </c>
      <c r="R13" s="132">
        <v>0.0</v>
      </c>
      <c r="S13" s="132">
        <v>0.0</v>
      </c>
      <c r="T13" s="132">
        <v>0.0</v>
      </c>
      <c r="U13" s="132">
        <v>0.0</v>
      </c>
      <c r="V13" s="132">
        <v>0.0</v>
      </c>
      <c r="W13" s="132">
        <v>0.0</v>
      </c>
      <c r="Y13" s="132" t="s">
        <v>3515</v>
      </c>
      <c r="Z13" s="132">
        <f t="shared" ref="Z13:AC13" si="22">C13-1000</f>
        <v>-1000</v>
      </c>
      <c r="AA13" s="132">
        <f t="shared" si="22"/>
        <v>-1000</v>
      </c>
      <c r="AB13" s="132">
        <f t="shared" si="22"/>
        <v>-1000</v>
      </c>
      <c r="AC13" s="132">
        <f t="shared" si="22"/>
        <v>-1000</v>
      </c>
      <c r="AD13" s="132">
        <f t="shared" si="4"/>
        <v>-10000</v>
      </c>
      <c r="AE13" s="132">
        <f t="shared" ref="AE13:AS13" si="23">H13-1000</f>
        <v>-1000</v>
      </c>
      <c r="AF13" s="132">
        <f t="shared" si="23"/>
        <v>-1000</v>
      </c>
      <c r="AG13" s="132">
        <f t="shared" si="23"/>
        <v>-1000</v>
      </c>
      <c r="AH13" s="132">
        <f t="shared" si="23"/>
        <v>-1000</v>
      </c>
      <c r="AI13" s="132">
        <f t="shared" si="23"/>
        <v>-1000</v>
      </c>
      <c r="AJ13" s="132">
        <f t="shared" si="23"/>
        <v>-800</v>
      </c>
      <c r="AK13" s="132">
        <f t="shared" si="23"/>
        <v>-1000</v>
      </c>
      <c r="AL13" s="132">
        <f t="shared" si="23"/>
        <v>-1000</v>
      </c>
      <c r="AM13" s="132">
        <f t="shared" si="23"/>
        <v>-1000</v>
      </c>
      <c r="AN13" s="132">
        <f t="shared" si="23"/>
        <v>-1000</v>
      </c>
      <c r="AO13" s="132">
        <f t="shared" si="23"/>
        <v>-1000</v>
      </c>
      <c r="AP13" s="132">
        <f t="shared" si="23"/>
        <v>-1000</v>
      </c>
      <c r="AQ13" s="132">
        <f t="shared" si="23"/>
        <v>-1000</v>
      </c>
      <c r="AR13" s="132">
        <f t="shared" si="23"/>
        <v>-1000</v>
      </c>
      <c r="AS13" s="132">
        <f t="shared" si="23"/>
        <v>-1000</v>
      </c>
    </row>
    <row r="14">
      <c r="A14" s="132" t="s">
        <v>3516</v>
      </c>
      <c r="B14" s="132">
        <v>3500.0</v>
      </c>
      <c r="C14" s="132">
        <v>0.0</v>
      </c>
      <c r="D14" s="132">
        <v>0.0</v>
      </c>
      <c r="E14" s="132">
        <v>0.0</v>
      </c>
      <c r="F14" s="132">
        <v>3000.0</v>
      </c>
      <c r="G14" s="132">
        <v>0.0</v>
      </c>
      <c r="H14" s="132">
        <v>0.0</v>
      </c>
      <c r="I14" s="132">
        <v>500.0</v>
      </c>
      <c r="J14" s="132">
        <v>0.0</v>
      </c>
      <c r="K14" s="132">
        <v>0.0</v>
      </c>
      <c r="L14" s="132">
        <v>0.0</v>
      </c>
      <c r="M14" s="132">
        <v>0.0</v>
      </c>
      <c r="N14" s="132">
        <v>0.0</v>
      </c>
      <c r="O14" s="132">
        <v>0.0</v>
      </c>
      <c r="P14" s="132">
        <v>0.0</v>
      </c>
      <c r="Q14" s="132">
        <v>0.0</v>
      </c>
      <c r="R14" s="132">
        <v>0.0</v>
      </c>
      <c r="S14" s="132">
        <v>0.0</v>
      </c>
      <c r="T14" s="132">
        <v>0.0</v>
      </c>
      <c r="U14" s="132">
        <v>0.0</v>
      </c>
      <c r="V14" s="132">
        <v>0.0</v>
      </c>
      <c r="W14" s="132">
        <v>0.0</v>
      </c>
      <c r="Y14" s="132" t="s">
        <v>3516</v>
      </c>
      <c r="Z14" s="132">
        <f t="shared" ref="Z14:AC14" si="24">C14-1000</f>
        <v>-1000</v>
      </c>
      <c r="AA14" s="132">
        <f t="shared" si="24"/>
        <v>-1000</v>
      </c>
      <c r="AB14" s="132">
        <f t="shared" si="24"/>
        <v>-1000</v>
      </c>
      <c r="AC14" s="132">
        <f t="shared" si="24"/>
        <v>2000</v>
      </c>
      <c r="AD14" s="132">
        <f t="shared" si="4"/>
        <v>-10000</v>
      </c>
      <c r="AE14" s="132">
        <f t="shared" ref="AE14:AS14" si="25">H14-1000</f>
        <v>-1000</v>
      </c>
      <c r="AF14" s="132">
        <f t="shared" si="25"/>
        <v>-500</v>
      </c>
      <c r="AG14" s="132">
        <f t="shared" si="25"/>
        <v>-1000</v>
      </c>
      <c r="AH14" s="132">
        <f t="shared" si="25"/>
        <v>-1000</v>
      </c>
      <c r="AI14" s="132">
        <f t="shared" si="25"/>
        <v>-1000</v>
      </c>
      <c r="AJ14" s="132">
        <f t="shared" si="25"/>
        <v>-1000</v>
      </c>
      <c r="AK14" s="132">
        <f t="shared" si="25"/>
        <v>-1000</v>
      </c>
      <c r="AL14" s="132">
        <f t="shared" si="25"/>
        <v>-1000</v>
      </c>
      <c r="AM14" s="132">
        <f t="shared" si="25"/>
        <v>-1000</v>
      </c>
      <c r="AN14" s="132">
        <f t="shared" si="25"/>
        <v>-1000</v>
      </c>
      <c r="AO14" s="132">
        <f t="shared" si="25"/>
        <v>-1000</v>
      </c>
      <c r="AP14" s="132">
        <f t="shared" si="25"/>
        <v>-1000</v>
      </c>
      <c r="AQ14" s="132">
        <f t="shared" si="25"/>
        <v>-1000</v>
      </c>
      <c r="AR14" s="132">
        <f t="shared" si="25"/>
        <v>-1000</v>
      </c>
      <c r="AS14" s="132">
        <f t="shared" si="25"/>
        <v>-1000</v>
      </c>
    </row>
    <row r="15">
      <c r="A15" s="132" t="s">
        <v>3517</v>
      </c>
      <c r="B15" s="132">
        <v>200.0</v>
      </c>
      <c r="C15" s="132">
        <v>0.0</v>
      </c>
      <c r="D15" s="132">
        <v>0.0</v>
      </c>
      <c r="E15" s="132">
        <v>0.0</v>
      </c>
      <c r="F15" s="132">
        <v>0.0</v>
      </c>
      <c r="G15" s="132">
        <v>0.0</v>
      </c>
      <c r="H15" s="132">
        <v>200.0</v>
      </c>
      <c r="I15" s="132">
        <v>0.0</v>
      </c>
      <c r="J15" s="132">
        <v>0.0</v>
      </c>
      <c r="K15" s="132">
        <v>0.0</v>
      </c>
      <c r="L15" s="132">
        <v>0.0</v>
      </c>
      <c r="M15" s="132">
        <v>0.0</v>
      </c>
      <c r="N15" s="132">
        <v>0.0</v>
      </c>
      <c r="O15" s="132">
        <v>0.0</v>
      </c>
      <c r="P15" s="132">
        <v>0.0</v>
      </c>
      <c r="Q15" s="132">
        <v>0.0</v>
      </c>
      <c r="R15" s="132">
        <v>0.0</v>
      </c>
      <c r="S15" s="132">
        <v>0.0</v>
      </c>
      <c r="T15" s="132">
        <v>0.0</v>
      </c>
      <c r="U15" s="132">
        <v>0.0</v>
      </c>
      <c r="V15" s="132">
        <v>0.0</v>
      </c>
      <c r="W15" s="132">
        <v>1.0</v>
      </c>
      <c r="Y15" s="132" t="s">
        <v>3517</v>
      </c>
      <c r="Z15" s="132">
        <f t="shared" ref="Z15:AC15" si="26">C15-1000</f>
        <v>-1000</v>
      </c>
      <c r="AA15" s="132">
        <f t="shared" si="26"/>
        <v>-1000</v>
      </c>
      <c r="AB15" s="132">
        <f t="shared" si="26"/>
        <v>-1000</v>
      </c>
      <c r="AC15" s="132">
        <f t="shared" si="26"/>
        <v>-1000</v>
      </c>
      <c r="AD15" s="132">
        <f t="shared" si="4"/>
        <v>-10000</v>
      </c>
      <c r="AE15" s="132">
        <f t="shared" ref="AE15:AS15" si="27">H15-1000</f>
        <v>-800</v>
      </c>
      <c r="AF15" s="132">
        <f t="shared" si="27"/>
        <v>-1000</v>
      </c>
      <c r="AG15" s="132">
        <f t="shared" si="27"/>
        <v>-1000</v>
      </c>
      <c r="AH15" s="132">
        <f t="shared" si="27"/>
        <v>-1000</v>
      </c>
      <c r="AI15" s="132">
        <f t="shared" si="27"/>
        <v>-1000</v>
      </c>
      <c r="AJ15" s="132">
        <f t="shared" si="27"/>
        <v>-1000</v>
      </c>
      <c r="AK15" s="132">
        <f t="shared" si="27"/>
        <v>-1000</v>
      </c>
      <c r="AL15" s="132">
        <f t="shared" si="27"/>
        <v>-1000</v>
      </c>
      <c r="AM15" s="132">
        <f t="shared" si="27"/>
        <v>-1000</v>
      </c>
      <c r="AN15" s="132">
        <f t="shared" si="27"/>
        <v>-1000</v>
      </c>
      <c r="AO15" s="132">
        <f t="shared" si="27"/>
        <v>-1000</v>
      </c>
      <c r="AP15" s="132">
        <f t="shared" si="27"/>
        <v>-1000</v>
      </c>
      <c r="AQ15" s="132">
        <f t="shared" si="27"/>
        <v>-1000</v>
      </c>
      <c r="AR15" s="132">
        <f t="shared" si="27"/>
        <v>-1000</v>
      </c>
      <c r="AS15" s="132">
        <f t="shared" si="27"/>
        <v>-1000</v>
      </c>
    </row>
    <row r="16">
      <c r="A16" s="132" t="s">
        <v>3518</v>
      </c>
      <c r="B16" s="132">
        <v>200.0</v>
      </c>
      <c r="C16" s="132">
        <v>200.0</v>
      </c>
      <c r="D16" s="132">
        <v>0.0</v>
      </c>
      <c r="E16" s="132">
        <v>0.0</v>
      </c>
      <c r="F16" s="132">
        <v>0.0</v>
      </c>
      <c r="G16" s="132">
        <v>0.0</v>
      </c>
      <c r="H16" s="132">
        <v>0.0</v>
      </c>
      <c r="I16" s="132">
        <v>0.0</v>
      </c>
      <c r="J16" s="132">
        <v>0.0</v>
      </c>
      <c r="K16" s="132">
        <v>0.0</v>
      </c>
      <c r="L16" s="132">
        <v>0.0</v>
      </c>
      <c r="M16" s="132">
        <v>0.0</v>
      </c>
      <c r="N16" s="132">
        <v>0.0</v>
      </c>
      <c r="O16" s="132">
        <v>0.0</v>
      </c>
      <c r="P16" s="132">
        <v>0.0</v>
      </c>
      <c r="Q16" s="132">
        <v>0.0</v>
      </c>
      <c r="R16" s="132">
        <v>0.0</v>
      </c>
      <c r="S16" s="132">
        <v>0.0</v>
      </c>
      <c r="T16" s="132">
        <v>0.0</v>
      </c>
      <c r="U16" s="132">
        <v>0.0</v>
      </c>
      <c r="V16" s="132">
        <v>0.0</v>
      </c>
      <c r="W16" s="132">
        <v>0.0</v>
      </c>
      <c r="Y16" s="132" t="s">
        <v>3518</v>
      </c>
      <c r="Z16" s="132">
        <f t="shared" ref="Z16:AC16" si="28">C16-1000</f>
        <v>-800</v>
      </c>
      <c r="AA16" s="132">
        <f t="shared" si="28"/>
        <v>-1000</v>
      </c>
      <c r="AB16" s="132">
        <f t="shared" si="28"/>
        <v>-1000</v>
      </c>
      <c r="AC16" s="132">
        <f t="shared" si="28"/>
        <v>-1000</v>
      </c>
      <c r="AD16" s="132">
        <f t="shared" si="4"/>
        <v>-10000</v>
      </c>
      <c r="AE16" s="132">
        <f t="shared" ref="AE16:AS16" si="29">H16-1000</f>
        <v>-1000</v>
      </c>
      <c r="AF16" s="132">
        <f t="shared" si="29"/>
        <v>-1000</v>
      </c>
      <c r="AG16" s="132">
        <f t="shared" si="29"/>
        <v>-1000</v>
      </c>
      <c r="AH16" s="132">
        <f t="shared" si="29"/>
        <v>-1000</v>
      </c>
      <c r="AI16" s="132">
        <f t="shared" si="29"/>
        <v>-1000</v>
      </c>
      <c r="AJ16" s="132">
        <f t="shared" si="29"/>
        <v>-1000</v>
      </c>
      <c r="AK16" s="132">
        <f t="shared" si="29"/>
        <v>-1000</v>
      </c>
      <c r="AL16" s="132">
        <f t="shared" si="29"/>
        <v>-1000</v>
      </c>
      <c r="AM16" s="132">
        <f t="shared" si="29"/>
        <v>-1000</v>
      </c>
      <c r="AN16" s="132">
        <f t="shared" si="29"/>
        <v>-1000</v>
      </c>
      <c r="AO16" s="132">
        <f t="shared" si="29"/>
        <v>-1000</v>
      </c>
      <c r="AP16" s="132">
        <f t="shared" si="29"/>
        <v>-1000</v>
      </c>
      <c r="AQ16" s="132">
        <f t="shared" si="29"/>
        <v>-1000</v>
      </c>
      <c r="AR16" s="132">
        <f t="shared" si="29"/>
        <v>-1000</v>
      </c>
      <c r="AS16" s="132">
        <f t="shared" si="29"/>
        <v>-1000</v>
      </c>
    </row>
    <row r="17">
      <c r="A17" s="132" t="s">
        <v>3519</v>
      </c>
      <c r="B17" s="132">
        <v>352.0</v>
      </c>
      <c r="C17" s="132">
        <v>0.0</v>
      </c>
      <c r="D17" s="132">
        <v>0.0</v>
      </c>
      <c r="E17" s="132">
        <v>0.0</v>
      </c>
      <c r="F17" s="132">
        <v>0.0</v>
      </c>
      <c r="G17" s="132">
        <v>0.0</v>
      </c>
      <c r="H17" s="132">
        <v>0.0</v>
      </c>
      <c r="I17" s="132">
        <v>0.0</v>
      </c>
      <c r="J17" s="132">
        <v>0.0</v>
      </c>
      <c r="K17" s="132">
        <v>0.0</v>
      </c>
      <c r="L17" s="132">
        <v>0.0</v>
      </c>
      <c r="M17" s="132">
        <v>250.0</v>
      </c>
      <c r="N17" s="132">
        <v>102.0</v>
      </c>
      <c r="O17" s="132">
        <v>0.0</v>
      </c>
      <c r="P17" s="132">
        <v>0.0</v>
      </c>
      <c r="Q17" s="132">
        <v>0.0</v>
      </c>
      <c r="R17" s="132">
        <v>0.0</v>
      </c>
      <c r="S17" s="132">
        <v>0.0</v>
      </c>
      <c r="T17" s="132">
        <v>0.0</v>
      </c>
      <c r="U17" s="132">
        <v>0.0</v>
      </c>
      <c r="V17" s="132">
        <v>0.0</v>
      </c>
      <c r="W17" s="132">
        <v>1.0</v>
      </c>
      <c r="Y17" s="132" t="s">
        <v>3519</v>
      </c>
      <c r="Z17" s="132">
        <f t="shared" ref="Z17:AC17" si="30">C17-1000</f>
        <v>-1000</v>
      </c>
      <c r="AA17" s="132">
        <f t="shared" si="30"/>
        <v>-1000</v>
      </c>
      <c r="AB17" s="132">
        <f t="shared" si="30"/>
        <v>-1000</v>
      </c>
      <c r="AC17" s="132">
        <f t="shared" si="30"/>
        <v>-1000</v>
      </c>
      <c r="AD17" s="132">
        <f t="shared" si="4"/>
        <v>-10000</v>
      </c>
      <c r="AE17" s="132">
        <f t="shared" ref="AE17:AS17" si="31">H17-1000</f>
        <v>-1000</v>
      </c>
      <c r="AF17" s="132">
        <f t="shared" si="31"/>
        <v>-1000</v>
      </c>
      <c r="AG17" s="132">
        <f t="shared" si="31"/>
        <v>-1000</v>
      </c>
      <c r="AH17" s="132">
        <f t="shared" si="31"/>
        <v>-1000</v>
      </c>
      <c r="AI17" s="132">
        <f t="shared" si="31"/>
        <v>-1000</v>
      </c>
      <c r="AJ17" s="132">
        <f t="shared" si="31"/>
        <v>-750</v>
      </c>
      <c r="AK17" s="132">
        <f t="shared" si="31"/>
        <v>-898</v>
      </c>
      <c r="AL17" s="132">
        <f t="shared" si="31"/>
        <v>-1000</v>
      </c>
      <c r="AM17" s="132">
        <f t="shared" si="31"/>
        <v>-1000</v>
      </c>
      <c r="AN17" s="132">
        <f t="shared" si="31"/>
        <v>-1000</v>
      </c>
      <c r="AO17" s="132">
        <f t="shared" si="31"/>
        <v>-1000</v>
      </c>
      <c r="AP17" s="132">
        <f t="shared" si="31"/>
        <v>-1000</v>
      </c>
      <c r="AQ17" s="132">
        <f t="shared" si="31"/>
        <v>-1000</v>
      </c>
      <c r="AR17" s="132">
        <f t="shared" si="31"/>
        <v>-1000</v>
      </c>
      <c r="AS17" s="132">
        <f t="shared" si="31"/>
        <v>-1000</v>
      </c>
    </row>
    <row r="18">
      <c r="A18" s="132" t="s">
        <v>3520</v>
      </c>
      <c r="B18" s="132">
        <v>200.0</v>
      </c>
      <c r="C18" s="132">
        <v>0.0</v>
      </c>
      <c r="D18" s="132">
        <v>0.0</v>
      </c>
      <c r="E18" s="132">
        <v>0.0</v>
      </c>
      <c r="F18" s="132">
        <v>200.0</v>
      </c>
      <c r="G18" s="132">
        <v>0.0</v>
      </c>
      <c r="H18" s="132">
        <v>0.0</v>
      </c>
      <c r="I18" s="132">
        <v>0.0</v>
      </c>
      <c r="J18" s="132">
        <v>0.0</v>
      </c>
      <c r="K18" s="132">
        <v>0.0</v>
      </c>
      <c r="L18" s="132">
        <v>0.0</v>
      </c>
      <c r="M18" s="132">
        <v>0.0</v>
      </c>
      <c r="N18" s="132">
        <v>0.0</v>
      </c>
      <c r="O18" s="132">
        <v>0.0</v>
      </c>
      <c r="P18" s="132">
        <v>0.0</v>
      </c>
      <c r="Q18" s="132">
        <v>0.0</v>
      </c>
      <c r="R18" s="132">
        <v>0.0</v>
      </c>
      <c r="S18" s="132">
        <v>0.0</v>
      </c>
      <c r="T18" s="132">
        <v>0.0</v>
      </c>
      <c r="U18" s="132">
        <v>0.0</v>
      </c>
      <c r="V18" s="132">
        <v>0.0</v>
      </c>
      <c r="W18" s="132">
        <v>0.0</v>
      </c>
      <c r="Y18" s="132" t="s">
        <v>3520</v>
      </c>
      <c r="Z18" s="132">
        <f t="shared" ref="Z18:AC18" si="32">C18-1000</f>
        <v>-1000</v>
      </c>
      <c r="AA18" s="132">
        <f t="shared" si="32"/>
        <v>-1000</v>
      </c>
      <c r="AB18" s="132">
        <f t="shared" si="32"/>
        <v>-1000</v>
      </c>
      <c r="AC18" s="132">
        <f t="shared" si="32"/>
        <v>-800</v>
      </c>
      <c r="AD18" s="132">
        <f t="shared" si="4"/>
        <v>-10000</v>
      </c>
      <c r="AE18" s="132">
        <f t="shared" ref="AE18:AS18" si="33">H18-1000</f>
        <v>-1000</v>
      </c>
      <c r="AF18" s="132">
        <f t="shared" si="33"/>
        <v>-1000</v>
      </c>
      <c r="AG18" s="132">
        <f t="shared" si="33"/>
        <v>-1000</v>
      </c>
      <c r="AH18" s="132">
        <f t="shared" si="33"/>
        <v>-1000</v>
      </c>
      <c r="AI18" s="132">
        <f t="shared" si="33"/>
        <v>-1000</v>
      </c>
      <c r="AJ18" s="132">
        <f t="shared" si="33"/>
        <v>-1000</v>
      </c>
      <c r="AK18" s="132">
        <f t="shared" si="33"/>
        <v>-1000</v>
      </c>
      <c r="AL18" s="132">
        <f t="shared" si="33"/>
        <v>-1000</v>
      </c>
      <c r="AM18" s="132">
        <f t="shared" si="33"/>
        <v>-1000</v>
      </c>
      <c r="AN18" s="132">
        <f t="shared" si="33"/>
        <v>-1000</v>
      </c>
      <c r="AO18" s="132">
        <f t="shared" si="33"/>
        <v>-1000</v>
      </c>
      <c r="AP18" s="132">
        <f t="shared" si="33"/>
        <v>-1000</v>
      </c>
      <c r="AQ18" s="132">
        <f t="shared" si="33"/>
        <v>-1000</v>
      </c>
      <c r="AR18" s="132">
        <f t="shared" si="33"/>
        <v>-1000</v>
      </c>
      <c r="AS18" s="132">
        <f t="shared" si="33"/>
        <v>-1000</v>
      </c>
    </row>
    <row r="19">
      <c r="A19" s="132" t="s">
        <v>3521</v>
      </c>
      <c r="B19" s="132">
        <v>2000.0</v>
      </c>
      <c r="C19" s="132">
        <v>0.0</v>
      </c>
      <c r="D19" s="132">
        <v>0.0</v>
      </c>
      <c r="E19" s="132">
        <v>0.0</v>
      </c>
      <c r="F19" s="132">
        <v>0.0</v>
      </c>
      <c r="G19" s="132">
        <v>2000.0</v>
      </c>
      <c r="H19" s="132">
        <v>0.0</v>
      </c>
      <c r="I19" s="132">
        <v>0.0</v>
      </c>
      <c r="J19" s="132">
        <v>0.0</v>
      </c>
      <c r="K19" s="132">
        <v>0.0</v>
      </c>
      <c r="L19" s="132">
        <v>0.0</v>
      </c>
      <c r="M19" s="132">
        <v>0.0</v>
      </c>
      <c r="N19" s="132">
        <v>0.0</v>
      </c>
      <c r="O19" s="132">
        <v>0.0</v>
      </c>
      <c r="P19" s="132">
        <v>0.0</v>
      </c>
      <c r="Q19" s="132">
        <v>0.0</v>
      </c>
      <c r="R19" s="132">
        <v>0.0</v>
      </c>
      <c r="S19" s="132">
        <v>0.0</v>
      </c>
      <c r="T19" s="132">
        <v>0.0</v>
      </c>
      <c r="U19" s="132">
        <v>0.0</v>
      </c>
      <c r="V19" s="132">
        <v>0.0</v>
      </c>
      <c r="W19" s="132">
        <v>0.0</v>
      </c>
      <c r="Y19" s="132" t="s">
        <v>3521</v>
      </c>
      <c r="Z19" s="132">
        <f t="shared" ref="Z19:AC19" si="34">C19-1000</f>
        <v>-1000</v>
      </c>
      <c r="AA19" s="132">
        <f t="shared" si="34"/>
        <v>-1000</v>
      </c>
      <c r="AB19" s="132">
        <f t="shared" si="34"/>
        <v>-1000</v>
      </c>
      <c r="AC19" s="132">
        <f t="shared" si="34"/>
        <v>-1000</v>
      </c>
      <c r="AD19" s="132">
        <f t="shared" si="4"/>
        <v>-8000</v>
      </c>
      <c r="AE19" s="132">
        <f t="shared" ref="AE19:AS19" si="35">H19-1000</f>
        <v>-1000</v>
      </c>
      <c r="AF19" s="132">
        <f t="shared" si="35"/>
        <v>-1000</v>
      </c>
      <c r="AG19" s="132">
        <f t="shared" si="35"/>
        <v>-1000</v>
      </c>
      <c r="AH19" s="132">
        <f t="shared" si="35"/>
        <v>-1000</v>
      </c>
      <c r="AI19" s="132">
        <f t="shared" si="35"/>
        <v>-1000</v>
      </c>
      <c r="AJ19" s="132">
        <f t="shared" si="35"/>
        <v>-1000</v>
      </c>
      <c r="AK19" s="132">
        <f t="shared" si="35"/>
        <v>-1000</v>
      </c>
      <c r="AL19" s="132">
        <f t="shared" si="35"/>
        <v>-1000</v>
      </c>
      <c r="AM19" s="132">
        <f t="shared" si="35"/>
        <v>-1000</v>
      </c>
      <c r="AN19" s="132">
        <f t="shared" si="35"/>
        <v>-1000</v>
      </c>
      <c r="AO19" s="132">
        <f t="shared" si="35"/>
        <v>-1000</v>
      </c>
      <c r="AP19" s="132">
        <f t="shared" si="35"/>
        <v>-1000</v>
      </c>
      <c r="AQ19" s="132">
        <f t="shared" si="35"/>
        <v>-1000</v>
      </c>
      <c r="AR19" s="132">
        <f t="shared" si="35"/>
        <v>-1000</v>
      </c>
      <c r="AS19" s="132">
        <f t="shared" si="35"/>
        <v>-1000</v>
      </c>
    </row>
    <row r="20">
      <c r="A20" s="132" t="s">
        <v>3522</v>
      </c>
      <c r="B20" s="132">
        <v>200.0</v>
      </c>
      <c r="C20" s="132">
        <v>200.0</v>
      </c>
      <c r="D20" s="132">
        <v>0.0</v>
      </c>
      <c r="E20" s="132">
        <v>0.0</v>
      </c>
      <c r="F20" s="132">
        <v>0.0</v>
      </c>
      <c r="G20" s="132">
        <v>0.0</v>
      </c>
      <c r="H20" s="132">
        <v>0.0</v>
      </c>
      <c r="I20" s="132">
        <v>0.0</v>
      </c>
      <c r="J20" s="132">
        <v>0.0</v>
      </c>
      <c r="K20" s="132">
        <v>0.0</v>
      </c>
      <c r="L20" s="132">
        <v>0.0</v>
      </c>
      <c r="M20" s="132">
        <v>0.0</v>
      </c>
      <c r="N20" s="132">
        <v>0.0</v>
      </c>
      <c r="O20" s="132">
        <v>0.0</v>
      </c>
      <c r="P20" s="132">
        <v>0.0</v>
      </c>
      <c r="Q20" s="132">
        <v>0.0</v>
      </c>
      <c r="R20" s="132">
        <v>0.0</v>
      </c>
      <c r="S20" s="132">
        <v>0.0</v>
      </c>
      <c r="T20" s="132">
        <v>0.0</v>
      </c>
      <c r="U20" s="132">
        <v>0.0</v>
      </c>
      <c r="V20" s="132">
        <v>0.0</v>
      </c>
      <c r="W20" s="132">
        <v>0.0</v>
      </c>
      <c r="Y20" s="132" t="s">
        <v>3522</v>
      </c>
      <c r="Z20" s="132">
        <f t="shared" ref="Z20:AC20" si="36">C20-1000</f>
        <v>-800</v>
      </c>
      <c r="AA20" s="132">
        <f t="shared" si="36"/>
        <v>-1000</v>
      </c>
      <c r="AB20" s="132">
        <f t="shared" si="36"/>
        <v>-1000</v>
      </c>
      <c r="AC20" s="132">
        <f t="shared" si="36"/>
        <v>-1000</v>
      </c>
      <c r="AD20" s="132">
        <f t="shared" si="4"/>
        <v>-10000</v>
      </c>
      <c r="AE20" s="132">
        <f t="shared" ref="AE20:AS20" si="37">H20-1000</f>
        <v>-1000</v>
      </c>
      <c r="AF20" s="132">
        <f t="shared" si="37"/>
        <v>-1000</v>
      </c>
      <c r="AG20" s="132">
        <f t="shared" si="37"/>
        <v>-1000</v>
      </c>
      <c r="AH20" s="132">
        <f t="shared" si="37"/>
        <v>-1000</v>
      </c>
      <c r="AI20" s="132">
        <f t="shared" si="37"/>
        <v>-1000</v>
      </c>
      <c r="AJ20" s="132">
        <f t="shared" si="37"/>
        <v>-1000</v>
      </c>
      <c r="AK20" s="132">
        <f t="shared" si="37"/>
        <v>-1000</v>
      </c>
      <c r="AL20" s="132">
        <f t="shared" si="37"/>
        <v>-1000</v>
      </c>
      <c r="AM20" s="132">
        <f t="shared" si="37"/>
        <v>-1000</v>
      </c>
      <c r="AN20" s="132">
        <f t="shared" si="37"/>
        <v>-1000</v>
      </c>
      <c r="AO20" s="132">
        <f t="shared" si="37"/>
        <v>-1000</v>
      </c>
      <c r="AP20" s="132">
        <f t="shared" si="37"/>
        <v>-1000</v>
      </c>
      <c r="AQ20" s="132">
        <f t="shared" si="37"/>
        <v>-1000</v>
      </c>
      <c r="AR20" s="132">
        <f t="shared" si="37"/>
        <v>-1000</v>
      </c>
      <c r="AS20" s="132">
        <f t="shared" si="37"/>
        <v>-1000</v>
      </c>
    </row>
    <row r="21">
      <c r="A21" s="132" t="s">
        <v>3523</v>
      </c>
      <c r="B21" s="132">
        <v>10000.0</v>
      </c>
      <c r="C21" s="132">
        <v>0.0</v>
      </c>
      <c r="D21" s="132">
        <v>0.0</v>
      </c>
      <c r="E21" s="132">
        <v>0.0</v>
      </c>
      <c r="F21" s="132">
        <v>0.0</v>
      </c>
      <c r="G21" s="132">
        <v>10000.0</v>
      </c>
      <c r="H21" s="132">
        <v>0.0</v>
      </c>
      <c r="I21" s="132">
        <v>0.0</v>
      </c>
      <c r="J21" s="132">
        <v>0.0</v>
      </c>
      <c r="K21" s="132">
        <v>0.0</v>
      </c>
      <c r="L21" s="132">
        <v>0.0</v>
      </c>
      <c r="M21" s="132">
        <v>0.0</v>
      </c>
      <c r="N21" s="132">
        <v>0.0</v>
      </c>
      <c r="O21" s="132">
        <v>0.0</v>
      </c>
      <c r="P21" s="132">
        <v>0.0</v>
      </c>
      <c r="Q21" s="132">
        <v>0.0</v>
      </c>
      <c r="R21" s="132">
        <v>0.0</v>
      </c>
      <c r="S21" s="132">
        <v>0.0</v>
      </c>
      <c r="T21" s="132">
        <v>0.0</v>
      </c>
      <c r="U21" s="132">
        <v>0.0</v>
      </c>
      <c r="V21" s="132">
        <v>0.0</v>
      </c>
      <c r="W21" s="132">
        <v>0.0</v>
      </c>
      <c r="Y21" s="132" t="s">
        <v>3523</v>
      </c>
      <c r="Z21" s="132">
        <f t="shared" ref="Z21:AC21" si="38">C21-1000</f>
        <v>-1000</v>
      </c>
      <c r="AA21" s="132">
        <f t="shared" si="38"/>
        <v>-1000</v>
      </c>
      <c r="AB21" s="132">
        <f t="shared" si="38"/>
        <v>-1000</v>
      </c>
      <c r="AC21" s="132">
        <f t="shared" si="38"/>
        <v>-1000</v>
      </c>
      <c r="AD21" s="132">
        <f t="shared" si="4"/>
        <v>0</v>
      </c>
      <c r="AE21" s="132">
        <f t="shared" ref="AE21:AS21" si="39">H21-1000</f>
        <v>-1000</v>
      </c>
      <c r="AF21" s="132">
        <f t="shared" si="39"/>
        <v>-1000</v>
      </c>
      <c r="AG21" s="132">
        <f t="shared" si="39"/>
        <v>-1000</v>
      </c>
      <c r="AH21" s="132">
        <f t="shared" si="39"/>
        <v>-1000</v>
      </c>
      <c r="AI21" s="132">
        <f t="shared" si="39"/>
        <v>-1000</v>
      </c>
      <c r="AJ21" s="132">
        <f t="shared" si="39"/>
        <v>-1000</v>
      </c>
      <c r="AK21" s="132">
        <f t="shared" si="39"/>
        <v>-1000</v>
      </c>
      <c r="AL21" s="132">
        <f t="shared" si="39"/>
        <v>-1000</v>
      </c>
      <c r="AM21" s="132">
        <f t="shared" si="39"/>
        <v>-1000</v>
      </c>
      <c r="AN21" s="132">
        <f t="shared" si="39"/>
        <v>-1000</v>
      </c>
      <c r="AO21" s="132">
        <f t="shared" si="39"/>
        <v>-1000</v>
      </c>
      <c r="AP21" s="132">
        <f t="shared" si="39"/>
        <v>-1000</v>
      </c>
      <c r="AQ21" s="132">
        <f t="shared" si="39"/>
        <v>-1000</v>
      </c>
      <c r="AR21" s="132">
        <f t="shared" si="39"/>
        <v>-1000</v>
      </c>
      <c r="AS21" s="132">
        <f t="shared" si="39"/>
        <v>-1000</v>
      </c>
    </row>
    <row r="22">
      <c r="A22" s="132" t="s">
        <v>3524</v>
      </c>
      <c r="B22" s="132">
        <v>1666.0</v>
      </c>
      <c r="C22" s="132">
        <v>1666.0</v>
      </c>
      <c r="D22" s="132">
        <v>0.0</v>
      </c>
      <c r="E22" s="132">
        <v>0.0</v>
      </c>
      <c r="F22" s="132">
        <v>0.0</v>
      </c>
      <c r="G22" s="132">
        <v>0.0</v>
      </c>
      <c r="H22" s="132">
        <v>0.0</v>
      </c>
      <c r="I22" s="132">
        <v>0.0</v>
      </c>
      <c r="J22" s="132">
        <v>0.0</v>
      </c>
      <c r="K22" s="132">
        <v>0.0</v>
      </c>
      <c r="L22" s="132">
        <v>0.0</v>
      </c>
      <c r="M22" s="132">
        <v>0.0</v>
      </c>
      <c r="N22" s="132">
        <v>0.0</v>
      </c>
      <c r="O22" s="132">
        <v>0.0</v>
      </c>
      <c r="P22" s="132">
        <v>0.0</v>
      </c>
      <c r="Q22" s="132">
        <v>0.0</v>
      </c>
      <c r="R22" s="132">
        <v>0.0</v>
      </c>
      <c r="S22" s="132">
        <v>0.0</v>
      </c>
      <c r="T22" s="132">
        <v>0.0</v>
      </c>
      <c r="U22" s="132">
        <v>0.0</v>
      </c>
      <c r="V22" s="132">
        <v>0.0</v>
      </c>
      <c r="W22" s="132">
        <v>0.0</v>
      </c>
      <c r="Y22" s="132" t="s">
        <v>3524</v>
      </c>
      <c r="Z22" s="132">
        <f t="shared" ref="Z22:AC22" si="40">C22-1000</f>
        <v>666</v>
      </c>
      <c r="AA22" s="132">
        <f t="shared" si="40"/>
        <v>-1000</v>
      </c>
      <c r="AB22" s="132">
        <f t="shared" si="40"/>
        <v>-1000</v>
      </c>
      <c r="AC22" s="132">
        <f t="shared" si="40"/>
        <v>-1000</v>
      </c>
      <c r="AD22" s="132">
        <f t="shared" si="4"/>
        <v>-10000</v>
      </c>
      <c r="AE22" s="132">
        <f t="shared" ref="AE22:AS22" si="41">H22-1000</f>
        <v>-1000</v>
      </c>
      <c r="AF22" s="132">
        <f t="shared" si="41"/>
        <v>-1000</v>
      </c>
      <c r="AG22" s="132">
        <f t="shared" si="41"/>
        <v>-1000</v>
      </c>
      <c r="AH22" s="132">
        <f t="shared" si="41"/>
        <v>-1000</v>
      </c>
      <c r="AI22" s="132">
        <f t="shared" si="41"/>
        <v>-1000</v>
      </c>
      <c r="AJ22" s="132">
        <f t="shared" si="41"/>
        <v>-1000</v>
      </c>
      <c r="AK22" s="132">
        <f t="shared" si="41"/>
        <v>-1000</v>
      </c>
      <c r="AL22" s="132">
        <f t="shared" si="41"/>
        <v>-1000</v>
      </c>
      <c r="AM22" s="132">
        <f t="shared" si="41"/>
        <v>-1000</v>
      </c>
      <c r="AN22" s="132">
        <f t="shared" si="41"/>
        <v>-1000</v>
      </c>
      <c r="AO22" s="132">
        <f t="shared" si="41"/>
        <v>-1000</v>
      </c>
      <c r="AP22" s="132">
        <f t="shared" si="41"/>
        <v>-1000</v>
      </c>
      <c r="AQ22" s="132">
        <f t="shared" si="41"/>
        <v>-1000</v>
      </c>
      <c r="AR22" s="132">
        <f t="shared" si="41"/>
        <v>-1000</v>
      </c>
      <c r="AS22" s="132">
        <f t="shared" si="41"/>
        <v>-1000</v>
      </c>
    </row>
    <row r="23">
      <c r="A23" s="132" t="s">
        <v>3525</v>
      </c>
      <c r="B23" s="132">
        <v>7600.0</v>
      </c>
      <c r="C23" s="132">
        <v>3900.0</v>
      </c>
      <c r="D23" s="132">
        <v>0.0</v>
      </c>
      <c r="E23" s="132">
        <v>0.0</v>
      </c>
      <c r="F23" s="132">
        <v>0.0</v>
      </c>
      <c r="G23" s="132">
        <v>3700.0</v>
      </c>
      <c r="H23" s="132">
        <v>0.0</v>
      </c>
      <c r="I23" s="132">
        <v>0.0</v>
      </c>
      <c r="J23" s="132">
        <v>0.0</v>
      </c>
      <c r="K23" s="132">
        <v>0.0</v>
      </c>
      <c r="L23" s="132">
        <v>0.0</v>
      </c>
      <c r="M23" s="132">
        <v>0.0</v>
      </c>
      <c r="N23" s="132">
        <v>0.0</v>
      </c>
      <c r="O23" s="132">
        <v>0.0</v>
      </c>
      <c r="P23" s="132">
        <v>0.0</v>
      </c>
      <c r="Q23" s="132">
        <v>0.0</v>
      </c>
      <c r="R23" s="132">
        <v>0.0</v>
      </c>
      <c r="S23" s="132">
        <v>0.0</v>
      </c>
      <c r="T23" s="132">
        <v>0.0</v>
      </c>
      <c r="U23" s="132">
        <v>0.0</v>
      </c>
      <c r="V23" s="132">
        <v>0.0</v>
      </c>
      <c r="W23" s="132">
        <v>1.0</v>
      </c>
      <c r="Y23" s="132" t="s">
        <v>3525</v>
      </c>
      <c r="Z23" s="132">
        <f t="shared" ref="Z23:AC23" si="42">C23-1000</f>
        <v>2900</v>
      </c>
      <c r="AA23" s="132">
        <f t="shared" si="42"/>
        <v>-1000</v>
      </c>
      <c r="AB23" s="132">
        <f t="shared" si="42"/>
        <v>-1000</v>
      </c>
      <c r="AC23" s="132">
        <f t="shared" si="42"/>
        <v>-1000</v>
      </c>
      <c r="AD23" s="132">
        <f t="shared" si="4"/>
        <v>-6300</v>
      </c>
      <c r="AE23" s="132">
        <f t="shared" ref="AE23:AS23" si="43">H23-1000</f>
        <v>-1000</v>
      </c>
      <c r="AF23" s="132">
        <f t="shared" si="43"/>
        <v>-1000</v>
      </c>
      <c r="AG23" s="132">
        <f t="shared" si="43"/>
        <v>-1000</v>
      </c>
      <c r="AH23" s="132">
        <f t="shared" si="43"/>
        <v>-1000</v>
      </c>
      <c r="AI23" s="132">
        <f t="shared" si="43"/>
        <v>-1000</v>
      </c>
      <c r="AJ23" s="132">
        <f t="shared" si="43"/>
        <v>-1000</v>
      </c>
      <c r="AK23" s="132">
        <f t="shared" si="43"/>
        <v>-1000</v>
      </c>
      <c r="AL23" s="132">
        <f t="shared" si="43"/>
        <v>-1000</v>
      </c>
      <c r="AM23" s="132">
        <f t="shared" si="43"/>
        <v>-1000</v>
      </c>
      <c r="AN23" s="132">
        <f t="shared" si="43"/>
        <v>-1000</v>
      </c>
      <c r="AO23" s="132">
        <f t="shared" si="43"/>
        <v>-1000</v>
      </c>
      <c r="AP23" s="132">
        <f t="shared" si="43"/>
        <v>-1000</v>
      </c>
      <c r="AQ23" s="132">
        <f t="shared" si="43"/>
        <v>-1000</v>
      </c>
      <c r="AR23" s="132">
        <f t="shared" si="43"/>
        <v>-1000</v>
      </c>
      <c r="AS23" s="132">
        <f t="shared" si="43"/>
        <v>-1000</v>
      </c>
    </row>
    <row r="24">
      <c r="A24" s="132" t="s">
        <v>3526</v>
      </c>
      <c r="B24" s="132">
        <v>200.0</v>
      </c>
      <c r="C24" s="132">
        <v>0.0</v>
      </c>
      <c r="D24" s="132">
        <v>0.0</v>
      </c>
      <c r="E24" s="132">
        <v>0.0</v>
      </c>
      <c r="F24" s="132">
        <v>0.0</v>
      </c>
      <c r="G24" s="132">
        <v>0.0</v>
      </c>
      <c r="H24" s="132">
        <v>0.0</v>
      </c>
      <c r="I24" s="132">
        <v>0.0</v>
      </c>
      <c r="J24" s="132">
        <v>0.0</v>
      </c>
      <c r="K24" s="132">
        <v>0.0</v>
      </c>
      <c r="L24" s="132">
        <v>200.0</v>
      </c>
      <c r="M24" s="132">
        <v>0.0</v>
      </c>
      <c r="N24" s="132">
        <v>0.0</v>
      </c>
      <c r="O24" s="132">
        <v>0.0</v>
      </c>
      <c r="P24" s="132">
        <v>0.0</v>
      </c>
      <c r="Q24" s="132">
        <v>0.0</v>
      </c>
      <c r="R24" s="132">
        <v>0.0</v>
      </c>
      <c r="S24" s="132">
        <v>0.0</v>
      </c>
      <c r="T24" s="132">
        <v>0.0</v>
      </c>
      <c r="U24" s="132">
        <v>0.0</v>
      </c>
      <c r="V24" s="132">
        <v>0.0</v>
      </c>
      <c r="W24" s="132">
        <v>0.0</v>
      </c>
      <c r="Y24" s="132" t="s">
        <v>3526</v>
      </c>
      <c r="Z24" s="132">
        <f t="shared" ref="Z24:AC24" si="44">C24-1000</f>
        <v>-1000</v>
      </c>
      <c r="AA24" s="132">
        <f t="shared" si="44"/>
        <v>-1000</v>
      </c>
      <c r="AB24" s="132">
        <f t="shared" si="44"/>
        <v>-1000</v>
      </c>
      <c r="AC24" s="132">
        <f t="shared" si="44"/>
        <v>-1000</v>
      </c>
      <c r="AD24" s="132">
        <f t="shared" si="4"/>
        <v>-10000</v>
      </c>
      <c r="AE24" s="132">
        <f t="shared" ref="AE24:AS24" si="45">H24-1000</f>
        <v>-1000</v>
      </c>
      <c r="AF24" s="132">
        <f t="shared" si="45"/>
        <v>-1000</v>
      </c>
      <c r="AG24" s="132">
        <f t="shared" si="45"/>
        <v>-1000</v>
      </c>
      <c r="AH24" s="132">
        <f t="shared" si="45"/>
        <v>-1000</v>
      </c>
      <c r="AI24" s="132">
        <f t="shared" si="45"/>
        <v>-800</v>
      </c>
      <c r="AJ24" s="132">
        <f t="shared" si="45"/>
        <v>-1000</v>
      </c>
      <c r="AK24" s="132">
        <f t="shared" si="45"/>
        <v>-1000</v>
      </c>
      <c r="AL24" s="132">
        <f t="shared" si="45"/>
        <v>-1000</v>
      </c>
      <c r="AM24" s="132">
        <f t="shared" si="45"/>
        <v>-1000</v>
      </c>
      <c r="AN24" s="132">
        <f t="shared" si="45"/>
        <v>-1000</v>
      </c>
      <c r="AO24" s="132">
        <f t="shared" si="45"/>
        <v>-1000</v>
      </c>
      <c r="AP24" s="132">
        <f t="shared" si="45"/>
        <v>-1000</v>
      </c>
      <c r="AQ24" s="132">
        <f t="shared" si="45"/>
        <v>-1000</v>
      </c>
      <c r="AR24" s="132">
        <f t="shared" si="45"/>
        <v>-1000</v>
      </c>
      <c r="AS24" s="132">
        <f t="shared" si="45"/>
        <v>-1000</v>
      </c>
    </row>
    <row r="25">
      <c r="A25" s="132" t="s">
        <v>3527</v>
      </c>
      <c r="B25" s="132">
        <v>2200.0</v>
      </c>
      <c r="C25" s="132">
        <v>1750.0</v>
      </c>
      <c r="D25" s="132">
        <v>0.0</v>
      </c>
      <c r="E25" s="132">
        <v>0.0</v>
      </c>
      <c r="F25" s="132">
        <v>0.0</v>
      </c>
      <c r="G25" s="132">
        <v>450.0</v>
      </c>
      <c r="H25" s="132">
        <v>0.0</v>
      </c>
      <c r="I25" s="132">
        <v>0.0</v>
      </c>
      <c r="J25" s="132">
        <v>0.0</v>
      </c>
      <c r="K25" s="132">
        <v>0.0</v>
      </c>
      <c r="L25" s="132">
        <v>0.0</v>
      </c>
      <c r="M25" s="132">
        <v>0.0</v>
      </c>
      <c r="N25" s="132">
        <v>0.0</v>
      </c>
      <c r="O25" s="132">
        <v>0.0</v>
      </c>
      <c r="P25" s="132">
        <v>0.0</v>
      </c>
      <c r="Q25" s="132">
        <v>0.0</v>
      </c>
      <c r="R25" s="132">
        <v>0.0</v>
      </c>
      <c r="S25" s="132">
        <v>0.0</v>
      </c>
      <c r="T25" s="132">
        <v>0.0</v>
      </c>
      <c r="U25" s="132">
        <v>0.0</v>
      </c>
      <c r="V25" s="132">
        <v>0.0</v>
      </c>
      <c r="W25" s="132">
        <v>1.0</v>
      </c>
      <c r="Y25" s="132" t="s">
        <v>3527</v>
      </c>
      <c r="Z25" s="132">
        <f t="shared" ref="Z25:AC25" si="46">C25-1000</f>
        <v>750</v>
      </c>
      <c r="AA25" s="132">
        <f t="shared" si="46"/>
        <v>-1000</v>
      </c>
      <c r="AB25" s="132">
        <f t="shared" si="46"/>
        <v>-1000</v>
      </c>
      <c r="AC25" s="132">
        <f t="shared" si="46"/>
        <v>-1000</v>
      </c>
      <c r="AD25" s="132">
        <f t="shared" si="4"/>
        <v>-9550</v>
      </c>
      <c r="AE25" s="132">
        <f t="shared" ref="AE25:AS25" si="47">H25-1000</f>
        <v>-1000</v>
      </c>
      <c r="AF25" s="132">
        <f t="shared" si="47"/>
        <v>-1000</v>
      </c>
      <c r="AG25" s="132">
        <f t="shared" si="47"/>
        <v>-1000</v>
      </c>
      <c r="AH25" s="132">
        <f t="shared" si="47"/>
        <v>-1000</v>
      </c>
      <c r="AI25" s="132">
        <f t="shared" si="47"/>
        <v>-1000</v>
      </c>
      <c r="AJ25" s="132">
        <f t="shared" si="47"/>
        <v>-1000</v>
      </c>
      <c r="AK25" s="132">
        <f t="shared" si="47"/>
        <v>-1000</v>
      </c>
      <c r="AL25" s="132">
        <f t="shared" si="47"/>
        <v>-1000</v>
      </c>
      <c r="AM25" s="132">
        <f t="shared" si="47"/>
        <v>-1000</v>
      </c>
      <c r="AN25" s="132">
        <f t="shared" si="47"/>
        <v>-1000</v>
      </c>
      <c r="AO25" s="132">
        <f t="shared" si="47"/>
        <v>-1000</v>
      </c>
      <c r="AP25" s="132">
        <f t="shared" si="47"/>
        <v>-1000</v>
      </c>
      <c r="AQ25" s="132">
        <f t="shared" si="47"/>
        <v>-1000</v>
      </c>
      <c r="AR25" s="132">
        <f t="shared" si="47"/>
        <v>-1000</v>
      </c>
      <c r="AS25" s="132">
        <f t="shared" si="47"/>
        <v>-1000</v>
      </c>
    </row>
    <row r="26">
      <c r="A26" s="132" t="s">
        <v>3528</v>
      </c>
      <c r="B26" s="132">
        <v>950.0</v>
      </c>
      <c r="C26" s="132">
        <v>950.0</v>
      </c>
      <c r="D26" s="132">
        <v>0.0</v>
      </c>
      <c r="E26" s="132">
        <v>0.0</v>
      </c>
      <c r="F26" s="132">
        <v>0.0</v>
      </c>
      <c r="G26" s="132">
        <v>0.0</v>
      </c>
      <c r="H26" s="132">
        <v>0.0</v>
      </c>
      <c r="I26" s="132">
        <v>0.0</v>
      </c>
      <c r="J26" s="132">
        <v>0.0</v>
      </c>
      <c r="K26" s="132">
        <v>0.0</v>
      </c>
      <c r="L26" s="132">
        <v>0.0</v>
      </c>
      <c r="M26" s="132">
        <v>0.0</v>
      </c>
      <c r="N26" s="132">
        <v>0.0</v>
      </c>
      <c r="O26" s="132">
        <v>0.0</v>
      </c>
      <c r="P26" s="132">
        <v>0.0</v>
      </c>
      <c r="Q26" s="132">
        <v>0.0</v>
      </c>
      <c r="R26" s="132">
        <v>0.0</v>
      </c>
      <c r="S26" s="132">
        <v>0.0</v>
      </c>
      <c r="T26" s="132">
        <v>0.0</v>
      </c>
      <c r="U26" s="132">
        <v>0.0</v>
      </c>
      <c r="V26" s="132">
        <v>0.0</v>
      </c>
      <c r="W26" s="132">
        <v>0.0</v>
      </c>
      <c r="Y26" s="132" t="s">
        <v>3528</v>
      </c>
      <c r="Z26" s="132">
        <f t="shared" ref="Z26:AC26" si="48">C26-1000</f>
        <v>-50</v>
      </c>
      <c r="AA26" s="132">
        <f t="shared" si="48"/>
        <v>-1000</v>
      </c>
      <c r="AB26" s="132">
        <f t="shared" si="48"/>
        <v>-1000</v>
      </c>
      <c r="AC26" s="132">
        <f t="shared" si="48"/>
        <v>-1000</v>
      </c>
      <c r="AD26" s="132">
        <f t="shared" si="4"/>
        <v>-10000</v>
      </c>
      <c r="AE26" s="132">
        <f t="shared" ref="AE26:AS26" si="49">H26-1000</f>
        <v>-1000</v>
      </c>
      <c r="AF26" s="132">
        <f t="shared" si="49"/>
        <v>-1000</v>
      </c>
      <c r="AG26" s="132">
        <f t="shared" si="49"/>
        <v>-1000</v>
      </c>
      <c r="AH26" s="132">
        <f t="shared" si="49"/>
        <v>-1000</v>
      </c>
      <c r="AI26" s="132">
        <f t="shared" si="49"/>
        <v>-1000</v>
      </c>
      <c r="AJ26" s="132">
        <f t="shared" si="49"/>
        <v>-1000</v>
      </c>
      <c r="AK26" s="132">
        <f t="shared" si="49"/>
        <v>-1000</v>
      </c>
      <c r="AL26" s="132">
        <f t="shared" si="49"/>
        <v>-1000</v>
      </c>
      <c r="AM26" s="132">
        <f t="shared" si="49"/>
        <v>-1000</v>
      </c>
      <c r="AN26" s="132">
        <f t="shared" si="49"/>
        <v>-1000</v>
      </c>
      <c r="AO26" s="132">
        <f t="shared" si="49"/>
        <v>-1000</v>
      </c>
      <c r="AP26" s="132">
        <f t="shared" si="49"/>
        <v>-1000</v>
      </c>
      <c r="AQ26" s="132">
        <f t="shared" si="49"/>
        <v>-1000</v>
      </c>
      <c r="AR26" s="132">
        <f t="shared" si="49"/>
        <v>-1000</v>
      </c>
      <c r="AS26" s="132">
        <f t="shared" si="49"/>
        <v>-1000</v>
      </c>
    </row>
    <row r="27">
      <c r="A27" s="132" t="s">
        <v>3529</v>
      </c>
      <c r="B27" s="132">
        <v>20000.0</v>
      </c>
      <c r="C27" s="132">
        <v>0.0</v>
      </c>
      <c r="D27" s="132">
        <v>0.0</v>
      </c>
      <c r="E27" s="132">
        <v>0.0</v>
      </c>
      <c r="F27" s="132">
        <v>0.0</v>
      </c>
      <c r="G27" s="132">
        <v>20000.0</v>
      </c>
      <c r="H27" s="132">
        <v>0.0</v>
      </c>
      <c r="I27" s="132">
        <v>0.0</v>
      </c>
      <c r="J27" s="132">
        <v>0.0</v>
      </c>
      <c r="K27" s="132">
        <v>0.0</v>
      </c>
      <c r="L27" s="132">
        <v>0.0</v>
      </c>
      <c r="M27" s="132">
        <v>0.0</v>
      </c>
      <c r="N27" s="132">
        <v>0.0</v>
      </c>
      <c r="O27" s="132">
        <v>0.0</v>
      </c>
      <c r="P27" s="132">
        <v>0.0</v>
      </c>
      <c r="Q27" s="132">
        <v>0.0</v>
      </c>
      <c r="R27" s="132">
        <v>0.0</v>
      </c>
      <c r="S27" s="132">
        <v>0.0</v>
      </c>
      <c r="T27" s="132">
        <v>0.0</v>
      </c>
      <c r="U27" s="132">
        <v>0.0</v>
      </c>
      <c r="V27" s="132">
        <v>0.0</v>
      </c>
      <c r="W27" s="132">
        <v>0.0</v>
      </c>
      <c r="Y27" s="132" t="s">
        <v>3529</v>
      </c>
      <c r="Z27" s="132">
        <f t="shared" ref="Z27:AC27" si="50">C27-1000</f>
        <v>-1000</v>
      </c>
      <c r="AA27" s="132">
        <f t="shared" si="50"/>
        <v>-1000</v>
      </c>
      <c r="AB27" s="132">
        <f t="shared" si="50"/>
        <v>-1000</v>
      </c>
      <c r="AC27" s="132">
        <f t="shared" si="50"/>
        <v>-1000</v>
      </c>
      <c r="AD27" s="132">
        <f t="shared" si="4"/>
        <v>10000</v>
      </c>
      <c r="AE27" s="132">
        <f t="shared" ref="AE27:AS27" si="51">H27-1000</f>
        <v>-1000</v>
      </c>
      <c r="AF27" s="132">
        <f t="shared" si="51"/>
        <v>-1000</v>
      </c>
      <c r="AG27" s="132">
        <f t="shared" si="51"/>
        <v>-1000</v>
      </c>
      <c r="AH27" s="132">
        <f t="shared" si="51"/>
        <v>-1000</v>
      </c>
      <c r="AI27" s="132">
        <f t="shared" si="51"/>
        <v>-1000</v>
      </c>
      <c r="AJ27" s="132">
        <f t="shared" si="51"/>
        <v>-1000</v>
      </c>
      <c r="AK27" s="132">
        <f t="shared" si="51"/>
        <v>-1000</v>
      </c>
      <c r="AL27" s="132">
        <f t="shared" si="51"/>
        <v>-1000</v>
      </c>
      <c r="AM27" s="132">
        <f t="shared" si="51"/>
        <v>-1000</v>
      </c>
      <c r="AN27" s="132">
        <f t="shared" si="51"/>
        <v>-1000</v>
      </c>
      <c r="AO27" s="132">
        <f t="shared" si="51"/>
        <v>-1000</v>
      </c>
      <c r="AP27" s="132">
        <f t="shared" si="51"/>
        <v>-1000</v>
      </c>
      <c r="AQ27" s="132">
        <f t="shared" si="51"/>
        <v>-1000</v>
      </c>
      <c r="AR27" s="132">
        <f t="shared" si="51"/>
        <v>-1000</v>
      </c>
      <c r="AS27" s="132">
        <f t="shared" si="51"/>
        <v>-1000</v>
      </c>
    </row>
    <row r="28">
      <c r="A28" s="132" t="s">
        <v>3530</v>
      </c>
      <c r="B28" s="132">
        <v>3900.0</v>
      </c>
      <c r="C28" s="132">
        <v>1900.0</v>
      </c>
      <c r="D28" s="132">
        <v>0.0</v>
      </c>
      <c r="E28" s="132">
        <v>0.0</v>
      </c>
      <c r="F28" s="132">
        <v>2000.0</v>
      </c>
      <c r="G28" s="132">
        <v>0.0</v>
      </c>
      <c r="H28" s="132">
        <v>0.0</v>
      </c>
      <c r="I28" s="132">
        <v>0.0</v>
      </c>
      <c r="J28" s="132">
        <v>0.0</v>
      </c>
      <c r="K28" s="132">
        <v>0.0</v>
      </c>
      <c r="L28" s="132">
        <v>0.0</v>
      </c>
      <c r="M28" s="132">
        <v>0.0</v>
      </c>
      <c r="N28" s="132">
        <v>0.0</v>
      </c>
      <c r="O28" s="132">
        <v>0.0</v>
      </c>
      <c r="P28" s="132">
        <v>0.0</v>
      </c>
      <c r="Q28" s="132">
        <v>0.0</v>
      </c>
      <c r="R28" s="132">
        <v>0.0</v>
      </c>
      <c r="S28" s="132">
        <v>0.0</v>
      </c>
      <c r="T28" s="132">
        <v>0.0</v>
      </c>
      <c r="U28" s="132">
        <v>0.0</v>
      </c>
      <c r="V28" s="132">
        <v>0.0</v>
      </c>
      <c r="W28" s="132">
        <v>0.0</v>
      </c>
      <c r="Y28" s="132" t="s">
        <v>3530</v>
      </c>
      <c r="Z28" s="132">
        <f t="shared" ref="Z28:AC28" si="52">C28-1000</f>
        <v>900</v>
      </c>
      <c r="AA28" s="132">
        <f t="shared" si="52"/>
        <v>-1000</v>
      </c>
      <c r="AB28" s="132">
        <f t="shared" si="52"/>
        <v>-1000</v>
      </c>
      <c r="AC28" s="132">
        <f t="shared" si="52"/>
        <v>1000</v>
      </c>
      <c r="AD28" s="132">
        <f t="shared" si="4"/>
        <v>-10000</v>
      </c>
      <c r="AE28" s="132">
        <f t="shared" ref="AE28:AS28" si="53">H28-1000</f>
        <v>-1000</v>
      </c>
      <c r="AF28" s="132">
        <f t="shared" si="53"/>
        <v>-1000</v>
      </c>
      <c r="AG28" s="132">
        <f t="shared" si="53"/>
        <v>-1000</v>
      </c>
      <c r="AH28" s="132">
        <f t="shared" si="53"/>
        <v>-1000</v>
      </c>
      <c r="AI28" s="132">
        <f t="shared" si="53"/>
        <v>-1000</v>
      </c>
      <c r="AJ28" s="132">
        <f t="shared" si="53"/>
        <v>-1000</v>
      </c>
      <c r="AK28" s="132">
        <f t="shared" si="53"/>
        <v>-1000</v>
      </c>
      <c r="AL28" s="132">
        <f t="shared" si="53"/>
        <v>-1000</v>
      </c>
      <c r="AM28" s="132">
        <f t="shared" si="53"/>
        <v>-1000</v>
      </c>
      <c r="AN28" s="132">
        <f t="shared" si="53"/>
        <v>-1000</v>
      </c>
      <c r="AO28" s="132">
        <f t="shared" si="53"/>
        <v>-1000</v>
      </c>
      <c r="AP28" s="132">
        <f t="shared" si="53"/>
        <v>-1000</v>
      </c>
      <c r="AQ28" s="132">
        <f t="shared" si="53"/>
        <v>-1000</v>
      </c>
      <c r="AR28" s="132">
        <f t="shared" si="53"/>
        <v>-1000</v>
      </c>
      <c r="AS28" s="132">
        <f t="shared" si="53"/>
        <v>-1000</v>
      </c>
    </row>
    <row r="29">
      <c r="A29" s="132" t="s">
        <v>3531</v>
      </c>
      <c r="B29" s="132">
        <v>18000.0</v>
      </c>
      <c r="C29" s="132">
        <v>0.0</v>
      </c>
      <c r="D29" s="132">
        <v>2000.0</v>
      </c>
      <c r="E29" s="132">
        <v>0.0</v>
      </c>
      <c r="F29" s="132">
        <v>0.0</v>
      </c>
      <c r="G29" s="132">
        <v>0.0</v>
      </c>
      <c r="H29" s="132">
        <v>0.0</v>
      </c>
      <c r="I29" s="132">
        <v>3000.0</v>
      </c>
      <c r="J29" s="132">
        <v>0.0</v>
      </c>
      <c r="K29" s="132">
        <v>3000.0</v>
      </c>
      <c r="L29" s="132">
        <v>0.0</v>
      </c>
      <c r="M29" s="132">
        <v>0.0</v>
      </c>
      <c r="N29" s="132">
        <v>0.0</v>
      </c>
      <c r="O29" s="132">
        <v>4000.0</v>
      </c>
      <c r="P29" s="132">
        <v>6000.0</v>
      </c>
      <c r="Q29" s="132">
        <v>0.0</v>
      </c>
      <c r="R29" s="132">
        <v>0.0</v>
      </c>
      <c r="S29" s="132">
        <v>0.0</v>
      </c>
      <c r="T29" s="132">
        <v>0.0</v>
      </c>
      <c r="U29" s="132">
        <v>0.0</v>
      </c>
      <c r="V29" s="132">
        <v>0.0</v>
      </c>
      <c r="W29" s="132">
        <v>1.0</v>
      </c>
      <c r="Y29" s="132" t="s">
        <v>3531</v>
      </c>
      <c r="Z29" s="132">
        <f t="shared" ref="Z29:AC29" si="54">C29-1000</f>
        <v>-1000</v>
      </c>
      <c r="AA29" s="132">
        <f t="shared" si="54"/>
        <v>1000</v>
      </c>
      <c r="AB29" s="132">
        <f t="shared" si="54"/>
        <v>-1000</v>
      </c>
      <c r="AC29" s="132">
        <f t="shared" si="54"/>
        <v>-1000</v>
      </c>
      <c r="AD29" s="132">
        <f t="shared" si="4"/>
        <v>-10000</v>
      </c>
      <c r="AE29" s="132">
        <f t="shared" ref="AE29:AS29" si="55">H29-1000</f>
        <v>-1000</v>
      </c>
      <c r="AF29" s="132">
        <f t="shared" si="55"/>
        <v>2000</v>
      </c>
      <c r="AG29" s="132">
        <f t="shared" si="55"/>
        <v>-1000</v>
      </c>
      <c r="AH29" s="132">
        <f t="shared" si="55"/>
        <v>2000</v>
      </c>
      <c r="AI29" s="132">
        <f t="shared" si="55"/>
        <v>-1000</v>
      </c>
      <c r="AJ29" s="132">
        <f t="shared" si="55"/>
        <v>-1000</v>
      </c>
      <c r="AK29" s="132">
        <f t="shared" si="55"/>
        <v>-1000</v>
      </c>
      <c r="AL29" s="132">
        <f t="shared" si="55"/>
        <v>3000</v>
      </c>
      <c r="AM29" s="132">
        <f t="shared" si="55"/>
        <v>5000</v>
      </c>
      <c r="AN29" s="132">
        <f t="shared" si="55"/>
        <v>-1000</v>
      </c>
      <c r="AO29" s="132">
        <f t="shared" si="55"/>
        <v>-1000</v>
      </c>
      <c r="AP29" s="132">
        <f t="shared" si="55"/>
        <v>-1000</v>
      </c>
      <c r="AQ29" s="132">
        <f t="shared" si="55"/>
        <v>-1000</v>
      </c>
      <c r="AR29" s="132">
        <f t="shared" si="55"/>
        <v>-1000</v>
      </c>
      <c r="AS29" s="132">
        <f t="shared" si="55"/>
        <v>-1000</v>
      </c>
    </row>
    <row r="30">
      <c r="A30" s="132" t="s">
        <v>3532</v>
      </c>
      <c r="B30" s="132">
        <v>200.0</v>
      </c>
      <c r="C30" s="132">
        <v>200.0</v>
      </c>
      <c r="D30" s="132">
        <v>0.0</v>
      </c>
      <c r="E30" s="132">
        <v>0.0</v>
      </c>
      <c r="F30" s="132">
        <v>0.0</v>
      </c>
      <c r="G30" s="132">
        <v>0.0</v>
      </c>
      <c r="H30" s="132">
        <v>0.0</v>
      </c>
      <c r="I30" s="132">
        <v>0.0</v>
      </c>
      <c r="J30" s="132">
        <v>0.0</v>
      </c>
      <c r="K30" s="132">
        <v>0.0</v>
      </c>
      <c r="L30" s="132">
        <v>0.0</v>
      </c>
      <c r="M30" s="132">
        <v>0.0</v>
      </c>
      <c r="N30" s="132">
        <v>0.0</v>
      </c>
      <c r="O30" s="132">
        <v>0.0</v>
      </c>
      <c r="P30" s="132">
        <v>0.0</v>
      </c>
      <c r="Q30" s="132">
        <v>0.0</v>
      </c>
      <c r="R30" s="132">
        <v>0.0</v>
      </c>
      <c r="S30" s="132">
        <v>0.0</v>
      </c>
      <c r="T30" s="132">
        <v>0.0</v>
      </c>
      <c r="U30" s="132">
        <v>0.0</v>
      </c>
      <c r="V30" s="132">
        <v>0.0</v>
      </c>
      <c r="W30" s="132">
        <v>0.0</v>
      </c>
      <c r="Y30" s="132" t="s">
        <v>3532</v>
      </c>
      <c r="Z30" s="132">
        <f t="shared" ref="Z30:AC30" si="56">C30-1000</f>
        <v>-800</v>
      </c>
      <c r="AA30" s="132">
        <f t="shared" si="56"/>
        <v>-1000</v>
      </c>
      <c r="AB30" s="132">
        <f t="shared" si="56"/>
        <v>-1000</v>
      </c>
      <c r="AC30" s="132">
        <f t="shared" si="56"/>
        <v>-1000</v>
      </c>
      <c r="AD30" s="132">
        <f t="shared" si="4"/>
        <v>-10000</v>
      </c>
      <c r="AE30" s="132">
        <f t="shared" ref="AE30:AS30" si="57">H30-1000</f>
        <v>-1000</v>
      </c>
      <c r="AF30" s="132">
        <f t="shared" si="57"/>
        <v>-1000</v>
      </c>
      <c r="AG30" s="132">
        <f t="shared" si="57"/>
        <v>-1000</v>
      </c>
      <c r="AH30" s="132">
        <f t="shared" si="57"/>
        <v>-1000</v>
      </c>
      <c r="AI30" s="132">
        <f t="shared" si="57"/>
        <v>-1000</v>
      </c>
      <c r="AJ30" s="132">
        <f t="shared" si="57"/>
        <v>-1000</v>
      </c>
      <c r="AK30" s="132">
        <f t="shared" si="57"/>
        <v>-1000</v>
      </c>
      <c r="AL30" s="132">
        <f t="shared" si="57"/>
        <v>-1000</v>
      </c>
      <c r="AM30" s="132">
        <f t="shared" si="57"/>
        <v>-1000</v>
      </c>
      <c r="AN30" s="132">
        <f t="shared" si="57"/>
        <v>-1000</v>
      </c>
      <c r="AO30" s="132">
        <f t="shared" si="57"/>
        <v>-1000</v>
      </c>
      <c r="AP30" s="132">
        <f t="shared" si="57"/>
        <v>-1000</v>
      </c>
      <c r="AQ30" s="132">
        <f t="shared" si="57"/>
        <v>-1000</v>
      </c>
      <c r="AR30" s="132">
        <f t="shared" si="57"/>
        <v>-1000</v>
      </c>
      <c r="AS30" s="132">
        <f t="shared" si="57"/>
        <v>-1000</v>
      </c>
    </row>
    <row r="31">
      <c r="A31" s="132" t="s">
        <v>3533</v>
      </c>
      <c r="B31" s="132">
        <v>2000.0</v>
      </c>
      <c r="C31" s="132">
        <v>0.0</v>
      </c>
      <c r="D31" s="132">
        <v>0.0</v>
      </c>
      <c r="E31" s="132">
        <v>0.0</v>
      </c>
      <c r="F31" s="132">
        <v>2000.0</v>
      </c>
      <c r="G31" s="132">
        <v>0.0</v>
      </c>
      <c r="H31" s="132">
        <v>0.0</v>
      </c>
      <c r="I31" s="132">
        <v>0.0</v>
      </c>
      <c r="J31" s="132">
        <v>0.0</v>
      </c>
      <c r="K31" s="132">
        <v>0.0</v>
      </c>
      <c r="L31" s="132">
        <v>0.0</v>
      </c>
      <c r="M31" s="132">
        <v>0.0</v>
      </c>
      <c r="N31" s="132">
        <v>0.0</v>
      </c>
      <c r="O31" s="132">
        <v>0.0</v>
      </c>
      <c r="P31" s="132">
        <v>0.0</v>
      </c>
      <c r="Q31" s="132">
        <v>0.0</v>
      </c>
      <c r="R31" s="132">
        <v>0.0</v>
      </c>
      <c r="S31" s="132">
        <v>0.0</v>
      </c>
      <c r="T31" s="132">
        <v>0.0</v>
      </c>
      <c r="U31" s="132">
        <v>0.0</v>
      </c>
      <c r="V31" s="132">
        <v>0.0</v>
      </c>
      <c r="W31" s="132">
        <v>0.0</v>
      </c>
      <c r="Y31" s="132" t="s">
        <v>3533</v>
      </c>
      <c r="Z31" s="132">
        <f t="shared" ref="Z31:AC31" si="58">C31-1000</f>
        <v>-1000</v>
      </c>
      <c r="AA31" s="132">
        <f t="shared" si="58"/>
        <v>-1000</v>
      </c>
      <c r="AB31" s="132">
        <f t="shared" si="58"/>
        <v>-1000</v>
      </c>
      <c r="AC31" s="132">
        <f t="shared" si="58"/>
        <v>1000</v>
      </c>
      <c r="AD31" s="132">
        <f t="shared" si="4"/>
        <v>-10000</v>
      </c>
      <c r="AE31" s="132">
        <f t="shared" ref="AE31:AS31" si="59">H31-1000</f>
        <v>-1000</v>
      </c>
      <c r="AF31" s="132">
        <f t="shared" si="59"/>
        <v>-1000</v>
      </c>
      <c r="AG31" s="132">
        <f t="shared" si="59"/>
        <v>-1000</v>
      </c>
      <c r="AH31" s="132">
        <f t="shared" si="59"/>
        <v>-1000</v>
      </c>
      <c r="AI31" s="132">
        <f t="shared" si="59"/>
        <v>-1000</v>
      </c>
      <c r="AJ31" s="132">
        <f t="shared" si="59"/>
        <v>-1000</v>
      </c>
      <c r="AK31" s="132">
        <f t="shared" si="59"/>
        <v>-1000</v>
      </c>
      <c r="AL31" s="132">
        <f t="shared" si="59"/>
        <v>-1000</v>
      </c>
      <c r="AM31" s="132">
        <f t="shared" si="59"/>
        <v>-1000</v>
      </c>
      <c r="AN31" s="132">
        <f t="shared" si="59"/>
        <v>-1000</v>
      </c>
      <c r="AO31" s="132">
        <f t="shared" si="59"/>
        <v>-1000</v>
      </c>
      <c r="AP31" s="132">
        <f t="shared" si="59"/>
        <v>-1000</v>
      </c>
      <c r="AQ31" s="132">
        <f t="shared" si="59"/>
        <v>-1000</v>
      </c>
      <c r="AR31" s="132">
        <f t="shared" si="59"/>
        <v>-1000</v>
      </c>
      <c r="AS31" s="132">
        <f t="shared" si="59"/>
        <v>-1000</v>
      </c>
    </row>
    <row r="32">
      <c r="A32" s="132" t="s">
        <v>3534</v>
      </c>
      <c r="B32" s="132">
        <v>20000.0</v>
      </c>
      <c r="C32" s="132">
        <v>0.0</v>
      </c>
      <c r="D32" s="132">
        <v>0.0</v>
      </c>
      <c r="E32" s="132">
        <v>0.0</v>
      </c>
      <c r="F32" s="132">
        <v>0.0</v>
      </c>
      <c r="G32" s="132">
        <v>20000.0</v>
      </c>
      <c r="H32" s="132">
        <v>0.0</v>
      </c>
      <c r="I32" s="132">
        <v>0.0</v>
      </c>
      <c r="J32" s="132">
        <v>0.0</v>
      </c>
      <c r="K32" s="132">
        <v>0.0</v>
      </c>
      <c r="L32" s="132">
        <v>0.0</v>
      </c>
      <c r="M32" s="132">
        <v>0.0</v>
      </c>
      <c r="N32" s="132">
        <v>0.0</v>
      </c>
      <c r="O32" s="132">
        <v>0.0</v>
      </c>
      <c r="P32" s="132">
        <v>0.0</v>
      </c>
      <c r="Q32" s="132">
        <v>0.0</v>
      </c>
      <c r="R32" s="132">
        <v>0.0</v>
      </c>
      <c r="S32" s="132">
        <v>0.0</v>
      </c>
      <c r="T32" s="132">
        <v>0.0</v>
      </c>
      <c r="U32" s="132">
        <v>0.0</v>
      </c>
      <c r="V32" s="132">
        <v>0.0</v>
      </c>
      <c r="W32" s="132">
        <v>0.0</v>
      </c>
      <c r="Y32" s="132" t="s">
        <v>3534</v>
      </c>
      <c r="Z32" s="132">
        <f t="shared" ref="Z32:AC32" si="60">C32-1000</f>
        <v>-1000</v>
      </c>
      <c r="AA32" s="132">
        <f t="shared" si="60"/>
        <v>-1000</v>
      </c>
      <c r="AB32" s="132">
        <f t="shared" si="60"/>
        <v>-1000</v>
      </c>
      <c r="AC32" s="132">
        <f t="shared" si="60"/>
        <v>-1000</v>
      </c>
      <c r="AD32" s="132">
        <f t="shared" si="4"/>
        <v>10000</v>
      </c>
      <c r="AE32" s="132">
        <f t="shared" ref="AE32:AS32" si="61">H32-1000</f>
        <v>-1000</v>
      </c>
      <c r="AF32" s="132">
        <f t="shared" si="61"/>
        <v>-1000</v>
      </c>
      <c r="AG32" s="132">
        <f t="shared" si="61"/>
        <v>-1000</v>
      </c>
      <c r="AH32" s="132">
        <f t="shared" si="61"/>
        <v>-1000</v>
      </c>
      <c r="AI32" s="132">
        <f t="shared" si="61"/>
        <v>-1000</v>
      </c>
      <c r="AJ32" s="132">
        <f t="shared" si="61"/>
        <v>-1000</v>
      </c>
      <c r="AK32" s="132">
        <f t="shared" si="61"/>
        <v>-1000</v>
      </c>
      <c r="AL32" s="132">
        <f t="shared" si="61"/>
        <v>-1000</v>
      </c>
      <c r="AM32" s="132">
        <f t="shared" si="61"/>
        <v>-1000</v>
      </c>
      <c r="AN32" s="132">
        <f t="shared" si="61"/>
        <v>-1000</v>
      </c>
      <c r="AO32" s="132">
        <f t="shared" si="61"/>
        <v>-1000</v>
      </c>
      <c r="AP32" s="132">
        <f t="shared" si="61"/>
        <v>-1000</v>
      </c>
      <c r="AQ32" s="132">
        <f t="shared" si="61"/>
        <v>-1000</v>
      </c>
      <c r="AR32" s="132">
        <f t="shared" si="61"/>
        <v>-1000</v>
      </c>
      <c r="AS32" s="132">
        <f t="shared" si="61"/>
        <v>-1000</v>
      </c>
    </row>
    <row r="33">
      <c r="A33" s="132" t="s">
        <v>3535</v>
      </c>
      <c r="B33" s="132">
        <v>100.0</v>
      </c>
      <c r="C33" s="132">
        <v>0.0</v>
      </c>
      <c r="D33" s="132">
        <v>0.0</v>
      </c>
      <c r="E33" s="132">
        <v>0.0</v>
      </c>
      <c r="F33" s="132">
        <v>100.0</v>
      </c>
      <c r="G33" s="132">
        <v>0.0</v>
      </c>
      <c r="H33" s="132">
        <v>0.0</v>
      </c>
      <c r="I33" s="132">
        <v>0.0</v>
      </c>
      <c r="J33" s="132">
        <v>0.0</v>
      </c>
      <c r="K33" s="132">
        <v>0.0</v>
      </c>
      <c r="L33" s="132">
        <v>0.0</v>
      </c>
      <c r="M33" s="132">
        <v>0.0</v>
      </c>
      <c r="N33" s="132">
        <v>0.0</v>
      </c>
      <c r="O33" s="132">
        <v>0.0</v>
      </c>
      <c r="P33" s="132">
        <v>0.0</v>
      </c>
      <c r="Q33" s="132">
        <v>0.0</v>
      </c>
      <c r="R33" s="132">
        <v>0.0</v>
      </c>
      <c r="S33" s="132">
        <v>0.0</v>
      </c>
      <c r="T33" s="132">
        <v>0.0</v>
      </c>
      <c r="U33" s="132">
        <v>0.0</v>
      </c>
      <c r="V33" s="132">
        <v>0.0</v>
      </c>
      <c r="W33" s="132">
        <v>0.0</v>
      </c>
      <c r="Y33" s="132" t="s">
        <v>3535</v>
      </c>
      <c r="Z33" s="132">
        <f t="shared" ref="Z33:AC33" si="62">C33-1000</f>
        <v>-1000</v>
      </c>
      <c r="AA33" s="132">
        <f t="shared" si="62"/>
        <v>-1000</v>
      </c>
      <c r="AB33" s="132">
        <f t="shared" si="62"/>
        <v>-1000</v>
      </c>
      <c r="AC33" s="132">
        <f t="shared" si="62"/>
        <v>-900</v>
      </c>
      <c r="AD33" s="132">
        <f t="shared" si="4"/>
        <v>-10000</v>
      </c>
      <c r="AE33" s="132">
        <f t="shared" ref="AE33:AS33" si="63">H33-1000</f>
        <v>-1000</v>
      </c>
      <c r="AF33" s="132">
        <f t="shared" si="63"/>
        <v>-1000</v>
      </c>
      <c r="AG33" s="132">
        <f t="shared" si="63"/>
        <v>-1000</v>
      </c>
      <c r="AH33" s="132">
        <f t="shared" si="63"/>
        <v>-1000</v>
      </c>
      <c r="AI33" s="132">
        <f t="shared" si="63"/>
        <v>-1000</v>
      </c>
      <c r="AJ33" s="132">
        <f t="shared" si="63"/>
        <v>-1000</v>
      </c>
      <c r="AK33" s="132">
        <f t="shared" si="63"/>
        <v>-1000</v>
      </c>
      <c r="AL33" s="132">
        <f t="shared" si="63"/>
        <v>-1000</v>
      </c>
      <c r="AM33" s="132">
        <f t="shared" si="63"/>
        <v>-1000</v>
      </c>
      <c r="AN33" s="132">
        <f t="shared" si="63"/>
        <v>-1000</v>
      </c>
      <c r="AO33" s="132">
        <f t="shared" si="63"/>
        <v>-1000</v>
      </c>
      <c r="AP33" s="132">
        <f t="shared" si="63"/>
        <v>-1000</v>
      </c>
      <c r="AQ33" s="132">
        <f t="shared" si="63"/>
        <v>-1000</v>
      </c>
      <c r="AR33" s="132">
        <f t="shared" si="63"/>
        <v>-1000</v>
      </c>
      <c r="AS33" s="132">
        <f t="shared" si="63"/>
        <v>-1000</v>
      </c>
    </row>
    <row r="34">
      <c r="A34" s="132" t="s">
        <v>3536</v>
      </c>
      <c r="B34" s="132">
        <v>1000.0</v>
      </c>
      <c r="C34" s="132">
        <v>1000.0</v>
      </c>
      <c r="D34" s="132">
        <v>0.0</v>
      </c>
      <c r="E34" s="132">
        <v>0.0</v>
      </c>
      <c r="F34" s="132">
        <v>0.0</v>
      </c>
      <c r="G34" s="132">
        <v>0.0</v>
      </c>
      <c r="H34" s="132">
        <v>0.0</v>
      </c>
      <c r="I34" s="132">
        <v>0.0</v>
      </c>
      <c r="J34" s="132">
        <v>0.0</v>
      </c>
      <c r="K34" s="132">
        <v>0.0</v>
      </c>
      <c r="L34" s="132">
        <v>0.0</v>
      </c>
      <c r="M34" s="132">
        <v>0.0</v>
      </c>
      <c r="N34" s="132">
        <v>0.0</v>
      </c>
      <c r="O34" s="132">
        <v>0.0</v>
      </c>
      <c r="P34" s="132">
        <v>0.0</v>
      </c>
      <c r="Q34" s="132">
        <v>0.0</v>
      </c>
      <c r="R34" s="132">
        <v>0.0</v>
      </c>
      <c r="S34" s="132">
        <v>0.0</v>
      </c>
      <c r="T34" s="132">
        <v>0.0</v>
      </c>
      <c r="U34" s="132">
        <v>0.0</v>
      </c>
      <c r="V34" s="132">
        <v>0.0</v>
      </c>
      <c r="W34" s="132">
        <v>0.0</v>
      </c>
      <c r="Y34" s="132" t="s">
        <v>3536</v>
      </c>
      <c r="Z34" s="132">
        <f t="shared" ref="Z34:AC34" si="64">C34-1000</f>
        <v>0</v>
      </c>
      <c r="AA34" s="132">
        <f t="shared" si="64"/>
        <v>-1000</v>
      </c>
      <c r="AB34" s="132">
        <f t="shared" si="64"/>
        <v>-1000</v>
      </c>
      <c r="AC34" s="132">
        <f t="shared" si="64"/>
        <v>-1000</v>
      </c>
      <c r="AD34" s="132">
        <f t="shared" si="4"/>
        <v>-10000</v>
      </c>
      <c r="AE34" s="132">
        <f t="shared" ref="AE34:AS34" si="65">H34-1000</f>
        <v>-1000</v>
      </c>
      <c r="AF34" s="132">
        <f t="shared" si="65"/>
        <v>-1000</v>
      </c>
      <c r="AG34" s="132">
        <f t="shared" si="65"/>
        <v>-1000</v>
      </c>
      <c r="AH34" s="132">
        <f t="shared" si="65"/>
        <v>-1000</v>
      </c>
      <c r="AI34" s="132">
        <f t="shared" si="65"/>
        <v>-1000</v>
      </c>
      <c r="AJ34" s="132">
        <f t="shared" si="65"/>
        <v>-1000</v>
      </c>
      <c r="AK34" s="132">
        <f t="shared" si="65"/>
        <v>-1000</v>
      </c>
      <c r="AL34" s="132">
        <f t="shared" si="65"/>
        <v>-1000</v>
      </c>
      <c r="AM34" s="132">
        <f t="shared" si="65"/>
        <v>-1000</v>
      </c>
      <c r="AN34" s="132">
        <f t="shared" si="65"/>
        <v>-1000</v>
      </c>
      <c r="AO34" s="132">
        <f t="shared" si="65"/>
        <v>-1000</v>
      </c>
      <c r="AP34" s="132">
        <f t="shared" si="65"/>
        <v>-1000</v>
      </c>
      <c r="AQ34" s="132">
        <f t="shared" si="65"/>
        <v>-1000</v>
      </c>
      <c r="AR34" s="132">
        <f t="shared" si="65"/>
        <v>-1000</v>
      </c>
      <c r="AS34" s="132">
        <f t="shared" si="65"/>
        <v>-1000</v>
      </c>
    </row>
    <row r="35">
      <c r="A35" s="132" t="s">
        <v>3537</v>
      </c>
      <c r="B35" s="132">
        <v>250.0</v>
      </c>
      <c r="C35" s="132">
        <v>0.0</v>
      </c>
      <c r="D35" s="132">
        <v>0.0</v>
      </c>
      <c r="E35" s="132">
        <v>0.0</v>
      </c>
      <c r="F35" s="132">
        <v>0.0</v>
      </c>
      <c r="G35" s="132">
        <v>250.0</v>
      </c>
      <c r="H35" s="132">
        <v>0.0</v>
      </c>
      <c r="I35" s="132">
        <v>0.0</v>
      </c>
      <c r="J35" s="132">
        <v>0.0</v>
      </c>
      <c r="K35" s="132">
        <v>0.0</v>
      </c>
      <c r="L35" s="132">
        <v>0.0</v>
      </c>
      <c r="M35" s="132">
        <v>0.0</v>
      </c>
      <c r="N35" s="132">
        <v>0.0</v>
      </c>
      <c r="O35" s="132">
        <v>0.0</v>
      </c>
      <c r="P35" s="132">
        <v>0.0</v>
      </c>
      <c r="Q35" s="132">
        <v>0.0</v>
      </c>
      <c r="R35" s="132">
        <v>0.0</v>
      </c>
      <c r="S35" s="132">
        <v>0.0</v>
      </c>
      <c r="T35" s="132">
        <v>0.0</v>
      </c>
      <c r="U35" s="132">
        <v>0.0</v>
      </c>
      <c r="V35" s="132">
        <v>0.0</v>
      </c>
      <c r="W35" s="132">
        <v>0.0</v>
      </c>
      <c r="Y35" s="132" t="s">
        <v>3537</v>
      </c>
      <c r="Z35" s="132">
        <f t="shared" ref="Z35:AC35" si="66">C35-1000</f>
        <v>-1000</v>
      </c>
      <c r="AA35" s="132">
        <f t="shared" si="66"/>
        <v>-1000</v>
      </c>
      <c r="AB35" s="132">
        <f t="shared" si="66"/>
        <v>-1000</v>
      </c>
      <c r="AC35" s="132">
        <f t="shared" si="66"/>
        <v>-1000</v>
      </c>
      <c r="AD35" s="132">
        <f t="shared" si="4"/>
        <v>-9750</v>
      </c>
      <c r="AE35" s="132">
        <f t="shared" ref="AE35:AS35" si="67">H35-1000</f>
        <v>-1000</v>
      </c>
      <c r="AF35" s="132">
        <f t="shared" si="67"/>
        <v>-1000</v>
      </c>
      <c r="AG35" s="132">
        <f t="shared" si="67"/>
        <v>-1000</v>
      </c>
      <c r="AH35" s="132">
        <f t="shared" si="67"/>
        <v>-1000</v>
      </c>
      <c r="AI35" s="132">
        <f t="shared" si="67"/>
        <v>-1000</v>
      </c>
      <c r="AJ35" s="132">
        <f t="shared" si="67"/>
        <v>-1000</v>
      </c>
      <c r="AK35" s="132">
        <f t="shared" si="67"/>
        <v>-1000</v>
      </c>
      <c r="AL35" s="132">
        <f t="shared" si="67"/>
        <v>-1000</v>
      </c>
      <c r="AM35" s="132">
        <f t="shared" si="67"/>
        <v>-1000</v>
      </c>
      <c r="AN35" s="132">
        <f t="shared" si="67"/>
        <v>-1000</v>
      </c>
      <c r="AO35" s="132">
        <f t="shared" si="67"/>
        <v>-1000</v>
      </c>
      <c r="AP35" s="132">
        <f t="shared" si="67"/>
        <v>-1000</v>
      </c>
      <c r="AQ35" s="132">
        <f t="shared" si="67"/>
        <v>-1000</v>
      </c>
      <c r="AR35" s="132">
        <f t="shared" si="67"/>
        <v>-1000</v>
      </c>
      <c r="AS35" s="132">
        <f t="shared" si="67"/>
        <v>-1000</v>
      </c>
    </row>
    <row r="36">
      <c r="A36" s="132" t="s">
        <v>3538</v>
      </c>
      <c r="B36" s="132">
        <v>20000.0</v>
      </c>
      <c r="C36" s="132">
        <v>0.0</v>
      </c>
      <c r="D36" s="132">
        <v>0.0</v>
      </c>
      <c r="E36" s="132">
        <v>0.0</v>
      </c>
      <c r="F36" s="132">
        <v>0.0</v>
      </c>
      <c r="G36" s="132">
        <v>20000.0</v>
      </c>
      <c r="H36" s="132">
        <v>0.0</v>
      </c>
      <c r="I36" s="132">
        <v>0.0</v>
      </c>
      <c r="J36" s="132">
        <v>0.0</v>
      </c>
      <c r="K36" s="132">
        <v>0.0</v>
      </c>
      <c r="L36" s="132">
        <v>0.0</v>
      </c>
      <c r="M36" s="132">
        <v>0.0</v>
      </c>
      <c r="N36" s="132">
        <v>0.0</v>
      </c>
      <c r="O36" s="132">
        <v>0.0</v>
      </c>
      <c r="P36" s="132">
        <v>0.0</v>
      </c>
      <c r="Q36" s="132">
        <v>0.0</v>
      </c>
      <c r="R36" s="132">
        <v>0.0</v>
      </c>
      <c r="S36" s="132">
        <v>0.0</v>
      </c>
      <c r="T36" s="132">
        <v>0.0</v>
      </c>
      <c r="U36" s="132">
        <v>0.0</v>
      </c>
      <c r="V36" s="132">
        <v>0.0</v>
      </c>
      <c r="W36" s="132">
        <v>0.0</v>
      </c>
      <c r="Y36" s="132" t="s">
        <v>3538</v>
      </c>
      <c r="Z36" s="132">
        <f t="shared" ref="Z36:AC36" si="68">C36-1000</f>
        <v>-1000</v>
      </c>
      <c r="AA36" s="132">
        <f t="shared" si="68"/>
        <v>-1000</v>
      </c>
      <c r="AB36" s="132">
        <f t="shared" si="68"/>
        <v>-1000</v>
      </c>
      <c r="AC36" s="132">
        <f t="shared" si="68"/>
        <v>-1000</v>
      </c>
      <c r="AD36" s="132">
        <f t="shared" si="4"/>
        <v>10000</v>
      </c>
      <c r="AE36" s="132">
        <f t="shared" ref="AE36:AS36" si="69">H36-1000</f>
        <v>-1000</v>
      </c>
      <c r="AF36" s="132">
        <f t="shared" si="69"/>
        <v>-1000</v>
      </c>
      <c r="AG36" s="132">
        <f t="shared" si="69"/>
        <v>-1000</v>
      </c>
      <c r="AH36" s="132">
        <f t="shared" si="69"/>
        <v>-1000</v>
      </c>
      <c r="AI36" s="132">
        <f t="shared" si="69"/>
        <v>-1000</v>
      </c>
      <c r="AJ36" s="132">
        <f t="shared" si="69"/>
        <v>-1000</v>
      </c>
      <c r="AK36" s="132">
        <f t="shared" si="69"/>
        <v>-1000</v>
      </c>
      <c r="AL36" s="132">
        <f t="shared" si="69"/>
        <v>-1000</v>
      </c>
      <c r="AM36" s="132">
        <f t="shared" si="69"/>
        <v>-1000</v>
      </c>
      <c r="AN36" s="132">
        <f t="shared" si="69"/>
        <v>-1000</v>
      </c>
      <c r="AO36" s="132">
        <f t="shared" si="69"/>
        <v>-1000</v>
      </c>
      <c r="AP36" s="132">
        <f t="shared" si="69"/>
        <v>-1000</v>
      </c>
      <c r="AQ36" s="132">
        <f t="shared" si="69"/>
        <v>-1000</v>
      </c>
      <c r="AR36" s="132">
        <f t="shared" si="69"/>
        <v>-1000</v>
      </c>
      <c r="AS36" s="132">
        <f t="shared" si="69"/>
        <v>-1000</v>
      </c>
    </row>
    <row r="37">
      <c r="A37" s="132" t="s">
        <v>3539</v>
      </c>
      <c r="B37" s="132">
        <v>4000.0</v>
      </c>
      <c r="C37" s="132">
        <v>4000.0</v>
      </c>
      <c r="D37" s="132">
        <v>0.0</v>
      </c>
      <c r="E37" s="132">
        <v>0.0</v>
      </c>
      <c r="F37" s="132">
        <v>0.0</v>
      </c>
      <c r="G37" s="132">
        <v>0.0</v>
      </c>
      <c r="H37" s="132">
        <v>0.0</v>
      </c>
      <c r="I37" s="132">
        <v>0.0</v>
      </c>
      <c r="J37" s="132">
        <v>0.0</v>
      </c>
      <c r="K37" s="132">
        <v>0.0</v>
      </c>
      <c r="L37" s="132">
        <v>0.0</v>
      </c>
      <c r="M37" s="132">
        <v>0.0</v>
      </c>
      <c r="N37" s="132">
        <v>0.0</v>
      </c>
      <c r="O37" s="132">
        <v>0.0</v>
      </c>
      <c r="P37" s="132">
        <v>0.0</v>
      </c>
      <c r="Q37" s="132">
        <v>0.0</v>
      </c>
      <c r="R37" s="132">
        <v>0.0</v>
      </c>
      <c r="S37" s="132">
        <v>0.0</v>
      </c>
      <c r="T37" s="132">
        <v>0.0</v>
      </c>
      <c r="U37" s="132">
        <v>0.0</v>
      </c>
      <c r="V37" s="132">
        <v>0.0</v>
      </c>
      <c r="W37" s="132">
        <v>1.0</v>
      </c>
      <c r="Y37" s="132" t="s">
        <v>3539</v>
      </c>
      <c r="Z37" s="132">
        <f t="shared" ref="Z37:AC37" si="70">C37-1000</f>
        <v>3000</v>
      </c>
      <c r="AA37" s="132">
        <f t="shared" si="70"/>
        <v>-1000</v>
      </c>
      <c r="AB37" s="132">
        <f t="shared" si="70"/>
        <v>-1000</v>
      </c>
      <c r="AC37" s="132">
        <f t="shared" si="70"/>
        <v>-1000</v>
      </c>
      <c r="AD37" s="132">
        <f t="shared" si="4"/>
        <v>-10000</v>
      </c>
      <c r="AE37" s="132">
        <f t="shared" ref="AE37:AS37" si="71">H37-1000</f>
        <v>-1000</v>
      </c>
      <c r="AF37" s="132">
        <f t="shared" si="71"/>
        <v>-1000</v>
      </c>
      <c r="AG37" s="132">
        <f t="shared" si="71"/>
        <v>-1000</v>
      </c>
      <c r="AH37" s="132">
        <f t="shared" si="71"/>
        <v>-1000</v>
      </c>
      <c r="AI37" s="132">
        <f t="shared" si="71"/>
        <v>-1000</v>
      </c>
      <c r="AJ37" s="132">
        <f t="shared" si="71"/>
        <v>-1000</v>
      </c>
      <c r="AK37" s="132">
        <f t="shared" si="71"/>
        <v>-1000</v>
      </c>
      <c r="AL37" s="132">
        <f t="shared" si="71"/>
        <v>-1000</v>
      </c>
      <c r="AM37" s="132">
        <f t="shared" si="71"/>
        <v>-1000</v>
      </c>
      <c r="AN37" s="132">
        <f t="shared" si="71"/>
        <v>-1000</v>
      </c>
      <c r="AO37" s="132">
        <f t="shared" si="71"/>
        <v>-1000</v>
      </c>
      <c r="AP37" s="132">
        <f t="shared" si="71"/>
        <v>-1000</v>
      </c>
      <c r="AQ37" s="132">
        <f t="shared" si="71"/>
        <v>-1000</v>
      </c>
      <c r="AR37" s="132">
        <f t="shared" si="71"/>
        <v>-1000</v>
      </c>
      <c r="AS37" s="132">
        <f t="shared" si="71"/>
        <v>-1000</v>
      </c>
    </row>
    <row r="38">
      <c r="A38" s="132" t="s">
        <v>3540</v>
      </c>
      <c r="B38" s="132">
        <v>200.0</v>
      </c>
      <c r="C38" s="132">
        <v>200.0</v>
      </c>
      <c r="D38" s="132">
        <v>0.0</v>
      </c>
      <c r="E38" s="132">
        <v>0.0</v>
      </c>
      <c r="F38" s="132">
        <v>0.0</v>
      </c>
      <c r="G38" s="132">
        <v>0.0</v>
      </c>
      <c r="H38" s="132">
        <v>0.0</v>
      </c>
      <c r="I38" s="132">
        <v>0.0</v>
      </c>
      <c r="J38" s="132">
        <v>0.0</v>
      </c>
      <c r="K38" s="132">
        <v>0.0</v>
      </c>
      <c r="L38" s="132">
        <v>0.0</v>
      </c>
      <c r="M38" s="132">
        <v>0.0</v>
      </c>
      <c r="N38" s="132">
        <v>0.0</v>
      </c>
      <c r="O38" s="132">
        <v>0.0</v>
      </c>
      <c r="P38" s="132">
        <v>0.0</v>
      </c>
      <c r="Q38" s="132">
        <v>0.0</v>
      </c>
      <c r="R38" s="132">
        <v>0.0</v>
      </c>
      <c r="S38" s="132">
        <v>0.0</v>
      </c>
      <c r="T38" s="132">
        <v>0.0</v>
      </c>
      <c r="U38" s="132">
        <v>0.0</v>
      </c>
      <c r="V38" s="132">
        <v>0.0</v>
      </c>
      <c r="W38" s="132">
        <v>0.0</v>
      </c>
      <c r="Y38" s="132" t="s">
        <v>3540</v>
      </c>
      <c r="Z38" s="132">
        <f t="shared" ref="Z38:AC38" si="72">C38-1000</f>
        <v>-800</v>
      </c>
      <c r="AA38" s="132">
        <f t="shared" si="72"/>
        <v>-1000</v>
      </c>
      <c r="AB38" s="132">
        <f t="shared" si="72"/>
        <v>-1000</v>
      </c>
      <c r="AC38" s="132">
        <f t="shared" si="72"/>
        <v>-1000</v>
      </c>
      <c r="AD38" s="132">
        <f t="shared" si="4"/>
        <v>-10000</v>
      </c>
      <c r="AE38" s="132">
        <f t="shared" ref="AE38:AS38" si="73">H38-1000</f>
        <v>-1000</v>
      </c>
      <c r="AF38" s="132">
        <f t="shared" si="73"/>
        <v>-1000</v>
      </c>
      <c r="AG38" s="132">
        <f t="shared" si="73"/>
        <v>-1000</v>
      </c>
      <c r="AH38" s="132">
        <f t="shared" si="73"/>
        <v>-1000</v>
      </c>
      <c r="AI38" s="132">
        <f t="shared" si="73"/>
        <v>-1000</v>
      </c>
      <c r="AJ38" s="132">
        <f t="shared" si="73"/>
        <v>-1000</v>
      </c>
      <c r="AK38" s="132">
        <f t="shared" si="73"/>
        <v>-1000</v>
      </c>
      <c r="AL38" s="132">
        <f t="shared" si="73"/>
        <v>-1000</v>
      </c>
      <c r="AM38" s="132">
        <f t="shared" si="73"/>
        <v>-1000</v>
      </c>
      <c r="AN38" s="132">
        <f t="shared" si="73"/>
        <v>-1000</v>
      </c>
      <c r="AO38" s="132">
        <f t="shared" si="73"/>
        <v>-1000</v>
      </c>
      <c r="AP38" s="132">
        <f t="shared" si="73"/>
        <v>-1000</v>
      </c>
      <c r="AQ38" s="132">
        <f t="shared" si="73"/>
        <v>-1000</v>
      </c>
      <c r="AR38" s="132">
        <f t="shared" si="73"/>
        <v>-1000</v>
      </c>
      <c r="AS38" s="132">
        <f t="shared" si="73"/>
        <v>-1000</v>
      </c>
    </row>
    <row r="39">
      <c r="A39" s="132" t="s">
        <v>3541</v>
      </c>
      <c r="B39" s="132">
        <v>600.0</v>
      </c>
      <c r="C39" s="132">
        <v>0.0</v>
      </c>
      <c r="D39" s="132">
        <v>0.0</v>
      </c>
      <c r="E39" s="132">
        <v>0.0</v>
      </c>
      <c r="F39" s="132">
        <v>0.0</v>
      </c>
      <c r="G39" s="132">
        <v>600.0</v>
      </c>
      <c r="H39" s="132">
        <v>0.0</v>
      </c>
      <c r="I39" s="132">
        <v>0.0</v>
      </c>
      <c r="J39" s="132">
        <v>0.0</v>
      </c>
      <c r="K39" s="132">
        <v>0.0</v>
      </c>
      <c r="L39" s="132">
        <v>0.0</v>
      </c>
      <c r="M39" s="132">
        <v>0.0</v>
      </c>
      <c r="N39" s="132">
        <v>0.0</v>
      </c>
      <c r="O39" s="132">
        <v>0.0</v>
      </c>
      <c r="P39" s="132">
        <v>0.0</v>
      </c>
      <c r="Q39" s="132">
        <v>0.0</v>
      </c>
      <c r="R39" s="132">
        <v>0.0</v>
      </c>
      <c r="S39" s="132">
        <v>0.0</v>
      </c>
      <c r="T39" s="132">
        <v>0.0</v>
      </c>
      <c r="U39" s="132">
        <v>0.0</v>
      </c>
      <c r="V39" s="132">
        <v>0.0</v>
      </c>
      <c r="W39" s="132">
        <v>0.0</v>
      </c>
      <c r="Y39" s="132" t="s">
        <v>3541</v>
      </c>
      <c r="Z39" s="132">
        <f t="shared" ref="Z39:AC39" si="74">C39-1000</f>
        <v>-1000</v>
      </c>
      <c r="AA39" s="132">
        <f t="shared" si="74"/>
        <v>-1000</v>
      </c>
      <c r="AB39" s="132">
        <f t="shared" si="74"/>
        <v>-1000</v>
      </c>
      <c r="AC39" s="132">
        <f t="shared" si="74"/>
        <v>-1000</v>
      </c>
      <c r="AD39" s="132">
        <f t="shared" si="4"/>
        <v>-9400</v>
      </c>
      <c r="AE39" s="132">
        <f t="shared" ref="AE39:AS39" si="75">H39-1000</f>
        <v>-1000</v>
      </c>
      <c r="AF39" s="132">
        <f t="shared" si="75"/>
        <v>-1000</v>
      </c>
      <c r="AG39" s="132">
        <f t="shared" si="75"/>
        <v>-1000</v>
      </c>
      <c r="AH39" s="132">
        <f t="shared" si="75"/>
        <v>-1000</v>
      </c>
      <c r="AI39" s="132">
        <f t="shared" si="75"/>
        <v>-1000</v>
      </c>
      <c r="AJ39" s="132">
        <f t="shared" si="75"/>
        <v>-1000</v>
      </c>
      <c r="AK39" s="132">
        <f t="shared" si="75"/>
        <v>-1000</v>
      </c>
      <c r="AL39" s="132">
        <f t="shared" si="75"/>
        <v>-1000</v>
      </c>
      <c r="AM39" s="132">
        <f t="shared" si="75"/>
        <v>-1000</v>
      </c>
      <c r="AN39" s="132">
        <f t="shared" si="75"/>
        <v>-1000</v>
      </c>
      <c r="AO39" s="132">
        <f t="shared" si="75"/>
        <v>-1000</v>
      </c>
      <c r="AP39" s="132">
        <f t="shared" si="75"/>
        <v>-1000</v>
      </c>
      <c r="AQ39" s="132">
        <f t="shared" si="75"/>
        <v>-1000</v>
      </c>
      <c r="AR39" s="132">
        <f t="shared" si="75"/>
        <v>-1000</v>
      </c>
      <c r="AS39" s="132">
        <f t="shared" si="75"/>
        <v>-1000</v>
      </c>
    </row>
    <row r="40">
      <c r="A40" s="132" t="s">
        <v>3542</v>
      </c>
      <c r="B40" s="132">
        <v>100.0</v>
      </c>
      <c r="C40" s="132">
        <v>0.0</v>
      </c>
      <c r="D40" s="132">
        <v>0.0</v>
      </c>
      <c r="E40" s="132">
        <v>0.0</v>
      </c>
      <c r="F40" s="132">
        <v>0.0</v>
      </c>
      <c r="G40" s="132">
        <v>0.0</v>
      </c>
      <c r="H40" s="132">
        <v>0.0</v>
      </c>
      <c r="I40" s="132">
        <v>0.0</v>
      </c>
      <c r="J40" s="132">
        <v>0.0</v>
      </c>
      <c r="K40" s="132">
        <v>0.0</v>
      </c>
      <c r="L40" s="132">
        <v>0.0</v>
      </c>
      <c r="M40" s="132">
        <v>100.0</v>
      </c>
      <c r="N40" s="132">
        <v>0.0</v>
      </c>
      <c r="O40" s="132">
        <v>0.0</v>
      </c>
      <c r="P40" s="132">
        <v>0.0</v>
      </c>
      <c r="Q40" s="132">
        <v>0.0</v>
      </c>
      <c r="R40" s="132">
        <v>0.0</v>
      </c>
      <c r="S40" s="132">
        <v>0.0</v>
      </c>
      <c r="T40" s="132">
        <v>0.0</v>
      </c>
      <c r="U40" s="132">
        <v>0.0</v>
      </c>
      <c r="V40" s="132">
        <v>0.0</v>
      </c>
      <c r="W40" s="132">
        <v>0.0</v>
      </c>
      <c r="Y40" s="132" t="s">
        <v>3542</v>
      </c>
      <c r="Z40" s="132">
        <f t="shared" ref="Z40:AC40" si="76">C40-1000</f>
        <v>-1000</v>
      </c>
      <c r="AA40" s="132">
        <f t="shared" si="76"/>
        <v>-1000</v>
      </c>
      <c r="AB40" s="132">
        <f t="shared" si="76"/>
        <v>-1000</v>
      </c>
      <c r="AC40" s="132">
        <f t="shared" si="76"/>
        <v>-1000</v>
      </c>
      <c r="AD40" s="132">
        <f t="shared" si="4"/>
        <v>-10000</v>
      </c>
      <c r="AE40" s="132">
        <f t="shared" ref="AE40:AS40" si="77">H40-1000</f>
        <v>-1000</v>
      </c>
      <c r="AF40" s="132">
        <f t="shared" si="77"/>
        <v>-1000</v>
      </c>
      <c r="AG40" s="132">
        <f t="shared" si="77"/>
        <v>-1000</v>
      </c>
      <c r="AH40" s="132">
        <f t="shared" si="77"/>
        <v>-1000</v>
      </c>
      <c r="AI40" s="132">
        <f t="shared" si="77"/>
        <v>-1000</v>
      </c>
      <c r="AJ40" s="132">
        <f t="shared" si="77"/>
        <v>-900</v>
      </c>
      <c r="AK40" s="132">
        <f t="shared" si="77"/>
        <v>-1000</v>
      </c>
      <c r="AL40" s="132">
        <f t="shared" si="77"/>
        <v>-1000</v>
      </c>
      <c r="AM40" s="132">
        <f t="shared" si="77"/>
        <v>-1000</v>
      </c>
      <c r="AN40" s="132">
        <f t="shared" si="77"/>
        <v>-1000</v>
      </c>
      <c r="AO40" s="132">
        <f t="shared" si="77"/>
        <v>-1000</v>
      </c>
      <c r="AP40" s="132">
        <f t="shared" si="77"/>
        <v>-1000</v>
      </c>
      <c r="AQ40" s="132">
        <f t="shared" si="77"/>
        <v>-1000</v>
      </c>
      <c r="AR40" s="132">
        <f t="shared" si="77"/>
        <v>-1000</v>
      </c>
      <c r="AS40" s="132">
        <f t="shared" si="77"/>
        <v>-1000</v>
      </c>
    </row>
    <row r="41">
      <c r="A41" s="132" t="s">
        <v>3543</v>
      </c>
      <c r="B41" s="132">
        <v>100.0</v>
      </c>
      <c r="C41" s="132">
        <v>0.0</v>
      </c>
      <c r="D41" s="132">
        <v>0.0</v>
      </c>
      <c r="E41" s="132">
        <v>0.0</v>
      </c>
      <c r="F41" s="132">
        <v>0.0</v>
      </c>
      <c r="G41" s="132">
        <v>0.0</v>
      </c>
      <c r="H41" s="132">
        <v>0.0</v>
      </c>
      <c r="I41" s="132">
        <v>0.0</v>
      </c>
      <c r="J41" s="132">
        <v>0.0</v>
      </c>
      <c r="K41" s="132">
        <v>0.0</v>
      </c>
      <c r="L41" s="132">
        <v>0.0</v>
      </c>
      <c r="M41" s="132">
        <v>0.0</v>
      </c>
      <c r="N41" s="132">
        <v>100.0</v>
      </c>
      <c r="O41" s="132">
        <v>0.0</v>
      </c>
      <c r="P41" s="132">
        <v>0.0</v>
      </c>
      <c r="Q41" s="132">
        <v>0.0</v>
      </c>
      <c r="R41" s="132">
        <v>0.0</v>
      </c>
      <c r="S41" s="132">
        <v>0.0</v>
      </c>
      <c r="T41" s="132">
        <v>0.0</v>
      </c>
      <c r="U41" s="132">
        <v>0.0</v>
      </c>
      <c r="V41" s="132">
        <v>0.0</v>
      </c>
      <c r="W41" s="132">
        <v>0.0</v>
      </c>
      <c r="Y41" s="132" t="s">
        <v>3543</v>
      </c>
      <c r="Z41" s="132">
        <f t="shared" ref="Z41:AC41" si="78">C41-1000</f>
        <v>-1000</v>
      </c>
      <c r="AA41" s="132">
        <f t="shared" si="78"/>
        <v>-1000</v>
      </c>
      <c r="AB41" s="132">
        <f t="shared" si="78"/>
        <v>-1000</v>
      </c>
      <c r="AC41" s="132">
        <f t="shared" si="78"/>
        <v>-1000</v>
      </c>
      <c r="AD41" s="132">
        <f t="shared" si="4"/>
        <v>-10000</v>
      </c>
      <c r="AE41" s="132">
        <f t="shared" ref="AE41:AS41" si="79">H41-1000</f>
        <v>-1000</v>
      </c>
      <c r="AF41" s="132">
        <f t="shared" si="79"/>
        <v>-1000</v>
      </c>
      <c r="AG41" s="132">
        <f t="shared" si="79"/>
        <v>-1000</v>
      </c>
      <c r="AH41" s="132">
        <f t="shared" si="79"/>
        <v>-1000</v>
      </c>
      <c r="AI41" s="132">
        <f t="shared" si="79"/>
        <v>-1000</v>
      </c>
      <c r="AJ41" s="132">
        <f t="shared" si="79"/>
        <v>-1000</v>
      </c>
      <c r="AK41" s="132">
        <f t="shared" si="79"/>
        <v>-900</v>
      </c>
      <c r="AL41" s="132">
        <f t="shared" si="79"/>
        <v>-1000</v>
      </c>
      <c r="AM41" s="132">
        <f t="shared" si="79"/>
        <v>-1000</v>
      </c>
      <c r="AN41" s="132">
        <f t="shared" si="79"/>
        <v>-1000</v>
      </c>
      <c r="AO41" s="132">
        <f t="shared" si="79"/>
        <v>-1000</v>
      </c>
      <c r="AP41" s="132">
        <f t="shared" si="79"/>
        <v>-1000</v>
      </c>
      <c r="AQ41" s="132">
        <f t="shared" si="79"/>
        <v>-1000</v>
      </c>
      <c r="AR41" s="132">
        <f t="shared" si="79"/>
        <v>-1000</v>
      </c>
      <c r="AS41" s="132">
        <f t="shared" si="79"/>
        <v>-1000</v>
      </c>
    </row>
    <row r="42">
      <c r="A42" s="132" t="s">
        <v>3544</v>
      </c>
      <c r="B42" s="132">
        <v>2000.0</v>
      </c>
      <c r="C42" s="132">
        <v>0.0</v>
      </c>
      <c r="D42" s="132">
        <v>0.0</v>
      </c>
      <c r="E42" s="132">
        <v>0.0</v>
      </c>
      <c r="F42" s="132">
        <v>0.0</v>
      </c>
      <c r="G42" s="132">
        <v>0.0</v>
      </c>
      <c r="H42" s="132">
        <v>2000.0</v>
      </c>
      <c r="I42" s="132">
        <v>0.0</v>
      </c>
      <c r="J42" s="132">
        <v>0.0</v>
      </c>
      <c r="K42" s="132">
        <v>0.0</v>
      </c>
      <c r="L42" s="132">
        <v>0.0</v>
      </c>
      <c r="M42" s="132">
        <v>0.0</v>
      </c>
      <c r="N42" s="132">
        <v>0.0</v>
      </c>
      <c r="O42" s="132">
        <v>0.0</v>
      </c>
      <c r="P42" s="132">
        <v>0.0</v>
      </c>
      <c r="Q42" s="132">
        <v>0.0</v>
      </c>
      <c r="R42" s="132">
        <v>0.0</v>
      </c>
      <c r="S42" s="132">
        <v>0.0</v>
      </c>
      <c r="T42" s="132">
        <v>0.0</v>
      </c>
      <c r="U42" s="132">
        <v>0.0</v>
      </c>
      <c r="V42" s="132">
        <v>0.0</v>
      </c>
      <c r="W42" s="132">
        <v>0.0</v>
      </c>
      <c r="Y42" s="132" t="s">
        <v>3544</v>
      </c>
      <c r="Z42" s="132">
        <f t="shared" ref="Z42:AC42" si="80">C42-1000</f>
        <v>-1000</v>
      </c>
      <c r="AA42" s="132">
        <f t="shared" si="80"/>
        <v>-1000</v>
      </c>
      <c r="AB42" s="132">
        <f t="shared" si="80"/>
        <v>-1000</v>
      </c>
      <c r="AC42" s="132">
        <f t="shared" si="80"/>
        <v>-1000</v>
      </c>
      <c r="AD42" s="132">
        <f t="shared" si="4"/>
        <v>-10000</v>
      </c>
      <c r="AE42" s="132">
        <f t="shared" ref="AE42:AS42" si="81">H42-1000</f>
        <v>1000</v>
      </c>
      <c r="AF42" s="132">
        <f t="shared" si="81"/>
        <v>-1000</v>
      </c>
      <c r="AG42" s="132">
        <f t="shared" si="81"/>
        <v>-1000</v>
      </c>
      <c r="AH42" s="132">
        <f t="shared" si="81"/>
        <v>-1000</v>
      </c>
      <c r="AI42" s="132">
        <f t="shared" si="81"/>
        <v>-1000</v>
      </c>
      <c r="AJ42" s="132">
        <f t="shared" si="81"/>
        <v>-1000</v>
      </c>
      <c r="AK42" s="132">
        <f t="shared" si="81"/>
        <v>-1000</v>
      </c>
      <c r="AL42" s="132">
        <f t="shared" si="81"/>
        <v>-1000</v>
      </c>
      <c r="AM42" s="132">
        <f t="shared" si="81"/>
        <v>-1000</v>
      </c>
      <c r="AN42" s="132">
        <f t="shared" si="81"/>
        <v>-1000</v>
      </c>
      <c r="AO42" s="132">
        <f t="shared" si="81"/>
        <v>-1000</v>
      </c>
      <c r="AP42" s="132">
        <f t="shared" si="81"/>
        <v>-1000</v>
      </c>
      <c r="AQ42" s="132">
        <f t="shared" si="81"/>
        <v>-1000</v>
      </c>
      <c r="AR42" s="132">
        <f t="shared" si="81"/>
        <v>-1000</v>
      </c>
      <c r="AS42" s="132">
        <f t="shared" si="81"/>
        <v>-1000</v>
      </c>
    </row>
    <row r="43">
      <c r="A43" s="132" t="s">
        <v>3545</v>
      </c>
      <c r="B43" s="132">
        <v>8100.0</v>
      </c>
      <c r="C43" s="132">
        <v>0.0</v>
      </c>
      <c r="D43" s="132">
        <v>0.0</v>
      </c>
      <c r="E43" s="132">
        <v>0.0</v>
      </c>
      <c r="F43" s="132">
        <v>0.0</v>
      </c>
      <c r="G43" s="132">
        <v>8000.0</v>
      </c>
      <c r="H43" s="132">
        <v>0.0</v>
      </c>
      <c r="I43" s="132">
        <v>0.0</v>
      </c>
      <c r="J43" s="132">
        <v>0.0</v>
      </c>
      <c r="K43" s="132">
        <v>0.0</v>
      </c>
      <c r="L43" s="132">
        <v>0.0</v>
      </c>
      <c r="M43" s="132">
        <v>0.0</v>
      </c>
      <c r="N43" s="132">
        <v>100.0</v>
      </c>
      <c r="O43" s="132">
        <v>0.0</v>
      </c>
      <c r="P43" s="132">
        <v>0.0</v>
      </c>
      <c r="Q43" s="132">
        <v>0.0</v>
      </c>
      <c r="R43" s="132">
        <v>0.0</v>
      </c>
      <c r="S43" s="132">
        <v>0.0</v>
      </c>
      <c r="T43" s="132">
        <v>0.0</v>
      </c>
      <c r="U43" s="132">
        <v>0.0</v>
      </c>
      <c r="V43" s="132">
        <v>0.0</v>
      </c>
      <c r="W43" s="132">
        <v>1.0</v>
      </c>
      <c r="Y43" s="132" t="s">
        <v>3545</v>
      </c>
      <c r="Z43" s="132">
        <f t="shared" ref="Z43:AC43" si="82">C43-1000</f>
        <v>-1000</v>
      </c>
      <c r="AA43" s="132">
        <f t="shared" si="82"/>
        <v>-1000</v>
      </c>
      <c r="AB43" s="132">
        <f t="shared" si="82"/>
        <v>-1000</v>
      </c>
      <c r="AC43" s="132">
        <f t="shared" si="82"/>
        <v>-1000</v>
      </c>
      <c r="AD43" s="132">
        <f t="shared" si="4"/>
        <v>-2000</v>
      </c>
      <c r="AE43" s="132">
        <f t="shared" ref="AE43:AS43" si="83">H43-1000</f>
        <v>-1000</v>
      </c>
      <c r="AF43" s="132">
        <f t="shared" si="83"/>
        <v>-1000</v>
      </c>
      <c r="AG43" s="132">
        <f t="shared" si="83"/>
        <v>-1000</v>
      </c>
      <c r="AH43" s="132">
        <f t="shared" si="83"/>
        <v>-1000</v>
      </c>
      <c r="AI43" s="132">
        <f t="shared" si="83"/>
        <v>-1000</v>
      </c>
      <c r="AJ43" s="132">
        <f t="shared" si="83"/>
        <v>-1000</v>
      </c>
      <c r="AK43" s="132">
        <f t="shared" si="83"/>
        <v>-900</v>
      </c>
      <c r="AL43" s="132">
        <f t="shared" si="83"/>
        <v>-1000</v>
      </c>
      <c r="AM43" s="132">
        <f t="shared" si="83"/>
        <v>-1000</v>
      </c>
      <c r="AN43" s="132">
        <f t="shared" si="83"/>
        <v>-1000</v>
      </c>
      <c r="AO43" s="132">
        <f t="shared" si="83"/>
        <v>-1000</v>
      </c>
      <c r="AP43" s="132">
        <f t="shared" si="83"/>
        <v>-1000</v>
      </c>
      <c r="AQ43" s="132">
        <f t="shared" si="83"/>
        <v>-1000</v>
      </c>
      <c r="AR43" s="132">
        <f t="shared" si="83"/>
        <v>-1000</v>
      </c>
      <c r="AS43" s="132">
        <f t="shared" si="83"/>
        <v>-1000</v>
      </c>
    </row>
    <row r="44">
      <c r="A44" s="132" t="s">
        <v>3546</v>
      </c>
      <c r="B44" s="132">
        <v>2700.0</v>
      </c>
      <c r="C44" s="132">
        <v>1000.0</v>
      </c>
      <c r="D44" s="132">
        <v>0.0</v>
      </c>
      <c r="E44" s="132">
        <v>0.0</v>
      </c>
      <c r="F44" s="132">
        <v>1000.0</v>
      </c>
      <c r="G44" s="132">
        <v>0.0</v>
      </c>
      <c r="H44" s="132">
        <v>500.0</v>
      </c>
      <c r="I44" s="132">
        <v>0.0</v>
      </c>
      <c r="J44" s="132">
        <v>0.0</v>
      </c>
      <c r="K44" s="132">
        <v>0.0</v>
      </c>
      <c r="L44" s="132">
        <v>0.0</v>
      </c>
      <c r="M44" s="132">
        <v>0.0</v>
      </c>
      <c r="N44" s="132">
        <v>200.0</v>
      </c>
      <c r="O44" s="132">
        <v>0.0</v>
      </c>
      <c r="P44" s="132">
        <v>0.0</v>
      </c>
      <c r="Q44" s="132">
        <v>0.0</v>
      </c>
      <c r="R44" s="132">
        <v>0.0</v>
      </c>
      <c r="S44" s="132">
        <v>0.0</v>
      </c>
      <c r="T44" s="132">
        <v>0.0</v>
      </c>
      <c r="U44" s="132">
        <v>0.0</v>
      </c>
      <c r="V44" s="132">
        <v>0.0</v>
      </c>
      <c r="W44" s="132">
        <v>1.0</v>
      </c>
      <c r="Y44" s="132" t="s">
        <v>3546</v>
      </c>
      <c r="Z44" s="132">
        <f t="shared" ref="Z44:AC44" si="84">C44-1000</f>
        <v>0</v>
      </c>
      <c r="AA44" s="132">
        <f t="shared" si="84"/>
        <v>-1000</v>
      </c>
      <c r="AB44" s="132">
        <f t="shared" si="84"/>
        <v>-1000</v>
      </c>
      <c r="AC44" s="132">
        <f t="shared" si="84"/>
        <v>0</v>
      </c>
      <c r="AD44" s="132">
        <f t="shared" si="4"/>
        <v>-10000</v>
      </c>
      <c r="AE44" s="132">
        <f t="shared" ref="AE44:AS44" si="85">H44-1000</f>
        <v>-500</v>
      </c>
      <c r="AF44" s="132">
        <f t="shared" si="85"/>
        <v>-1000</v>
      </c>
      <c r="AG44" s="132">
        <f t="shared" si="85"/>
        <v>-1000</v>
      </c>
      <c r="AH44" s="132">
        <f t="shared" si="85"/>
        <v>-1000</v>
      </c>
      <c r="AI44" s="132">
        <f t="shared" si="85"/>
        <v>-1000</v>
      </c>
      <c r="AJ44" s="132">
        <f t="shared" si="85"/>
        <v>-1000</v>
      </c>
      <c r="AK44" s="132">
        <f t="shared" si="85"/>
        <v>-800</v>
      </c>
      <c r="AL44" s="132">
        <f t="shared" si="85"/>
        <v>-1000</v>
      </c>
      <c r="AM44" s="132">
        <f t="shared" si="85"/>
        <v>-1000</v>
      </c>
      <c r="AN44" s="132">
        <f t="shared" si="85"/>
        <v>-1000</v>
      </c>
      <c r="AO44" s="132">
        <f t="shared" si="85"/>
        <v>-1000</v>
      </c>
      <c r="AP44" s="132">
        <f t="shared" si="85"/>
        <v>-1000</v>
      </c>
      <c r="AQ44" s="132">
        <f t="shared" si="85"/>
        <v>-1000</v>
      </c>
      <c r="AR44" s="132">
        <f t="shared" si="85"/>
        <v>-1000</v>
      </c>
      <c r="AS44" s="132">
        <f t="shared" si="85"/>
        <v>-1000</v>
      </c>
    </row>
    <row r="45">
      <c r="A45" s="132" t="s">
        <v>3547</v>
      </c>
      <c r="B45" s="132">
        <v>1900.0</v>
      </c>
      <c r="C45" s="132">
        <v>1900.0</v>
      </c>
      <c r="D45" s="132">
        <v>0.0</v>
      </c>
      <c r="E45" s="132">
        <v>0.0</v>
      </c>
      <c r="F45" s="132">
        <v>0.0</v>
      </c>
      <c r="G45" s="132">
        <v>0.0</v>
      </c>
      <c r="H45" s="132">
        <v>0.0</v>
      </c>
      <c r="I45" s="132">
        <v>0.0</v>
      </c>
      <c r="J45" s="132">
        <v>0.0</v>
      </c>
      <c r="K45" s="132">
        <v>0.0</v>
      </c>
      <c r="L45" s="132">
        <v>0.0</v>
      </c>
      <c r="M45" s="132">
        <v>0.0</v>
      </c>
      <c r="N45" s="132">
        <v>0.0</v>
      </c>
      <c r="O45" s="132">
        <v>0.0</v>
      </c>
      <c r="P45" s="132">
        <v>0.0</v>
      </c>
      <c r="Q45" s="132">
        <v>0.0</v>
      </c>
      <c r="R45" s="132">
        <v>0.0</v>
      </c>
      <c r="S45" s="132">
        <v>0.0</v>
      </c>
      <c r="T45" s="132">
        <v>0.0</v>
      </c>
      <c r="U45" s="132">
        <v>0.0</v>
      </c>
      <c r="V45" s="132">
        <v>0.0</v>
      </c>
      <c r="W45" s="132">
        <v>0.0</v>
      </c>
      <c r="Y45" s="132" t="s">
        <v>3547</v>
      </c>
      <c r="Z45" s="132">
        <f t="shared" ref="Z45:AC45" si="86">C45-1000</f>
        <v>900</v>
      </c>
      <c r="AA45" s="132">
        <f t="shared" si="86"/>
        <v>-1000</v>
      </c>
      <c r="AB45" s="132">
        <f t="shared" si="86"/>
        <v>-1000</v>
      </c>
      <c r="AC45" s="132">
        <f t="shared" si="86"/>
        <v>-1000</v>
      </c>
      <c r="AD45" s="132">
        <f t="shared" si="4"/>
        <v>-10000</v>
      </c>
      <c r="AE45" s="132">
        <f t="shared" ref="AE45:AS45" si="87">H45-1000</f>
        <v>-1000</v>
      </c>
      <c r="AF45" s="132">
        <f t="shared" si="87"/>
        <v>-1000</v>
      </c>
      <c r="AG45" s="132">
        <f t="shared" si="87"/>
        <v>-1000</v>
      </c>
      <c r="AH45" s="132">
        <f t="shared" si="87"/>
        <v>-1000</v>
      </c>
      <c r="AI45" s="132">
        <f t="shared" si="87"/>
        <v>-1000</v>
      </c>
      <c r="AJ45" s="132">
        <f t="shared" si="87"/>
        <v>-1000</v>
      </c>
      <c r="AK45" s="132">
        <f t="shared" si="87"/>
        <v>-1000</v>
      </c>
      <c r="AL45" s="132">
        <f t="shared" si="87"/>
        <v>-1000</v>
      </c>
      <c r="AM45" s="132">
        <f t="shared" si="87"/>
        <v>-1000</v>
      </c>
      <c r="AN45" s="132">
        <f t="shared" si="87"/>
        <v>-1000</v>
      </c>
      <c r="AO45" s="132">
        <f t="shared" si="87"/>
        <v>-1000</v>
      </c>
      <c r="AP45" s="132">
        <f t="shared" si="87"/>
        <v>-1000</v>
      </c>
      <c r="AQ45" s="132">
        <f t="shared" si="87"/>
        <v>-1000</v>
      </c>
      <c r="AR45" s="132">
        <f t="shared" si="87"/>
        <v>-1000</v>
      </c>
      <c r="AS45" s="132">
        <f t="shared" si="87"/>
        <v>-1000</v>
      </c>
    </row>
    <row r="46">
      <c r="A46" s="132" t="s">
        <v>3548</v>
      </c>
      <c r="B46" s="132">
        <v>50.0</v>
      </c>
      <c r="C46" s="132">
        <v>0.0</v>
      </c>
      <c r="D46" s="132">
        <v>0.0</v>
      </c>
      <c r="E46" s="132">
        <v>50.0</v>
      </c>
      <c r="F46" s="132">
        <v>0.0</v>
      </c>
      <c r="G46" s="132">
        <v>0.0</v>
      </c>
      <c r="H46" s="132">
        <v>0.0</v>
      </c>
      <c r="I46" s="132">
        <v>0.0</v>
      </c>
      <c r="J46" s="132">
        <v>0.0</v>
      </c>
      <c r="K46" s="132">
        <v>0.0</v>
      </c>
      <c r="L46" s="132">
        <v>0.0</v>
      </c>
      <c r="M46" s="132">
        <v>0.0</v>
      </c>
      <c r="N46" s="132">
        <v>0.0</v>
      </c>
      <c r="O46" s="132">
        <v>0.0</v>
      </c>
      <c r="P46" s="132">
        <v>0.0</v>
      </c>
      <c r="Q46" s="132">
        <v>0.0</v>
      </c>
      <c r="R46" s="132">
        <v>0.0</v>
      </c>
      <c r="S46" s="132">
        <v>0.0</v>
      </c>
      <c r="T46" s="132">
        <v>0.0</v>
      </c>
      <c r="U46" s="132">
        <v>0.0</v>
      </c>
      <c r="V46" s="132">
        <v>0.0</v>
      </c>
      <c r="W46" s="132">
        <v>0.0</v>
      </c>
      <c r="Y46" s="132" t="s">
        <v>3548</v>
      </c>
      <c r="Z46" s="132">
        <f t="shared" ref="Z46:AC46" si="88">C46-1000</f>
        <v>-1000</v>
      </c>
      <c r="AA46" s="132">
        <f t="shared" si="88"/>
        <v>-1000</v>
      </c>
      <c r="AB46" s="132">
        <f t="shared" si="88"/>
        <v>-950</v>
      </c>
      <c r="AC46" s="132">
        <f t="shared" si="88"/>
        <v>-1000</v>
      </c>
      <c r="AD46" s="132">
        <f t="shared" si="4"/>
        <v>-10000</v>
      </c>
      <c r="AE46" s="132">
        <f t="shared" ref="AE46:AS46" si="89">H46-1000</f>
        <v>-1000</v>
      </c>
      <c r="AF46" s="132">
        <f t="shared" si="89"/>
        <v>-1000</v>
      </c>
      <c r="AG46" s="132">
        <f t="shared" si="89"/>
        <v>-1000</v>
      </c>
      <c r="AH46" s="132">
        <f t="shared" si="89"/>
        <v>-1000</v>
      </c>
      <c r="AI46" s="132">
        <f t="shared" si="89"/>
        <v>-1000</v>
      </c>
      <c r="AJ46" s="132">
        <f t="shared" si="89"/>
        <v>-1000</v>
      </c>
      <c r="AK46" s="132">
        <f t="shared" si="89"/>
        <v>-1000</v>
      </c>
      <c r="AL46" s="132">
        <f t="shared" si="89"/>
        <v>-1000</v>
      </c>
      <c r="AM46" s="132">
        <f t="shared" si="89"/>
        <v>-1000</v>
      </c>
      <c r="AN46" s="132">
        <f t="shared" si="89"/>
        <v>-1000</v>
      </c>
      <c r="AO46" s="132">
        <f t="shared" si="89"/>
        <v>-1000</v>
      </c>
      <c r="AP46" s="132">
        <f t="shared" si="89"/>
        <v>-1000</v>
      </c>
      <c r="AQ46" s="132">
        <f t="shared" si="89"/>
        <v>-1000</v>
      </c>
      <c r="AR46" s="132">
        <f t="shared" si="89"/>
        <v>-1000</v>
      </c>
      <c r="AS46" s="132">
        <f t="shared" si="89"/>
        <v>-1000</v>
      </c>
    </row>
    <row r="47">
      <c r="A47" s="132" t="s">
        <v>3549</v>
      </c>
      <c r="B47" s="132">
        <v>500.0</v>
      </c>
      <c r="C47" s="132">
        <v>0.0</v>
      </c>
      <c r="D47" s="132">
        <v>0.0</v>
      </c>
      <c r="E47" s="132">
        <v>0.0</v>
      </c>
      <c r="F47" s="132">
        <v>0.0</v>
      </c>
      <c r="G47" s="132">
        <v>0.0</v>
      </c>
      <c r="H47" s="132">
        <v>500.0</v>
      </c>
      <c r="I47" s="132">
        <v>0.0</v>
      </c>
      <c r="J47" s="132">
        <v>0.0</v>
      </c>
      <c r="K47" s="132">
        <v>0.0</v>
      </c>
      <c r="L47" s="132">
        <v>0.0</v>
      </c>
      <c r="M47" s="132">
        <v>0.0</v>
      </c>
      <c r="N47" s="132">
        <v>0.0</v>
      </c>
      <c r="O47" s="132">
        <v>0.0</v>
      </c>
      <c r="P47" s="132">
        <v>0.0</v>
      </c>
      <c r="Q47" s="132">
        <v>0.0</v>
      </c>
      <c r="R47" s="132">
        <v>0.0</v>
      </c>
      <c r="S47" s="132">
        <v>0.0</v>
      </c>
      <c r="T47" s="132">
        <v>0.0</v>
      </c>
      <c r="U47" s="132">
        <v>0.0</v>
      </c>
      <c r="V47" s="132">
        <v>0.0</v>
      </c>
      <c r="W47" s="132">
        <v>0.0</v>
      </c>
      <c r="Y47" s="132" t="s">
        <v>3549</v>
      </c>
      <c r="Z47" s="132">
        <f t="shared" ref="Z47:AC47" si="90">C47-1000</f>
        <v>-1000</v>
      </c>
      <c r="AA47" s="132">
        <f t="shared" si="90"/>
        <v>-1000</v>
      </c>
      <c r="AB47" s="132">
        <f t="shared" si="90"/>
        <v>-1000</v>
      </c>
      <c r="AC47" s="132">
        <f t="shared" si="90"/>
        <v>-1000</v>
      </c>
      <c r="AD47" s="132">
        <f t="shared" si="4"/>
        <v>-10000</v>
      </c>
      <c r="AE47" s="132">
        <f t="shared" ref="AE47:AS47" si="91">H47-1000</f>
        <v>-500</v>
      </c>
      <c r="AF47" s="132">
        <f t="shared" si="91"/>
        <v>-1000</v>
      </c>
      <c r="AG47" s="132">
        <f t="shared" si="91"/>
        <v>-1000</v>
      </c>
      <c r="AH47" s="132">
        <f t="shared" si="91"/>
        <v>-1000</v>
      </c>
      <c r="AI47" s="132">
        <f t="shared" si="91"/>
        <v>-1000</v>
      </c>
      <c r="AJ47" s="132">
        <f t="shared" si="91"/>
        <v>-1000</v>
      </c>
      <c r="AK47" s="132">
        <f t="shared" si="91"/>
        <v>-1000</v>
      </c>
      <c r="AL47" s="132">
        <f t="shared" si="91"/>
        <v>-1000</v>
      </c>
      <c r="AM47" s="132">
        <f t="shared" si="91"/>
        <v>-1000</v>
      </c>
      <c r="AN47" s="132">
        <f t="shared" si="91"/>
        <v>-1000</v>
      </c>
      <c r="AO47" s="132">
        <f t="shared" si="91"/>
        <v>-1000</v>
      </c>
      <c r="AP47" s="132">
        <f t="shared" si="91"/>
        <v>-1000</v>
      </c>
      <c r="AQ47" s="132">
        <f t="shared" si="91"/>
        <v>-1000</v>
      </c>
      <c r="AR47" s="132">
        <f t="shared" si="91"/>
        <v>-1000</v>
      </c>
      <c r="AS47" s="132">
        <f t="shared" si="91"/>
        <v>-1000</v>
      </c>
    </row>
    <row r="48">
      <c r="A48" s="132" t="s">
        <v>3550</v>
      </c>
      <c r="B48" s="132">
        <v>102.0</v>
      </c>
      <c r="C48" s="132">
        <v>0.0</v>
      </c>
      <c r="D48" s="132">
        <v>0.0</v>
      </c>
      <c r="E48" s="132">
        <v>0.0</v>
      </c>
      <c r="F48" s="132">
        <v>0.0</v>
      </c>
      <c r="G48" s="132">
        <v>0.0</v>
      </c>
      <c r="H48" s="132">
        <v>0.0</v>
      </c>
      <c r="I48" s="132">
        <v>0.0</v>
      </c>
      <c r="J48" s="132">
        <v>0.0</v>
      </c>
      <c r="K48" s="132">
        <v>0.0</v>
      </c>
      <c r="L48" s="132">
        <v>0.0</v>
      </c>
      <c r="M48" s="132">
        <v>0.0</v>
      </c>
      <c r="N48" s="132">
        <v>102.0</v>
      </c>
      <c r="O48" s="132">
        <v>0.0</v>
      </c>
      <c r="P48" s="132">
        <v>0.0</v>
      </c>
      <c r="Q48" s="132">
        <v>0.0</v>
      </c>
      <c r="R48" s="132">
        <v>0.0</v>
      </c>
      <c r="S48" s="132">
        <v>0.0</v>
      </c>
      <c r="T48" s="132">
        <v>0.0</v>
      </c>
      <c r="U48" s="132">
        <v>0.0</v>
      </c>
      <c r="V48" s="132">
        <v>0.0</v>
      </c>
      <c r="W48" s="132">
        <v>0.0</v>
      </c>
      <c r="Y48" s="132" t="s">
        <v>3550</v>
      </c>
      <c r="Z48" s="132">
        <f t="shared" ref="Z48:AC48" si="92">C48-1000</f>
        <v>-1000</v>
      </c>
      <c r="AA48" s="132">
        <f t="shared" si="92"/>
        <v>-1000</v>
      </c>
      <c r="AB48" s="132">
        <f t="shared" si="92"/>
        <v>-1000</v>
      </c>
      <c r="AC48" s="132">
        <f t="shared" si="92"/>
        <v>-1000</v>
      </c>
      <c r="AD48" s="132">
        <f t="shared" si="4"/>
        <v>-10000</v>
      </c>
      <c r="AE48" s="132">
        <f t="shared" ref="AE48:AS48" si="93">H48-1000</f>
        <v>-1000</v>
      </c>
      <c r="AF48" s="132">
        <f t="shared" si="93"/>
        <v>-1000</v>
      </c>
      <c r="AG48" s="132">
        <f t="shared" si="93"/>
        <v>-1000</v>
      </c>
      <c r="AH48" s="132">
        <f t="shared" si="93"/>
        <v>-1000</v>
      </c>
      <c r="AI48" s="132">
        <f t="shared" si="93"/>
        <v>-1000</v>
      </c>
      <c r="AJ48" s="132">
        <f t="shared" si="93"/>
        <v>-1000</v>
      </c>
      <c r="AK48" s="132">
        <f t="shared" si="93"/>
        <v>-898</v>
      </c>
      <c r="AL48" s="132">
        <f t="shared" si="93"/>
        <v>-1000</v>
      </c>
      <c r="AM48" s="132">
        <f t="shared" si="93"/>
        <v>-1000</v>
      </c>
      <c r="AN48" s="132">
        <f t="shared" si="93"/>
        <v>-1000</v>
      </c>
      <c r="AO48" s="132">
        <f t="shared" si="93"/>
        <v>-1000</v>
      </c>
      <c r="AP48" s="132">
        <f t="shared" si="93"/>
        <v>-1000</v>
      </c>
      <c r="AQ48" s="132">
        <f t="shared" si="93"/>
        <v>-1000</v>
      </c>
      <c r="AR48" s="132">
        <f t="shared" si="93"/>
        <v>-1000</v>
      </c>
      <c r="AS48" s="132">
        <f t="shared" si="93"/>
        <v>-1000</v>
      </c>
    </row>
    <row r="49">
      <c r="A49" s="132" t="s">
        <v>3551</v>
      </c>
      <c r="B49" s="132">
        <v>200.0</v>
      </c>
      <c r="C49" s="132">
        <v>0.0</v>
      </c>
      <c r="D49" s="132">
        <v>0.0</v>
      </c>
      <c r="E49" s="132">
        <v>0.0</v>
      </c>
      <c r="F49" s="132">
        <v>0.0</v>
      </c>
      <c r="G49" s="132">
        <v>200.0</v>
      </c>
      <c r="H49" s="132">
        <v>0.0</v>
      </c>
      <c r="I49" s="132">
        <v>0.0</v>
      </c>
      <c r="J49" s="132">
        <v>0.0</v>
      </c>
      <c r="K49" s="132">
        <v>0.0</v>
      </c>
      <c r="L49" s="132">
        <v>0.0</v>
      </c>
      <c r="M49" s="132">
        <v>0.0</v>
      </c>
      <c r="N49" s="132">
        <v>0.0</v>
      </c>
      <c r="O49" s="132">
        <v>0.0</v>
      </c>
      <c r="P49" s="132">
        <v>0.0</v>
      </c>
      <c r="Q49" s="132">
        <v>0.0</v>
      </c>
      <c r="R49" s="132">
        <v>0.0</v>
      </c>
      <c r="S49" s="132">
        <v>0.0</v>
      </c>
      <c r="T49" s="132">
        <v>0.0</v>
      </c>
      <c r="U49" s="132">
        <v>0.0</v>
      </c>
      <c r="V49" s="132">
        <v>0.0</v>
      </c>
      <c r="W49" s="132">
        <v>0.0</v>
      </c>
      <c r="Y49" s="132" t="s">
        <v>3551</v>
      </c>
      <c r="Z49" s="132">
        <f t="shared" ref="Z49:AC49" si="94">C49-1000</f>
        <v>-1000</v>
      </c>
      <c r="AA49" s="132">
        <f t="shared" si="94"/>
        <v>-1000</v>
      </c>
      <c r="AB49" s="132">
        <f t="shared" si="94"/>
        <v>-1000</v>
      </c>
      <c r="AC49" s="132">
        <f t="shared" si="94"/>
        <v>-1000</v>
      </c>
      <c r="AD49" s="132">
        <f t="shared" si="4"/>
        <v>-9800</v>
      </c>
      <c r="AE49" s="132">
        <f t="shared" ref="AE49:AS49" si="95">H49-1000</f>
        <v>-1000</v>
      </c>
      <c r="AF49" s="132">
        <f t="shared" si="95"/>
        <v>-1000</v>
      </c>
      <c r="AG49" s="132">
        <f t="shared" si="95"/>
        <v>-1000</v>
      </c>
      <c r="AH49" s="132">
        <f t="shared" si="95"/>
        <v>-1000</v>
      </c>
      <c r="AI49" s="132">
        <f t="shared" si="95"/>
        <v>-1000</v>
      </c>
      <c r="AJ49" s="132">
        <f t="shared" si="95"/>
        <v>-1000</v>
      </c>
      <c r="AK49" s="132">
        <f t="shared" si="95"/>
        <v>-1000</v>
      </c>
      <c r="AL49" s="132">
        <f t="shared" si="95"/>
        <v>-1000</v>
      </c>
      <c r="AM49" s="132">
        <f t="shared" si="95"/>
        <v>-1000</v>
      </c>
      <c r="AN49" s="132">
        <f t="shared" si="95"/>
        <v>-1000</v>
      </c>
      <c r="AO49" s="132">
        <f t="shared" si="95"/>
        <v>-1000</v>
      </c>
      <c r="AP49" s="132">
        <f t="shared" si="95"/>
        <v>-1000</v>
      </c>
      <c r="AQ49" s="132">
        <f t="shared" si="95"/>
        <v>-1000</v>
      </c>
      <c r="AR49" s="132">
        <f t="shared" si="95"/>
        <v>-1000</v>
      </c>
      <c r="AS49" s="132">
        <f t="shared" si="95"/>
        <v>-1000</v>
      </c>
    </row>
    <row r="50">
      <c r="A50" s="132" t="s">
        <v>3552</v>
      </c>
      <c r="B50" s="132">
        <v>6680.0</v>
      </c>
      <c r="C50" s="132">
        <v>0.0</v>
      </c>
      <c r="D50" s="132">
        <v>0.0</v>
      </c>
      <c r="E50" s="132">
        <v>0.0</v>
      </c>
      <c r="F50" s="132">
        <v>0.0</v>
      </c>
      <c r="G50" s="132">
        <v>5000.0</v>
      </c>
      <c r="H50" s="132">
        <v>0.0</v>
      </c>
      <c r="I50" s="132">
        <v>0.0</v>
      </c>
      <c r="J50" s="132">
        <v>0.0</v>
      </c>
      <c r="K50" s="132">
        <v>0.0</v>
      </c>
      <c r="L50" s="132">
        <v>0.0</v>
      </c>
      <c r="M50" s="132">
        <v>1680.0</v>
      </c>
      <c r="N50" s="132">
        <v>0.0</v>
      </c>
      <c r="O50" s="132">
        <v>0.0</v>
      </c>
      <c r="P50" s="132">
        <v>0.0</v>
      </c>
      <c r="Q50" s="132">
        <v>0.0</v>
      </c>
      <c r="R50" s="132">
        <v>0.0</v>
      </c>
      <c r="S50" s="132">
        <v>0.0</v>
      </c>
      <c r="T50" s="132">
        <v>0.0</v>
      </c>
      <c r="U50" s="132">
        <v>0.0</v>
      </c>
      <c r="V50" s="132">
        <v>0.0</v>
      </c>
      <c r="W50" s="132">
        <v>1.0</v>
      </c>
      <c r="Y50" s="132" t="s">
        <v>3552</v>
      </c>
      <c r="Z50" s="132">
        <f t="shared" ref="Z50:AC50" si="96">C50-1000</f>
        <v>-1000</v>
      </c>
      <c r="AA50" s="132">
        <f t="shared" si="96"/>
        <v>-1000</v>
      </c>
      <c r="AB50" s="132">
        <f t="shared" si="96"/>
        <v>-1000</v>
      </c>
      <c r="AC50" s="132">
        <f t="shared" si="96"/>
        <v>-1000</v>
      </c>
      <c r="AD50" s="132">
        <f t="shared" si="4"/>
        <v>-5000</v>
      </c>
      <c r="AE50" s="132">
        <f t="shared" ref="AE50:AS50" si="97">H50-1000</f>
        <v>-1000</v>
      </c>
      <c r="AF50" s="132">
        <f t="shared" si="97"/>
        <v>-1000</v>
      </c>
      <c r="AG50" s="132">
        <f t="shared" si="97"/>
        <v>-1000</v>
      </c>
      <c r="AH50" s="132">
        <f t="shared" si="97"/>
        <v>-1000</v>
      </c>
      <c r="AI50" s="132">
        <f t="shared" si="97"/>
        <v>-1000</v>
      </c>
      <c r="AJ50" s="132">
        <f t="shared" si="97"/>
        <v>680</v>
      </c>
      <c r="AK50" s="132">
        <f t="shared" si="97"/>
        <v>-1000</v>
      </c>
      <c r="AL50" s="132">
        <f t="shared" si="97"/>
        <v>-1000</v>
      </c>
      <c r="AM50" s="132">
        <f t="shared" si="97"/>
        <v>-1000</v>
      </c>
      <c r="AN50" s="132">
        <f t="shared" si="97"/>
        <v>-1000</v>
      </c>
      <c r="AO50" s="132">
        <f t="shared" si="97"/>
        <v>-1000</v>
      </c>
      <c r="AP50" s="132">
        <f t="shared" si="97"/>
        <v>-1000</v>
      </c>
      <c r="AQ50" s="132">
        <f t="shared" si="97"/>
        <v>-1000</v>
      </c>
      <c r="AR50" s="132">
        <f t="shared" si="97"/>
        <v>-1000</v>
      </c>
      <c r="AS50" s="132">
        <f t="shared" si="97"/>
        <v>-1000</v>
      </c>
    </row>
    <row r="51">
      <c r="A51" s="132" t="s">
        <v>3553</v>
      </c>
      <c r="B51" s="132">
        <v>2500.0</v>
      </c>
      <c r="C51" s="132">
        <v>0.0</v>
      </c>
      <c r="D51" s="132">
        <v>0.0</v>
      </c>
      <c r="E51" s="132">
        <v>0.0</v>
      </c>
      <c r="F51" s="132">
        <v>0.0</v>
      </c>
      <c r="G51" s="132">
        <v>2500.0</v>
      </c>
      <c r="H51" s="132">
        <v>0.0</v>
      </c>
      <c r="I51" s="132">
        <v>0.0</v>
      </c>
      <c r="J51" s="132">
        <v>0.0</v>
      </c>
      <c r="K51" s="132">
        <v>0.0</v>
      </c>
      <c r="L51" s="132">
        <v>0.0</v>
      </c>
      <c r="M51" s="132">
        <v>0.0</v>
      </c>
      <c r="N51" s="132">
        <v>0.0</v>
      </c>
      <c r="O51" s="132">
        <v>0.0</v>
      </c>
      <c r="P51" s="132">
        <v>0.0</v>
      </c>
      <c r="Q51" s="132">
        <v>0.0</v>
      </c>
      <c r="R51" s="132">
        <v>0.0</v>
      </c>
      <c r="S51" s="132">
        <v>0.0</v>
      </c>
      <c r="T51" s="132">
        <v>0.0</v>
      </c>
      <c r="U51" s="132">
        <v>0.0</v>
      </c>
      <c r="V51" s="132">
        <v>0.0</v>
      </c>
      <c r="W51" s="132">
        <v>0.0</v>
      </c>
      <c r="Y51" s="132" t="s">
        <v>3553</v>
      </c>
      <c r="Z51" s="132">
        <f t="shared" ref="Z51:AC51" si="98">C51-1000</f>
        <v>-1000</v>
      </c>
      <c r="AA51" s="132">
        <f t="shared" si="98"/>
        <v>-1000</v>
      </c>
      <c r="AB51" s="132">
        <f t="shared" si="98"/>
        <v>-1000</v>
      </c>
      <c r="AC51" s="132">
        <f t="shared" si="98"/>
        <v>-1000</v>
      </c>
      <c r="AD51" s="132">
        <f t="shared" si="4"/>
        <v>-7500</v>
      </c>
      <c r="AE51" s="132">
        <f t="shared" ref="AE51:AS51" si="99">H51-1000</f>
        <v>-1000</v>
      </c>
      <c r="AF51" s="132">
        <f t="shared" si="99"/>
        <v>-1000</v>
      </c>
      <c r="AG51" s="132">
        <f t="shared" si="99"/>
        <v>-1000</v>
      </c>
      <c r="AH51" s="132">
        <f t="shared" si="99"/>
        <v>-1000</v>
      </c>
      <c r="AI51" s="132">
        <f t="shared" si="99"/>
        <v>-1000</v>
      </c>
      <c r="AJ51" s="132">
        <f t="shared" si="99"/>
        <v>-1000</v>
      </c>
      <c r="AK51" s="132">
        <f t="shared" si="99"/>
        <v>-1000</v>
      </c>
      <c r="AL51" s="132">
        <f t="shared" si="99"/>
        <v>-1000</v>
      </c>
      <c r="AM51" s="132">
        <f t="shared" si="99"/>
        <v>-1000</v>
      </c>
      <c r="AN51" s="132">
        <f t="shared" si="99"/>
        <v>-1000</v>
      </c>
      <c r="AO51" s="132">
        <f t="shared" si="99"/>
        <v>-1000</v>
      </c>
      <c r="AP51" s="132">
        <f t="shared" si="99"/>
        <v>-1000</v>
      </c>
      <c r="AQ51" s="132">
        <f t="shared" si="99"/>
        <v>-1000</v>
      </c>
      <c r="AR51" s="132">
        <f t="shared" si="99"/>
        <v>-1000</v>
      </c>
      <c r="AS51" s="132">
        <f t="shared" si="99"/>
        <v>-1000</v>
      </c>
    </row>
    <row r="52">
      <c r="A52" s="132" t="s">
        <v>3554</v>
      </c>
      <c r="B52" s="132">
        <v>50.0</v>
      </c>
      <c r="C52" s="132">
        <v>50.0</v>
      </c>
      <c r="D52" s="132">
        <v>0.0</v>
      </c>
      <c r="E52" s="132">
        <v>0.0</v>
      </c>
      <c r="F52" s="132">
        <v>0.0</v>
      </c>
      <c r="G52" s="132">
        <v>0.0</v>
      </c>
      <c r="H52" s="132">
        <v>0.0</v>
      </c>
      <c r="I52" s="132">
        <v>0.0</v>
      </c>
      <c r="J52" s="132">
        <v>0.0</v>
      </c>
      <c r="K52" s="132">
        <v>0.0</v>
      </c>
      <c r="L52" s="132">
        <v>0.0</v>
      </c>
      <c r="M52" s="132">
        <v>0.0</v>
      </c>
      <c r="N52" s="132">
        <v>0.0</v>
      </c>
      <c r="O52" s="132">
        <v>0.0</v>
      </c>
      <c r="P52" s="132">
        <v>0.0</v>
      </c>
      <c r="Q52" s="132">
        <v>0.0</v>
      </c>
      <c r="R52" s="132">
        <v>0.0</v>
      </c>
      <c r="S52" s="132">
        <v>0.0</v>
      </c>
      <c r="T52" s="132">
        <v>0.0</v>
      </c>
      <c r="U52" s="132">
        <v>0.0</v>
      </c>
      <c r="V52" s="132">
        <v>0.0</v>
      </c>
      <c r="W52" s="132">
        <v>0.0</v>
      </c>
      <c r="Y52" s="132" t="s">
        <v>3554</v>
      </c>
      <c r="Z52" s="132">
        <f t="shared" ref="Z52:AC52" si="100">C52-1000</f>
        <v>-950</v>
      </c>
      <c r="AA52" s="132">
        <f t="shared" si="100"/>
        <v>-1000</v>
      </c>
      <c r="AB52" s="132">
        <f t="shared" si="100"/>
        <v>-1000</v>
      </c>
      <c r="AC52" s="132">
        <f t="shared" si="100"/>
        <v>-1000</v>
      </c>
      <c r="AD52" s="132">
        <f t="shared" si="4"/>
        <v>-10000</v>
      </c>
      <c r="AE52" s="132">
        <f t="shared" ref="AE52:AS52" si="101">H52-1000</f>
        <v>-1000</v>
      </c>
      <c r="AF52" s="132">
        <f t="shared" si="101"/>
        <v>-1000</v>
      </c>
      <c r="AG52" s="132">
        <f t="shared" si="101"/>
        <v>-1000</v>
      </c>
      <c r="AH52" s="132">
        <f t="shared" si="101"/>
        <v>-1000</v>
      </c>
      <c r="AI52" s="132">
        <f t="shared" si="101"/>
        <v>-1000</v>
      </c>
      <c r="AJ52" s="132">
        <f t="shared" si="101"/>
        <v>-1000</v>
      </c>
      <c r="AK52" s="132">
        <f t="shared" si="101"/>
        <v>-1000</v>
      </c>
      <c r="AL52" s="132">
        <f t="shared" si="101"/>
        <v>-1000</v>
      </c>
      <c r="AM52" s="132">
        <f t="shared" si="101"/>
        <v>-1000</v>
      </c>
      <c r="AN52" s="132">
        <f t="shared" si="101"/>
        <v>-1000</v>
      </c>
      <c r="AO52" s="132">
        <f t="shared" si="101"/>
        <v>-1000</v>
      </c>
      <c r="AP52" s="132">
        <f t="shared" si="101"/>
        <v>-1000</v>
      </c>
      <c r="AQ52" s="132">
        <f t="shared" si="101"/>
        <v>-1000</v>
      </c>
      <c r="AR52" s="132">
        <f t="shared" si="101"/>
        <v>-1000</v>
      </c>
      <c r="AS52" s="132">
        <f t="shared" si="101"/>
        <v>-1000</v>
      </c>
    </row>
    <row r="53">
      <c r="A53" s="132" t="s">
        <v>3555</v>
      </c>
      <c r="B53" s="132">
        <v>650.0</v>
      </c>
      <c r="C53" s="132">
        <v>0.0</v>
      </c>
      <c r="D53" s="132">
        <v>0.0</v>
      </c>
      <c r="E53" s="132">
        <v>350.0</v>
      </c>
      <c r="F53" s="132">
        <v>200.0</v>
      </c>
      <c r="G53" s="132">
        <v>0.0</v>
      </c>
      <c r="H53" s="132">
        <v>0.0</v>
      </c>
      <c r="I53" s="132">
        <v>0.0</v>
      </c>
      <c r="J53" s="132">
        <v>0.0</v>
      </c>
      <c r="K53" s="132">
        <v>0.0</v>
      </c>
      <c r="L53" s="132">
        <v>0.0</v>
      </c>
      <c r="M53" s="132">
        <v>100.0</v>
      </c>
      <c r="N53" s="132">
        <v>0.0</v>
      </c>
      <c r="O53" s="132">
        <v>0.0</v>
      </c>
      <c r="P53" s="132">
        <v>0.0</v>
      </c>
      <c r="Q53" s="132">
        <v>0.0</v>
      </c>
      <c r="R53" s="132">
        <v>0.0</v>
      </c>
      <c r="S53" s="132">
        <v>0.0</v>
      </c>
      <c r="T53" s="132">
        <v>0.0</v>
      </c>
      <c r="U53" s="132">
        <v>0.0</v>
      </c>
      <c r="V53" s="132">
        <v>0.0</v>
      </c>
      <c r="W53" s="132">
        <v>1.0</v>
      </c>
      <c r="Y53" s="132" t="s">
        <v>3555</v>
      </c>
      <c r="Z53" s="132">
        <f t="shared" ref="Z53:AC53" si="102">C53-1000</f>
        <v>-1000</v>
      </c>
      <c r="AA53" s="132">
        <f t="shared" si="102"/>
        <v>-1000</v>
      </c>
      <c r="AB53" s="132">
        <f t="shared" si="102"/>
        <v>-650</v>
      </c>
      <c r="AC53" s="132">
        <f t="shared" si="102"/>
        <v>-800</v>
      </c>
      <c r="AD53" s="132">
        <f t="shared" si="4"/>
        <v>-10000</v>
      </c>
      <c r="AE53" s="132">
        <f t="shared" ref="AE53:AS53" si="103">H53-1000</f>
        <v>-1000</v>
      </c>
      <c r="AF53" s="132">
        <f t="shared" si="103"/>
        <v>-1000</v>
      </c>
      <c r="AG53" s="132">
        <f t="shared" si="103"/>
        <v>-1000</v>
      </c>
      <c r="AH53" s="132">
        <f t="shared" si="103"/>
        <v>-1000</v>
      </c>
      <c r="AI53" s="132">
        <f t="shared" si="103"/>
        <v>-1000</v>
      </c>
      <c r="AJ53" s="132">
        <f t="shared" si="103"/>
        <v>-900</v>
      </c>
      <c r="AK53" s="132">
        <f t="shared" si="103"/>
        <v>-1000</v>
      </c>
      <c r="AL53" s="132">
        <f t="shared" si="103"/>
        <v>-1000</v>
      </c>
      <c r="AM53" s="132">
        <f t="shared" si="103"/>
        <v>-1000</v>
      </c>
      <c r="AN53" s="132">
        <f t="shared" si="103"/>
        <v>-1000</v>
      </c>
      <c r="AO53" s="132">
        <f t="shared" si="103"/>
        <v>-1000</v>
      </c>
      <c r="AP53" s="132">
        <f t="shared" si="103"/>
        <v>-1000</v>
      </c>
      <c r="AQ53" s="132">
        <f t="shared" si="103"/>
        <v>-1000</v>
      </c>
      <c r="AR53" s="132">
        <f t="shared" si="103"/>
        <v>-1000</v>
      </c>
      <c r="AS53" s="132">
        <f t="shared" si="103"/>
        <v>-1000</v>
      </c>
    </row>
    <row r="54">
      <c r="A54" s="132" t="s">
        <v>3556</v>
      </c>
      <c r="B54" s="132">
        <v>700.0</v>
      </c>
      <c r="C54" s="132">
        <v>0.0</v>
      </c>
      <c r="D54" s="132">
        <v>0.0</v>
      </c>
      <c r="E54" s="132">
        <v>0.0</v>
      </c>
      <c r="F54" s="132">
        <v>700.0</v>
      </c>
      <c r="G54" s="132">
        <v>0.0</v>
      </c>
      <c r="H54" s="132">
        <v>0.0</v>
      </c>
      <c r="I54" s="132">
        <v>0.0</v>
      </c>
      <c r="J54" s="132">
        <v>0.0</v>
      </c>
      <c r="K54" s="132">
        <v>0.0</v>
      </c>
      <c r="L54" s="132">
        <v>0.0</v>
      </c>
      <c r="M54" s="132">
        <v>0.0</v>
      </c>
      <c r="N54" s="132">
        <v>0.0</v>
      </c>
      <c r="O54" s="132">
        <v>0.0</v>
      </c>
      <c r="P54" s="132">
        <v>0.0</v>
      </c>
      <c r="Q54" s="132">
        <v>0.0</v>
      </c>
      <c r="R54" s="132">
        <v>0.0</v>
      </c>
      <c r="S54" s="132">
        <v>0.0</v>
      </c>
      <c r="T54" s="132">
        <v>0.0</v>
      </c>
      <c r="U54" s="132">
        <v>0.0</v>
      </c>
      <c r="V54" s="132">
        <v>0.0</v>
      </c>
      <c r="W54" s="132">
        <v>0.0</v>
      </c>
      <c r="Y54" s="132" t="s">
        <v>3556</v>
      </c>
      <c r="Z54" s="132">
        <f t="shared" ref="Z54:AC54" si="104">C54-1000</f>
        <v>-1000</v>
      </c>
      <c r="AA54" s="132">
        <f t="shared" si="104"/>
        <v>-1000</v>
      </c>
      <c r="AB54" s="132">
        <f t="shared" si="104"/>
        <v>-1000</v>
      </c>
      <c r="AC54" s="132">
        <f t="shared" si="104"/>
        <v>-300</v>
      </c>
      <c r="AD54" s="132">
        <f t="shared" si="4"/>
        <v>-10000</v>
      </c>
      <c r="AE54" s="132">
        <f t="shared" ref="AE54:AS54" si="105">H54-1000</f>
        <v>-1000</v>
      </c>
      <c r="AF54" s="132">
        <f t="shared" si="105"/>
        <v>-1000</v>
      </c>
      <c r="AG54" s="132">
        <f t="shared" si="105"/>
        <v>-1000</v>
      </c>
      <c r="AH54" s="132">
        <f t="shared" si="105"/>
        <v>-1000</v>
      </c>
      <c r="AI54" s="132">
        <f t="shared" si="105"/>
        <v>-1000</v>
      </c>
      <c r="AJ54" s="132">
        <f t="shared" si="105"/>
        <v>-1000</v>
      </c>
      <c r="AK54" s="132">
        <f t="shared" si="105"/>
        <v>-1000</v>
      </c>
      <c r="AL54" s="132">
        <f t="shared" si="105"/>
        <v>-1000</v>
      </c>
      <c r="AM54" s="132">
        <f t="shared" si="105"/>
        <v>-1000</v>
      </c>
      <c r="AN54" s="132">
        <f t="shared" si="105"/>
        <v>-1000</v>
      </c>
      <c r="AO54" s="132">
        <f t="shared" si="105"/>
        <v>-1000</v>
      </c>
      <c r="AP54" s="132">
        <f t="shared" si="105"/>
        <v>-1000</v>
      </c>
      <c r="AQ54" s="132">
        <f t="shared" si="105"/>
        <v>-1000</v>
      </c>
      <c r="AR54" s="132">
        <f t="shared" si="105"/>
        <v>-1000</v>
      </c>
      <c r="AS54" s="132">
        <f t="shared" si="105"/>
        <v>-1000</v>
      </c>
    </row>
    <row r="55">
      <c r="A55" s="132" t="s">
        <v>3557</v>
      </c>
      <c r="B55" s="132">
        <v>200.0</v>
      </c>
      <c r="C55" s="132">
        <v>0.0</v>
      </c>
      <c r="D55" s="132">
        <v>0.0</v>
      </c>
      <c r="E55" s="132">
        <v>0.0</v>
      </c>
      <c r="F55" s="132">
        <v>200.0</v>
      </c>
      <c r="G55" s="132">
        <v>0.0</v>
      </c>
      <c r="H55" s="132">
        <v>0.0</v>
      </c>
      <c r="I55" s="132">
        <v>0.0</v>
      </c>
      <c r="J55" s="132">
        <v>0.0</v>
      </c>
      <c r="K55" s="132">
        <v>0.0</v>
      </c>
      <c r="L55" s="132">
        <v>0.0</v>
      </c>
      <c r="M55" s="132">
        <v>0.0</v>
      </c>
      <c r="N55" s="132">
        <v>0.0</v>
      </c>
      <c r="O55" s="132">
        <v>0.0</v>
      </c>
      <c r="P55" s="132">
        <v>0.0</v>
      </c>
      <c r="Q55" s="132">
        <v>0.0</v>
      </c>
      <c r="R55" s="132">
        <v>0.0</v>
      </c>
      <c r="S55" s="132">
        <v>0.0</v>
      </c>
      <c r="T55" s="132">
        <v>0.0</v>
      </c>
      <c r="U55" s="132">
        <v>0.0</v>
      </c>
      <c r="V55" s="132">
        <v>0.0</v>
      </c>
      <c r="W55" s="132">
        <v>0.0</v>
      </c>
      <c r="Y55" s="132" t="s">
        <v>3557</v>
      </c>
      <c r="Z55" s="132">
        <f t="shared" ref="Z55:AC55" si="106">C55-1000</f>
        <v>-1000</v>
      </c>
      <c r="AA55" s="132">
        <f t="shared" si="106"/>
        <v>-1000</v>
      </c>
      <c r="AB55" s="132">
        <f t="shared" si="106"/>
        <v>-1000</v>
      </c>
      <c r="AC55" s="132">
        <f t="shared" si="106"/>
        <v>-800</v>
      </c>
      <c r="AD55" s="132">
        <f t="shared" si="4"/>
        <v>-10000</v>
      </c>
      <c r="AE55" s="132">
        <f t="shared" ref="AE55:AS55" si="107">H55-1000</f>
        <v>-1000</v>
      </c>
      <c r="AF55" s="132">
        <f t="shared" si="107"/>
        <v>-1000</v>
      </c>
      <c r="AG55" s="132">
        <f t="shared" si="107"/>
        <v>-1000</v>
      </c>
      <c r="AH55" s="132">
        <f t="shared" si="107"/>
        <v>-1000</v>
      </c>
      <c r="AI55" s="132">
        <f t="shared" si="107"/>
        <v>-1000</v>
      </c>
      <c r="AJ55" s="132">
        <f t="shared" si="107"/>
        <v>-1000</v>
      </c>
      <c r="AK55" s="132">
        <f t="shared" si="107"/>
        <v>-1000</v>
      </c>
      <c r="AL55" s="132">
        <f t="shared" si="107"/>
        <v>-1000</v>
      </c>
      <c r="AM55" s="132">
        <f t="shared" si="107"/>
        <v>-1000</v>
      </c>
      <c r="AN55" s="132">
        <f t="shared" si="107"/>
        <v>-1000</v>
      </c>
      <c r="AO55" s="132">
        <f t="shared" si="107"/>
        <v>-1000</v>
      </c>
      <c r="AP55" s="132">
        <f t="shared" si="107"/>
        <v>-1000</v>
      </c>
      <c r="AQ55" s="132">
        <f t="shared" si="107"/>
        <v>-1000</v>
      </c>
      <c r="AR55" s="132">
        <f t="shared" si="107"/>
        <v>-1000</v>
      </c>
      <c r="AS55" s="132">
        <f t="shared" si="107"/>
        <v>-1000</v>
      </c>
    </row>
    <row r="56">
      <c r="A56" s="132" t="s">
        <v>3558</v>
      </c>
      <c r="B56" s="132">
        <v>1000.0</v>
      </c>
      <c r="C56" s="132">
        <v>0.0</v>
      </c>
      <c r="D56" s="132">
        <v>0.0</v>
      </c>
      <c r="E56" s="132">
        <v>0.0</v>
      </c>
      <c r="F56" s="132">
        <v>0.0</v>
      </c>
      <c r="G56" s="132">
        <v>1000.0</v>
      </c>
      <c r="H56" s="132">
        <v>0.0</v>
      </c>
      <c r="I56" s="132">
        <v>0.0</v>
      </c>
      <c r="J56" s="132">
        <v>0.0</v>
      </c>
      <c r="K56" s="132">
        <v>0.0</v>
      </c>
      <c r="L56" s="132">
        <v>0.0</v>
      </c>
      <c r="M56" s="132">
        <v>0.0</v>
      </c>
      <c r="N56" s="132">
        <v>0.0</v>
      </c>
      <c r="O56" s="132">
        <v>0.0</v>
      </c>
      <c r="P56" s="132">
        <v>0.0</v>
      </c>
      <c r="Q56" s="132">
        <v>0.0</v>
      </c>
      <c r="R56" s="132">
        <v>0.0</v>
      </c>
      <c r="S56" s="132">
        <v>0.0</v>
      </c>
      <c r="T56" s="132">
        <v>0.0</v>
      </c>
      <c r="U56" s="132">
        <v>0.0</v>
      </c>
      <c r="V56" s="132">
        <v>0.0</v>
      </c>
      <c r="W56" s="132">
        <v>0.0</v>
      </c>
      <c r="Y56" s="132" t="s">
        <v>3558</v>
      </c>
      <c r="Z56" s="132">
        <f t="shared" ref="Z56:AC56" si="108">C56-1000</f>
        <v>-1000</v>
      </c>
      <c r="AA56" s="132">
        <f t="shared" si="108"/>
        <v>-1000</v>
      </c>
      <c r="AB56" s="132">
        <f t="shared" si="108"/>
        <v>-1000</v>
      </c>
      <c r="AC56" s="132">
        <f t="shared" si="108"/>
        <v>-1000</v>
      </c>
      <c r="AD56" s="132">
        <f t="shared" si="4"/>
        <v>-9000</v>
      </c>
      <c r="AE56" s="132">
        <f t="shared" ref="AE56:AS56" si="109">H56-1000</f>
        <v>-1000</v>
      </c>
      <c r="AF56" s="132">
        <f t="shared" si="109"/>
        <v>-1000</v>
      </c>
      <c r="AG56" s="132">
        <f t="shared" si="109"/>
        <v>-1000</v>
      </c>
      <c r="AH56" s="132">
        <f t="shared" si="109"/>
        <v>-1000</v>
      </c>
      <c r="AI56" s="132">
        <f t="shared" si="109"/>
        <v>-1000</v>
      </c>
      <c r="AJ56" s="132">
        <f t="shared" si="109"/>
        <v>-1000</v>
      </c>
      <c r="AK56" s="132">
        <f t="shared" si="109"/>
        <v>-1000</v>
      </c>
      <c r="AL56" s="132">
        <f t="shared" si="109"/>
        <v>-1000</v>
      </c>
      <c r="AM56" s="132">
        <f t="shared" si="109"/>
        <v>-1000</v>
      </c>
      <c r="AN56" s="132">
        <f t="shared" si="109"/>
        <v>-1000</v>
      </c>
      <c r="AO56" s="132">
        <f t="shared" si="109"/>
        <v>-1000</v>
      </c>
      <c r="AP56" s="132">
        <f t="shared" si="109"/>
        <v>-1000</v>
      </c>
      <c r="AQ56" s="132">
        <f t="shared" si="109"/>
        <v>-1000</v>
      </c>
      <c r="AR56" s="132">
        <f t="shared" si="109"/>
        <v>-1000</v>
      </c>
      <c r="AS56" s="132">
        <f t="shared" si="109"/>
        <v>-1000</v>
      </c>
    </row>
    <row r="57">
      <c r="A57" s="132" t="s">
        <v>3559</v>
      </c>
      <c r="B57" s="132">
        <v>950.0</v>
      </c>
      <c r="C57" s="132">
        <v>950.0</v>
      </c>
      <c r="D57" s="132">
        <v>0.0</v>
      </c>
      <c r="E57" s="132">
        <v>0.0</v>
      </c>
      <c r="F57" s="132">
        <v>0.0</v>
      </c>
      <c r="G57" s="132">
        <v>0.0</v>
      </c>
      <c r="H57" s="132">
        <v>0.0</v>
      </c>
      <c r="I57" s="132">
        <v>0.0</v>
      </c>
      <c r="J57" s="132">
        <v>0.0</v>
      </c>
      <c r="K57" s="132">
        <v>0.0</v>
      </c>
      <c r="L57" s="132">
        <v>0.0</v>
      </c>
      <c r="M57" s="132">
        <v>0.0</v>
      </c>
      <c r="N57" s="132">
        <v>0.0</v>
      </c>
      <c r="O57" s="132">
        <v>0.0</v>
      </c>
      <c r="P57" s="132">
        <v>0.0</v>
      </c>
      <c r="Q57" s="132">
        <v>0.0</v>
      </c>
      <c r="R57" s="132">
        <v>0.0</v>
      </c>
      <c r="S57" s="132">
        <v>0.0</v>
      </c>
      <c r="T57" s="132">
        <v>0.0</v>
      </c>
      <c r="U57" s="132">
        <v>0.0</v>
      </c>
      <c r="V57" s="132">
        <v>0.0</v>
      </c>
      <c r="W57" s="132">
        <v>0.0</v>
      </c>
      <c r="Y57" s="132" t="s">
        <v>3559</v>
      </c>
      <c r="Z57" s="132">
        <f t="shared" ref="Z57:AC57" si="110">C57-1000</f>
        <v>-50</v>
      </c>
      <c r="AA57" s="132">
        <f t="shared" si="110"/>
        <v>-1000</v>
      </c>
      <c r="AB57" s="132">
        <f t="shared" si="110"/>
        <v>-1000</v>
      </c>
      <c r="AC57" s="132">
        <f t="shared" si="110"/>
        <v>-1000</v>
      </c>
      <c r="AD57" s="132">
        <f t="shared" si="4"/>
        <v>-10000</v>
      </c>
      <c r="AE57" s="132">
        <f t="shared" ref="AE57:AS57" si="111">H57-1000</f>
        <v>-1000</v>
      </c>
      <c r="AF57" s="132">
        <f t="shared" si="111"/>
        <v>-1000</v>
      </c>
      <c r="AG57" s="132">
        <f t="shared" si="111"/>
        <v>-1000</v>
      </c>
      <c r="AH57" s="132">
        <f t="shared" si="111"/>
        <v>-1000</v>
      </c>
      <c r="AI57" s="132">
        <f t="shared" si="111"/>
        <v>-1000</v>
      </c>
      <c r="AJ57" s="132">
        <f t="shared" si="111"/>
        <v>-1000</v>
      </c>
      <c r="AK57" s="132">
        <f t="shared" si="111"/>
        <v>-1000</v>
      </c>
      <c r="AL57" s="132">
        <f t="shared" si="111"/>
        <v>-1000</v>
      </c>
      <c r="AM57" s="132">
        <f t="shared" si="111"/>
        <v>-1000</v>
      </c>
      <c r="AN57" s="132">
        <f t="shared" si="111"/>
        <v>-1000</v>
      </c>
      <c r="AO57" s="132">
        <f t="shared" si="111"/>
        <v>-1000</v>
      </c>
      <c r="AP57" s="132">
        <f t="shared" si="111"/>
        <v>-1000</v>
      </c>
      <c r="AQ57" s="132">
        <f t="shared" si="111"/>
        <v>-1000</v>
      </c>
      <c r="AR57" s="132">
        <f t="shared" si="111"/>
        <v>-1000</v>
      </c>
      <c r="AS57" s="132">
        <f t="shared" si="111"/>
        <v>-1000</v>
      </c>
    </row>
    <row r="58">
      <c r="A58" s="132" t="s">
        <v>3560</v>
      </c>
      <c r="B58" s="132">
        <v>4000.0</v>
      </c>
      <c r="C58" s="132">
        <v>0.0</v>
      </c>
      <c r="D58" s="132">
        <v>0.0</v>
      </c>
      <c r="E58" s="132">
        <v>0.0</v>
      </c>
      <c r="F58" s="132">
        <v>0.0</v>
      </c>
      <c r="G58" s="132">
        <v>4000.0</v>
      </c>
      <c r="H58" s="132">
        <v>0.0</v>
      </c>
      <c r="I58" s="132">
        <v>0.0</v>
      </c>
      <c r="J58" s="132">
        <v>0.0</v>
      </c>
      <c r="K58" s="132">
        <v>0.0</v>
      </c>
      <c r="L58" s="132">
        <v>0.0</v>
      </c>
      <c r="M58" s="132">
        <v>0.0</v>
      </c>
      <c r="N58" s="132">
        <v>0.0</v>
      </c>
      <c r="O58" s="132">
        <v>0.0</v>
      </c>
      <c r="P58" s="132">
        <v>0.0</v>
      </c>
      <c r="Q58" s="132">
        <v>0.0</v>
      </c>
      <c r="R58" s="132">
        <v>0.0</v>
      </c>
      <c r="S58" s="132">
        <v>0.0</v>
      </c>
      <c r="T58" s="132">
        <v>0.0</v>
      </c>
      <c r="U58" s="132">
        <v>0.0</v>
      </c>
      <c r="V58" s="132">
        <v>0.0</v>
      </c>
      <c r="W58" s="132">
        <v>0.0</v>
      </c>
      <c r="Y58" s="132" t="s">
        <v>3560</v>
      </c>
      <c r="Z58" s="132">
        <f t="shared" ref="Z58:AC58" si="112">C58-1000</f>
        <v>-1000</v>
      </c>
      <c r="AA58" s="132">
        <f t="shared" si="112"/>
        <v>-1000</v>
      </c>
      <c r="AB58" s="132">
        <f t="shared" si="112"/>
        <v>-1000</v>
      </c>
      <c r="AC58" s="132">
        <f t="shared" si="112"/>
        <v>-1000</v>
      </c>
      <c r="AD58" s="132">
        <f t="shared" si="4"/>
        <v>-6000</v>
      </c>
      <c r="AE58" s="132">
        <f t="shared" ref="AE58:AS58" si="113">H58-1000</f>
        <v>-1000</v>
      </c>
      <c r="AF58" s="132">
        <f t="shared" si="113"/>
        <v>-1000</v>
      </c>
      <c r="AG58" s="132">
        <f t="shared" si="113"/>
        <v>-1000</v>
      </c>
      <c r="AH58" s="132">
        <f t="shared" si="113"/>
        <v>-1000</v>
      </c>
      <c r="AI58" s="132">
        <f t="shared" si="113"/>
        <v>-1000</v>
      </c>
      <c r="AJ58" s="132">
        <f t="shared" si="113"/>
        <v>-1000</v>
      </c>
      <c r="AK58" s="132">
        <f t="shared" si="113"/>
        <v>-1000</v>
      </c>
      <c r="AL58" s="132">
        <f t="shared" si="113"/>
        <v>-1000</v>
      </c>
      <c r="AM58" s="132">
        <f t="shared" si="113"/>
        <v>-1000</v>
      </c>
      <c r="AN58" s="132">
        <f t="shared" si="113"/>
        <v>-1000</v>
      </c>
      <c r="AO58" s="132">
        <f t="shared" si="113"/>
        <v>-1000</v>
      </c>
      <c r="AP58" s="132">
        <f t="shared" si="113"/>
        <v>-1000</v>
      </c>
      <c r="AQ58" s="132">
        <f t="shared" si="113"/>
        <v>-1000</v>
      </c>
      <c r="AR58" s="132">
        <f t="shared" si="113"/>
        <v>-1000</v>
      </c>
      <c r="AS58" s="132">
        <f t="shared" si="113"/>
        <v>-1000</v>
      </c>
    </row>
    <row r="59">
      <c r="A59" s="132" t="s">
        <v>3561</v>
      </c>
      <c r="B59" s="132">
        <v>100.0</v>
      </c>
      <c r="C59" s="132">
        <v>0.0</v>
      </c>
      <c r="D59" s="132">
        <v>0.0</v>
      </c>
      <c r="E59" s="132">
        <v>0.0</v>
      </c>
      <c r="F59" s="132">
        <v>100.0</v>
      </c>
      <c r="G59" s="132">
        <v>0.0</v>
      </c>
      <c r="H59" s="132">
        <v>0.0</v>
      </c>
      <c r="I59" s="132">
        <v>0.0</v>
      </c>
      <c r="J59" s="132">
        <v>0.0</v>
      </c>
      <c r="K59" s="132">
        <v>0.0</v>
      </c>
      <c r="L59" s="132">
        <v>0.0</v>
      </c>
      <c r="M59" s="132">
        <v>0.0</v>
      </c>
      <c r="N59" s="132">
        <v>0.0</v>
      </c>
      <c r="O59" s="132">
        <v>0.0</v>
      </c>
      <c r="P59" s="132">
        <v>0.0</v>
      </c>
      <c r="Q59" s="132">
        <v>0.0</v>
      </c>
      <c r="R59" s="132">
        <v>0.0</v>
      </c>
      <c r="S59" s="132">
        <v>0.0</v>
      </c>
      <c r="T59" s="132">
        <v>0.0</v>
      </c>
      <c r="U59" s="132">
        <v>0.0</v>
      </c>
      <c r="V59" s="132">
        <v>0.0</v>
      </c>
      <c r="W59" s="132">
        <v>0.0</v>
      </c>
      <c r="Y59" s="132" t="s">
        <v>3561</v>
      </c>
      <c r="Z59" s="132">
        <f t="shared" ref="Z59:AC59" si="114">C59-1000</f>
        <v>-1000</v>
      </c>
      <c r="AA59" s="132">
        <f t="shared" si="114"/>
        <v>-1000</v>
      </c>
      <c r="AB59" s="132">
        <f t="shared" si="114"/>
        <v>-1000</v>
      </c>
      <c r="AC59" s="132">
        <f t="shared" si="114"/>
        <v>-900</v>
      </c>
      <c r="AD59" s="132">
        <f t="shared" si="4"/>
        <v>-10000</v>
      </c>
      <c r="AE59" s="132">
        <f t="shared" ref="AE59:AS59" si="115">H59-1000</f>
        <v>-1000</v>
      </c>
      <c r="AF59" s="132">
        <f t="shared" si="115"/>
        <v>-1000</v>
      </c>
      <c r="AG59" s="132">
        <f t="shared" si="115"/>
        <v>-1000</v>
      </c>
      <c r="AH59" s="132">
        <f t="shared" si="115"/>
        <v>-1000</v>
      </c>
      <c r="AI59" s="132">
        <f t="shared" si="115"/>
        <v>-1000</v>
      </c>
      <c r="AJ59" s="132">
        <f t="shared" si="115"/>
        <v>-1000</v>
      </c>
      <c r="AK59" s="132">
        <f t="shared" si="115"/>
        <v>-1000</v>
      </c>
      <c r="AL59" s="132">
        <f t="shared" si="115"/>
        <v>-1000</v>
      </c>
      <c r="AM59" s="132">
        <f t="shared" si="115"/>
        <v>-1000</v>
      </c>
      <c r="AN59" s="132">
        <f t="shared" si="115"/>
        <v>-1000</v>
      </c>
      <c r="AO59" s="132">
        <f t="shared" si="115"/>
        <v>-1000</v>
      </c>
      <c r="AP59" s="132">
        <f t="shared" si="115"/>
        <v>-1000</v>
      </c>
      <c r="AQ59" s="132">
        <f t="shared" si="115"/>
        <v>-1000</v>
      </c>
      <c r="AR59" s="132">
        <f t="shared" si="115"/>
        <v>-1000</v>
      </c>
      <c r="AS59" s="132">
        <f t="shared" si="115"/>
        <v>-1000</v>
      </c>
    </row>
    <row r="60">
      <c r="A60" s="132" t="s">
        <v>3562</v>
      </c>
      <c r="B60" s="132">
        <v>2585.0</v>
      </c>
      <c r="C60" s="132">
        <v>0.0</v>
      </c>
      <c r="D60" s="132">
        <v>0.0</v>
      </c>
      <c r="E60" s="132">
        <v>0.0</v>
      </c>
      <c r="F60" s="132">
        <v>0.0</v>
      </c>
      <c r="G60" s="132">
        <v>0.0</v>
      </c>
      <c r="H60" s="132">
        <v>2200.0</v>
      </c>
      <c r="I60" s="132">
        <v>0.0</v>
      </c>
      <c r="J60" s="132">
        <v>0.0</v>
      </c>
      <c r="K60" s="132">
        <v>0.0</v>
      </c>
      <c r="L60" s="132">
        <v>0.0</v>
      </c>
      <c r="M60" s="132">
        <v>360.0</v>
      </c>
      <c r="N60" s="132">
        <v>25.0</v>
      </c>
      <c r="O60" s="132">
        <v>0.0</v>
      </c>
      <c r="P60" s="132">
        <v>0.0</v>
      </c>
      <c r="Q60" s="132">
        <v>0.0</v>
      </c>
      <c r="R60" s="132">
        <v>0.0</v>
      </c>
      <c r="S60" s="132">
        <v>0.0</v>
      </c>
      <c r="T60" s="132">
        <v>0.0</v>
      </c>
      <c r="U60" s="132">
        <v>0.0</v>
      </c>
      <c r="V60" s="132">
        <v>0.0</v>
      </c>
      <c r="W60" s="132">
        <v>1.0</v>
      </c>
      <c r="Y60" s="132" t="s">
        <v>3562</v>
      </c>
      <c r="Z60" s="132">
        <f t="shared" ref="Z60:AC60" si="116">C60-1000</f>
        <v>-1000</v>
      </c>
      <c r="AA60" s="132">
        <f t="shared" si="116"/>
        <v>-1000</v>
      </c>
      <c r="AB60" s="132">
        <f t="shared" si="116"/>
        <v>-1000</v>
      </c>
      <c r="AC60" s="132">
        <f t="shared" si="116"/>
        <v>-1000</v>
      </c>
      <c r="AD60" s="132">
        <f t="shared" si="4"/>
        <v>-10000</v>
      </c>
      <c r="AE60" s="132">
        <f t="shared" ref="AE60:AS60" si="117">H60-1000</f>
        <v>1200</v>
      </c>
      <c r="AF60" s="132">
        <f t="shared" si="117"/>
        <v>-1000</v>
      </c>
      <c r="AG60" s="132">
        <f t="shared" si="117"/>
        <v>-1000</v>
      </c>
      <c r="AH60" s="132">
        <f t="shared" si="117"/>
        <v>-1000</v>
      </c>
      <c r="AI60" s="132">
        <f t="shared" si="117"/>
        <v>-1000</v>
      </c>
      <c r="AJ60" s="132">
        <f t="shared" si="117"/>
        <v>-640</v>
      </c>
      <c r="AK60" s="132">
        <f t="shared" si="117"/>
        <v>-975</v>
      </c>
      <c r="AL60" s="132">
        <f t="shared" si="117"/>
        <v>-1000</v>
      </c>
      <c r="AM60" s="132">
        <f t="shared" si="117"/>
        <v>-1000</v>
      </c>
      <c r="AN60" s="132">
        <f t="shared" si="117"/>
        <v>-1000</v>
      </c>
      <c r="AO60" s="132">
        <f t="shared" si="117"/>
        <v>-1000</v>
      </c>
      <c r="AP60" s="132">
        <f t="shared" si="117"/>
        <v>-1000</v>
      </c>
      <c r="AQ60" s="132">
        <f t="shared" si="117"/>
        <v>-1000</v>
      </c>
      <c r="AR60" s="132">
        <f t="shared" si="117"/>
        <v>-1000</v>
      </c>
      <c r="AS60" s="132">
        <f t="shared" si="117"/>
        <v>-1000</v>
      </c>
    </row>
    <row r="61">
      <c r="A61" s="132" t="s">
        <v>3563</v>
      </c>
      <c r="B61" s="132">
        <v>4000.0</v>
      </c>
      <c r="C61" s="132">
        <v>0.0</v>
      </c>
      <c r="D61" s="132">
        <v>0.0</v>
      </c>
      <c r="E61" s="132">
        <v>0.0</v>
      </c>
      <c r="F61" s="132">
        <v>0.0</v>
      </c>
      <c r="G61" s="132">
        <v>0.0</v>
      </c>
      <c r="H61" s="132">
        <v>4000.0</v>
      </c>
      <c r="I61" s="132">
        <v>0.0</v>
      </c>
      <c r="J61" s="132">
        <v>0.0</v>
      </c>
      <c r="K61" s="132">
        <v>0.0</v>
      </c>
      <c r="L61" s="132">
        <v>0.0</v>
      </c>
      <c r="M61" s="132">
        <v>0.0</v>
      </c>
      <c r="N61" s="132">
        <v>0.0</v>
      </c>
      <c r="O61" s="132">
        <v>0.0</v>
      </c>
      <c r="P61" s="132">
        <v>0.0</v>
      </c>
      <c r="Q61" s="132">
        <v>0.0</v>
      </c>
      <c r="R61" s="132">
        <v>0.0</v>
      </c>
      <c r="S61" s="132">
        <v>0.0</v>
      </c>
      <c r="T61" s="132">
        <v>0.0</v>
      </c>
      <c r="U61" s="132">
        <v>0.0</v>
      </c>
      <c r="V61" s="132">
        <v>0.0</v>
      </c>
      <c r="W61" s="132">
        <v>1.0</v>
      </c>
      <c r="Y61" s="132" t="s">
        <v>3563</v>
      </c>
      <c r="Z61" s="132">
        <f t="shared" ref="Z61:AC61" si="118">C61-1000</f>
        <v>-1000</v>
      </c>
      <c r="AA61" s="132">
        <f t="shared" si="118"/>
        <v>-1000</v>
      </c>
      <c r="AB61" s="132">
        <f t="shared" si="118"/>
        <v>-1000</v>
      </c>
      <c r="AC61" s="132">
        <f t="shared" si="118"/>
        <v>-1000</v>
      </c>
      <c r="AD61" s="132">
        <f t="shared" si="4"/>
        <v>-10000</v>
      </c>
      <c r="AE61" s="132">
        <f t="shared" ref="AE61:AS61" si="119">H61-1000</f>
        <v>3000</v>
      </c>
      <c r="AF61" s="132">
        <f t="shared" si="119"/>
        <v>-1000</v>
      </c>
      <c r="AG61" s="132">
        <f t="shared" si="119"/>
        <v>-1000</v>
      </c>
      <c r="AH61" s="132">
        <f t="shared" si="119"/>
        <v>-1000</v>
      </c>
      <c r="AI61" s="132">
        <f t="shared" si="119"/>
        <v>-1000</v>
      </c>
      <c r="AJ61" s="132">
        <f t="shared" si="119"/>
        <v>-1000</v>
      </c>
      <c r="AK61" s="132">
        <f t="shared" si="119"/>
        <v>-1000</v>
      </c>
      <c r="AL61" s="132">
        <f t="shared" si="119"/>
        <v>-1000</v>
      </c>
      <c r="AM61" s="132">
        <f t="shared" si="119"/>
        <v>-1000</v>
      </c>
      <c r="AN61" s="132">
        <f t="shared" si="119"/>
        <v>-1000</v>
      </c>
      <c r="AO61" s="132">
        <f t="shared" si="119"/>
        <v>-1000</v>
      </c>
      <c r="AP61" s="132">
        <f t="shared" si="119"/>
        <v>-1000</v>
      </c>
      <c r="AQ61" s="132">
        <f t="shared" si="119"/>
        <v>-1000</v>
      </c>
      <c r="AR61" s="132">
        <f t="shared" si="119"/>
        <v>-1000</v>
      </c>
      <c r="AS61" s="132">
        <f t="shared" si="119"/>
        <v>-1000</v>
      </c>
    </row>
    <row r="62">
      <c r="A62" s="132" t="s">
        <v>3564</v>
      </c>
      <c r="B62" s="132">
        <v>1100.0</v>
      </c>
      <c r="C62" s="132">
        <v>0.0</v>
      </c>
      <c r="D62" s="132">
        <v>0.0</v>
      </c>
      <c r="E62" s="132">
        <v>0.0</v>
      </c>
      <c r="F62" s="132">
        <v>0.0</v>
      </c>
      <c r="G62" s="132">
        <v>1000.0</v>
      </c>
      <c r="H62" s="132">
        <v>0.0</v>
      </c>
      <c r="I62" s="132">
        <v>0.0</v>
      </c>
      <c r="J62" s="132">
        <v>0.0</v>
      </c>
      <c r="K62" s="132">
        <v>0.0</v>
      </c>
      <c r="L62" s="132">
        <v>0.0</v>
      </c>
      <c r="M62" s="132">
        <v>100.0</v>
      </c>
      <c r="N62" s="132">
        <v>0.0</v>
      </c>
      <c r="O62" s="132">
        <v>0.0</v>
      </c>
      <c r="P62" s="132">
        <v>0.0</v>
      </c>
      <c r="Q62" s="132">
        <v>0.0</v>
      </c>
      <c r="R62" s="132">
        <v>0.0</v>
      </c>
      <c r="S62" s="132">
        <v>0.0</v>
      </c>
      <c r="T62" s="132">
        <v>0.0</v>
      </c>
      <c r="U62" s="132">
        <v>0.0</v>
      </c>
      <c r="V62" s="132">
        <v>0.0</v>
      </c>
      <c r="W62" s="132">
        <v>1.0</v>
      </c>
      <c r="Y62" s="132" t="s">
        <v>3564</v>
      </c>
      <c r="Z62" s="132">
        <f t="shared" ref="Z62:AC62" si="120">C62-1000</f>
        <v>-1000</v>
      </c>
      <c r="AA62" s="132">
        <f t="shared" si="120"/>
        <v>-1000</v>
      </c>
      <c r="AB62" s="132">
        <f t="shared" si="120"/>
        <v>-1000</v>
      </c>
      <c r="AC62" s="132">
        <f t="shared" si="120"/>
        <v>-1000</v>
      </c>
      <c r="AD62" s="132">
        <f t="shared" si="4"/>
        <v>-9000</v>
      </c>
      <c r="AE62" s="132">
        <f t="shared" ref="AE62:AS62" si="121">H62-1000</f>
        <v>-1000</v>
      </c>
      <c r="AF62" s="132">
        <f t="shared" si="121"/>
        <v>-1000</v>
      </c>
      <c r="AG62" s="132">
        <f t="shared" si="121"/>
        <v>-1000</v>
      </c>
      <c r="AH62" s="132">
        <f t="shared" si="121"/>
        <v>-1000</v>
      </c>
      <c r="AI62" s="132">
        <f t="shared" si="121"/>
        <v>-1000</v>
      </c>
      <c r="AJ62" s="132">
        <f t="shared" si="121"/>
        <v>-900</v>
      </c>
      <c r="AK62" s="132">
        <f t="shared" si="121"/>
        <v>-1000</v>
      </c>
      <c r="AL62" s="132">
        <f t="shared" si="121"/>
        <v>-1000</v>
      </c>
      <c r="AM62" s="132">
        <f t="shared" si="121"/>
        <v>-1000</v>
      </c>
      <c r="AN62" s="132">
        <f t="shared" si="121"/>
        <v>-1000</v>
      </c>
      <c r="AO62" s="132">
        <f t="shared" si="121"/>
        <v>-1000</v>
      </c>
      <c r="AP62" s="132">
        <f t="shared" si="121"/>
        <v>-1000</v>
      </c>
      <c r="AQ62" s="132">
        <f t="shared" si="121"/>
        <v>-1000</v>
      </c>
      <c r="AR62" s="132">
        <f t="shared" si="121"/>
        <v>-1000</v>
      </c>
      <c r="AS62" s="132">
        <f t="shared" si="121"/>
        <v>-1000</v>
      </c>
    </row>
    <row r="63">
      <c r="A63" s="132" t="s">
        <v>3565</v>
      </c>
      <c r="B63" s="132">
        <v>1000.0</v>
      </c>
      <c r="C63" s="132">
        <v>0.0</v>
      </c>
      <c r="D63" s="132">
        <v>0.0</v>
      </c>
      <c r="E63" s="132">
        <v>0.0</v>
      </c>
      <c r="F63" s="132">
        <v>1000.0</v>
      </c>
      <c r="G63" s="132">
        <v>0.0</v>
      </c>
      <c r="H63" s="132">
        <v>0.0</v>
      </c>
      <c r="I63" s="132">
        <v>0.0</v>
      </c>
      <c r="J63" s="132">
        <v>0.0</v>
      </c>
      <c r="K63" s="132">
        <v>0.0</v>
      </c>
      <c r="L63" s="132">
        <v>0.0</v>
      </c>
      <c r="M63" s="132">
        <v>0.0</v>
      </c>
      <c r="N63" s="132">
        <v>0.0</v>
      </c>
      <c r="O63" s="132">
        <v>0.0</v>
      </c>
      <c r="P63" s="132">
        <v>0.0</v>
      </c>
      <c r="Q63" s="132">
        <v>0.0</v>
      </c>
      <c r="R63" s="132">
        <v>0.0</v>
      </c>
      <c r="S63" s="132">
        <v>0.0</v>
      </c>
      <c r="T63" s="132">
        <v>0.0</v>
      </c>
      <c r="U63" s="132">
        <v>0.0</v>
      </c>
      <c r="V63" s="132">
        <v>0.0</v>
      </c>
      <c r="W63" s="132">
        <v>0.0</v>
      </c>
      <c r="Y63" s="132" t="s">
        <v>3565</v>
      </c>
      <c r="Z63" s="132">
        <f t="shared" ref="Z63:AC63" si="122">C63-1000</f>
        <v>-1000</v>
      </c>
      <c r="AA63" s="132">
        <f t="shared" si="122"/>
        <v>-1000</v>
      </c>
      <c r="AB63" s="132">
        <f t="shared" si="122"/>
        <v>-1000</v>
      </c>
      <c r="AC63" s="132">
        <f t="shared" si="122"/>
        <v>0</v>
      </c>
      <c r="AD63" s="132">
        <f t="shared" si="4"/>
        <v>-10000</v>
      </c>
      <c r="AE63" s="132">
        <f t="shared" ref="AE63:AS63" si="123">H63-1000</f>
        <v>-1000</v>
      </c>
      <c r="AF63" s="132">
        <f t="shared" si="123"/>
        <v>-1000</v>
      </c>
      <c r="AG63" s="132">
        <f t="shared" si="123"/>
        <v>-1000</v>
      </c>
      <c r="AH63" s="132">
        <f t="shared" si="123"/>
        <v>-1000</v>
      </c>
      <c r="AI63" s="132">
        <f t="shared" si="123"/>
        <v>-1000</v>
      </c>
      <c r="AJ63" s="132">
        <f t="shared" si="123"/>
        <v>-1000</v>
      </c>
      <c r="AK63" s="132">
        <f t="shared" si="123"/>
        <v>-1000</v>
      </c>
      <c r="AL63" s="132">
        <f t="shared" si="123"/>
        <v>-1000</v>
      </c>
      <c r="AM63" s="132">
        <f t="shared" si="123"/>
        <v>-1000</v>
      </c>
      <c r="AN63" s="132">
        <f t="shared" si="123"/>
        <v>-1000</v>
      </c>
      <c r="AO63" s="132">
        <f t="shared" si="123"/>
        <v>-1000</v>
      </c>
      <c r="AP63" s="132">
        <f t="shared" si="123"/>
        <v>-1000</v>
      </c>
      <c r="AQ63" s="132">
        <f t="shared" si="123"/>
        <v>-1000</v>
      </c>
      <c r="AR63" s="132">
        <f t="shared" si="123"/>
        <v>-1000</v>
      </c>
      <c r="AS63" s="132">
        <f t="shared" si="123"/>
        <v>-1000</v>
      </c>
    </row>
    <row r="64">
      <c r="A64" s="132" t="s">
        <v>3566</v>
      </c>
      <c r="B64" s="132">
        <v>1000.0</v>
      </c>
      <c r="C64" s="132">
        <v>0.0</v>
      </c>
      <c r="D64" s="132">
        <v>0.0</v>
      </c>
      <c r="E64" s="132">
        <v>0.0</v>
      </c>
      <c r="F64" s="132">
        <v>0.0</v>
      </c>
      <c r="G64" s="132">
        <v>1000.0</v>
      </c>
      <c r="H64" s="132">
        <v>0.0</v>
      </c>
      <c r="I64" s="132">
        <v>0.0</v>
      </c>
      <c r="J64" s="132">
        <v>0.0</v>
      </c>
      <c r="K64" s="132">
        <v>0.0</v>
      </c>
      <c r="L64" s="132">
        <v>0.0</v>
      </c>
      <c r="M64" s="132">
        <v>0.0</v>
      </c>
      <c r="N64" s="132">
        <v>0.0</v>
      </c>
      <c r="O64" s="132">
        <v>0.0</v>
      </c>
      <c r="P64" s="132">
        <v>0.0</v>
      </c>
      <c r="Q64" s="132">
        <v>0.0</v>
      </c>
      <c r="R64" s="132">
        <v>0.0</v>
      </c>
      <c r="S64" s="132">
        <v>0.0</v>
      </c>
      <c r="T64" s="132">
        <v>0.0</v>
      </c>
      <c r="U64" s="132">
        <v>0.0</v>
      </c>
      <c r="V64" s="132">
        <v>0.0</v>
      </c>
      <c r="W64" s="132">
        <v>0.0</v>
      </c>
      <c r="Y64" s="132" t="s">
        <v>3566</v>
      </c>
      <c r="Z64" s="132">
        <f t="shared" ref="Z64:AC64" si="124">C64-1000</f>
        <v>-1000</v>
      </c>
      <c r="AA64" s="132">
        <f t="shared" si="124"/>
        <v>-1000</v>
      </c>
      <c r="AB64" s="132">
        <f t="shared" si="124"/>
        <v>-1000</v>
      </c>
      <c r="AC64" s="132">
        <f t="shared" si="124"/>
        <v>-1000</v>
      </c>
      <c r="AD64" s="132">
        <f t="shared" si="4"/>
        <v>-9000</v>
      </c>
      <c r="AE64" s="132">
        <f t="shared" ref="AE64:AS64" si="125">H64-1000</f>
        <v>-1000</v>
      </c>
      <c r="AF64" s="132">
        <f t="shared" si="125"/>
        <v>-1000</v>
      </c>
      <c r="AG64" s="132">
        <f t="shared" si="125"/>
        <v>-1000</v>
      </c>
      <c r="AH64" s="132">
        <f t="shared" si="125"/>
        <v>-1000</v>
      </c>
      <c r="AI64" s="132">
        <f t="shared" si="125"/>
        <v>-1000</v>
      </c>
      <c r="AJ64" s="132">
        <f t="shared" si="125"/>
        <v>-1000</v>
      </c>
      <c r="AK64" s="132">
        <f t="shared" si="125"/>
        <v>-1000</v>
      </c>
      <c r="AL64" s="132">
        <f t="shared" si="125"/>
        <v>-1000</v>
      </c>
      <c r="AM64" s="132">
        <f t="shared" si="125"/>
        <v>-1000</v>
      </c>
      <c r="AN64" s="132">
        <f t="shared" si="125"/>
        <v>-1000</v>
      </c>
      <c r="AO64" s="132">
        <f t="shared" si="125"/>
        <v>-1000</v>
      </c>
      <c r="AP64" s="132">
        <f t="shared" si="125"/>
        <v>-1000</v>
      </c>
      <c r="AQ64" s="132">
        <f t="shared" si="125"/>
        <v>-1000</v>
      </c>
      <c r="AR64" s="132">
        <f t="shared" si="125"/>
        <v>-1000</v>
      </c>
      <c r="AS64" s="132">
        <f t="shared" si="125"/>
        <v>-1000</v>
      </c>
    </row>
    <row r="65">
      <c r="A65" s="132" t="s">
        <v>3567</v>
      </c>
      <c r="B65" s="132">
        <v>250.0</v>
      </c>
      <c r="C65" s="132">
        <v>0.0</v>
      </c>
      <c r="D65" s="132">
        <v>0.0</v>
      </c>
      <c r="E65" s="132">
        <v>0.0</v>
      </c>
      <c r="F65" s="132">
        <v>0.0</v>
      </c>
      <c r="G65" s="132">
        <v>0.0</v>
      </c>
      <c r="H65" s="132">
        <v>0.0</v>
      </c>
      <c r="I65" s="132">
        <v>0.0</v>
      </c>
      <c r="J65" s="132">
        <v>0.0</v>
      </c>
      <c r="K65" s="132">
        <v>0.0</v>
      </c>
      <c r="L65" s="132">
        <v>0.0</v>
      </c>
      <c r="M65" s="132">
        <v>250.0</v>
      </c>
      <c r="N65" s="132">
        <v>0.0</v>
      </c>
      <c r="O65" s="132">
        <v>0.0</v>
      </c>
      <c r="P65" s="132">
        <v>0.0</v>
      </c>
      <c r="Q65" s="132">
        <v>0.0</v>
      </c>
      <c r="R65" s="132">
        <v>0.0</v>
      </c>
      <c r="S65" s="132">
        <v>0.0</v>
      </c>
      <c r="T65" s="132">
        <v>0.0</v>
      </c>
      <c r="U65" s="132">
        <v>0.0</v>
      </c>
      <c r="V65" s="132">
        <v>0.0</v>
      </c>
      <c r="W65" s="132">
        <v>0.0</v>
      </c>
      <c r="Y65" s="132" t="s">
        <v>3567</v>
      </c>
      <c r="Z65" s="132">
        <f t="shared" ref="Z65:AC65" si="126">C65-1000</f>
        <v>-1000</v>
      </c>
      <c r="AA65" s="132">
        <f t="shared" si="126"/>
        <v>-1000</v>
      </c>
      <c r="AB65" s="132">
        <f t="shared" si="126"/>
        <v>-1000</v>
      </c>
      <c r="AC65" s="132">
        <f t="shared" si="126"/>
        <v>-1000</v>
      </c>
      <c r="AD65" s="132">
        <f t="shared" si="4"/>
        <v>-10000</v>
      </c>
      <c r="AE65" s="132">
        <f t="shared" ref="AE65:AS65" si="127">H65-1000</f>
        <v>-1000</v>
      </c>
      <c r="AF65" s="132">
        <f t="shared" si="127"/>
        <v>-1000</v>
      </c>
      <c r="AG65" s="132">
        <f t="shared" si="127"/>
        <v>-1000</v>
      </c>
      <c r="AH65" s="132">
        <f t="shared" si="127"/>
        <v>-1000</v>
      </c>
      <c r="AI65" s="132">
        <f t="shared" si="127"/>
        <v>-1000</v>
      </c>
      <c r="AJ65" s="132">
        <f t="shared" si="127"/>
        <v>-750</v>
      </c>
      <c r="AK65" s="132">
        <f t="shared" si="127"/>
        <v>-1000</v>
      </c>
      <c r="AL65" s="132">
        <f t="shared" si="127"/>
        <v>-1000</v>
      </c>
      <c r="AM65" s="132">
        <f t="shared" si="127"/>
        <v>-1000</v>
      </c>
      <c r="AN65" s="132">
        <f t="shared" si="127"/>
        <v>-1000</v>
      </c>
      <c r="AO65" s="132">
        <f t="shared" si="127"/>
        <v>-1000</v>
      </c>
      <c r="AP65" s="132">
        <f t="shared" si="127"/>
        <v>-1000</v>
      </c>
      <c r="AQ65" s="132">
        <f t="shared" si="127"/>
        <v>-1000</v>
      </c>
      <c r="AR65" s="132">
        <f t="shared" si="127"/>
        <v>-1000</v>
      </c>
      <c r="AS65" s="132">
        <f t="shared" si="127"/>
        <v>-1000</v>
      </c>
    </row>
    <row r="66">
      <c r="A66" s="132" t="s">
        <v>3568</v>
      </c>
      <c r="B66" s="132">
        <v>600.0</v>
      </c>
      <c r="C66" s="132">
        <v>0.0</v>
      </c>
      <c r="D66" s="132">
        <v>0.0</v>
      </c>
      <c r="E66" s="132">
        <v>0.0</v>
      </c>
      <c r="F66" s="132">
        <v>0.0</v>
      </c>
      <c r="G66" s="132">
        <v>600.0</v>
      </c>
      <c r="H66" s="132">
        <v>0.0</v>
      </c>
      <c r="I66" s="132">
        <v>0.0</v>
      </c>
      <c r="J66" s="132">
        <v>0.0</v>
      </c>
      <c r="K66" s="132">
        <v>0.0</v>
      </c>
      <c r="L66" s="132">
        <v>0.0</v>
      </c>
      <c r="M66" s="132">
        <v>0.0</v>
      </c>
      <c r="N66" s="132">
        <v>0.0</v>
      </c>
      <c r="O66" s="132">
        <v>0.0</v>
      </c>
      <c r="P66" s="132">
        <v>0.0</v>
      </c>
      <c r="Q66" s="132">
        <v>0.0</v>
      </c>
      <c r="R66" s="132">
        <v>0.0</v>
      </c>
      <c r="S66" s="132">
        <v>0.0</v>
      </c>
      <c r="T66" s="132">
        <v>0.0</v>
      </c>
      <c r="U66" s="132">
        <v>0.0</v>
      </c>
      <c r="V66" s="132">
        <v>0.0</v>
      </c>
      <c r="W66" s="132">
        <v>0.0</v>
      </c>
      <c r="Y66" s="132" t="s">
        <v>3568</v>
      </c>
      <c r="Z66" s="132">
        <f t="shared" ref="Z66:AC66" si="128">C66-1000</f>
        <v>-1000</v>
      </c>
      <c r="AA66" s="132">
        <f t="shared" si="128"/>
        <v>-1000</v>
      </c>
      <c r="AB66" s="132">
        <f t="shared" si="128"/>
        <v>-1000</v>
      </c>
      <c r="AC66" s="132">
        <f t="shared" si="128"/>
        <v>-1000</v>
      </c>
      <c r="AD66" s="132">
        <f t="shared" si="4"/>
        <v>-9400</v>
      </c>
      <c r="AE66" s="132">
        <f t="shared" ref="AE66:AS66" si="129">H66-1000</f>
        <v>-1000</v>
      </c>
      <c r="AF66" s="132">
        <f t="shared" si="129"/>
        <v>-1000</v>
      </c>
      <c r="AG66" s="132">
        <f t="shared" si="129"/>
        <v>-1000</v>
      </c>
      <c r="AH66" s="132">
        <f t="shared" si="129"/>
        <v>-1000</v>
      </c>
      <c r="AI66" s="132">
        <f t="shared" si="129"/>
        <v>-1000</v>
      </c>
      <c r="AJ66" s="132">
        <f t="shared" si="129"/>
        <v>-1000</v>
      </c>
      <c r="AK66" s="132">
        <f t="shared" si="129"/>
        <v>-1000</v>
      </c>
      <c r="AL66" s="132">
        <f t="shared" si="129"/>
        <v>-1000</v>
      </c>
      <c r="AM66" s="132">
        <f t="shared" si="129"/>
        <v>-1000</v>
      </c>
      <c r="AN66" s="132">
        <f t="shared" si="129"/>
        <v>-1000</v>
      </c>
      <c r="AO66" s="132">
        <f t="shared" si="129"/>
        <v>-1000</v>
      </c>
      <c r="AP66" s="132">
        <f t="shared" si="129"/>
        <v>-1000</v>
      </c>
      <c r="AQ66" s="132">
        <f t="shared" si="129"/>
        <v>-1000</v>
      </c>
      <c r="AR66" s="132">
        <f t="shared" si="129"/>
        <v>-1000</v>
      </c>
      <c r="AS66" s="132">
        <f t="shared" si="129"/>
        <v>-1000</v>
      </c>
    </row>
    <row r="67">
      <c r="A67" s="132" t="s">
        <v>3569</v>
      </c>
      <c r="B67" s="132">
        <v>6000.0</v>
      </c>
      <c r="C67" s="132">
        <v>0.0</v>
      </c>
      <c r="D67" s="132">
        <v>0.0</v>
      </c>
      <c r="E67" s="132">
        <v>2000.0</v>
      </c>
      <c r="F67" s="132">
        <v>0.0</v>
      </c>
      <c r="G67" s="132">
        <v>4000.0</v>
      </c>
      <c r="H67" s="132">
        <v>0.0</v>
      </c>
      <c r="I67" s="132">
        <v>0.0</v>
      </c>
      <c r="J67" s="132">
        <v>0.0</v>
      </c>
      <c r="K67" s="132">
        <v>0.0</v>
      </c>
      <c r="L67" s="132">
        <v>0.0</v>
      </c>
      <c r="M67" s="132">
        <v>0.0</v>
      </c>
      <c r="N67" s="132">
        <v>0.0</v>
      </c>
      <c r="O67" s="132">
        <v>0.0</v>
      </c>
      <c r="P67" s="132">
        <v>0.0</v>
      </c>
      <c r="Q67" s="132">
        <v>0.0</v>
      </c>
      <c r="R67" s="132">
        <v>0.0</v>
      </c>
      <c r="S67" s="132">
        <v>0.0</v>
      </c>
      <c r="T67" s="132">
        <v>0.0</v>
      </c>
      <c r="U67" s="132">
        <v>0.0</v>
      </c>
      <c r="V67" s="132">
        <v>0.0</v>
      </c>
      <c r="W67" s="132">
        <v>0.0</v>
      </c>
      <c r="Y67" s="132" t="s">
        <v>3569</v>
      </c>
      <c r="Z67" s="132">
        <f t="shared" ref="Z67:AC67" si="130">C67-1000</f>
        <v>-1000</v>
      </c>
      <c r="AA67" s="132">
        <f t="shared" si="130"/>
        <v>-1000</v>
      </c>
      <c r="AB67" s="132">
        <f t="shared" si="130"/>
        <v>1000</v>
      </c>
      <c r="AC67" s="132">
        <f t="shared" si="130"/>
        <v>-1000</v>
      </c>
      <c r="AD67" s="132">
        <f t="shared" si="4"/>
        <v>-6000</v>
      </c>
      <c r="AE67" s="132">
        <f t="shared" ref="AE67:AS67" si="131">H67-1000</f>
        <v>-1000</v>
      </c>
      <c r="AF67" s="132">
        <f t="shared" si="131"/>
        <v>-1000</v>
      </c>
      <c r="AG67" s="132">
        <f t="shared" si="131"/>
        <v>-1000</v>
      </c>
      <c r="AH67" s="132">
        <f t="shared" si="131"/>
        <v>-1000</v>
      </c>
      <c r="AI67" s="132">
        <f t="shared" si="131"/>
        <v>-1000</v>
      </c>
      <c r="AJ67" s="132">
        <f t="shared" si="131"/>
        <v>-1000</v>
      </c>
      <c r="AK67" s="132">
        <f t="shared" si="131"/>
        <v>-1000</v>
      </c>
      <c r="AL67" s="132">
        <f t="shared" si="131"/>
        <v>-1000</v>
      </c>
      <c r="AM67" s="132">
        <f t="shared" si="131"/>
        <v>-1000</v>
      </c>
      <c r="AN67" s="132">
        <f t="shared" si="131"/>
        <v>-1000</v>
      </c>
      <c r="AO67" s="132">
        <f t="shared" si="131"/>
        <v>-1000</v>
      </c>
      <c r="AP67" s="132">
        <f t="shared" si="131"/>
        <v>-1000</v>
      </c>
      <c r="AQ67" s="132">
        <f t="shared" si="131"/>
        <v>-1000</v>
      </c>
      <c r="AR67" s="132">
        <f t="shared" si="131"/>
        <v>-1000</v>
      </c>
      <c r="AS67" s="132">
        <f t="shared" si="131"/>
        <v>-1000</v>
      </c>
    </row>
    <row r="68">
      <c r="A68" s="132" t="s">
        <v>3570</v>
      </c>
      <c r="B68" s="132">
        <v>2000.0</v>
      </c>
      <c r="C68" s="132">
        <v>0.0</v>
      </c>
      <c r="D68" s="132">
        <v>2000.0</v>
      </c>
      <c r="E68" s="132">
        <v>0.0</v>
      </c>
      <c r="F68" s="132">
        <v>0.0</v>
      </c>
      <c r="G68" s="132">
        <v>0.0</v>
      </c>
      <c r="H68" s="132">
        <v>0.0</v>
      </c>
      <c r="I68" s="132">
        <v>0.0</v>
      </c>
      <c r="J68" s="132">
        <v>0.0</v>
      </c>
      <c r="K68" s="132">
        <v>0.0</v>
      </c>
      <c r="L68" s="132">
        <v>0.0</v>
      </c>
      <c r="M68" s="132">
        <v>0.0</v>
      </c>
      <c r="N68" s="132">
        <v>0.0</v>
      </c>
      <c r="O68" s="132">
        <v>0.0</v>
      </c>
      <c r="P68" s="132">
        <v>0.0</v>
      </c>
      <c r="Q68" s="132">
        <v>0.0</v>
      </c>
      <c r="R68" s="132">
        <v>0.0</v>
      </c>
      <c r="S68" s="132">
        <v>0.0</v>
      </c>
      <c r="T68" s="132">
        <v>0.0</v>
      </c>
      <c r="U68" s="132">
        <v>0.0</v>
      </c>
      <c r="V68" s="132">
        <v>0.0</v>
      </c>
      <c r="W68" s="132">
        <v>0.0</v>
      </c>
      <c r="Y68" s="132" t="s">
        <v>3570</v>
      </c>
      <c r="Z68" s="132">
        <f t="shared" ref="Z68:AC68" si="132">C68-1000</f>
        <v>-1000</v>
      </c>
      <c r="AA68" s="132">
        <f t="shared" si="132"/>
        <v>1000</v>
      </c>
      <c r="AB68" s="132">
        <f t="shared" si="132"/>
        <v>-1000</v>
      </c>
      <c r="AC68" s="132">
        <f t="shared" si="132"/>
        <v>-1000</v>
      </c>
      <c r="AD68" s="132">
        <f t="shared" si="4"/>
        <v>-10000</v>
      </c>
      <c r="AE68" s="132">
        <f t="shared" ref="AE68:AS68" si="133">H68-1000</f>
        <v>-1000</v>
      </c>
      <c r="AF68" s="132">
        <f t="shared" si="133"/>
        <v>-1000</v>
      </c>
      <c r="AG68" s="132">
        <f t="shared" si="133"/>
        <v>-1000</v>
      </c>
      <c r="AH68" s="132">
        <f t="shared" si="133"/>
        <v>-1000</v>
      </c>
      <c r="AI68" s="132">
        <f t="shared" si="133"/>
        <v>-1000</v>
      </c>
      <c r="AJ68" s="132">
        <f t="shared" si="133"/>
        <v>-1000</v>
      </c>
      <c r="AK68" s="132">
        <f t="shared" si="133"/>
        <v>-1000</v>
      </c>
      <c r="AL68" s="132">
        <f t="shared" si="133"/>
        <v>-1000</v>
      </c>
      <c r="AM68" s="132">
        <f t="shared" si="133"/>
        <v>-1000</v>
      </c>
      <c r="AN68" s="132">
        <f t="shared" si="133"/>
        <v>-1000</v>
      </c>
      <c r="AO68" s="132">
        <f t="shared" si="133"/>
        <v>-1000</v>
      </c>
      <c r="AP68" s="132">
        <f t="shared" si="133"/>
        <v>-1000</v>
      </c>
      <c r="AQ68" s="132">
        <f t="shared" si="133"/>
        <v>-1000</v>
      </c>
      <c r="AR68" s="132">
        <f t="shared" si="133"/>
        <v>-1000</v>
      </c>
      <c r="AS68" s="132">
        <f t="shared" si="133"/>
        <v>-1000</v>
      </c>
    </row>
    <row r="69">
      <c r="A69" s="132" t="s">
        <v>3571</v>
      </c>
      <c r="B69" s="132">
        <v>2950.0</v>
      </c>
      <c r="C69" s="132">
        <v>950.0</v>
      </c>
      <c r="D69" s="132">
        <v>0.0</v>
      </c>
      <c r="E69" s="132">
        <v>0.0</v>
      </c>
      <c r="F69" s="132">
        <v>2000.0</v>
      </c>
      <c r="G69" s="132">
        <v>0.0</v>
      </c>
      <c r="H69" s="132">
        <v>0.0</v>
      </c>
      <c r="I69" s="132">
        <v>0.0</v>
      </c>
      <c r="J69" s="132">
        <v>0.0</v>
      </c>
      <c r="K69" s="132">
        <v>0.0</v>
      </c>
      <c r="L69" s="132">
        <v>0.0</v>
      </c>
      <c r="M69" s="132">
        <v>0.0</v>
      </c>
      <c r="N69" s="132">
        <v>0.0</v>
      </c>
      <c r="O69" s="132">
        <v>0.0</v>
      </c>
      <c r="P69" s="132">
        <v>0.0</v>
      </c>
      <c r="Q69" s="132">
        <v>0.0</v>
      </c>
      <c r="R69" s="132">
        <v>0.0</v>
      </c>
      <c r="S69" s="132">
        <v>0.0</v>
      </c>
      <c r="T69" s="132">
        <v>0.0</v>
      </c>
      <c r="U69" s="132">
        <v>0.0</v>
      </c>
      <c r="V69" s="132">
        <v>0.0</v>
      </c>
      <c r="W69" s="132">
        <v>0.0</v>
      </c>
      <c r="Y69" s="132" t="s">
        <v>3571</v>
      </c>
      <c r="Z69" s="132">
        <f t="shared" ref="Z69:AC69" si="134">C69-1000</f>
        <v>-50</v>
      </c>
      <c r="AA69" s="132">
        <f t="shared" si="134"/>
        <v>-1000</v>
      </c>
      <c r="AB69" s="132">
        <f t="shared" si="134"/>
        <v>-1000</v>
      </c>
      <c r="AC69" s="132">
        <f t="shared" si="134"/>
        <v>1000</v>
      </c>
      <c r="AD69" s="132">
        <f t="shared" si="4"/>
        <v>-10000</v>
      </c>
      <c r="AE69" s="132">
        <f t="shared" ref="AE69:AS69" si="135">H69-1000</f>
        <v>-1000</v>
      </c>
      <c r="AF69" s="132">
        <f t="shared" si="135"/>
        <v>-1000</v>
      </c>
      <c r="AG69" s="132">
        <f t="shared" si="135"/>
        <v>-1000</v>
      </c>
      <c r="AH69" s="132">
        <f t="shared" si="135"/>
        <v>-1000</v>
      </c>
      <c r="AI69" s="132">
        <f t="shared" si="135"/>
        <v>-1000</v>
      </c>
      <c r="AJ69" s="132">
        <f t="shared" si="135"/>
        <v>-1000</v>
      </c>
      <c r="AK69" s="132">
        <f t="shared" si="135"/>
        <v>-1000</v>
      </c>
      <c r="AL69" s="132">
        <f t="shared" si="135"/>
        <v>-1000</v>
      </c>
      <c r="AM69" s="132">
        <f t="shared" si="135"/>
        <v>-1000</v>
      </c>
      <c r="AN69" s="132">
        <f t="shared" si="135"/>
        <v>-1000</v>
      </c>
      <c r="AO69" s="132">
        <f t="shared" si="135"/>
        <v>-1000</v>
      </c>
      <c r="AP69" s="132">
        <f t="shared" si="135"/>
        <v>-1000</v>
      </c>
      <c r="AQ69" s="132">
        <f t="shared" si="135"/>
        <v>-1000</v>
      </c>
      <c r="AR69" s="132">
        <f t="shared" si="135"/>
        <v>-1000</v>
      </c>
      <c r="AS69" s="132">
        <f t="shared" si="135"/>
        <v>-1000</v>
      </c>
    </row>
    <row r="70">
      <c r="A70" s="132" t="s">
        <v>3572</v>
      </c>
      <c r="B70" s="132">
        <v>1000.0</v>
      </c>
      <c r="C70" s="132">
        <v>1000.0</v>
      </c>
      <c r="D70" s="132">
        <v>0.0</v>
      </c>
      <c r="E70" s="132">
        <v>0.0</v>
      </c>
      <c r="F70" s="132">
        <v>0.0</v>
      </c>
      <c r="G70" s="132">
        <v>0.0</v>
      </c>
      <c r="H70" s="132">
        <v>0.0</v>
      </c>
      <c r="I70" s="132">
        <v>0.0</v>
      </c>
      <c r="J70" s="132">
        <v>0.0</v>
      </c>
      <c r="K70" s="132">
        <v>0.0</v>
      </c>
      <c r="L70" s="132">
        <v>0.0</v>
      </c>
      <c r="M70" s="132">
        <v>0.0</v>
      </c>
      <c r="N70" s="132">
        <v>0.0</v>
      </c>
      <c r="O70" s="132">
        <v>0.0</v>
      </c>
      <c r="P70" s="132">
        <v>0.0</v>
      </c>
      <c r="Q70" s="132">
        <v>0.0</v>
      </c>
      <c r="R70" s="132">
        <v>0.0</v>
      </c>
      <c r="S70" s="132">
        <v>0.0</v>
      </c>
      <c r="T70" s="132">
        <v>0.0</v>
      </c>
      <c r="U70" s="132">
        <v>0.0</v>
      </c>
      <c r="V70" s="132">
        <v>0.0</v>
      </c>
      <c r="W70" s="132">
        <v>0.0</v>
      </c>
      <c r="Y70" s="132" t="s">
        <v>3572</v>
      </c>
      <c r="Z70" s="132">
        <f t="shared" ref="Z70:AC70" si="136">C70-1000</f>
        <v>0</v>
      </c>
      <c r="AA70" s="132">
        <f t="shared" si="136"/>
        <v>-1000</v>
      </c>
      <c r="AB70" s="132">
        <f t="shared" si="136"/>
        <v>-1000</v>
      </c>
      <c r="AC70" s="132">
        <f t="shared" si="136"/>
        <v>-1000</v>
      </c>
      <c r="AD70" s="132">
        <f t="shared" si="4"/>
        <v>-10000</v>
      </c>
      <c r="AE70" s="132">
        <f t="shared" ref="AE70:AS70" si="137">H70-1000</f>
        <v>-1000</v>
      </c>
      <c r="AF70" s="132">
        <f t="shared" si="137"/>
        <v>-1000</v>
      </c>
      <c r="AG70" s="132">
        <f t="shared" si="137"/>
        <v>-1000</v>
      </c>
      <c r="AH70" s="132">
        <f t="shared" si="137"/>
        <v>-1000</v>
      </c>
      <c r="AI70" s="132">
        <f t="shared" si="137"/>
        <v>-1000</v>
      </c>
      <c r="AJ70" s="132">
        <f t="shared" si="137"/>
        <v>-1000</v>
      </c>
      <c r="AK70" s="132">
        <f t="shared" si="137"/>
        <v>-1000</v>
      </c>
      <c r="AL70" s="132">
        <f t="shared" si="137"/>
        <v>-1000</v>
      </c>
      <c r="AM70" s="132">
        <f t="shared" si="137"/>
        <v>-1000</v>
      </c>
      <c r="AN70" s="132">
        <f t="shared" si="137"/>
        <v>-1000</v>
      </c>
      <c r="AO70" s="132">
        <f t="shared" si="137"/>
        <v>-1000</v>
      </c>
      <c r="AP70" s="132">
        <f t="shared" si="137"/>
        <v>-1000</v>
      </c>
      <c r="AQ70" s="132">
        <f t="shared" si="137"/>
        <v>-1000</v>
      </c>
      <c r="AR70" s="132">
        <f t="shared" si="137"/>
        <v>-1000</v>
      </c>
      <c r="AS70" s="132">
        <f t="shared" si="137"/>
        <v>-1000</v>
      </c>
    </row>
    <row r="71">
      <c r="A71" s="132" t="s">
        <v>3573</v>
      </c>
      <c r="B71" s="132">
        <v>100.0</v>
      </c>
      <c r="C71" s="132">
        <v>0.0</v>
      </c>
      <c r="D71" s="132">
        <v>0.0</v>
      </c>
      <c r="E71" s="132">
        <v>0.0</v>
      </c>
      <c r="F71" s="132">
        <v>0.0</v>
      </c>
      <c r="G71" s="132">
        <v>0.0</v>
      </c>
      <c r="H71" s="132">
        <v>0.0</v>
      </c>
      <c r="I71" s="132">
        <v>0.0</v>
      </c>
      <c r="J71" s="132">
        <v>0.0</v>
      </c>
      <c r="K71" s="132">
        <v>0.0</v>
      </c>
      <c r="L71" s="132">
        <v>0.0</v>
      </c>
      <c r="M71" s="132">
        <v>0.0</v>
      </c>
      <c r="N71" s="132">
        <v>0.0</v>
      </c>
      <c r="O71" s="132">
        <v>0.0</v>
      </c>
      <c r="P71" s="132">
        <v>0.0</v>
      </c>
      <c r="Q71" s="132">
        <v>100.0</v>
      </c>
      <c r="R71" s="132">
        <v>0.0</v>
      </c>
      <c r="S71" s="132">
        <v>0.0</v>
      </c>
      <c r="T71" s="132">
        <v>0.0</v>
      </c>
      <c r="U71" s="132">
        <v>0.0</v>
      </c>
      <c r="V71" s="132">
        <v>0.0</v>
      </c>
      <c r="W71" s="132">
        <v>0.0</v>
      </c>
      <c r="Y71" s="132" t="s">
        <v>3573</v>
      </c>
      <c r="Z71" s="132">
        <f t="shared" ref="Z71:AC71" si="138">C71-1000</f>
        <v>-1000</v>
      </c>
      <c r="AA71" s="132">
        <f t="shared" si="138"/>
        <v>-1000</v>
      </c>
      <c r="AB71" s="132">
        <f t="shared" si="138"/>
        <v>-1000</v>
      </c>
      <c r="AC71" s="132">
        <f t="shared" si="138"/>
        <v>-1000</v>
      </c>
      <c r="AD71" s="132">
        <f t="shared" si="4"/>
        <v>-10000</v>
      </c>
      <c r="AE71" s="132">
        <f t="shared" ref="AE71:AS71" si="139">H71-1000</f>
        <v>-1000</v>
      </c>
      <c r="AF71" s="132">
        <f t="shared" si="139"/>
        <v>-1000</v>
      </c>
      <c r="AG71" s="132">
        <f t="shared" si="139"/>
        <v>-1000</v>
      </c>
      <c r="AH71" s="132">
        <f t="shared" si="139"/>
        <v>-1000</v>
      </c>
      <c r="AI71" s="132">
        <f t="shared" si="139"/>
        <v>-1000</v>
      </c>
      <c r="AJ71" s="132">
        <f t="shared" si="139"/>
        <v>-1000</v>
      </c>
      <c r="AK71" s="132">
        <f t="shared" si="139"/>
        <v>-1000</v>
      </c>
      <c r="AL71" s="132">
        <f t="shared" si="139"/>
        <v>-1000</v>
      </c>
      <c r="AM71" s="132">
        <f t="shared" si="139"/>
        <v>-1000</v>
      </c>
      <c r="AN71" s="132">
        <f t="shared" si="139"/>
        <v>-900</v>
      </c>
      <c r="AO71" s="132">
        <f t="shared" si="139"/>
        <v>-1000</v>
      </c>
      <c r="AP71" s="132">
        <f t="shared" si="139"/>
        <v>-1000</v>
      </c>
      <c r="AQ71" s="132">
        <f t="shared" si="139"/>
        <v>-1000</v>
      </c>
      <c r="AR71" s="132">
        <f t="shared" si="139"/>
        <v>-1000</v>
      </c>
      <c r="AS71" s="132">
        <f t="shared" si="139"/>
        <v>-1000</v>
      </c>
    </row>
    <row r="72">
      <c r="A72" s="132" t="s">
        <v>3574</v>
      </c>
      <c r="B72" s="132">
        <v>22950.0</v>
      </c>
      <c r="C72" s="132">
        <v>950.0</v>
      </c>
      <c r="D72" s="132">
        <v>0.0</v>
      </c>
      <c r="E72" s="132">
        <v>0.0</v>
      </c>
      <c r="F72" s="132">
        <v>1000.0</v>
      </c>
      <c r="G72" s="132">
        <v>17000.0</v>
      </c>
      <c r="H72" s="132">
        <v>0.0</v>
      </c>
      <c r="I72" s="132">
        <v>0.0</v>
      </c>
      <c r="J72" s="132">
        <v>0.0</v>
      </c>
      <c r="K72" s="132">
        <v>2000.0</v>
      </c>
      <c r="L72" s="132">
        <v>0.0</v>
      </c>
      <c r="M72" s="132">
        <v>2000.0</v>
      </c>
      <c r="N72" s="132">
        <v>0.0</v>
      </c>
      <c r="O72" s="132">
        <v>0.0</v>
      </c>
      <c r="P72" s="132">
        <v>0.0</v>
      </c>
      <c r="Q72" s="132">
        <v>0.0</v>
      </c>
      <c r="R72" s="132">
        <v>0.0</v>
      </c>
      <c r="S72" s="132">
        <v>0.0</v>
      </c>
      <c r="T72" s="132">
        <v>0.0</v>
      </c>
      <c r="U72" s="132">
        <v>0.0</v>
      </c>
      <c r="V72" s="132">
        <v>0.0</v>
      </c>
      <c r="W72" s="132">
        <v>1.0</v>
      </c>
      <c r="Y72" s="132" t="s">
        <v>3574</v>
      </c>
      <c r="Z72" s="132">
        <f t="shared" ref="Z72:AC72" si="140">C72-1000</f>
        <v>-50</v>
      </c>
      <c r="AA72" s="132">
        <f t="shared" si="140"/>
        <v>-1000</v>
      </c>
      <c r="AB72" s="132">
        <f t="shared" si="140"/>
        <v>-1000</v>
      </c>
      <c r="AC72" s="132">
        <f t="shared" si="140"/>
        <v>0</v>
      </c>
      <c r="AD72" s="132">
        <f t="shared" si="4"/>
        <v>7000</v>
      </c>
      <c r="AE72" s="132">
        <f t="shared" ref="AE72:AS72" si="141">H72-1000</f>
        <v>-1000</v>
      </c>
      <c r="AF72" s="132">
        <f t="shared" si="141"/>
        <v>-1000</v>
      </c>
      <c r="AG72" s="132">
        <f t="shared" si="141"/>
        <v>-1000</v>
      </c>
      <c r="AH72" s="132">
        <f t="shared" si="141"/>
        <v>1000</v>
      </c>
      <c r="AI72" s="132">
        <f t="shared" si="141"/>
        <v>-1000</v>
      </c>
      <c r="AJ72" s="132">
        <f t="shared" si="141"/>
        <v>1000</v>
      </c>
      <c r="AK72" s="132">
        <f t="shared" si="141"/>
        <v>-1000</v>
      </c>
      <c r="AL72" s="132">
        <f t="shared" si="141"/>
        <v>-1000</v>
      </c>
      <c r="AM72" s="132">
        <f t="shared" si="141"/>
        <v>-1000</v>
      </c>
      <c r="AN72" s="132">
        <f t="shared" si="141"/>
        <v>-1000</v>
      </c>
      <c r="AO72" s="132">
        <f t="shared" si="141"/>
        <v>-1000</v>
      </c>
      <c r="AP72" s="132">
        <f t="shared" si="141"/>
        <v>-1000</v>
      </c>
      <c r="AQ72" s="132">
        <f t="shared" si="141"/>
        <v>-1000</v>
      </c>
      <c r="AR72" s="132">
        <f t="shared" si="141"/>
        <v>-1000</v>
      </c>
      <c r="AS72" s="132">
        <f t="shared" si="141"/>
        <v>-1000</v>
      </c>
    </row>
    <row r="73">
      <c r="A73" s="132" t="s">
        <v>3575</v>
      </c>
      <c r="B73" s="132">
        <v>22950.0</v>
      </c>
      <c r="C73" s="132">
        <v>950.0</v>
      </c>
      <c r="D73" s="132">
        <v>0.0</v>
      </c>
      <c r="E73" s="132">
        <v>0.0</v>
      </c>
      <c r="F73" s="132">
        <v>1000.0</v>
      </c>
      <c r="G73" s="132">
        <v>17000.0</v>
      </c>
      <c r="H73" s="132">
        <v>0.0</v>
      </c>
      <c r="I73" s="132">
        <v>0.0</v>
      </c>
      <c r="J73" s="132">
        <v>0.0</v>
      </c>
      <c r="K73" s="132">
        <v>2000.0</v>
      </c>
      <c r="L73" s="132">
        <v>0.0</v>
      </c>
      <c r="M73" s="132">
        <v>2000.0</v>
      </c>
      <c r="N73" s="132">
        <v>0.0</v>
      </c>
      <c r="O73" s="132">
        <v>0.0</v>
      </c>
      <c r="P73" s="132">
        <v>0.0</v>
      </c>
      <c r="Q73" s="132">
        <v>0.0</v>
      </c>
      <c r="R73" s="132">
        <v>0.0</v>
      </c>
      <c r="S73" s="132">
        <v>0.0</v>
      </c>
      <c r="T73" s="132">
        <v>0.0</v>
      </c>
      <c r="U73" s="132">
        <v>0.0</v>
      </c>
      <c r="V73" s="132">
        <v>0.0</v>
      </c>
      <c r="W73" s="132">
        <v>1.0</v>
      </c>
      <c r="Y73" s="132" t="s">
        <v>3575</v>
      </c>
      <c r="Z73" s="132">
        <f t="shared" ref="Z73:AC73" si="142">C73-1000</f>
        <v>-50</v>
      </c>
      <c r="AA73" s="132">
        <f t="shared" si="142"/>
        <v>-1000</v>
      </c>
      <c r="AB73" s="132">
        <f t="shared" si="142"/>
        <v>-1000</v>
      </c>
      <c r="AC73" s="132">
        <f t="shared" si="142"/>
        <v>0</v>
      </c>
      <c r="AD73" s="132">
        <f t="shared" si="4"/>
        <v>7000</v>
      </c>
      <c r="AE73" s="132">
        <f t="shared" ref="AE73:AS73" si="143">H73-1000</f>
        <v>-1000</v>
      </c>
      <c r="AF73" s="132">
        <f t="shared" si="143"/>
        <v>-1000</v>
      </c>
      <c r="AG73" s="132">
        <f t="shared" si="143"/>
        <v>-1000</v>
      </c>
      <c r="AH73" s="132">
        <f t="shared" si="143"/>
        <v>1000</v>
      </c>
      <c r="AI73" s="132">
        <f t="shared" si="143"/>
        <v>-1000</v>
      </c>
      <c r="AJ73" s="132">
        <f t="shared" si="143"/>
        <v>1000</v>
      </c>
      <c r="AK73" s="132">
        <f t="shared" si="143"/>
        <v>-1000</v>
      </c>
      <c r="AL73" s="132">
        <f t="shared" si="143"/>
        <v>-1000</v>
      </c>
      <c r="AM73" s="132">
        <f t="shared" si="143"/>
        <v>-1000</v>
      </c>
      <c r="AN73" s="132">
        <f t="shared" si="143"/>
        <v>-1000</v>
      </c>
      <c r="AO73" s="132">
        <f t="shared" si="143"/>
        <v>-1000</v>
      </c>
      <c r="AP73" s="132">
        <f t="shared" si="143"/>
        <v>-1000</v>
      </c>
      <c r="AQ73" s="132">
        <f t="shared" si="143"/>
        <v>-1000</v>
      </c>
      <c r="AR73" s="132">
        <f t="shared" si="143"/>
        <v>-1000</v>
      </c>
      <c r="AS73" s="132">
        <f t="shared" si="143"/>
        <v>-1000</v>
      </c>
    </row>
    <row r="74">
      <c r="A74" s="132" t="s">
        <v>3576</v>
      </c>
      <c r="B74" s="132">
        <v>2000.0</v>
      </c>
      <c r="C74" s="132">
        <v>0.0</v>
      </c>
      <c r="D74" s="132">
        <v>0.0</v>
      </c>
      <c r="E74" s="132">
        <v>0.0</v>
      </c>
      <c r="F74" s="132">
        <v>2000.0</v>
      </c>
      <c r="G74" s="132">
        <v>0.0</v>
      </c>
      <c r="H74" s="132">
        <v>0.0</v>
      </c>
      <c r="I74" s="132">
        <v>0.0</v>
      </c>
      <c r="J74" s="132">
        <v>0.0</v>
      </c>
      <c r="K74" s="132">
        <v>0.0</v>
      </c>
      <c r="L74" s="132">
        <v>0.0</v>
      </c>
      <c r="M74" s="132">
        <v>0.0</v>
      </c>
      <c r="N74" s="132">
        <v>0.0</v>
      </c>
      <c r="O74" s="132">
        <v>0.0</v>
      </c>
      <c r="P74" s="132">
        <v>0.0</v>
      </c>
      <c r="Q74" s="132">
        <v>0.0</v>
      </c>
      <c r="R74" s="132">
        <v>0.0</v>
      </c>
      <c r="S74" s="132">
        <v>0.0</v>
      </c>
      <c r="T74" s="132">
        <v>0.0</v>
      </c>
      <c r="U74" s="132">
        <v>0.0</v>
      </c>
      <c r="V74" s="132">
        <v>0.0</v>
      </c>
      <c r="W74" s="132">
        <v>0.0</v>
      </c>
      <c r="Y74" s="132" t="s">
        <v>3576</v>
      </c>
      <c r="Z74" s="132">
        <f t="shared" ref="Z74:AC74" si="144">C74-1000</f>
        <v>-1000</v>
      </c>
      <c r="AA74" s="132">
        <f t="shared" si="144"/>
        <v>-1000</v>
      </c>
      <c r="AB74" s="132">
        <f t="shared" si="144"/>
        <v>-1000</v>
      </c>
      <c r="AC74" s="132">
        <f t="shared" si="144"/>
        <v>1000</v>
      </c>
      <c r="AD74" s="132">
        <f t="shared" si="4"/>
        <v>-10000</v>
      </c>
      <c r="AE74" s="132">
        <f t="shared" ref="AE74:AS74" si="145">H74-1000</f>
        <v>-1000</v>
      </c>
      <c r="AF74" s="132">
        <f t="shared" si="145"/>
        <v>-1000</v>
      </c>
      <c r="AG74" s="132">
        <f t="shared" si="145"/>
        <v>-1000</v>
      </c>
      <c r="AH74" s="132">
        <f t="shared" si="145"/>
        <v>-1000</v>
      </c>
      <c r="AI74" s="132">
        <f t="shared" si="145"/>
        <v>-1000</v>
      </c>
      <c r="AJ74" s="132">
        <f t="shared" si="145"/>
        <v>-1000</v>
      </c>
      <c r="AK74" s="132">
        <f t="shared" si="145"/>
        <v>-1000</v>
      </c>
      <c r="AL74" s="132">
        <f t="shared" si="145"/>
        <v>-1000</v>
      </c>
      <c r="AM74" s="132">
        <f t="shared" si="145"/>
        <v>-1000</v>
      </c>
      <c r="AN74" s="132">
        <f t="shared" si="145"/>
        <v>-1000</v>
      </c>
      <c r="AO74" s="132">
        <f t="shared" si="145"/>
        <v>-1000</v>
      </c>
      <c r="AP74" s="132">
        <f t="shared" si="145"/>
        <v>-1000</v>
      </c>
      <c r="AQ74" s="132">
        <f t="shared" si="145"/>
        <v>-1000</v>
      </c>
      <c r="AR74" s="132">
        <f t="shared" si="145"/>
        <v>-1000</v>
      </c>
      <c r="AS74" s="132">
        <f t="shared" si="145"/>
        <v>-1000</v>
      </c>
    </row>
    <row r="75">
      <c r="A75" s="132" t="s">
        <v>3577</v>
      </c>
      <c r="B75" s="132">
        <v>1000.0</v>
      </c>
      <c r="C75" s="132">
        <v>1000.0</v>
      </c>
      <c r="D75" s="132">
        <v>0.0</v>
      </c>
      <c r="E75" s="132">
        <v>0.0</v>
      </c>
      <c r="F75" s="132">
        <v>0.0</v>
      </c>
      <c r="G75" s="132">
        <v>0.0</v>
      </c>
      <c r="H75" s="132">
        <v>0.0</v>
      </c>
      <c r="I75" s="132">
        <v>0.0</v>
      </c>
      <c r="J75" s="132">
        <v>0.0</v>
      </c>
      <c r="K75" s="132">
        <v>0.0</v>
      </c>
      <c r="L75" s="132">
        <v>0.0</v>
      </c>
      <c r="M75" s="132">
        <v>0.0</v>
      </c>
      <c r="N75" s="132">
        <v>0.0</v>
      </c>
      <c r="O75" s="132">
        <v>0.0</v>
      </c>
      <c r="P75" s="132">
        <v>0.0</v>
      </c>
      <c r="Q75" s="132">
        <v>0.0</v>
      </c>
      <c r="R75" s="132">
        <v>0.0</v>
      </c>
      <c r="S75" s="132">
        <v>0.0</v>
      </c>
      <c r="T75" s="132">
        <v>0.0</v>
      </c>
      <c r="U75" s="132">
        <v>0.0</v>
      </c>
      <c r="V75" s="132">
        <v>0.0</v>
      </c>
      <c r="W75" s="132">
        <v>1.0</v>
      </c>
      <c r="Y75" s="132" t="s">
        <v>3577</v>
      </c>
      <c r="Z75" s="132">
        <f t="shared" ref="Z75:AC75" si="146">C75-1000</f>
        <v>0</v>
      </c>
      <c r="AA75" s="132">
        <f t="shared" si="146"/>
        <v>-1000</v>
      </c>
      <c r="AB75" s="132">
        <f t="shared" si="146"/>
        <v>-1000</v>
      </c>
      <c r="AC75" s="132">
        <f t="shared" si="146"/>
        <v>-1000</v>
      </c>
      <c r="AD75" s="132">
        <f t="shared" si="4"/>
        <v>-10000</v>
      </c>
      <c r="AE75" s="132">
        <f t="shared" ref="AE75:AS75" si="147">H75-1000</f>
        <v>-1000</v>
      </c>
      <c r="AF75" s="132">
        <f t="shared" si="147"/>
        <v>-1000</v>
      </c>
      <c r="AG75" s="132">
        <f t="shared" si="147"/>
        <v>-1000</v>
      </c>
      <c r="AH75" s="132">
        <f t="shared" si="147"/>
        <v>-1000</v>
      </c>
      <c r="AI75" s="132">
        <f t="shared" si="147"/>
        <v>-1000</v>
      </c>
      <c r="AJ75" s="132">
        <f t="shared" si="147"/>
        <v>-1000</v>
      </c>
      <c r="AK75" s="132">
        <f t="shared" si="147"/>
        <v>-1000</v>
      </c>
      <c r="AL75" s="132">
        <f t="shared" si="147"/>
        <v>-1000</v>
      </c>
      <c r="AM75" s="132">
        <f t="shared" si="147"/>
        <v>-1000</v>
      </c>
      <c r="AN75" s="132">
        <f t="shared" si="147"/>
        <v>-1000</v>
      </c>
      <c r="AO75" s="132">
        <f t="shared" si="147"/>
        <v>-1000</v>
      </c>
      <c r="AP75" s="132">
        <f t="shared" si="147"/>
        <v>-1000</v>
      </c>
      <c r="AQ75" s="132">
        <f t="shared" si="147"/>
        <v>-1000</v>
      </c>
      <c r="AR75" s="132">
        <f t="shared" si="147"/>
        <v>-1000</v>
      </c>
      <c r="AS75" s="132">
        <f t="shared" si="147"/>
        <v>-1000</v>
      </c>
    </row>
    <row r="76">
      <c r="A76" s="132" t="s">
        <v>3578</v>
      </c>
      <c r="B76" s="132">
        <v>100.0</v>
      </c>
      <c r="C76" s="132">
        <v>0.0</v>
      </c>
      <c r="D76" s="132">
        <v>0.0</v>
      </c>
      <c r="E76" s="132">
        <v>0.0</v>
      </c>
      <c r="F76" s="132">
        <v>0.0</v>
      </c>
      <c r="G76" s="132">
        <v>100.0</v>
      </c>
      <c r="H76" s="132">
        <v>0.0</v>
      </c>
      <c r="I76" s="132">
        <v>0.0</v>
      </c>
      <c r="J76" s="132">
        <v>0.0</v>
      </c>
      <c r="K76" s="132">
        <v>0.0</v>
      </c>
      <c r="L76" s="132">
        <v>0.0</v>
      </c>
      <c r="M76" s="132">
        <v>0.0</v>
      </c>
      <c r="N76" s="132">
        <v>0.0</v>
      </c>
      <c r="O76" s="132">
        <v>0.0</v>
      </c>
      <c r="P76" s="132">
        <v>0.0</v>
      </c>
      <c r="Q76" s="132">
        <v>0.0</v>
      </c>
      <c r="R76" s="132">
        <v>0.0</v>
      </c>
      <c r="S76" s="132">
        <v>0.0</v>
      </c>
      <c r="T76" s="132">
        <v>0.0</v>
      </c>
      <c r="U76" s="132">
        <v>0.0</v>
      </c>
      <c r="V76" s="132">
        <v>0.0</v>
      </c>
      <c r="W76" s="132">
        <v>0.0</v>
      </c>
      <c r="Y76" s="132" t="s">
        <v>3578</v>
      </c>
      <c r="Z76" s="132">
        <f t="shared" ref="Z76:AC76" si="148">C76-1000</f>
        <v>-1000</v>
      </c>
      <c r="AA76" s="132">
        <f t="shared" si="148"/>
        <v>-1000</v>
      </c>
      <c r="AB76" s="132">
        <f t="shared" si="148"/>
        <v>-1000</v>
      </c>
      <c r="AC76" s="132">
        <f t="shared" si="148"/>
        <v>-1000</v>
      </c>
      <c r="AD76" s="132">
        <f t="shared" si="4"/>
        <v>-9900</v>
      </c>
      <c r="AE76" s="132">
        <f t="shared" ref="AE76:AS76" si="149">H76-1000</f>
        <v>-1000</v>
      </c>
      <c r="AF76" s="132">
        <f t="shared" si="149"/>
        <v>-1000</v>
      </c>
      <c r="AG76" s="132">
        <f t="shared" si="149"/>
        <v>-1000</v>
      </c>
      <c r="AH76" s="132">
        <f t="shared" si="149"/>
        <v>-1000</v>
      </c>
      <c r="AI76" s="132">
        <f t="shared" si="149"/>
        <v>-1000</v>
      </c>
      <c r="AJ76" s="132">
        <f t="shared" si="149"/>
        <v>-1000</v>
      </c>
      <c r="AK76" s="132">
        <f t="shared" si="149"/>
        <v>-1000</v>
      </c>
      <c r="AL76" s="132">
        <f t="shared" si="149"/>
        <v>-1000</v>
      </c>
      <c r="AM76" s="132">
        <f t="shared" si="149"/>
        <v>-1000</v>
      </c>
      <c r="AN76" s="132">
        <f t="shared" si="149"/>
        <v>-1000</v>
      </c>
      <c r="AO76" s="132">
        <f t="shared" si="149"/>
        <v>-1000</v>
      </c>
      <c r="AP76" s="132">
        <f t="shared" si="149"/>
        <v>-1000</v>
      </c>
      <c r="AQ76" s="132">
        <f t="shared" si="149"/>
        <v>-1000</v>
      </c>
      <c r="AR76" s="132">
        <f t="shared" si="149"/>
        <v>-1000</v>
      </c>
      <c r="AS76" s="132">
        <f t="shared" si="149"/>
        <v>-1000</v>
      </c>
    </row>
    <row r="77">
      <c r="A77" s="132" t="s">
        <v>3579</v>
      </c>
      <c r="B77" s="132">
        <v>2500.0</v>
      </c>
      <c r="C77" s="132">
        <v>0.0</v>
      </c>
      <c r="D77" s="132">
        <v>0.0</v>
      </c>
      <c r="E77" s="132">
        <v>0.0</v>
      </c>
      <c r="F77" s="132">
        <v>0.0</v>
      </c>
      <c r="G77" s="132">
        <v>2500.0</v>
      </c>
      <c r="H77" s="132">
        <v>0.0</v>
      </c>
      <c r="I77" s="132">
        <v>0.0</v>
      </c>
      <c r="J77" s="132">
        <v>0.0</v>
      </c>
      <c r="K77" s="132">
        <v>0.0</v>
      </c>
      <c r="L77" s="132">
        <v>0.0</v>
      </c>
      <c r="M77" s="132">
        <v>0.0</v>
      </c>
      <c r="N77" s="132">
        <v>0.0</v>
      </c>
      <c r="O77" s="132">
        <v>0.0</v>
      </c>
      <c r="P77" s="132">
        <v>0.0</v>
      </c>
      <c r="Q77" s="132">
        <v>0.0</v>
      </c>
      <c r="R77" s="132">
        <v>0.0</v>
      </c>
      <c r="S77" s="132">
        <v>0.0</v>
      </c>
      <c r="T77" s="132">
        <v>0.0</v>
      </c>
      <c r="U77" s="132">
        <v>0.0</v>
      </c>
      <c r="V77" s="132">
        <v>0.0</v>
      </c>
      <c r="W77" s="132">
        <v>0.0</v>
      </c>
      <c r="Y77" s="132" t="s">
        <v>3579</v>
      </c>
      <c r="Z77" s="132">
        <f t="shared" ref="Z77:AC77" si="150">C77-1000</f>
        <v>-1000</v>
      </c>
      <c r="AA77" s="132">
        <f t="shared" si="150"/>
        <v>-1000</v>
      </c>
      <c r="AB77" s="132">
        <f t="shared" si="150"/>
        <v>-1000</v>
      </c>
      <c r="AC77" s="132">
        <f t="shared" si="150"/>
        <v>-1000</v>
      </c>
      <c r="AD77" s="132">
        <f t="shared" si="4"/>
        <v>-7500</v>
      </c>
      <c r="AE77" s="132">
        <f t="shared" ref="AE77:AS77" si="151">H77-1000</f>
        <v>-1000</v>
      </c>
      <c r="AF77" s="132">
        <f t="shared" si="151"/>
        <v>-1000</v>
      </c>
      <c r="AG77" s="132">
        <f t="shared" si="151"/>
        <v>-1000</v>
      </c>
      <c r="AH77" s="132">
        <f t="shared" si="151"/>
        <v>-1000</v>
      </c>
      <c r="AI77" s="132">
        <f t="shared" si="151"/>
        <v>-1000</v>
      </c>
      <c r="AJ77" s="132">
        <f t="shared" si="151"/>
        <v>-1000</v>
      </c>
      <c r="AK77" s="132">
        <f t="shared" si="151"/>
        <v>-1000</v>
      </c>
      <c r="AL77" s="132">
        <f t="shared" si="151"/>
        <v>-1000</v>
      </c>
      <c r="AM77" s="132">
        <f t="shared" si="151"/>
        <v>-1000</v>
      </c>
      <c r="AN77" s="132">
        <f t="shared" si="151"/>
        <v>-1000</v>
      </c>
      <c r="AO77" s="132">
        <f t="shared" si="151"/>
        <v>-1000</v>
      </c>
      <c r="AP77" s="132">
        <f t="shared" si="151"/>
        <v>-1000</v>
      </c>
      <c r="AQ77" s="132">
        <f t="shared" si="151"/>
        <v>-1000</v>
      </c>
      <c r="AR77" s="132">
        <f t="shared" si="151"/>
        <v>-1000</v>
      </c>
      <c r="AS77" s="132">
        <f t="shared" si="151"/>
        <v>-1000</v>
      </c>
    </row>
    <row r="78">
      <c r="A78" s="132" t="s">
        <v>3580</v>
      </c>
      <c r="B78" s="132">
        <v>6100.0</v>
      </c>
      <c r="C78" s="132">
        <v>1900.0</v>
      </c>
      <c r="D78" s="132">
        <v>0.0</v>
      </c>
      <c r="E78" s="132">
        <v>2000.0</v>
      </c>
      <c r="F78" s="132">
        <v>200.0</v>
      </c>
      <c r="G78" s="132">
        <v>2000.0</v>
      </c>
      <c r="H78" s="132">
        <v>0.0</v>
      </c>
      <c r="I78" s="132">
        <v>0.0</v>
      </c>
      <c r="J78" s="132">
        <v>0.0</v>
      </c>
      <c r="K78" s="132">
        <v>0.0</v>
      </c>
      <c r="L78" s="132">
        <v>0.0</v>
      </c>
      <c r="M78" s="132">
        <v>0.0</v>
      </c>
      <c r="N78" s="132">
        <v>0.0</v>
      </c>
      <c r="O78" s="132">
        <v>0.0</v>
      </c>
      <c r="P78" s="132">
        <v>0.0</v>
      </c>
      <c r="Q78" s="132">
        <v>0.0</v>
      </c>
      <c r="R78" s="132">
        <v>0.0</v>
      </c>
      <c r="S78" s="132">
        <v>0.0</v>
      </c>
      <c r="T78" s="132">
        <v>0.0</v>
      </c>
      <c r="U78" s="132">
        <v>0.0</v>
      </c>
      <c r="V78" s="132">
        <v>0.0</v>
      </c>
      <c r="W78" s="132">
        <v>1.0</v>
      </c>
      <c r="Y78" s="132" t="s">
        <v>3580</v>
      </c>
      <c r="Z78" s="132">
        <f t="shared" ref="Z78:AC78" si="152">C78-1000</f>
        <v>900</v>
      </c>
      <c r="AA78" s="132">
        <f t="shared" si="152"/>
        <v>-1000</v>
      </c>
      <c r="AB78" s="132">
        <f t="shared" si="152"/>
        <v>1000</v>
      </c>
      <c r="AC78" s="132">
        <f t="shared" si="152"/>
        <v>-800</v>
      </c>
      <c r="AD78" s="132">
        <f t="shared" si="4"/>
        <v>-8000</v>
      </c>
      <c r="AE78" s="132">
        <f t="shared" ref="AE78:AS78" si="153">H78-1000</f>
        <v>-1000</v>
      </c>
      <c r="AF78" s="132">
        <f t="shared" si="153"/>
        <v>-1000</v>
      </c>
      <c r="AG78" s="132">
        <f t="shared" si="153"/>
        <v>-1000</v>
      </c>
      <c r="AH78" s="132">
        <f t="shared" si="153"/>
        <v>-1000</v>
      </c>
      <c r="AI78" s="132">
        <f t="shared" si="153"/>
        <v>-1000</v>
      </c>
      <c r="AJ78" s="132">
        <f t="shared" si="153"/>
        <v>-1000</v>
      </c>
      <c r="AK78" s="132">
        <f t="shared" si="153"/>
        <v>-1000</v>
      </c>
      <c r="AL78" s="132">
        <f t="shared" si="153"/>
        <v>-1000</v>
      </c>
      <c r="AM78" s="132">
        <f t="shared" si="153"/>
        <v>-1000</v>
      </c>
      <c r="AN78" s="132">
        <f t="shared" si="153"/>
        <v>-1000</v>
      </c>
      <c r="AO78" s="132">
        <f t="shared" si="153"/>
        <v>-1000</v>
      </c>
      <c r="AP78" s="132">
        <f t="shared" si="153"/>
        <v>-1000</v>
      </c>
      <c r="AQ78" s="132">
        <f t="shared" si="153"/>
        <v>-1000</v>
      </c>
      <c r="AR78" s="132">
        <f t="shared" si="153"/>
        <v>-1000</v>
      </c>
      <c r="AS78" s="132">
        <f t="shared" si="153"/>
        <v>-1000</v>
      </c>
    </row>
    <row r="79">
      <c r="A79" s="132" t="s">
        <v>3581</v>
      </c>
      <c r="B79" s="132">
        <v>150.0</v>
      </c>
      <c r="C79" s="132">
        <v>0.0</v>
      </c>
      <c r="D79" s="132">
        <v>150.0</v>
      </c>
      <c r="E79" s="132">
        <v>0.0</v>
      </c>
      <c r="F79" s="132">
        <v>0.0</v>
      </c>
      <c r="G79" s="132">
        <v>0.0</v>
      </c>
      <c r="H79" s="132">
        <v>0.0</v>
      </c>
      <c r="I79" s="132">
        <v>0.0</v>
      </c>
      <c r="J79" s="132">
        <v>0.0</v>
      </c>
      <c r="K79" s="132">
        <v>0.0</v>
      </c>
      <c r="L79" s="132">
        <v>0.0</v>
      </c>
      <c r="M79" s="132">
        <v>0.0</v>
      </c>
      <c r="N79" s="132">
        <v>0.0</v>
      </c>
      <c r="O79" s="132">
        <v>0.0</v>
      </c>
      <c r="P79" s="132">
        <v>0.0</v>
      </c>
      <c r="Q79" s="132">
        <v>0.0</v>
      </c>
      <c r="R79" s="132">
        <v>0.0</v>
      </c>
      <c r="S79" s="132">
        <v>0.0</v>
      </c>
      <c r="T79" s="132">
        <v>0.0</v>
      </c>
      <c r="U79" s="132">
        <v>0.0</v>
      </c>
      <c r="V79" s="132">
        <v>0.0</v>
      </c>
      <c r="W79" s="132">
        <v>0.0</v>
      </c>
      <c r="Y79" s="132" t="s">
        <v>3581</v>
      </c>
      <c r="Z79" s="132">
        <f t="shared" ref="Z79:AC79" si="154">C79-1000</f>
        <v>-1000</v>
      </c>
      <c r="AA79" s="132">
        <f t="shared" si="154"/>
        <v>-850</v>
      </c>
      <c r="AB79" s="132">
        <f t="shared" si="154"/>
        <v>-1000</v>
      </c>
      <c r="AC79" s="132">
        <f t="shared" si="154"/>
        <v>-1000</v>
      </c>
      <c r="AD79" s="132">
        <f t="shared" si="4"/>
        <v>-10000</v>
      </c>
      <c r="AE79" s="132">
        <f t="shared" ref="AE79:AS79" si="155">H79-1000</f>
        <v>-1000</v>
      </c>
      <c r="AF79" s="132">
        <f t="shared" si="155"/>
        <v>-1000</v>
      </c>
      <c r="AG79" s="132">
        <f t="shared" si="155"/>
        <v>-1000</v>
      </c>
      <c r="AH79" s="132">
        <f t="shared" si="155"/>
        <v>-1000</v>
      </c>
      <c r="AI79" s="132">
        <f t="shared" si="155"/>
        <v>-1000</v>
      </c>
      <c r="AJ79" s="132">
        <f t="shared" si="155"/>
        <v>-1000</v>
      </c>
      <c r="AK79" s="132">
        <f t="shared" si="155"/>
        <v>-1000</v>
      </c>
      <c r="AL79" s="132">
        <f t="shared" si="155"/>
        <v>-1000</v>
      </c>
      <c r="AM79" s="132">
        <f t="shared" si="155"/>
        <v>-1000</v>
      </c>
      <c r="AN79" s="132">
        <f t="shared" si="155"/>
        <v>-1000</v>
      </c>
      <c r="AO79" s="132">
        <f t="shared" si="155"/>
        <v>-1000</v>
      </c>
      <c r="AP79" s="132">
        <f t="shared" si="155"/>
        <v>-1000</v>
      </c>
      <c r="AQ79" s="132">
        <f t="shared" si="155"/>
        <v>-1000</v>
      </c>
      <c r="AR79" s="132">
        <f t="shared" si="155"/>
        <v>-1000</v>
      </c>
      <c r="AS79" s="132">
        <f t="shared" si="155"/>
        <v>-1000</v>
      </c>
    </row>
    <row r="80">
      <c r="A80" s="132" t="s">
        <v>3582</v>
      </c>
      <c r="B80" s="132">
        <v>100.0</v>
      </c>
      <c r="C80" s="132">
        <v>0.0</v>
      </c>
      <c r="D80" s="132">
        <v>0.0</v>
      </c>
      <c r="E80" s="132">
        <v>0.0</v>
      </c>
      <c r="F80" s="132">
        <v>0.0</v>
      </c>
      <c r="G80" s="132">
        <v>0.0</v>
      </c>
      <c r="H80" s="132">
        <v>0.0</v>
      </c>
      <c r="I80" s="132">
        <v>100.0</v>
      </c>
      <c r="J80" s="132">
        <v>0.0</v>
      </c>
      <c r="K80" s="132">
        <v>0.0</v>
      </c>
      <c r="L80" s="132">
        <v>0.0</v>
      </c>
      <c r="M80" s="132">
        <v>0.0</v>
      </c>
      <c r="N80" s="132">
        <v>0.0</v>
      </c>
      <c r="O80" s="132">
        <v>0.0</v>
      </c>
      <c r="P80" s="132">
        <v>0.0</v>
      </c>
      <c r="Q80" s="132">
        <v>0.0</v>
      </c>
      <c r="R80" s="132">
        <v>0.0</v>
      </c>
      <c r="S80" s="132">
        <v>0.0</v>
      </c>
      <c r="T80" s="132">
        <v>0.0</v>
      </c>
      <c r="U80" s="132">
        <v>0.0</v>
      </c>
      <c r="V80" s="132">
        <v>0.0</v>
      </c>
      <c r="W80" s="132">
        <v>0.0</v>
      </c>
      <c r="Y80" s="132" t="s">
        <v>3582</v>
      </c>
      <c r="Z80" s="132">
        <f t="shared" ref="Z80:AC80" si="156">C80-1000</f>
        <v>-1000</v>
      </c>
      <c r="AA80" s="132">
        <f t="shared" si="156"/>
        <v>-1000</v>
      </c>
      <c r="AB80" s="132">
        <f t="shared" si="156"/>
        <v>-1000</v>
      </c>
      <c r="AC80" s="132">
        <f t="shared" si="156"/>
        <v>-1000</v>
      </c>
      <c r="AD80" s="132">
        <f t="shared" si="4"/>
        <v>-10000</v>
      </c>
      <c r="AE80" s="132">
        <f t="shared" ref="AE80:AS80" si="157">H80-1000</f>
        <v>-1000</v>
      </c>
      <c r="AF80" s="132">
        <f t="shared" si="157"/>
        <v>-900</v>
      </c>
      <c r="AG80" s="132">
        <f t="shared" si="157"/>
        <v>-1000</v>
      </c>
      <c r="AH80" s="132">
        <f t="shared" si="157"/>
        <v>-1000</v>
      </c>
      <c r="AI80" s="132">
        <f t="shared" si="157"/>
        <v>-1000</v>
      </c>
      <c r="AJ80" s="132">
        <f t="shared" si="157"/>
        <v>-1000</v>
      </c>
      <c r="AK80" s="132">
        <f t="shared" si="157"/>
        <v>-1000</v>
      </c>
      <c r="AL80" s="132">
        <f t="shared" si="157"/>
        <v>-1000</v>
      </c>
      <c r="AM80" s="132">
        <f t="shared" si="157"/>
        <v>-1000</v>
      </c>
      <c r="AN80" s="132">
        <f t="shared" si="157"/>
        <v>-1000</v>
      </c>
      <c r="AO80" s="132">
        <f t="shared" si="157"/>
        <v>-1000</v>
      </c>
      <c r="AP80" s="132">
        <f t="shared" si="157"/>
        <v>-1000</v>
      </c>
      <c r="AQ80" s="132">
        <f t="shared" si="157"/>
        <v>-1000</v>
      </c>
      <c r="AR80" s="132">
        <f t="shared" si="157"/>
        <v>-1000</v>
      </c>
      <c r="AS80" s="132">
        <f t="shared" si="157"/>
        <v>-1000</v>
      </c>
    </row>
    <row r="81">
      <c r="A81" s="132" t="s">
        <v>3583</v>
      </c>
      <c r="B81" s="132">
        <v>2000.0</v>
      </c>
      <c r="C81" s="132">
        <v>0.0</v>
      </c>
      <c r="D81" s="132">
        <v>0.0</v>
      </c>
      <c r="E81" s="132">
        <v>0.0</v>
      </c>
      <c r="F81" s="132">
        <v>0.0</v>
      </c>
      <c r="G81" s="132">
        <v>2000.0</v>
      </c>
      <c r="H81" s="132">
        <v>0.0</v>
      </c>
      <c r="I81" s="132">
        <v>0.0</v>
      </c>
      <c r="J81" s="132">
        <v>0.0</v>
      </c>
      <c r="K81" s="132">
        <v>0.0</v>
      </c>
      <c r="L81" s="132">
        <v>0.0</v>
      </c>
      <c r="M81" s="132">
        <v>0.0</v>
      </c>
      <c r="N81" s="132">
        <v>0.0</v>
      </c>
      <c r="O81" s="132">
        <v>0.0</v>
      </c>
      <c r="P81" s="132">
        <v>0.0</v>
      </c>
      <c r="Q81" s="132">
        <v>0.0</v>
      </c>
      <c r="R81" s="132">
        <v>0.0</v>
      </c>
      <c r="S81" s="132">
        <v>0.0</v>
      </c>
      <c r="T81" s="132">
        <v>0.0</v>
      </c>
      <c r="U81" s="132">
        <v>0.0</v>
      </c>
      <c r="V81" s="132">
        <v>0.0</v>
      </c>
      <c r="W81" s="132">
        <v>0.0</v>
      </c>
      <c r="Y81" s="132" t="s">
        <v>3583</v>
      </c>
      <c r="Z81" s="132">
        <f t="shared" ref="Z81:AC81" si="158">C81-1000</f>
        <v>-1000</v>
      </c>
      <c r="AA81" s="132">
        <f t="shared" si="158"/>
        <v>-1000</v>
      </c>
      <c r="AB81" s="132">
        <f t="shared" si="158"/>
        <v>-1000</v>
      </c>
      <c r="AC81" s="132">
        <f t="shared" si="158"/>
        <v>-1000</v>
      </c>
      <c r="AD81" s="132">
        <f t="shared" si="4"/>
        <v>-8000</v>
      </c>
      <c r="AE81" s="132">
        <f t="shared" ref="AE81:AS81" si="159">H81-1000</f>
        <v>-1000</v>
      </c>
      <c r="AF81" s="132">
        <f t="shared" si="159"/>
        <v>-1000</v>
      </c>
      <c r="AG81" s="132">
        <f t="shared" si="159"/>
        <v>-1000</v>
      </c>
      <c r="AH81" s="132">
        <f t="shared" si="159"/>
        <v>-1000</v>
      </c>
      <c r="AI81" s="132">
        <f t="shared" si="159"/>
        <v>-1000</v>
      </c>
      <c r="AJ81" s="132">
        <f t="shared" si="159"/>
        <v>-1000</v>
      </c>
      <c r="AK81" s="132">
        <f t="shared" si="159"/>
        <v>-1000</v>
      </c>
      <c r="AL81" s="132">
        <f t="shared" si="159"/>
        <v>-1000</v>
      </c>
      <c r="AM81" s="132">
        <f t="shared" si="159"/>
        <v>-1000</v>
      </c>
      <c r="AN81" s="132">
        <f t="shared" si="159"/>
        <v>-1000</v>
      </c>
      <c r="AO81" s="132">
        <f t="shared" si="159"/>
        <v>-1000</v>
      </c>
      <c r="AP81" s="132">
        <f t="shared" si="159"/>
        <v>-1000</v>
      </c>
      <c r="AQ81" s="132">
        <f t="shared" si="159"/>
        <v>-1000</v>
      </c>
      <c r="AR81" s="132">
        <f t="shared" si="159"/>
        <v>-1000</v>
      </c>
      <c r="AS81" s="132">
        <f t="shared" si="159"/>
        <v>-1000</v>
      </c>
    </row>
    <row r="82">
      <c r="A82" s="132" t="s">
        <v>3584</v>
      </c>
      <c r="B82" s="132">
        <v>1900.0</v>
      </c>
      <c r="C82" s="132">
        <v>1900.0</v>
      </c>
      <c r="D82" s="132">
        <v>0.0</v>
      </c>
      <c r="E82" s="132">
        <v>0.0</v>
      </c>
      <c r="F82" s="132">
        <v>0.0</v>
      </c>
      <c r="G82" s="132">
        <v>0.0</v>
      </c>
      <c r="H82" s="132">
        <v>0.0</v>
      </c>
      <c r="I82" s="132">
        <v>0.0</v>
      </c>
      <c r="J82" s="132">
        <v>0.0</v>
      </c>
      <c r="K82" s="132">
        <v>0.0</v>
      </c>
      <c r="L82" s="132">
        <v>0.0</v>
      </c>
      <c r="M82" s="132">
        <v>0.0</v>
      </c>
      <c r="N82" s="132">
        <v>0.0</v>
      </c>
      <c r="O82" s="132">
        <v>0.0</v>
      </c>
      <c r="P82" s="132">
        <v>0.0</v>
      </c>
      <c r="Q82" s="132">
        <v>0.0</v>
      </c>
      <c r="R82" s="132">
        <v>0.0</v>
      </c>
      <c r="S82" s="132">
        <v>0.0</v>
      </c>
      <c r="T82" s="132">
        <v>0.0</v>
      </c>
      <c r="U82" s="132">
        <v>0.0</v>
      </c>
      <c r="V82" s="132">
        <v>0.0</v>
      </c>
      <c r="W82" s="132">
        <v>0.0</v>
      </c>
      <c r="Y82" s="132" t="s">
        <v>3584</v>
      </c>
      <c r="Z82" s="132">
        <f t="shared" ref="Z82:AC82" si="160">C82-1000</f>
        <v>900</v>
      </c>
      <c r="AA82" s="132">
        <f t="shared" si="160"/>
        <v>-1000</v>
      </c>
      <c r="AB82" s="132">
        <f t="shared" si="160"/>
        <v>-1000</v>
      </c>
      <c r="AC82" s="132">
        <f t="shared" si="160"/>
        <v>-1000</v>
      </c>
      <c r="AD82" s="132">
        <f t="shared" si="4"/>
        <v>-10000</v>
      </c>
      <c r="AE82" s="132">
        <f t="shared" ref="AE82:AS82" si="161">H82-1000</f>
        <v>-1000</v>
      </c>
      <c r="AF82" s="132">
        <f t="shared" si="161"/>
        <v>-1000</v>
      </c>
      <c r="AG82" s="132">
        <f t="shared" si="161"/>
        <v>-1000</v>
      </c>
      <c r="AH82" s="132">
        <f t="shared" si="161"/>
        <v>-1000</v>
      </c>
      <c r="AI82" s="132">
        <f t="shared" si="161"/>
        <v>-1000</v>
      </c>
      <c r="AJ82" s="132">
        <f t="shared" si="161"/>
        <v>-1000</v>
      </c>
      <c r="AK82" s="132">
        <f t="shared" si="161"/>
        <v>-1000</v>
      </c>
      <c r="AL82" s="132">
        <f t="shared" si="161"/>
        <v>-1000</v>
      </c>
      <c r="AM82" s="132">
        <f t="shared" si="161"/>
        <v>-1000</v>
      </c>
      <c r="AN82" s="132">
        <f t="shared" si="161"/>
        <v>-1000</v>
      </c>
      <c r="AO82" s="132">
        <f t="shared" si="161"/>
        <v>-1000</v>
      </c>
      <c r="AP82" s="132">
        <f t="shared" si="161"/>
        <v>-1000</v>
      </c>
      <c r="AQ82" s="132">
        <f t="shared" si="161"/>
        <v>-1000</v>
      </c>
      <c r="AR82" s="132">
        <f t="shared" si="161"/>
        <v>-1000</v>
      </c>
      <c r="AS82" s="132">
        <f t="shared" si="161"/>
        <v>-1000</v>
      </c>
    </row>
    <row r="83">
      <c r="A83" s="132" t="s">
        <v>3585</v>
      </c>
      <c r="B83" s="132">
        <v>1000.0</v>
      </c>
      <c r="C83" s="132">
        <v>0.0</v>
      </c>
      <c r="D83" s="132">
        <v>0.0</v>
      </c>
      <c r="E83" s="132">
        <v>0.0</v>
      </c>
      <c r="F83" s="132">
        <v>0.0</v>
      </c>
      <c r="G83" s="132">
        <v>0.0</v>
      </c>
      <c r="H83" s="132">
        <v>0.0</v>
      </c>
      <c r="I83" s="132">
        <v>0.0</v>
      </c>
      <c r="J83" s="132">
        <v>0.0</v>
      </c>
      <c r="K83" s="132">
        <v>0.0</v>
      </c>
      <c r="L83" s="132">
        <v>0.0</v>
      </c>
      <c r="M83" s="132">
        <v>1000.0</v>
      </c>
      <c r="N83" s="132">
        <v>0.0</v>
      </c>
      <c r="O83" s="132">
        <v>0.0</v>
      </c>
      <c r="P83" s="132">
        <v>0.0</v>
      </c>
      <c r="Q83" s="132">
        <v>0.0</v>
      </c>
      <c r="R83" s="132">
        <v>0.0</v>
      </c>
      <c r="S83" s="132">
        <v>0.0</v>
      </c>
      <c r="T83" s="132">
        <v>0.0</v>
      </c>
      <c r="U83" s="132">
        <v>0.0</v>
      </c>
      <c r="V83" s="132">
        <v>0.0</v>
      </c>
      <c r="W83" s="132">
        <v>0.0</v>
      </c>
      <c r="Y83" s="132" t="s">
        <v>3585</v>
      </c>
      <c r="Z83" s="132">
        <f t="shared" ref="Z83:AC83" si="162">C83-1000</f>
        <v>-1000</v>
      </c>
      <c r="AA83" s="132">
        <f t="shared" si="162"/>
        <v>-1000</v>
      </c>
      <c r="AB83" s="132">
        <f t="shared" si="162"/>
        <v>-1000</v>
      </c>
      <c r="AC83" s="132">
        <f t="shared" si="162"/>
        <v>-1000</v>
      </c>
      <c r="AD83" s="132">
        <f t="shared" si="4"/>
        <v>-10000</v>
      </c>
      <c r="AE83" s="132">
        <f t="shared" ref="AE83:AS83" si="163">H83-1000</f>
        <v>-1000</v>
      </c>
      <c r="AF83" s="132">
        <f t="shared" si="163"/>
        <v>-1000</v>
      </c>
      <c r="AG83" s="132">
        <f t="shared" si="163"/>
        <v>-1000</v>
      </c>
      <c r="AH83" s="132">
        <f t="shared" si="163"/>
        <v>-1000</v>
      </c>
      <c r="AI83" s="132">
        <f t="shared" si="163"/>
        <v>-1000</v>
      </c>
      <c r="AJ83" s="132">
        <f t="shared" si="163"/>
        <v>0</v>
      </c>
      <c r="AK83" s="132">
        <f t="shared" si="163"/>
        <v>-1000</v>
      </c>
      <c r="AL83" s="132">
        <f t="shared" si="163"/>
        <v>-1000</v>
      </c>
      <c r="AM83" s="132">
        <f t="shared" si="163"/>
        <v>-1000</v>
      </c>
      <c r="AN83" s="132">
        <f t="shared" si="163"/>
        <v>-1000</v>
      </c>
      <c r="AO83" s="132">
        <f t="shared" si="163"/>
        <v>-1000</v>
      </c>
      <c r="AP83" s="132">
        <f t="shared" si="163"/>
        <v>-1000</v>
      </c>
      <c r="AQ83" s="132">
        <f t="shared" si="163"/>
        <v>-1000</v>
      </c>
      <c r="AR83" s="132">
        <f t="shared" si="163"/>
        <v>-1000</v>
      </c>
      <c r="AS83" s="132">
        <f t="shared" si="163"/>
        <v>-1000</v>
      </c>
    </row>
    <row r="84">
      <c r="A84" s="132" t="s">
        <v>3586</v>
      </c>
      <c r="B84" s="132">
        <v>1000.0</v>
      </c>
      <c r="C84" s="132">
        <v>0.0</v>
      </c>
      <c r="D84" s="132">
        <v>0.0</v>
      </c>
      <c r="E84" s="132">
        <v>0.0</v>
      </c>
      <c r="F84" s="132">
        <v>0.0</v>
      </c>
      <c r="G84" s="132">
        <v>0.0</v>
      </c>
      <c r="H84" s="132">
        <v>0.0</v>
      </c>
      <c r="I84" s="132">
        <v>0.0</v>
      </c>
      <c r="J84" s="132">
        <v>0.0</v>
      </c>
      <c r="K84" s="132">
        <v>0.0</v>
      </c>
      <c r="L84" s="132">
        <v>1000.0</v>
      </c>
      <c r="M84" s="132">
        <v>0.0</v>
      </c>
      <c r="N84" s="132">
        <v>0.0</v>
      </c>
      <c r="O84" s="132">
        <v>0.0</v>
      </c>
      <c r="P84" s="132">
        <v>0.0</v>
      </c>
      <c r="Q84" s="132">
        <v>0.0</v>
      </c>
      <c r="R84" s="132">
        <v>0.0</v>
      </c>
      <c r="S84" s="132">
        <v>0.0</v>
      </c>
      <c r="T84" s="132">
        <v>0.0</v>
      </c>
      <c r="U84" s="132">
        <v>0.0</v>
      </c>
      <c r="V84" s="132">
        <v>0.0</v>
      </c>
      <c r="W84" s="132">
        <v>0.0</v>
      </c>
      <c r="Y84" s="132" t="s">
        <v>3586</v>
      </c>
      <c r="Z84" s="132">
        <f t="shared" ref="Z84:AC84" si="164">C84-1000</f>
        <v>-1000</v>
      </c>
      <c r="AA84" s="132">
        <f t="shared" si="164"/>
        <v>-1000</v>
      </c>
      <c r="AB84" s="132">
        <f t="shared" si="164"/>
        <v>-1000</v>
      </c>
      <c r="AC84" s="132">
        <f t="shared" si="164"/>
        <v>-1000</v>
      </c>
      <c r="AD84" s="132">
        <f t="shared" si="4"/>
        <v>-10000</v>
      </c>
      <c r="AE84" s="132">
        <f t="shared" ref="AE84:AS84" si="165">H84-1000</f>
        <v>-1000</v>
      </c>
      <c r="AF84" s="132">
        <f t="shared" si="165"/>
        <v>-1000</v>
      </c>
      <c r="AG84" s="132">
        <f t="shared" si="165"/>
        <v>-1000</v>
      </c>
      <c r="AH84" s="132">
        <f t="shared" si="165"/>
        <v>-1000</v>
      </c>
      <c r="AI84" s="132">
        <f t="shared" si="165"/>
        <v>0</v>
      </c>
      <c r="AJ84" s="132">
        <f t="shared" si="165"/>
        <v>-1000</v>
      </c>
      <c r="AK84" s="132">
        <f t="shared" si="165"/>
        <v>-1000</v>
      </c>
      <c r="AL84" s="132">
        <f t="shared" si="165"/>
        <v>-1000</v>
      </c>
      <c r="AM84" s="132">
        <f t="shared" si="165"/>
        <v>-1000</v>
      </c>
      <c r="AN84" s="132">
        <f t="shared" si="165"/>
        <v>-1000</v>
      </c>
      <c r="AO84" s="132">
        <f t="shared" si="165"/>
        <v>-1000</v>
      </c>
      <c r="AP84" s="132">
        <f t="shared" si="165"/>
        <v>-1000</v>
      </c>
      <c r="AQ84" s="132">
        <f t="shared" si="165"/>
        <v>-1000</v>
      </c>
      <c r="AR84" s="132">
        <f t="shared" si="165"/>
        <v>-1000</v>
      </c>
      <c r="AS84" s="132">
        <f t="shared" si="165"/>
        <v>-1000</v>
      </c>
    </row>
    <row r="85">
      <c r="A85" s="132" t="s">
        <v>3587</v>
      </c>
      <c r="B85" s="132">
        <v>500.0</v>
      </c>
      <c r="C85" s="132">
        <v>0.0</v>
      </c>
      <c r="D85" s="132">
        <v>0.0</v>
      </c>
      <c r="E85" s="132">
        <v>0.0</v>
      </c>
      <c r="F85" s="132">
        <v>0.0</v>
      </c>
      <c r="G85" s="132">
        <v>0.0</v>
      </c>
      <c r="H85" s="132">
        <v>0.0</v>
      </c>
      <c r="I85" s="132">
        <v>0.0</v>
      </c>
      <c r="J85" s="132">
        <v>0.0</v>
      </c>
      <c r="K85" s="132">
        <v>0.0</v>
      </c>
      <c r="L85" s="132">
        <v>0.0</v>
      </c>
      <c r="M85" s="132">
        <v>500.0</v>
      </c>
      <c r="N85" s="132">
        <v>0.0</v>
      </c>
      <c r="O85" s="132">
        <v>0.0</v>
      </c>
      <c r="P85" s="132">
        <v>0.0</v>
      </c>
      <c r="Q85" s="132">
        <v>0.0</v>
      </c>
      <c r="R85" s="132">
        <v>0.0</v>
      </c>
      <c r="S85" s="132">
        <v>0.0</v>
      </c>
      <c r="T85" s="132">
        <v>0.0</v>
      </c>
      <c r="U85" s="132">
        <v>0.0</v>
      </c>
      <c r="V85" s="132">
        <v>0.0</v>
      </c>
      <c r="W85" s="132">
        <v>0.0</v>
      </c>
      <c r="Y85" s="132" t="s">
        <v>3587</v>
      </c>
      <c r="Z85" s="132">
        <f t="shared" ref="Z85:AC85" si="166">C85-1000</f>
        <v>-1000</v>
      </c>
      <c r="AA85" s="132">
        <f t="shared" si="166"/>
        <v>-1000</v>
      </c>
      <c r="AB85" s="132">
        <f t="shared" si="166"/>
        <v>-1000</v>
      </c>
      <c r="AC85" s="132">
        <f t="shared" si="166"/>
        <v>-1000</v>
      </c>
      <c r="AD85" s="132">
        <f t="shared" si="4"/>
        <v>-10000</v>
      </c>
      <c r="AE85" s="132">
        <f t="shared" ref="AE85:AS85" si="167">H85-1000</f>
        <v>-1000</v>
      </c>
      <c r="AF85" s="132">
        <f t="shared" si="167"/>
        <v>-1000</v>
      </c>
      <c r="AG85" s="132">
        <f t="shared" si="167"/>
        <v>-1000</v>
      </c>
      <c r="AH85" s="132">
        <f t="shared" si="167"/>
        <v>-1000</v>
      </c>
      <c r="AI85" s="132">
        <f t="shared" si="167"/>
        <v>-1000</v>
      </c>
      <c r="AJ85" s="132">
        <f t="shared" si="167"/>
        <v>-500</v>
      </c>
      <c r="AK85" s="132">
        <f t="shared" si="167"/>
        <v>-1000</v>
      </c>
      <c r="AL85" s="132">
        <f t="shared" si="167"/>
        <v>-1000</v>
      </c>
      <c r="AM85" s="132">
        <f t="shared" si="167"/>
        <v>-1000</v>
      </c>
      <c r="AN85" s="132">
        <f t="shared" si="167"/>
        <v>-1000</v>
      </c>
      <c r="AO85" s="132">
        <f t="shared" si="167"/>
        <v>-1000</v>
      </c>
      <c r="AP85" s="132">
        <f t="shared" si="167"/>
        <v>-1000</v>
      </c>
      <c r="AQ85" s="132">
        <f t="shared" si="167"/>
        <v>-1000</v>
      </c>
      <c r="AR85" s="132">
        <f t="shared" si="167"/>
        <v>-1000</v>
      </c>
      <c r="AS85" s="132">
        <f t="shared" si="167"/>
        <v>-1000</v>
      </c>
    </row>
    <row r="86">
      <c r="A86" s="132" t="s">
        <v>3588</v>
      </c>
      <c r="B86" s="132">
        <v>1500.0</v>
      </c>
      <c r="C86" s="132">
        <v>0.0</v>
      </c>
      <c r="D86" s="132">
        <v>0.0</v>
      </c>
      <c r="E86" s="132">
        <v>0.0</v>
      </c>
      <c r="F86" s="132">
        <v>1000.0</v>
      </c>
      <c r="G86" s="132">
        <v>500.0</v>
      </c>
      <c r="H86" s="132">
        <v>0.0</v>
      </c>
      <c r="I86" s="132">
        <v>0.0</v>
      </c>
      <c r="J86" s="132">
        <v>0.0</v>
      </c>
      <c r="K86" s="132">
        <v>0.0</v>
      </c>
      <c r="L86" s="132">
        <v>0.0</v>
      </c>
      <c r="M86" s="132">
        <v>0.0</v>
      </c>
      <c r="N86" s="132">
        <v>0.0</v>
      </c>
      <c r="O86" s="132">
        <v>0.0</v>
      </c>
      <c r="P86" s="132">
        <v>0.0</v>
      </c>
      <c r="Q86" s="132">
        <v>0.0</v>
      </c>
      <c r="R86" s="132">
        <v>0.0</v>
      </c>
      <c r="S86" s="132">
        <v>0.0</v>
      </c>
      <c r="T86" s="132">
        <v>0.0</v>
      </c>
      <c r="U86" s="132">
        <v>0.0</v>
      </c>
      <c r="V86" s="132">
        <v>0.0</v>
      </c>
      <c r="W86" s="132">
        <v>0.0</v>
      </c>
      <c r="Y86" s="132" t="s">
        <v>3588</v>
      </c>
      <c r="Z86" s="132">
        <f t="shared" ref="Z86:AC86" si="168">C86-1000</f>
        <v>-1000</v>
      </c>
      <c r="AA86" s="132">
        <f t="shared" si="168"/>
        <v>-1000</v>
      </c>
      <c r="AB86" s="132">
        <f t="shared" si="168"/>
        <v>-1000</v>
      </c>
      <c r="AC86" s="132">
        <f t="shared" si="168"/>
        <v>0</v>
      </c>
      <c r="AD86" s="132">
        <f t="shared" si="4"/>
        <v>-9500</v>
      </c>
      <c r="AE86" s="132">
        <f t="shared" ref="AE86:AS86" si="169">H86-1000</f>
        <v>-1000</v>
      </c>
      <c r="AF86" s="132">
        <f t="shared" si="169"/>
        <v>-1000</v>
      </c>
      <c r="AG86" s="132">
        <f t="shared" si="169"/>
        <v>-1000</v>
      </c>
      <c r="AH86" s="132">
        <f t="shared" si="169"/>
        <v>-1000</v>
      </c>
      <c r="AI86" s="132">
        <f t="shared" si="169"/>
        <v>-1000</v>
      </c>
      <c r="AJ86" s="132">
        <f t="shared" si="169"/>
        <v>-1000</v>
      </c>
      <c r="AK86" s="132">
        <f t="shared" si="169"/>
        <v>-1000</v>
      </c>
      <c r="AL86" s="132">
        <f t="shared" si="169"/>
        <v>-1000</v>
      </c>
      <c r="AM86" s="132">
        <f t="shared" si="169"/>
        <v>-1000</v>
      </c>
      <c r="AN86" s="132">
        <f t="shared" si="169"/>
        <v>-1000</v>
      </c>
      <c r="AO86" s="132">
        <f t="shared" si="169"/>
        <v>-1000</v>
      </c>
      <c r="AP86" s="132">
        <f t="shared" si="169"/>
        <v>-1000</v>
      </c>
      <c r="AQ86" s="132">
        <f t="shared" si="169"/>
        <v>-1000</v>
      </c>
      <c r="AR86" s="132">
        <f t="shared" si="169"/>
        <v>-1000</v>
      </c>
      <c r="AS86" s="132">
        <f t="shared" si="169"/>
        <v>-1000</v>
      </c>
    </row>
    <row r="87">
      <c r="A87" s="132" t="s">
        <v>3589</v>
      </c>
      <c r="B87" s="132">
        <v>500.0</v>
      </c>
      <c r="C87" s="132">
        <v>0.0</v>
      </c>
      <c r="D87" s="132">
        <v>0.0</v>
      </c>
      <c r="E87" s="132">
        <v>0.0</v>
      </c>
      <c r="F87" s="132">
        <v>0.0</v>
      </c>
      <c r="G87" s="132">
        <v>0.0</v>
      </c>
      <c r="H87" s="132">
        <v>0.0</v>
      </c>
      <c r="I87" s="132">
        <v>0.0</v>
      </c>
      <c r="J87" s="132">
        <v>0.0</v>
      </c>
      <c r="K87" s="132">
        <v>0.0</v>
      </c>
      <c r="L87" s="132">
        <v>0.0</v>
      </c>
      <c r="M87" s="132">
        <v>500.0</v>
      </c>
      <c r="N87" s="132">
        <v>0.0</v>
      </c>
      <c r="O87" s="132">
        <v>0.0</v>
      </c>
      <c r="P87" s="132">
        <v>0.0</v>
      </c>
      <c r="Q87" s="132">
        <v>0.0</v>
      </c>
      <c r="R87" s="132">
        <v>0.0</v>
      </c>
      <c r="S87" s="132">
        <v>0.0</v>
      </c>
      <c r="T87" s="132">
        <v>0.0</v>
      </c>
      <c r="U87" s="132">
        <v>0.0</v>
      </c>
      <c r="V87" s="132">
        <v>0.0</v>
      </c>
      <c r="W87" s="132">
        <v>0.0</v>
      </c>
      <c r="Y87" s="132" t="s">
        <v>3589</v>
      </c>
      <c r="Z87" s="132">
        <f t="shared" ref="Z87:AC87" si="170">C87-1000</f>
        <v>-1000</v>
      </c>
      <c r="AA87" s="132">
        <f t="shared" si="170"/>
        <v>-1000</v>
      </c>
      <c r="AB87" s="132">
        <f t="shared" si="170"/>
        <v>-1000</v>
      </c>
      <c r="AC87" s="132">
        <f t="shared" si="170"/>
        <v>-1000</v>
      </c>
      <c r="AD87" s="132">
        <f t="shared" si="4"/>
        <v>-10000</v>
      </c>
      <c r="AE87" s="132">
        <f t="shared" ref="AE87:AS87" si="171">H87-1000</f>
        <v>-1000</v>
      </c>
      <c r="AF87" s="132">
        <f t="shared" si="171"/>
        <v>-1000</v>
      </c>
      <c r="AG87" s="132">
        <f t="shared" si="171"/>
        <v>-1000</v>
      </c>
      <c r="AH87" s="132">
        <f t="shared" si="171"/>
        <v>-1000</v>
      </c>
      <c r="AI87" s="132">
        <f t="shared" si="171"/>
        <v>-1000</v>
      </c>
      <c r="AJ87" s="132">
        <f t="shared" si="171"/>
        <v>-500</v>
      </c>
      <c r="AK87" s="132">
        <f t="shared" si="171"/>
        <v>-1000</v>
      </c>
      <c r="AL87" s="132">
        <f t="shared" si="171"/>
        <v>-1000</v>
      </c>
      <c r="AM87" s="132">
        <f t="shared" si="171"/>
        <v>-1000</v>
      </c>
      <c r="AN87" s="132">
        <f t="shared" si="171"/>
        <v>-1000</v>
      </c>
      <c r="AO87" s="132">
        <f t="shared" si="171"/>
        <v>-1000</v>
      </c>
      <c r="AP87" s="132">
        <f t="shared" si="171"/>
        <v>-1000</v>
      </c>
      <c r="AQ87" s="132">
        <f t="shared" si="171"/>
        <v>-1000</v>
      </c>
      <c r="AR87" s="132">
        <f t="shared" si="171"/>
        <v>-1000</v>
      </c>
      <c r="AS87" s="132">
        <f t="shared" si="171"/>
        <v>-1000</v>
      </c>
    </row>
    <row r="88">
      <c r="A88" s="132" t="s">
        <v>3590</v>
      </c>
      <c r="B88" s="132">
        <v>702.0</v>
      </c>
      <c r="C88" s="132">
        <v>500.0</v>
      </c>
      <c r="D88" s="132">
        <v>0.0</v>
      </c>
      <c r="E88" s="132">
        <v>0.0</v>
      </c>
      <c r="F88" s="132">
        <v>100.0</v>
      </c>
      <c r="G88" s="132">
        <v>0.0</v>
      </c>
      <c r="H88" s="132">
        <v>0.0</v>
      </c>
      <c r="I88" s="132">
        <v>0.0</v>
      </c>
      <c r="J88" s="132">
        <v>0.0</v>
      </c>
      <c r="K88" s="132">
        <v>0.0</v>
      </c>
      <c r="L88" s="132">
        <v>0.0</v>
      </c>
      <c r="M88" s="132">
        <v>0.0</v>
      </c>
      <c r="N88" s="132">
        <v>102.0</v>
      </c>
      <c r="O88" s="132">
        <v>0.0</v>
      </c>
      <c r="P88" s="132">
        <v>0.0</v>
      </c>
      <c r="Q88" s="132">
        <v>0.0</v>
      </c>
      <c r="R88" s="132">
        <v>0.0</v>
      </c>
      <c r="S88" s="132">
        <v>0.0</v>
      </c>
      <c r="T88" s="132">
        <v>0.0</v>
      </c>
      <c r="U88" s="132">
        <v>0.0</v>
      </c>
      <c r="V88" s="132">
        <v>0.0</v>
      </c>
      <c r="W88" s="132">
        <v>0.0</v>
      </c>
      <c r="Y88" s="132" t="s">
        <v>3590</v>
      </c>
      <c r="Z88" s="132">
        <f t="shared" ref="Z88:AC88" si="172">C88-1000</f>
        <v>-500</v>
      </c>
      <c r="AA88" s="132">
        <f t="shared" si="172"/>
        <v>-1000</v>
      </c>
      <c r="AB88" s="132">
        <f t="shared" si="172"/>
        <v>-1000</v>
      </c>
      <c r="AC88" s="132">
        <f t="shared" si="172"/>
        <v>-900</v>
      </c>
      <c r="AD88" s="132">
        <f t="shared" si="4"/>
        <v>-10000</v>
      </c>
      <c r="AE88" s="132">
        <f t="shared" ref="AE88:AS88" si="173">H88-1000</f>
        <v>-1000</v>
      </c>
      <c r="AF88" s="132">
        <f t="shared" si="173"/>
        <v>-1000</v>
      </c>
      <c r="AG88" s="132">
        <f t="shared" si="173"/>
        <v>-1000</v>
      </c>
      <c r="AH88" s="132">
        <f t="shared" si="173"/>
        <v>-1000</v>
      </c>
      <c r="AI88" s="132">
        <f t="shared" si="173"/>
        <v>-1000</v>
      </c>
      <c r="AJ88" s="132">
        <f t="shared" si="173"/>
        <v>-1000</v>
      </c>
      <c r="AK88" s="132">
        <f t="shared" si="173"/>
        <v>-898</v>
      </c>
      <c r="AL88" s="132">
        <f t="shared" si="173"/>
        <v>-1000</v>
      </c>
      <c r="AM88" s="132">
        <f t="shared" si="173"/>
        <v>-1000</v>
      </c>
      <c r="AN88" s="132">
        <f t="shared" si="173"/>
        <v>-1000</v>
      </c>
      <c r="AO88" s="132">
        <f t="shared" si="173"/>
        <v>-1000</v>
      </c>
      <c r="AP88" s="132">
        <f t="shared" si="173"/>
        <v>-1000</v>
      </c>
      <c r="AQ88" s="132">
        <f t="shared" si="173"/>
        <v>-1000</v>
      </c>
      <c r="AR88" s="132">
        <f t="shared" si="173"/>
        <v>-1000</v>
      </c>
      <c r="AS88" s="132">
        <f t="shared" si="173"/>
        <v>-1000</v>
      </c>
    </row>
    <row r="89">
      <c r="A89" s="132" t="s">
        <v>3591</v>
      </c>
      <c r="B89" s="132">
        <v>100.0</v>
      </c>
      <c r="C89" s="132">
        <v>100.0</v>
      </c>
      <c r="D89" s="132">
        <v>0.0</v>
      </c>
      <c r="E89" s="132">
        <v>0.0</v>
      </c>
      <c r="F89" s="132">
        <v>0.0</v>
      </c>
      <c r="G89" s="132">
        <v>0.0</v>
      </c>
      <c r="H89" s="132">
        <v>0.0</v>
      </c>
      <c r="I89" s="132">
        <v>0.0</v>
      </c>
      <c r="J89" s="132">
        <v>0.0</v>
      </c>
      <c r="K89" s="132">
        <v>0.0</v>
      </c>
      <c r="L89" s="132">
        <v>0.0</v>
      </c>
      <c r="M89" s="132">
        <v>0.0</v>
      </c>
      <c r="N89" s="132">
        <v>0.0</v>
      </c>
      <c r="O89" s="132">
        <v>0.0</v>
      </c>
      <c r="P89" s="132">
        <v>0.0</v>
      </c>
      <c r="Q89" s="132">
        <v>0.0</v>
      </c>
      <c r="R89" s="132">
        <v>0.0</v>
      </c>
      <c r="S89" s="132">
        <v>0.0</v>
      </c>
      <c r="T89" s="132">
        <v>0.0</v>
      </c>
      <c r="U89" s="132">
        <v>0.0</v>
      </c>
      <c r="V89" s="132">
        <v>0.0</v>
      </c>
      <c r="W89" s="132">
        <v>0.0</v>
      </c>
      <c r="Y89" s="132" t="s">
        <v>3591</v>
      </c>
      <c r="Z89" s="132">
        <f t="shared" ref="Z89:AC89" si="174">C89-1000</f>
        <v>-900</v>
      </c>
      <c r="AA89" s="132">
        <f t="shared" si="174"/>
        <v>-1000</v>
      </c>
      <c r="AB89" s="132">
        <f t="shared" si="174"/>
        <v>-1000</v>
      </c>
      <c r="AC89" s="132">
        <f t="shared" si="174"/>
        <v>-1000</v>
      </c>
      <c r="AD89" s="132">
        <f t="shared" si="4"/>
        <v>-10000</v>
      </c>
      <c r="AE89" s="132">
        <f t="shared" ref="AE89:AS89" si="175">H89-1000</f>
        <v>-1000</v>
      </c>
      <c r="AF89" s="132">
        <f t="shared" si="175"/>
        <v>-1000</v>
      </c>
      <c r="AG89" s="132">
        <f t="shared" si="175"/>
        <v>-1000</v>
      </c>
      <c r="AH89" s="132">
        <f t="shared" si="175"/>
        <v>-1000</v>
      </c>
      <c r="AI89" s="132">
        <f t="shared" si="175"/>
        <v>-1000</v>
      </c>
      <c r="AJ89" s="132">
        <f t="shared" si="175"/>
        <v>-1000</v>
      </c>
      <c r="AK89" s="132">
        <f t="shared" si="175"/>
        <v>-1000</v>
      </c>
      <c r="AL89" s="132">
        <f t="shared" si="175"/>
        <v>-1000</v>
      </c>
      <c r="AM89" s="132">
        <f t="shared" si="175"/>
        <v>-1000</v>
      </c>
      <c r="AN89" s="132">
        <f t="shared" si="175"/>
        <v>-1000</v>
      </c>
      <c r="AO89" s="132">
        <f t="shared" si="175"/>
        <v>-1000</v>
      </c>
      <c r="AP89" s="132">
        <f t="shared" si="175"/>
        <v>-1000</v>
      </c>
      <c r="AQ89" s="132">
        <f t="shared" si="175"/>
        <v>-1000</v>
      </c>
      <c r="AR89" s="132">
        <f t="shared" si="175"/>
        <v>-1000</v>
      </c>
      <c r="AS89" s="132">
        <f t="shared" si="175"/>
        <v>-1000</v>
      </c>
    </row>
    <row r="90">
      <c r="A90" s="132" t="s">
        <v>3592</v>
      </c>
      <c r="B90" s="132">
        <v>1000.0</v>
      </c>
      <c r="C90" s="132">
        <v>1000.0</v>
      </c>
      <c r="D90" s="132">
        <v>0.0</v>
      </c>
      <c r="E90" s="132">
        <v>0.0</v>
      </c>
      <c r="F90" s="132">
        <v>0.0</v>
      </c>
      <c r="G90" s="132">
        <v>0.0</v>
      </c>
      <c r="H90" s="132">
        <v>0.0</v>
      </c>
      <c r="I90" s="132">
        <v>0.0</v>
      </c>
      <c r="J90" s="132">
        <v>0.0</v>
      </c>
      <c r="K90" s="132">
        <v>0.0</v>
      </c>
      <c r="L90" s="132">
        <v>0.0</v>
      </c>
      <c r="M90" s="132">
        <v>0.0</v>
      </c>
      <c r="N90" s="132">
        <v>0.0</v>
      </c>
      <c r="O90" s="132">
        <v>0.0</v>
      </c>
      <c r="P90" s="132">
        <v>0.0</v>
      </c>
      <c r="Q90" s="132">
        <v>0.0</v>
      </c>
      <c r="R90" s="132">
        <v>0.0</v>
      </c>
      <c r="S90" s="132">
        <v>0.0</v>
      </c>
      <c r="T90" s="132">
        <v>0.0</v>
      </c>
      <c r="U90" s="132">
        <v>0.0</v>
      </c>
      <c r="V90" s="132">
        <v>0.0</v>
      </c>
      <c r="W90" s="132">
        <v>1.0</v>
      </c>
      <c r="Y90" s="132" t="s">
        <v>3592</v>
      </c>
      <c r="Z90" s="132">
        <f t="shared" ref="Z90:AC90" si="176">C90-1000</f>
        <v>0</v>
      </c>
      <c r="AA90" s="132">
        <f t="shared" si="176"/>
        <v>-1000</v>
      </c>
      <c r="AB90" s="132">
        <f t="shared" si="176"/>
        <v>-1000</v>
      </c>
      <c r="AC90" s="132">
        <f t="shared" si="176"/>
        <v>-1000</v>
      </c>
      <c r="AD90" s="132">
        <f t="shared" si="4"/>
        <v>-10000</v>
      </c>
      <c r="AE90" s="132">
        <f t="shared" ref="AE90:AS90" si="177">H90-1000</f>
        <v>-1000</v>
      </c>
      <c r="AF90" s="132">
        <f t="shared" si="177"/>
        <v>-1000</v>
      </c>
      <c r="AG90" s="132">
        <f t="shared" si="177"/>
        <v>-1000</v>
      </c>
      <c r="AH90" s="132">
        <f t="shared" si="177"/>
        <v>-1000</v>
      </c>
      <c r="AI90" s="132">
        <f t="shared" si="177"/>
        <v>-1000</v>
      </c>
      <c r="AJ90" s="132">
        <f t="shared" si="177"/>
        <v>-1000</v>
      </c>
      <c r="AK90" s="132">
        <f t="shared" si="177"/>
        <v>-1000</v>
      </c>
      <c r="AL90" s="132">
        <f t="shared" si="177"/>
        <v>-1000</v>
      </c>
      <c r="AM90" s="132">
        <f t="shared" si="177"/>
        <v>-1000</v>
      </c>
      <c r="AN90" s="132">
        <f t="shared" si="177"/>
        <v>-1000</v>
      </c>
      <c r="AO90" s="132">
        <f t="shared" si="177"/>
        <v>-1000</v>
      </c>
      <c r="AP90" s="132">
        <f t="shared" si="177"/>
        <v>-1000</v>
      </c>
      <c r="AQ90" s="132">
        <f t="shared" si="177"/>
        <v>-1000</v>
      </c>
      <c r="AR90" s="132">
        <f t="shared" si="177"/>
        <v>-1000</v>
      </c>
      <c r="AS90" s="132">
        <f t="shared" si="177"/>
        <v>-1000</v>
      </c>
    </row>
    <row r="91">
      <c r="A91" s="132" t="s">
        <v>3593</v>
      </c>
      <c r="B91" s="132">
        <v>500.0</v>
      </c>
      <c r="C91" s="132">
        <v>500.0</v>
      </c>
      <c r="D91" s="132">
        <v>0.0</v>
      </c>
      <c r="E91" s="132">
        <v>0.0</v>
      </c>
      <c r="F91" s="132">
        <v>0.0</v>
      </c>
      <c r="G91" s="132">
        <v>0.0</v>
      </c>
      <c r="H91" s="132">
        <v>0.0</v>
      </c>
      <c r="I91" s="132">
        <v>0.0</v>
      </c>
      <c r="J91" s="132">
        <v>0.0</v>
      </c>
      <c r="K91" s="132">
        <v>0.0</v>
      </c>
      <c r="L91" s="132">
        <v>0.0</v>
      </c>
      <c r="M91" s="132">
        <v>0.0</v>
      </c>
      <c r="N91" s="132">
        <v>0.0</v>
      </c>
      <c r="O91" s="132">
        <v>0.0</v>
      </c>
      <c r="P91" s="132">
        <v>0.0</v>
      </c>
      <c r="Q91" s="132">
        <v>0.0</v>
      </c>
      <c r="R91" s="132">
        <v>0.0</v>
      </c>
      <c r="S91" s="132">
        <v>0.0</v>
      </c>
      <c r="T91" s="132">
        <v>0.0</v>
      </c>
      <c r="U91" s="132">
        <v>0.0</v>
      </c>
      <c r="V91" s="132">
        <v>0.0</v>
      </c>
      <c r="W91" s="132">
        <v>0.0</v>
      </c>
      <c r="Y91" s="132" t="s">
        <v>3593</v>
      </c>
      <c r="Z91" s="132">
        <f t="shared" ref="Z91:AC91" si="178">C91-1000</f>
        <v>-500</v>
      </c>
      <c r="AA91" s="132">
        <f t="shared" si="178"/>
        <v>-1000</v>
      </c>
      <c r="AB91" s="132">
        <f t="shared" si="178"/>
        <v>-1000</v>
      </c>
      <c r="AC91" s="132">
        <f t="shared" si="178"/>
        <v>-1000</v>
      </c>
      <c r="AD91" s="132">
        <f t="shared" si="4"/>
        <v>-10000</v>
      </c>
      <c r="AE91" s="132">
        <f t="shared" ref="AE91:AS91" si="179">H91-1000</f>
        <v>-1000</v>
      </c>
      <c r="AF91" s="132">
        <f t="shared" si="179"/>
        <v>-1000</v>
      </c>
      <c r="AG91" s="132">
        <f t="shared" si="179"/>
        <v>-1000</v>
      </c>
      <c r="AH91" s="132">
        <f t="shared" si="179"/>
        <v>-1000</v>
      </c>
      <c r="AI91" s="132">
        <f t="shared" si="179"/>
        <v>-1000</v>
      </c>
      <c r="AJ91" s="132">
        <f t="shared" si="179"/>
        <v>-1000</v>
      </c>
      <c r="AK91" s="132">
        <f t="shared" si="179"/>
        <v>-1000</v>
      </c>
      <c r="AL91" s="132">
        <f t="shared" si="179"/>
        <v>-1000</v>
      </c>
      <c r="AM91" s="132">
        <f t="shared" si="179"/>
        <v>-1000</v>
      </c>
      <c r="AN91" s="132">
        <f t="shared" si="179"/>
        <v>-1000</v>
      </c>
      <c r="AO91" s="132">
        <f t="shared" si="179"/>
        <v>-1000</v>
      </c>
      <c r="AP91" s="132">
        <f t="shared" si="179"/>
        <v>-1000</v>
      </c>
      <c r="AQ91" s="132">
        <f t="shared" si="179"/>
        <v>-1000</v>
      </c>
      <c r="AR91" s="132">
        <f t="shared" si="179"/>
        <v>-1000</v>
      </c>
      <c r="AS91" s="132">
        <f t="shared" si="179"/>
        <v>-1000</v>
      </c>
    </row>
    <row r="92">
      <c r="A92" s="132" t="s">
        <v>3594</v>
      </c>
      <c r="B92" s="132">
        <v>2650.0</v>
      </c>
      <c r="C92" s="132">
        <v>500.0</v>
      </c>
      <c r="D92" s="132">
        <v>0.0</v>
      </c>
      <c r="E92" s="132">
        <v>2000.0</v>
      </c>
      <c r="F92" s="132">
        <v>150.0</v>
      </c>
      <c r="G92" s="132">
        <v>0.0</v>
      </c>
      <c r="H92" s="132">
        <v>0.0</v>
      </c>
      <c r="I92" s="132">
        <v>0.0</v>
      </c>
      <c r="J92" s="132">
        <v>0.0</v>
      </c>
      <c r="K92" s="132">
        <v>0.0</v>
      </c>
      <c r="L92" s="132">
        <v>0.0</v>
      </c>
      <c r="M92" s="132">
        <v>0.0</v>
      </c>
      <c r="N92" s="132">
        <v>0.0</v>
      </c>
      <c r="O92" s="132">
        <v>0.0</v>
      </c>
      <c r="P92" s="132">
        <v>0.0</v>
      </c>
      <c r="Q92" s="132">
        <v>0.0</v>
      </c>
      <c r="R92" s="132">
        <v>0.0</v>
      </c>
      <c r="S92" s="132">
        <v>0.0</v>
      </c>
      <c r="T92" s="132">
        <v>0.0</v>
      </c>
      <c r="U92" s="132">
        <v>0.0</v>
      </c>
      <c r="V92" s="132">
        <v>0.0</v>
      </c>
      <c r="W92" s="132">
        <v>1.0</v>
      </c>
      <c r="Y92" s="132" t="s">
        <v>3594</v>
      </c>
      <c r="Z92" s="132">
        <f t="shared" ref="Z92:AC92" si="180">C92-1000</f>
        <v>-500</v>
      </c>
      <c r="AA92" s="132">
        <f t="shared" si="180"/>
        <v>-1000</v>
      </c>
      <c r="AB92" s="132">
        <f t="shared" si="180"/>
        <v>1000</v>
      </c>
      <c r="AC92" s="132">
        <f t="shared" si="180"/>
        <v>-850</v>
      </c>
      <c r="AD92" s="132">
        <f t="shared" si="4"/>
        <v>-10000</v>
      </c>
      <c r="AE92" s="132">
        <f t="shared" ref="AE92:AS92" si="181">H92-1000</f>
        <v>-1000</v>
      </c>
      <c r="AF92" s="132">
        <f t="shared" si="181"/>
        <v>-1000</v>
      </c>
      <c r="AG92" s="132">
        <f t="shared" si="181"/>
        <v>-1000</v>
      </c>
      <c r="AH92" s="132">
        <f t="shared" si="181"/>
        <v>-1000</v>
      </c>
      <c r="AI92" s="132">
        <f t="shared" si="181"/>
        <v>-1000</v>
      </c>
      <c r="AJ92" s="132">
        <f t="shared" si="181"/>
        <v>-1000</v>
      </c>
      <c r="AK92" s="132">
        <f t="shared" si="181"/>
        <v>-1000</v>
      </c>
      <c r="AL92" s="132">
        <f t="shared" si="181"/>
        <v>-1000</v>
      </c>
      <c r="AM92" s="132">
        <f t="shared" si="181"/>
        <v>-1000</v>
      </c>
      <c r="AN92" s="132">
        <f t="shared" si="181"/>
        <v>-1000</v>
      </c>
      <c r="AO92" s="132">
        <f t="shared" si="181"/>
        <v>-1000</v>
      </c>
      <c r="AP92" s="132">
        <f t="shared" si="181"/>
        <v>-1000</v>
      </c>
      <c r="AQ92" s="132">
        <f t="shared" si="181"/>
        <v>-1000</v>
      </c>
      <c r="AR92" s="132">
        <f t="shared" si="181"/>
        <v>-1000</v>
      </c>
      <c r="AS92" s="132">
        <f t="shared" si="181"/>
        <v>-1000</v>
      </c>
    </row>
    <row r="93">
      <c r="A93" s="132" t="s">
        <v>3595</v>
      </c>
      <c r="B93" s="132">
        <v>500.0</v>
      </c>
      <c r="C93" s="132">
        <v>500.0</v>
      </c>
      <c r="D93" s="132">
        <v>0.0</v>
      </c>
      <c r="E93" s="132">
        <v>0.0</v>
      </c>
      <c r="F93" s="132">
        <v>0.0</v>
      </c>
      <c r="G93" s="132">
        <v>0.0</v>
      </c>
      <c r="H93" s="132">
        <v>0.0</v>
      </c>
      <c r="I93" s="132">
        <v>0.0</v>
      </c>
      <c r="J93" s="132">
        <v>0.0</v>
      </c>
      <c r="K93" s="132">
        <v>0.0</v>
      </c>
      <c r="L93" s="132">
        <v>0.0</v>
      </c>
      <c r="M93" s="132">
        <v>0.0</v>
      </c>
      <c r="N93" s="132">
        <v>0.0</v>
      </c>
      <c r="O93" s="132">
        <v>0.0</v>
      </c>
      <c r="P93" s="132">
        <v>0.0</v>
      </c>
      <c r="Q93" s="132">
        <v>0.0</v>
      </c>
      <c r="R93" s="132">
        <v>0.0</v>
      </c>
      <c r="S93" s="132">
        <v>0.0</v>
      </c>
      <c r="T93" s="132">
        <v>0.0</v>
      </c>
      <c r="U93" s="132">
        <v>0.0</v>
      </c>
      <c r="V93" s="132">
        <v>0.0</v>
      </c>
      <c r="W93" s="132">
        <v>0.0</v>
      </c>
      <c r="Y93" s="132" t="s">
        <v>3595</v>
      </c>
      <c r="Z93" s="132">
        <f t="shared" ref="Z93:AC93" si="182">C93-1000</f>
        <v>-500</v>
      </c>
      <c r="AA93" s="132">
        <f t="shared" si="182"/>
        <v>-1000</v>
      </c>
      <c r="AB93" s="132">
        <f t="shared" si="182"/>
        <v>-1000</v>
      </c>
      <c r="AC93" s="132">
        <f t="shared" si="182"/>
        <v>-1000</v>
      </c>
      <c r="AD93" s="132">
        <f t="shared" si="4"/>
        <v>-10000</v>
      </c>
      <c r="AE93" s="132">
        <f t="shared" ref="AE93:AS93" si="183">H93-1000</f>
        <v>-1000</v>
      </c>
      <c r="AF93" s="132">
        <f t="shared" si="183"/>
        <v>-1000</v>
      </c>
      <c r="AG93" s="132">
        <f t="shared" si="183"/>
        <v>-1000</v>
      </c>
      <c r="AH93" s="132">
        <f t="shared" si="183"/>
        <v>-1000</v>
      </c>
      <c r="AI93" s="132">
        <f t="shared" si="183"/>
        <v>-1000</v>
      </c>
      <c r="AJ93" s="132">
        <f t="shared" si="183"/>
        <v>-1000</v>
      </c>
      <c r="AK93" s="132">
        <f t="shared" si="183"/>
        <v>-1000</v>
      </c>
      <c r="AL93" s="132">
        <f t="shared" si="183"/>
        <v>-1000</v>
      </c>
      <c r="AM93" s="132">
        <f t="shared" si="183"/>
        <v>-1000</v>
      </c>
      <c r="AN93" s="132">
        <f t="shared" si="183"/>
        <v>-1000</v>
      </c>
      <c r="AO93" s="132">
        <f t="shared" si="183"/>
        <v>-1000</v>
      </c>
      <c r="AP93" s="132">
        <f t="shared" si="183"/>
        <v>-1000</v>
      </c>
      <c r="AQ93" s="132">
        <f t="shared" si="183"/>
        <v>-1000</v>
      </c>
      <c r="AR93" s="132">
        <f t="shared" si="183"/>
        <v>-1000</v>
      </c>
      <c r="AS93" s="132">
        <f t="shared" si="183"/>
        <v>-1000</v>
      </c>
    </row>
    <row r="94">
      <c r="A94" s="132" t="s">
        <v>3596</v>
      </c>
      <c r="B94" s="132">
        <v>750.0</v>
      </c>
      <c r="C94" s="132">
        <v>750.0</v>
      </c>
      <c r="D94" s="132">
        <v>0.0</v>
      </c>
      <c r="E94" s="132">
        <v>0.0</v>
      </c>
      <c r="F94" s="132">
        <v>0.0</v>
      </c>
      <c r="G94" s="132">
        <v>0.0</v>
      </c>
      <c r="H94" s="132">
        <v>0.0</v>
      </c>
      <c r="I94" s="132">
        <v>0.0</v>
      </c>
      <c r="J94" s="132">
        <v>0.0</v>
      </c>
      <c r="K94" s="132">
        <v>0.0</v>
      </c>
      <c r="L94" s="132">
        <v>0.0</v>
      </c>
      <c r="M94" s="132">
        <v>0.0</v>
      </c>
      <c r="N94" s="132">
        <v>0.0</v>
      </c>
      <c r="O94" s="132">
        <v>0.0</v>
      </c>
      <c r="P94" s="132">
        <v>0.0</v>
      </c>
      <c r="Q94" s="132">
        <v>0.0</v>
      </c>
      <c r="R94" s="132">
        <v>0.0</v>
      </c>
      <c r="S94" s="132">
        <v>0.0</v>
      </c>
      <c r="T94" s="132">
        <v>0.0</v>
      </c>
      <c r="U94" s="132">
        <v>0.0</v>
      </c>
      <c r="V94" s="132">
        <v>0.0</v>
      </c>
      <c r="W94" s="132">
        <v>1.0</v>
      </c>
      <c r="Y94" s="132" t="s">
        <v>3596</v>
      </c>
      <c r="Z94" s="132">
        <f t="shared" ref="Z94:AC94" si="184">C94-1000</f>
        <v>-250</v>
      </c>
      <c r="AA94" s="132">
        <f t="shared" si="184"/>
        <v>-1000</v>
      </c>
      <c r="AB94" s="132">
        <f t="shared" si="184"/>
        <v>-1000</v>
      </c>
      <c r="AC94" s="132">
        <f t="shared" si="184"/>
        <v>-1000</v>
      </c>
      <c r="AD94" s="132">
        <f t="shared" si="4"/>
        <v>-10000</v>
      </c>
      <c r="AE94" s="132">
        <f t="shared" ref="AE94:AS94" si="185">H94-1000</f>
        <v>-1000</v>
      </c>
      <c r="AF94" s="132">
        <f t="shared" si="185"/>
        <v>-1000</v>
      </c>
      <c r="AG94" s="132">
        <f t="shared" si="185"/>
        <v>-1000</v>
      </c>
      <c r="AH94" s="132">
        <f t="shared" si="185"/>
        <v>-1000</v>
      </c>
      <c r="AI94" s="132">
        <f t="shared" si="185"/>
        <v>-1000</v>
      </c>
      <c r="AJ94" s="132">
        <f t="shared" si="185"/>
        <v>-1000</v>
      </c>
      <c r="AK94" s="132">
        <f t="shared" si="185"/>
        <v>-1000</v>
      </c>
      <c r="AL94" s="132">
        <f t="shared" si="185"/>
        <v>-1000</v>
      </c>
      <c r="AM94" s="132">
        <f t="shared" si="185"/>
        <v>-1000</v>
      </c>
      <c r="AN94" s="132">
        <f t="shared" si="185"/>
        <v>-1000</v>
      </c>
      <c r="AO94" s="132">
        <f t="shared" si="185"/>
        <v>-1000</v>
      </c>
      <c r="AP94" s="132">
        <f t="shared" si="185"/>
        <v>-1000</v>
      </c>
      <c r="AQ94" s="132">
        <f t="shared" si="185"/>
        <v>-1000</v>
      </c>
      <c r="AR94" s="132">
        <f t="shared" si="185"/>
        <v>-1000</v>
      </c>
      <c r="AS94" s="132">
        <f t="shared" si="185"/>
        <v>-1000</v>
      </c>
    </row>
    <row r="95">
      <c r="A95" s="132" t="s">
        <v>3597</v>
      </c>
      <c r="B95" s="132">
        <v>250.0</v>
      </c>
      <c r="C95" s="132">
        <v>250.0</v>
      </c>
      <c r="D95" s="132">
        <v>0.0</v>
      </c>
      <c r="E95" s="132">
        <v>0.0</v>
      </c>
      <c r="F95" s="132">
        <v>0.0</v>
      </c>
      <c r="G95" s="132">
        <v>0.0</v>
      </c>
      <c r="H95" s="132">
        <v>0.0</v>
      </c>
      <c r="I95" s="132">
        <v>0.0</v>
      </c>
      <c r="J95" s="132">
        <v>0.0</v>
      </c>
      <c r="K95" s="132">
        <v>0.0</v>
      </c>
      <c r="L95" s="132">
        <v>0.0</v>
      </c>
      <c r="M95" s="132">
        <v>0.0</v>
      </c>
      <c r="N95" s="132">
        <v>0.0</v>
      </c>
      <c r="O95" s="132">
        <v>0.0</v>
      </c>
      <c r="P95" s="132">
        <v>0.0</v>
      </c>
      <c r="Q95" s="132">
        <v>0.0</v>
      </c>
      <c r="R95" s="132">
        <v>0.0</v>
      </c>
      <c r="S95" s="132">
        <v>0.0</v>
      </c>
      <c r="T95" s="132">
        <v>0.0</v>
      </c>
      <c r="U95" s="132">
        <v>0.0</v>
      </c>
      <c r="V95" s="132">
        <v>0.0</v>
      </c>
      <c r="W95" s="132">
        <v>0.0</v>
      </c>
      <c r="Y95" s="132" t="s">
        <v>3597</v>
      </c>
      <c r="Z95" s="132">
        <f t="shared" ref="Z95:AC95" si="186">C95-1000</f>
        <v>-750</v>
      </c>
      <c r="AA95" s="132">
        <f t="shared" si="186"/>
        <v>-1000</v>
      </c>
      <c r="AB95" s="132">
        <f t="shared" si="186"/>
        <v>-1000</v>
      </c>
      <c r="AC95" s="132">
        <f t="shared" si="186"/>
        <v>-1000</v>
      </c>
      <c r="AD95" s="132">
        <f t="shared" si="4"/>
        <v>-10000</v>
      </c>
      <c r="AE95" s="132">
        <f t="shared" ref="AE95:AS95" si="187">H95-1000</f>
        <v>-1000</v>
      </c>
      <c r="AF95" s="132">
        <f t="shared" si="187"/>
        <v>-1000</v>
      </c>
      <c r="AG95" s="132">
        <f t="shared" si="187"/>
        <v>-1000</v>
      </c>
      <c r="AH95" s="132">
        <f t="shared" si="187"/>
        <v>-1000</v>
      </c>
      <c r="AI95" s="132">
        <f t="shared" si="187"/>
        <v>-1000</v>
      </c>
      <c r="AJ95" s="132">
        <f t="shared" si="187"/>
        <v>-1000</v>
      </c>
      <c r="AK95" s="132">
        <f t="shared" si="187"/>
        <v>-1000</v>
      </c>
      <c r="AL95" s="132">
        <f t="shared" si="187"/>
        <v>-1000</v>
      </c>
      <c r="AM95" s="132">
        <f t="shared" si="187"/>
        <v>-1000</v>
      </c>
      <c r="AN95" s="132">
        <f t="shared" si="187"/>
        <v>-1000</v>
      </c>
      <c r="AO95" s="132">
        <f t="shared" si="187"/>
        <v>-1000</v>
      </c>
      <c r="AP95" s="132">
        <f t="shared" si="187"/>
        <v>-1000</v>
      </c>
      <c r="AQ95" s="132">
        <f t="shared" si="187"/>
        <v>-1000</v>
      </c>
      <c r="AR95" s="132">
        <f t="shared" si="187"/>
        <v>-1000</v>
      </c>
      <c r="AS95" s="132">
        <f t="shared" si="187"/>
        <v>-1000</v>
      </c>
    </row>
    <row r="96">
      <c r="A96" s="132" t="s">
        <v>3598</v>
      </c>
      <c r="B96" s="132">
        <v>100.0</v>
      </c>
      <c r="C96" s="132">
        <v>100.0</v>
      </c>
      <c r="D96" s="132">
        <v>0.0</v>
      </c>
      <c r="E96" s="132">
        <v>0.0</v>
      </c>
      <c r="F96" s="132">
        <v>0.0</v>
      </c>
      <c r="G96" s="132">
        <v>0.0</v>
      </c>
      <c r="H96" s="132">
        <v>0.0</v>
      </c>
      <c r="I96" s="132">
        <v>0.0</v>
      </c>
      <c r="J96" s="132">
        <v>0.0</v>
      </c>
      <c r="K96" s="132">
        <v>0.0</v>
      </c>
      <c r="L96" s="132">
        <v>0.0</v>
      </c>
      <c r="M96" s="132">
        <v>0.0</v>
      </c>
      <c r="N96" s="132">
        <v>0.0</v>
      </c>
      <c r="O96" s="132">
        <v>0.0</v>
      </c>
      <c r="P96" s="132">
        <v>0.0</v>
      </c>
      <c r="Q96" s="132">
        <v>0.0</v>
      </c>
      <c r="R96" s="132">
        <v>0.0</v>
      </c>
      <c r="S96" s="132">
        <v>0.0</v>
      </c>
      <c r="T96" s="132">
        <v>0.0</v>
      </c>
      <c r="U96" s="132">
        <v>0.0</v>
      </c>
      <c r="V96" s="132">
        <v>0.0</v>
      </c>
      <c r="W96" s="132">
        <v>0.0</v>
      </c>
      <c r="Y96" s="132" t="s">
        <v>3598</v>
      </c>
      <c r="Z96" s="132">
        <f t="shared" ref="Z96:AC96" si="188">C96-1000</f>
        <v>-900</v>
      </c>
      <c r="AA96" s="132">
        <f t="shared" si="188"/>
        <v>-1000</v>
      </c>
      <c r="AB96" s="132">
        <f t="shared" si="188"/>
        <v>-1000</v>
      </c>
      <c r="AC96" s="132">
        <f t="shared" si="188"/>
        <v>-1000</v>
      </c>
      <c r="AD96" s="132">
        <f t="shared" si="4"/>
        <v>-10000</v>
      </c>
      <c r="AE96" s="132">
        <f t="shared" ref="AE96:AS96" si="189">H96-1000</f>
        <v>-1000</v>
      </c>
      <c r="AF96" s="132">
        <f t="shared" si="189"/>
        <v>-1000</v>
      </c>
      <c r="AG96" s="132">
        <f t="shared" si="189"/>
        <v>-1000</v>
      </c>
      <c r="AH96" s="132">
        <f t="shared" si="189"/>
        <v>-1000</v>
      </c>
      <c r="AI96" s="132">
        <f t="shared" si="189"/>
        <v>-1000</v>
      </c>
      <c r="AJ96" s="132">
        <f t="shared" si="189"/>
        <v>-1000</v>
      </c>
      <c r="AK96" s="132">
        <f t="shared" si="189"/>
        <v>-1000</v>
      </c>
      <c r="AL96" s="132">
        <f t="shared" si="189"/>
        <v>-1000</v>
      </c>
      <c r="AM96" s="132">
        <f t="shared" si="189"/>
        <v>-1000</v>
      </c>
      <c r="AN96" s="132">
        <f t="shared" si="189"/>
        <v>-1000</v>
      </c>
      <c r="AO96" s="132">
        <f t="shared" si="189"/>
        <v>-1000</v>
      </c>
      <c r="AP96" s="132">
        <f t="shared" si="189"/>
        <v>-1000</v>
      </c>
      <c r="AQ96" s="132">
        <f t="shared" si="189"/>
        <v>-1000</v>
      </c>
      <c r="AR96" s="132">
        <f t="shared" si="189"/>
        <v>-1000</v>
      </c>
      <c r="AS96" s="132">
        <f t="shared" si="189"/>
        <v>-1000</v>
      </c>
    </row>
    <row r="97">
      <c r="A97" s="132" t="s">
        <v>3599</v>
      </c>
      <c r="B97" s="132">
        <v>225.0</v>
      </c>
      <c r="C97" s="132">
        <v>100.0</v>
      </c>
      <c r="D97" s="132">
        <v>0.0</v>
      </c>
      <c r="E97" s="132">
        <v>0.0</v>
      </c>
      <c r="F97" s="132">
        <v>125.0</v>
      </c>
      <c r="G97" s="132">
        <v>0.0</v>
      </c>
      <c r="H97" s="132">
        <v>0.0</v>
      </c>
      <c r="I97" s="132">
        <v>0.0</v>
      </c>
      <c r="J97" s="132">
        <v>0.0</v>
      </c>
      <c r="K97" s="132">
        <v>0.0</v>
      </c>
      <c r="L97" s="132">
        <v>0.0</v>
      </c>
      <c r="M97" s="132">
        <v>0.0</v>
      </c>
      <c r="N97" s="132">
        <v>0.0</v>
      </c>
      <c r="O97" s="132">
        <v>0.0</v>
      </c>
      <c r="P97" s="132">
        <v>0.0</v>
      </c>
      <c r="Q97" s="132">
        <v>0.0</v>
      </c>
      <c r="R97" s="132">
        <v>0.0</v>
      </c>
      <c r="S97" s="132">
        <v>0.0</v>
      </c>
      <c r="T97" s="132">
        <v>0.0</v>
      </c>
      <c r="U97" s="132">
        <v>0.0</v>
      </c>
      <c r="V97" s="132">
        <v>0.0</v>
      </c>
      <c r="W97" s="132">
        <v>1.0</v>
      </c>
      <c r="Y97" s="132" t="s">
        <v>3599</v>
      </c>
      <c r="Z97" s="132">
        <f t="shared" ref="Z97:AC97" si="190">C97-1000</f>
        <v>-900</v>
      </c>
      <c r="AA97" s="132">
        <f t="shared" si="190"/>
        <v>-1000</v>
      </c>
      <c r="AB97" s="132">
        <f t="shared" si="190"/>
        <v>-1000</v>
      </c>
      <c r="AC97" s="132">
        <f t="shared" si="190"/>
        <v>-875</v>
      </c>
      <c r="AD97" s="132">
        <f t="shared" si="4"/>
        <v>-10000</v>
      </c>
      <c r="AE97" s="132">
        <f t="shared" ref="AE97:AS97" si="191">H97-1000</f>
        <v>-1000</v>
      </c>
      <c r="AF97" s="132">
        <f t="shared" si="191"/>
        <v>-1000</v>
      </c>
      <c r="AG97" s="132">
        <f t="shared" si="191"/>
        <v>-1000</v>
      </c>
      <c r="AH97" s="132">
        <f t="shared" si="191"/>
        <v>-1000</v>
      </c>
      <c r="AI97" s="132">
        <f t="shared" si="191"/>
        <v>-1000</v>
      </c>
      <c r="AJ97" s="132">
        <f t="shared" si="191"/>
        <v>-1000</v>
      </c>
      <c r="AK97" s="132">
        <f t="shared" si="191"/>
        <v>-1000</v>
      </c>
      <c r="AL97" s="132">
        <f t="shared" si="191"/>
        <v>-1000</v>
      </c>
      <c r="AM97" s="132">
        <f t="shared" si="191"/>
        <v>-1000</v>
      </c>
      <c r="AN97" s="132">
        <f t="shared" si="191"/>
        <v>-1000</v>
      </c>
      <c r="AO97" s="132">
        <f t="shared" si="191"/>
        <v>-1000</v>
      </c>
      <c r="AP97" s="132">
        <f t="shared" si="191"/>
        <v>-1000</v>
      </c>
      <c r="AQ97" s="132">
        <f t="shared" si="191"/>
        <v>-1000</v>
      </c>
      <c r="AR97" s="132">
        <f t="shared" si="191"/>
        <v>-1000</v>
      </c>
      <c r="AS97" s="132">
        <f t="shared" si="191"/>
        <v>-1000</v>
      </c>
    </row>
    <row r="98">
      <c r="A98" s="132" t="s">
        <v>3600</v>
      </c>
      <c r="B98" s="132">
        <v>950.0</v>
      </c>
      <c r="C98" s="132">
        <v>950.0</v>
      </c>
      <c r="D98" s="132">
        <v>0.0</v>
      </c>
      <c r="E98" s="132">
        <v>0.0</v>
      </c>
      <c r="F98" s="132">
        <v>0.0</v>
      </c>
      <c r="G98" s="132">
        <v>0.0</v>
      </c>
      <c r="H98" s="132">
        <v>0.0</v>
      </c>
      <c r="I98" s="132">
        <v>0.0</v>
      </c>
      <c r="J98" s="132">
        <v>0.0</v>
      </c>
      <c r="K98" s="132">
        <v>0.0</v>
      </c>
      <c r="L98" s="132">
        <v>0.0</v>
      </c>
      <c r="M98" s="132">
        <v>0.0</v>
      </c>
      <c r="N98" s="132">
        <v>0.0</v>
      </c>
      <c r="O98" s="132">
        <v>0.0</v>
      </c>
      <c r="P98" s="132">
        <v>0.0</v>
      </c>
      <c r="Q98" s="132">
        <v>0.0</v>
      </c>
      <c r="R98" s="132">
        <v>0.0</v>
      </c>
      <c r="S98" s="132">
        <v>0.0</v>
      </c>
      <c r="T98" s="132">
        <v>0.0</v>
      </c>
      <c r="U98" s="132">
        <v>0.0</v>
      </c>
      <c r="V98" s="132">
        <v>0.0</v>
      </c>
      <c r="W98" s="132">
        <v>0.0</v>
      </c>
      <c r="Y98" s="132" t="s">
        <v>3600</v>
      </c>
      <c r="Z98" s="132">
        <f t="shared" ref="Z98:AC98" si="192">C98-1000</f>
        <v>-50</v>
      </c>
      <c r="AA98" s="132">
        <f t="shared" si="192"/>
        <v>-1000</v>
      </c>
      <c r="AB98" s="132">
        <f t="shared" si="192"/>
        <v>-1000</v>
      </c>
      <c r="AC98" s="132">
        <f t="shared" si="192"/>
        <v>-1000</v>
      </c>
      <c r="AD98" s="132">
        <f t="shared" si="4"/>
        <v>-10000</v>
      </c>
      <c r="AE98" s="132">
        <f t="shared" ref="AE98:AS98" si="193">H98-1000</f>
        <v>-1000</v>
      </c>
      <c r="AF98" s="132">
        <f t="shared" si="193"/>
        <v>-1000</v>
      </c>
      <c r="AG98" s="132">
        <f t="shared" si="193"/>
        <v>-1000</v>
      </c>
      <c r="AH98" s="132">
        <f t="shared" si="193"/>
        <v>-1000</v>
      </c>
      <c r="AI98" s="132">
        <f t="shared" si="193"/>
        <v>-1000</v>
      </c>
      <c r="AJ98" s="132">
        <f t="shared" si="193"/>
        <v>-1000</v>
      </c>
      <c r="AK98" s="132">
        <f t="shared" si="193"/>
        <v>-1000</v>
      </c>
      <c r="AL98" s="132">
        <f t="shared" si="193"/>
        <v>-1000</v>
      </c>
      <c r="AM98" s="132">
        <f t="shared" si="193"/>
        <v>-1000</v>
      </c>
      <c r="AN98" s="132">
        <f t="shared" si="193"/>
        <v>-1000</v>
      </c>
      <c r="AO98" s="132">
        <f t="shared" si="193"/>
        <v>-1000</v>
      </c>
      <c r="AP98" s="132">
        <f t="shared" si="193"/>
        <v>-1000</v>
      </c>
      <c r="AQ98" s="132">
        <f t="shared" si="193"/>
        <v>-1000</v>
      </c>
      <c r="AR98" s="132">
        <f t="shared" si="193"/>
        <v>-1000</v>
      </c>
      <c r="AS98" s="132">
        <f t="shared" si="193"/>
        <v>-1000</v>
      </c>
    </row>
    <row r="99">
      <c r="A99" s="132" t="s">
        <v>3601</v>
      </c>
      <c r="B99" s="132">
        <v>500.0</v>
      </c>
      <c r="C99" s="132">
        <v>500.0</v>
      </c>
      <c r="D99" s="132">
        <v>0.0</v>
      </c>
      <c r="E99" s="132">
        <v>0.0</v>
      </c>
      <c r="F99" s="132">
        <v>0.0</v>
      </c>
      <c r="G99" s="132">
        <v>0.0</v>
      </c>
      <c r="H99" s="132">
        <v>0.0</v>
      </c>
      <c r="I99" s="132">
        <v>0.0</v>
      </c>
      <c r="J99" s="132">
        <v>0.0</v>
      </c>
      <c r="K99" s="132">
        <v>0.0</v>
      </c>
      <c r="L99" s="132">
        <v>0.0</v>
      </c>
      <c r="M99" s="132">
        <v>0.0</v>
      </c>
      <c r="N99" s="132">
        <v>0.0</v>
      </c>
      <c r="O99" s="132">
        <v>0.0</v>
      </c>
      <c r="P99" s="132">
        <v>0.0</v>
      </c>
      <c r="Q99" s="132">
        <v>0.0</v>
      </c>
      <c r="R99" s="132">
        <v>0.0</v>
      </c>
      <c r="S99" s="132">
        <v>0.0</v>
      </c>
      <c r="T99" s="132">
        <v>0.0</v>
      </c>
      <c r="U99" s="132">
        <v>0.0</v>
      </c>
      <c r="V99" s="132">
        <v>0.0</v>
      </c>
      <c r="W99" s="132">
        <v>0.0</v>
      </c>
      <c r="Y99" s="132" t="s">
        <v>3601</v>
      </c>
      <c r="Z99" s="132">
        <f t="shared" ref="Z99:AC99" si="194">C99-1000</f>
        <v>-500</v>
      </c>
      <c r="AA99" s="132">
        <f t="shared" si="194"/>
        <v>-1000</v>
      </c>
      <c r="AB99" s="132">
        <f t="shared" si="194"/>
        <v>-1000</v>
      </c>
      <c r="AC99" s="132">
        <f t="shared" si="194"/>
        <v>-1000</v>
      </c>
      <c r="AD99" s="132">
        <f t="shared" si="4"/>
        <v>-10000</v>
      </c>
      <c r="AE99" s="132">
        <f t="shared" ref="AE99:AS99" si="195">H99-1000</f>
        <v>-1000</v>
      </c>
      <c r="AF99" s="132">
        <f t="shared" si="195"/>
        <v>-1000</v>
      </c>
      <c r="AG99" s="132">
        <f t="shared" si="195"/>
        <v>-1000</v>
      </c>
      <c r="AH99" s="132">
        <f t="shared" si="195"/>
        <v>-1000</v>
      </c>
      <c r="AI99" s="132">
        <f t="shared" si="195"/>
        <v>-1000</v>
      </c>
      <c r="AJ99" s="132">
        <f t="shared" si="195"/>
        <v>-1000</v>
      </c>
      <c r="AK99" s="132">
        <f t="shared" si="195"/>
        <v>-1000</v>
      </c>
      <c r="AL99" s="132">
        <f t="shared" si="195"/>
        <v>-1000</v>
      </c>
      <c r="AM99" s="132">
        <f t="shared" si="195"/>
        <v>-1000</v>
      </c>
      <c r="AN99" s="132">
        <f t="shared" si="195"/>
        <v>-1000</v>
      </c>
      <c r="AO99" s="132">
        <f t="shared" si="195"/>
        <v>-1000</v>
      </c>
      <c r="AP99" s="132">
        <f t="shared" si="195"/>
        <v>-1000</v>
      </c>
      <c r="AQ99" s="132">
        <f t="shared" si="195"/>
        <v>-1000</v>
      </c>
      <c r="AR99" s="132">
        <f t="shared" si="195"/>
        <v>-1000</v>
      </c>
      <c r="AS99" s="132">
        <f t="shared" si="195"/>
        <v>-1000</v>
      </c>
    </row>
    <row r="100">
      <c r="A100" s="132" t="s">
        <v>3602</v>
      </c>
      <c r="B100" s="132">
        <v>950.0</v>
      </c>
      <c r="C100" s="132">
        <v>950.0</v>
      </c>
      <c r="D100" s="132">
        <v>0.0</v>
      </c>
      <c r="E100" s="132">
        <v>0.0</v>
      </c>
      <c r="F100" s="132">
        <v>0.0</v>
      </c>
      <c r="G100" s="132">
        <v>0.0</v>
      </c>
      <c r="H100" s="132">
        <v>0.0</v>
      </c>
      <c r="I100" s="132">
        <v>0.0</v>
      </c>
      <c r="J100" s="132">
        <v>0.0</v>
      </c>
      <c r="K100" s="132">
        <v>0.0</v>
      </c>
      <c r="L100" s="132">
        <v>0.0</v>
      </c>
      <c r="M100" s="132">
        <v>0.0</v>
      </c>
      <c r="N100" s="132">
        <v>0.0</v>
      </c>
      <c r="O100" s="132">
        <v>0.0</v>
      </c>
      <c r="P100" s="132">
        <v>0.0</v>
      </c>
      <c r="Q100" s="132">
        <v>0.0</v>
      </c>
      <c r="R100" s="132">
        <v>0.0</v>
      </c>
      <c r="S100" s="132">
        <v>0.0</v>
      </c>
      <c r="T100" s="132">
        <v>0.0</v>
      </c>
      <c r="U100" s="132">
        <v>0.0</v>
      </c>
      <c r="V100" s="132">
        <v>0.0</v>
      </c>
      <c r="W100" s="132">
        <v>0.0</v>
      </c>
      <c r="Y100" s="132" t="s">
        <v>3602</v>
      </c>
      <c r="Z100" s="132">
        <f t="shared" ref="Z100:AC100" si="196">C100-1000</f>
        <v>-50</v>
      </c>
      <c r="AA100" s="132">
        <f t="shared" si="196"/>
        <v>-1000</v>
      </c>
      <c r="AB100" s="132">
        <f t="shared" si="196"/>
        <v>-1000</v>
      </c>
      <c r="AC100" s="132">
        <f t="shared" si="196"/>
        <v>-1000</v>
      </c>
      <c r="AD100" s="132">
        <f t="shared" si="4"/>
        <v>-10000</v>
      </c>
      <c r="AE100" s="132">
        <f t="shared" ref="AE100:AS100" si="197">H100-1000</f>
        <v>-1000</v>
      </c>
      <c r="AF100" s="132">
        <f t="shared" si="197"/>
        <v>-1000</v>
      </c>
      <c r="AG100" s="132">
        <f t="shared" si="197"/>
        <v>-1000</v>
      </c>
      <c r="AH100" s="132">
        <f t="shared" si="197"/>
        <v>-1000</v>
      </c>
      <c r="AI100" s="132">
        <f t="shared" si="197"/>
        <v>-1000</v>
      </c>
      <c r="AJ100" s="132">
        <f t="shared" si="197"/>
        <v>-1000</v>
      </c>
      <c r="AK100" s="132">
        <f t="shared" si="197"/>
        <v>-1000</v>
      </c>
      <c r="AL100" s="132">
        <f t="shared" si="197"/>
        <v>-1000</v>
      </c>
      <c r="AM100" s="132">
        <f t="shared" si="197"/>
        <v>-1000</v>
      </c>
      <c r="AN100" s="132">
        <f t="shared" si="197"/>
        <v>-1000</v>
      </c>
      <c r="AO100" s="132">
        <f t="shared" si="197"/>
        <v>-1000</v>
      </c>
      <c r="AP100" s="132">
        <f t="shared" si="197"/>
        <v>-1000</v>
      </c>
      <c r="AQ100" s="132">
        <f t="shared" si="197"/>
        <v>-1000</v>
      </c>
      <c r="AR100" s="132">
        <f t="shared" si="197"/>
        <v>-1000</v>
      </c>
      <c r="AS100" s="132">
        <f t="shared" si="197"/>
        <v>-1000</v>
      </c>
    </row>
    <row r="101">
      <c r="A101" s="132" t="s">
        <v>3603</v>
      </c>
      <c r="B101" s="132">
        <v>500.0</v>
      </c>
      <c r="C101" s="132">
        <v>500.0</v>
      </c>
      <c r="D101" s="132">
        <v>0.0</v>
      </c>
      <c r="E101" s="132">
        <v>0.0</v>
      </c>
      <c r="F101" s="132">
        <v>0.0</v>
      </c>
      <c r="G101" s="132">
        <v>0.0</v>
      </c>
      <c r="H101" s="132">
        <v>0.0</v>
      </c>
      <c r="I101" s="132">
        <v>0.0</v>
      </c>
      <c r="J101" s="132">
        <v>0.0</v>
      </c>
      <c r="K101" s="132">
        <v>0.0</v>
      </c>
      <c r="L101" s="132">
        <v>0.0</v>
      </c>
      <c r="M101" s="132">
        <v>0.0</v>
      </c>
      <c r="N101" s="132">
        <v>0.0</v>
      </c>
      <c r="O101" s="132">
        <v>0.0</v>
      </c>
      <c r="P101" s="132">
        <v>0.0</v>
      </c>
      <c r="Q101" s="132">
        <v>0.0</v>
      </c>
      <c r="R101" s="132">
        <v>0.0</v>
      </c>
      <c r="S101" s="132">
        <v>0.0</v>
      </c>
      <c r="T101" s="132">
        <v>0.0</v>
      </c>
      <c r="U101" s="132">
        <v>0.0</v>
      </c>
      <c r="V101" s="132">
        <v>0.0</v>
      </c>
      <c r="W101" s="132">
        <v>0.0</v>
      </c>
      <c r="Y101" s="132" t="s">
        <v>3603</v>
      </c>
      <c r="Z101" s="132">
        <f t="shared" ref="Z101:AC101" si="198">C101-1000</f>
        <v>-500</v>
      </c>
      <c r="AA101" s="132">
        <f t="shared" si="198"/>
        <v>-1000</v>
      </c>
      <c r="AB101" s="132">
        <f t="shared" si="198"/>
        <v>-1000</v>
      </c>
      <c r="AC101" s="132">
        <f t="shared" si="198"/>
        <v>-1000</v>
      </c>
      <c r="AD101" s="132">
        <f t="shared" si="4"/>
        <v>-10000</v>
      </c>
      <c r="AE101" s="132">
        <f t="shared" ref="AE101:AS101" si="199">H101-1000</f>
        <v>-1000</v>
      </c>
      <c r="AF101" s="132">
        <f t="shared" si="199"/>
        <v>-1000</v>
      </c>
      <c r="AG101" s="132">
        <f t="shared" si="199"/>
        <v>-1000</v>
      </c>
      <c r="AH101" s="132">
        <f t="shared" si="199"/>
        <v>-1000</v>
      </c>
      <c r="AI101" s="132">
        <f t="shared" si="199"/>
        <v>-1000</v>
      </c>
      <c r="AJ101" s="132">
        <f t="shared" si="199"/>
        <v>-1000</v>
      </c>
      <c r="AK101" s="132">
        <f t="shared" si="199"/>
        <v>-1000</v>
      </c>
      <c r="AL101" s="132">
        <f t="shared" si="199"/>
        <v>-1000</v>
      </c>
      <c r="AM101" s="132">
        <f t="shared" si="199"/>
        <v>-1000</v>
      </c>
      <c r="AN101" s="132">
        <f t="shared" si="199"/>
        <v>-1000</v>
      </c>
      <c r="AO101" s="132">
        <f t="shared" si="199"/>
        <v>-1000</v>
      </c>
      <c r="AP101" s="132">
        <f t="shared" si="199"/>
        <v>-1000</v>
      </c>
      <c r="AQ101" s="132">
        <f t="shared" si="199"/>
        <v>-1000</v>
      </c>
      <c r="AR101" s="132">
        <f t="shared" si="199"/>
        <v>-1000</v>
      </c>
      <c r="AS101" s="132">
        <f t="shared" si="199"/>
        <v>-1000</v>
      </c>
    </row>
    <row r="102">
      <c r="A102" s="132" t="s">
        <v>3604</v>
      </c>
      <c r="B102" s="132">
        <v>750.0</v>
      </c>
      <c r="C102" s="132">
        <v>750.0</v>
      </c>
      <c r="D102" s="132">
        <v>0.0</v>
      </c>
      <c r="E102" s="132">
        <v>0.0</v>
      </c>
      <c r="F102" s="132">
        <v>0.0</v>
      </c>
      <c r="G102" s="132">
        <v>0.0</v>
      </c>
      <c r="H102" s="132">
        <v>0.0</v>
      </c>
      <c r="I102" s="132">
        <v>0.0</v>
      </c>
      <c r="J102" s="132">
        <v>0.0</v>
      </c>
      <c r="K102" s="132">
        <v>0.0</v>
      </c>
      <c r="L102" s="132">
        <v>0.0</v>
      </c>
      <c r="M102" s="132">
        <v>0.0</v>
      </c>
      <c r="N102" s="132">
        <v>0.0</v>
      </c>
      <c r="O102" s="132">
        <v>0.0</v>
      </c>
      <c r="P102" s="132">
        <v>0.0</v>
      </c>
      <c r="Q102" s="132">
        <v>0.0</v>
      </c>
      <c r="R102" s="132">
        <v>0.0</v>
      </c>
      <c r="S102" s="132">
        <v>0.0</v>
      </c>
      <c r="T102" s="132">
        <v>0.0</v>
      </c>
      <c r="U102" s="132">
        <v>0.0</v>
      </c>
      <c r="V102" s="132">
        <v>0.0</v>
      </c>
      <c r="W102" s="132">
        <v>0.0</v>
      </c>
      <c r="Y102" s="132" t="s">
        <v>3604</v>
      </c>
      <c r="Z102" s="132">
        <f t="shared" ref="Z102:AC102" si="200">C102-1000</f>
        <v>-250</v>
      </c>
      <c r="AA102" s="132">
        <f t="shared" si="200"/>
        <v>-1000</v>
      </c>
      <c r="AB102" s="132">
        <f t="shared" si="200"/>
        <v>-1000</v>
      </c>
      <c r="AC102" s="132">
        <f t="shared" si="200"/>
        <v>-1000</v>
      </c>
      <c r="AD102" s="132">
        <f t="shared" si="4"/>
        <v>-10000</v>
      </c>
      <c r="AE102" s="132">
        <f t="shared" ref="AE102:AS102" si="201">H102-1000</f>
        <v>-1000</v>
      </c>
      <c r="AF102" s="132">
        <f t="shared" si="201"/>
        <v>-1000</v>
      </c>
      <c r="AG102" s="132">
        <f t="shared" si="201"/>
        <v>-1000</v>
      </c>
      <c r="AH102" s="132">
        <f t="shared" si="201"/>
        <v>-1000</v>
      </c>
      <c r="AI102" s="132">
        <f t="shared" si="201"/>
        <v>-1000</v>
      </c>
      <c r="AJ102" s="132">
        <f t="shared" si="201"/>
        <v>-1000</v>
      </c>
      <c r="AK102" s="132">
        <f t="shared" si="201"/>
        <v>-1000</v>
      </c>
      <c r="AL102" s="132">
        <f t="shared" si="201"/>
        <v>-1000</v>
      </c>
      <c r="AM102" s="132">
        <f t="shared" si="201"/>
        <v>-1000</v>
      </c>
      <c r="AN102" s="132">
        <f t="shared" si="201"/>
        <v>-1000</v>
      </c>
      <c r="AO102" s="132">
        <f t="shared" si="201"/>
        <v>-1000</v>
      </c>
      <c r="AP102" s="132">
        <f t="shared" si="201"/>
        <v>-1000</v>
      </c>
      <c r="AQ102" s="132">
        <f t="shared" si="201"/>
        <v>-1000</v>
      </c>
      <c r="AR102" s="132">
        <f t="shared" si="201"/>
        <v>-1000</v>
      </c>
      <c r="AS102" s="132">
        <f t="shared" si="201"/>
        <v>-1000</v>
      </c>
    </row>
    <row r="103">
      <c r="A103" s="132" t="s">
        <v>3605</v>
      </c>
      <c r="B103" s="132">
        <v>2000.0</v>
      </c>
      <c r="C103" s="132">
        <v>500.0</v>
      </c>
      <c r="D103" s="132">
        <v>0.0</v>
      </c>
      <c r="E103" s="132">
        <v>0.0</v>
      </c>
      <c r="F103" s="132">
        <v>0.0</v>
      </c>
      <c r="G103" s="132">
        <v>1500.0</v>
      </c>
      <c r="H103" s="132">
        <v>0.0</v>
      </c>
      <c r="I103" s="132">
        <v>0.0</v>
      </c>
      <c r="J103" s="132">
        <v>0.0</v>
      </c>
      <c r="K103" s="132">
        <v>0.0</v>
      </c>
      <c r="L103" s="132">
        <v>0.0</v>
      </c>
      <c r="M103" s="132">
        <v>0.0</v>
      </c>
      <c r="N103" s="132">
        <v>0.0</v>
      </c>
      <c r="O103" s="132">
        <v>0.0</v>
      </c>
      <c r="P103" s="132">
        <v>0.0</v>
      </c>
      <c r="Q103" s="132">
        <v>0.0</v>
      </c>
      <c r="R103" s="132">
        <v>0.0</v>
      </c>
      <c r="S103" s="132">
        <v>0.0</v>
      </c>
      <c r="T103" s="132">
        <v>0.0</v>
      </c>
      <c r="U103" s="132">
        <v>0.0</v>
      </c>
      <c r="V103" s="132">
        <v>0.0</v>
      </c>
      <c r="W103" s="132">
        <v>1.0</v>
      </c>
      <c r="Y103" s="132" t="s">
        <v>3605</v>
      </c>
      <c r="Z103" s="132">
        <f t="shared" ref="Z103:AC103" si="202">C103-1000</f>
        <v>-500</v>
      </c>
      <c r="AA103" s="132">
        <f t="shared" si="202"/>
        <v>-1000</v>
      </c>
      <c r="AB103" s="132">
        <f t="shared" si="202"/>
        <v>-1000</v>
      </c>
      <c r="AC103" s="132">
        <f t="shared" si="202"/>
        <v>-1000</v>
      </c>
      <c r="AD103" s="132">
        <f t="shared" si="4"/>
        <v>-8500</v>
      </c>
      <c r="AE103" s="132">
        <f t="shared" ref="AE103:AS103" si="203">H103-1000</f>
        <v>-1000</v>
      </c>
      <c r="AF103" s="132">
        <f t="shared" si="203"/>
        <v>-1000</v>
      </c>
      <c r="AG103" s="132">
        <f t="shared" si="203"/>
        <v>-1000</v>
      </c>
      <c r="AH103" s="132">
        <f t="shared" si="203"/>
        <v>-1000</v>
      </c>
      <c r="AI103" s="132">
        <f t="shared" si="203"/>
        <v>-1000</v>
      </c>
      <c r="AJ103" s="132">
        <f t="shared" si="203"/>
        <v>-1000</v>
      </c>
      <c r="AK103" s="132">
        <f t="shared" si="203"/>
        <v>-1000</v>
      </c>
      <c r="AL103" s="132">
        <f t="shared" si="203"/>
        <v>-1000</v>
      </c>
      <c r="AM103" s="132">
        <f t="shared" si="203"/>
        <v>-1000</v>
      </c>
      <c r="AN103" s="132">
        <f t="shared" si="203"/>
        <v>-1000</v>
      </c>
      <c r="AO103" s="132">
        <f t="shared" si="203"/>
        <v>-1000</v>
      </c>
      <c r="AP103" s="132">
        <f t="shared" si="203"/>
        <v>-1000</v>
      </c>
      <c r="AQ103" s="132">
        <f t="shared" si="203"/>
        <v>-1000</v>
      </c>
      <c r="AR103" s="132">
        <f t="shared" si="203"/>
        <v>-1000</v>
      </c>
      <c r="AS103" s="132">
        <f t="shared" si="203"/>
        <v>-1000</v>
      </c>
    </row>
    <row r="104">
      <c r="A104" s="132" t="s">
        <v>3606</v>
      </c>
      <c r="B104" s="132">
        <v>250.0</v>
      </c>
      <c r="C104" s="132">
        <v>250.0</v>
      </c>
      <c r="D104" s="132">
        <v>0.0</v>
      </c>
      <c r="E104" s="132">
        <v>0.0</v>
      </c>
      <c r="F104" s="132">
        <v>0.0</v>
      </c>
      <c r="G104" s="132">
        <v>0.0</v>
      </c>
      <c r="H104" s="132">
        <v>0.0</v>
      </c>
      <c r="I104" s="132">
        <v>0.0</v>
      </c>
      <c r="J104" s="132">
        <v>0.0</v>
      </c>
      <c r="K104" s="132">
        <v>0.0</v>
      </c>
      <c r="L104" s="132">
        <v>0.0</v>
      </c>
      <c r="M104" s="132">
        <v>0.0</v>
      </c>
      <c r="N104" s="132">
        <v>0.0</v>
      </c>
      <c r="O104" s="132">
        <v>0.0</v>
      </c>
      <c r="P104" s="132">
        <v>0.0</v>
      </c>
      <c r="Q104" s="132">
        <v>0.0</v>
      </c>
      <c r="R104" s="132">
        <v>0.0</v>
      </c>
      <c r="S104" s="132">
        <v>0.0</v>
      </c>
      <c r="T104" s="132">
        <v>0.0</v>
      </c>
      <c r="U104" s="132">
        <v>0.0</v>
      </c>
      <c r="V104" s="132">
        <v>0.0</v>
      </c>
      <c r="W104" s="132">
        <v>0.0</v>
      </c>
      <c r="Y104" s="132" t="s">
        <v>3606</v>
      </c>
      <c r="Z104" s="132">
        <f t="shared" ref="Z104:AC104" si="204">C104-1000</f>
        <v>-750</v>
      </c>
      <c r="AA104" s="132">
        <f t="shared" si="204"/>
        <v>-1000</v>
      </c>
      <c r="AB104" s="132">
        <f t="shared" si="204"/>
        <v>-1000</v>
      </c>
      <c r="AC104" s="132">
        <f t="shared" si="204"/>
        <v>-1000</v>
      </c>
      <c r="AD104" s="132">
        <f t="shared" si="4"/>
        <v>-10000</v>
      </c>
      <c r="AE104" s="132">
        <f t="shared" ref="AE104:AS104" si="205">H104-1000</f>
        <v>-1000</v>
      </c>
      <c r="AF104" s="132">
        <f t="shared" si="205"/>
        <v>-1000</v>
      </c>
      <c r="AG104" s="132">
        <f t="shared" si="205"/>
        <v>-1000</v>
      </c>
      <c r="AH104" s="132">
        <f t="shared" si="205"/>
        <v>-1000</v>
      </c>
      <c r="AI104" s="132">
        <f t="shared" si="205"/>
        <v>-1000</v>
      </c>
      <c r="AJ104" s="132">
        <f t="shared" si="205"/>
        <v>-1000</v>
      </c>
      <c r="AK104" s="132">
        <f t="shared" si="205"/>
        <v>-1000</v>
      </c>
      <c r="AL104" s="132">
        <f t="shared" si="205"/>
        <v>-1000</v>
      </c>
      <c r="AM104" s="132">
        <f t="shared" si="205"/>
        <v>-1000</v>
      </c>
      <c r="AN104" s="132">
        <f t="shared" si="205"/>
        <v>-1000</v>
      </c>
      <c r="AO104" s="132">
        <f t="shared" si="205"/>
        <v>-1000</v>
      </c>
      <c r="AP104" s="132">
        <f t="shared" si="205"/>
        <v>-1000</v>
      </c>
      <c r="AQ104" s="132">
        <f t="shared" si="205"/>
        <v>-1000</v>
      </c>
      <c r="AR104" s="132">
        <f t="shared" si="205"/>
        <v>-1000</v>
      </c>
      <c r="AS104" s="132">
        <f t="shared" si="205"/>
        <v>-1000</v>
      </c>
    </row>
    <row r="105">
      <c r="A105" s="132" t="s">
        <v>3607</v>
      </c>
      <c r="B105" s="132">
        <v>500.0</v>
      </c>
      <c r="C105" s="132">
        <v>500.0</v>
      </c>
      <c r="D105" s="132">
        <v>0.0</v>
      </c>
      <c r="E105" s="132">
        <v>0.0</v>
      </c>
      <c r="F105" s="132">
        <v>0.0</v>
      </c>
      <c r="G105" s="132">
        <v>0.0</v>
      </c>
      <c r="H105" s="132">
        <v>0.0</v>
      </c>
      <c r="I105" s="132">
        <v>0.0</v>
      </c>
      <c r="J105" s="132">
        <v>0.0</v>
      </c>
      <c r="K105" s="132">
        <v>0.0</v>
      </c>
      <c r="L105" s="132">
        <v>0.0</v>
      </c>
      <c r="M105" s="132">
        <v>0.0</v>
      </c>
      <c r="N105" s="132">
        <v>0.0</v>
      </c>
      <c r="O105" s="132">
        <v>0.0</v>
      </c>
      <c r="P105" s="132">
        <v>0.0</v>
      </c>
      <c r="Q105" s="132">
        <v>0.0</v>
      </c>
      <c r="R105" s="132">
        <v>0.0</v>
      </c>
      <c r="S105" s="132">
        <v>0.0</v>
      </c>
      <c r="T105" s="132">
        <v>0.0</v>
      </c>
      <c r="U105" s="132">
        <v>0.0</v>
      </c>
      <c r="V105" s="132">
        <v>0.0</v>
      </c>
      <c r="W105" s="132">
        <v>0.0</v>
      </c>
      <c r="Y105" s="132" t="s">
        <v>3607</v>
      </c>
      <c r="Z105" s="132">
        <f t="shared" ref="Z105:AC105" si="206">C105-1000</f>
        <v>-500</v>
      </c>
      <c r="AA105" s="132">
        <f t="shared" si="206"/>
        <v>-1000</v>
      </c>
      <c r="AB105" s="132">
        <f t="shared" si="206"/>
        <v>-1000</v>
      </c>
      <c r="AC105" s="132">
        <f t="shared" si="206"/>
        <v>-1000</v>
      </c>
      <c r="AD105" s="132">
        <f t="shared" si="4"/>
        <v>-10000</v>
      </c>
      <c r="AE105" s="132">
        <f t="shared" ref="AE105:AS105" si="207">H105-1000</f>
        <v>-1000</v>
      </c>
      <c r="AF105" s="132">
        <f t="shared" si="207"/>
        <v>-1000</v>
      </c>
      <c r="AG105" s="132">
        <f t="shared" si="207"/>
        <v>-1000</v>
      </c>
      <c r="AH105" s="132">
        <f t="shared" si="207"/>
        <v>-1000</v>
      </c>
      <c r="AI105" s="132">
        <f t="shared" si="207"/>
        <v>-1000</v>
      </c>
      <c r="AJ105" s="132">
        <f t="shared" si="207"/>
        <v>-1000</v>
      </c>
      <c r="AK105" s="132">
        <f t="shared" si="207"/>
        <v>-1000</v>
      </c>
      <c r="AL105" s="132">
        <f t="shared" si="207"/>
        <v>-1000</v>
      </c>
      <c r="AM105" s="132">
        <f t="shared" si="207"/>
        <v>-1000</v>
      </c>
      <c r="AN105" s="132">
        <f t="shared" si="207"/>
        <v>-1000</v>
      </c>
      <c r="AO105" s="132">
        <f t="shared" si="207"/>
        <v>-1000</v>
      </c>
      <c r="AP105" s="132">
        <f t="shared" si="207"/>
        <v>-1000</v>
      </c>
      <c r="AQ105" s="132">
        <f t="shared" si="207"/>
        <v>-1000</v>
      </c>
      <c r="AR105" s="132">
        <f t="shared" si="207"/>
        <v>-1000</v>
      </c>
      <c r="AS105" s="132">
        <f t="shared" si="207"/>
        <v>-1000</v>
      </c>
    </row>
    <row r="106">
      <c r="A106" s="132" t="s">
        <v>3608</v>
      </c>
      <c r="B106" s="132">
        <v>500.0</v>
      </c>
      <c r="C106" s="132">
        <v>500.0</v>
      </c>
      <c r="D106" s="132">
        <v>0.0</v>
      </c>
      <c r="E106" s="132">
        <v>0.0</v>
      </c>
      <c r="F106" s="132">
        <v>0.0</v>
      </c>
      <c r="G106" s="132">
        <v>0.0</v>
      </c>
      <c r="H106" s="132">
        <v>0.0</v>
      </c>
      <c r="I106" s="132">
        <v>0.0</v>
      </c>
      <c r="J106" s="132">
        <v>0.0</v>
      </c>
      <c r="K106" s="132">
        <v>0.0</v>
      </c>
      <c r="L106" s="132">
        <v>0.0</v>
      </c>
      <c r="M106" s="132">
        <v>0.0</v>
      </c>
      <c r="N106" s="132">
        <v>0.0</v>
      </c>
      <c r="O106" s="132">
        <v>0.0</v>
      </c>
      <c r="P106" s="132">
        <v>0.0</v>
      </c>
      <c r="Q106" s="132">
        <v>0.0</v>
      </c>
      <c r="R106" s="132">
        <v>0.0</v>
      </c>
      <c r="S106" s="132">
        <v>0.0</v>
      </c>
      <c r="T106" s="132">
        <v>0.0</v>
      </c>
      <c r="U106" s="132">
        <v>0.0</v>
      </c>
      <c r="V106" s="132">
        <v>0.0</v>
      </c>
      <c r="W106" s="132">
        <v>0.0</v>
      </c>
      <c r="Y106" s="132" t="s">
        <v>3608</v>
      </c>
      <c r="Z106" s="132">
        <f t="shared" ref="Z106:AC106" si="208">C106-1000</f>
        <v>-500</v>
      </c>
      <c r="AA106" s="132">
        <f t="shared" si="208"/>
        <v>-1000</v>
      </c>
      <c r="AB106" s="132">
        <f t="shared" si="208"/>
        <v>-1000</v>
      </c>
      <c r="AC106" s="132">
        <f t="shared" si="208"/>
        <v>-1000</v>
      </c>
      <c r="AD106" s="132">
        <f t="shared" si="4"/>
        <v>-10000</v>
      </c>
      <c r="AE106" s="132">
        <f t="shared" ref="AE106:AS106" si="209">H106-1000</f>
        <v>-1000</v>
      </c>
      <c r="AF106" s="132">
        <f t="shared" si="209"/>
        <v>-1000</v>
      </c>
      <c r="AG106" s="132">
        <f t="shared" si="209"/>
        <v>-1000</v>
      </c>
      <c r="AH106" s="132">
        <f t="shared" si="209"/>
        <v>-1000</v>
      </c>
      <c r="AI106" s="132">
        <f t="shared" si="209"/>
        <v>-1000</v>
      </c>
      <c r="AJ106" s="132">
        <f t="shared" si="209"/>
        <v>-1000</v>
      </c>
      <c r="AK106" s="132">
        <f t="shared" si="209"/>
        <v>-1000</v>
      </c>
      <c r="AL106" s="132">
        <f t="shared" si="209"/>
        <v>-1000</v>
      </c>
      <c r="AM106" s="132">
        <f t="shared" si="209"/>
        <v>-1000</v>
      </c>
      <c r="AN106" s="132">
        <f t="shared" si="209"/>
        <v>-1000</v>
      </c>
      <c r="AO106" s="132">
        <f t="shared" si="209"/>
        <v>-1000</v>
      </c>
      <c r="AP106" s="132">
        <f t="shared" si="209"/>
        <v>-1000</v>
      </c>
      <c r="AQ106" s="132">
        <f t="shared" si="209"/>
        <v>-1000</v>
      </c>
      <c r="AR106" s="132">
        <f t="shared" si="209"/>
        <v>-1000</v>
      </c>
      <c r="AS106" s="132">
        <f t="shared" si="209"/>
        <v>-1000</v>
      </c>
    </row>
    <row r="107">
      <c r="A107" s="132" t="s">
        <v>3609</v>
      </c>
      <c r="B107" s="132">
        <v>500.0</v>
      </c>
      <c r="C107" s="132">
        <v>500.0</v>
      </c>
      <c r="D107" s="132">
        <v>0.0</v>
      </c>
      <c r="E107" s="132">
        <v>0.0</v>
      </c>
      <c r="F107" s="132">
        <v>0.0</v>
      </c>
      <c r="G107" s="132">
        <v>0.0</v>
      </c>
      <c r="H107" s="132">
        <v>0.0</v>
      </c>
      <c r="I107" s="132">
        <v>0.0</v>
      </c>
      <c r="J107" s="132">
        <v>0.0</v>
      </c>
      <c r="K107" s="132">
        <v>0.0</v>
      </c>
      <c r="L107" s="132">
        <v>0.0</v>
      </c>
      <c r="M107" s="132">
        <v>0.0</v>
      </c>
      <c r="N107" s="132">
        <v>0.0</v>
      </c>
      <c r="O107" s="132">
        <v>0.0</v>
      </c>
      <c r="P107" s="132">
        <v>0.0</v>
      </c>
      <c r="Q107" s="132">
        <v>0.0</v>
      </c>
      <c r="R107" s="132">
        <v>0.0</v>
      </c>
      <c r="S107" s="132">
        <v>0.0</v>
      </c>
      <c r="T107" s="132">
        <v>0.0</v>
      </c>
      <c r="U107" s="132">
        <v>0.0</v>
      </c>
      <c r="V107" s="132">
        <v>0.0</v>
      </c>
      <c r="W107" s="132">
        <v>0.0</v>
      </c>
      <c r="Y107" s="132" t="s">
        <v>3609</v>
      </c>
      <c r="Z107" s="132">
        <f t="shared" ref="Z107:AC107" si="210">C107-1000</f>
        <v>-500</v>
      </c>
      <c r="AA107" s="132">
        <f t="shared" si="210"/>
        <v>-1000</v>
      </c>
      <c r="AB107" s="132">
        <f t="shared" si="210"/>
        <v>-1000</v>
      </c>
      <c r="AC107" s="132">
        <f t="shared" si="210"/>
        <v>-1000</v>
      </c>
      <c r="AD107" s="132">
        <f t="shared" si="4"/>
        <v>-10000</v>
      </c>
      <c r="AE107" s="132">
        <f t="shared" ref="AE107:AS107" si="211">H107-1000</f>
        <v>-1000</v>
      </c>
      <c r="AF107" s="132">
        <f t="shared" si="211"/>
        <v>-1000</v>
      </c>
      <c r="AG107" s="132">
        <f t="shared" si="211"/>
        <v>-1000</v>
      </c>
      <c r="AH107" s="132">
        <f t="shared" si="211"/>
        <v>-1000</v>
      </c>
      <c r="AI107" s="132">
        <f t="shared" si="211"/>
        <v>-1000</v>
      </c>
      <c r="AJ107" s="132">
        <f t="shared" si="211"/>
        <v>-1000</v>
      </c>
      <c r="AK107" s="132">
        <f t="shared" si="211"/>
        <v>-1000</v>
      </c>
      <c r="AL107" s="132">
        <f t="shared" si="211"/>
        <v>-1000</v>
      </c>
      <c r="AM107" s="132">
        <f t="shared" si="211"/>
        <v>-1000</v>
      </c>
      <c r="AN107" s="132">
        <f t="shared" si="211"/>
        <v>-1000</v>
      </c>
      <c r="AO107" s="132">
        <f t="shared" si="211"/>
        <v>-1000</v>
      </c>
      <c r="AP107" s="132">
        <f t="shared" si="211"/>
        <v>-1000</v>
      </c>
      <c r="AQ107" s="132">
        <f t="shared" si="211"/>
        <v>-1000</v>
      </c>
      <c r="AR107" s="132">
        <f t="shared" si="211"/>
        <v>-1000</v>
      </c>
      <c r="AS107" s="132">
        <f t="shared" si="211"/>
        <v>-1000</v>
      </c>
    </row>
    <row r="108">
      <c r="A108" s="132" t="s">
        <v>3610</v>
      </c>
      <c r="B108" s="132">
        <v>833.0</v>
      </c>
      <c r="C108" s="132">
        <v>833.0</v>
      </c>
      <c r="D108" s="132">
        <v>0.0</v>
      </c>
      <c r="E108" s="132">
        <v>0.0</v>
      </c>
      <c r="F108" s="132">
        <v>0.0</v>
      </c>
      <c r="G108" s="132">
        <v>0.0</v>
      </c>
      <c r="H108" s="132">
        <v>0.0</v>
      </c>
      <c r="I108" s="132">
        <v>0.0</v>
      </c>
      <c r="J108" s="132">
        <v>0.0</v>
      </c>
      <c r="K108" s="132">
        <v>0.0</v>
      </c>
      <c r="L108" s="132">
        <v>0.0</v>
      </c>
      <c r="M108" s="132">
        <v>0.0</v>
      </c>
      <c r="N108" s="132">
        <v>0.0</v>
      </c>
      <c r="O108" s="132">
        <v>0.0</v>
      </c>
      <c r="P108" s="132">
        <v>0.0</v>
      </c>
      <c r="Q108" s="132">
        <v>0.0</v>
      </c>
      <c r="R108" s="132">
        <v>0.0</v>
      </c>
      <c r="S108" s="132">
        <v>0.0</v>
      </c>
      <c r="T108" s="132">
        <v>0.0</v>
      </c>
      <c r="U108" s="132">
        <v>0.0</v>
      </c>
      <c r="V108" s="132">
        <v>0.0</v>
      </c>
      <c r="W108" s="132">
        <v>0.0</v>
      </c>
      <c r="Y108" s="132" t="s">
        <v>3610</v>
      </c>
      <c r="Z108" s="132">
        <f t="shared" ref="Z108:AC108" si="212">C108-1000</f>
        <v>-167</v>
      </c>
      <c r="AA108" s="132">
        <f t="shared" si="212"/>
        <v>-1000</v>
      </c>
      <c r="AB108" s="132">
        <f t="shared" si="212"/>
        <v>-1000</v>
      </c>
      <c r="AC108" s="132">
        <f t="shared" si="212"/>
        <v>-1000</v>
      </c>
      <c r="AD108" s="132">
        <f t="shared" si="4"/>
        <v>-10000</v>
      </c>
      <c r="AE108" s="132">
        <f t="shared" ref="AE108:AS108" si="213">H108-1000</f>
        <v>-1000</v>
      </c>
      <c r="AF108" s="132">
        <f t="shared" si="213"/>
        <v>-1000</v>
      </c>
      <c r="AG108" s="132">
        <f t="shared" si="213"/>
        <v>-1000</v>
      </c>
      <c r="AH108" s="132">
        <f t="shared" si="213"/>
        <v>-1000</v>
      </c>
      <c r="AI108" s="132">
        <f t="shared" si="213"/>
        <v>-1000</v>
      </c>
      <c r="AJ108" s="132">
        <f t="shared" si="213"/>
        <v>-1000</v>
      </c>
      <c r="AK108" s="132">
        <f t="shared" si="213"/>
        <v>-1000</v>
      </c>
      <c r="AL108" s="132">
        <f t="shared" si="213"/>
        <v>-1000</v>
      </c>
      <c r="AM108" s="132">
        <f t="shared" si="213"/>
        <v>-1000</v>
      </c>
      <c r="AN108" s="132">
        <f t="shared" si="213"/>
        <v>-1000</v>
      </c>
      <c r="AO108" s="132">
        <f t="shared" si="213"/>
        <v>-1000</v>
      </c>
      <c r="AP108" s="132">
        <f t="shared" si="213"/>
        <v>-1000</v>
      </c>
      <c r="AQ108" s="132">
        <f t="shared" si="213"/>
        <v>-1000</v>
      </c>
      <c r="AR108" s="132">
        <f t="shared" si="213"/>
        <v>-1000</v>
      </c>
      <c r="AS108" s="132">
        <f t="shared" si="213"/>
        <v>-1000</v>
      </c>
    </row>
    <row r="109">
      <c r="A109" s="132" t="s">
        <v>3611</v>
      </c>
      <c r="B109" s="132">
        <v>1000.0</v>
      </c>
      <c r="C109" s="132">
        <v>1000.0</v>
      </c>
      <c r="D109" s="132">
        <v>0.0</v>
      </c>
      <c r="E109" s="132">
        <v>0.0</v>
      </c>
      <c r="F109" s="132">
        <v>0.0</v>
      </c>
      <c r="G109" s="132">
        <v>0.0</v>
      </c>
      <c r="H109" s="132">
        <v>0.0</v>
      </c>
      <c r="I109" s="132">
        <v>0.0</v>
      </c>
      <c r="J109" s="132">
        <v>0.0</v>
      </c>
      <c r="K109" s="132">
        <v>0.0</v>
      </c>
      <c r="L109" s="132">
        <v>0.0</v>
      </c>
      <c r="M109" s="132">
        <v>0.0</v>
      </c>
      <c r="N109" s="132">
        <v>0.0</v>
      </c>
      <c r="O109" s="132">
        <v>0.0</v>
      </c>
      <c r="P109" s="132">
        <v>0.0</v>
      </c>
      <c r="Q109" s="132">
        <v>0.0</v>
      </c>
      <c r="R109" s="132">
        <v>0.0</v>
      </c>
      <c r="S109" s="132">
        <v>0.0</v>
      </c>
      <c r="T109" s="132">
        <v>0.0</v>
      </c>
      <c r="U109" s="132">
        <v>0.0</v>
      </c>
      <c r="V109" s="132">
        <v>0.0</v>
      </c>
      <c r="W109" s="132">
        <v>0.0</v>
      </c>
      <c r="Y109" s="132" t="s">
        <v>3611</v>
      </c>
      <c r="Z109" s="132">
        <f t="shared" ref="Z109:AC109" si="214">C109-1000</f>
        <v>0</v>
      </c>
      <c r="AA109" s="132">
        <f t="shared" si="214"/>
        <v>-1000</v>
      </c>
      <c r="AB109" s="132">
        <f t="shared" si="214"/>
        <v>-1000</v>
      </c>
      <c r="AC109" s="132">
        <f t="shared" si="214"/>
        <v>-1000</v>
      </c>
      <c r="AD109" s="132">
        <f t="shared" si="4"/>
        <v>-10000</v>
      </c>
      <c r="AE109" s="132">
        <f t="shared" ref="AE109:AS109" si="215">H109-1000</f>
        <v>-1000</v>
      </c>
      <c r="AF109" s="132">
        <f t="shared" si="215"/>
        <v>-1000</v>
      </c>
      <c r="AG109" s="132">
        <f t="shared" si="215"/>
        <v>-1000</v>
      </c>
      <c r="AH109" s="132">
        <f t="shared" si="215"/>
        <v>-1000</v>
      </c>
      <c r="AI109" s="132">
        <f t="shared" si="215"/>
        <v>-1000</v>
      </c>
      <c r="AJ109" s="132">
        <f t="shared" si="215"/>
        <v>-1000</v>
      </c>
      <c r="AK109" s="132">
        <f t="shared" si="215"/>
        <v>-1000</v>
      </c>
      <c r="AL109" s="132">
        <f t="shared" si="215"/>
        <v>-1000</v>
      </c>
      <c r="AM109" s="132">
        <f t="shared" si="215"/>
        <v>-1000</v>
      </c>
      <c r="AN109" s="132">
        <f t="shared" si="215"/>
        <v>-1000</v>
      </c>
      <c r="AO109" s="132">
        <f t="shared" si="215"/>
        <v>-1000</v>
      </c>
      <c r="AP109" s="132">
        <f t="shared" si="215"/>
        <v>-1000</v>
      </c>
      <c r="AQ109" s="132">
        <f t="shared" si="215"/>
        <v>-1000</v>
      </c>
      <c r="AR109" s="132">
        <f t="shared" si="215"/>
        <v>-1000</v>
      </c>
      <c r="AS109" s="132">
        <f t="shared" si="215"/>
        <v>-1000</v>
      </c>
    </row>
    <row r="110">
      <c r="A110" s="132" t="s">
        <v>3612</v>
      </c>
      <c r="B110" s="132">
        <v>100.0</v>
      </c>
      <c r="C110" s="132">
        <v>100.0</v>
      </c>
      <c r="D110" s="132">
        <v>0.0</v>
      </c>
      <c r="E110" s="132">
        <v>0.0</v>
      </c>
      <c r="F110" s="132">
        <v>0.0</v>
      </c>
      <c r="G110" s="132">
        <v>0.0</v>
      </c>
      <c r="H110" s="132">
        <v>0.0</v>
      </c>
      <c r="I110" s="132">
        <v>0.0</v>
      </c>
      <c r="J110" s="132">
        <v>0.0</v>
      </c>
      <c r="K110" s="132">
        <v>0.0</v>
      </c>
      <c r="L110" s="132">
        <v>0.0</v>
      </c>
      <c r="M110" s="132">
        <v>0.0</v>
      </c>
      <c r="N110" s="132">
        <v>0.0</v>
      </c>
      <c r="O110" s="132">
        <v>0.0</v>
      </c>
      <c r="P110" s="132">
        <v>0.0</v>
      </c>
      <c r="Q110" s="132">
        <v>0.0</v>
      </c>
      <c r="R110" s="132">
        <v>0.0</v>
      </c>
      <c r="S110" s="132">
        <v>0.0</v>
      </c>
      <c r="T110" s="132">
        <v>0.0</v>
      </c>
      <c r="U110" s="132">
        <v>0.0</v>
      </c>
      <c r="V110" s="132">
        <v>0.0</v>
      </c>
      <c r="W110" s="132">
        <v>0.0</v>
      </c>
      <c r="Y110" s="132" t="s">
        <v>3612</v>
      </c>
      <c r="Z110" s="132">
        <f t="shared" ref="Z110:AC110" si="216">C110-1000</f>
        <v>-900</v>
      </c>
      <c r="AA110" s="132">
        <f t="shared" si="216"/>
        <v>-1000</v>
      </c>
      <c r="AB110" s="132">
        <f t="shared" si="216"/>
        <v>-1000</v>
      </c>
      <c r="AC110" s="132">
        <f t="shared" si="216"/>
        <v>-1000</v>
      </c>
      <c r="AD110" s="132">
        <f t="shared" si="4"/>
        <v>-10000</v>
      </c>
      <c r="AE110" s="132">
        <f t="shared" ref="AE110:AS110" si="217">H110-1000</f>
        <v>-1000</v>
      </c>
      <c r="AF110" s="132">
        <f t="shared" si="217"/>
        <v>-1000</v>
      </c>
      <c r="AG110" s="132">
        <f t="shared" si="217"/>
        <v>-1000</v>
      </c>
      <c r="AH110" s="132">
        <f t="shared" si="217"/>
        <v>-1000</v>
      </c>
      <c r="AI110" s="132">
        <f t="shared" si="217"/>
        <v>-1000</v>
      </c>
      <c r="AJ110" s="132">
        <f t="shared" si="217"/>
        <v>-1000</v>
      </c>
      <c r="AK110" s="132">
        <f t="shared" si="217"/>
        <v>-1000</v>
      </c>
      <c r="AL110" s="132">
        <f t="shared" si="217"/>
        <v>-1000</v>
      </c>
      <c r="AM110" s="132">
        <f t="shared" si="217"/>
        <v>-1000</v>
      </c>
      <c r="AN110" s="132">
        <f t="shared" si="217"/>
        <v>-1000</v>
      </c>
      <c r="AO110" s="132">
        <f t="shared" si="217"/>
        <v>-1000</v>
      </c>
      <c r="AP110" s="132">
        <f t="shared" si="217"/>
        <v>-1000</v>
      </c>
      <c r="AQ110" s="132">
        <f t="shared" si="217"/>
        <v>-1000</v>
      </c>
      <c r="AR110" s="132">
        <f t="shared" si="217"/>
        <v>-1000</v>
      </c>
      <c r="AS110" s="132">
        <f t="shared" si="217"/>
        <v>-1000</v>
      </c>
    </row>
    <row r="111">
      <c r="A111" s="132" t="s">
        <v>3613</v>
      </c>
      <c r="B111" s="132">
        <v>2350.0</v>
      </c>
      <c r="C111" s="132">
        <v>300.0</v>
      </c>
      <c r="D111" s="132">
        <v>0.0</v>
      </c>
      <c r="E111" s="132">
        <v>0.0</v>
      </c>
      <c r="F111" s="132">
        <v>0.0</v>
      </c>
      <c r="G111" s="132">
        <v>2050.0</v>
      </c>
      <c r="H111" s="132">
        <v>0.0</v>
      </c>
      <c r="I111" s="132">
        <v>0.0</v>
      </c>
      <c r="J111" s="132">
        <v>0.0</v>
      </c>
      <c r="K111" s="132">
        <v>0.0</v>
      </c>
      <c r="L111" s="132">
        <v>0.0</v>
      </c>
      <c r="M111" s="132">
        <v>0.0</v>
      </c>
      <c r="N111" s="132">
        <v>0.0</v>
      </c>
      <c r="O111" s="132">
        <v>0.0</v>
      </c>
      <c r="P111" s="132">
        <v>0.0</v>
      </c>
      <c r="Q111" s="132">
        <v>0.0</v>
      </c>
      <c r="R111" s="132">
        <v>0.0</v>
      </c>
      <c r="S111" s="132">
        <v>0.0</v>
      </c>
      <c r="T111" s="132">
        <v>0.0</v>
      </c>
      <c r="U111" s="132">
        <v>0.0</v>
      </c>
      <c r="V111" s="132">
        <v>0.0</v>
      </c>
      <c r="W111" s="132">
        <v>1.0</v>
      </c>
      <c r="Y111" s="132" t="s">
        <v>3613</v>
      </c>
      <c r="Z111" s="132">
        <f t="shared" ref="Z111:AC111" si="218">C111-1000</f>
        <v>-700</v>
      </c>
      <c r="AA111" s="132">
        <f t="shared" si="218"/>
        <v>-1000</v>
      </c>
      <c r="AB111" s="132">
        <f t="shared" si="218"/>
        <v>-1000</v>
      </c>
      <c r="AC111" s="132">
        <f t="shared" si="218"/>
        <v>-1000</v>
      </c>
      <c r="AD111" s="132">
        <f t="shared" si="4"/>
        <v>-7950</v>
      </c>
      <c r="AE111" s="132">
        <f t="shared" ref="AE111:AS111" si="219">H111-1000</f>
        <v>-1000</v>
      </c>
      <c r="AF111" s="132">
        <f t="shared" si="219"/>
        <v>-1000</v>
      </c>
      <c r="AG111" s="132">
        <f t="shared" si="219"/>
        <v>-1000</v>
      </c>
      <c r="AH111" s="132">
        <f t="shared" si="219"/>
        <v>-1000</v>
      </c>
      <c r="AI111" s="132">
        <f t="shared" si="219"/>
        <v>-1000</v>
      </c>
      <c r="AJ111" s="132">
        <f t="shared" si="219"/>
        <v>-1000</v>
      </c>
      <c r="AK111" s="132">
        <f t="shared" si="219"/>
        <v>-1000</v>
      </c>
      <c r="AL111" s="132">
        <f t="shared" si="219"/>
        <v>-1000</v>
      </c>
      <c r="AM111" s="132">
        <f t="shared" si="219"/>
        <v>-1000</v>
      </c>
      <c r="AN111" s="132">
        <f t="shared" si="219"/>
        <v>-1000</v>
      </c>
      <c r="AO111" s="132">
        <f t="shared" si="219"/>
        <v>-1000</v>
      </c>
      <c r="AP111" s="132">
        <f t="shared" si="219"/>
        <v>-1000</v>
      </c>
      <c r="AQ111" s="132">
        <f t="shared" si="219"/>
        <v>-1000</v>
      </c>
      <c r="AR111" s="132">
        <f t="shared" si="219"/>
        <v>-1000</v>
      </c>
      <c r="AS111" s="132">
        <f t="shared" si="219"/>
        <v>-1000</v>
      </c>
    </row>
    <row r="112">
      <c r="A112" s="132" t="s">
        <v>3614</v>
      </c>
      <c r="B112" s="132">
        <v>1950.0</v>
      </c>
      <c r="C112" s="132">
        <v>950.0</v>
      </c>
      <c r="D112" s="132">
        <v>0.0</v>
      </c>
      <c r="E112" s="132">
        <v>0.0</v>
      </c>
      <c r="F112" s="132">
        <v>0.0</v>
      </c>
      <c r="G112" s="132">
        <v>0.0</v>
      </c>
      <c r="H112" s="132">
        <v>0.0</v>
      </c>
      <c r="I112" s="132">
        <v>0.0</v>
      </c>
      <c r="J112" s="132">
        <v>0.0</v>
      </c>
      <c r="K112" s="132">
        <v>0.0</v>
      </c>
      <c r="L112" s="132">
        <v>0.0</v>
      </c>
      <c r="M112" s="132">
        <v>0.0</v>
      </c>
      <c r="N112" s="132">
        <v>0.0</v>
      </c>
      <c r="O112" s="132">
        <v>0.0</v>
      </c>
      <c r="P112" s="132">
        <v>1000.0</v>
      </c>
      <c r="Q112" s="132">
        <v>0.0</v>
      </c>
      <c r="R112" s="132">
        <v>0.0</v>
      </c>
      <c r="S112" s="132">
        <v>0.0</v>
      </c>
      <c r="T112" s="132">
        <v>0.0</v>
      </c>
      <c r="U112" s="132">
        <v>0.0</v>
      </c>
      <c r="V112" s="132">
        <v>0.0</v>
      </c>
      <c r="W112" s="132">
        <v>0.0</v>
      </c>
      <c r="Y112" s="132" t="s">
        <v>3614</v>
      </c>
      <c r="Z112" s="132">
        <f t="shared" ref="Z112:AC112" si="220">C112-1000</f>
        <v>-50</v>
      </c>
      <c r="AA112" s="132">
        <f t="shared" si="220"/>
        <v>-1000</v>
      </c>
      <c r="AB112" s="132">
        <f t="shared" si="220"/>
        <v>-1000</v>
      </c>
      <c r="AC112" s="132">
        <f t="shared" si="220"/>
        <v>-1000</v>
      </c>
      <c r="AD112" s="132">
        <f t="shared" si="4"/>
        <v>-10000</v>
      </c>
      <c r="AE112" s="132">
        <f t="shared" ref="AE112:AS112" si="221">H112-1000</f>
        <v>-1000</v>
      </c>
      <c r="AF112" s="132">
        <f t="shared" si="221"/>
        <v>-1000</v>
      </c>
      <c r="AG112" s="132">
        <f t="shared" si="221"/>
        <v>-1000</v>
      </c>
      <c r="AH112" s="132">
        <f t="shared" si="221"/>
        <v>-1000</v>
      </c>
      <c r="AI112" s="132">
        <f t="shared" si="221"/>
        <v>-1000</v>
      </c>
      <c r="AJ112" s="132">
        <f t="shared" si="221"/>
        <v>-1000</v>
      </c>
      <c r="AK112" s="132">
        <f t="shared" si="221"/>
        <v>-1000</v>
      </c>
      <c r="AL112" s="132">
        <f t="shared" si="221"/>
        <v>-1000</v>
      </c>
      <c r="AM112" s="132">
        <f t="shared" si="221"/>
        <v>0</v>
      </c>
      <c r="AN112" s="132">
        <f t="shared" si="221"/>
        <v>-1000</v>
      </c>
      <c r="AO112" s="132">
        <f t="shared" si="221"/>
        <v>-1000</v>
      </c>
      <c r="AP112" s="132">
        <f t="shared" si="221"/>
        <v>-1000</v>
      </c>
      <c r="AQ112" s="132">
        <f t="shared" si="221"/>
        <v>-1000</v>
      </c>
      <c r="AR112" s="132">
        <f t="shared" si="221"/>
        <v>-1000</v>
      </c>
      <c r="AS112" s="132">
        <f t="shared" si="221"/>
        <v>-1000</v>
      </c>
    </row>
    <row r="113">
      <c r="A113" s="132" t="s">
        <v>3615</v>
      </c>
      <c r="B113" s="132">
        <v>833.0</v>
      </c>
      <c r="C113" s="132">
        <v>833.0</v>
      </c>
      <c r="D113" s="132">
        <v>0.0</v>
      </c>
      <c r="E113" s="132">
        <v>0.0</v>
      </c>
      <c r="F113" s="132">
        <v>0.0</v>
      </c>
      <c r="G113" s="132">
        <v>0.0</v>
      </c>
      <c r="H113" s="132">
        <v>0.0</v>
      </c>
      <c r="I113" s="132">
        <v>0.0</v>
      </c>
      <c r="J113" s="132">
        <v>0.0</v>
      </c>
      <c r="K113" s="132">
        <v>0.0</v>
      </c>
      <c r="L113" s="132">
        <v>0.0</v>
      </c>
      <c r="M113" s="132">
        <v>0.0</v>
      </c>
      <c r="N113" s="132">
        <v>0.0</v>
      </c>
      <c r="O113" s="132">
        <v>0.0</v>
      </c>
      <c r="P113" s="132">
        <v>0.0</v>
      </c>
      <c r="Q113" s="132">
        <v>0.0</v>
      </c>
      <c r="R113" s="132">
        <v>0.0</v>
      </c>
      <c r="S113" s="132">
        <v>0.0</v>
      </c>
      <c r="T113" s="132">
        <v>0.0</v>
      </c>
      <c r="U113" s="132">
        <v>0.0</v>
      </c>
      <c r="V113" s="132">
        <v>0.0</v>
      </c>
      <c r="W113" s="132">
        <v>0.0</v>
      </c>
      <c r="Y113" s="132" t="s">
        <v>3615</v>
      </c>
      <c r="Z113" s="132">
        <f t="shared" ref="Z113:AC113" si="222">C113-1000</f>
        <v>-167</v>
      </c>
      <c r="AA113" s="132">
        <f t="shared" si="222"/>
        <v>-1000</v>
      </c>
      <c r="AB113" s="132">
        <f t="shared" si="222"/>
        <v>-1000</v>
      </c>
      <c r="AC113" s="132">
        <f t="shared" si="222"/>
        <v>-1000</v>
      </c>
      <c r="AD113" s="132">
        <f t="shared" si="4"/>
        <v>-10000</v>
      </c>
      <c r="AE113" s="132">
        <f t="shared" ref="AE113:AS113" si="223">H113-1000</f>
        <v>-1000</v>
      </c>
      <c r="AF113" s="132">
        <f t="shared" si="223"/>
        <v>-1000</v>
      </c>
      <c r="AG113" s="132">
        <f t="shared" si="223"/>
        <v>-1000</v>
      </c>
      <c r="AH113" s="132">
        <f t="shared" si="223"/>
        <v>-1000</v>
      </c>
      <c r="AI113" s="132">
        <f t="shared" si="223"/>
        <v>-1000</v>
      </c>
      <c r="AJ113" s="132">
        <f t="shared" si="223"/>
        <v>-1000</v>
      </c>
      <c r="AK113" s="132">
        <f t="shared" si="223"/>
        <v>-1000</v>
      </c>
      <c r="AL113" s="132">
        <f t="shared" si="223"/>
        <v>-1000</v>
      </c>
      <c r="AM113" s="132">
        <f t="shared" si="223"/>
        <v>-1000</v>
      </c>
      <c r="AN113" s="132">
        <f t="shared" si="223"/>
        <v>-1000</v>
      </c>
      <c r="AO113" s="132">
        <f t="shared" si="223"/>
        <v>-1000</v>
      </c>
      <c r="AP113" s="132">
        <f t="shared" si="223"/>
        <v>-1000</v>
      </c>
      <c r="AQ113" s="132">
        <f t="shared" si="223"/>
        <v>-1000</v>
      </c>
      <c r="AR113" s="132">
        <f t="shared" si="223"/>
        <v>-1000</v>
      </c>
      <c r="AS113" s="132">
        <f t="shared" si="223"/>
        <v>-1000</v>
      </c>
    </row>
    <row r="114">
      <c r="A114" s="132" t="s">
        <v>3616</v>
      </c>
      <c r="B114" s="132">
        <v>237.0</v>
      </c>
      <c r="C114" s="132">
        <v>237.0</v>
      </c>
      <c r="D114" s="132">
        <v>0.0</v>
      </c>
      <c r="E114" s="132">
        <v>0.0</v>
      </c>
      <c r="F114" s="132">
        <v>0.0</v>
      </c>
      <c r="G114" s="132">
        <v>0.0</v>
      </c>
      <c r="H114" s="132">
        <v>0.0</v>
      </c>
      <c r="I114" s="132">
        <v>0.0</v>
      </c>
      <c r="J114" s="132">
        <v>0.0</v>
      </c>
      <c r="K114" s="132">
        <v>0.0</v>
      </c>
      <c r="L114" s="132">
        <v>0.0</v>
      </c>
      <c r="M114" s="132">
        <v>0.0</v>
      </c>
      <c r="N114" s="132">
        <v>0.0</v>
      </c>
      <c r="O114" s="132">
        <v>0.0</v>
      </c>
      <c r="P114" s="132">
        <v>0.0</v>
      </c>
      <c r="Q114" s="132">
        <v>0.0</v>
      </c>
      <c r="R114" s="132">
        <v>0.0</v>
      </c>
      <c r="S114" s="132">
        <v>0.0</v>
      </c>
      <c r="T114" s="132">
        <v>0.0</v>
      </c>
      <c r="U114" s="132">
        <v>0.0</v>
      </c>
      <c r="V114" s="132">
        <v>0.0</v>
      </c>
      <c r="W114" s="132">
        <v>0.0</v>
      </c>
      <c r="Y114" s="132" t="s">
        <v>3616</v>
      </c>
      <c r="Z114" s="132">
        <f t="shared" ref="Z114:AC114" si="224">C114-1000</f>
        <v>-763</v>
      </c>
      <c r="AA114" s="132">
        <f t="shared" si="224"/>
        <v>-1000</v>
      </c>
      <c r="AB114" s="132">
        <f t="shared" si="224"/>
        <v>-1000</v>
      </c>
      <c r="AC114" s="132">
        <f t="shared" si="224"/>
        <v>-1000</v>
      </c>
      <c r="AD114" s="132">
        <f t="shared" si="4"/>
        <v>-10000</v>
      </c>
      <c r="AE114" s="132">
        <f t="shared" ref="AE114:AS114" si="225">H114-1000</f>
        <v>-1000</v>
      </c>
      <c r="AF114" s="132">
        <f t="shared" si="225"/>
        <v>-1000</v>
      </c>
      <c r="AG114" s="132">
        <f t="shared" si="225"/>
        <v>-1000</v>
      </c>
      <c r="AH114" s="132">
        <f t="shared" si="225"/>
        <v>-1000</v>
      </c>
      <c r="AI114" s="132">
        <f t="shared" si="225"/>
        <v>-1000</v>
      </c>
      <c r="AJ114" s="132">
        <f t="shared" si="225"/>
        <v>-1000</v>
      </c>
      <c r="AK114" s="132">
        <f t="shared" si="225"/>
        <v>-1000</v>
      </c>
      <c r="AL114" s="132">
        <f t="shared" si="225"/>
        <v>-1000</v>
      </c>
      <c r="AM114" s="132">
        <f t="shared" si="225"/>
        <v>-1000</v>
      </c>
      <c r="AN114" s="132">
        <f t="shared" si="225"/>
        <v>-1000</v>
      </c>
      <c r="AO114" s="132">
        <f t="shared" si="225"/>
        <v>-1000</v>
      </c>
      <c r="AP114" s="132">
        <f t="shared" si="225"/>
        <v>-1000</v>
      </c>
      <c r="AQ114" s="132">
        <f t="shared" si="225"/>
        <v>-1000</v>
      </c>
      <c r="AR114" s="132">
        <f t="shared" si="225"/>
        <v>-1000</v>
      </c>
      <c r="AS114" s="132">
        <f t="shared" si="225"/>
        <v>-1000</v>
      </c>
    </row>
    <row r="115">
      <c r="A115" s="132" t="s">
        <v>3617</v>
      </c>
      <c r="B115" s="132">
        <v>125.0</v>
      </c>
      <c r="C115" s="132">
        <v>75.0</v>
      </c>
      <c r="D115" s="132">
        <v>0.0</v>
      </c>
      <c r="E115" s="132">
        <v>0.0</v>
      </c>
      <c r="F115" s="132">
        <v>0.0</v>
      </c>
      <c r="G115" s="132">
        <v>50.0</v>
      </c>
      <c r="H115" s="132">
        <v>0.0</v>
      </c>
      <c r="I115" s="132">
        <v>0.0</v>
      </c>
      <c r="J115" s="132">
        <v>0.0</v>
      </c>
      <c r="K115" s="132">
        <v>0.0</v>
      </c>
      <c r="L115" s="132">
        <v>0.0</v>
      </c>
      <c r="M115" s="132">
        <v>0.0</v>
      </c>
      <c r="N115" s="132">
        <v>0.0</v>
      </c>
      <c r="O115" s="132">
        <v>0.0</v>
      </c>
      <c r="P115" s="132">
        <v>0.0</v>
      </c>
      <c r="Q115" s="132">
        <v>0.0</v>
      </c>
      <c r="R115" s="132">
        <v>0.0</v>
      </c>
      <c r="S115" s="132">
        <v>0.0</v>
      </c>
      <c r="T115" s="132">
        <v>0.0</v>
      </c>
      <c r="U115" s="132">
        <v>0.0</v>
      </c>
      <c r="V115" s="132">
        <v>0.0</v>
      </c>
      <c r="W115" s="132">
        <v>0.0</v>
      </c>
      <c r="Y115" s="132" t="s">
        <v>3617</v>
      </c>
      <c r="Z115" s="132">
        <f t="shared" ref="Z115:AC115" si="226">C115-1000</f>
        <v>-925</v>
      </c>
      <c r="AA115" s="132">
        <f t="shared" si="226"/>
        <v>-1000</v>
      </c>
      <c r="AB115" s="132">
        <f t="shared" si="226"/>
        <v>-1000</v>
      </c>
      <c r="AC115" s="132">
        <f t="shared" si="226"/>
        <v>-1000</v>
      </c>
      <c r="AD115" s="132">
        <f t="shared" si="4"/>
        <v>-9950</v>
      </c>
      <c r="AE115" s="132">
        <f t="shared" ref="AE115:AS115" si="227">H115-1000</f>
        <v>-1000</v>
      </c>
      <c r="AF115" s="132">
        <f t="shared" si="227"/>
        <v>-1000</v>
      </c>
      <c r="AG115" s="132">
        <f t="shared" si="227"/>
        <v>-1000</v>
      </c>
      <c r="AH115" s="132">
        <f t="shared" si="227"/>
        <v>-1000</v>
      </c>
      <c r="AI115" s="132">
        <f t="shared" si="227"/>
        <v>-1000</v>
      </c>
      <c r="AJ115" s="132">
        <f t="shared" si="227"/>
        <v>-1000</v>
      </c>
      <c r="AK115" s="132">
        <f t="shared" si="227"/>
        <v>-1000</v>
      </c>
      <c r="AL115" s="132">
        <f t="shared" si="227"/>
        <v>-1000</v>
      </c>
      <c r="AM115" s="132">
        <f t="shared" si="227"/>
        <v>-1000</v>
      </c>
      <c r="AN115" s="132">
        <f t="shared" si="227"/>
        <v>-1000</v>
      </c>
      <c r="AO115" s="132">
        <f t="shared" si="227"/>
        <v>-1000</v>
      </c>
      <c r="AP115" s="132">
        <f t="shared" si="227"/>
        <v>-1000</v>
      </c>
      <c r="AQ115" s="132">
        <f t="shared" si="227"/>
        <v>-1000</v>
      </c>
      <c r="AR115" s="132">
        <f t="shared" si="227"/>
        <v>-1000</v>
      </c>
      <c r="AS115" s="132">
        <f t="shared" si="227"/>
        <v>-1000</v>
      </c>
    </row>
    <row r="116">
      <c r="A116" s="132" t="s">
        <v>3618</v>
      </c>
      <c r="B116" s="132">
        <v>189.7</v>
      </c>
      <c r="C116" s="132">
        <v>189.7</v>
      </c>
      <c r="D116" s="132">
        <v>0.0</v>
      </c>
      <c r="E116" s="132">
        <v>0.0</v>
      </c>
      <c r="F116" s="132">
        <v>0.0</v>
      </c>
      <c r="G116" s="132">
        <v>0.0</v>
      </c>
      <c r="H116" s="132">
        <v>0.0</v>
      </c>
      <c r="I116" s="132">
        <v>0.0</v>
      </c>
      <c r="J116" s="132">
        <v>0.0</v>
      </c>
      <c r="K116" s="132">
        <v>0.0</v>
      </c>
      <c r="L116" s="132">
        <v>0.0</v>
      </c>
      <c r="M116" s="132">
        <v>0.0</v>
      </c>
      <c r="N116" s="132">
        <v>0.0</v>
      </c>
      <c r="O116" s="132">
        <v>0.0</v>
      </c>
      <c r="P116" s="132">
        <v>0.0</v>
      </c>
      <c r="Q116" s="132">
        <v>0.0</v>
      </c>
      <c r="R116" s="132">
        <v>0.0</v>
      </c>
      <c r="S116" s="132">
        <v>0.0</v>
      </c>
      <c r="T116" s="132">
        <v>0.0</v>
      </c>
      <c r="U116" s="132">
        <v>0.0</v>
      </c>
      <c r="V116" s="132">
        <v>0.0</v>
      </c>
      <c r="W116" s="132">
        <v>0.0</v>
      </c>
      <c r="Y116" s="132" t="s">
        <v>3618</v>
      </c>
      <c r="Z116" s="132">
        <f t="shared" ref="Z116:AC116" si="228">C116-1000</f>
        <v>-810.3</v>
      </c>
      <c r="AA116" s="132">
        <f t="shared" si="228"/>
        <v>-1000</v>
      </c>
      <c r="AB116" s="132">
        <f t="shared" si="228"/>
        <v>-1000</v>
      </c>
      <c r="AC116" s="132">
        <f t="shared" si="228"/>
        <v>-1000</v>
      </c>
      <c r="AD116" s="132">
        <f t="shared" si="4"/>
        <v>-10000</v>
      </c>
      <c r="AE116" s="132">
        <f t="shared" ref="AE116:AS116" si="229">H116-1000</f>
        <v>-1000</v>
      </c>
      <c r="AF116" s="132">
        <f t="shared" si="229"/>
        <v>-1000</v>
      </c>
      <c r="AG116" s="132">
        <f t="shared" si="229"/>
        <v>-1000</v>
      </c>
      <c r="AH116" s="132">
        <f t="shared" si="229"/>
        <v>-1000</v>
      </c>
      <c r="AI116" s="132">
        <f t="shared" si="229"/>
        <v>-1000</v>
      </c>
      <c r="AJ116" s="132">
        <f t="shared" si="229"/>
        <v>-1000</v>
      </c>
      <c r="AK116" s="132">
        <f t="shared" si="229"/>
        <v>-1000</v>
      </c>
      <c r="AL116" s="132">
        <f t="shared" si="229"/>
        <v>-1000</v>
      </c>
      <c r="AM116" s="132">
        <f t="shared" si="229"/>
        <v>-1000</v>
      </c>
      <c r="AN116" s="132">
        <f t="shared" si="229"/>
        <v>-1000</v>
      </c>
      <c r="AO116" s="132">
        <f t="shared" si="229"/>
        <v>-1000</v>
      </c>
      <c r="AP116" s="132">
        <f t="shared" si="229"/>
        <v>-1000</v>
      </c>
      <c r="AQ116" s="132">
        <f t="shared" si="229"/>
        <v>-1000</v>
      </c>
      <c r="AR116" s="132">
        <f t="shared" si="229"/>
        <v>-1000</v>
      </c>
      <c r="AS116" s="132">
        <f t="shared" si="229"/>
        <v>-1000</v>
      </c>
    </row>
    <row r="117">
      <c r="A117" s="132" t="s">
        <v>3619</v>
      </c>
      <c r="B117" s="132">
        <v>1000.0</v>
      </c>
      <c r="C117" s="132">
        <v>1000.0</v>
      </c>
      <c r="D117" s="132">
        <v>0.0</v>
      </c>
      <c r="E117" s="132">
        <v>0.0</v>
      </c>
      <c r="F117" s="132">
        <v>0.0</v>
      </c>
      <c r="G117" s="132">
        <v>0.0</v>
      </c>
      <c r="H117" s="132">
        <v>0.0</v>
      </c>
      <c r="I117" s="132">
        <v>0.0</v>
      </c>
      <c r="J117" s="132">
        <v>0.0</v>
      </c>
      <c r="K117" s="132">
        <v>0.0</v>
      </c>
      <c r="L117" s="132">
        <v>0.0</v>
      </c>
      <c r="M117" s="132">
        <v>0.0</v>
      </c>
      <c r="N117" s="132">
        <v>0.0</v>
      </c>
      <c r="O117" s="132">
        <v>0.0</v>
      </c>
      <c r="P117" s="132">
        <v>0.0</v>
      </c>
      <c r="Q117" s="132">
        <v>0.0</v>
      </c>
      <c r="R117" s="132">
        <v>0.0</v>
      </c>
      <c r="S117" s="132">
        <v>0.0</v>
      </c>
      <c r="T117" s="132">
        <v>0.0</v>
      </c>
      <c r="U117" s="132">
        <v>0.0</v>
      </c>
      <c r="V117" s="132">
        <v>0.0</v>
      </c>
      <c r="W117" s="132">
        <v>0.0</v>
      </c>
      <c r="Y117" s="132" t="s">
        <v>3619</v>
      </c>
      <c r="Z117" s="132">
        <f t="shared" ref="Z117:AC117" si="230">C117-1000</f>
        <v>0</v>
      </c>
      <c r="AA117" s="132">
        <f t="shared" si="230"/>
        <v>-1000</v>
      </c>
      <c r="AB117" s="132">
        <f t="shared" si="230"/>
        <v>-1000</v>
      </c>
      <c r="AC117" s="132">
        <f t="shared" si="230"/>
        <v>-1000</v>
      </c>
      <c r="AD117" s="132">
        <f t="shared" si="4"/>
        <v>-10000</v>
      </c>
      <c r="AE117" s="132">
        <f t="shared" ref="AE117:AS117" si="231">H117-1000</f>
        <v>-1000</v>
      </c>
      <c r="AF117" s="132">
        <f t="shared" si="231"/>
        <v>-1000</v>
      </c>
      <c r="AG117" s="132">
        <f t="shared" si="231"/>
        <v>-1000</v>
      </c>
      <c r="AH117" s="132">
        <f t="shared" si="231"/>
        <v>-1000</v>
      </c>
      <c r="AI117" s="132">
        <f t="shared" si="231"/>
        <v>-1000</v>
      </c>
      <c r="AJ117" s="132">
        <f t="shared" si="231"/>
        <v>-1000</v>
      </c>
      <c r="AK117" s="132">
        <f t="shared" si="231"/>
        <v>-1000</v>
      </c>
      <c r="AL117" s="132">
        <f t="shared" si="231"/>
        <v>-1000</v>
      </c>
      <c r="AM117" s="132">
        <f t="shared" si="231"/>
        <v>-1000</v>
      </c>
      <c r="AN117" s="132">
        <f t="shared" si="231"/>
        <v>-1000</v>
      </c>
      <c r="AO117" s="132">
        <f t="shared" si="231"/>
        <v>-1000</v>
      </c>
      <c r="AP117" s="132">
        <f t="shared" si="231"/>
        <v>-1000</v>
      </c>
      <c r="AQ117" s="132">
        <f t="shared" si="231"/>
        <v>-1000</v>
      </c>
      <c r="AR117" s="132">
        <f t="shared" si="231"/>
        <v>-1000</v>
      </c>
      <c r="AS117" s="132">
        <f t="shared" si="231"/>
        <v>-1000</v>
      </c>
    </row>
    <row r="118">
      <c r="A118" s="132" t="s">
        <v>3620</v>
      </c>
      <c r="B118" s="132">
        <v>250.0</v>
      </c>
      <c r="C118" s="132">
        <v>250.0</v>
      </c>
      <c r="D118" s="132">
        <v>0.0</v>
      </c>
      <c r="E118" s="132">
        <v>0.0</v>
      </c>
      <c r="F118" s="132">
        <v>0.0</v>
      </c>
      <c r="G118" s="132">
        <v>0.0</v>
      </c>
      <c r="H118" s="132">
        <v>0.0</v>
      </c>
      <c r="I118" s="132">
        <v>0.0</v>
      </c>
      <c r="J118" s="132">
        <v>0.0</v>
      </c>
      <c r="K118" s="132">
        <v>0.0</v>
      </c>
      <c r="L118" s="132">
        <v>0.0</v>
      </c>
      <c r="M118" s="132">
        <v>0.0</v>
      </c>
      <c r="N118" s="132">
        <v>0.0</v>
      </c>
      <c r="O118" s="132">
        <v>0.0</v>
      </c>
      <c r="P118" s="132">
        <v>0.0</v>
      </c>
      <c r="Q118" s="132">
        <v>0.0</v>
      </c>
      <c r="R118" s="132">
        <v>0.0</v>
      </c>
      <c r="S118" s="132">
        <v>0.0</v>
      </c>
      <c r="T118" s="132">
        <v>0.0</v>
      </c>
      <c r="U118" s="132">
        <v>0.0</v>
      </c>
      <c r="V118" s="132">
        <v>0.0</v>
      </c>
      <c r="W118" s="132">
        <v>0.0</v>
      </c>
      <c r="Y118" s="132" t="s">
        <v>3620</v>
      </c>
      <c r="Z118" s="132">
        <f t="shared" ref="Z118:AC118" si="232">C118-1000</f>
        <v>-750</v>
      </c>
      <c r="AA118" s="132">
        <f t="shared" si="232"/>
        <v>-1000</v>
      </c>
      <c r="AB118" s="132">
        <f t="shared" si="232"/>
        <v>-1000</v>
      </c>
      <c r="AC118" s="132">
        <f t="shared" si="232"/>
        <v>-1000</v>
      </c>
      <c r="AD118" s="132">
        <f t="shared" si="4"/>
        <v>-10000</v>
      </c>
      <c r="AE118" s="132">
        <f t="shared" ref="AE118:AS118" si="233">H118-1000</f>
        <v>-1000</v>
      </c>
      <c r="AF118" s="132">
        <f t="shared" si="233"/>
        <v>-1000</v>
      </c>
      <c r="AG118" s="132">
        <f t="shared" si="233"/>
        <v>-1000</v>
      </c>
      <c r="AH118" s="132">
        <f t="shared" si="233"/>
        <v>-1000</v>
      </c>
      <c r="AI118" s="132">
        <f t="shared" si="233"/>
        <v>-1000</v>
      </c>
      <c r="AJ118" s="132">
        <f t="shared" si="233"/>
        <v>-1000</v>
      </c>
      <c r="AK118" s="132">
        <f t="shared" si="233"/>
        <v>-1000</v>
      </c>
      <c r="AL118" s="132">
        <f t="shared" si="233"/>
        <v>-1000</v>
      </c>
      <c r="AM118" s="132">
        <f t="shared" si="233"/>
        <v>-1000</v>
      </c>
      <c r="AN118" s="132">
        <f t="shared" si="233"/>
        <v>-1000</v>
      </c>
      <c r="AO118" s="132">
        <f t="shared" si="233"/>
        <v>-1000</v>
      </c>
      <c r="AP118" s="132">
        <f t="shared" si="233"/>
        <v>-1000</v>
      </c>
      <c r="AQ118" s="132">
        <f t="shared" si="233"/>
        <v>-1000</v>
      </c>
      <c r="AR118" s="132">
        <f t="shared" si="233"/>
        <v>-1000</v>
      </c>
      <c r="AS118" s="132">
        <f t="shared" si="233"/>
        <v>-1000</v>
      </c>
    </row>
    <row r="119">
      <c r="A119" s="132" t="s">
        <v>3621</v>
      </c>
      <c r="B119" s="132">
        <v>1000.0</v>
      </c>
      <c r="C119" s="132">
        <v>700.0</v>
      </c>
      <c r="D119" s="132">
        <v>0.0</v>
      </c>
      <c r="E119" s="132">
        <v>0.0</v>
      </c>
      <c r="F119" s="132">
        <v>0.0</v>
      </c>
      <c r="G119" s="132">
        <v>0.0</v>
      </c>
      <c r="H119" s="132">
        <v>0.0</v>
      </c>
      <c r="I119" s="132">
        <v>0.0</v>
      </c>
      <c r="J119" s="132">
        <v>0.0</v>
      </c>
      <c r="K119" s="132">
        <v>0.0</v>
      </c>
      <c r="L119" s="132">
        <v>300.0</v>
      </c>
      <c r="M119" s="132">
        <v>0.0</v>
      </c>
      <c r="N119" s="132">
        <v>0.0</v>
      </c>
      <c r="O119" s="132">
        <v>0.0</v>
      </c>
      <c r="P119" s="132">
        <v>0.0</v>
      </c>
      <c r="Q119" s="132">
        <v>0.0</v>
      </c>
      <c r="R119" s="132">
        <v>0.0</v>
      </c>
      <c r="S119" s="132">
        <v>0.0</v>
      </c>
      <c r="T119" s="132">
        <v>0.0</v>
      </c>
      <c r="U119" s="132">
        <v>0.0</v>
      </c>
      <c r="V119" s="132">
        <v>0.0</v>
      </c>
      <c r="W119" s="132">
        <v>1.0</v>
      </c>
      <c r="Y119" s="132" t="s">
        <v>3621</v>
      </c>
      <c r="Z119" s="132">
        <f t="shared" ref="Z119:AC119" si="234">C119-1000</f>
        <v>-300</v>
      </c>
      <c r="AA119" s="132">
        <f t="shared" si="234"/>
        <v>-1000</v>
      </c>
      <c r="AB119" s="132">
        <f t="shared" si="234"/>
        <v>-1000</v>
      </c>
      <c r="AC119" s="132">
        <f t="shared" si="234"/>
        <v>-1000</v>
      </c>
      <c r="AD119" s="132">
        <f t="shared" si="4"/>
        <v>-10000</v>
      </c>
      <c r="AE119" s="132">
        <f t="shared" ref="AE119:AS119" si="235">H119-1000</f>
        <v>-1000</v>
      </c>
      <c r="AF119" s="132">
        <f t="shared" si="235"/>
        <v>-1000</v>
      </c>
      <c r="AG119" s="132">
        <f t="shared" si="235"/>
        <v>-1000</v>
      </c>
      <c r="AH119" s="132">
        <f t="shared" si="235"/>
        <v>-1000</v>
      </c>
      <c r="AI119" s="132">
        <f t="shared" si="235"/>
        <v>-700</v>
      </c>
      <c r="AJ119" s="132">
        <f t="shared" si="235"/>
        <v>-1000</v>
      </c>
      <c r="AK119" s="132">
        <f t="shared" si="235"/>
        <v>-1000</v>
      </c>
      <c r="AL119" s="132">
        <f t="shared" si="235"/>
        <v>-1000</v>
      </c>
      <c r="AM119" s="132">
        <f t="shared" si="235"/>
        <v>-1000</v>
      </c>
      <c r="AN119" s="132">
        <f t="shared" si="235"/>
        <v>-1000</v>
      </c>
      <c r="AO119" s="132">
        <f t="shared" si="235"/>
        <v>-1000</v>
      </c>
      <c r="AP119" s="132">
        <f t="shared" si="235"/>
        <v>-1000</v>
      </c>
      <c r="AQ119" s="132">
        <f t="shared" si="235"/>
        <v>-1000</v>
      </c>
      <c r="AR119" s="132">
        <f t="shared" si="235"/>
        <v>-1000</v>
      </c>
      <c r="AS119" s="132">
        <f t="shared" si="235"/>
        <v>-1000</v>
      </c>
    </row>
    <row r="120">
      <c r="A120" s="132" t="s">
        <v>3622</v>
      </c>
      <c r="B120" s="132">
        <v>1000.0</v>
      </c>
      <c r="C120" s="132">
        <v>1000.0</v>
      </c>
      <c r="D120" s="132">
        <v>0.0</v>
      </c>
      <c r="E120" s="132">
        <v>0.0</v>
      </c>
      <c r="F120" s="132">
        <v>0.0</v>
      </c>
      <c r="G120" s="132">
        <v>0.0</v>
      </c>
      <c r="H120" s="132">
        <v>0.0</v>
      </c>
      <c r="I120" s="132">
        <v>0.0</v>
      </c>
      <c r="J120" s="132">
        <v>0.0</v>
      </c>
      <c r="K120" s="132">
        <v>0.0</v>
      </c>
      <c r="L120" s="132">
        <v>0.0</v>
      </c>
      <c r="M120" s="132">
        <v>0.0</v>
      </c>
      <c r="N120" s="132">
        <v>0.0</v>
      </c>
      <c r="O120" s="132">
        <v>0.0</v>
      </c>
      <c r="P120" s="132">
        <v>0.0</v>
      </c>
      <c r="Q120" s="132">
        <v>0.0</v>
      </c>
      <c r="R120" s="132">
        <v>0.0</v>
      </c>
      <c r="S120" s="132">
        <v>0.0</v>
      </c>
      <c r="T120" s="132">
        <v>0.0</v>
      </c>
      <c r="U120" s="132">
        <v>0.0</v>
      </c>
      <c r="V120" s="132">
        <v>0.0</v>
      </c>
      <c r="W120" s="132">
        <v>0.0</v>
      </c>
      <c r="Y120" s="132" t="s">
        <v>3622</v>
      </c>
      <c r="Z120" s="132">
        <f t="shared" ref="Z120:AC120" si="236">C120-1000</f>
        <v>0</v>
      </c>
      <c r="AA120" s="132">
        <f t="shared" si="236"/>
        <v>-1000</v>
      </c>
      <c r="AB120" s="132">
        <f t="shared" si="236"/>
        <v>-1000</v>
      </c>
      <c r="AC120" s="132">
        <f t="shared" si="236"/>
        <v>-1000</v>
      </c>
      <c r="AD120" s="132">
        <f t="shared" si="4"/>
        <v>-10000</v>
      </c>
      <c r="AE120" s="132">
        <f t="shared" ref="AE120:AS120" si="237">H120-1000</f>
        <v>-1000</v>
      </c>
      <c r="AF120" s="132">
        <f t="shared" si="237"/>
        <v>-1000</v>
      </c>
      <c r="AG120" s="132">
        <f t="shared" si="237"/>
        <v>-1000</v>
      </c>
      <c r="AH120" s="132">
        <f t="shared" si="237"/>
        <v>-1000</v>
      </c>
      <c r="AI120" s="132">
        <f t="shared" si="237"/>
        <v>-1000</v>
      </c>
      <c r="AJ120" s="132">
        <f t="shared" si="237"/>
        <v>-1000</v>
      </c>
      <c r="AK120" s="132">
        <f t="shared" si="237"/>
        <v>-1000</v>
      </c>
      <c r="AL120" s="132">
        <f t="shared" si="237"/>
        <v>-1000</v>
      </c>
      <c r="AM120" s="132">
        <f t="shared" si="237"/>
        <v>-1000</v>
      </c>
      <c r="AN120" s="132">
        <f t="shared" si="237"/>
        <v>-1000</v>
      </c>
      <c r="AO120" s="132">
        <f t="shared" si="237"/>
        <v>-1000</v>
      </c>
      <c r="AP120" s="132">
        <f t="shared" si="237"/>
        <v>-1000</v>
      </c>
      <c r="AQ120" s="132">
        <f t="shared" si="237"/>
        <v>-1000</v>
      </c>
      <c r="AR120" s="132">
        <f t="shared" si="237"/>
        <v>-1000</v>
      </c>
      <c r="AS120" s="132">
        <f t="shared" si="237"/>
        <v>-1000</v>
      </c>
    </row>
    <row r="121">
      <c r="A121" s="132" t="s">
        <v>3623</v>
      </c>
      <c r="B121" s="132">
        <v>2000.0</v>
      </c>
      <c r="C121" s="132">
        <v>2000.0</v>
      </c>
      <c r="D121" s="132">
        <v>0.0</v>
      </c>
      <c r="E121" s="132">
        <v>0.0</v>
      </c>
      <c r="F121" s="132">
        <v>0.0</v>
      </c>
      <c r="G121" s="132">
        <v>0.0</v>
      </c>
      <c r="H121" s="132">
        <v>0.0</v>
      </c>
      <c r="I121" s="132">
        <v>0.0</v>
      </c>
      <c r="J121" s="132">
        <v>0.0</v>
      </c>
      <c r="K121" s="132">
        <v>0.0</v>
      </c>
      <c r="L121" s="132">
        <v>0.0</v>
      </c>
      <c r="M121" s="132">
        <v>0.0</v>
      </c>
      <c r="N121" s="132">
        <v>0.0</v>
      </c>
      <c r="O121" s="132">
        <v>0.0</v>
      </c>
      <c r="P121" s="132">
        <v>0.0</v>
      </c>
      <c r="Q121" s="132">
        <v>0.0</v>
      </c>
      <c r="R121" s="132">
        <v>0.0</v>
      </c>
      <c r="S121" s="132">
        <v>0.0</v>
      </c>
      <c r="T121" s="132">
        <v>0.0</v>
      </c>
      <c r="U121" s="132">
        <v>0.0</v>
      </c>
      <c r="V121" s="132">
        <v>0.0</v>
      </c>
      <c r="W121" s="132">
        <v>1.0</v>
      </c>
      <c r="Y121" s="132" t="s">
        <v>3623</v>
      </c>
      <c r="Z121" s="132">
        <f t="shared" ref="Z121:AC121" si="238">C121-1000</f>
        <v>1000</v>
      </c>
      <c r="AA121" s="132">
        <f t="shared" si="238"/>
        <v>-1000</v>
      </c>
      <c r="AB121" s="132">
        <f t="shared" si="238"/>
        <v>-1000</v>
      </c>
      <c r="AC121" s="132">
        <f t="shared" si="238"/>
        <v>-1000</v>
      </c>
      <c r="AD121" s="132">
        <f t="shared" si="4"/>
        <v>-10000</v>
      </c>
      <c r="AE121" s="132">
        <f t="shared" ref="AE121:AS121" si="239">H121-1000</f>
        <v>-1000</v>
      </c>
      <c r="AF121" s="132">
        <f t="shared" si="239"/>
        <v>-1000</v>
      </c>
      <c r="AG121" s="132">
        <f t="shared" si="239"/>
        <v>-1000</v>
      </c>
      <c r="AH121" s="132">
        <f t="shared" si="239"/>
        <v>-1000</v>
      </c>
      <c r="AI121" s="132">
        <f t="shared" si="239"/>
        <v>-1000</v>
      </c>
      <c r="AJ121" s="132">
        <f t="shared" si="239"/>
        <v>-1000</v>
      </c>
      <c r="AK121" s="132">
        <f t="shared" si="239"/>
        <v>-1000</v>
      </c>
      <c r="AL121" s="132">
        <f t="shared" si="239"/>
        <v>-1000</v>
      </c>
      <c r="AM121" s="132">
        <f t="shared" si="239"/>
        <v>-1000</v>
      </c>
      <c r="AN121" s="132">
        <f t="shared" si="239"/>
        <v>-1000</v>
      </c>
      <c r="AO121" s="132">
        <f t="shared" si="239"/>
        <v>-1000</v>
      </c>
      <c r="AP121" s="132">
        <f t="shared" si="239"/>
        <v>-1000</v>
      </c>
      <c r="AQ121" s="132">
        <f t="shared" si="239"/>
        <v>-1000</v>
      </c>
      <c r="AR121" s="132">
        <f t="shared" si="239"/>
        <v>-1000</v>
      </c>
      <c r="AS121" s="132">
        <f t="shared" si="239"/>
        <v>-1000</v>
      </c>
    </row>
    <row r="122">
      <c r="A122" s="132" t="s">
        <v>3624</v>
      </c>
      <c r="B122" s="132">
        <v>100.0</v>
      </c>
      <c r="C122" s="132">
        <v>100.0</v>
      </c>
      <c r="D122" s="132">
        <v>0.0</v>
      </c>
      <c r="E122" s="132">
        <v>0.0</v>
      </c>
      <c r="F122" s="132">
        <v>0.0</v>
      </c>
      <c r="G122" s="132">
        <v>0.0</v>
      </c>
      <c r="H122" s="132">
        <v>0.0</v>
      </c>
      <c r="I122" s="132">
        <v>0.0</v>
      </c>
      <c r="J122" s="132">
        <v>0.0</v>
      </c>
      <c r="K122" s="132">
        <v>0.0</v>
      </c>
      <c r="L122" s="132">
        <v>0.0</v>
      </c>
      <c r="M122" s="132">
        <v>0.0</v>
      </c>
      <c r="N122" s="132">
        <v>0.0</v>
      </c>
      <c r="O122" s="132">
        <v>0.0</v>
      </c>
      <c r="P122" s="132">
        <v>0.0</v>
      </c>
      <c r="Q122" s="132">
        <v>0.0</v>
      </c>
      <c r="R122" s="132">
        <v>0.0</v>
      </c>
      <c r="S122" s="132">
        <v>0.0</v>
      </c>
      <c r="T122" s="132">
        <v>0.0</v>
      </c>
      <c r="U122" s="132">
        <v>0.0</v>
      </c>
      <c r="V122" s="132">
        <v>0.0</v>
      </c>
      <c r="W122" s="132">
        <v>0.0</v>
      </c>
      <c r="Y122" s="132" t="s">
        <v>3624</v>
      </c>
      <c r="Z122" s="132">
        <f t="shared" ref="Z122:AC122" si="240">C122-1000</f>
        <v>-900</v>
      </c>
      <c r="AA122" s="132">
        <f t="shared" si="240"/>
        <v>-1000</v>
      </c>
      <c r="AB122" s="132">
        <f t="shared" si="240"/>
        <v>-1000</v>
      </c>
      <c r="AC122" s="132">
        <f t="shared" si="240"/>
        <v>-1000</v>
      </c>
      <c r="AD122" s="132">
        <f t="shared" si="4"/>
        <v>-10000</v>
      </c>
      <c r="AE122" s="132">
        <f t="shared" ref="AE122:AS122" si="241">H122-1000</f>
        <v>-1000</v>
      </c>
      <c r="AF122" s="132">
        <f t="shared" si="241"/>
        <v>-1000</v>
      </c>
      <c r="AG122" s="132">
        <f t="shared" si="241"/>
        <v>-1000</v>
      </c>
      <c r="AH122" s="132">
        <f t="shared" si="241"/>
        <v>-1000</v>
      </c>
      <c r="AI122" s="132">
        <f t="shared" si="241"/>
        <v>-1000</v>
      </c>
      <c r="AJ122" s="132">
        <f t="shared" si="241"/>
        <v>-1000</v>
      </c>
      <c r="AK122" s="132">
        <f t="shared" si="241"/>
        <v>-1000</v>
      </c>
      <c r="AL122" s="132">
        <f t="shared" si="241"/>
        <v>-1000</v>
      </c>
      <c r="AM122" s="132">
        <f t="shared" si="241"/>
        <v>-1000</v>
      </c>
      <c r="AN122" s="132">
        <f t="shared" si="241"/>
        <v>-1000</v>
      </c>
      <c r="AO122" s="132">
        <f t="shared" si="241"/>
        <v>-1000</v>
      </c>
      <c r="AP122" s="132">
        <f t="shared" si="241"/>
        <v>-1000</v>
      </c>
      <c r="AQ122" s="132">
        <f t="shared" si="241"/>
        <v>-1000</v>
      </c>
      <c r="AR122" s="132">
        <f t="shared" si="241"/>
        <v>-1000</v>
      </c>
      <c r="AS122" s="132">
        <f t="shared" si="241"/>
        <v>-1000</v>
      </c>
    </row>
    <row r="123">
      <c r="A123" s="132" t="s">
        <v>3625</v>
      </c>
      <c r="B123" s="132">
        <v>249.0</v>
      </c>
      <c r="C123" s="132">
        <v>249.0</v>
      </c>
      <c r="D123" s="132">
        <v>0.0</v>
      </c>
      <c r="E123" s="132">
        <v>0.0</v>
      </c>
      <c r="F123" s="132">
        <v>0.0</v>
      </c>
      <c r="G123" s="132">
        <v>0.0</v>
      </c>
      <c r="H123" s="132">
        <v>0.0</v>
      </c>
      <c r="I123" s="132">
        <v>0.0</v>
      </c>
      <c r="J123" s="132">
        <v>0.0</v>
      </c>
      <c r="K123" s="132">
        <v>0.0</v>
      </c>
      <c r="L123" s="132">
        <v>0.0</v>
      </c>
      <c r="M123" s="132">
        <v>0.0</v>
      </c>
      <c r="N123" s="132">
        <v>0.0</v>
      </c>
      <c r="O123" s="132">
        <v>0.0</v>
      </c>
      <c r="P123" s="132">
        <v>0.0</v>
      </c>
      <c r="Q123" s="132">
        <v>0.0</v>
      </c>
      <c r="R123" s="132">
        <v>0.0</v>
      </c>
      <c r="S123" s="132">
        <v>0.0</v>
      </c>
      <c r="T123" s="132">
        <v>0.0</v>
      </c>
      <c r="U123" s="132">
        <v>0.0</v>
      </c>
      <c r="V123" s="132">
        <v>0.0</v>
      </c>
      <c r="W123" s="132">
        <v>0.0</v>
      </c>
      <c r="Y123" s="132" t="s">
        <v>3625</v>
      </c>
      <c r="Z123" s="132">
        <f t="shared" ref="Z123:AC123" si="242">C123-1000</f>
        <v>-751</v>
      </c>
      <c r="AA123" s="132">
        <f t="shared" si="242"/>
        <v>-1000</v>
      </c>
      <c r="AB123" s="132">
        <f t="shared" si="242"/>
        <v>-1000</v>
      </c>
      <c r="AC123" s="132">
        <f t="shared" si="242"/>
        <v>-1000</v>
      </c>
      <c r="AD123" s="132">
        <f t="shared" si="4"/>
        <v>-10000</v>
      </c>
      <c r="AE123" s="132">
        <f t="shared" ref="AE123:AS123" si="243">H123-1000</f>
        <v>-1000</v>
      </c>
      <c r="AF123" s="132">
        <f t="shared" si="243"/>
        <v>-1000</v>
      </c>
      <c r="AG123" s="132">
        <f t="shared" si="243"/>
        <v>-1000</v>
      </c>
      <c r="AH123" s="132">
        <f t="shared" si="243"/>
        <v>-1000</v>
      </c>
      <c r="AI123" s="132">
        <f t="shared" si="243"/>
        <v>-1000</v>
      </c>
      <c r="AJ123" s="132">
        <f t="shared" si="243"/>
        <v>-1000</v>
      </c>
      <c r="AK123" s="132">
        <f t="shared" si="243"/>
        <v>-1000</v>
      </c>
      <c r="AL123" s="132">
        <f t="shared" si="243"/>
        <v>-1000</v>
      </c>
      <c r="AM123" s="132">
        <f t="shared" si="243"/>
        <v>-1000</v>
      </c>
      <c r="AN123" s="132">
        <f t="shared" si="243"/>
        <v>-1000</v>
      </c>
      <c r="AO123" s="132">
        <f t="shared" si="243"/>
        <v>-1000</v>
      </c>
      <c r="AP123" s="132">
        <f t="shared" si="243"/>
        <v>-1000</v>
      </c>
      <c r="AQ123" s="132">
        <f t="shared" si="243"/>
        <v>-1000</v>
      </c>
      <c r="AR123" s="132">
        <f t="shared" si="243"/>
        <v>-1000</v>
      </c>
      <c r="AS123" s="132">
        <f t="shared" si="243"/>
        <v>-1000</v>
      </c>
    </row>
    <row r="124">
      <c r="A124" s="132" t="s">
        <v>3626</v>
      </c>
      <c r="B124" s="132">
        <v>1750.0</v>
      </c>
      <c r="C124" s="132">
        <v>1500.0</v>
      </c>
      <c r="D124" s="132">
        <v>0.0</v>
      </c>
      <c r="E124" s="132">
        <v>0.0</v>
      </c>
      <c r="F124" s="132">
        <v>0.0</v>
      </c>
      <c r="G124" s="132">
        <v>0.0</v>
      </c>
      <c r="H124" s="132">
        <v>0.0</v>
      </c>
      <c r="I124" s="132">
        <v>250.0</v>
      </c>
      <c r="J124" s="132">
        <v>0.0</v>
      </c>
      <c r="K124" s="132">
        <v>0.0</v>
      </c>
      <c r="L124" s="132">
        <v>0.0</v>
      </c>
      <c r="M124" s="132">
        <v>0.0</v>
      </c>
      <c r="N124" s="132">
        <v>0.0</v>
      </c>
      <c r="O124" s="132">
        <v>0.0</v>
      </c>
      <c r="P124" s="132">
        <v>0.0</v>
      </c>
      <c r="Q124" s="132">
        <v>0.0</v>
      </c>
      <c r="R124" s="132">
        <v>0.0</v>
      </c>
      <c r="S124" s="132">
        <v>0.0</v>
      </c>
      <c r="T124" s="132">
        <v>0.0</v>
      </c>
      <c r="U124" s="132">
        <v>0.0</v>
      </c>
      <c r="V124" s="132">
        <v>0.0</v>
      </c>
      <c r="W124" s="132">
        <v>1.0</v>
      </c>
      <c r="Y124" s="132" t="s">
        <v>3626</v>
      </c>
      <c r="Z124" s="132">
        <f t="shared" ref="Z124:AC124" si="244">C124-1000</f>
        <v>500</v>
      </c>
      <c r="AA124" s="132">
        <f t="shared" si="244"/>
        <v>-1000</v>
      </c>
      <c r="AB124" s="132">
        <f t="shared" si="244"/>
        <v>-1000</v>
      </c>
      <c r="AC124" s="132">
        <f t="shared" si="244"/>
        <v>-1000</v>
      </c>
      <c r="AD124" s="132">
        <f t="shared" si="4"/>
        <v>-10000</v>
      </c>
      <c r="AE124" s="132">
        <f t="shared" ref="AE124:AS124" si="245">H124-1000</f>
        <v>-1000</v>
      </c>
      <c r="AF124" s="132">
        <f t="shared" si="245"/>
        <v>-750</v>
      </c>
      <c r="AG124" s="132">
        <f t="shared" si="245"/>
        <v>-1000</v>
      </c>
      <c r="AH124" s="132">
        <f t="shared" si="245"/>
        <v>-1000</v>
      </c>
      <c r="AI124" s="132">
        <f t="shared" si="245"/>
        <v>-1000</v>
      </c>
      <c r="AJ124" s="132">
        <f t="shared" si="245"/>
        <v>-1000</v>
      </c>
      <c r="AK124" s="132">
        <f t="shared" si="245"/>
        <v>-1000</v>
      </c>
      <c r="AL124" s="132">
        <f t="shared" si="245"/>
        <v>-1000</v>
      </c>
      <c r="AM124" s="132">
        <f t="shared" si="245"/>
        <v>-1000</v>
      </c>
      <c r="AN124" s="132">
        <f t="shared" si="245"/>
        <v>-1000</v>
      </c>
      <c r="AO124" s="132">
        <f t="shared" si="245"/>
        <v>-1000</v>
      </c>
      <c r="AP124" s="132">
        <f t="shared" si="245"/>
        <v>-1000</v>
      </c>
      <c r="AQ124" s="132">
        <f t="shared" si="245"/>
        <v>-1000</v>
      </c>
      <c r="AR124" s="132">
        <f t="shared" si="245"/>
        <v>-1000</v>
      </c>
      <c r="AS124" s="132">
        <f t="shared" si="245"/>
        <v>-1000</v>
      </c>
    </row>
    <row r="125">
      <c r="A125" s="132" t="s">
        <v>3627</v>
      </c>
      <c r="B125" s="132">
        <v>100.0</v>
      </c>
      <c r="C125" s="132">
        <v>100.0</v>
      </c>
      <c r="D125" s="132">
        <v>0.0</v>
      </c>
      <c r="E125" s="132">
        <v>0.0</v>
      </c>
      <c r="F125" s="132">
        <v>0.0</v>
      </c>
      <c r="G125" s="132">
        <v>0.0</v>
      </c>
      <c r="H125" s="132">
        <v>0.0</v>
      </c>
      <c r="I125" s="132">
        <v>0.0</v>
      </c>
      <c r="J125" s="132">
        <v>0.0</v>
      </c>
      <c r="K125" s="132">
        <v>0.0</v>
      </c>
      <c r="L125" s="132">
        <v>0.0</v>
      </c>
      <c r="M125" s="132">
        <v>0.0</v>
      </c>
      <c r="N125" s="132">
        <v>0.0</v>
      </c>
      <c r="O125" s="132">
        <v>0.0</v>
      </c>
      <c r="P125" s="132">
        <v>0.0</v>
      </c>
      <c r="Q125" s="132">
        <v>0.0</v>
      </c>
      <c r="R125" s="132">
        <v>0.0</v>
      </c>
      <c r="S125" s="132">
        <v>0.0</v>
      </c>
      <c r="T125" s="132">
        <v>0.0</v>
      </c>
      <c r="U125" s="132">
        <v>0.0</v>
      </c>
      <c r="V125" s="132">
        <v>0.0</v>
      </c>
      <c r="W125" s="132">
        <v>0.0</v>
      </c>
      <c r="Y125" s="132" t="s">
        <v>3627</v>
      </c>
      <c r="Z125" s="132">
        <f t="shared" ref="Z125:AC125" si="246">C125-1000</f>
        <v>-900</v>
      </c>
      <c r="AA125" s="132">
        <f t="shared" si="246"/>
        <v>-1000</v>
      </c>
      <c r="AB125" s="132">
        <f t="shared" si="246"/>
        <v>-1000</v>
      </c>
      <c r="AC125" s="132">
        <f t="shared" si="246"/>
        <v>-1000</v>
      </c>
      <c r="AD125" s="132">
        <f t="shared" si="4"/>
        <v>-10000</v>
      </c>
      <c r="AE125" s="132">
        <f t="shared" ref="AE125:AS125" si="247">H125-1000</f>
        <v>-1000</v>
      </c>
      <c r="AF125" s="132">
        <f t="shared" si="247"/>
        <v>-1000</v>
      </c>
      <c r="AG125" s="132">
        <f t="shared" si="247"/>
        <v>-1000</v>
      </c>
      <c r="AH125" s="132">
        <f t="shared" si="247"/>
        <v>-1000</v>
      </c>
      <c r="AI125" s="132">
        <f t="shared" si="247"/>
        <v>-1000</v>
      </c>
      <c r="AJ125" s="132">
        <f t="shared" si="247"/>
        <v>-1000</v>
      </c>
      <c r="AK125" s="132">
        <f t="shared" si="247"/>
        <v>-1000</v>
      </c>
      <c r="AL125" s="132">
        <f t="shared" si="247"/>
        <v>-1000</v>
      </c>
      <c r="AM125" s="132">
        <f t="shared" si="247"/>
        <v>-1000</v>
      </c>
      <c r="AN125" s="132">
        <f t="shared" si="247"/>
        <v>-1000</v>
      </c>
      <c r="AO125" s="132">
        <f t="shared" si="247"/>
        <v>-1000</v>
      </c>
      <c r="AP125" s="132">
        <f t="shared" si="247"/>
        <v>-1000</v>
      </c>
      <c r="AQ125" s="132">
        <f t="shared" si="247"/>
        <v>-1000</v>
      </c>
      <c r="AR125" s="132">
        <f t="shared" si="247"/>
        <v>-1000</v>
      </c>
      <c r="AS125" s="132">
        <f t="shared" si="247"/>
        <v>-1000</v>
      </c>
    </row>
    <row r="126">
      <c r="A126" s="132" t="s">
        <v>3628</v>
      </c>
      <c r="B126" s="132">
        <v>1000.0</v>
      </c>
      <c r="C126" s="132">
        <v>1000.0</v>
      </c>
      <c r="D126" s="132">
        <v>0.0</v>
      </c>
      <c r="E126" s="132">
        <v>0.0</v>
      </c>
      <c r="F126" s="132">
        <v>0.0</v>
      </c>
      <c r="G126" s="132">
        <v>0.0</v>
      </c>
      <c r="H126" s="132">
        <v>0.0</v>
      </c>
      <c r="I126" s="132">
        <v>0.0</v>
      </c>
      <c r="J126" s="132">
        <v>0.0</v>
      </c>
      <c r="K126" s="132">
        <v>0.0</v>
      </c>
      <c r="L126" s="132">
        <v>0.0</v>
      </c>
      <c r="M126" s="132">
        <v>0.0</v>
      </c>
      <c r="N126" s="132">
        <v>0.0</v>
      </c>
      <c r="O126" s="132">
        <v>0.0</v>
      </c>
      <c r="P126" s="132">
        <v>0.0</v>
      </c>
      <c r="Q126" s="132">
        <v>0.0</v>
      </c>
      <c r="R126" s="132">
        <v>0.0</v>
      </c>
      <c r="S126" s="132">
        <v>0.0</v>
      </c>
      <c r="T126" s="132">
        <v>0.0</v>
      </c>
      <c r="U126" s="132">
        <v>0.0</v>
      </c>
      <c r="V126" s="132">
        <v>0.0</v>
      </c>
      <c r="W126" s="132">
        <v>0.0</v>
      </c>
      <c r="Y126" s="132" t="s">
        <v>3628</v>
      </c>
      <c r="Z126" s="132">
        <f t="shared" ref="Z126:AC126" si="248">C126-1000</f>
        <v>0</v>
      </c>
      <c r="AA126" s="132">
        <f t="shared" si="248"/>
        <v>-1000</v>
      </c>
      <c r="AB126" s="132">
        <f t="shared" si="248"/>
        <v>-1000</v>
      </c>
      <c r="AC126" s="132">
        <f t="shared" si="248"/>
        <v>-1000</v>
      </c>
      <c r="AD126" s="132">
        <f t="shared" si="4"/>
        <v>-10000</v>
      </c>
      <c r="AE126" s="132">
        <f t="shared" ref="AE126:AS126" si="249">H126-1000</f>
        <v>-1000</v>
      </c>
      <c r="AF126" s="132">
        <f t="shared" si="249"/>
        <v>-1000</v>
      </c>
      <c r="AG126" s="132">
        <f t="shared" si="249"/>
        <v>-1000</v>
      </c>
      <c r="AH126" s="132">
        <f t="shared" si="249"/>
        <v>-1000</v>
      </c>
      <c r="AI126" s="132">
        <f t="shared" si="249"/>
        <v>-1000</v>
      </c>
      <c r="AJ126" s="132">
        <f t="shared" si="249"/>
        <v>-1000</v>
      </c>
      <c r="AK126" s="132">
        <f t="shared" si="249"/>
        <v>-1000</v>
      </c>
      <c r="AL126" s="132">
        <f t="shared" si="249"/>
        <v>-1000</v>
      </c>
      <c r="AM126" s="132">
        <f t="shared" si="249"/>
        <v>-1000</v>
      </c>
      <c r="AN126" s="132">
        <f t="shared" si="249"/>
        <v>-1000</v>
      </c>
      <c r="AO126" s="132">
        <f t="shared" si="249"/>
        <v>-1000</v>
      </c>
      <c r="AP126" s="132">
        <f t="shared" si="249"/>
        <v>-1000</v>
      </c>
      <c r="AQ126" s="132">
        <f t="shared" si="249"/>
        <v>-1000</v>
      </c>
      <c r="AR126" s="132">
        <f t="shared" si="249"/>
        <v>-1000</v>
      </c>
      <c r="AS126" s="132">
        <f t="shared" si="249"/>
        <v>-1000</v>
      </c>
    </row>
    <row r="127">
      <c r="A127" s="132" t="s">
        <v>3629</v>
      </c>
      <c r="B127" s="132">
        <v>2000.0</v>
      </c>
      <c r="C127" s="132">
        <v>1000.0</v>
      </c>
      <c r="D127" s="132">
        <v>0.0</v>
      </c>
      <c r="E127" s="132">
        <v>0.0</v>
      </c>
      <c r="F127" s="132">
        <v>0.0</v>
      </c>
      <c r="G127" s="132">
        <v>0.0</v>
      </c>
      <c r="H127" s="132">
        <v>0.0</v>
      </c>
      <c r="I127" s="132">
        <v>1000.0</v>
      </c>
      <c r="J127" s="132">
        <v>0.0</v>
      </c>
      <c r="K127" s="132">
        <v>0.0</v>
      </c>
      <c r="L127" s="132">
        <v>0.0</v>
      </c>
      <c r="M127" s="132">
        <v>0.0</v>
      </c>
      <c r="N127" s="132">
        <v>0.0</v>
      </c>
      <c r="O127" s="132">
        <v>0.0</v>
      </c>
      <c r="P127" s="132">
        <v>0.0</v>
      </c>
      <c r="Q127" s="132">
        <v>0.0</v>
      </c>
      <c r="R127" s="132">
        <v>0.0</v>
      </c>
      <c r="S127" s="132">
        <v>0.0</v>
      </c>
      <c r="T127" s="132">
        <v>0.0</v>
      </c>
      <c r="U127" s="132">
        <v>0.0</v>
      </c>
      <c r="V127" s="132">
        <v>0.0</v>
      </c>
      <c r="W127" s="132">
        <v>1.0</v>
      </c>
      <c r="Y127" s="132" t="s">
        <v>3629</v>
      </c>
      <c r="Z127" s="132">
        <f t="shared" ref="Z127:AC127" si="250">C127-1000</f>
        <v>0</v>
      </c>
      <c r="AA127" s="132">
        <f t="shared" si="250"/>
        <v>-1000</v>
      </c>
      <c r="AB127" s="132">
        <f t="shared" si="250"/>
        <v>-1000</v>
      </c>
      <c r="AC127" s="132">
        <f t="shared" si="250"/>
        <v>-1000</v>
      </c>
      <c r="AD127" s="132">
        <f t="shared" si="4"/>
        <v>-10000</v>
      </c>
      <c r="AE127" s="132">
        <f t="shared" ref="AE127:AS127" si="251">H127-1000</f>
        <v>-1000</v>
      </c>
      <c r="AF127" s="132">
        <f t="shared" si="251"/>
        <v>0</v>
      </c>
      <c r="AG127" s="132">
        <f t="shared" si="251"/>
        <v>-1000</v>
      </c>
      <c r="AH127" s="132">
        <f t="shared" si="251"/>
        <v>-1000</v>
      </c>
      <c r="AI127" s="132">
        <f t="shared" si="251"/>
        <v>-1000</v>
      </c>
      <c r="AJ127" s="132">
        <f t="shared" si="251"/>
        <v>-1000</v>
      </c>
      <c r="AK127" s="132">
        <f t="shared" si="251"/>
        <v>-1000</v>
      </c>
      <c r="AL127" s="132">
        <f t="shared" si="251"/>
        <v>-1000</v>
      </c>
      <c r="AM127" s="132">
        <f t="shared" si="251"/>
        <v>-1000</v>
      </c>
      <c r="AN127" s="132">
        <f t="shared" si="251"/>
        <v>-1000</v>
      </c>
      <c r="AO127" s="132">
        <f t="shared" si="251"/>
        <v>-1000</v>
      </c>
      <c r="AP127" s="132">
        <f t="shared" si="251"/>
        <v>-1000</v>
      </c>
      <c r="AQ127" s="132">
        <f t="shared" si="251"/>
        <v>-1000</v>
      </c>
      <c r="AR127" s="132">
        <f t="shared" si="251"/>
        <v>-1000</v>
      </c>
      <c r="AS127" s="132">
        <f t="shared" si="251"/>
        <v>-1000</v>
      </c>
    </row>
    <row r="128">
      <c r="A128" s="132" t="s">
        <v>3630</v>
      </c>
      <c r="B128" s="132">
        <v>1100.0</v>
      </c>
      <c r="C128" s="132">
        <v>100.0</v>
      </c>
      <c r="D128" s="132">
        <v>0.0</v>
      </c>
      <c r="E128" s="132">
        <v>0.0</v>
      </c>
      <c r="F128" s="132">
        <v>1000.0</v>
      </c>
      <c r="G128" s="132">
        <v>0.0</v>
      </c>
      <c r="H128" s="132">
        <v>0.0</v>
      </c>
      <c r="I128" s="132">
        <v>0.0</v>
      </c>
      <c r="J128" s="132">
        <v>0.0</v>
      </c>
      <c r="K128" s="132">
        <v>0.0</v>
      </c>
      <c r="L128" s="132">
        <v>0.0</v>
      </c>
      <c r="M128" s="132">
        <v>0.0</v>
      </c>
      <c r="N128" s="132">
        <v>0.0</v>
      </c>
      <c r="O128" s="132">
        <v>0.0</v>
      </c>
      <c r="P128" s="132">
        <v>0.0</v>
      </c>
      <c r="Q128" s="132">
        <v>0.0</v>
      </c>
      <c r="R128" s="132">
        <v>0.0</v>
      </c>
      <c r="S128" s="132">
        <v>0.0</v>
      </c>
      <c r="T128" s="132">
        <v>0.0</v>
      </c>
      <c r="U128" s="132">
        <v>0.0</v>
      </c>
      <c r="V128" s="132">
        <v>0.0</v>
      </c>
      <c r="W128" s="132">
        <v>1.0</v>
      </c>
      <c r="Y128" s="132" t="s">
        <v>3630</v>
      </c>
      <c r="Z128" s="132">
        <f t="shared" ref="Z128:AC128" si="252">C128-1000</f>
        <v>-900</v>
      </c>
      <c r="AA128" s="132">
        <f t="shared" si="252"/>
        <v>-1000</v>
      </c>
      <c r="AB128" s="132">
        <f t="shared" si="252"/>
        <v>-1000</v>
      </c>
      <c r="AC128" s="132">
        <f t="shared" si="252"/>
        <v>0</v>
      </c>
      <c r="AD128" s="132">
        <f t="shared" si="4"/>
        <v>-10000</v>
      </c>
      <c r="AE128" s="132">
        <f t="shared" ref="AE128:AS128" si="253">H128-1000</f>
        <v>-1000</v>
      </c>
      <c r="AF128" s="132">
        <f t="shared" si="253"/>
        <v>-1000</v>
      </c>
      <c r="AG128" s="132">
        <f t="shared" si="253"/>
        <v>-1000</v>
      </c>
      <c r="AH128" s="132">
        <f t="shared" si="253"/>
        <v>-1000</v>
      </c>
      <c r="AI128" s="132">
        <f t="shared" si="253"/>
        <v>-1000</v>
      </c>
      <c r="AJ128" s="132">
        <f t="shared" si="253"/>
        <v>-1000</v>
      </c>
      <c r="AK128" s="132">
        <f t="shared" si="253"/>
        <v>-1000</v>
      </c>
      <c r="AL128" s="132">
        <f t="shared" si="253"/>
        <v>-1000</v>
      </c>
      <c r="AM128" s="132">
        <f t="shared" si="253"/>
        <v>-1000</v>
      </c>
      <c r="AN128" s="132">
        <f t="shared" si="253"/>
        <v>-1000</v>
      </c>
      <c r="AO128" s="132">
        <f t="shared" si="253"/>
        <v>-1000</v>
      </c>
      <c r="AP128" s="132">
        <f t="shared" si="253"/>
        <v>-1000</v>
      </c>
      <c r="AQ128" s="132">
        <f t="shared" si="253"/>
        <v>-1000</v>
      </c>
      <c r="AR128" s="132">
        <f t="shared" si="253"/>
        <v>-1000</v>
      </c>
      <c r="AS128" s="132">
        <f t="shared" si="253"/>
        <v>-1000</v>
      </c>
    </row>
    <row r="129">
      <c r="A129" s="132" t="s">
        <v>3631</v>
      </c>
      <c r="B129" s="132">
        <v>250.0</v>
      </c>
      <c r="C129" s="132">
        <v>250.0</v>
      </c>
      <c r="D129" s="132">
        <v>0.0</v>
      </c>
      <c r="E129" s="132">
        <v>0.0</v>
      </c>
      <c r="F129" s="132">
        <v>0.0</v>
      </c>
      <c r="G129" s="132">
        <v>0.0</v>
      </c>
      <c r="H129" s="132">
        <v>0.0</v>
      </c>
      <c r="I129" s="132">
        <v>0.0</v>
      </c>
      <c r="J129" s="132">
        <v>0.0</v>
      </c>
      <c r="K129" s="132">
        <v>0.0</v>
      </c>
      <c r="L129" s="132">
        <v>0.0</v>
      </c>
      <c r="M129" s="132">
        <v>0.0</v>
      </c>
      <c r="N129" s="132">
        <v>0.0</v>
      </c>
      <c r="O129" s="132">
        <v>0.0</v>
      </c>
      <c r="P129" s="132">
        <v>0.0</v>
      </c>
      <c r="Q129" s="132">
        <v>0.0</v>
      </c>
      <c r="R129" s="132">
        <v>0.0</v>
      </c>
      <c r="S129" s="132">
        <v>0.0</v>
      </c>
      <c r="T129" s="132">
        <v>0.0</v>
      </c>
      <c r="U129" s="132">
        <v>0.0</v>
      </c>
      <c r="V129" s="132">
        <v>0.0</v>
      </c>
      <c r="W129" s="132">
        <v>0.0</v>
      </c>
      <c r="Y129" s="132" t="s">
        <v>3631</v>
      </c>
      <c r="Z129" s="132">
        <f t="shared" ref="Z129:AC129" si="254">C129-1000</f>
        <v>-750</v>
      </c>
      <c r="AA129" s="132">
        <f t="shared" si="254"/>
        <v>-1000</v>
      </c>
      <c r="AB129" s="132">
        <f t="shared" si="254"/>
        <v>-1000</v>
      </c>
      <c r="AC129" s="132">
        <f t="shared" si="254"/>
        <v>-1000</v>
      </c>
      <c r="AD129" s="132">
        <f t="shared" si="4"/>
        <v>-10000</v>
      </c>
      <c r="AE129" s="132">
        <f t="shared" ref="AE129:AS129" si="255">H129-1000</f>
        <v>-1000</v>
      </c>
      <c r="AF129" s="132">
        <f t="shared" si="255"/>
        <v>-1000</v>
      </c>
      <c r="AG129" s="132">
        <f t="shared" si="255"/>
        <v>-1000</v>
      </c>
      <c r="AH129" s="132">
        <f t="shared" si="255"/>
        <v>-1000</v>
      </c>
      <c r="AI129" s="132">
        <f t="shared" si="255"/>
        <v>-1000</v>
      </c>
      <c r="AJ129" s="132">
        <f t="shared" si="255"/>
        <v>-1000</v>
      </c>
      <c r="AK129" s="132">
        <f t="shared" si="255"/>
        <v>-1000</v>
      </c>
      <c r="AL129" s="132">
        <f t="shared" si="255"/>
        <v>-1000</v>
      </c>
      <c r="AM129" s="132">
        <f t="shared" si="255"/>
        <v>-1000</v>
      </c>
      <c r="AN129" s="132">
        <f t="shared" si="255"/>
        <v>-1000</v>
      </c>
      <c r="AO129" s="132">
        <f t="shared" si="255"/>
        <v>-1000</v>
      </c>
      <c r="AP129" s="132">
        <f t="shared" si="255"/>
        <v>-1000</v>
      </c>
      <c r="AQ129" s="132">
        <f t="shared" si="255"/>
        <v>-1000</v>
      </c>
      <c r="AR129" s="132">
        <f t="shared" si="255"/>
        <v>-1000</v>
      </c>
      <c r="AS129" s="132">
        <f t="shared" si="255"/>
        <v>-1000</v>
      </c>
    </row>
    <row r="130">
      <c r="A130" s="132" t="s">
        <v>3632</v>
      </c>
      <c r="B130" s="132">
        <v>500.0</v>
      </c>
      <c r="C130" s="132">
        <v>500.0</v>
      </c>
      <c r="D130" s="132">
        <v>0.0</v>
      </c>
      <c r="E130" s="132">
        <v>0.0</v>
      </c>
      <c r="F130" s="132">
        <v>0.0</v>
      </c>
      <c r="G130" s="132">
        <v>0.0</v>
      </c>
      <c r="H130" s="132">
        <v>0.0</v>
      </c>
      <c r="I130" s="132">
        <v>0.0</v>
      </c>
      <c r="J130" s="132">
        <v>0.0</v>
      </c>
      <c r="K130" s="132">
        <v>0.0</v>
      </c>
      <c r="L130" s="132">
        <v>0.0</v>
      </c>
      <c r="M130" s="132">
        <v>0.0</v>
      </c>
      <c r="N130" s="132">
        <v>0.0</v>
      </c>
      <c r="O130" s="132">
        <v>0.0</v>
      </c>
      <c r="P130" s="132">
        <v>0.0</v>
      </c>
      <c r="Q130" s="132">
        <v>0.0</v>
      </c>
      <c r="R130" s="132">
        <v>0.0</v>
      </c>
      <c r="S130" s="132">
        <v>0.0</v>
      </c>
      <c r="T130" s="132">
        <v>0.0</v>
      </c>
      <c r="U130" s="132">
        <v>0.0</v>
      </c>
      <c r="V130" s="132">
        <v>0.0</v>
      </c>
      <c r="W130" s="132">
        <v>0.0</v>
      </c>
      <c r="Y130" s="132" t="s">
        <v>3632</v>
      </c>
      <c r="Z130" s="132">
        <f t="shared" ref="Z130:AC130" si="256">C130-1000</f>
        <v>-500</v>
      </c>
      <c r="AA130" s="132">
        <f t="shared" si="256"/>
        <v>-1000</v>
      </c>
      <c r="AB130" s="132">
        <f t="shared" si="256"/>
        <v>-1000</v>
      </c>
      <c r="AC130" s="132">
        <f t="shared" si="256"/>
        <v>-1000</v>
      </c>
      <c r="AD130" s="132">
        <f t="shared" si="4"/>
        <v>-10000</v>
      </c>
      <c r="AE130" s="132">
        <f t="shared" ref="AE130:AS130" si="257">H130-1000</f>
        <v>-1000</v>
      </c>
      <c r="AF130" s="132">
        <f t="shared" si="257"/>
        <v>-1000</v>
      </c>
      <c r="AG130" s="132">
        <f t="shared" si="257"/>
        <v>-1000</v>
      </c>
      <c r="AH130" s="132">
        <f t="shared" si="257"/>
        <v>-1000</v>
      </c>
      <c r="AI130" s="132">
        <f t="shared" si="257"/>
        <v>-1000</v>
      </c>
      <c r="AJ130" s="132">
        <f t="shared" si="257"/>
        <v>-1000</v>
      </c>
      <c r="AK130" s="132">
        <f t="shared" si="257"/>
        <v>-1000</v>
      </c>
      <c r="AL130" s="132">
        <f t="shared" si="257"/>
        <v>-1000</v>
      </c>
      <c r="AM130" s="132">
        <f t="shared" si="257"/>
        <v>-1000</v>
      </c>
      <c r="AN130" s="132">
        <f t="shared" si="257"/>
        <v>-1000</v>
      </c>
      <c r="AO130" s="132">
        <f t="shared" si="257"/>
        <v>-1000</v>
      </c>
      <c r="AP130" s="132">
        <f t="shared" si="257"/>
        <v>-1000</v>
      </c>
      <c r="AQ130" s="132">
        <f t="shared" si="257"/>
        <v>-1000</v>
      </c>
      <c r="AR130" s="132">
        <f t="shared" si="257"/>
        <v>-1000</v>
      </c>
      <c r="AS130" s="132">
        <f t="shared" si="257"/>
        <v>-1000</v>
      </c>
    </row>
    <row r="131">
      <c r="A131" s="132" t="s">
        <v>3633</v>
      </c>
      <c r="B131" s="132">
        <v>500.0</v>
      </c>
      <c r="C131" s="132">
        <v>500.0</v>
      </c>
      <c r="D131" s="132">
        <v>0.0</v>
      </c>
      <c r="E131" s="132">
        <v>0.0</v>
      </c>
      <c r="F131" s="132">
        <v>0.0</v>
      </c>
      <c r="G131" s="132">
        <v>0.0</v>
      </c>
      <c r="H131" s="132">
        <v>0.0</v>
      </c>
      <c r="I131" s="132">
        <v>0.0</v>
      </c>
      <c r="J131" s="132">
        <v>0.0</v>
      </c>
      <c r="K131" s="132">
        <v>0.0</v>
      </c>
      <c r="L131" s="132">
        <v>0.0</v>
      </c>
      <c r="M131" s="132">
        <v>0.0</v>
      </c>
      <c r="N131" s="132">
        <v>0.0</v>
      </c>
      <c r="O131" s="132">
        <v>0.0</v>
      </c>
      <c r="P131" s="132">
        <v>0.0</v>
      </c>
      <c r="Q131" s="132">
        <v>0.0</v>
      </c>
      <c r="R131" s="132">
        <v>0.0</v>
      </c>
      <c r="S131" s="132">
        <v>0.0</v>
      </c>
      <c r="T131" s="132">
        <v>0.0</v>
      </c>
      <c r="U131" s="132">
        <v>0.0</v>
      </c>
      <c r="V131" s="132">
        <v>0.0</v>
      </c>
      <c r="W131" s="132">
        <v>0.0</v>
      </c>
      <c r="Y131" s="132" t="s">
        <v>3633</v>
      </c>
      <c r="Z131" s="132">
        <f t="shared" ref="Z131:AC131" si="258">C131-1000</f>
        <v>-500</v>
      </c>
      <c r="AA131" s="132">
        <f t="shared" si="258"/>
        <v>-1000</v>
      </c>
      <c r="AB131" s="132">
        <f t="shared" si="258"/>
        <v>-1000</v>
      </c>
      <c r="AC131" s="132">
        <f t="shared" si="258"/>
        <v>-1000</v>
      </c>
      <c r="AD131" s="132">
        <f t="shared" si="4"/>
        <v>-10000</v>
      </c>
      <c r="AE131" s="132">
        <f t="shared" ref="AE131:AS131" si="259">H131-1000</f>
        <v>-1000</v>
      </c>
      <c r="AF131" s="132">
        <f t="shared" si="259"/>
        <v>-1000</v>
      </c>
      <c r="AG131" s="132">
        <f t="shared" si="259"/>
        <v>-1000</v>
      </c>
      <c r="AH131" s="132">
        <f t="shared" si="259"/>
        <v>-1000</v>
      </c>
      <c r="AI131" s="132">
        <f t="shared" si="259"/>
        <v>-1000</v>
      </c>
      <c r="AJ131" s="132">
        <f t="shared" si="259"/>
        <v>-1000</v>
      </c>
      <c r="AK131" s="132">
        <f t="shared" si="259"/>
        <v>-1000</v>
      </c>
      <c r="AL131" s="132">
        <f t="shared" si="259"/>
        <v>-1000</v>
      </c>
      <c r="AM131" s="132">
        <f t="shared" si="259"/>
        <v>-1000</v>
      </c>
      <c r="AN131" s="132">
        <f t="shared" si="259"/>
        <v>-1000</v>
      </c>
      <c r="AO131" s="132">
        <f t="shared" si="259"/>
        <v>-1000</v>
      </c>
      <c r="AP131" s="132">
        <f t="shared" si="259"/>
        <v>-1000</v>
      </c>
      <c r="AQ131" s="132">
        <f t="shared" si="259"/>
        <v>-1000</v>
      </c>
      <c r="AR131" s="132">
        <f t="shared" si="259"/>
        <v>-1000</v>
      </c>
      <c r="AS131" s="132">
        <f t="shared" si="259"/>
        <v>-1000</v>
      </c>
    </row>
    <row r="132">
      <c r="A132" s="132" t="s">
        <v>3634</v>
      </c>
      <c r="B132" s="132">
        <v>2000.0</v>
      </c>
      <c r="C132" s="132">
        <v>500.0</v>
      </c>
      <c r="D132" s="132">
        <v>0.0</v>
      </c>
      <c r="E132" s="132">
        <v>0.0</v>
      </c>
      <c r="F132" s="132">
        <v>0.0</v>
      </c>
      <c r="G132" s="132">
        <v>500.0</v>
      </c>
      <c r="H132" s="132">
        <v>0.0</v>
      </c>
      <c r="I132" s="132">
        <v>0.0</v>
      </c>
      <c r="J132" s="132">
        <v>0.0</v>
      </c>
      <c r="K132" s="132">
        <v>1000.0</v>
      </c>
      <c r="L132" s="132">
        <v>0.0</v>
      </c>
      <c r="M132" s="132">
        <v>0.0</v>
      </c>
      <c r="N132" s="132">
        <v>0.0</v>
      </c>
      <c r="O132" s="132">
        <v>0.0</v>
      </c>
      <c r="P132" s="132">
        <v>0.0</v>
      </c>
      <c r="Q132" s="132">
        <v>0.0</v>
      </c>
      <c r="R132" s="132">
        <v>0.0</v>
      </c>
      <c r="S132" s="132">
        <v>0.0</v>
      </c>
      <c r="T132" s="132">
        <v>0.0</v>
      </c>
      <c r="U132" s="132">
        <v>0.0</v>
      </c>
      <c r="V132" s="132">
        <v>0.0</v>
      </c>
      <c r="W132" s="132">
        <v>1.0</v>
      </c>
      <c r="Y132" s="132" t="s">
        <v>3634</v>
      </c>
      <c r="Z132" s="132">
        <f t="shared" ref="Z132:AC132" si="260">C132-1000</f>
        <v>-500</v>
      </c>
      <c r="AA132" s="132">
        <f t="shared" si="260"/>
        <v>-1000</v>
      </c>
      <c r="AB132" s="132">
        <f t="shared" si="260"/>
        <v>-1000</v>
      </c>
      <c r="AC132" s="132">
        <f t="shared" si="260"/>
        <v>-1000</v>
      </c>
      <c r="AD132" s="132">
        <f t="shared" si="4"/>
        <v>-9500</v>
      </c>
      <c r="AE132" s="132">
        <f t="shared" ref="AE132:AS132" si="261">H132-1000</f>
        <v>-1000</v>
      </c>
      <c r="AF132" s="132">
        <f t="shared" si="261"/>
        <v>-1000</v>
      </c>
      <c r="AG132" s="132">
        <f t="shared" si="261"/>
        <v>-1000</v>
      </c>
      <c r="AH132" s="132">
        <f t="shared" si="261"/>
        <v>0</v>
      </c>
      <c r="AI132" s="132">
        <f t="shared" si="261"/>
        <v>-1000</v>
      </c>
      <c r="AJ132" s="132">
        <f t="shared" si="261"/>
        <v>-1000</v>
      </c>
      <c r="AK132" s="132">
        <f t="shared" si="261"/>
        <v>-1000</v>
      </c>
      <c r="AL132" s="132">
        <f t="shared" si="261"/>
        <v>-1000</v>
      </c>
      <c r="AM132" s="132">
        <f t="shared" si="261"/>
        <v>-1000</v>
      </c>
      <c r="AN132" s="132">
        <f t="shared" si="261"/>
        <v>-1000</v>
      </c>
      <c r="AO132" s="132">
        <f t="shared" si="261"/>
        <v>-1000</v>
      </c>
      <c r="AP132" s="132">
        <f t="shared" si="261"/>
        <v>-1000</v>
      </c>
      <c r="AQ132" s="132">
        <f t="shared" si="261"/>
        <v>-1000</v>
      </c>
      <c r="AR132" s="132">
        <f t="shared" si="261"/>
        <v>-1000</v>
      </c>
      <c r="AS132" s="132">
        <f t="shared" si="261"/>
        <v>-1000</v>
      </c>
    </row>
    <row r="133">
      <c r="A133" s="132" t="s">
        <v>3635</v>
      </c>
      <c r="B133" s="132">
        <v>50.0</v>
      </c>
      <c r="C133" s="132">
        <v>50.0</v>
      </c>
      <c r="D133" s="132">
        <v>0.0</v>
      </c>
      <c r="E133" s="132">
        <v>0.0</v>
      </c>
      <c r="F133" s="132">
        <v>0.0</v>
      </c>
      <c r="G133" s="132">
        <v>0.0</v>
      </c>
      <c r="H133" s="132">
        <v>0.0</v>
      </c>
      <c r="I133" s="132">
        <v>0.0</v>
      </c>
      <c r="J133" s="132">
        <v>0.0</v>
      </c>
      <c r="K133" s="132">
        <v>0.0</v>
      </c>
      <c r="L133" s="132">
        <v>0.0</v>
      </c>
      <c r="M133" s="132">
        <v>0.0</v>
      </c>
      <c r="N133" s="132">
        <v>0.0</v>
      </c>
      <c r="O133" s="132">
        <v>0.0</v>
      </c>
      <c r="P133" s="132">
        <v>0.0</v>
      </c>
      <c r="Q133" s="132">
        <v>0.0</v>
      </c>
      <c r="R133" s="132">
        <v>0.0</v>
      </c>
      <c r="S133" s="132">
        <v>0.0</v>
      </c>
      <c r="T133" s="132">
        <v>0.0</v>
      </c>
      <c r="U133" s="132">
        <v>0.0</v>
      </c>
      <c r="V133" s="132">
        <v>0.0</v>
      </c>
      <c r="W133" s="132">
        <v>0.0</v>
      </c>
      <c r="Y133" s="132" t="s">
        <v>3635</v>
      </c>
      <c r="Z133" s="132">
        <f t="shared" ref="Z133:AC133" si="262">C133-1000</f>
        <v>-950</v>
      </c>
      <c r="AA133" s="132">
        <f t="shared" si="262"/>
        <v>-1000</v>
      </c>
      <c r="AB133" s="132">
        <f t="shared" si="262"/>
        <v>-1000</v>
      </c>
      <c r="AC133" s="132">
        <f t="shared" si="262"/>
        <v>-1000</v>
      </c>
      <c r="AD133" s="132">
        <f t="shared" si="4"/>
        <v>-10000</v>
      </c>
      <c r="AE133" s="132">
        <f t="shared" ref="AE133:AS133" si="263">H133-1000</f>
        <v>-1000</v>
      </c>
      <c r="AF133" s="132">
        <f t="shared" si="263"/>
        <v>-1000</v>
      </c>
      <c r="AG133" s="132">
        <f t="shared" si="263"/>
        <v>-1000</v>
      </c>
      <c r="AH133" s="132">
        <f t="shared" si="263"/>
        <v>-1000</v>
      </c>
      <c r="AI133" s="132">
        <f t="shared" si="263"/>
        <v>-1000</v>
      </c>
      <c r="AJ133" s="132">
        <f t="shared" si="263"/>
        <v>-1000</v>
      </c>
      <c r="AK133" s="132">
        <f t="shared" si="263"/>
        <v>-1000</v>
      </c>
      <c r="AL133" s="132">
        <f t="shared" si="263"/>
        <v>-1000</v>
      </c>
      <c r="AM133" s="132">
        <f t="shared" si="263"/>
        <v>-1000</v>
      </c>
      <c r="AN133" s="132">
        <f t="shared" si="263"/>
        <v>-1000</v>
      </c>
      <c r="AO133" s="132">
        <f t="shared" si="263"/>
        <v>-1000</v>
      </c>
      <c r="AP133" s="132">
        <f t="shared" si="263"/>
        <v>-1000</v>
      </c>
      <c r="AQ133" s="132">
        <f t="shared" si="263"/>
        <v>-1000</v>
      </c>
      <c r="AR133" s="132">
        <f t="shared" si="263"/>
        <v>-1000</v>
      </c>
      <c r="AS133" s="132">
        <f t="shared" si="263"/>
        <v>-1000</v>
      </c>
    </row>
    <row r="134">
      <c r="A134" s="132" t="s">
        <v>3636</v>
      </c>
      <c r="B134" s="132">
        <v>500.0</v>
      </c>
      <c r="C134" s="132">
        <v>500.0</v>
      </c>
      <c r="D134" s="132">
        <v>0.0</v>
      </c>
      <c r="E134" s="132">
        <v>0.0</v>
      </c>
      <c r="F134" s="132">
        <v>0.0</v>
      </c>
      <c r="G134" s="132">
        <v>0.0</v>
      </c>
      <c r="H134" s="132">
        <v>0.0</v>
      </c>
      <c r="I134" s="132">
        <v>0.0</v>
      </c>
      <c r="J134" s="132">
        <v>0.0</v>
      </c>
      <c r="K134" s="132">
        <v>0.0</v>
      </c>
      <c r="L134" s="132">
        <v>0.0</v>
      </c>
      <c r="M134" s="132">
        <v>0.0</v>
      </c>
      <c r="N134" s="132">
        <v>0.0</v>
      </c>
      <c r="O134" s="132">
        <v>0.0</v>
      </c>
      <c r="P134" s="132">
        <v>0.0</v>
      </c>
      <c r="Q134" s="132">
        <v>0.0</v>
      </c>
      <c r="R134" s="132">
        <v>0.0</v>
      </c>
      <c r="S134" s="132">
        <v>0.0</v>
      </c>
      <c r="T134" s="132">
        <v>0.0</v>
      </c>
      <c r="U134" s="132">
        <v>0.0</v>
      </c>
      <c r="V134" s="132">
        <v>0.0</v>
      </c>
      <c r="W134" s="132">
        <v>0.0</v>
      </c>
      <c r="Y134" s="132" t="s">
        <v>3636</v>
      </c>
      <c r="Z134" s="132">
        <f t="shared" ref="Z134:AC134" si="264">C134-1000</f>
        <v>-500</v>
      </c>
      <c r="AA134" s="132">
        <f t="shared" si="264"/>
        <v>-1000</v>
      </c>
      <c r="AB134" s="132">
        <f t="shared" si="264"/>
        <v>-1000</v>
      </c>
      <c r="AC134" s="132">
        <f t="shared" si="264"/>
        <v>-1000</v>
      </c>
      <c r="AD134" s="132">
        <f t="shared" si="4"/>
        <v>-10000</v>
      </c>
      <c r="AE134" s="132">
        <f t="shared" ref="AE134:AS134" si="265">H134-1000</f>
        <v>-1000</v>
      </c>
      <c r="AF134" s="132">
        <f t="shared" si="265"/>
        <v>-1000</v>
      </c>
      <c r="AG134" s="132">
        <f t="shared" si="265"/>
        <v>-1000</v>
      </c>
      <c r="AH134" s="132">
        <f t="shared" si="265"/>
        <v>-1000</v>
      </c>
      <c r="AI134" s="132">
        <f t="shared" si="265"/>
        <v>-1000</v>
      </c>
      <c r="AJ134" s="132">
        <f t="shared" si="265"/>
        <v>-1000</v>
      </c>
      <c r="AK134" s="132">
        <f t="shared" si="265"/>
        <v>-1000</v>
      </c>
      <c r="AL134" s="132">
        <f t="shared" si="265"/>
        <v>-1000</v>
      </c>
      <c r="AM134" s="132">
        <f t="shared" si="265"/>
        <v>-1000</v>
      </c>
      <c r="AN134" s="132">
        <f t="shared" si="265"/>
        <v>-1000</v>
      </c>
      <c r="AO134" s="132">
        <f t="shared" si="265"/>
        <v>-1000</v>
      </c>
      <c r="AP134" s="132">
        <f t="shared" si="265"/>
        <v>-1000</v>
      </c>
      <c r="AQ134" s="132">
        <f t="shared" si="265"/>
        <v>-1000</v>
      </c>
      <c r="AR134" s="132">
        <f t="shared" si="265"/>
        <v>-1000</v>
      </c>
      <c r="AS134" s="132">
        <f t="shared" si="265"/>
        <v>-1000</v>
      </c>
    </row>
    <row r="135">
      <c r="A135" s="132" t="s">
        <v>3637</v>
      </c>
      <c r="B135" s="132">
        <v>850.0</v>
      </c>
      <c r="C135" s="132">
        <v>750.0</v>
      </c>
      <c r="D135" s="132">
        <v>0.0</v>
      </c>
      <c r="E135" s="132">
        <v>0.0</v>
      </c>
      <c r="F135" s="132">
        <v>0.0</v>
      </c>
      <c r="G135" s="132">
        <v>100.0</v>
      </c>
      <c r="H135" s="132">
        <v>0.0</v>
      </c>
      <c r="I135" s="132">
        <v>0.0</v>
      </c>
      <c r="J135" s="132">
        <v>0.0</v>
      </c>
      <c r="K135" s="132">
        <v>0.0</v>
      </c>
      <c r="L135" s="132">
        <v>0.0</v>
      </c>
      <c r="M135" s="132">
        <v>0.0</v>
      </c>
      <c r="N135" s="132">
        <v>0.0</v>
      </c>
      <c r="O135" s="132">
        <v>0.0</v>
      </c>
      <c r="P135" s="132">
        <v>0.0</v>
      </c>
      <c r="Q135" s="132">
        <v>0.0</v>
      </c>
      <c r="R135" s="132">
        <v>0.0</v>
      </c>
      <c r="S135" s="132">
        <v>0.0</v>
      </c>
      <c r="T135" s="132">
        <v>0.0</v>
      </c>
      <c r="U135" s="132">
        <v>0.0</v>
      </c>
      <c r="V135" s="132">
        <v>0.0</v>
      </c>
      <c r="W135" s="132">
        <v>1.0</v>
      </c>
      <c r="Y135" s="132" t="s">
        <v>3637</v>
      </c>
      <c r="Z135" s="132">
        <f t="shared" ref="Z135:AC135" si="266">C135-1000</f>
        <v>-250</v>
      </c>
      <c r="AA135" s="132">
        <f t="shared" si="266"/>
        <v>-1000</v>
      </c>
      <c r="AB135" s="132">
        <f t="shared" si="266"/>
        <v>-1000</v>
      </c>
      <c r="AC135" s="132">
        <f t="shared" si="266"/>
        <v>-1000</v>
      </c>
      <c r="AD135" s="132">
        <f t="shared" si="4"/>
        <v>-9900</v>
      </c>
      <c r="AE135" s="132">
        <f t="shared" ref="AE135:AS135" si="267">H135-1000</f>
        <v>-1000</v>
      </c>
      <c r="AF135" s="132">
        <f t="shared" si="267"/>
        <v>-1000</v>
      </c>
      <c r="AG135" s="132">
        <f t="shared" si="267"/>
        <v>-1000</v>
      </c>
      <c r="AH135" s="132">
        <f t="shared" si="267"/>
        <v>-1000</v>
      </c>
      <c r="AI135" s="132">
        <f t="shared" si="267"/>
        <v>-1000</v>
      </c>
      <c r="AJ135" s="132">
        <f t="shared" si="267"/>
        <v>-1000</v>
      </c>
      <c r="AK135" s="132">
        <f t="shared" si="267"/>
        <v>-1000</v>
      </c>
      <c r="AL135" s="132">
        <f t="shared" si="267"/>
        <v>-1000</v>
      </c>
      <c r="AM135" s="132">
        <f t="shared" si="267"/>
        <v>-1000</v>
      </c>
      <c r="AN135" s="132">
        <f t="shared" si="267"/>
        <v>-1000</v>
      </c>
      <c r="AO135" s="132">
        <f t="shared" si="267"/>
        <v>-1000</v>
      </c>
      <c r="AP135" s="132">
        <f t="shared" si="267"/>
        <v>-1000</v>
      </c>
      <c r="AQ135" s="132">
        <f t="shared" si="267"/>
        <v>-1000</v>
      </c>
      <c r="AR135" s="132">
        <f t="shared" si="267"/>
        <v>-1000</v>
      </c>
      <c r="AS135" s="132">
        <f t="shared" si="267"/>
        <v>-1000</v>
      </c>
    </row>
    <row r="136">
      <c r="A136" s="132" t="s">
        <v>3638</v>
      </c>
      <c r="B136" s="132">
        <v>1500.0</v>
      </c>
      <c r="C136" s="132">
        <v>1500.0</v>
      </c>
      <c r="D136" s="132">
        <v>0.0</v>
      </c>
      <c r="E136" s="132">
        <v>0.0</v>
      </c>
      <c r="F136" s="132">
        <v>0.0</v>
      </c>
      <c r="G136" s="132">
        <v>0.0</v>
      </c>
      <c r="H136" s="132">
        <v>0.0</v>
      </c>
      <c r="I136" s="132">
        <v>0.0</v>
      </c>
      <c r="J136" s="132">
        <v>0.0</v>
      </c>
      <c r="K136" s="132">
        <v>0.0</v>
      </c>
      <c r="L136" s="132">
        <v>0.0</v>
      </c>
      <c r="M136" s="132">
        <v>0.0</v>
      </c>
      <c r="N136" s="132">
        <v>0.0</v>
      </c>
      <c r="O136" s="132">
        <v>0.0</v>
      </c>
      <c r="P136" s="132">
        <v>0.0</v>
      </c>
      <c r="Q136" s="132">
        <v>0.0</v>
      </c>
      <c r="R136" s="132">
        <v>0.0</v>
      </c>
      <c r="S136" s="132">
        <v>0.0</v>
      </c>
      <c r="T136" s="132">
        <v>0.0</v>
      </c>
      <c r="U136" s="132">
        <v>0.0</v>
      </c>
      <c r="V136" s="132">
        <v>0.0</v>
      </c>
      <c r="W136" s="132">
        <v>1.0</v>
      </c>
      <c r="Y136" s="132" t="s">
        <v>3638</v>
      </c>
      <c r="Z136" s="132">
        <f t="shared" ref="Z136:AC136" si="268">C136-1000</f>
        <v>500</v>
      </c>
      <c r="AA136" s="132">
        <f t="shared" si="268"/>
        <v>-1000</v>
      </c>
      <c r="AB136" s="132">
        <f t="shared" si="268"/>
        <v>-1000</v>
      </c>
      <c r="AC136" s="132">
        <f t="shared" si="268"/>
        <v>-1000</v>
      </c>
      <c r="AD136" s="132">
        <f t="shared" si="4"/>
        <v>-10000</v>
      </c>
      <c r="AE136" s="132">
        <f t="shared" ref="AE136:AS136" si="269">H136-1000</f>
        <v>-1000</v>
      </c>
      <c r="AF136" s="132">
        <f t="shared" si="269"/>
        <v>-1000</v>
      </c>
      <c r="AG136" s="132">
        <f t="shared" si="269"/>
        <v>-1000</v>
      </c>
      <c r="AH136" s="132">
        <f t="shared" si="269"/>
        <v>-1000</v>
      </c>
      <c r="AI136" s="132">
        <f t="shared" si="269"/>
        <v>-1000</v>
      </c>
      <c r="AJ136" s="132">
        <f t="shared" si="269"/>
        <v>-1000</v>
      </c>
      <c r="AK136" s="132">
        <f t="shared" si="269"/>
        <v>-1000</v>
      </c>
      <c r="AL136" s="132">
        <f t="shared" si="269"/>
        <v>-1000</v>
      </c>
      <c r="AM136" s="132">
        <f t="shared" si="269"/>
        <v>-1000</v>
      </c>
      <c r="AN136" s="132">
        <f t="shared" si="269"/>
        <v>-1000</v>
      </c>
      <c r="AO136" s="132">
        <f t="shared" si="269"/>
        <v>-1000</v>
      </c>
      <c r="AP136" s="132">
        <f t="shared" si="269"/>
        <v>-1000</v>
      </c>
      <c r="AQ136" s="132">
        <f t="shared" si="269"/>
        <v>-1000</v>
      </c>
      <c r="AR136" s="132">
        <f t="shared" si="269"/>
        <v>-1000</v>
      </c>
      <c r="AS136" s="132">
        <f t="shared" si="269"/>
        <v>-1000</v>
      </c>
    </row>
    <row r="137">
      <c r="A137" s="132" t="s">
        <v>3639</v>
      </c>
      <c r="B137" s="132">
        <v>1000.0</v>
      </c>
      <c r="C137" s="132">
        <v>1000.0</v>
      </c>
      <c r="D137" s="132">
        <v>0.0</v>
      </c>
      <c r="E137" s="132">
        <v>0.0</v>
      </c>
      <c r="F137" s="132">
        <v>0.0</v>
      </c>
      <c r="G137" s="132">
        <v>0.0</v>
      </c>
      <c r="H137" s="132">
        <v>0.0</v>
      </c>
      <c r="I137" s="132">
        <v>0.0</v>
      </c>
      <c r="J137" s="132">
        <v>0.0</v>
      </c>
      <c r="K137" s="132">
        <v>0.0</v>
      </c>
      <c r="L137" s="132">
        <v>0.0</v>
      </c>
      <c r="M137" s="132">
        <v>0.0</v>
      </c>
      <c r="N137" s="132">
        <v>0.0</v>
      </c>
      <c r="O137" s="132">
        <v>0.0</v>
      </c>
      <c r="P137" s="132">
        <v>0.0</v>
      </c>
      <c r="Q137" s="132">
        <v>0.0</v>
      </c>
      <c r="R137" s="132">
        <v>0.0</v>
      </c>
      <c r="S137" s="132">
        <v>0.0</v>
      </c>
      <c r="T137" s="132">
        <v>0.0</v>
      </c>
      <c r="U137" s="132">
        <v>0.0</v>
      </c>
      <c r="V137" s="132">
        <v>0.0</v>
      </c>
      <c r="W137" s="132">
        <v>0.0</v>
      </c>
      <c r="Y137" s="132" t="s">
        <v>3639</v>
      </c>
      <c r="Z137" s="132">
        <f t="shared" ref="Z137:AC137" si="270">C137-1000</f>
        <v>0</v>
      </c>
      <c r="AA137" s="132">
        <f t="shared" si="270"/>
        <v>-1000</v>
      </c>
      <c r="AB137" s="132">
        <f t="shared" si="270"/>
        <v>-1000</v>
      </c>
      <c r="AC137" s="132">
        <f t="shared" si="270"/>
        <v>-1000</v>
      </c>
      <c r="AD137" s="132">
        <f t="shared" si="4"/>
        <v>-10000</v>
      </c>
      <c r="AE137" s="132">
        <f t="shared" ref="AE137:AS137" si="271">H137-1000</f>
        <v>-1000</v>
      </c>
      <c r="AF137" s="132">
        <f t="shared" si="271"/>
        <v>-1000</v>
      </c>
      <c r="AG137" s="132">
        <f t="shared" si="271"/>
        <v>-1000</v>
      </c>
      <c r="AH137" s="132">
        <f t="shared" si="271"/>
        <v>-1000</v>
      </c>
      <c r="AI137" s="132">
        <f t="shared" si="271"/>
        <v>-1000</v>
      </c>
      <c r="AJ137" s="132">
        <f t="shared" si="271"/>
        <v>-1000</v>
      </c>
      <c r="AK137" s="132">
        <f t="shared" si="271"/>
        <v>-1000</v>
      </c>
      <c r="AL137" s="132">
        <f t="shared" si="271"/>
        <v>-1000</v>
      </c>
      <c r="AM137" s="132">
        <f t="shared" si="271"/>
        <v>-1000</v>
      </c>
      <c r="AN137" s="132">
        <f t="shared" si="271"/>
        <v>-1000</v>
      </c>
      <c r="AO137" s="132">
        <f t="shared" si="271"/>
        <v>-1000</v>
      </c>
      <c r="AP137" s="132">
        <f t="shared" si="271"/>
        <v>-1000</v>
      </c>
      <c r="AQ137" s="132">
        <f t="shared" si="271"/>
        <v>-1000</v>
      </c>
      <c r="AR137" s="132">
        <f t="shared" si="271"/>
        <v>-1000</v>
      </c>
      <c r="AS137" s="132">
        <f t="shared" si="271"/>
        <v>-1000</v>
      </c>
    </row>
    <row r="138">
      <c r="A138" s="132" t="s">
        <v>3640</v>
      </c>
      <c r="B138" s="132">
        <v>47.0</v>
      </c>
      <c r="C138" s="132">
        <v>47.0</v>
      </c>
      <c r="D138" s="132">
        <v>0.0</v>
      </c>
      <c r="E138" s="132">
        <v>0.0</v>
      </c>
      <c r="F138" s="132">
        <v>0.0</v>
      </c>
      <c r="G138" s="132">
        <v>0.0</v>
      </c>
      <c r="H138" s="132">
        <v>0.0</v>
      </c>
      <c r="I138" s="132">
        <v>0.0</v>
      </c>
      <c r="J138" s="132">
        <v>0.0</v>
      </c>
      <c r="K138" s="132">
        <v>0.0</v>
      </c>
      <c r="L138" s="132">
        <v>0.0</v>
      </c>
      <c r="M138" s="132">
        <v>0.0</v>
      </c>
      <c r="N138" s="132">
        <v>0.0</v>
      </c>
      <c r="O138" s="132">
        <v>0.0</v>
      </c>
      <c r="P138" s="132">
        <v>0.0</v>
      </c>
      <c r="Q138" s="132">
        <v>0.0</v>
      </c>
      <c r="R138" s="132">
        <v>0.0</v>
      </c>
      <c r="S138" s="132">
        <v>0.0</v>
      </c>
      <c r="T138" s="132">
        <v>0.0</v>
      </c>
      <c r="U138" s="132">
        <v>0.0</v>
      </c>
      <c r="V138" s="132">
        <v>0.0</v>
      </c>
      <c r="W138" s="132">
        <v>0.0</v>
      </c>
      <c r="Y138" s="132" t="s">
        <v>3640</v>
      </c>
      <c r="Z138" s="132">
        <f t="shared" ref="Z138:AC138" si="272">C138-1000</f>
        <v>-953</v>
      </c>
      <c r="AA138" s="132">
        <f t="shared" si="272"/>
        <v>-1000</v>
      </c>
      <c r="AB138" s="132">
        <f t="shared" si="272"/>
        <v>-1000</v>
      </c>
      <c r="AC138" s="132">
        <f t="shared" si="272"/>
        <v>-1000</v>
      </c>
      <c r="AD138" s="132">
        <f t="shared" si="4"/>
        <v>-10000</v>
      </c>
      <c r="AE138" s="132">
        <f t="shared" ref="AE138:AS138" si="273">H138-1000</f>
        <v>-1000</v>
      </c>
      <c r="AF138" s="132">
        <f t="shared" si="273"/>
        <v>-1000</v>
      </c>
      <c r="AG138" s="132">
        <f t="shared" si="273"/>
        <v>-1000</v>
      </c>
      <c r="AH138" s="132">
        <f t="shared" si="273"/>
        <v>-1000</v>
      </c>
      <c r="AI138" s="132">
        <f t="shared" si="273"/>
        <v>-1000</v>
      </c>
      <c r="AJ138" s="132">
        <f t="shared" si="273"/>
        <v>-1000</v>
      </c>
      <c r="AK138" s="132">
        <f t="shared" si="273"/>
        <v>-1000</v>
      </c>
      <c r="AL138" s="132">
        <f t="shared" si="273"/>
        <v>-1000</v>
      </c>
      <c r="AM138" s="132">
        <f t="shared" si="273"/>
        <v>-1000</v>
      </c>
      <c r="AN138" s="132">
        <f t="shared" si="273"/>
        <v>-1000</v>
      </c>
      <c r="AO138" s="132">
        <f t="shared" si="273"/>
        <v>-1000</v>
      </c>
      <c r="AP138" s="132">
        <f t="shared" si="273"/>
        <v>-1000</v>
      </c>
      <c r="AQ138" s="132">
        <f t="shared" si="273"/>
        <v>-1000</v>
      </c>
      <c r="AR138" s="132">
        <f t="shared" si="273"/>
        <v>-1000</v>
      </c>
      <c r="AS138" s="132">
        <f t="shared" si="273"/>
        <v>-1000</v>
      </c>
    </row>
    <row r="139">
      <c r="A139" s="132" t="s">
        <v>3641</v>
      </c>
      <c r="B139" s="132">
        <v>500.0</v>
      </c>
      <c r="C139" s="132">
        <v>500.0</v>
      </c>
      <c r="D139" s="132">
        <v>0.0</v>
      </c>
      <c r="E139" s="132">
        <v>0.0</v>
      </c>
      <c r="F139" s="132">
        <v>0.0</v>
      </c>
      <c r="G139" s="132">
        <v>0.0</v>
      </c>
      <c r="H139" s="132">
        <v>0.0</v>
      </c>
      <c r="I139" s="132">
        <v>0.0</v>
      </c>
      <c r="J139" s="132">
        <v>0.0</v>
      </c>
      <c r="K139" s="132">
        <v>0.0</v>
      </c>
      <c r="L139" s="132">
        <v>0.0</v>
      </c>
      <c r="M139" s="132">
        <v>0.0</v>
      </c>
      <c r="N139" s="132">
        <v>0.0</v>
      </c>
      <c r="O139" s="132">
        <v>0.0</v>
      </c>
      <c r="P139" s="132">
        <v>0.0</v>
      </c>
      <c r="Q139" s="132">
        <v>0.0</v>
      </c>
      <c r="R139" s="132">
        <v>0.0</v>
      </c>
      <c r="S139" s="132">
        <v>0.0</v>
      </c>
      <c r="T139" s="132">
        <v>0.0</v>
      </c>
      <c r="U139" s="132">
        <v>0.0</v>
      </c>
      <c r="V139" s="132">
        <v>0.0</v>
      </c>
      <c r="W139" s="132">
        <v>0.0</v>
      </c>
      <c r="Y139" s="132" t="s">
        <v>3641</v>
      </c>
      <c r="Z139" s="132">
        <f t="shared" ref="Z139:AC139" si="274">C139-1000</f>
        <v>-500</v>
      </c>
      <c r="AA139" s="132">
        <f t="shared" si="274"/>
        <v>-1000</v>
      </c>
      <c r="AB139" s="132">
        <f t="shared" si="274"/>
        <v>-1000</v>
      </c>
      <c r="AC139" s="132">
        <f t="shared" si="274"/>
        <v>-1000</v>
      </c>
      <c r="AD139" s="132">
        <f t="shared" si="4"/>
        <v>-10000</v>
      </c>
      <c r="AE139" s="132">
        <f t="shared" ref="AE139:AS139" si="275">H139-1000</f>
        <v>-1000</v>
      </c>
      <c r="AF139" s="132">
        <f t="shared" si="275"/>
        <v>-1000</v>
      </c>
      <c r="AG139" s="132">
        <f t="shared" si="275"/>
        <v>-1000</v>
      </c>
      <c r="AH139" s="132">
        <f t="shared" si="275"/>
        <v>-1000</v>
      </c>
      <c r="AI139" s="132">
        <f t="shared" si="275"/>
        <v>-1000</v>
      </c>
      <c r="AJ139" s="132">
        <f t="shared" si="275"/>
        <v>-1000</v>
      </c>
      <c r="AK139" s="132">
        <f t="shared" si="275"/>
        <v>-1000</v>
      </c>
      <c r="AL139" s="132">
        <f t="shared" si="275"/>
        <v>-1000</v>
      </c>
      <c r="AM139" s="132">
        <f t="shared" si="275"/>
        <v>-1000</v>
      </c>
      <c r="AN139" s="132">
        <f t="shared" si="275"/>
        <v>-1000</v>
      </c>
      <c r="AO139" s="132">
        <f t="shared" si="275"/>
        <v>-1000</v>
      </c>
      <c r="AP139" s="132">
        <f t="shared" si="275"/>
        <v>-1000</v>
      </c>
      <c r="AQ139" s="132">
        <f t="shared" si="275"/>
        <v>-1000</v>
      </c>
      <c r="AR139" s="132">
        <f t="shared" si="275"/>
        <v>-1000</v>
      </c>
      <c r="AS139" s="132">
        <f t="shared" si="275"/>
        <v>-1000</v>
      </c>
    </row>
    <row r="140">
      <c r="A140" s="132" t="s">
        <v>3642</v>
      </c>
      <c r="B140" s="132">
        <v>600.0</v>
      </c>
      <c r="C140" s="132">
        <v>500.0</v>
      </c>
      <c r="D140" s="132">
        <v>0.0</v>
      </c>
      <c r="E140" s="132">
        <v>0.0</v>
      </c>
      <c r="F140" s="132">
        <v>0.0</v>
      </c>
      <c r="G140" s="132">
        <v>100.0</v>
      </c>
      <c r="H140" s="132">
        <v>0.0</v>
      </c>
      <c r="I140" s="132">
        <v>0.0</v>
      </c>
      <c r="J140" s="132">
        <v>0.0</v>
      </c>
      <c r="K140" s="132">
        <v>0.0</v>
      </c>
      <c r="L140" s="132">
        <v>0.0</v>
      </c>
      <c r="M140" s="132">
        <v>0.0</v>
      </c>
      <c r="N140" s="132">
        <v>0.0</v>
      </c>
      <c r="O140" s="132">
        <v>0.0</v>
      </c>
      <c r="P140" s="132">
        <v>0.0</v>
      </c>
      <c r="Q140" s="132">
        <v>0.0</v>
      </c>
      <c r="R140" s="132">
        <v>0.0</v>
      </c>
      <c r="S140" s="132">
        <v>0.0</v>
      </c>
      <c r="T140" s="132">
        <v>0.0</v>
      </c>
      <c r="U140" s="132">
        <v>0.0</v>
      </c>
      <c r="V140" s="132">
        <v>0.0</v>
      </c>
      <c r="W140" s="132">
        <v>1.0</v>
      </c>
      <c r="Y140" s="132" t="s">
        <v>3642</v>
      </c>
      <c r="Z140" s="132">
        <f t="shared" ref="Z140:AC140" si="276">C140-1000</f>
        <v>-500</v>
      </c>
      <c r="AA140" s="132">
        <f t="shared" si="276"/>
        <v>-1000</v>
      </c>
      <c r="AB140" s="132">
        <f t="shared" si="276"/>
        <v>-1000</v>
      </c>
      <c r="AC140" s="132">
        <f t="shared" si="276"/>
        <v>-1000</v>
      </c>
      <c r="AD140" s="132">
        <f t="shared" si="4"/>
        <v>-9900</v>
      </c>
      <c r="AE140" s="132">
        <f t="shared" ref="AE140:AS140" si="277">H140-1000</f>
        <v>-1000</v>
      </c>
      <c r="AF140" s="132">
        <f t="shared" si="277"/>
        <v>-1000</v>
      </c>
      <c r="AG140" s="132">
        <f t="shared" si="277"/>
        <v>-1000</v>
      </c>
      <c r="AH140" s="132">
        <f t="shared" si="277"/>
        <v>-1000</v>
      </c>
      <c r="AI140" s="132">
        <f t="shared" si="277"/>
        <v>-1000</v>
      </c>
      <c r="AJ140" s="132">
        <f t="shared" si="277"/>
        <v>-1000</v>
      </c>
      <c r="AK140" s="132">
        <f t="shared" si="277"/>
        <v>-1000</v>
      </c>
      <c r="AL140" s="132">
        <f t="shared" si="277"/>
        <v>-1000</v>
      </c>
      <c r="AM140" s="132">
        <f t="shared" si="277"/>
        <v>-1000</v>
      </c>
      <c r="AN140" s="132">
        <f t="shared" si="277"/>
        <v>-1000</v>
      </c>
      <c r="AO140" s="132">
        <f t="shared" si="277"/>
        <v>-1000</v>
      </c>
      <c r="AP140" s="132">
        <f t="shared" si="277"/>
        <v>-1000</v>
      </c>
      <c r="AQ140" s="132">
        <f t="shared" si="277"/>
        <v>-1000</v>
      </c>
      <c r="AR140" s="132">
        <f t="shared" si="277"/>
        <v>-1000</v>
      </c>
      <c r="AS140" s="132">
        <f t="shared" si="277"/>
        <v>-1000</v>
      </c>
    </row>
    <row r="141">
      <c r="A141" s="132" t="s">
        <v>3643</v>
      </c>
      <c r="B141" s="132">
        <v>12950.0</v>
      </c>
      <c r="C141" s="132">
        <v>1000.0</v>
      </c>
      <c r="D141" s="132">
        <v>0.0</v>
      </c>
      <c r="E141" s="132">
        <v>250.0</v>
      </c>
      <c r="F141" s="132">
        <v>500.0</v>
      </c>
      <c r="G141" s="132">
        <v>7700.0</v>
      </c>
      <c r="H141" s="132">
        <v>0.0</v>
      </c>
      <c r="I141" s="132">
        <v>500.0</v>
      </c>
      <c r="J141" s="132">
        <v>1000.0</v>
      </c>
      <c r="K141" s="132">
        <v>1000.0</v>
      </c>
      <c r="L141" s="132">
        <v>500.0</v>
      </c>
      <c r="M141" s="132">
        <v>500.0</v>
      </c>
      <c r="N141" s="132">
        <v>0.0</v>
      </c>
      <c r="O141" s="132">
        <v>0.0</v>
      </c>
      <c r="P141" s="132">
        <v>0.0</v>
      </c>
      <c r="Q141" s="132">
        <v>0.0</v>
      </c>
      <c r="R141" s="132">
        <v>0.0</v>
      </c>
      <c r="S141" s="132">
        <v>0.0</v>
      </c>
      <c r="T141" s="132">
        <v>0.0</v>
      </c>
      <c r="U141" s="132">
        <v>0.0</v>
      </c>
      <c r="V141" s="132">
        <v>0.0</v>
      </c>
      <c r="W141" s="132">
        <v>1.0</v>
      </c>
      <c r="Y141" s="132" t="s">
        <v>3643</v>
      </c>
      <c r="Z141" s="132">
        <f t="shared" ref="Z141:AC141" si="278">C141-1000</f>
        <v>0</v>
      </c>
      <c r="AA141" s="132">
        <f t="shared" si="278"/>
        <v>-1000</v>
      </c>
      <c r="AB141" s="132">
        <f t="shared" si="278"/>
        <v>-750</v>
      </c>
      <c r="AC141" s="132">
        <f t="shared" si="278"/>
        <v>-500</v>
      </c>
      <c r="AD141" s="132">
        <f t="shared" si="4"/>
        <v>-2300</v>
      </c>
      <c r="AE141" s="132">
        <f t="shared" ref="AE141:AS141" si="279">H141-1000</f>
        <v>-1000</v>
      </c>
      <c r="AF141" s="132">
        <f t="shared" si="279"/>
        <v>-500</v>
      </c>
      <c r="AG141" s="132">
        <f t="shared" si="279"/>
        <v>0</v>
      </c>
      <c r="AH141" s="132">
        <f t="shared" si="279"/>
        <v>0</v>
      </c>
      <c r="AI141" s="132">
        <f t="shared" si="279"/>
        <v>-500</v>
      </c>
      <c r="AJ141" s="132">
        <f t="shared" si="279"/>
        <v>-500</v>
      </c>
      <c r="AK141" s="132">
        <f t="shared" si="279"/>
        <v>-1000</v>
      </c>
      <c r="AL141" s="132">
        <f t="shared" si="279"/>
        <v>-1000</v>
      </c>
      <c r="AM141" s="132">
        <f t="shared" si="279"/>
        <v>-1000</v>
      </c>
      <c r="AN141" s="132">
        <f t="shared" si="279"/>
        <v>-1000</v>
      </c>
      <c r="AO141" s="132">
        <f t="shared" si="279"/>
        <v>-1000</v>
      </c>
      <c r="AP141" s="132">
        <f t="shared" si="279"/>
        <v>-1000</v>
      </c>
      <c r="AQ141" s="132">
        <f t="shared" si="279"/>
        <v>-1000</v>
      </c>
      <c r="AR141" s="132">
        <f t="shared" si="279"/>
        <v>-1000</v>
      </c>
      <c r="AS141" s="132">
        <f t="shared" si="279"/>
        <v>-1000</v>
      </c>
    </row>
    <row r="142">
      <c r="A142" s="132" t="s">
        <v>3644</v>
      </c>
      <c r="B142" s="132">
        <v>50.0</v>
      </c>
      <c r="C142" s="132">
        <v>50.0</v>
      </c>
      <c r="D142" s="132">
        <v>0.0</v>
      </c>
      <c r="E142" s="132">
        <v>0.0</v>
      </c>
      <c r="F142" s="132">
        <v>0.0</v>
      </c>
      <c r="G142" s="132">
        <v>0.0</v>
      </c>
      <c r="H142" s="132">
        <v>0.0</v>
      </c>
      <c r="I142" s="132">
        <v>0.0</v>
      </c>
      <c r="J142" s="132">
        <v>0.0</v>
      </c>
      <c r="K142" s="132">
        <v>0.0</v>
      </c>
      <c r="L142" s="132">
        <v>0.0</v>
      </c>
      <c r="M142" s="132">
        <v>0.0</v>
      </c>
      <c r="N142" s="132">
        <v>0.0</v>
      </c>
      <c r="O142" s="132">
        <v>0.0</v>
      </c>
      <c r="P142" s="132">
        <v>0.0</v>
      </c>
      <c r="Q142" s="132">
        <v>0.0</v>
      </c>
      <c r="R142" s="132">
        <v>0.0</v>
      </c>
      <c r="S142" s="132">
        <v>0.0</v>
      </c>
      <c r="T142" s="132">
        <v>0.0</v>
      </c>
      <c r="U142" s="132">
        <v>0.0</v>
      </c>
      <c r="V142" s="132">
        <v>0.0</v>
      </c>
      <c r="W142" s="132">
        <v>0.0</v>
      </c>
      <c r="Y142" s="132" t="s">
        <v>3644</v>
      </c>
      <c r="Z142" s="132">
        <f t="shared" ref="Z142:AC142" si="280">C142-1000</f>
        <v>-950</v>
      </c>
      <c r="AA142" s="132">
        <f t="shared" si="280"/>
        <v>-1000</v>
      </c>
      <c r="AB142" s="132">
        <f t="shared" si="280"/>
        <v>-1000</v>
      </c>
      <c r="AC142" s="132">
        <f t="shared" si="280"/>
        <v>-1000</v>
      </c>
      <c r="AD142" s="132">
        <f t="shared" si="4"/>
        <v>-10000</v>
      </c>
      <c r="AE142" s="132">
        <f t="shared" ref="AE142:AS142" si="281">H142-1000</f>
        <v>-1000</v>
      </c>
      <c r="AF142" s="132">
        <f t="shared" si="281"/>
        <v>-1000</v>
      </c>
      <c r="AG142" s="132">
        <f t="shared" si="281"/>
        <v>-1000</v>
      </c>
      <c r="AH142" s="132">
        <f t="shared" si="281"/>
        <v>-1000</v>
      </c>
      <c r="AI142" s="132">
        <f t="shared" si="281"/>
        <v>-1000</v>
      </c>
      <c r="AJ142" s="132">
        <f t="shared" si="281"/>
        <v>-1000</v>
      </c>
      <c r="AK142" s="132">
        <f t="shared" si="281"/>
        <v>-1000</v>
      </c>
      <c r="AL142" s="132">
        <f t="shared" si="281"/>
        <v>-1000</v>
      </c>
      <c r="AM142" s="132">
        <f t="shared" si="281"/>
        <v>-1000</v>
      </c>
      <c r="AN142" s="132">
        <f t="shared" si="281"/>
        <v>-1000</v>
      </c>
      <c r="AO142" s="132">
        <f t="shared" si="281"/>
        <v>-1000</v>
      </c>
      <c r="AP142" s="132">
        <f t="shared" si="281"/>
        <v>-1000</v>
      </c>
      <c r="AQ142" s="132">
        <f t="shared" si="281"/>
        <v>-1000</v>
      </c>
      <c r="AR142" s="132">
        <f t="shared" si="281"/>
        <v>-1000</v>
      </c>
      <c r="AS142" s="132">
        <f t="shared" si="281"/>
        <v>-1000</v>
      </c>
    </row>
    <row r="143">
      <c r="A143" s="132" t="s">
        <v>3645</v>
      </c>
      <c r="B143" s="132">
        <v>1000.0</v>
      </c>
      <c r="C143" s="132">
        <v>1000.0</v>
      </c>
      <c r="D143" s="132">
        <v>0.0</v>
      </c>
      <c r="E143" s="132">
        <v>0.0</v>
      </c>
      <c r="F143" s="132">
        <v>0.0</v>
      </c>
      <c r="G143" s="132">
        <v>0.0</v>
      </c>
      <c r="H143" s="132">
        <v>0.0</v>
      </c>
      <c r="I143" s="132">
        <v>0.0</v>
      </c>
      <c r="J143" s="132">
        <v>0.0</v>
      </c>
      <c r="K143" s="132">
        <v>0.0</v>
      </c>
      <c r="L143" s="132">
        <v>0.0</v>
      </c>
      <c r="M143" s="132">
        <v>0.0</v>
      </c>
      <c r="N143" s="132">
        <v>0.0</v>
      </c>
      <c r="O143" s="132">
        <v>0.0</v>
      </c>
      <c r="P143" s="132">
        <v>0.0</v>
      </c>
      <c r="Q143" s="132">
        <v>0.0</v>
      </c>
      <c r="R143" s="132">
        <v>0.0</v>
      </c>
      <c r="S143" s="132">
        <v>0.0</v>
      </c>
      <c r="T143" s="132">
        <v>0.0</v>
      </c>
      <c r="U143" s="132">
        <v>0.0</v>
      </c>
      <c r="V143" s="132">
        <v>0.0</v>
      </c>
      <c r="W143" s="132">
        <v>0.0</v>
      </c>
      <c r="Y143" s="132" t="s">
        <v>3645</v>
      </c>
      <c r="Z143" s="132">
        <f t="shared" ref="Z143:AC143" si="282">C143-1000</f>
        <v>0</v>
      </c>
      <c r="AA143" s="132">
        <f t="shared" si="282"/>
        <v>-1000</v>
      </c>
      <c r="AB143" s="132">
        <f t="shared" si="282"/>
        <v>-1000</v>
      </c>
      <c r="AC143" s="132">
        <f t="shared" si="282"/>
        <v>-1000</v>
      </c>
      <c r="AD143" s="132">
        <f t="shared" si="4"/>
        <v>-10000</v>
      </c>
      <c r="AE143" s="132">
        <f t="shared" ref="AE143:AS143" si="283">H143-1000</f>
        <v>-1000</v>
      </c>
      <c r="AF143" s="132">
        <f t="shared" si="283"/>
        <v>-1000</v>
      </c>
      <c r="AG143" s="132">
        <f t="shared" si="283"/>
        <v>-1000</v>
      </c>
      <c r="AH143" s="132">
        <f t="shared" si="283"/>
        <v>-1000</v>
      </c>
      <c r="AI143" s="132">
        <f t="shared" si="283"/>
        <v>-1000</v>
      </c>
      <c r="AJ143" s="132">
        <f t="shared" si="283"/>
        <v>-1000</v>
      </c>
      <c r="AK143" s="132">
        <f t="shared" si="283"/>
        <v>-1000</v>
      </c>
      <c r="AL143" s="132">
        <f t="shared" si="283"/>
        <v>-1000</v>
      </c>
      <c r="AM143" s="132">
        <f t="shared" si="283"/>
        <v>-1000</v>
      </c>
      <c r="AN143" s="132">
        <f t="shared" si="283"/>
        <v>-1000</v>
      </c>
      <c r="AO143" s="132">
        <f t="shared" si="283"/>
        <v>-1000</v>
      </c>
      <c r="AP143" s="132">
        <f t="shared" si="283"/>
        <v>-1000</v>
      </c>
      <c r="AQ143" s="132">
        <f t="shared" si="283"/>
        <v>-1000</v>
      </c>
      <c r="AR143" s="132">
        <f t="shared" si="283"/>
        <v>-1000</v>
      </c>
      <c r="AS143" s="132">
        <f t="shared" si="283"/>
        <v>-1000</v>
      </c>
    </row>
    <row r="144">
      <c r="A144" s="132" t="s">
        <v>3646</v>
      </c>
      <c r="B144" s="132">
        <v>1250.0</v>
      </c>
      <c r="C144" s="132">
        <v>500.0</v>
      </c>
      <c r="D144" s="132">
        <v>0.0</v>
      </c>
      <c r="E144" s="132">
        <v>250.0</v>
      </c>
      <c r="F144" s="132">
        <v>0.0</v>
      </c>
      <c r="G144" s="132">
        <v>500.0</v>
      </c>
      <c r="H144" s="132">
        <v>0.0</v>
      </c>
      <c r="I144" s="132">
        <v>0.0</v>
      </c>
      <c r="J144" s="132">
        <v>0.0</v>
      </c>
      <c r="K144" s="132">
        <v>0.0</v>
      </c>
      <c r="L144" s="132">
        <v>0.0</v>
      </c>
      <c r="M144" s="132">
        <v>0.0</v>
      </c>
      <c r="N144" s="132">
        <v>0.0</v>
      </c>
      <c r="O144" s="132">
        <v>0.0</v>
      </c>
      <c r="P144" s="132">
        <v>0.0</v>
      </c>
      <c r="Q144" s="132">
        <v>0.0</v>
      </c>
      <c r="R144" s="132">
        <v>0.0</v>
      </c>
      <c r="S144" s="132">
        <v>0.0</v>
      </c>
      <c r="T144" s="132">
        <v>0.0</v>
      </c>
      <c r="U144" s="132">
        <v>0.0</v>
      </c>
      <c r="V144" s="132">
        <v>0.0</v>
      </c>
      <c r="W144" s="132">
        <v>1.0</v>
      </c>
      <c r="Y144" s="132" t="s">
        <v>3646</v>
      </c>
      <c r="Z144" s="132">
        <f t="shared" ref="Z144:AC144" si="284">C144-1000</f>
        <v>-500</v>
      </c>
      <c r="AA144" s="132">
        <f t="shared" si="284"/>
        <v>-1000</v>
      </c>
      <c r="AB144" s="132">
        <f t="shared" si="284"/>
        <v>-750</v>
      </c>
      <c r="AC144" s="132">
        <f t="shared" si="284"/>
        <v>-1000</v>
      </c>
      <c r="AD144" s="132">
        <f t="shared" si="4"/>
        <v>-9500</v>
      </c>
      <c r="AE144" s="132">
        <f t="shared" ref="AE144:AS144" si="285">H144-1000</f>
        <v>-1000</v>
      </c>
      <c r="AF144" s="132">
        <f t="shared" si="285"/>
        <v>-1000</v>
      </c>
      <c r="AG144" s="132">
        <f t="shared" si="285"/>
        <v>-1000</v>
      </c>
      <c r="AH144" s="132">
        <f t="shared" si="285"/>
        <v>-1000</v>
      </c>
      <c r="AI144" s="132">
        <f t="shared" si="285"/>
        <v>-1000</v>
      </c>
      <c r="AJ144" s="132">
        <f t="shared" si="285"/>
        <v>-1000</v>
      </c>
      <c r="AK144" s="132">
        <f t="shared" si="285"/>
        <v>-1000</v>
      </c>
      <c r="AL144" s="132">
        <f t="shared" si="285"/>
        <v>-1000</v>
      </c>
      <c r="AM144" s="132">
        <f t="shared" si="285"/>
        <v>-1000</v>
      </c>
      <c r="AN144" s="132">
        <f t="shared" si="285"/>
        <v>-1000</v>
      </c>
      <c r="AO144" s="132">
        <f t="shared" si="285"/>
        <v>-1000</v>
      </c>
      <c r="AP144" s="132">
        <f t="shared" si="285"/>
        <v>-1000</v>
      </c>
      <c r="AQ144" s="132">
        <f t="shared" si="285"/>
        <v>-1000</v>
      </c>
      <c r="AR144" s="132">
        <f t="shared" si="285"/>
        <v>-1000</v>
      </c>
      <c r="AS144" s="132">
        <f t="shared" si="285"/>
        <v>-1000</v>
      </c>
    </row>
    <row r="145">
      <c r="A145" s="132" t="s">
        <v>3647</v>
      </c>
      <c r="B145" s="132">
        <v>25.0</v>
      </c>
      <c r="C145" s="132">
        <v>25.0</v>
      </c>
      <c r="D145" s="132">
        <v>0.0</v>
      </c>
      <c r="E145" s="132">
        <v>0.0</v>
      </c>
      <c r="F145" s="132">
        <v>0.0</v>
      </c>
      <c r="G145" s="132">
        <v>0.0</v>
      </c>
      <c r="H145" s="132">
        <v>0.0</v>
      </c>
      <c r="I145" s="132">
        <v>0.0</v>
      </c>
      <c r="J145" s="132">
        <v>0.0</v>
      </c>
      <c r="K145" s="132">
        <v>0.0</v>
      </c>
      <c r="L145" s="132">
        <v>0.0</v>
      </c>
      <c r="M145" s="132">
        <v>0.0</v>
      </c>
      <c r="N145" s="132">
        <v>0.0</v>
      </c>
      <c r="O145" s="132">
        <v>0.0</v>
      </c>
      <c r="P145" s="132">
        <v>0.0</v>
      </c>
      <c r="Q145" s="132">
        <v>0.0</v>
      </c>
      <c r="R145" s="132">
        <v>0.0</v>
      </c>
      <c r="S145" s="132">
        <v>0.0</v>
      </c>
      <c r="T145" s="132">
        <v>0.0</v>
      </c>
      <c r="U145" s="132">
        <v>0.0</v>
      </c>
      <c r="V145" s="132">
        <v>0.0</v>
      </c>
      <c r="W145" s="132">
        <v>0.0</v>
      </c>
      <c r="Y145" s="132" t="s">
        <v>3647</v>
      </c>
      <c r="Z145" s="132">
        <f t="shared" ref="Z145:AC145" si="286">C145-1000</f>
        <v>-975</v>
      </c>
      <c r="AA145" s="132">
        <f t="shared" si="286"/>
        <v>-1000</v>
      </c>
      <c r="AB145" s="132">
        <f t="shared" si="286"/>
        <v>-1000</v>
      </c>
      <c r="AC145" s="132">
        <f t="shared" si="286"/>
        <v>-1000</v>
      </c>
      <c r="AD145" s="132">
        <f t="shared" si="4"/>
        <v>-10000</v>
      </c>
      <c r="AE145" s="132">
        <f t="shared" ref="AE145:AS145" si="287">H145-1000</f>
        <v>-1000</v>
      </c>
      <c r="AF145" s="132">
        <f t="shared" si="287"/>
        <v>-1000</v>
      </c>
      <c r="AG145" s="132">
        <f t="shared" si="287"/>
        <v>-1000</v>
      </c>
      <c r="AH145" s="132">
        <f t="shared" si="287"/>
        <v>-1000</v>
      </c>
      <c r="AI145" s="132">
        <f t="shared" si="287"/>
        <v>-1000</v>
      </c>
      <c r="AJ145" s="132">
        <f t="shared" si="287"/>
        <v>-1000</v>
      </c>
      <c r="AK145" s="132">
        <f t="shared" si="287"/>
        <v>-1000</v>
      </c>
      <c r="AL145" s="132">
        <f t="shared" si="287"/>
        <v>-1000</v>
      </c>
      <c r="AM145" s="132">
        <f t="shared" si="287"/>
        <v>-1000</v>
      </c>
      <c r="AN145" s="132">
        <f t="shared" si="287"/>
        <v>-1000</v>
      </c>
      <c r="AO145" s="132">
        <f t="shared" si="287"/>
        <v>-1000</v>
      </c>
      <c r="AP145" s="132">
        <f t="shared" si="287"/>
        <v>-1000</v>
      </c>
      <c r="AQ145" s="132">
        <f t="shared" si="287"/>
        <v>-1000</v>
      </c>
      <c r="AR145" s="132">
        <f t="shared" si="287"/>
        <v>-1000</v>
      </c>
      <c r="AS145" s="132">
        <f t="shared" si="287"/>
        <v>-1000</v>
      </c>
    </row>
    <row r="146">
      <c r="A146" s="132" t="s">
        <v>3648</v>
      </c>
      <c r="B146" s="132">
        <v>25.0</v>
      </c>
      <c r="C146" s="132">
        <v>25.0</v>
      </c>
      <c r="D146" s="132">
        <v>0.0</v>
      </c>
      <c r="E146" s="132">
        <v>0.0</v>
      </c>
      <c r="F146" s="132">
        <v>0.0</v>
      </c>
      <c r="G146" s="132">
        <v>0.0</v>
      </c>
      <c r="H146" s="132">
        <v>0.0</v>
      </c>
      <c r="I146" s="132">
        <v>0.0</v>
      </c>
      <c r="J146" s="132">
        <v>0.0</v>
      </c>
      <c r="K146" s="132">
        <v>0.0</v>
      </c>
      <c r="L146" s="132">
        <v>0.0</v>
      </c>
      <c r="M146" s="132">
        <v>0.0</v>
      </c>
      <c r="N146" s="132">
        <v>0.0</v>
      </c>
      <c r="O146" s="132">
        <v>0.0</v>
      </c>
      <c r="P146" s="132">
        <v>0.0</v>
      </c>
      <c r="Q146" s="132">
        <v>0.0</v>
      </c>
      <c r="R146" s="132">
        <v>0.0</v>
      </c>
      <c r="S146" s="132">
        <v>0.0</v>
      </c>
      <c r="T146" s="132">
        <v>0.0</v>
      </c>
      <c r="U146" s="132">
        <v>0.0</v>
      </c>
      <c r="V146" s="132">
        <v>0.0</v>
      </c>
      <c r="W146" s="132">
        <v>0.0</v>
      </c>
      <c r="Y146" s="132" t="s">
        <v>3648</v>
      </c>
      <c r="Z146" s="132">
        <f t="shared" ref="Z146:AC146" si="288">C146-1000</f>
        <v>-975</v>
      </c>
      <c r="AA146" s="132">
        <f t="shared" si="288"/>
        <v>-1000</v>
      </c>
      <c r="AB146" s="132">
        <f t="shared" si="288"/>
        <v>-1000</v>
      </c>
      <c r="AC146" s="132">
        <f t="shared" si="288"/>
        <v>-1000</v>
      </c>
      <c r="AD146" s="132">
        <f t="shared" si="4"/>
        <v>-10000</v>
      </c>
      <c r="AE146" s="132">
        <f t="shared" ref="AE146:AS146" si="289">H146-1000</f>
        <v>-1000</v>
      </c>
      <c r="AF146" s="132">
        <f t="shared" si="289"/>
        <v>-1000</v>
      </c>
      <c r="AG146" s="132">
        <f t="shared" si="289"/>
        <v>-1000</v>
      </c>
      <c r="AH146" s="132">
        <f t="shared" si="289"/>
        <v>-1000</v>
      </c>
      <c r="AI146" s="132">
        <f t="shared" si="289"/>
        <v>-1000</v>
      </c>
      <c r="AJ146" s="132">
        <f t="shared" si="289"/>
        <v>-1000</v>
      </c>
      <c r="AK146" s="132">
        <f t="shared" si="289"/>
        <v>-1000</v>
      </c>
      <c r="AL146" s="132">
        <f t="shared" si="289"/>
        <v>-1000</v>
      </c>
      <c r="AM146" s="132">
        <f t="shared" si="289"/>
        <v>-1000</v>
      </c>
      <c r="AN146" s="132">
        <f t="shared" si="289"/>
        <v>-1000</v>
      </c>
      <c r="AO146" s="132">
        <f t="shared" si="289"/>
        <v>-1000</v>
      </c>
      <c r="AP146" s="132">
        <f t="shared" si="289"/>
        <v>-1000</v>
      </c>
      <c r="AQ146" s="132">
        <f t="shared" si="289"/>
        <v>-1000</v>
      </c>
      <c r="AR146" s="132">
        <f t="shared" si="289"/>
        <v>-1000</v>
      </c>
      <c r="AS146" s="132">
        <f t="shared" si="289"/>
        <v>-1000</v>
      </c>
    </row>
    <row r="147">
      <c r="A147" s="132" t="s">
        <v>3649</v>
      </c>
      <c r="B147" s="132">
        <v>237.0</v>
      </c>
      <c r="C147" s="132">
        <v>237.0</v>
      </c>
      <c r="D147" s="132">
        <v>0.0</v>
      </c>
      <c r="E147" s="132">
        <v>0.0</v>
      </c>
      <c r="F147" s="132">
        <v>0.0</v>
      </c>
      <c r="G147" s="132">
        <v>0.0</v>
      </c>
      <c r="H147" s="132">
        <v>0.0</v>
      </c>
      <c r="I147" s="132">
        <v>0.0</v>
      </c>
      <c r="J147" s="132">
        <v>0.0</v>
      </c>
      <c r="K147" s="132">
        <v>0.0</v>
      </c>
      <c r="L147" s="132">
        <v>0.0</v>
      </c>
      <c r="M147" s="132">
        <v>0.0</v>
      </c>
      <c r="N147" s="132">
        <v>0.0</v>
      </c>
      <c r="O147" s="132">
        <v>0.0</v>
      </c>
      <c r="P147" s="132">
        <v>0.0</v>
      </c>
      <c r="Q147" s="132">
        <v>0.0</v>
      </c>
      <c r="R147" s="132">
        <v>0.0</v>
      </c>
      <c r="S147" s="132">
        <v>0.0</v>
      </c>
      <c r="T147" s="132">
        <v>0.0</v>
      </c>
      <c r="U147" s="132">
        <v>0.0</v>
      </c>
      <c r="V147" s="132">
        <v>0.0</v>
      </c>
      <c r="W147" s="132">
        <v>0.0</v>
      </c>
      <c r="Y147" s="132" t="s">
        <v>3649</v>
      </c>
      <c r="Z147" s="132">
        <f t="shared" ref="Z147:AC147" si="290">C147-1000</f>
        <v>-763</v>
      </c>
      <c r="AA147" s="132">
        <f t="shared" si="290"/>
        <v>-1000</v>
      </c>
      <c r="AB147" s="132">
        <f t="shared" si="290"/>
        <v>-1000</v>
      </c>
      <c r="AC147" s="132">
        <f t="shared" si="290"/>
        <v>-1000</v>
      </c>
      <c r="AD147" s="132">
        <f t="shared" si="4"/>
        <v>-10000</v>
      </c>
      <c r="AE147" s="132">
        <f t="shared" ref="AE147:AS147" si="291">H147-1000</f>
        <v>-1000</v>
      </c>
      <c r="AF147" s="132">
        <f t="shared" si="291"/>
        <v>-1000</v>
      </c>
      <c r="AG147" s="132">
        <f t="shared" si="291"/>
        <v>-1000</v>
      </c>
      <c r="AH147" s="132">
        <f t="shared" si="291"/>
        <v>-1000</v>
      </c>
      <c r="AI147" s="132">
        <f t="shared" si="291"/>
        <v>-1000</v>
      </c>
      <c r="AJ147" s="132">
        <f t="shared" si="291"/>
        <v>-1000</v>
      </c>
      <c r="AK147" s="132">
        <f t="shared" si="291"/>
        <v>-1000</v>
      </c>
      <c r="AL147" s="132">
        <f t="shared" si="291"/>
        <v>-1000</v>
      </c>
      <c r="AM147" s="132">
        <f t="shared" si="291"/>
        <v>-1000</v>
      </c>
      <c r="AN147" s="132">
        <f t="shared" si="291"/>
        <v>-1000</v>
      </c>
      <c r="AO147" s="132">
        <f t="shared" si="291"/>
        <v>-1000</v>
      </c>
      <c r="AP147" s="132">
        <f t="shared" si="291"/>
        <v>-1000</v>
      </c>
      <c r="AQ147" s="132">
        <f t="shared" si="291"/>
        <v>-1000</v>
      </c>
      <c r="AR147" s="132">
        <f t="shared" si="291"/>
        <v>-1000</v>
      </c>
      <c r="AS147" s="132">
        <f t="shared" si="291"/>
        <v>-1000</v>
      </c>
    </row>
    <row r="148">
      <c r="A148" s="132" t="s">
        <v>3650</v>
      </c>
      <c r="B148" s="132">
        <v>1600.0</v>
      </c>
      <c r="C148" s="132">
        <v>250.0</v>
      </c>
      <c r="D148" s="132">
        <v>0.0</v>
      </c>
      <c r="E148" s="132">
        <v>0.0</v>
      </c>
      <c r="F148" s="132">
        <v>250.0</v>
      </c>
      <c r="G148" s="132">
        <v>100.0</v>
      </c>
      <c r="H148" s="132">
        <v>0.0</v>
      </c>
      <c r="I148" s="132">
        <v>0.0</v>
      </c>
      <c r="J148" s="132">
        <v>0.0</v>
      </c>
      <c r="K148" s="132">
        <v>0.0</v>
      </c>
      <c r="L148" s="132">
        <v>0.0</v>
      </c>
      <c r="M148" s="132">
        <v>0.0</v>
      </c>
      <c r="N148" s="132">
        <v>0.0</v>
      </c>
      <c r="O148" s="132">
        <v>0.0</v>
      </c>
      <c r="P148" s="132">
        <v>1000.0</v>
      </c>
      <c r="Q148" s="132">
        <v>0.0</v>
      </c>
      <c r="R148" s="132">
        <v>0.0</v>
      </c>
      <c r="S148" s="132">
        <v>0.0</v>
      </c>
      <c r="T148" s="132">
        <v>0.0</v>
      </c>
      <c r="U148" s="132">
        <v>0.0</v>
      </c>
      <c r="V148" s="132">
        <v>0.0</v>
      </c>
      <c r="W148" s="132">
        <v>1.0</v>
      </c>
      <c r="Y148" s="132" t="s">
        <v>3650</v>
      </c>
      <c r="Z148" s="132">
        <f t="shared" ref="Z148:AC148" si="292">C148-1000</f>
        <v>-750</v>
      </c>
      <c r="AA148" s="132">
        <f t="shared" si="292"/>
        <v>-1000</v>
      </c>
      <c r="AB148" s="132">
        <f t="shared" si="292"/>
        <v>-1000</v>
      </c>
      <c r="AC148" s="132">
        <f t="shared" si="292"/>
        <v>-750</v>
      </c>
      <c r="AD148" s="132">
        <f t="shared" si="4"/>
        <v>-9900</v>
      </c>
      <c r="AE148" s="132">
        <f t="shared" ref="AE148:AS148" si="293">H148-1000</f>
        <v>-1000</v>
      </c>
      <c r="AF148" s="132">
        <f t="shared" si="293"/>
        <v>-1000</v>
      </c>
      <c r="AG148" s="132">
        <f t="shared" si="293"/>
        <v>-1000</v>
      </c>
      <c r="AH148" s="132">
        <f t="shared" si="293"/>
        <v>-1000</v>
      </c>
      <c r="AI148" s="132">
        <f t="shared" si="293"/>
        <v>-1000</v>
      </c>
      <c r="AJ148" s="132">
        <f t="shared" si="293"/>
        <v>-1000</v>
      </c>
      <c r="AK148" s="132">
        <f t="shared" si="293"/>
        <v>-1000</v>
      </c>
      <c r="AL148" s="132">
        <f t="shared" si="293"/>
        <v>-1000</v>
      </c>
      <c r="AM148" s="132">
        <f t="shared" si="293"/>
        <v>0</v>
      </c>
      <c r="AN148" s="132">
        <f t="shared" si="293"/>
        <v>-1000</v>
      </c>
      <c r="AO148" s="132">
        <f t="shared" si="293"/>
        <v>-1000</v>
      </c>
      <c r="AP148" s="132">
        <f t="shared" si="293"/>
        <v>-1000</v>
      </c>
      <c r="AQ148" s="132">
        <f t="shared" si="293"/>
        <v>-1000</v>
      </c>
      <c r="AR148" s="132">
        <f t="shared" si="293"/>
        <v>-1000</v>
      </c>
      <c r="AS148" s="132">
        <f t="shared" si="293"/>
        <v>-1000</v>
      </c>
    </row>
    <row r="149">
      <c r="A149" s="132" t="s">
        <v>3651</v>
      </c>
      <c r="B149" s="132">
        <v>3500.0</v>
      </c>
      <c r="C149" s="132">
        <v>500.0</v>
      </c>
      <c r="D149" s="132">
        <v>0.0</v>
      </c>
      <c r="E149" s="132">
        <v>0.0</v>
      </c>
      <c r="F149" s="132">
        <v>1000.0</v>
      </c>
      <c r="G149" s="132">
        <v>2000.0</v>
      </c>
      <c r="H149" s="132">
        <v>0.0</v>
      </c>
      <c r="I149" s="132">
        <v>0.0</v>
      </c>
      <c r="J149" s="132">
        <v>0.0</v>
      </c>
      <c r="K149" s="132">
        <v>0.0</v>
      </c>
      <c r="L149" s="132">
        <v>0.0</v>
      </c>
      <c r="M149" s="132">
        <v>0.0</v>
      </c>
      <c r="N149" s="132">
        <v>0.0</v>
      </c>
      <c r="O149" s="132">
        <v>0.0</v>
      </c>
      <c r="P149" s="132">
        <v>0.0</v>
      </c>
      <c r="Q149" s="132">
        <v>0.0</v>
      </c>
      <c r="R149" s="132">
        <v>0.0</v>
      </c>
      <c r="S149" s="132">
        <v>0.0</v>
      </c>
      <c r="T149" s="132">
        <v>0.0</v>
      </c>
      <c r="U149" s="132">
        <v>0.0</v>
      </c>
      <c r="V149" s="132">
        <v>0.0</v>
      </c>
      <c r="W149" s="132">
        <v>1.0</v>
      </c>
      <c r="Y149" s="132" t="s">
        <v>3651</v>
      </c>
      <c r="Z149" s="132">
        <f t="shared" ref="Z149:AC149" si="294">C149-1000</f>
        <v>-500</v>
      </c>
      <c r="AA149" s="132">
        <f t="shared" si="294"/>
        <v>-1000</v>
      </c>
      <c r="AB149" s="132">
        <f t="shared" si="294"/>
        <v>-1000</v>
      </c>
      <c r="AC149" s="132">
        <f t="shared" si="294"/>
        <v>0</v>
      </c>
      <c r="AD149" s="132">
        <f t="shared" si="4"/>
        <v>-8000</v>
      </c>
      <c r="AE149" s="132">
        <f t="shared" ref="AE149:AS149" si="295">H149-1000</f>
        <v>-1000</v>
      </c>
      <c r="AF149" s="132">
        <f t="shared" si="295"/>
        <v>-1000</v>
      </c>
      <c r="AG149" s="132">
        <f t="shared" si="295"/>
        <v>-1000</v>
      </c>
      <c r="AH149" s="132">
        <f t="shared" si="295"/>
        <v>-1000</v>
      </c>
      <c r="AI149" s="132">
        <f t="shared" si="295"/>
        <v>-1000</v>
      </c>
      <c r="AJ149" s="132">
        <f t="shared" si="295"/>
        <v>-1000</v>
      </c>
      <c r="AK149" s="132">
        <f t="shared" si="295"/>
        <v>-1000</v>
      </c>
      <c r="AL149" s="132">
        <f t="shared" si="295"/>
        <v>-1000</v>
      </c>
      <c r="AM149" s="132">
        <f t="shared" si="295"/>
        <v>-1000</v>
      </c>
      <c r="AN149" s="132">
        <f t="shared" si="295"/>
        <v>-1000</v>
      </c>
      <c r="AO149" s="132">
        <f t="shared" si="295"/>
        <v>-1000</v>
      </c>
      <c r="AP149" s="132">
        <f t="shared" si="295"/>
        <v>-1000</v>
      </c>
      <c r="AQ149" s="132">
        <f t="shared" si="295"/>
        <v>-1000</v>
      </c>
      <c r="AR149" s="132">
        <f t="shared" si="295"/>
        <v>-1000</v>
      </c>
      <c r="AS149" s="132">
        <f t="shared" si="295"/>
        <v>-1000</v>
      </c>
    </row>
    <row r="150">
      <c r="A150" s="132" t="s">
        <v>3652</v>
      </c>
      <c r="B150" s="132">
        <v>1400.0</v>
      </c>
      <c r="C150" s="132">
        <v>950.0</v>
      </c>
      <c r="D150" s="132">
        <v>0.0</v>
      </c>
      <c r="E150" s="132">
        <v>0.0</v>
      </c>
      <c r="F150" s="132">
        <v>350.0</v>
      </c>
      <c r="G150" s="132">
        <v>0.0</v>
      </c>
      <c r="H150" s="132">
        <v>0.0</v>
      </c>
      <c r="I150" s="132">
        <v>0.0</v>
      </c>
      <c r="J150" s="132">
        <v>0.0</v>
      </c>
      <c r="K150" s="132">
        <v>0.0</v>
      </c>
      <c r="L150" s="132">
        <v>100.0</v>
      </c>
      <c r="M150" s="132">
        <v>0.0</v>
      </c>
      <c r="N150" s="132">
        <v>0.0</v>
      </c>
      <c r="O150" s="132">
        <v>0.0</v>
      </c>
      <c r="P150" s="132">
        <v>0.0</v>
      </c>
      <c r="Q150" s="132">
        <v>0.0</v>
      </c>
      <c r="R150" s="132">
        <v>0.0</v>
      </c>
      <c r="S150" s="132">
        <v>0.0</v>
      </c>
      <c r="T150" s="132">
        <v>0.0</v>
      </c>
      <c r="U150" s="132">
        <v>0.0</v>
      </c>
      <c r="V150" s="132">
        <v>0.0</v>
      </c>
      <c r="W150" s="132">
        <v>1.0</v>
      </c>
      <c r="Y150" s="132" t="s">
        <v>3652</v>
      </c>
      <c r="Z150" s="132">
        <f t="shared" ref="Z150:AC150" si="296">C150-1000</f>
        <v>-50</v>
      </c>
      <c r="AA150" s="132">
        <f t="shared" si="296"/>
        <v>-1000</v>
      </c>
      <c r="AB150" s="132">
        <f t="shared" si="296"/>
        <v>-1000</v>
      </c>
      <c r="AC150" s="132">
        <f t="shared" si="296"/>
        <v>-650</v>
      </c>
      <c r="AD150" s="132">
        <f t="shared" si="4"/>
        <v>-10000</v>
      </c>
      <c r="AE150" s="132">
        <f t="shared" ref="AE150:AS150" si="297">H150-1000</f>
        <v>-1000</v>
      </c>
      <c r="AF150" s="132">
        <f t="shared" si="297"/>
        <v>-1000</v>
      </c>
      <c r="AG150" s="132">
        <f t="shared" si="297"/>
        <v>-1000</v>
      </c>
      <c r="AH150" s="132">
        <f t="shared" si="297"/>
        <v>-1000</v>
      </c>
      <c r="AI150" s="132">
        <f t="shared" si="297"/>
        <v>-900</v>
      </c>
      <c r="AJ150" s="132">
        <f t="shared" si="297"/>
        <v>-1000</v>
      </c>
      <c r="AK150" s="132">
        <f t="shared" si="297"/>
        <v>-1000</v>
      </c>
      <c r="AL150" s="132">
        <f t="shared" si="297"/>
        <v>-1000</v>
      </c>
      <c r="AM150" s="132">
        <f t="shared" si="297"/>
        <v>-1000</v>
      </c>
      <c r="AN150" s="132">
        <f t="shared" si="297"/>
        <v>-1000</v>
      </c>
      <c r="AO150" s="132">
        <f t="shared" si="297"/>
        <v>-1000</v>
      </c>
      <c r="AP150" s="132">
        <f t="shared" si="297"/>
        <v>-1000</v>
      </c>
      <c r="AQ150" s="132">
        <f t="shared" si="297"/>
        <v>-1000</v>
      </c>
      <c r="AR150" s="132">
        <f t="shared" si="297"/>
        <v>-1000</v>
      </c>
      <c r="AS150" s="132">
        <f t="shared" si="297"/>
        <v>-1000</v>
      </c>
    </row>
    <row r="151">
      <c r="A151" s="132" t="s">
        <v>3653</v>
      </c>
      <c r="B151" s="132">
        <v>100.0</v>
      </c>
      <c r="C151" s="132">
        <v>100.0</v>
      </c>
      <c r="D151" s="132">
        <v>0.0</v>
      </c>
      <c r="E151" s="132">
        <v>0.0</v>
      </c>
      <c r="F151" s="132">
        <v>0.0</v>
      </c>
      <c r="G151" s="132">
        <v>0.0</v>
      </c>
      <c r="H151" s="132">
        <v>0.0</v>
      </c>
      <c r="I151" s="132">
        <v>0.0</v>
      </c>
      <c r="J151" s="132">
        <v>0.0</v>
      </c>
      <c r="K151" s="132">
        <v>0.0</v>
      </c>
      <c r="L151" s="132">
        <v>0.0</v>
      </c>
      <c r="M151" s="132">
        <v>0.0</v>
      </c>
      <c r="N151" s="132">
        <v>0.0</v>
      </c>
      <c r="O151" s="132">
        <v>0.0</v>
      </c>
      <c r="P151" s="132">
        <v>0.0</v>
      </c>
      <c r="Q151" s="132">
        <v>0.0</v>
      </c>
      <c r="R151" s="132">
        <v>0.0</v>
      </c>
      <c r="S151" s="132">
        <v>0.0</v>
      </c>
      <c r="T151" s="132">
        <v>0.0</v>
      </c>
      <c r="U151" s="132">
        <v>0.0</v>
      </c>
      <c r="V151" s="132">
        <v>0.0</v>
      </c>
      <c r="W151" s="132">
        <v>0.0</v>
      </c>
      <c r="Y151" s="132" t="s">
        <v>3653</v>
      </c>
      <c r="Z151" s="132">
        <f t="shared" ref="Z151:AC151" si="298">C151-1000</f>
        <v>-900</v>
      </c>
      <c r="AA151" s="132">
        <f t="shared" si="298"/>
        <v>-1000</v>
      </c>
      <c r="AB151" s="132">
        <f t="shared" si="298"/>
        <v>-1000</v>
      </c>
      <c r="AC151" s="132">
        <f t="shared" si="298"/>
        <v>-1000</v>
      </c>
      <c r="AD151" s="132">
        <f t="shared" si="4"/>
        <v>-10000</v>
      </c>
      <c r="AE151" s="132">
        <f t="shared" ref="AE151:AS151" si="299">H151-1000</f>
        <v>-1000</v>
      </c>
      <c r="AF151" s="132">
        <f t="shared" si="299"/>
        <v>-1000</v>
      </c>
      <c r="AG151" s="132">
        <f t="shared" si="299"/>
        <v>-1000</v>
      </c>
      <c r="AH151" s="132">
        <f t="shared" si="299"/>
        <v>-1000</v>
      </c>
      <c r="AI151" s="132">
        <f t="shared" si="299"/>
        <v>-1000</v>
      </c>
      <c r="AJ151" s="132">
        <f t="shared" si="299"/>
        <v>-1000</v>
      </c>
      <c r="AK151" s="132">
        <f t="shared" si="299"/>
        <v>-1000</v>
      </c>
      <c r="AL151" s="132">
        <f t="shared" si="299"/>
        <v>-1000</v>
      </c>
      <c r="AM151" s="132">
        <f t="shared" si="299"/>
        <v>-1000</v>
      </c>
      <c r="AN151" s="132">
        <f t="shared" si="299"/>
        <v>-1000</v>
      </c>
      <c r="AO151" s="132">
        <f t="shared" si="299"/>
        <v>-1000</v>
      </c>
      <c r="AP151" s="132">
        <f t="shared" si="299"/>
        <v>-1000</v>
      </c>
      <c r="AQ151" s="132">
        <f t="shared" si="299"/>
        <v>-1000</v>
      </c>
      <c r="AR151" s="132">
        <f t="shared" si="299"/>
        <v>-1000</v>
      </c>
      <c r="AS151" s="132">
        <f t="shared" si="299"/>
        <v>-1000</v>
      </c>
    </row>
    <row r="152">
      <c r="A152" s="132" t="s">
        <v>3654</v>
      </c>
      <c r="B152" s="132">
        <v>550.0</v>
      </c>
      <c r="C152" s="132">
        <v>50.0</v>
      </c>
      <c r="D152" s="132">
        <v>0.0</v>
      </c>
      <c r="E152" s="132">
        <v>0.0</v>
      </c>
      <c r="F152" s="132">
        <v>0.0</v>
      </c>
      <c r="G152" s="132">
        <v>0.0</v>
      </c>
      <c r="H152" s="132">
        <v>0.0</v>
      </c>
      <c r="I152" s="132">
        <v>0.0</v>
      </c>
      <c r="J152" s="132">
        <v>0.0</v>
      </c>
      <c r="K152" s="132">
        <v>0.0</v>
      </c>
      <c r="L152" s="132">
        <v>500.0</v>
      </c>
      <c r="M152" s="132">
        <v>0.0</v>
      </c>
      <c r="N152" s="132">
        <v>0.0</v>
      </c>
      <c r="O152" s="132">
        <v>0.0</v>
      </c>
      <c r="P152" s="132">
        <v>0.0</v>
      </c>
      <c r="Q152" s="132">
        <v>0.0</v>
      </c>
      <c r="R152" s="132">
        <v>0.0</v>
      </c>
      <c r="S152" s="132">
        <v>0.0</v>
      </c>
      <c r="T152" s="132">
        <v>0.0</v>
      </c>
      <c r="U152" s="132">
        <v>0.0</v>
      </c>
      <c r="V152" s="132">
        <v>0.0</v>
      </c>
      <c r="W152" s="132">
        <v>1.0</v>
      </c>
      <c r="Y152" s="132" t="s">
        <v>3654</v>
      </c>
      <c r="Z152" s="132">
        <f t="shared" ref="Z152:AC152" si="300">C152-1000</f>
        <v>-950</v>
      </c>
      <c r="AA152" s="132">
        <f t="shared" si="300"/>
        <v>-1000</v>
      </c>
      <c r="AB152" s="132">
        <f t="shared" si="300"/>
        <v>-1000</v>
      </c>
      <c r="AC152" s="132">
        <f t="shared" si="300"/>
        <v>-1000</v>
      </c>
      <c r="AD152" s="132">
        <f t="shared" si="4"/>
        <v>-10000</v>
      </c>
      <c r="AE152" s="132">
        <f t="shared" ref="AE152:AS152" si="301">H152-1000</f>
        <v>-1000</v>
      </c>
      <c r="AF152" s="132">
        <f t="shared" si="301"/>
        <v>-1000</v>
      </c>
      <c r="AG152" s="132">
        <f t="shared" si="301"/>
        <v>-1000</v>
      </c>
      <c r="AH152" s="132">
        <f t="shared" si="301"/>
        <v>-1000</v>
      </c>
      <c r="AI152" s="132">
        <f t="shared" si="301"/>
        <v>-500</v>
      </c>
      <c r="AJ152" s="132">
        <f t="shared" si="301"/>
        <v>-1000</v>
      </c>
      <c r="AK152" s="132">
        <f t="shared" si="301"/>
        <v>-1000</v>
      </c>
      <c r="AL152" s="132">
        <f t="shared" si="301"/>
        <v>-1000</v>
      </c>
      <c r="AM152" s="132">
        <f t="shared" si="301"/>
        <v>-1000</v>
      </c>
      <c r="AN152" s="132">
        <f t="shared" si="301"/>
        <v>-1000</v>
      </c>
      <c r="AO152" s="132">
        <f t="shared" si="301"/>
        <v>-1000</v>
      </c>
      <c r="AP152" s="132">
        <f t="shared" si="301"/>
        <v>-1000</v>
      </c>
      <c r="AQ152" s="132">
        <f t="shared" si="301"/>
        <v>-1000</v>
      </c>
      <c r="AR152" s="132">
        <f t="shared" si="301"/>
        <v>-1000</v>
      </c>
      <c r="AS152" s="132">
        <f t="shared" si="301"/>
        <v>-1000</v>
      </c>
    </row>
    <row r="153">
      <c r="A153" s="132" t="s">
        <v>3655</v>
      </c>
      <c r="B153" s="132">
        <v>500.0</v>
      </c>
      <c r="C153" s="132">
        <v>500.0</v>
      </c>
      <c r="D153" s="132">
        <v>0.0</v>
      </c>
      <c r="E153" s="132">
        <v>0.0</v>
      </c>
      <c r="F153" s="132">
        <v>0.0</v>
      </c>
      <c r="G153" s="132">
        <v>0.0</v>
      </c>
      <c r="H153" s="132">
        <v>0.0</v>
      </c>
      <c r="I153" s="132">
        <v>0.0</v>
      </c>
      <c r="J153" s="132">
        <v>0.0</v>
      </c>
      <c r="K153" s="132">
        <v>0.0</v>
      </c>
      <c r="L153" s="132">
        <v>0.0</v>
      </c>
      <c r="M153" s="132">
        <v>0.0</v>
      </c>
      <c r="N153" s="132">
        <v>0.0</v>
      </c>
      <c r="O153" s="132">
        <v>0.0</v>
      </c>
      <c r="P153" s="132">
        <v>0.0</v>
      </c>
      <c r="Q153" s="132">
        <v>0.0</v>
      </c>
      <c r="R153" s="132">
        <v>0.0</v>
      </c>
      <c r="S153" s="132">
        <v>0.0</v>
      </c>
      <c r="T153" s="132">
        <v>0.0</v>
      </c>
      <c r="U153" s="132">
        <v>0.0</v>
      </c>
      <c r="V153" s="132">
        <v>0.0</v>
      </c>
      <c r="W153" s="132">
        <v>0.0</v>
      </c>
      <c r="Y153" s="132" t="s">
        <v>3655</v>
      </c>
      <c r="Z153" s="132">
        <f t="shared" ref="Z153:AC153" si="302">C153-1000</f>
        <v>-500</v>
      </c>
      <c r="AA153" s="132">
        <f t="shared" si="302"/>
        <v>-1000</v>
      </c>
      <c r="AB153" s="132">
        <f t="shared" si="302"/>
        <v>-1000</v>
      </c>
      <c r="AC153" s="132">
        <f t="shared" si="302"/>
        <v>-1000</v>
      </c>
      <c r="AD153" s="132">
        <f t="shared" si="4"/>
        <v>-10000</v>
      </c>
      <c r="AE153" s="132">
        <f t="shared" ref="AE153:AS153" si="303">H153-1000</f>
        <v>-1000</v>
      </c>
      <c r="AF153" s="132">
        <f t="shared" si="303"/>
        <v>-1000</v>
      </c>
      <c r="AG153" s="132">
        <f t="shared" si="303"/>
        <v>-1000</v>
      </c>
      <c r="AH153" s="132">
        <f t="shared" si="303"/>
        <v>-1000</v>
      </c>
      <c r="AI153" s="132">
        <f t="shared" si="303"/>
        <v>-1000</v>
      </c>
      <c r="AJ153" s="132">
        <f t="shared" si="303"/>
        <v>-1000</v>
      </c>
      <c r="AK153" s="132">
        <f t="shared" si="303"/>
        <v>-1000</v>
      </c>
      <c r="AL153" s="132">
        <f t="shared" si="303"/>
        <v>-1000</v>
      </c>
      <c r="AM153" s="132">
        <f t="shared" si="303"/>
        <v>-1000</v>
      </c>
      <c r="AN153" s="132">
        <f t="shared" si="303"/>
        <v>-1000</v>
      </c>
      <c r="AO153" s="132">
        <f t="shared" si="303"/>
        <v>-1000</v>
      </c>
      <c r="AP153" s="132">
        <f t="shared" si="303"/>
        <v>-1000</v>
      </c>
      <c r="AQ153" s="132">
        <f t="shared" si="303"/>
        <v>-1000</v>
      </c>
      <c r="AR153" s="132">
        <f t="shared" si="303"/>
        <v>-1000</v>
      </c>
      <c r="AS153" s="132">
        <f t="shared" si="303"/>
        <v>-1000</v>
      </c>
    </row>
    <row r="154">
      <c r="A154" s="132" t="s">
        <v>3656</v>
      </c>
      <c r="B154" s="132">
        <v>250.0</v>
      </c>
      <c r="C154" s="132">
        <v>250.0</v>
      </c>
      <c r="D154" s="132">
        <v>0.0</v>
      </c>
      <c r="E154" s="132">
        <v>0.0</v>
      </c>
      <c r="F154" s="132">
        <v>0.0</v>
      </c>
      <c r="G154" s="132">
        <v>0.0</v>
      </c>
      <c r="H154" s="132">
        <v>0.0</v>
      </c>
      <c r="I154" s="132">
        <v>0.0</v>
      </c>
      <c r="J154" s="132">
        <v>0.0</v>
      </c>
      <c r="K154" s="132">
        <v>0.0</v>
      </c>
      <c r="L154" s="132">
        <v>0.0</v>
      </c>
      <c r="M154" s="132">
        <v>0.0</v>
      </c>
      <c r="N154" s="132">
        <v>0.0</v>
      </c>
      <c r="O154" s="132">
        <v>0.0</v>
      </c>
      <c r="P154" s="132">
        <v>0.0</v>
      </c>
      <c r="Q154" s="132">
        <v>0.0</v>
      </c>
      <c r="R154" s="132">
        <v>0.0</v>
      </c>
      <c r="S154" s="132">
        <v>0.0</v>
      </c>
      <c r="T154" s="132">
        <v>0.0</v>
      </c>
      <c r="U154" s="132">
        <v>0.0</v>
      </c>
      <c r="V154" s="132">
        <v>0.0</v>
      </c>
      <c r="W154" s="132">
        <v>0.0</v>
      </c>
      <c r="Y154" s="132" t="s">
        <v>3656</v>
      </c>
      <c r="Z154" s="132">
        <f t="shared" ref="Z154:AC154" si="304">C154-1000</f>
        <v>-750</v>
      </c>
      <c r="AA154" s="132">
        <f t="shared" si="304"/>
        <v>-1000</v>
      </c>
      <c r="AB154" s="132">
        <f t="shared" si="304"/>
        <v>-1000</v>
      </c>
      <c r="AC154" s="132">
        <f t="shared" si="304"/>
        <v>-1000</v>
      </c>
      <c r="AD154" s="132">
        <f t="shared" si="4"/>
        <v>-10000</v>
      </c>
      <c r="AE154" s="132">
        <f t="shared" ref="AE154:AS154" si="305">H154-1000</f>
        <v>-1000</v>
      </c>
      <c r="AF154" s="132">
        <f t="shared" si="305"/>
        <v>-1000</v>
      </c>
      <c r="AG154" s="132">
        <f t="shared" si="305"/>
        <v>-1000</v>
      </c>
      <c r="AH154" s="132">
        <f t="shared" si="305"/>
        <v>-1000</v>
      </c>
      <c r="AI154" s="132">
        <f t="shared" si="305"/>
        <v>-1000</v>
      </c>
      <c r="AJ154" s="132">
        <f t="shared" si="305"/>
        <v>-1000</v>
      </c>
      <c r="AK154" s="132">
        <f t="shared" si="305"/>
        <v>-1000</v>
      </c>
      <c r="AL154" s="132">
        <f t="shared" si="305"/>
        <v>-1000</v>
      </c>
      <c r="AM154" s="132">
        <f t="shared" si="305"/>
        <v>-1000</v>
      </c>
      <c r="AN154" s="132">
        <f t="shared" si="305"/>
        <v>-1000</v>
      </c>
      <c r="AO154" s="132">
        <f t="shared" si="305"/>
        <v>-1000</v>
      </c>
      <c r="AP154" s="132">
        <f t="shared" si="305"/>
        <v>-1000</v>
      </c>
      <c r="AQ154" s="132">
        <f t="shared" si="305"/>
        <v>-1000</v>
      </c>
      <c r="AR154" s="132">
        <f t="shared" si="305"/>
        <v>-1000</v>
      </c>
      <c r="AS154" s="132">
        <f t="shared" si="305"/>
        <v>-1000</v>
      </c>
    </row>
    <row r="155">
      <c r="A155" s="132" t="s">
        <v>3657</v>
      </c>
      <c r="B155" s="132">
        <v>250.0</v>
      </c>
      <c r="C155" s="132">
        <v>250.0</v>
      </c>
      <c r="D155" s="132">
        <v>0.0</v>
      </c>
      <c r="E155" s="132">
        <v>0.0</v>
      </c>
      <c r="F155" s="132">
        <v>0.0</v>
      </c>
      <c r="G155" s="132">
        <v>0.0</v>
      </c>
      <c r="H155" s="132">
        <v>0.0</v>
      </c>
      <c r="I155" s="132">
        <v>0.0</v>
      </c>
      <c r="J155" s="132">
        <v>0.0</v>
      </c>
      <c r="K155" s="132">
        <v>0.0</v>
      </c>
      <c r="L155" s="132">
        <v>0.0</v>
      </c>
      <c r="M155" s="132">
        <v>0.0</v>
      </c>
      <c r="N155" s="132">
        <v>0.0</v>
      </c>
      <c r="O155" s="132">
        <v>0.0</v>
      </c>
      <c r="P155" s="132">
        <v>0.0</v>
      </c>
      <c r="Q155" s="132">
        <v>0.0</v>
      </c>
      <c r="R155" s="132">
        <v>0.0</v>
      </c>
      <c r="S155" s="132">
        <v>0.0</v>
      </c>
      <c r="T155" s="132">
        <v>0.0</v>
      </c>
      <c r="U155" s="132">
        <v>0.0</v>
      </c>
      <c r="V155" s="132">
        <v>0.0</v>
      </c>
      <c r="W155" s="132">
        <v>0.0</v>
      </c>
      <c r="Y155" s="132" t="s">
        <v>3657</v>
      </c>
      <c r="Z155" s="132">
        <f t="shared" ref="Z155:AC155" si="306">C155-1000</f>
        <v>-750</v>
      </c>
      <c r="AA155" s="132">
        <f t="shared" si="306"/>
        <v>-1000</v>
      </c>
      <c r="AB155" s="132">
        <f t="shared" si="306"/>
        <v>-1000</v>
      </c>
      <c r="AC155" s="132">
        <f t="shared" si="306"/>
        <v>-1000</v>
      </c>
      <c r="AD155" s="132">
        <f t="shared" si="4"/>
        <v>-10000</v>
      </c>
      <c r="AE155" s="132">
        <f t="shared" ref="AE155:AS155" si="307">H155-1000</f>
        <v>-1000</v>
      </c>
      <c r="AF155" s="132">
        <f t="shared" si="307"/>
        <v>-1000</v>
      </c>
      <c r="AG155" s="132">
        <f t="shared" si="307"/>
        <v>-1000</v>
      </c>
      <c r="AH155" s="132">
        <f t="shared" si="307"/>
        <v>-1000</v>
      </c>
      <c r="AI155" s="132">
        <f t="shared" si="307"/>
        <v>-1000</v>
      </c>
      <c r="AJ155" s="132">
        <f t="shared" si="307"/>
        <v>-1000</v>
      </c>
      <c r="AK155" s="132">
        <f t="shared" si="307"/>
        <v>-1000</v>
      </c>
      <c r="AL155" s="132">
        <f t="shared" si="307"/>
        <v>-1000</v>
      </c>
      <c r="AM155" s="132">
        <f t="shared" si="307"/>
        <v>-1000</v>
      </c>
      <c r="AN155" s="132">
        <f t="shared" si="307"/>
        <v>-1000</v>
      </c>
      <c r="AO155" s="132">
        <f t="shared" si="307"/>
        <v>-1000</v>
      </c>
      <c r="AP155" s="132">
        <f t="shared" si="307"/>
        <v>-1000</v>
      </c>
      <c r="AQ155" s="132">
        <f t="shared" si="307"/>
        <v>-1000</v>
      </c>
      <c r="AR155" s="132">
        <f t="shared" si="307"/>
        <v>-1000</v>
      </c>
      <c r="AS155" s="132">
        <f t="shared" si="307"/>
        <v>-1000</v>
      </c>
    </row>
    <row r="156">
      <c r="A156" s="132" t="s">
        <v>3658</v>
      </c>
      <c r="B156" s="132">
        <v>950.0</v>
      </c>
      <c r="C156" s="132">
        <v>950.0</v>
      </c>
      <c r="D156" s="132">
        <v>0.0</v>
      </c>
      <c r="E156" s="132">
        <v>0.0</v>
      </c>
      <c r="F156" s="132">
        <v>0.0</v>
      </c>
      <c r="G156" s="132">
        <v>0.0</v>
      </c>
      <c r="H156" s="132">
        <v>0.0</v>
      </c>
      <c r="I156" s="132">
        <v>0.0</v>
      </c>
      <c r="J156" s="132">
        <v>0.0</v>
      </c>
      <c r="K156" s="132">
        <v>0.0</v>
      </c>
      <c r="L156" s="132">
        <v>0.0</v>
      </c>
      <c r="M156" s="132">
        <v>0.0</v>
      </c>
      <c r="N156" s="132">
        <v>0.0</v>
      </c>
      <c r="O156" s="132">
        <v>0.0</v>
      </c>
      <c r="P156" s="132">
        <v>0.0</v>
      </c>
      <c r="Q156" s="132">
        <v>0.0</v>
      </c>
      <c r="R156" s="132">
        <v>0.0</v>
      </c>
      <c r="S156" s="132">
        <v>0.0</v>
      </c>
      <c r="T156" s="132">
        <v>0.0</v>
      </c>
      <c r="U156" s="132">
        <v>0.0</v>
      </c>
      <c r="V156" s="132">
        <v>0.0</v>
      </c>
      <c r="W156" s="132">
        <v>0.0</v>
      </c>
      <c r="Y156" s="132" t="s">
        <v>3658</v>
      </c>
      <c r="Z156" s="132">
        <f t="shared" ref="Z156:AC156" si="308">C156-1000</f>
        <v>-50</v>
      </c>
      <c r="AA156" s="132">
        <f t="shared" si="308"/>
        <v>-1000</v>
      </c>
      <c r="AB156" s="132">
        <f t="shared" si="308"/>
        <v>-1000</v>
      </c>
      <c r="AC156" s="132">
        <f t="shared" si="308"/>
        <v>-1000</v>
      </c>
      <c r="AD156" s="132">
        <f t="shared" si="4"/>
        <v>-10000</v>
      </c>
      <c r="AE156" s="132">
        <f t="shared" ref="AE156:AS156" si="309">H156-1000</f>
        <v>-1000</v>
      </c>
      <c r="AF156" s="132">
        <f t="shared" si="309"/>
        <v>-1000</v>
      </c>
      <c r="AG156" s="132">
        <f t="shared" si="309"/>
        <v>-1000</v>
      </c>
      <c r="AH156" s="132">
        <f t="shared" si="309"/>
        <v>-1000</v>
      </c>
      <c r="AI156" s="132">
        <f t="shared" si="309"/>
        <v>-1000</v>
      </c>
      <c r="AJ156" s="132">
        <f t="shared" si="309"/>
        <v>-1000</v>
      </c>
      <c r="AK156" s="132">
        <f t="shared" si="309"/>
        <v>-1000</v>
      </c>
      <c r="AL156" s="132">
        <f t="shared" si="309"/>
        <v>-1000</v>
      </c>
      <c r="AM156" s="132">
        <f t="shared" si="309"/>
        <v>-1000</v>
      </c>
      <c r="AN156" s="132">
        <f t="shared" si="309"/>
        <v>-1000</v>
      </c>
      <c r="AO156" s="132">
        <f t="shared" si="309"/>
        <v>-1000</v>
      </c>
      <c r="AP156" s="132">
        <f t="shared" si="309"/>
        <v>-1000</v>
      </c>
      <c r="AQ156" s="132">
        <f t="shared" si="309"/>
        <v>-1000</v>
      </c>
      <c r="AR156" s="132">
        <f t="shared" si="309"/>
        <v>-1000</v>
      </c>
      <c r="AS156" s="132">
        <f t="shared" si="309"/>
        <v>-1000</v>
      </c>
    </row>
    <row r="157">
      <c r="A157" s="132" t="s">
        <v>3659</v>
      </c>
      <c r="B157" s="132">
        <v>300.0</v>
      </c>
      <c r="C157" s="132">
        <v>200.0</v>
      </c>
      <c r="D157" s="132">
        <v>0.0</v>
      </c>
      <c r="E157" s="132">
        <v>0.0</v>
      </c>
      <c r="F157" s="132">
        <v>0.0</v>
      </c>
      <c r="G157" s="132">
        <v>100.0</v>
      </c>
      <c r="H157" s="132">
        <v>0.0</v>
      </c>
      <c r="I157" s="132">
        <v>0.0</v>
      </c>
      <c r="J157" s="132">
        <v>0.0</v>
      </c>
      <c r="K157" s="132">
        <v>0.0</v>
      </c>
      <c r="L157" s="132">
        <v>0.0</v>
      </c>
      <c r="M157" s="132">
        <v>0.0</v>
      </c>
      <c r="N157" s="132">
        <v>0.0</v>
      </c>
      <c r="O157" s="132">
        <v>0.0</v>
      </c>
      <c r="P157" s="132">
        <v>0.0</v>
      </c>
      <c r="Q157" s="132">
        <v>0.0</v>
      </c>
      <c r="R157" s="132">
        <v>0.0</v>
      </c>
      <c r="S157" s="132">
        <v>0.0</v>
      </c>
      <c r="T157" s="132">
        <v>0.0</v>
      </c>
      <c r="U157" s="132">
        <v>0.0</v>
      </c>
      <c r="V157" s="132">
        <v>0.0</v>
      </c>
      <c r="W157" s="132">
        <v>0.0</v>
      </c>
      <c r="Y157" s="132" t="s">
        <v>3659</v>
      </c>
      <c r="Z157" s="132">
        <f t="shared" ref="Z157:AC157" si="310">C157-1000</f>
        <v>-800</v>
      </c>
      <c r="AA157" s="132">
        <f t="shared" si="310"/>
        <v>-1000</v>
      </c>
      <c r="AB157" s="132">
        <f t="shared" si="310"/>
        <v>-1000</v>
      </c>
      <c r="AC157" s="132">
        <f t="shared" si="310"/>
        <v>-1000</v>
      </c>
      <c r="AD157" s="132">
        <f t="shared" si="4"/>
        <v>-9900</v>
      </c>
      <c r="AE157" s="132">
        <f t="shared" ref="AE157:AS157" si="311">H157-1000</f>
        <v>-1000</v>
      </c>
      <c r="AF157" s="132">
        <f t="shared" si="311"/>
        <v>-1000</v>
      </c>
      <c r="AG157" s="132">
        <f t="shared" si="311"/>
        <v>-1000</v>
      </c>
      <c r="AH157" s="132">
        <f t="shared" si="311"/>
        <v>-1000</v>
      </c>
      <c r="AI157" s="132">
        <f t="shared" si="311"/>
        <v>-1000</v>
      </c>
      <c r="AJ157" s="132">
        <f t="shared" si="311"/>
        <v>-1000</v>
      </c>
      <c r="AK157" s="132">
        <f t="shared" si="311"/>
        <v>-1000</v>
      </c>
      <c r="AL157" s="132">
        <f t="shared" si="311"/>
        <v>-1000</v>
      </c>
      <c r="AM157" s="132">
        <f t="shared" si="311"/>
        <v>-1000</v>
      </c>
      <c r="AN157" s="132">
        <f t="shared" si="311"/>
        <v>-1000</v>
      </c>
      <c r="AO157" s="132">
        <f t="shared" si="311"/>
        <v>-1000</v>
      </c>
      <c r="AP157" s="132">
        <f t="shared" si="311"/>
        <v>-1000</v>
      </c>
      <c r="AQ157" s="132">
        <f t="shared" si="311"/>
        <v>-1000</v>
      </c>
      <c r="AR157" s="132">
        <f t="shared" si="311"/>
        <v>-1000</v>
      </c>
      <c r="AS157" s="132">
        <f t="shared" si="311"/>
        <v>-1000</v>
      </c>
    </row>
    <row r="158">
      <c r="A158" s="132" t="s">
        <v>3660</v>
      </c>
      <c r="B158" s="132">
        <v>950.0</v>
      </c>
      <c r="C158" s="132">
        <v>950.0</v>
      </c>
      <c r="D158" s="132">
        <v>0.0</v>
      </c>
      <c r="E158" s="132">
        <v>0.0</v>
      </c>
      <c r="F158" s="132">
        <v>0.0</v>
      </c>
      <c r="G158" s="132">
        <v>0.0</v>
      </c>
      <c r="H158" s="132">
        <v>0.0</v>
      </c>
      <c r="I158" s="132">
        <v>0.0</v>
      </c>
      <c r="J158" s="132">
        <v>0.0</v>
      </c>
      <c r="K158" s="132">
        <v>0.0</v>
      </c>
      <c r="L158" s="132">
        <v>0.0</v>
      </c>
      <c r="M158" s="132">
        <v>0.0</v>
      </c>
      <c r="N158" s="132">
        <v>0.0</v>
      </c>
      <c r="O158" s="132">
        <v>0.0</v>
      </c>
      <c r="P158" s="132">
        <v>0.0</v>
      </c>
      <c r="Q158" s="132">
        <v>0.0</v>
      </c>
      <c r="R158" s="132">
        <v>0.0</v>
      </c>
      <c r="S158" s="132">
        <v>0.0</v>
      </c>
      <c r="T158" s="132">
        <v>0.0</v>
      </c>
      <c r="U158" s="132">
        <v>0.0</v>
      </c>
      <c r="V158" s="132">
        <v>0.0</v>
      </c>
      <c r="W158" s="132">
        <v>0.0</v>
      </c>
      <c r="Y158" s="132" t="s">
        <v>3660</v>
      </c>
      <c r="Z158" s="132">
        <f t="shared" ref="Z158:AC158" si="312">C158-1000</f>
        <v>-50</v>
      </c>
      <c r="AA158" s="132">
        <f t="shared" si="312"/>
        <v>-1000</v>
      </c>
      <c r="AB158" s="132">
        <f t="shared" si="312"/>
        <v>-1000</v>
      </c>
      <c r="AC158" s="132">
        <f t="shared" si="312"/>
        <v>-1000</v>
      </c>
      <c r="AD158" s="132">
        <f t="shared" si="4"/>
        <v>-10000</v>
      </c>
      <c r="AE158" s="132">
        <f t="shared" ref="AE158:AS158" si="313">H158-1000</f>
        <v>-1000</v>
      </c>
      <c r="AF158" s="132">
        <f t="shared" si="313"/>
        <v>-1000</v>
      </c>
      <c r="AG158" s="132">
        <f t="shared" si="313"/>
        <v>-1000</v>
      </c>
      <c r="AH158" s="132">
        <f t="shared" si="313"/>
        <v>-1000</v>
      </c>
      <c r="AI158" s="132">
        <f t="shared" si="313"/>
        <v>-1000</v>
      </c>
      <c r="AJ158" s="132">
        <f t="shared" si="313"/>
        <v>-1000</v>
      </c>
      <c r="AK158" s="132">
        <f t="shared" si="313"/>
        <v>-1000</v>
      </c>
      <c r="AL158" s="132">
        <f t="shared" si="313"/>
        <v>-1000</v>
      </c>
      <c r="AM158" s="132">
        <f t="shared" si="313"/>
        <v>-1000</v>
      </c>
      <c r="AN158" s="132">
        <f t="shared" si="313"/>
        <v>-1000</v>
      </c>
      <c r="AO158" s="132">
        <f t="shared" si="313"/>
        <v>-1000</v>
      </c>
      <c r="AP158" s="132">
        <f t="shared" si="313"/>
        <v>-1000</v>
      </c>
      <c r="AQ158" s="132">
        <f t="shared" si="313"/>
        <v>-1000</v>
      </c>
      <c r="AR158" s="132">
        <f t="shared" si="313"/>
        <v>-1000</v>
      </c>
      <c r="AS158" s="132">
        <f t="shared" si="313"/>
        <v>-1000</v>
      </c>
    </row>
    <row r="159">
      <c r="A159" s="132" t="s">
        <v>3661</v>
      </c>
      <c r="B159" s="132">
        <v>500.0</v>
      </c>
      <c r="C159" s="132">
        <v>500.0</v>
      </c>
      <c r="D159" s="132">
        <v>0.0</v>
      </c>
      <c r="E159" s="132">
        <v>0.0</v>
      </c>
      <c r="F159" s="132">
        <v>0.0</v>
      </c>
      <c r="G159" s="132">
        <v>0.0</v>
      </c>
      <c r="H159" s="132">
        <v>0.0</v>
      </c>
      <c r="I159" s="132">
        <v>0.0</v>
      </c>
      <c r="J159" s="132">
        <v>0.0</v>
      </c>
      <c r="K159" s="132">
        <v>0.0</v>
      </c>
      <c r="L159" s="132">
        <v>0.0</v>
      </c>
      <c r="M159" s="132">
        <v>0.0</v>
      </c>
      <c r="N159" s="132">
        <v>0.0</v>
      </c>
      <c r="O159" s="132">
        <v>0.0</v>
      </c>
      <c r="P159" s="132">
        <v>0.0</v>
      </c>
      <c r="Q159" s="132">
        <v>0.0</v>
      </c>
      <c r="R159" s="132">
        <v>0.0</v>
      </c>
      <c r="S159" s="132">
        <v>0.0</v>
      </c>
      <c r="T159" s="132">
        <v>0.0</v>
      </c>
      <c r="U159" s="132">
        <v>0.0</v>
      </c>
      <c r="V159" s="132">
        <v>0.0</v>
      </c>
      <c r="W159" s="132">
        <v>0.0</v>
      </c>
      <c r="Y159" s="132" t="s">
        <v>3661</v>
      </c>
      <c r="Z159" s="132">
        <f t="shared" ref="Z159:AC159" si="314">C159-1000</f>
        <v>-500</v>
      </c>
      <c r="AA159" s="132">
        <f t="shared" si="314"/>
        <v>-1000</v>
      </c>
      <c r="AB159" s="132">
        <f t="shared" si="314"/>
        <v>-1000</v>
      </c>
      <c r="AC159" s="132">
        <f t="shared" si="314"/>
        <v>-1000</v>
      </c>
      <c r="AD159" s="132">
        <f t="shared" si="4"/>
        <v>-10000</v>
      </c>
      <c r="AE159" s="132">
        <f t="shared" ref="AE159:AS159" si="315">H159-1000</f>
        <v>-1000</v>
      </c>
      <c r="AF159" s="132">
        <f t="shared" si="315"/>
        <v>-1000</v>
      </c>
      <c r="AG159" s="132">
        <f t="shared" si="315"/>
        <v>-1000</v>
      </c>
      <c r="AH159" s="132">
        <f t="shared" si="315"/>
        <v>-1000</v>
      </c>
      <c r="AI159" s="132">
        <f t="shared" si="315"/>
        <v>-1000</v>
      </c>
      <c r="AJ159" s="132">
        <f t="shared" si="315"/>
        <v>-1000</v>
      </c>
      <c r="AK159" s="132">
        <f t="shared" si="315"/>
        <v>-1000</v>
      </c>
      <c r="AL159" s="132">
        <f t="shared" si="315"/>
        <v>-1000</v>
      </c>
      <c r="AM159" s="132">
        <f t="shared" si="315"/>
        <v>-1000</v>
      </c>
      <c r="AN159" s="132">
        <f t="shared" si="315"/>
        <v>-1000</v>
      </c>
      <c r="AO159" s="132">
        <f t="shared" si="315"/>
        <v>-1000</v>
      </c>
      <c r="AP159" s="132">
        <f t="shared" si="315"/>
        <v>-1000</v>
      </c>
      <c r="AQ159" s="132">
        <f t="shared" si="315"/>
        <v>-1000</v>
      </c>
      <c r="AR159" s="132">
        <f t="shared" si="315"/>
        <v>-1000</v>
      </c>
      <c r="AS159" s="132">
        <f t="shared" si="315"/>
        <v>-1000</v>
      </c>
    </row>
    <row r="160">
      <c r="A160" s="132" t="s">
        <v>3662</v>
      </c>
      <c r="B160" s="132">
        <v>36150.0</v>
      </c>
      <c r="C160" s="132">
        <v>1250.0</v>
      </c>
      <c r="D160" s="132">
        <v>1000.0</v>
      </c>
      <c r="E160" s="132">
        <v>1000.0</v>
      </c>
      <c r="F160" s="132">
        <v>1250.0</v>
      </c>
      <c r="G160" s="132">
        <v>22500.0</v>
      </c>
      <c r="H160" s="132">
        <v>0.0</v>
      </c>
      <c r="I160" s="132">
        <v>1000.0</v>
      </c>
      <c r="J160" s="132">
        <v>2000.0</v>
      </c>
      <c r="K160" s="132">
        <v>0.0</v>
      </c>
      <c r="L160" s="132">
        <v>1150.0</v>
      </c>
      <c r="M160" s="132">
        <v>1000.0</v>
      </c>
      <c r="N160" s="132">
        <v>0.0</v>
      </c>
      <c r="O160" s="132">
        <v>1000.0</v>
      </c>
      <c r="P160" s="132">
        <v>1000.0</v>
      </c>
      <c r="Q160" s="132">
        <v>2000.0</v>
      </c>
      <c r="R160" s="132">
        <v>0.0</v>
      </c>
      <c r="S160" s="132">
        <v>0.0</v>
      </c>
      <c r="T160" s="132">
        <v>0.0</v>
      </c>
      <c r="U160" s="132">
        <v>0.0</v>
      </c>
      <c r="V160" s="132">
        <v>0.0</v>
      </c>
      <c r="W160" s="132">
        <v>1.0</v>
      </c>
      <c r="Y160" s="132" t="s">
        <v>3662</v>
      </c>
      <c r="Z160" s="132">
        <f t="shared" ref="Z160:AC160" si="316">C160-1000</f>
        <v>250</v>
      </c>
      <c r="AA160" s="132">
        <f t="shared" si="316"/>
        <v>0</v>
      </c>
      <c r="AB160" s="132">
        <f t="shared" si="316"/>
        <v>0</v>
      </c>
      <c r="AC160" s="132">
        <f t="shared" si="316"/>
        <v>250</v>
      </c>
      <c r="AD160" s="132">
        <f t="shared" si="4"/>
        <v>12500</v>
      </c>
      <c r="AE160" s="132">
        <f t="shared" ref="AE160:AS160" si="317">H160-1000</f>
        <v>-1000</v>
      </c>
      <c r="AF160" s="132">
        <f t="shared" si="317"/>
        <v>0</v>
      </c>
      <c r="AG160" s="132">
        <f t="shared" si="317"/>
        <v>1000</v>
      </c>
      <c r="AH160" s="132">
        <f t="shared" si="317"/>
        <v>-1000</v>
      </c>
      <c r="AI160" s="132">
        <f t="shared" si="317"/>
        <v>150</v>
      </c>
      <c r="AJ160" s="132">
        <f t="shared" si="317"/>
        <v>0</v>
      </c>
      <c r="AK160" s="132">
        <f t="shared" si="317"/>
        <v>-1000</v>
      </c>
      <c r="AL160" s="132">
        <f t="shared" si="317"/>
        <v>0</v>
      </c>
      <c r="AM160" s="132">
        <f t="shared" si="317"/>
        <v>0</v>
      </c>
      <c r="AN160" s="132">
        <f t="shared" si="317"/>
        <v>1000</v>
      </c>
      <c r="AO160" s="132">
        <f t="shared" si="317"/>
        <v>-1000</v>
      </c>
      <c r="AP160" s="132">
        <f t="shared" si="317"/>
        <v>-1000</v>
      </c>
      <c r="AQ160" s="132">
        <f t="shared" si="317"/>
        <v>-1000</v>
      </c>
      <c r="AR160" s="132">
        <f t="shared" si="317"/>
        <v>-1000</v>
      </c>
      <c r="AS160" s="132">
        <f t="shared" si="317"/>
        <v>-1000</v>
      </c>
    </row>
    <row r="161">
      <c r="A161" s="132" t="s">
        <v>3663</v>
      </c>
      <c r="B161" s="132">
        <v>150.0</v>
      </c>
      <c r="C161" s="132">
        <v>100.0</v>
      </c>
      <c r="D161" s="132">
        <v>0.0</v>
      </c>
      <c r="E161" s="132">
        <v>0.0</v>
      </c>
      <c r="F161" s="132">
        <v>50.0</v>
      </c>
      <c r="G161" s="132">
        <v>0.0</v>
      </c>
      <c r="H161" s="132">
        <v>0.0</v>
      </c>
      <c r="I161" s="132">
        <v>0.0</v>
      </c>
      <c r="J161" s="132">
        <v>0.0</v>
      </c>
      <c r="K161" s="132">
        <v>0.0</v>
      </c>
      <c r="L161" s="132">
        <v>0.0</v>
      </c>
      <c r="M161" s="132">
        <v>0.0</v>
      </c>
      <c r="N161" s="132">
        <v>0.0</v>
      </c>
      <c r="O161" s="132">
        <v>0.0</v>
      </c>
      <c r="P161" s="132">
        <v>0.0</v>
      </c>
      <c r="Q161" s="132">
        <v>0.0</v>
      </c>
      <c r="R161" s="132">
        <v>0.0</v>
      </c>
      <c r="S161" s="132">
        <v>0.0</v>
      </c>
      <c r="T161" s="132">
        <v>0.0</v>
      </c>
      <c r="U161" s="132">
        <v>0.0</v>
      </c>
      <c r="V161" s="132">
        <v>0.0</v>
      </c>
      <c r="W161" s="132">
        <v>1.0</v>
      </c>
      <c r="Y161" s="132" t="s">
        <v>3663</v>
      </c>
      <c r="Z161" s="132">
        <f t="shared" ref="Z161:AC161" si="318">C161-1000</f>
        <v>-900</v>
      </c>
      <c r="AA161" s="132">
        <f t="shared" si="318"/>
        <v>-1000</v>
      </c>
      <c r="AB161" s="132">
        <f t="shared" si="318"/>
        <v>-1000</v>
      </c>
      <c r="AC161" s="132">
        <f t="shared" si="318"/>
        <v>-950</v>
      </c>
      <c r="AD161" s="132">
        <f t="shared" si="4"/>
        <v>-10000</v>
      </c>
      <c r="AE161" s="132">
        <f t="shared" ref="AE161:AS161" si="319">H161-1000</f>
        <v>-1000</v>
      </c>
      <c r="AF161" s="132">
        <f t="shared" si="319"/>
        <v>-1000</v>
      </c>
      <c r="AG161" s="132">
        <f t="shared" si="319"/>
        <v>-1000</v>
      </c>
      <c r="AH161" s="132">
        <f t="shared" si="319"/>
        <v>-1000</v>
      </c>
      <c r="AI161" s="132">
        <f t="shared" si="319"/>
        <v>-1000</v>
      </c>
      <c r="AJ161" s="132">
        <f t="shared" si="319"/>
        <v>-1000</v>
      </c>
      <c r="AK161" s="132">
        <f t="shared" si="319"/>
        <v>-1000</v>
      </c>
      <c r="AL161" s="132">
        <f t="shared" si="319"/>
        <v>-1000</v>
      </c>
      <c r="AM161" s="132">
        <f t="shared" si="319"/>
        <v>-1000</v>
      </c>
      <c r="AN161" s="132">
        <f t="shared" si="319"/>
        <v>-1000</v>
      </c>
      <c r="AO161" s="132">
        <f t="shared" si="319"/>
        <v>-1000</v>
      </c>
      <c r="AP161" s="132">
        <f t="shared" si="319"/>
        <v>-1000</v>
      </c>
      <c r="AQ161" s="132">
        <f t="shared" si="319"/>
        <v>-1000</v>
      </c>
      <c r="AR161" s="132">
        <f t="shared" si="319"/>
        <v>-1000</v>
      </c>
      <c r="AS161" s="132">
        <f t="shared" si="319"/>
        <v>-1000</v>
      </c>
    </row>
    <row r="162">
      <c r="A162" s="132" t="s">
        <v>3664</v>
      </c>
      <c r="B162" s="132">
        <v>50.0</v>
      </c>
      <c r="C162" s="132">
        <v>50.0</v>
      </c>
      <c r="D162" s="132">
        <v>0.0</v>
      </c>
      <c r="E162" s="132">
        <v>0.0</v>
      </c>
      <c r="F162" s="132">
        <v>0.0</v>
      </c>
      <c r="G162" s="132">
        <v>0.0</v>
      </c>
      <c r="H162" s="132">
        <v>0.0</v>
      </c>
      <c r="I162" s="132">
        <v>0.0</v>
      </c>
      <c r="J162" s="132">
        <v>0.0</v>
      </c>
      <c r="K162" s="132">
        <v>0.0</v>
      </c>
      <c r="L162" s="132">
        <v>0.0</v>
      </c>
      <c r="M162" s="132">
        <v>0.0</v>
      </c>
      <c r="N162" s="132">
        <v>0.0</v>
      </c>
      <c r="O162" s="132">
        <v>0.0</v>
      </c>
      <c r="P162" s="132">
        <v>0.0</v>
      </c>
      <c r="Q162" s="132">
        <v>0.0</v>
      </c>
      <c r="R162" s="132">
        <v>0.0</v>
      </c>
      <c r="S162" s="132">
        <v>0.0</v>
      </c>
      <c r="T162" s="132">
        <v>0.0</v>
      </c>
      <c r="U162" s="132">
        <v>0.0</v>
      </c>
      <c r="V162" s="132">
        <v>0.0</v>
      </c>
      <c r="W162" s="132">
        <v>0.0</v>
      </c>
      <c r="Y162" s="132" t="s">
        <v>3664</v>
      </c>
      <c r="Z162" s="132">
        <f t="shared" ref="Z162:AC162" si="320">C162-1000</f>
        <v>-950</v>
      </c>
      <c r="AA162" s="132">
        <f t="shared" si="320"/>
        <v>-1000</v>
      </c>
      <c r="AB162" s="132">
        <f t="shared" si="320"/>
        <v>-1000</v>
      </c>
      <c r="AC162" s="132">
        <f t="shared" si="320"/>
        <v>-1000</v>
      </c>
      <c r="AD162" s="132">
        <f t="shared" si="4"/>
        <v>-10000</v>
      </c>
      <c r="AE162" s="132">
        <f t="shared" ref="AE162:AS162" si="321">H162-1000</f>
        <v>-1000</v>
      </c>
      <c r="AF162" s="132">
        <f t="shared" si="321"/>
        <v>-1000</v>
      </c>
      <c r="AG162" s="132">
        <f t="shared" si="321"/>
        <v>-1000</v>
      </c>
      <c r="AH162" s="132">
        <f t="shared" si="321"/>
        <v>-1000</v>
      </c>
      <c r="AI162" s="132">
        <f t="shared" si="321"/>
        <v>-1000</v>
      </c>
      <c r="AJ162" s="132">
        <f t="shared" si="321"/>
        <v>-1000</v>
      </c>
      <c r="AK162" s="132">
        <f t="shared" si="321"/>
        <v>-1000</v>
      </c>
      <c r="AL162" s="132">
        <f t="shared" si="321"/>
        <v>-1000</v>
      </c>
      <c r="AM162" s="132">
        <f t="shared" si="321"/>
        <v>-1000</v>
      </c>
      <c r="AN162" s="132">
        <f t="shared" si="321"/>
        <v>-1000</v>
      </c>
      <c r="AO162" s="132">
        <f t="shared" si="321"/>
        <v>-1000</v>
      </c>
      <c r="AP162" s="132">
        <f t="shared" si="321"/>
        <v>-1000</v>
      </c>
      <c r="AQ162" s="132">
        <f t="shared" si="321"/>
        <v>-1000</v>
      </c>
      <c r="AR162" s="132">
        <f t="shared" si="321"/>
        <v>-1000</v>
      </c>
      <c r="AS162" s="132">
        <f t="shared" si="321"/>
        <v>-1000</v>
      </c>
    </row>
    <row r="163">
      <c r="A163" s="132" t="s">
        <v>3665</v>
      </c>
      <c r="B163" s="132">
        <v>50.0</v>
      </c>
      <c r="C163" s="132">
        <v>50.0</v>
      </c>
      <c r="D163" s="132">
        <v>0.0</v>
      </c>
      <c r="E163" s="132">
        <v>0.0</v>
      </c>
      <c r="F163" s="132">
        <v>0.0</v>
      </c>
      <c r="G163" s="132">
        <v>0.0</v>
      </c>
      <c r="H163" s="132">
        <v>0.0</v>
      </c>
      <c r="I163" s="132">
        <v>0.0</v>
      </c>
      <c r="J163" s="132">
        <v>0.0</v>
      </c>
      <c r="K163" s="132">
        <v>0.0</v>
      </c>
      <c r="L163" s="132">
        <v>0.0</v>
      </c>
      <c r="M163" s="132">
        <v>0.0</v>
      </c>
      <c r="N163" s="132">
        <v>0.0</v>
      </c>
      <c r="O163" s="132">
        <v>0.0</v>
      </c>
      <c r="P163" s="132">
        <v>0.0</v>
      </c>
      <c r="Q163" s="132">
        <v>0.0</v>
      </c>
      <c r="R163" s="132">
        <v>0.0</v>
      </c>
      <c r="S163" s="132">
        <v>0.0</v>
      </c>
      <c r="T163" s="132">
        <v>0.0</v>
      </c>
      <c r="U163" s="132">
        <v>0.0</v>
      </c>
      <c r="V163" s="132">
        <v>0.0</v>
      </c>
      <c r="W163" s="132">
        <v>0.0</v>
      </c>
      <c r="Y163" s="132" t="s">
        <v>3665</v>
      </c>
      <c r="Z163" s="132">
        <f t="shared" ref="Z163:AC163" si="322">C163-1000</f>
        <v>-950</v>
      </c>
      <c r="AA163" s="132">
        <f t="shared" si="322"/>
        <v>-1000</v>
      </c>
      <c r="AB163" s="132">
        <f t="shared" si="322"/>
        <v>-1000</v>
      </c>
      <c r="AC163" s="132">
        <f t="shared" si="322"/>
        <v>-1000</v>
      </c>
      <c r="AD163" s="132">
        <f t="shared" si="4"/>
        <v>-10000</v>
      </c>
      <c r="AE163" s="132">
        <f t="shared" ref="AE163:AS163" si="323">H163-1000</f>
        <v>-1000</v>
      </c>
      <c r="AF163" s="132">
        <f t="shared" si="323"/>
        <v>-1000</v>
      </c>
      <c r="AG163" s="132">
        <f t="shared" si="323"/>
        <v>-1000</v>
      </c>
      <c r="AH163" s="132">
        <f t="shared" si="323"/>
        <v>-1000</v>
      </c>
      <c r="AI163" s="132">
        <f t="shared" si="323"/>
        <v>-1000</v>
      </c>
      <c r="AJ163" s="132">
        <f t="shared" si="323"/>
        <v>-1000</v>
      </c>
      <c r="AK163" s="132">
        <f t="shared" si="323"/>
        <v>-1000</v>
      </c>
      <c r="AL163" s="132">
        <f t="shared" si="323"/>
        <v>-1000</v>
      </c>
      <c r="AM163" s="132">
        <f t="shared" si="323"/>
        <v>-1000</v>
      </c>
      <c r="AN163" s="132">
        <f t="shared" si="323"/>
        <v>-1000</v>
      </c>
      <c r="AO163" s="132">
        <f t="shared" si="323"/>
        <v>-1000</v>
      </c>
      <c r="AP163" s="132">
        <f t="shared" si="323"/>
        <v>-1000</v>
      </c>
      <c r="AQ163" s="132">
        <f t="shared" si="323"/>
        <v>-1000</v>
      </c>
      <c r="AR163" s="132">
        <f t="shared" si="323"/>
        <v>-1000</v>
      </c>
      <c r="AS163" s="132">
        <f t="shared" si="323"/>
        <v>-1000</v>
      </c>
    </row>
    <row r="164">
      <c r="A164" s="132" t="s">
        <v>3666</v>
      </c>
      <c r="B164" s="132">
        <v>10000.0</v>
      </c>
      <c r="C164" s="132">
        <v>2500.0</v>
      </c>
      <c r="D164" s="132">
        <v>0.0</v>
      </c>
      <c r="E164" s="132">
        <v>0.0</v>
      </c>
      <c r="F164" s="132">
        <v>2500.0</v>
      </c>
      <c r="G164" s="132">
        <v>0.0</v>
      </c>
      <c r="H164" s="132">
        <v>0.0</v>
      </c>
      <c r="I164" s="132">
        <v>0.0</v>
      </c>
      <c r="J164" s="132">
        <v>5000.0</v>
      </c>
      <c r="K164" s="132">
        <v>0.0</v>
      </c>
      <c r="L164" s="132">
        <v>0.0</v>
      </c>
      <c r="M164" s="132">
        <v>0.0</v>
      </c>
      <c r="N164" s="132">
        <v>0.0</v>
      </c>
      <c r="O164" s="132">
        <v>0.0</v>
      </c>
      <c r="P164" s="132">
        <v>0.0</v>
      </c>
      <c r="Q164" s="132">
        <v>0.0</v>
      </c>
      <c r="R164" s="132">
        <v>0.0</v>
      </c>
      <c r="S164" s="132">
        <v>0.0</v>
      </c>
      <c r="T164" s="132">
        <v>0.0</v>
      </c>
      <c r="U164" s="132">
        <v>0.0</v>
      </c>
      <c r="V164" s="132">
        <v>0.0</v>
      </c>
      <c r="W164" s="132">
        <v>1.0</v>
      </c>
      <c r="Y164" s="132" t="s">
        <v>3666</v>
      </c>
      <c r="Z164" s="132">
        <f t="shared" ref="Z164:AC164" si="324">C164-1000</f>
        <v>1500</v>
      </c>
      <c r="AA164" s="132">
        <f t="shared" si="324"/>
        <v>-1000</v>
      </c>
      <c r="AB164" s="132">
        <f t="shared" si="324"/>
        <v>-1000</v>
      </c>
      <c r="AC164" s="132">
        <f t="shared" si="324"/>
        <v>1500</v>
      </c>
      <c r="AD164" s="132">
        <f t="shared" si="4"/>
        <v>-10000</v>
      </c>
      <c r="AE164" s="132">
        <f t="shared" ref="AE164:AS164" si="325">H164-1000</f>
        <v>-1000</v>
      </c>
      <c r="AF164" s="132">
        <f t="shared" si="325"/>
        <v>-1000</v>
      </c>
      <c r="AG164" s="132">
        <f t="shared" si="325"/>
        <v>4000</v>
      </c>
      <c r="AH164" s="132">
        <f t="shared" si="325"/>
        <v>-1000</v>
      </c>
      <c r="AI164" s="132">
        <f t="shared" si="325"/>
        <v>-1000</v>
      </c>
      <c r="AJ164" s="132">
        <f t="shared" si="325"/>
        <v>-1000</v>
      </c>
      <c r="AK164" s="132">
        <f t="shared" si="325"/>
        <v>-1000</v>
      </c>
      <c r="AL164" s="132">
        <f t="shared" si="325"/>
        <v>-1000</v>
      </c>
      <c r="AM164" s="132">
        <f t="shared" si="325"/>
        <v>-1000</v>
      </c>
      <c r="AN164" s="132">
        <f t="shared" si="325"/>
        <v>-1000</v>
      </c>
      <c r="AO164" s="132">
        <f t="shared" si="325"/>
        <v>-1000</v>
      </c>
      <c r="AP164" s="132">
        <f t="shared" si="325"/>
        <v>-1000</v>
      </c>
      <c r="AQ164" s="132">
        <f t="shared" si="325"/>
        <v>-1000</v>
      </c>
      <c r="AR164" s="132">
        <f t="shared" si="325"/>
        <v>-1000</v>
      </c>
      <c r="AS164" s="132">
        <f t="shared" si="325"/>
        <v>-1000</v>
      </c>
    </row>
    <row r="165">
      <c r="A165" s="132" t="s">
        <v>3667</v>
      </c>
      <c r="B165" s="132">
        <v>500.0</v>
      </c>
      <c r="C165" s="132">
        <v>500.0</v>
      </c>
      <c r="D165" s="132">
        <v>0.0</v>
      </c>
      <c r="E165" s="132">
        <v>0.0</v>
      </c>
      <c r="F165" s="132">
        <v>0.0</v>
      </c>
      <c r="G165" s="132">
        <v>0.0</v>
      </c>
      <c r="H165" s="132">
        <v>0.0</v>
      </c>
      <c r="I165" s="132">
        <v>0.0</v>
      </c>
      <c r="J165" s="132">
        <v>0.0</v>
      </c>
      <c r="K165" s="132">
        <v>0.0</v>
      </c>
      <c r="L165" s="132">
        <v>0.0</v>
      </c>
      <c r="M165" s="132">
        <v>0.0</v>
      </c>
      <c r="N165" s="132">
        <v>0.0</v>
      </c>
      <c r="O165" s="132">
        <v>0.0</v>
      </c>
      <c r="P165" s="132">
        <v>0.0</v>
      </c>
      <c r="Q165" s="132">
        <v>0.0</v>
      </c>
      <c r="R165" s="132">
        <v>0.0</v>
      </c>
      <c r="S165" s="132">
        <v>0.0</v>
      </c>
      <c r="T165" s="132">
        <v>0.0</v>
      </c>
      <c r="U165" s="132">
        <v>0.0</v>
      </c>
      <c r="V165" s="132">
        <v>0.0</v>
      </c>
      <c r="W165" s="132">
        <v>0.0</v>
      </c>
      <c r="Y165" s="132" t="s">
        <v>3667</v>
      </c>
      <c r="Z165" s="132">
        <f t="shared" ref="Z165:AC165" si="326">C165-1000</f>
        <v>-500</v>
      </c>
      <c r="AA165" s="132">
        <f t="shared" si="326"/>
        <v>-1000</v>
      </c>
      <c r="AB165" s="132">
        <f t="shared" si="326"/>
        <v>-1000</v>
      </c>
      <c r="AC165" s="132">
        <f t="shared" si="326"/>
        <v>-1000</v>
      </c>
      <c r="AD165" s="132">
        <f t="shared" si="4"/>
        <v>-10000</v>
      </c>
      <c r="AE165" s="132">
        <f t="shared" ref="AE165:AS165" si="327">H165-1000</f>
        <v>-1000</v>
      </c>
      <c r="AF165" s="132">
        <f t="shared" si="327"/>
        <v>-1000</v>
      </c>
      <c r="AG165" s="132">
        <f t="shared" si="327"/>
        <v>-1000</v>
      </c>
      <c r="AH165" s="132">
        <f t="shared" si="327"/>
        <v>-1000</v>
      </c>
      <c r="AI165" s="132">
        <f t="shared" si="327"/>
        <v>-1000</v>
      </c>
      <c r="AJ165" s="132">
        <f t="shared" si="327"/>
        <v>-1000</v>
      </c>
      <c r="AK165" s="132">
        <f t="shared" si="327"/>
        <v>-1000</v>
      </c>
      <c r="AL165" s="132">
        <f t="shared" si="327"/>
        <v>-1000</v>
      </c>
      <c r="AM165" s="132">
        <f t="shared" si="327"/>
        <v>-1000</v>
      </c>
      <c r="AN165" s="132">
        <f t="shared" si="327"/>
        <v>-1000</v>
      </c>
      <c r="AO165" s="132">
        <f t="shared" si="327"/>
        <v>-1000</v>
      </c>
      <c r="AP165" s="132">
        <f t="shared" si="327"/>
        <v>-1000</v>
      </c>
      <c r="AQ165" s="132">
        <f t="shared" si="327"/>
        <v>-1000</v>
      </c>
      <c r="AR165" s="132">
        <f t="shared" si="327"/>
        <v>-1000</v>
      </c>
      <c r="AS165" s="132">
        <f t="shared" si="327"/>
        <v>-1000</v>
      </c>
    </row>
    <row r="166">
      <c r="A166" s="132" t="s">
        <v>3668</v>
      </c>
      <c r="B166" s="132">
        <v>5000.0</v>
      </c>
      <c r="C166" s="132">
        <v>2500.0</v>
      </c>
      <c r="D166" s="132">
        <v>0.0</v>
      </c>
      <c r="E166" s="132">
        <v>0.0</v>
      </c>
      <c r="F166" s="132">
        <v>2500.0</v>
      </c>
      <c r="G166" s="132">
        <v>0.0</v>
      </c>
      <c r="H166" s="132">
        <v>0.0</v>
      </c>
      <c r="I166" s="132">
        <v>0.0</v>
      </c>
      <c r="J166" s="132">
        <v>0.0</v>
      </c>
      <c r="K166" s="132">
        <v>0.0</v>
      </c>
      <c r="L166" s="132">
        <v>0.0</v>
      </c>
      <c r="M166" s="132">
        <v>0.0</v>
      </c>
      <c r="N166" s="132">
        <v>0.0</v>
      </c>
      <c r="O166" s="132">
        <v>0.0</v>
      </c>
      <c r="P166" s="132">
        <v>0.0</v>
      </c>
      <c r="Q166" s="132">
        <v>0.0</v>
      </c>
      <c r="R166" s="132">
        <v>0.0</v>
      </c>
      <c r="S166" s="132">
        <v>0.0</v>
      </c>
      <c r="T166" s="132">
        <v>0.0</v>
      </c>
      <c r="U166" s="132">
        <v>0.0</v>
      </c>
      <c r="V166" s="132">
        <v>0.0</v>
      </c>
      <c r="W166" s="132">
        <v>0.0</v>
      </c>
      <c r="Y166" s="132" t="s">
        <v>3668</v>
      </c>
      <c r="Z166" s="132">
        <f t="shared" ref="Z166:AC166" si="328">C166-1000</f>
        <v>1500</v>
      </c>
      <c r="AA166" s="132">
        <f t="shared" si="328"/>
        <v>-1000</v>
      </c>
      <c r="AB166" s="132">
        <f t="shared" si="328"/>
        <v>-1000</v>
      </c>
      <c r="AC166" s="132">
        <f t="shared" si="328"/>
        <v>1500</v>
      </c>
      <c r="AD166" s="132">
        <f t="shared" si="4"/>
        <v>-10000</v>
      </c>
      <c r="AE166" s="132">
        <f t="shared" ref="AE166:AS166" si="329">H166-1000</f>
        <v>-1000</v>
      </c>
      <c r="AF166" s="132">
        <f t="shared" si="329"/>
        <v>-1000</v>
      </c>
      <c r="AG166" s="132">
        <f t="shared" si="329"/>
        <v>-1000</v>
      </c>
      <c r="AH166" s="132">
        <f t="shared" si="329"/>
        <v>-1000</v>
      </c>
      <c r="AI166" s="132">
        <f t="shared" si="329"/>
        <v>-1000</v>
      </c>
      <c r="AJ166" s="132">
        <f t="shared" si="329"/>
        <v>-1000</v>
      </c>
      <c r="AK166" s="132">
        <f t="shared" si="329"/>
        <v>-1000</v>
      </c>
      <c r="AL166" s="132">
        <f t="shared" si="329"/>
        <v>-1000</v>
      </c>
      <c r="AM166" s="132">
        <f t="shared" si="329"/>
        <v>-1000</v>
      </c>
      <c r="AN166" s="132">
        <f t="shared" si="329"/>
        <v>-1000</v>
      </c>
      <c r="AO166" s="132">
        <f t="shared" si="329"/>
        <v>-1000</v>
      </c>
      <c r="AP166" s="132">
        <f t="shared" si="329"/>
        <v>-1000</v>
      </c>
      <c r="AQ166" s="132">
        <f t="shared" si="329"/>
        <v>-1000</v>
      </c>
      <c r="AR166" s="132">
        <f t="shared" si="329"/>
        <v>-1000</v>
      </c>
      <c r="AS166" s="132">
        <f t="shared" si="329"/>
        <v>-1000</v>
      </c>
    </row>
    <row r="167">
      <c r="A167" s="132" t="s">
        <v>3669</v>
      </c>
      <c r="B167" s="132">
        <v>30000.0</v>
      </c>
      <c r="C167" s="132">
        <v>1000.0</v>
      </c>
      <c r="D167" s="132">
        <v>3000.0</v>
      </c>
      <c r="E167" s="132">
        <v>2000.0</v>
      </c>
      <c r="F167" s="132">
        <v>3500.0</v>
      </c>
      <c r="G167" s="132">
        <v>15000.0</v>
      </c>
      <c r="H167" s="132">
        <v>0.0</v>
      </c>
      <c r="I167" s="132">
        <v>3500.0</v>
      </c>
      <c r="J167" s="132">
        <v>0.0</v>
      </c>
      <c r="K167" s="132">
        <v>0.0</v>
      </c>
      <c r="L167" s="132">
        <v>2000.0</v>
      </c>
      <c r="M167" s="132">
        <v>0.0</v>
      </c>
      <c r="N167" s="132">
        <v>0.0</v>
      </c>
      <c r="O167" s="132">
        <v>0.0</v>
      </c>
      <c r="P167" s="132">
        <v>0.0</v>
      </c>
      <c r="Q167" s="132">
        <v>0.0</v>
      </c>
      <c r="R167" s="132">
        <v>0.0</v>
      </c>
      <c r="S167" s="132">
        <v>0.0</v>
      </c>
      <c r="T167" s="132">
        <v>0.0</v>
      </c>
      <c r="U167" s="132">
        <v>0.0</v>
      </c>
      <c r="V167" s="132">
        <v>0.0</v>
      </c>
      <c r="W167" s="132">
        <v>1.0</v>
      </c>
      <c r="Y167" s="132" t="s">
        <v>3669</v>
      </c>
      <c r="Z167" s="132">
        <f t="shared" ref="Z167:AC167" si="330">C167-1000</f>
        <v>0</v>
      </c>
      <c r="AA167" s="132">
        <f t="shared" si="330"/>
        <v>2000</v>
      </c>
      <c r="AB167" s="132">
        <f t="shared" si="330"/>
        <v>1000</v>
      </c>
      <c r="AC167" s="132">
        <f t="shared" si="330"/>
        <v>2500</v>
      </c>
      <c r="AD167" s="132">
        <f t="shared" si="4"/>
        <v>5000</v>
      </c>
      <c r="AE167" s="132">
        <f t="shared" ref="AE167:AS167" si="331">H167-1000</f>
        <v>-1000</v>
      </c>
      <c r="AF167" s="132">
        <f t="shared" si="331"/>
        <v>2500</v>
      </c>
      <c r="AG167" s="132">
        <f t="shared" si="331"/>
        <v>-1000</v>
      </c>
      <c r="AH167" s="132">
        <f t="shared" si="331"/>
        <v>-1000</v>
      </c>
      <c r="AI167" s="132">
        <f t="shared" si="331"/>
        <v>1000</v>
      </c>
      <c r="AJ167" s="132">
        <f t="shared" si="331"/>
        <v>-1000</v>
      </c>
      <c r="AK167" s="132">
        <f t="shared" si="331"/>
        <v>-1000</v>
      </c>
      <c r="AL167" s="132">
        <f t="shared" si="331"/>
        <v>-1000</v>
      </c>
      <c r="AM167" s="132">
        <f t="shared" si="331"/>
        <v>-1000</v>
      </c>
      <c r="AN167" s="132">
        <f t="shared" si="331"/>
        <v>-1000</v>
      </c>
      <c r="AO167" s="132">
        <f t="shared" si="331"/>
        <v>-1000</v>
      </c>
      <c r="AP167" s="132">
        <f t="shared" si="331"/>
        <v>-1000</v>
      </c>
      <c r="AQ167" s="132">
        <f t="shared" si="331"/>
        <v>-1000</v>
      </c>
      <c r="AR167" s="132">
        <f t="shared" si="331"/>
        <v>-1000</v>
      </c>
      <c r="AS167" s="132">
        <f t="shared" si="331"/>
        <v>-1000</v>
      </c>
    </row>
    <row r="168">
      <c r="A168" s="132" t="s">
        <v>3670</v>
      </c>
      <c r="B168" s="132">
        <v>1750.0</v>
      </c>
      <c r="C168" s="132">
        <v>0.0</v>
      </c>
      <c r="D168" s="132">
        <v>0.0</v>
      </c>
      <c r="E168" s="132">
        <v>0.0</v>
      </c>
      <c r="F168" s="132">
        <v>1000.0</v>
      </c>
      <c r="G168" s="132">
        <v>0.0</v>
      </c>
      <c r="H168" s="132">
        <v>0.0</v>
      </c>
      <c r="I168" s="132">
        <v>250.0</v>
      </c>
      <c r="J168" s="132">
        <v>0.0</v>
      </c>
      <c r="K168" s="132">
        <v>0.0</v>
      </c>
      <c r="L168" s="132">
        <v>0.0</v>
      </c>
      <c r="M168" s="132">
        <v>0.0</v>
      </c>
      <c r="N168" s="132">
        <v>0.0</v>
      </c>
      <c r="O168" s="132">
        <v>0.0</v>
      </c>
      <c r="P168" s="132">
        <v>500.0</v>
      </c>
      <c r="Q168" s="132">
        <v>0.0</v>
      </c>
      <c r="R168" s="132">
        <v>0.0</v>
      </c>
      <c r="S168" s="132">
        <v>0.0</v>
      </c>
      <c r="T168" s="132">
        <v>0.0</v>
      </c>
      <c r="U168" s="132">
        <v>0.0</v>
      </c>
      <c r="V168" s="132">
        <v>0.0</v>
      </c>
      <c r="W168" s="132">
        <v>1.0</v>
      </c>
      <c r="Y168" s="132" t="s">
        <v>3670</v>
      </c>
      <c r="Z168" s="132">
        <f t="shared" ref="Z168:AC168" si="332">C168-1000</f>
        <v>-1000</v>
      </c>
      <c r="AA168" s="132">
        <f t="shared" si="332"/>
        <v>-1000</v>
      </c>
      <c r="AB168" s="132">
        <f t="shared" si="332"/>
        <v>-1000</v>
      </c>
      <c r="AC168" s="132">
        <f t="shared" si="332"/>
        <v>0</v>
      </c>
      <c r="AD168" s="132">
        <f t="shared" si="4"/>
        <v>-10000</v>
      </c>
      <c r="AE168" s="132">
        <f t="shared" ref="AE168:AS168" si="333">H168-1000</f>
        <v>-1000</v>
      </c>
      <c r="AF168" s="132">
        <f t="shared" si="333"/>
        <v>-750</v>
      </c>
      <c r="AG168" s="132">
        <f t="shared" si="333"/>
        <v>-1000</v>
      </c>
      <c r="AH168" s="132">
        <f t="shared" si="333"/>
        <v>-1000</v>
      </c>
      <c r="AI168" s="132">
        <f t="shared" si="333"/>
        <v>-1000</v>
      </c>
      <c r="AJ168" s="132">
        <f t="shared" si="333"/>
        <v>-1000</v>
      </c>
      <c r="AK168" s="132">
        <f t="shared" si="333"/>
        <v>-1000</v>
      </c>
      <c r="AL168" s="132">
        <f t="shared" si="333"/>
        <v>-1000</v>
      </c>
      <c r="AM168" s="132">
        <f t="shared" si="333"/>
        <v>-500</v>
      </c>
      <c r="AN168" s="132">
        <f t="shared" si="333"/>
        <v>-1000</v>
      </c>
      <c r="AO168" s="132">
        <f t="shared" si="333"/>
        <v>-1000</v>
      </c>
      <c r="AP168" s="132">
        <f t="shared" si="333"/>
        <v>-1000</v>
      </c>
      <c r="AQ168" s="132">
        <f t="shared" si="333"/>
        <v>-1000</v>
      </c>
      <c r="AR168" s="132">
        <f t="shared" si="333"/>
        <v>-1000</v>
      </c>
      <c r="AS168" s="132">
        <f t="shared" si="333"/>
        <v>-1000</v>
      </c>
    </row>
    <row r="169">
      <c r="A169" s="132" t="s">
        <v>3671</v>
      </c>
      <c r="B169" s="132">
        <v>500.0</v>
      </c>
      <c r="C169" s="132">
        <v>0.0</v>
      </c>
      <c r="D169" s="132">
        <v>0.0</v>
      </c>
      <c r="E169" s="132">
        <v>0.0</v>
      </c>
      <c r="F169" s="132">
        <v>0.0</v>
      </c>
      <c r="G169" s="132">
        <v>0.0</v>
      </c>
      <c r="H169" s="132">
        <v>0.0</v>
      </c>
      <c r="I169" s="132">
        <v>500.0</v>
      </c>
      <c r="J169" s="132">
        <v>0.0</v>
      </c>
      <c r="K169" s="132">
        <v>0.0</v>
      </c>
      <c r="L169" s="132">
        <v>0.0</v>
      </c>
      <c r="M169" s="132">
        <v>0.0</v>
      </c>
      <c r="N169" s="132">
        <v>0.0</v>
      </c>
      <c r="O169" s="132">
        <v>0.0</v>
      </c>
      <c r="P169" s="132">
        <v>0.0</v>
      </c>
      <c r="Q169" s="132">
        <v>0.0</v>
      </c>
      <c r="R169" s="132">
        <v>0.0</v>
      </c>
      <c r="S169" s="132">
        <v>0.0</v>
      </c>
      <c r="T169" s="132">
        <v>0.0</v>
      </c>
      <c r="U169" s="132">
        <v>0.0</v>
      </c>
      <c r="V169" s="132">
        <v>0.0</v>
      </c>
      <c r="W169" s="132">
        <v>0.0</v>
      </c>
      <c r="Y169" s="132" t="s">
        <v>3671</v>
      </c>
      <c r="Z169" s="132">
        <f t="shared" ref="Z169:AC169" si="334">C169-1000</f>
        <v>-1000</v>
      </c>
      <c r="AA169" s="132">
        <f t="shared" si="334"/>
        <v>-1000</v>
      </c>
      <c r="AB169" s="132">
        <f t="shared" si="334"/>
        <v>-1000</v>
      </c>
      <c r="AC169" s="132">
        <f t="shared" si="334"/>
        <v>-1000</v>
      </c>
      <c r="AD169" s="132">
        <f t="shared" si="4"/>
        <v>-10000</v>
      </c>
      <c r="AE169" s="132">
        <f t="shared" ref="AE169:AS169" si="335">H169-1000</f>
        <v>-1000</v>
      </c>
      <c r="AF169" s="132">
        <f t="shared" si="335"/>
        <v>-500</v>
      </c>
      <c r="AG169" s="132">
        <f t="shared" si="335"/>
        <v>-1000</v>
      </c>
      <c r="AH169" s="132">
        <f t="shared" si="335"/>
        <v>-1000</v>
      </c>
      <c r="AI169" s="132">
        <f t="shared" si="335"/>
        <v>-1000</v>
      </c>
      <c r="AJ169" s="132">
        <f t="shared" si="335"/>
        <v>-1000</v>
      </c>
      <c r="AK169" s="132">
        <f t="shared" si="335"/>
        <v>-1000</v>
      </c>
      <c r="AL169" s="132">
        <f t="shared" si="335"/>
        <v>-1000</v>
      </c>
      <c r="AM169" s="132">
        <f t="shared" si="335"/>
        <v>-1000</v>
      </c>
      <c r="AN169" s="132">
        <f t="shared" si="335"/>
        <v>-1000</v>
      </c>
      <c r="AO169" s="132">
        <f t="shared" si="335"/>
        <v>-1000</v>
      </c>
      <c r="AP169" s="132">
        <f t="shared" si="335"/>
        <v>-1000</v>
      </c>
      <c r="AQ169" s="132">
        <f t="shared" si="335"/>
        <v>-1000</v>
      </c>
      <c r="AR169" s="132">
        <f t="shared" si="335"/>
        <v>-1000</v>
      </c>
      <c r="AS169" s="132">
        <f t="shared" si="335"/>
        <v>-1000</v>
      </c>
    </row>
    <row r="170">
      <c r="A170" s="132" t="s">
        <v>3672</v>
      </c>
      <c r="B170" s="132">
        <v>250.0</v>
      </c>
      <c r="C170" s="132">
        <v>0.0</v>
      </c>
      <c r="D170" s="132">
        <v>0.0</v>
      </c>
      <c r="E170" s="132">
        <v>0.0</v>
      </c>
      <c r="F170" s="132">
        <v>0.0</v>
      </c>
      <c r="G170" s="132">
        <v>250.0</v>
      </c>
      <c r="H170" s="132">
        <v>0.0</v>
      </c>
      <c r="I170" s="132">
        <v>0.0</v>
      </c>
      <c r="J170" s="132">
        <v>0.0</v>
      </c>
      <c r="K170" s="132">
        <v>0.0</v>
      </c>
      <c r="L170" s="132">
        <v>0.0</v>
      </c>
      <c r="M170" s="132">
        <v>0.0</v>
      </c>
      <c r="N170" s="132">
        <v>0.0</v>
      </c>
      <c r="O170" s="132">
        <v>0.0</v>
      </c>
      <c r="P170" s="132">
        <v>0.0</v>
      </c>
      <c r="Q170" s="132">
        <v>0.0</v>
      </c>
      <c r="R170" s="132">
        <v>0.0</v>
      </c>
      <c r="S170" s="132">
        <v>0.0</v>
      </c>
      <c r="T170" s="132">
        <v>0.0</v>
      </c>
      <c r="U170" s="132">
        <v>0.0</v>
      </c>
      <c r="V170" s="132">
        <v>0.0</v>
      </c>
      <c r="W170" s="132">
        <v>0.0</v>
      </c>
      <c r="Y170" s="132" t="s">
        <v>3672</v>
      </c>
      <c r="Z170" s="132">
        <f t="shared" ref="Z170:AC170" si="336">C170-1000</f>
        <v>-1000</v>
      </c>
      <c r="AA170" s="132">
        <f t="shared" si="336"/>
        <v>-1000</v>
      </c>
      <c r="AB170" s="132">
        <f t="shared" si="336"/>
        <v>-1000</v>
      </c>
      <c r="AC170" s="132">
        <f t="shared" si="336"/>
        <v>-1000</v>
      </c>
      <c r="AD170" s="132">
        <f t="shared" si="4"/>
        <v>-9750</v>
      </c>
      <c r="AE170" s="132">
        <f t="shared" ref="AE170:AS170" si="337">H170-1000</f>
        <v>-1000</v>
      </c>
      <c r="AF170" s="132">
        <f t="shared" si="337"/>
        <v>-1000</v>
      </c>
      <c r="AG170" s="132">
        <f t="shared" si="337"/>
        <v>-1000</v>
      </c>
      <c r="AH170" s="132">
        <f t="shared" si="337"/>
        <v>-1000</v>
      </c>
      <c r="AI170" s="132">
        <f t="shared" si="337"/>
        <v>-1000</v>
      </c>
      <c r="AJ170" s="132">
        <f t="shared" si="337"/>
        <v>-1000</v>
      </c>
      <c r="AK170" s="132">
        <f t="shared" si="337"/>
        <v>-1000</v>
      </c>
      <c r="AL170" s="132">
        <f t="shared" si="337"/>
        <v>-1000</v>
      </c>
      <c r="AM170" s="132">
        <f t="shared" si="337"/>
        <v>-1000</v>
      </c>
      <c r="AN170" s="132">
        <f t="shared" si="337"/>
        <v>-1000</v>
      </c>
      <c r="AO170" s="132">
        <f t="shared" si="337"/>
        <v>-1000</v>
      </c>
      <c r="AP170" s="132">
        <f t="shared" si="337"/>
        <v>-1000</v>
      </c>
      <c r="AQ170" s="132">
        <f t="shared" si="337"/>
        <v>-1000</v>
      </c>
      <c r="AR170" s="132">
        <f t="shared" si="337"/>
        <v>-1000</v>
      </c>
      <c r="AS170" s="132">
        <f t="shared" si="337"/>
        <v>-1000</v>
      </c>
    </row>
    <row r="171">
      <c r="A171" s="132" t="s">
        <v>3673</v>
      </c>
      <c r="B171" s="132">
        <v>500.0</v>
      </c>
      <c r="C171" s="132">
        <v>0.0</v>
      </c>
      <c r="D171" s="132">
        <v>0.0</v>
      </c>
      <c r="E171" s="132">
        <v>0.0</v>
      </c>
      <c r="F171" s="132">
        <v>0.0</v>
      </c>
      <c r="G171" s="132">
        <v>500.0</v>
      </c>
      <c r="H171" s="132">
        <v>0.0</v>
      </c>
      <c r="I171" s="132">
        <v>0.0</v>
      </c>
      <c r="J171" s="132">
        <v>0.0</v>
      </c>
      <c r="K171" s="132">
        <v>0.0</v>
      </c>
      <c r="L171" s="132">
        <v>0.0</v>
      </c>
      <c r="M171" s="132">
        <v>0.0</v>
      </c>
      <c r="N171" s="132">
        <v>0.0</v>
      </c>
      <c r="O171" s="132">
        <v>0.0</v>
      </c>
      <c r="P171" s="132">
        <v>0.0</v>
      </c>
      <c r="Q171" s="132">
        <v>0.0</v>
      </c>
      <c r="R171" s="132">
        <v>0.0</v>
      </c>
      <c r="S171" s="132">
        <v>0.0</v>
      </c>
      <c r="T171" s="132">
        <v>0.0</v>
      </c>
      <c r="U171" s="132">
        <v>0.0</v>
      </c>
      <c r="V171" s="132">
        <v>0.0</v>
      </c>
      <c r="W171" s="132">
        <v>0.0</v>
      </c>
      <c r="Y171" s="132" t="s">
        <v>3673</v>
      </c>
      <c r="Z171" s="132">
        <f t="shared" ref="Z171:AC171" si="338">C171-1000</f>
        <v>-1000</v>
      </c>
      <c r="AA171" s="132">
        <f t="shared" si="338"/>
        <v>-1000</v>
      </c>
      <c r="AB171" s="132">
        <f t="shared" si="338"/>
        <v>-1000</v>
      </c>
      <c r="AC171" s="132">
        <f t="shared" si="338"/>
        <v>-1000</v>
      </c>
      <c r="AD171" s="132">
        <f t="shared" si="4"/>
        <v>-9500</v>
      </c>
      <c r="AE171" s="132">
        <f t="shared" ref="AE171:AS171" si="339">H171-1000</f>
        <v>-1000</v>
      </c>
      <c r="AF171" s="132">
        <f t="shared" si="339"/>
        <v>-1000</v>
      </c>
      <c r="AG171" s="132">
        <f t="shared" si="339"/>
        <v>-1000</v>
      </c>
      <c r="AH171" s="132">
        <f t="shared" si="339"/>
        <v>-1000</v>
      </c>
      <c r="AI171" s="132">
        <f t="shared" si="339"/>
        <v>-1000</v>
      </c>
      <c r="AJ171" s="132">
        <f t="shared" si="339"/>
        <v>-1000</v>
      </c>
      <c r="AK171" s="132">
        <f t="shared" si="339"/>
        <v>-1000</v>
      </c>
      <c r="AL171" s="132">
        <f t="shared" si="339"/>
        <v>-1000</v>
      </c>
      <c r="AM171" s="132">
        <f t="shared" si="339"/>
        <v>-1000</v>
      </c>
      <c r="AN171" s="132">
        <f t="shared" si="339"/>
        <v>-1000</v>
      </c>
      <c r="AO171" s="132">
        <f t="shared" si="339"/>
        <v>-1000</v>
      </c>
      <c r="AP171" s="132">
        <f t="shared" si="339"/>
        <v>-1000</v>
      </c>
      <c r="AQ171" s="132">
        <f t="shared" si="339"/>
        <v>-1000</v>
      </c>
      <c r="AR171" s="132">
        <f t="shared" si="339"/>
        <v>-1000</v>
      </c>
      <c r="AS171" s="132">
        <f t="shared" si="339"/>
        <v>-1000</v>
      </c>
    </row>
    <row r="172">
      <c r="A172" s="132" t="s">
        <v>3674</v>
      </c>
      <c r="B172" s="132">
        <v>20000.0</v>
      </c>
      <c r="C172" s="132">
        <v>0.0</v>
      </c>
      <c r="D172" s="132">
        <v>0.0</v>
      </c>
      <c r="E172" s="132">
        <v>0.0</v>
      </c>
      <c r="F172" s="132">
        <v>0.0</v>
      </c>
      <c r="G172" s="132">
        <v>20000.0</v>
      </c>
      <c r="H172" s="132">
        <v>0.0</v>
      </c>
      <c r="I172" s="132">
        <v>0.0</v>
      </c>
      <c r="J172" s="132">
        <v>0.0</v>
      </c>
      <c r="K172" s="132">
        <v>0.0</v>
      </c>
      <c r="L172" s="132">
        <v>0.0</v>
      </c>
      <c r="M172" s="132">
        <v>0.0</v>
      </c>
      <c r="N172" s="132">
        <v>0.0</v>
      </c>
      <c r="O172" s="132">
        <v>0.0</v>
      </c>
      <c r="P172" s="132">
        <v>0.0</v>
      </c>
      <c r="Q172" s="132">
        <v>0.0</v>
      </c>
      <c r="R172" s="132">
        <v>0.0</v>
      </c>
      <c r="S172" s="132">
        <v>0.0</v>
      </c>
      <c r="T172" s="132">
        <v>0.0</v>
      </c>
      <c r="U172" s="132">
        <v>0.0</v>
      </c>
      <c r="V172" s="132">
        <v>0.0</v>
      </c>
      <c r="W172" s="132">
        <v>1.0</v>
      </c>
      <c r="Y172" s="132" t="s">
        <v>3674</v>
      </c>
      <c r="Z172" s="132">
        <f t="shared" ref="Z172:AC172" si="340">C172-1000</f>
        <v>-1000</v>
      </c>
      <c r="AA172" s="132">
        <f t="shared" si="340"/>
        <v>-1000</v>
      </c>
      <c r="AB172" s="132">
        <f t="shared" si="340"/>
        <v>-1000</v>
      </c>
      <c r="AC172" s="132">
        <f t="shared" si="340"/>
        <v>-1000</v>
      </c>
      <c r="AD172" s="132">
        <f t="shared" si="4"/>
        <v>10000</v>
      </c>
      <c r="AE172" s="132">
        <f t="shared" ref="AE172:AS172" si="341">H172-1000</f>
        <v>-1000</v>
      </c>
      <c r="AF172" s="132">
        <f t="shared" si="341"/>
        <v>-1000</v>
      </c>
      <c r="AG172" s="132">
        <f t="shared" si="341"/>
        <v>-1000</v>
      </c>
      <c r="AH172" s="132">
        <f t="shared" si="341"/>
        <v>-1000</v>
      </c>
      <c r="AI172" s="132">
        <f t="shared" si="341"/>
        <v>-1000</v>
      </c>
      <c r="AJ172" s="132">
        <f t="shared" si="341"/>
        <v>-1000</v>
      </c>
      <c r="AK172" s="132">
        <f t="shared" si="341"/>
        <v>-1000</v>
      </c>
      <c r="AL172" s="132">
        <f t="shared" si="341"/>
        <v>-1000</v>
      </c>
      <c r="AM172" s="132">
        <f t="shared" si="341"/>
        <v>-1000</v>
      </c>
      <c r="AN172" s="132">
        <f t="shared" si="341"/>
        <v>-1000</v>
      </c>
      <c r="AO172" s="132">
        <f t="shared" si="341"/>
        <v>-1000</v>
      </c>
      <c r="AP172" s="132">
        <f t="shared" si="341"/>
        <v>-1000</v>
      </c>
      <c r="AQ172" s="132">
        <f t="shared" si="341"/>
        <v>-1000</v>
      </c>
      <c r="AR172" s="132">
        <f t="shared" si="341"/>
        <v>-1000</v>
      </c>
      <c r="AS172" s="132">
        <f t="shared" si="341"/>
        <v>-1000</v>
      </c>
    </row>
    <row r="173">
      <c r="A173" s="132" t="s">
        <v>3675</v>
      </c>
      <c r="B173" s="132">
        <v>1000.0</v>
      </c>
      <c r="C173" s="132">
        <v>0.0</v>
      </c>
      <c r="D173" s="132">
        <v>0.0</v>
      </c>
      <c r="E173" s="132">
        <v>0.0</v>
      </c>
      <c r="F173" s="132">
        <v>0.0</v>
      </c>
      <c r="G173" s="132">
        <v>1000.0</v>
      </c>
      <c r="H173" s="132">
        <v>0.0</v>
      </c>
      <c r="I173" s="132">
        <v>0.0</v>
      </c>
      <c r="J173" s="132">
        <v>0.0</v>
      </c>
      <c r="K173" s="132">
        <v>0.0</v>
      </c>
      <c r="L173" s="132">
        <v>0.0</v>
      </c>
      <c r="M173" s="132">
        <v>0.0</v>
      </c>
      <c r="N173" s="132">
        <v>0.0</v>
      </c>
      <c r="O173" s="132">
        <v>0.0</v>
      </c>
      <c r="P173" s="132">
        <v>0.0</v>
      </c>
      <c r="Q173" s="132">
        <v>0.0</v>
      </c>
      <c r="R173" s="132">
        <v>0.0</v>
      </c>
      <c r="S173" s="132">
        <v>0.0</v>
      </c>
      <c r="T173" s="132">
        <v>0.0</v>
      </c>
      <c r="U173" s="132">
        <v>0.0</v>
      </c>
      <c r="V173" s="132">
        <v>0.0</v>
      </c>
      <c r="W173" s="132">
        <v>0.0</v>
      </c>
      <c r="Y173" s="132" t="s">
        <v>3675</v>
      </c>
      <c r="Z173" s="132">
        <f t="shared" ref="Z173:AC173" si="342">C173-1000</f>
        <v>-1000</v>
      </c>
      <c r="AA173" s="132">
        <f t="shared" si="342"/>
        <v>-1000</v>
      </c>
      <c r="AB173" s="132">
        <f t="shared" si="342"/>
        <v>-1000</v>
      </c>
      <c r="AC173" s="132">
        <f t="shared" si="342"/>
        <v>-1000</v>
      </c>
      <c r="AD173" s="132">
        <f t="shared" si="4"/>
        <v>-9000</v>
      </c>
      <c r="AE173" s="132">
        <f t="shared" ref="AE173:AS173" si="343">H173-1000</f>
        <v>-1000</v>
      </c>
      <c r="AF173" s="132">
        <f t="shared" si="343"/>
        <v>-1000</v>
      </c>
      <c r="AG173" s="132">
        <f t="shared" si="343"/>
        <v>-1000</v>
      </c>
      <c r="AH173" s="132">
        <f t="shared" si="343"/>
        <v>-1000</v>
      </c>
      <c r="AI173" s="132">
        <f t="shared" si="343"/>
        <v>-1000</v>
      </c>
      <c r="AJ173" s="132">
        <f t="shared" si="343"/>
        <v>-1000</v>
      </c>
      <c r="AK173" s="132">
        <f t="shared" si="343"/>
        <v>-1000</v>
      </c>
      <c r="AL173" s="132">
        <f t="shared" si="343"/>
        <v>-1000</v>
      </c>
      <c r="AM173" s="132">
        <f t="shared" si="343"/>
        <v>-1000</v>
      </c>
      <c r="AN173" s="132">
        <f t="shared" si="343"/>
        <v>-1000</v>
      </c>
      <c r="AO173" s="132">
        <f t="shared" si="343"/>
        <v>-1000</v>
      </c>
      <c r="AP173" s="132">
        <f t="shared" si="343"/>
        <v>-1000</v>
      </c>
      <c r="AQ173" s="132">
        <f t="shared" si="343"/>
        <v>-1000</v>
      </c>
      <c r="AR173" s="132">
        <f t="shared" si="343"/>
        <v>-1000</v>
      </c>
      <c r="AS173" s="132">
        <f t="shared" si="343"/>
        <v>-1000</v>
      </c>
    </row>
    <row r="174">
      <c r="A174" s="132" t="s">
        <v>3676</v>
      </c>
      <c r="B174" s="132">
        <v>100.0</v>
      </c>
      <c r="C174" s="132">
        <v>0.0</v>
      </c>
      <c r="D174" s="132">
        <v>0.0</v>
      </c>
      <c r="E174" s="132">
        <v>0.0</v>
      </c>
      <c r="F174" s="132">
        <v>0.0</v>
      </c>
      <c r="G174" s="132">
        <v>100.0</v>
      </c>
      <c r="H174" s="132">
        <v>0.0</v>
      </c>
      <c r="I174" s="132">
        <v>0.0</v>
      </c>
      <c r="J174" s="132">
        <v>0.0</v>
      </c>
      <c r="K174" s="132">
        <v>0.0</v>
      </c>
      <c r="L174" s="132">
        <v>0.0</v>
      </c>
      <c r="M174" s="132">
        <v>0.0</v>
      </c>
      <c r="N174" s="132">
        <v>0.0</v>
      </c>
      <c r="O174" s="132">
        <v>0.0</v>
      </c>
      <c r="P174" s="132">
        <v>0.0</v>
      </c>
      <c r="Q174" s="132">
        <v>0.0</v>
      </c>
      <c r="R174" s="132">
        <v>0.0</v>
      </c>
      <c r="S174" s="132">
        <v>0.0</v>
      </c>
      <c r="T174" s="132">
        <v>0.0</v>
      </c>
      <c r="U174" s="132">
        <v>0.0</v>
      </c>
      <c r="V174" s="132">
        <v>0.0</v>
      </c>
      <c r="W174" s="132">
        <v>0.0</v>
      </c>
      <c r="Y174" s="132" t="s">
        <v>3676</v>
      </c>
      <c r="Z174" s="132">
        <f t="shared" ref="Z174:AC174" si="344">C174-1000</f>
        <v>-1000</v>
      </c>
      <c r="AA174" s="132">
        <f t="shared" si="344"/>
        <v>-1000</v>
      </c>
      <c r="AB174" s="132">
        <f t="shared" si="344"/>
        <v>-1000</v>
      </c>
      <c r="AC174" s="132">
        <f t="shared" si="344"/>
        <v>-1000</v>
      </c>
      <c r="AD174" s="132">
        <f t="shared" si="4"/>
        <v>-9900</v>
      </c>
      <c r="AE174" s="132">
        <f t="shared" ref="AE174:AS174" si="345">H174-1000</f>
        <v>-1000</v>
      </c>
      <c r="AF174" s="132">
        <f t="shared" si="345"/>
        <v>-1000</v>
      </c>
      <c r="AG174" s="132">
        <f t="shared" si="345"/>
        <v>-1000</v>
      </c>
      <c r="AH174" s="132">
        <f t="shared" si="345"/>
        <v>-1000</v>
      </c>
      <c r="AI174" s="132">
        <f t="shared" si="345"/>
        <v>-1000</v>
      </c>
      <c r="AJ174" s="132">
        <f t="shared" si="345"/>
        <v>-1000</v>
      </c>
      <c r="AK174" s="132">
        <f t="shared" si="345"/>
        <v>-1000</v>
      </c>
      <c r="AL174" s="132">
        <f t="shared" si="345"/>
        <v>-1000</v>
      </c>
      <c r="AM174" s="132">
        <f t="shared" si="345"/>
        <v>-1000</v>
      </c>
      <c r="AN174" s="132">
        <f t="shared" si="345"/>
        <v>-1000</v>
      </c>
      <c r="AO174" s="132">
        <f t="shared" si="345"/>
        <v>-1000</v>
      </c>
      <c r="AP174" s="132">
        <f t="shared" si="345"/>
        <v>-1000</v>
      </c>
      <c r="AQ174" s="132">
        <f t="shared" si="345"/>
        <v>-1000</v>
      </c>
      <c r="AR174" s="132">
        <f t="shared" si="345"/>
        <v>-1000</v>
      </c>
      <c r="AS174" s="132">
        <f t="shared" si="345"/>
        <v>-1000</v>
      </c>
    </row>
    <row r="175">
      <c r="A175" s="132" t="s">
        <v>3677</v>
      </c>
      <c r="B175" s="132">
        <v>200.0</v>
      </c>
      <c r="C175" s="132">
        <v>0.0</v>
      </c>
      <c r="D175" s="132">
        <v>0.0</v>
      </c>
      <c r="E175" s="132">
        <v>0.0</v>
      </c>
      <c r="F175" s="132">
        <v>0.0</v>
      </c>
      <c r="G175" s="132">
        <v>200.0</v>
      </c>
      <c r="H175" s="132">
        <v>0.0</v>
      </c>
      <c r="I175" s="132">
        <v>0.0</v>
      </c>
      <c r="J175" s="132">
        <v>0.0</v>
      </c>
      <c r="K175" s="132">
        <v>0.0</v>
      </c>
      <c r="L175" s="132">
        <v>0.0</v>
      </c>
      <c r="M175" s="132">
        <v>0.0</v>
      </c>
      <c r="N175" s="132">
        <v>0.0</v>
      </c>
      <c r="O175" s="132">
        <v>0.0</v>
      </c>
      <c r="P175" s="132">
        <v>0.0</v>
      </c>
      <c r="Q175" s="132">
        <v>0.0</v>
      </c>
      <c r="R175" s="132">
        <v>0.0</v>
      </c>
      <c r="S175" s="132">
        <v>0.0</v>
      </c>
      <c r="T175" s="132">
        <v>0.0</v>
      </c>
      <c r="U175" s="132">
        <v>0.0</v>
      </c>
      <c r="V175" s="132">
        <v>0.0</v>
      </c>
      <c r="W175" s="132">
        <v>0.0</v>
      </c>
      <c r="Y175" s="132" t="s">
        <v>3677</v>
      </c>
      <c r="Z175" s="132">
        <f t="shared" ref="Z175:AC175" si="346">C175-1000</f>
        <v>-1000</v>
      </c>
      <c r="AA175" s="132">
        <f t="shared" si="346"/>
        <v>-1000</v>
      </c>
      <c r="AB175" s="132">
        <f t="shared" si="346"/>
        <v>-1000</v>
      </c>
      <c r="AC175" s="132">
        <f t="shared" si="346"/>
        <v>-1000</v>
      </c>
      <c r="AD175" s="132">
        <f t="shared" si="4"/>
        <v>-9800</v>
      </c>
      <c r="AE175" s="132">
        <f t="shared" ref="AE175:AS175" si="347">H175-1000</f>
        <v>-1000</v>
      </c>
      <c r="AF175" s="132">
        <f t="shared" si="347"/>
        <v>-1000</v>
      </c>
      <c r="AG175" s="132">
        <f t="shared" si="347"/>
        <v>-1000</v>
      </c>
      <c r="AH175" s="132">
        <f t="shared" si="347"/>
        <v>-1000</v>
      </c>
      <c r="AI175" s="132">
        <f t="shared" si="347"/>
        <v>-1000</v>
      </c>
      <c r="AJ175" s="132">
        <f t="shared" si="347"/>
        <v>-1000</v>
      </c>
      <c r="AK175" s="132">
        <f t="shared" si="347"/>
        <v>-1000</v>
      </c>
      <c r="AL175" s="132">
        <f t="shared" si="347"/>
        <v>-1000</v>
      </c>
      <c r="AM175" s="132">
        <f t="shared" si="347"/>
        <v>-1000</v>
      </c>
      <c r="AN175" s="132">
        <f t="shared" si="347"/>
        <v>-1000</v>
      </c>
      <c r="AO175" s="132">
        <f t="shared" si="347"/>
        <v>-1000</v>
      </c>
      <c r="AP175" s="132">
        <f t="shared" si="347"/>
        <v>-1000</v>
      </c>
      <c r="AQ175" s="132">
        <f t="shared" si="347"/>
        <v>-1000</v>
      </c>
      <c r="AR175" s="132">
        <f t="shared" si="347"/>
        <v>-1000</v>
      </c>
      <c r="AS175" s="132">
        <f t="shared" si="347"/>
        <v>-1000</v>
      </c>
    </row>
    <row r="176">
      <c r="A176" s="132" t="s">
        <v>3678</v>
      </c>
      <c r="B176" s="132">
        <v>4500.0</v>
      </c>
      <c r="C176" s="132">
        <v>0.0</v>
      </c>
      <c r="D176" s="132">
        <v>0.0</v>
      </c>
      <c r="E176" s="132">
        <v>0.0</v>
      </c>
      <c r="F176" s="132">
        <v>0.0</v>
      </c>
      <c r="G176" s="132">
        <v>3500.0</v>
      </c>
      <c r="H176" s="132">
        <v>1000.0</v>
      </c>
      <c r="I176" s="132">
        <v>0.0</v>
      </c>
      <c r="J176" s="132">
        <v>0.0</v>
      </c>
      <c r="K176" s="132">
        <v>0.0</v>
      </c>
      <c r="L176" s="132">
        <v>0.0</v>
      </c>
      <c r="M176" s="132">
        <v>0.0</v>
      </c>
      <c r="N176" s="132">
        <v>0.0</v>
      </c>
      <c r="O176" s="132">
        <v>0.0</v>
      </c>
      <c r="P176" s="132">
        <v>0.0</v>
      </c>
      <c r="Q176" s="132">
        <v>0.0</v>
      </c>
      <c r="R176" s="132">
        <v>0.0</v>
      </c>
      <c r="S176" s="132">
        <v>0.0</v>
      </c>
      <c r="T176" s="132">
        <v>0.0</v>
      </c>
      <c r="U176" s="132">
        <v>0.0</v>
      </c>
      <c r="V176" s="132">
        <v>0.0</v>
      </c>
      <c r="W176" s="132">
        <v>0.0</v>
      </c>
      <c r="Y176" s="132" t="s">
        <v>3678</v>
      </c>
      <c r="Z176" s="132">
        <f t="shared" ref="Z176:AC176" si="348">C176-1000</f>
        <v>-1000</v>
      </c>
      <c r="AA176" s="132">
        <f t="shared" si="348"/>
        <v>-1000</v>
      </c>
      <c r="AB176" s="132">
        <f t="shared" si="348"/>
        <v>-1000</v>
      </c>
      <c r="AC176" s="132">
        <f t="shared" si="348"/>
        <v>-1000</v>
      </c>
      <c r="AD176" s="132">
        <f t="shared" si="4"/>
        <v>-6500</v>
      </c>
      <c r="AE176" s="132">
        <f t="shared" ref="AE176:AS176" si="349">H176-1000</f>
        <v>0</v>
      </c>
      <c r="AF176" s="132">
        <f t="shared" si="349"/>
        <v>-1000</v>
      </c>
      <c r="AG176" s="132">
        <f t="shared" si="349"/>
        <v>-1000</v>
      </c>
      <c r="AH176" s="132">
        <f t="shared" si="349"/>
        <v>-1000</v>
      </c>
      <c r="AI176" s="132">
        <f t="shared" si="349"/>
        <v>-1000</v>
      </c>
      <c r="AJ176" s="132">
        <f t="shared" si="349"/>
        <v>-1000</v>
      </c>
      <c r="AK176" s="132">
        <f t="shared" si="349"/>
        <v>-1000</v>
      </c>
      <c r="AL176" s="132">
        <f t="shared" si="349"/>
        <v>-1000</v>
      </c>
      <c r="AM176" s="132">
        <f t="shared" si="349"/>
        <v>-1000</v>
      </c>
      <c r="AN176" s="132">
        <f t="shared" si="349"/>
        <v>-1000</v>
      </c>
      <c r="AO176" s="132">
        <f t="shared" si="349"/>
        <v>-1000</v>
      </c>
      <c r="AP176" s="132">
        <f t="shared" si="349"/>
        <v>-1000</v>
      </c>
      <c r="AQ176" s="132">
        <f t="shared" si="349"/>
        <v>-1000</v>
      </c>
      <c r="AR176" s="132">
        <f t="shared" si="349"/>
        <v>-1000</v>
      </c>
      <c r="AS176" s="132">
        <f t="shared" si="349"/>
        <v>-1000</v>
      </c>
    </row>
    <row r="177">
      <c r="A177" s="132" t="s">
        <v>3679</v>
      </c>
      <c r="B177" s="132">
        <v>20000.0</v>
      </c>
      <c r="C177" s="132">
        <v>0.0</v>
      </c>
      <c r="D177" s="132">
        <v>0.0</v>
      </c>
      <c r="E177" s="132">
        <v>0.0</v>
      </c>
      <c r="F177" s="132">
        <v>0.0</v>
      </c>
      <c r="G177" s="132">
        <v>20000.0</v>
      </c>
      <c r="H177" s="132">
        <v>0.0</v>
      </c>
      <c r="I177" s="132">
        <v>0.0</v>
      </c>
      <c r="J177" s="132">
        <v>0.0</v>
      </c>
      <c r="K177" s="132">
        <v>0.0</v>
      </c>
      <c r="L177" s="132">
        <v>0.0</v>
      </c>
      <c r="M177" s="132">
        <v>0.0</v>
      </c>
      <c r="N177" s="132">
        <v>0.0</v>
      </c>
      <c r="O177" s="132">
        <v>0.0</v>
      </c>
      <c r="P177" s="132">
        <v>0.0</v>
      </c>
      <c r="Q177" s="132">
        <v>0.0</v>
      </c>
      <c r="R177" s="132">
        <v>0.0</v>
      </c>
      <c r="S177" s="132">
        <v>0.0</v>
      </c>
      <c r="T177" s="132">
        <v>0.0</v>
      </c>
      <c r="U177" s="132">
        <v>0.0</v>
      </c>
      <c r="V177" s="132">
        <v>0.0</v>
      </c>
      <c r="W177" s="132">
        <v>1.0</v>
      </c>
      <c r="Y177" s="132" t="s">
        <v>3679</v>
      </c>
      <c r="Z177" s="132">
        <f t="shared" ref="Z177:AC177" si="350">C177-1000</f>
        <v>-1000</v>
      </c>
      <c r="AA177" s="132">
        <f t="shared" si="350"/>
        <v>-1000</v>
      </c>
      <c r="AB177" s="132">
        <f t="shared" si="350"/>
        <v>-1000</v>
      </c>
      <c r="AC177" s="132">
        <f t="shared" si="350"/>
        <v>-1000</v>
      </c>
      <c r="AD177" s="132">
        <f t="shared" si="4"/>
        <v>10000</v>
      </c>
      <c r="AE177" s="132">
        <f t="shared" ref="AE177:AS177" si="351">H177-1000</f>
        <v>-1000</v>
      </c>
      <c r="AF177" s="132">
        <f t="shared" si="351"/>
        <v>-1000</v>
      </c>
      <c r="AG177" s="132">
        <f t="shared" si="351"/>
        <v>-1000</v>
      </c>
      <c r="AH177" s="132">
        <f t="shared" si="351"/>
        <v>-1000</v>
      </c>
      <c r="AI177" s="132">
        <f t="shared" si="351"/>
        <v>-1000</v>
      </c>
      <c r="AJ177" s="132">
        <f t="shared" si="351"/>
        <v>-1000</v>
      </c>
      <c r="AK177" s="132">
        <f t="shared" si="351"/>
        <v>-1000</v>
      </c>
      <c r="AL177" s="132">
        <f t="shared" si="351"/>
        <v>-1000</v>
      </c>
      <c r="AM177" s="132">
        <f t="shared" si="351"/>
        <v>-1000</v>
      </c>
      <c r="AN177" s="132">
        <f t="shared" si="351"/>
        <v>-1000</v>
      </c>
      <c r="AO177" s="132">
        <f t="shared" si="351"/>
        <v>-1000</v>
      </c>
      <c r="AP177" s="132">
        <f t="shared" si="351"/>
        <v>-1000</v>
      </c>
      <c r="AQ177" s="132">
        <f t="shared" si="351"/>
        <v>-1000</v>
      </c>
      <c r="AR177" s="132">
        <f t="shared" si="351"/>
        <v>-1000</v>
      </c>
      <c r="AS177" s="132">
        <f t="shared" si="351"/>
        <v>-1000</v>
      </c>
    </row>
    <row r="178">
      <c r="A178" s="132" t="s">
        <v>3680</v>
      </c>
      <c r="B178" s="132">
        <v>1000.0</v>
      </c>
      <c r="C178" s="132">
        <v>0.0</v>
      </c>
      <c r="D178" s="132">
        <v>0.0</v>
      </c>
      <c r="E178" s="132">
        <v>0.0</v>
      </c>
      <c r="F178" s="132">
        <v>0.0</v>
      </c>
      <c r="G178" s="132">
        <v>1000.0</v>
      </c>
      <c r="H178" s="132">
        <v>0.0</v>
      </c>
      <c r="I178" s="132">
        <v>0.0</v>
      </c>
      <c r="J178" s="132">
        <v>0.0</v>
      </c>
      <c r="K178" s="132">
        <v>0.0</v>
      </c>
      <c r="L178" s="132">
        <v>0.0</v>
      </c>
      <c r="M178" s="132">
        <v>0.0</v>
      </c>
      <c r="N178" s="132">
        <v>0.0</v>
      </c>
      <c r="O178" s="132">
        <v>0.0</v>
      </c>
      <c r="P178" s="132">
        <v>0.0</v>
      </c>
      <c r="Q178" s="132">
        <v>0.0</v>
      </c>
      <c r="R178" s="132">
        <v>0.0</v>
      </c>
      <c r="S178" s="132">
        <v>0.0</v>
      </c>
      <c r="T178" s="132">
        <v>0.0</v>
      </c>
      <c r="U178" s="132">
        <v>0.0</v>
      </c>
      <c r="V178" s="132">
        <v>0.0</v>
      </c>
      <c r="W178" s="132">
        <v>0.0</v>
      </c>
      <c r="Y178" s="132" t="s">
        <v>3680</v>
      </c>
      <c r="Z178" s="132">
        <f t="shared" ref="Z178:AC178" si="352">C178-1000</f>
        <v>-1000</v>
      </c>
      <c r="AA178" s="132">
        <f t="shared" si="352"/>
        <v>-1000</v>
      </c>
      <c r="AB178" s="132">
        <f t="shared" si="352"/>
        <v>-1000</v>
      </c>
      <c r="AC178" s="132">
        <f t="shared" si="352"/>
        <v>-1000</v>
      </c>
      <c r="AD178" s="132">
        <f t="shared" si="4"/>
        <v>-9000</v>
      </c>
      <c r="AE178" s="132">
        <f t="shared" ref="AE178:AS178" si="353">H178-1000</f>
        <v>-1000</v>
      </c>
      <c r="AF178" s="132">
        <f t="shared" si="353"/>
        <v>-1000</v>
      </c>
      <c r="AG178" s="132">
        <f t="shared" si="353"/>
        <v>-1000</v>
      </c>
      <c r="AH178" s="132">
        <f t="shared" si="353"/>
        <v>-1000</v>
      </c>
      <c r="AI178" s="132">
        <f t="shared" si="353"/>
        <v>-1000</v>
      </c>
      <c r="AJ178" s="132">
        <f t="shared" si="353"/>
        <v>-1000</v>
      </c>
      <c r="AK178" s="132">
        <f t="shared" si="353"/>
        <v>-1000</v>
      </c>
      <c r="AL178" s="132">
        <f t="shared" si="353"/>
        <v>-1000</v>
      </c>
      <c r="AM178" s="132">
        <f t="shared" si="353"/>
        <v>-1000</v>
      </c>
      <c r="AN178" s="132">
        <f t="shared" si="353"/>
        <v>-1000</v>
      </c>
      <c r="AO178" s="132">
        <f t="shared" si="353"/>
        <v>-1000</v>
      </c>
      <c r="AP178" s="132">
        <f t="shared" si="353"/>
        <v>-1000</v>
      </c>
      <c r="AQ178" s="132">
        <f t="shared" si="353"/>
        <v>-1000</v>
      </c>
      <c r="AR178" s="132">
        <f t="shared" si="353"/>
        <v>-1000</v>
      </c>
      <c r="AS178" s="132">
        <f t="shared" si="353"/>
        <v>-1000</v>
      </c>
    </row>
    <row r="179">
      <c r="A179" s="132" t="s">
        <v>3681</v>
      </c>
      <c r="B179" s="132">
        <v>250.0</v>
      </c>
      <c r="C179" s="132">
        <v>0.0</v>
      </c>
      <c r="D179" s="132">
        <v>0.0</v>
      </c>
      <c r="E179" s="132">
        <v>0.0</v>
      </c>
      <c r="F179" s="132">
        <v>0.0</v>
      </c>
      <c r="G179" s="132">
        <v>250.0</v>
      </c>
      <c r="H179" s="132">
        <v>0.0</v>
      </c>
      <c r="I179" s="132">
        <v>0.0</v>
      </c>
      <c r="J179" s="132">
        <v>0.0</v>
      </c>
      <c r="K179" s="132">
        <v>0.0</v>
      </c>
      <c r="L179" s="132">
        <v>0.0</v>
      </c>
      <c r="M179" s="132">
        <v>0.0</v>
      </c>
      <c r="N179" s="132">
        <v>0.0</v>
      </c>
      <c r="O179" s="132">
        <v>0.0</v>
      </c>
      <c r="P179" s="132">
        <v>0.0</v>
      </c>
      <c r="Q179" s="132">
        <v>0.0</v>
      </c>
      <c r="R179" s="132">
        <v>0.0</v>
      </c>
      <c r="S179" s="132">
        <v>0.0</v>
      </c>
      <c r="T179" s="132">
        <v>0.0</v>
      </c>
      <c r="U179" s="132">
        <v>0.0</v>
      </c>
      <c r="V179" s="132">
        <v>0.0</v>
      </c>
      <c r="W179" s="132">
        <v>0.0</v>
      </c>
      <c r="Y179" s="132" t="s">
        <v>3681</v>
      </c>
      <c r="Z179" s="132">
        <f t="shared" ref="Z179:AC179" si="354">C179-1000</f>
        <v>-1000</v>
      </c>
      <c r="AA179" s="132">
        <f t="shared" si="354"/>
        <v>-1000</v>
      </c>
      <c r="AB179" s="132">
        <f t="shared" si="354"/>
        <v>-1000</v>
      </c>
      <c r="AC179" s="132">
        <f t="shared" si="354"/>
        <v>-1000</v>
      </c>
      <c r="AD179" s="132">
        <f t="shared" si="4"/>
        <v>-9750</v>
      </c>
      <c r="AE179" s="132">
        <f t="shared" ref="AE179:AS179" si="355">H179-1000</f>
        <v>-1000</v>
      </c>
      <c r="AF179" s="132">
        <f t="shared" si="355"/>
        <v>-1000</v>
      </c>
      <c r="AG179" s="132">
        <f t="shared" si="355"/>
        <v>-1000</v>
      </c>
      <c r="AH179" s="132">
        <f t="shared" si="355"/>
        <v>-1000</v>
      </c>
      <c r="AI179" s="132">
        <f t="shared" si="355"/>
        <v>-1000</v>
      </c>
      <c r="AJ179" s="132">
        <f t="shared" si="355"/>
        <v>-1000</v>
      </c>
      <c r="AK179" s="132">
        <f t="shared" si="355"/>
        <v>-1000</v>
      </c>
      <c r="AL179" s="132">
        <f t="shared" si="355"/>
        <v>-1000</v>
      </c>
      <c r="AM179" s="132">
        <f t="shared" si="355"/>
        <v>-1000</v>
      </c>
      <c r="AN179" s="132">
        <f t="shared" si="355"/>
        <v>-1000</v>
      </c>
      <c r="AO179" s="132">
        <f t="shared" si="355"/>
        <v>-1000</v>
      </c>
      <c r="AP179" s="132">
        <f t="shared" si="355"/>
        <v>-1000</v>
      </c>
      <c r="AQ179" s="132">
        <f t="shared" si="355"/>
        <v>-1000</v>
      </c>
      <c r="AR179" s="132">
        <f t="shared" si="355"/>
        <v>-1000</v>
      </c>
      <c r="AS179" s="132">
        <f t="shared" si="355"/>
        <v>-1000</v>
      </c>
    </row>
    <row r="180">
      <c r="A180" s="132" t="s">
        <v>3682</v>
      </c>
      <c r="B180" s="132">
        <v>4100.0</v>
      </c>
      <c r="C180" s="132">
        <v>0.0</v>
      </c>
      <c r="D180" s="132">
        <v>1000.0</v>
      </c>
      <c r="E180" s="132">
        <v>0.0</v>
      </c>
      <c r="F180" s="132">
        <v>0.0</v>
      </c>
      <c r="G180" s="132">
        <v>2550.0</v>
      </c>
      <c r="H180" s="132">
        <v>500.0</v>
      </c>
      <c r="I180" s="132">
        <v>0.0</v>
      </c>
      <c r="J180" s="132">
        <v>0.0</v>
      </c>
      <c r="K180" s="132">
        <v>0.0</v>
      </c>
      <c r="L180" s="132">
        <v>50.0</v>
      </c>
      <c r="M180" s="132">
        <v>0.0</v>
      </c>
      <c r="N180" s="132">
        <v>0.0</v>
      </c>
      <c r="O180" s="132">
        <v>0.0</v>
      </c>
      <c r="P180" s="132">
        <v>0.0</v>
      </c>
      <c r="Q180" s="132">
        <v>0.0</v>
      </c>
      <c r="R180" s="132">
        <v>0.0</v>
      </c>
      <c r="S180" s="132">
        <v>0.0</v>
      </c>
      <c r="T180" s="132">
        <v>0.0</v>
      </c>
      <c r="U180" s="132">
        <v>0.0</v>
      </c>
      <c r="V180" s="132">
        <v>0.0</v>
      </c>
      <c r="W180" s="132">
        <v>1.0</v>
      </c>
      <c r="Y180" s="132" t="s">
        <v>3682</v>
      </c>
      <c r="Z180" s="132">
        <f t="shared" ref="Z180:AC180" si="356">C180-1000</f>
        <v>-1000</v>
      </c>
      <c r="AA180" s="132">
        <f t="shared" si="356"/>
        <v>0</v>
      </c>
      <c r="AB180" s="132">
        <f t="shared" si="356"/>
        <v>-1000</v>
      </c>
      <c r="AC180" s="132">
        <f t="shared" si="356"/>
        <v>-1000</v>
      </c>
      <c r="AD180" s="132">
        <f t="shared" si="4"/>
        <v>-7450</v>
      </c>
      <c r="AE180" s="132">
        <f t="shared" ref="AE180:AS180" si="357">H180-1000</f>
        <v>-500</v>
      </c>
      <c r="AF180" s="132">
        <f t="shared" si="357"/>
        <v>-1000</v>
      </c>
      <c r="AG180" s="132">
        <f t="shared" si="357"/>
        <v>-1000</v>
      </c>
      <c r="AH180" s="132">
        <f t="shared" si="357"/>
        <v>-1000</v>
      </c>
      <c r="AI180" s="132">
        <f t="shared" si="357"/>
        <v>-950</v>
      </c>
      <c r="AJ180" s="132">
        <f t="shared" si="357"/>
        <v>-1000</v>
      </c>
      <c r="AK180" s="132">
        <f t="shared" si="357"/>
        <v>-1000</v>
      </c>
      <c r="AL180" s="132">
        <f t="shared" si="357"/>
        <v>-1000</v>
      </c>
      <c r="AM180" s="132">
        <f t="shared" si="357"/>
        <v>-1000</v>
      </c>
      <c r="AN180" s="132">
        <f t="shared" si="357"/>
        <v>-1000</v>
      </c>
      <c r="AO180" s="132">
        <f t="shared" si="357"/>
        <v>-1000</v>
      </c>
      <c r="AP180" s="132">
        <f t="shared" si="357"/>
        <v>-1000</v>
      </c>
      <c r="AQ180" s="132">
        <f t="shared" si="357"/>
        <v>-1000</v>
      </c>
      <c r="AR180" s="132">
        <f t="shared" si="357"/>
        <v>-1000</v>
      </c>
      <c r="AS180" s="132">
        <f t="shared" si="357"/>
        <v>-1000</v>
      </c>
    </row>
    <row r="181">
      <c r="A181" s="132" t="s">
        <v>3683</v>
      </c>
      <c r="B181" s="132">
        <v>1000.0</v>
      </c>
      <c r="C181" s="132">
        <v>0.0</v>
      </c>
      <c r="D181" s="132">
        <v>0.0</v>
      </c>
      <c r="E181" s="132">
        <v>0.0</v>
      </c>
      <c r="F181" s="132">
        <v>0.0</v>
      </c>
      <c r="G181" s="132">
        <v>1000.0</v>
      </c>
      <c r="H181" s="132">
        <v>0.0</v>
      </c>
      <c r="I181" s="132">
        <v>0.0</v>
      </c>
      <c r="J181" s="132">
        <v>0.0</v>
      </c>
      <c r="K181" s="132">
        <v>0.0</v>
      </c>
      <c r="L181" s="132">
        <v>0.0</v>
      </c>
      <c r="M181" s="132">
        <v>0.0</v>
      </c>
      <c r="N181" s="132">
        <v>0.0</v>
      </c>
      <c r="O181" s="132">
        <v>0.0</v>
      </c>
      <c r="P181" s="132">
        <v>0.0</v>
      </c>
      <c r="Q181" s="132">
        <v>0.0</v>
      </c>
      <c r="R181" s="132">
        <v>0.0</v>
      </c>
      <c r="S181" s="132">
        <v>0.0</v>
      </c>
      <c r="T181" s="132">
        <v>0.0</v>
      </c>
      <c r="U181" s="132">
        <v>0.0</v>
      </c>
      <c r="V181" s="132">
        <v>0.0</v>
      </c>
      <c r="W181" s="132">
        <v>0.0</v>
      </c>
      <c r="Y181" s="132" t="s">
        <v>3683</v>
      </c>
      <c r="Z181" s="132">
        <f t="shared" ref="Z181:AC181" si="358">C181-1000</f>
        <v>-1000</v>
      </c>
      <c r="AA181" s="132">
        <f t="shared" si="358"/>
        <v>-1000</v>
      </c>
      <c r="AB181" s="132">
        <f t="shared" si="358"/>
        <v>-1000</v>
      </c>
      <c r="AC181" s="132">
        <f t="shared" si="358"/>
        <v>-1000</v>
      </c>
      <c r="AD181" s="132">
        <f t="shared" si="4"/>
        <v>-9000</v>
      </c>
      <c r="AE181" s="132">
        <f t="shared" ref="AE181:AS181" si="359">H181-1000</f>
        <v>-1000</v>
      </c>
      <c r="AF181" s="132">
        <f t="shared" si="359"/>
        <v>-1000</v>
      </c>
      <c r="AG181" s="132">
        <f t="shared" si="359"/>
        <v>-1000</v>
      </c>
      <c r="AH181" s="132">
        <f t="shared" si="359"/>
        <v>-1000</v>
      </c>
      <c r="AI181" s="132">
        <f t="shared" si="359"/>
        <v>-1000</v>
      </c>
      <c r="AJ181" s="132">
        <f t="shared" si="359"/>
        <v>-1000</v>
      </c>
      <c r="AK181" s="132">
        <f t="shared" si="359"/>
        <v>-1000</v>
      </c>
      <c r="AL181" s="132">
        <f t="shared" si="359"/>
        <v>-1000</v>
      </c>
      <c r="AM181" s="132">
        <f t="shared" si="359"/>
        <v>-1000</v>
      </c>
      <c r="AN181" s="132">
        <f t="shared" si="359"/>
        <v>-1000</v>
      </c>
      <c r="AO181" s="132">
        <f t="shared" si="359"/>
        <v>-1000</v>
      </c>
      <c r="AP181" s="132">
        <f t="shared" si="359"/>
        <v>-1000</v>
      </c>
      <c r="AQ181" s="132">
        <f t="shared" si="359"/>
        <v>-1000</v>
      </c>
      <c r="AR181" s="132">
        <f t="shared" si="359"/>
        <v>-1000</v>
      </c>
      <c r="AS181" s="132">
        <f t="shared" si="359"/>
        <v>-1000</v>
      </c>
    </row>
    <row r="182">
      <c r="A182" s="132" t="s">
        <v>3684</v>
      </c>
      <c r="B182" s="132">
        <v>250.0</v>
      </c>
      <c r="C182" s="132">
        <v>0.0</v>
      </c>
      <c r="D182" s="132">
        <v>0.0</v>
      </c>
      <c r="E182" s="132">
        <v>0.0</v>
      </c>
      <c r="F182" s="132">
        <v>0.0</v>
      </c>
      <c r="G182" s="132">
        <v>250.0</v>
      </c>
      <c r="H182" s="132">
        <v>0.0</v>
      </c>
      <c r="I182" s="132">
        <v>0.0</v>
      </c>
      <c r="J182" s="132">
        <v>0.0</v>
      </c>
      <c r="K182" s="132">
        <v>0.0</v>
      </c>
      <c r="L182" s="132">
        <v>0.0</v>
      </c>
      <c r="M182" s="132">
        <v>0.0</v>
      </c>
      <c r="N182" s="132">
        <v>0.0</v>
      </c>
      <c r="O182" s="132">
        <v>0.0</v>
      </c>
      <c r="P182" s="132">
        <v>0.0</v>
      </c>
      <c r="Q182" s="132">
        <v>0.0</v>
      </c>
      <c r="R182" s="132">
        <v>0.0</v>
      </c>
      <c r="S182" s="132">
        <v>0.0</v>
      </c>
      <c r="T182" s="132">
        <v>0.0</v>
      </c>
      <c r="U182" s="132">
        <v>0.0</v>
      </c>
      <c r="V182" s="132">
        <v>0.0</v>
      </c>
      <c r="W182" s="132">
        <v>0.0</v>
      </c>
      <c r="Y182" s="132" t="s">
        <v>3684</v>
      </c>
      <c r="Z182" s="132">
        <f t="shared" ref="Z182:AC182" si="360">C182-1000</f>
        <v>-1000</v>
      </c>
      <c r="AA182" s="132">
        <f t="shared" si="360"/>
        <v>-1000</v>
      </c>
      <c r="AB182" s="132">
        <f t="shared" si="360"/>
        <v>-1000</v>
      </c>
      <c r="AC182" s="132">
        <f t="shared" si="360"/>
        <v>-1000</v>
      </c>
      <c r="AD182" s="132">
        <f t="shared" si="4"/>
        <v>-9750</v>
      </c>
      <c r="AE182" s="132">
        <f t="shared" ref="AE182:AS182" si="361">H182-1000</f>
        <v>-1000</v>
      </c>
      <c r="AF182" s="132">
        <f t="shared" si="361"/>
        <v>-1000</v>
      </c>
      <c r="AG182" s="132">
        <f t="shared" si="361"/>
        <v>-1000</v>
      </c>
      <c r="AH182" s="132">
        <f t="shared" si="361"/>
        <v>-1000</v>
      </c>
      <c r="AI182" s="132">
        <f t="shared" si="361"/>
        <v>-1000</v>
      </c>
      <c r="AJ182" s="132">
        <f t="shared" si="361"/>
        <v>-1000</v>
      </c>
      <c r="AK182" s="132">
        <f t="shared" si="361"/>
        <v>-1000</v>
      </c>
      <c r="AL182" s="132">
        <f t="shared" si="361"/>
        <v>-1000</v>
      </c>
      <c r="AM182" s="132">
        <f t="shared" si="361"/>
        <v>-1000</v>
      </c>
      <c r="AN182" s="132">
        <f t="shared" si="361"/>
        <v>-1000</v>
      </c>
      <c r="AO182" s="132">
        <f t="shared" si="361"/>
        <v>-1000</v>
      </c>
      <c r="AP182" s="132">
        <f t="shared" si="361"/>
        <v>-1000</v>
      </c>
      <c r="AQ182" s="132">
        <f t="shared" si="361"/>
        <v>-1000</v>
      </c>
      <c r="AR182" s="132">
        <f t="shared" si="361"/>
        <v>-1000</v>
      </c>
      <c r="AS182" s="132">
        <f t="shared" si="361"/>
        <v>-1000</v>
      </c>
    </row>
    <row r="183">
      <c r="A183" s="132" t="s">
        <v>3685</v>
      </c>
      <c r="B183" s="132">
        <v>2500.0</v>
      </c>
      <c r="C183" s="132">
        <v>0.0</v>
      </c>
      <c r="D183" s="132">
        <v>0.0</v>
      </c>
      <c r="E183" s="132">
        <v>500.0</v>
      </c>
      <c r="F183" s="132">
        <v>0.0</v>
      </c>
      <c r="G183" s="132">
        <v>2000.0</v>
      </c>
      <c r="H183" s="132">
        <v>0.0</v>
      </c>
      <c r="I183" s="132">
        <v>0.0</v>
      </c>
      <c r="J183" s="132">
        <v>0.0</v>
      </c>
      <c r="K183" s="132">
        <v>0.0</v>
      </c>
      <c r="L183" s="132">
        <v>0.0</v>
      </c>
      <c r="M183" s="132">
        <v>0.0</v>
      </c>
      <c r="N183" s="132">
        <v>0.0</v>
      </c>
      <c r="O183" s="132">
        <v>0.0</v>
      </c>
      <c r="P183" s="132">
        <v>0.0</v>
      </c>
      <c r="Q183" s="132">
        <v>0.0</v>
      </c>
      <c r="R183" s="132">
        <v>0.0</v>
      </c>
      <c r="S183" s="132">
        <v>0.0</v>
      </c>
      <c r="T183" s="132">
        <v>0.0</v>
      </c>
      <c r="U183" s="132">
        <v>0.0</v>
      </c>
      <c r="V183" s="132">
        <v>0.0</v>
      </c>
      <c r="W183" s="132">
        <v>0.0</v>
      </c>
      <c r="Y183" s="132" t="s">
        <v>3685</v>
      </c>
      <c r="Z183" s="132">
        <f t="shared" ref="Z183:AC183" si="362">C183-1000</f>
        <v>-1000</v>
      </c>
      <c r="AA183" s="132">
        <f t="shared" si="362"/>
        <v>-1000</v>
      </c>
      <c r="AB183" s="132">
        <f t="shared" si="362"/>
        <v>-500</v>
      </c>
      <c r="AC183" s="132">
        <f t="shared" si="362"/>
        <v>-1000</v>
      </c>
      <c r="AD183" s="132">
        <f t="shared" si="4"/>
        <v>-8000</v>
      </c>
      <c r="AE183" s="132">
        <f t="shared" ref="AE183:AS183" si="363">H183-1000</f>
        <v>-1000</v>
      </c>
      <c r="AF183" s="132">
        <f t="shared" si="363"/>
        <v>-1000</v>
      </c>
      <c r="AG183" s="132">
        <f t="shared" si="363"/>
        <v>-1000</v>
      </c>
      <c r="AH183" s="132">
        <f t="shared" si="363"/>
        <v>-1000</v>
      </c>
      <c r="AI183" s="132">
        <f t="shared" si="363"/>
        <v>-1000</v>
      </c>
      <c r="AJ183" s="132">
        <f t="shared" si="363"/>
        <v>-1000</v>
      </c>
      <c r="AK183" s="132">
        <f t="shared" si="363"/>
        <v>-1000</v>
      </c>
      <c r="AL183" s="132">
        <f t="shared" si="363"/>
        <v>-1000</v>
      </c>
      <c r="AM183" s="132">
        <f t="shared" si="363"/>
        <v>-1000</v>
      </c>
      <c r="AN183" s="132">
        <f t="shared" si="363"/>
        <v>-1000</v>
      </c>
      <c r="AO183" s="132">
        <f t="shared" si="363"/>
        <v>-1000</v>
      </c>
      <c r="AP183" s="132">
        <f t="shared" si="363"/>
        <v>-1000</v>
      </c>
      <c r="AQ183" s="132">
        <f t="shared" si="363"/>
        <v>-1000</v>
      </c>
      <c r="AR183" s="132">
        <f t="shared" si="363"/>
        <v>-1000</v>
      </c>
      <c r="AS183" s="132">
        <f t="shared" si="363"/>
        <v>-1000</v>
      </c>
    </row>
    <row r="184">
      <c r="A184" s="132" t="s">
        <v>3686</v>
      </c>
      <c r="B184" s="132">
        <v>100.0</v>
      </c>
      <c r="C184" s="132">
        <v>0.0</v>
      </c>
      <c r="D184" s="132">
        <v>0.0</v>
      </c>
      <c r="E184" s="132">
        <v>0.0</v>
      </c>
      <c r="F184" s="132">
        <v>0.0</v>
      </c>
      <c r="G184" s="132">
        <v>100.0</v>
      </c>
      <c r="H184" s="132">
        <v>0.0</v>
      </c>
      <c r="I184" s="132">
        <v>0.0</v>
      </c>
      <c r="J184" s="132">
        <v>0.0</v>
      </c>
      <c r="K184" s="132">
        <v>0.0</v>
      </c>
      <c r="L184" s="132">
        <v>0.0</v>
      </c>
      <c r="M184" s="132">
        <v>0.0</v>
      </c>
      <c r="N184" s="132">
        <v>0.0</v>
      </c>
      <c r="O184" s="132">
        <v>0.0</v>
      </c>
      <c r="P184" s="132">
        <v>0.0</v>
      </c>
      <c r="Q184" s="132">
        <v>0.0</v>
      </c>
      <c r="R184" s="132">
        <v>0.0</v>
      </c>
      <c r="S184" s="132">
        <v>0.0</v>
      </c>
      <c r="T184" s="132">
        <v>0.0</v>
      </c>
      <c r="U184" s="132">
        <v>0.0</v>
      </c>
      <c r="V184" s="132">
        <v>0.0</v>
      </c>
      <c r="W184" s="132">
        <v>0.0</v>
      </c>
      <c r="Y184" s="132" t="s">
        <v>3686</v>
      </c>
      <c r="Z184" s="132">
        <f t="shared" ref="Z184:AC184" si="364">C184-1000</f>
        <v>-1000</v>
      </c>
      <c r="AA184" s="132">
        <f t="shared" si="364"/>
        <v>-1000</v>
      </c>
      <c r="AB184" s="132">
        <f t="shared" si="364"/>
        <v>-1000</v>
      </c>
      <c r="AC184" s="132">
        <f t="shared" si="364"/>
        <v>-1000</v>
      </c>
      <c r="AD184" s="132">
        <f t="shared" si="4"/>
        <v>-9900</v>
      </c>
      <c r="AE184" s="132">
        <f t="shared" ref="AE184:AS184" si="365">H184-1000</f>
        <v>-1000</v>
      </c>
      <c r="AF184" s="132">
        <f t="shared" si="365"/>
        <v>-1000</v>
      </c>
      <c r="AG184" s="132">
        <f t="shared" si="365"/>
        <v>-1000</v>
      </c>
      <c r="AH184" s="132">
        <f t="shared" si="365"/>
        <v>-1000</v>
      </c>
      <c r="AI184" s="132">
        <f t="shared" si="365"/>
        <v>-1000</v>
      </c>
      <c r="AJ184" s="132">
        <f t="shared" si="365"/>
        <v>-1000</v>
      </c>
      <c r="AK184" s="132">
        <f t="shared" si="365"/>
        <v>-1000</v>
      </c>
      <c r="AL184" s="132">
        <f t="shared" si="365"/>
        <v>-1000</v>
      </c>
      <c r="AM184" s="132">
        <f t="shared" si="365"/>
        <v>-1000</v>
      </c>
      <c r="AN184" s="132">
        <f t="shared" si="365"/>
        <v>-1000</v>
      </c>
      <c r="AO184" s="132">
        <f t="shared" si="365"/>
        <v>-1000</v>
      </c>
      <c r="AP184" s="132">
        <f t="shared" si="365"/>
        <v>-1000</v>
      </c>
      <c r="AQ184" s="132">
        <f t="shared" si="365"/>
        <v>-1000</v>
      </c>
      <c r="AR184" s="132">
        <f t="shared" si="365"/>
        <v>-1000</v>
      </c>
      <c r="AS184" s="132">
        <f t="shared" si="365"/>
        <v>-1000</v>
      </c>
    </row>
    <row r="185">
      <c r="A185" s="132" t="s">
        <v>3687</v>
      </c>
      <c r="B185" s="132">
        <v>7000.0</v>
      </c>
      <c r="C185" s="132">
        <v>0.0</v>
      </c>
      <c r="D185" s="132">
        <v>0.0</v>
      </c>
      <c r="E185" s="132">
        <v>1000.0</v>
      </c>
      <c r="F185" s="132">
        <v>0.0</v>
      </c>
      <c r="G185" s="132">
        <v>5000.0</v>
      </c>
      <c r="H185" s="132">
        <v>0.0</v>
      </c>
      <c r="I185" s="132">
        <v>0.0</v>
      </c>
      <c r="J185" s="132">
        <v>0.0</v>
      </c>
      <c r="K185" s="132">
        <v>1000.0</v>
      </c>
      <c r="L185" s="132">
        <v>0.0</v>
      </c>
      <c r="M185" s="132">
        <v>0.0</v>
      </c>
      <c r="N185" s="132">
        <v>0.0</v>
      </c>
      <c r="O185" s="132">
        <v>0.0</v>
      </c>
      <c r="P185" s="132">
        <v>0.0</v>
      </c>
      <c r="Q185" s="132">
        <v>0.0</v>
      </c>
      <c r="R185" s="132">
        <v>0.0</v>
      </c>
      <c r="S185" s="132">
        <v>0.0</v>
      </c>
      <c r="T185" s="132">
        <v>0.0</v>
      </c>
      <c r="U185" s="132">
        <v>0.0</v>
      </c>
      <c r="V185" s="132">
        <v>0.0</v>
      </c>
      <c r="W185" s="132">
        <v>1.0</v>
      </c>
      <c r="Y185" s="132" t="s">
        <v>3687</v>
      </c>
      <c r="Z185" s="132">
        <f t="shared" ref="Z185:AC185" si="366">C185-1000</f>
        <v>-1000</v>
      </c>
      <c r="AA185" s="132">
        <f t="shared" si="366"/>
        <v>-1000</v>
      </c>
      <c r="AB185" s="132">
        <f t="shared" si="366"/>
        <v>0</v>
      </c>
      <c r="AC185" s="132">
        <f t="shared" si="366"/>
        <v>-1000</v>
      </c>
      <c r="AD185" s="132">
        <f t="shared" si="4"/>
        <v>-5000</v>
      </c>
      <c r="AE185" s="132">
        <f t="shared" ref="AE185:AS185" si="367">H185-1000</f>
        <v>-1000</v>
      </c>
      <c r="AF185" s="132">
        <f t="shared" si="367"/>
        <v>-1000</v>
      </c>
      <c r="AG185" s="132">
        <f t="shared" si="367"/>
        <v>-1000</v>
      </c>
      <c r="AH185" s="132">
        <f t="shared" si="367"/>
        <v>0</v>
      </c>
      <c r="AI185" s="132">
        <f t="shared" si="367"/>
        <v>-1000</v>
      </c>
      <c r="AJ185" s="132">
        <f t="shared" si="367"/>
        <v>-1000</v>
      </c>
      <c r="AK185" s="132">
        <f t="shared" si="367"/>
        <v>-1000</v>
      </c>
      <c r="AL185" s="132">
        <f t="shared" si="367"/>
        <v>-1000</v>
      </c>
      <c r="AM185" s="132">
        <f t="shared" si="367"/>
        <v>-1000</v>
      </c>
      <c r="AN185" s="132">
        <f t="shared" si="367"/>
        <v>-1000</v>
      </c>
      <c r="AO185" s="132">
        <f t="shared" si="367"/>
        <v>-1000</v>
      </c>
      <c r="AP185" s="132">
        <f t="shared" si="367"/>
        <v>-1000</v>
      </c>
      <c r="AQ185" s="132">
        <f t="shared" si="367"/>
        <v>-1000</v>
      </c>
      <c r="AR185" s="132">
        <f t="shared" si="367"/>
        <v>-1000</v>
      </c>
      <c r="AS185" s="132">
        <f t="shared" si="367"/>
        <v>-1000</v>
      </c>
    </row>
    <row r="186">
      <c r="A186" s="132" t="s">
        <v>3688</v>
      </c>
      <c r="B186" s="132">
        <v>750.0</v>
      </c>
      <c r="C186" s="132">
        <v>0.0</v>
      </c>
      <c r="D186" s="132">
        <v>0.0</v>
      </c>
      <c r="E186" s="132">
        <v>500.0</v>
      </c>
      <c r="F186" s="132">
        <v>0.0</v>
      </c>
      <c r="G186" s="132">
        <v>250.0</v>
      </c>
      <c r="H186" s="132">
        <v>0.0</v>
      </c>
      <c r="I186" s="132">
        <v>0.0</v>
      </c>
      <c r="J186" s="132">
        <v>0.0</v>
      </c>
      <c r="K186" s="132">
        <v>0.0</v>
      </c>
      <c r="L186" s="132">
        <v>0.0</v>
      </c>
      <c r="M186" s="132">
        <v>0.0</v>
      </c>
      <c r="N186" s="132">
        <v>0.0</v>
      </c>
      <c r="O186" s="132">
        <v>0.0</v>
      </c>
      <c r="P186" s="132">
        <v>0.0</v>
      </c>
      <c r="Q186" s="132">
        <v>0.0</v>
      </c>
      <c r="R186" s="132">
        <v>0.0</v>
      </c>
      <c r="S186" s="132">
        <v>0.0</v>
      </c>
      <c r="T186" s="132">
        <v>0.0</v>
      </c>
      <c r="U186" s="132">
        <v>0.0</v>
      </c>
      <c r="V186" s="132">
        <v>0.0</v>
      </c>
      <c r="W186" s="132">
        <v>0.0</v>
      </c>
      <c r="Y186" s="132" t="s">
        <v>3688</v>
      </c>
      <c r="Z186" s="132">
        <f t="shared" ref="Z186:AC186" si="368">C186-1000</f>
        <v>-1000</v>
      </c>
      <c r="AA186" s="132">
        <f t="shared" si="368"/>
        <v>-1000</v>
      </c>
      <c r="AB186" s="132">
        <f t="shared" si="368"/>
        <v>-500</v>
      </c>
      <c r="AC186" s="132">
        <f t="shared" si="368"/>
        <v>-1000</v>
      </c>
      <c r="AD186" s="132">
        <f t="shared" si="4"/>
        <v>-9750</v>
      </c>
      <c r="AE186" s="132">
        <f t="shared" ref="AE186:AS186" si="369">H186-1000</f>
        <v>-1000</v>
      </c>
      <c r="AF186" s="132">
        <f t="shared" si="369"/>
        <v>-1000</v>
      </c>
      <c r="AG186" s="132">
        <f t="shared" si="369"/>
        <v>-1000</v>
      </c>
      <c r="AH186" s="132">
        <f t="shared" si="369"/>
        <v>-1000</v>
      </c>
      <c r="AI186" s="132">
        <f t="shared" si="369"/>
        <v>-1000</v>
      </c>
      <c r="AJ186" s="132">
        <f t="shared" si="369"/>
        <v>-1000</v>
      </c>
      <c r="AK186" s="132">
        <f t="shared" si="369"/>
        <v>-1000</v>
      </c>
      <c r="AL186" s="132">
        <f t="shared" si="369"/>
        <v>-1000</v>
      </c>
      <c r="AM186" s="132">
        <f t="shared" si="369"/>
        <v>-1000</v>
      </c>
      <c r="AN186" s="132">
        <f t="shared" si="369"/>
        <v>-1000</v>
      </c>
      <c r="AO186" s="132">
        <f t="shared" si="369"/>
        <v>-1000</v>
      </c>
      <c r="AP186" s="132">
        <f t="shared" si="369"/>
        <v>-1000</v>
      </c>
      <c r="AQ186" s="132">
        <f t="shared" si="369"/>
        <v>-1000</v>
      </c>
      <c r="AR186" s="132">
        <f t="shared" si="369"/>
        <v>-1000</v>
      </c>
      <c r="AS186" s="132">
        <f t="shared" si="369"/>
        <v>-1000</v>
      </c>
    </row>
    <row r="187">
      <c r="A187" s="132" t="s">
        <v>3689</v>
      </c>
      <c r="B187" s="132">
        <v>1000.0</v>
      </c>
      <c r="C187" s="132">
        <v>0.0</v>
      </c>
      <c r="D187" s="132">
        <v>0.0</v>
      </c>
      <c r="E187" s="132">
        <v>0.0</v>
      </c>
      <c r="F187" s="132">
        <v>0.0</v>
      </c>
      <c r="G187" s="132">
        <v>1000.0</v>
      </c>
      <c r="H187" s="132">
        <v>0.0</v>
      </c>
      <c r="I187" s="132">
        <v>0.0</v>
      </c>
      <c r="J187" s="132">
        <v>0.0</v>
      </c>
      <c r="K187" s="132">
        <v>0.0</v>
      </c>
      <c r="L187" s="132">
        <v>0.0</v>
      </c>
      <c r="M187" s="132">
        <v>0.0</v>
      </c>
      <c r="N187" s="132">
        <v>0.0</v>
      </c>
      <c r="O187" s="132">
        <v>0.0</v>
      </c>
      <c r="P187" s="132">
        <v>0.0</v>
      </c>
      <c r="Q187" s="132">
        <v>0.0</v>
      </c>
      <c r="R187" s="132">
        <v>0.0</v>
      </c>
      <c r="S187" s="132">
        <v>0.0</v>
      </c>
      <c r="T187" s="132">
        <v>0.0</v>
      </c>
      <c r="U187" s="132">
        <v>0.0</v>
      </c>
      <c r="V187" s="132">
        <v>0.0</v>
      </c>
      <c r="W187" s="132">
        <v>0.0</v>
      </c>
      <c r="Y187" s="132" t="s">
        <v>3689</v>
      </c>
      <c r="Z187" s="132">
        <f t="shared" ref="Z187:AC187" si="370">C187-1000</f>
        <v>-1000</v>
      </c>
      <c r="AA187" s="132">
        <f t="shared" si="370"/>
        <v>-1000</v>
      </c>
      <c r="AB187" s="132">
        <f t="shared" si="370"/>
        <v>-1000</v>
      </c>
      <c r="AC187" s="132">
        <f t="shared" si="370"/>
        <v>-1000</v>
      </c>
      <c r="AD187" s="132">
        <f t="shared" si="4"/>
        <v>-9000</v>
      </c>
      <c r="AE187" s="132">
        <f t="shared" ref="AE187:AS187" si="371">H187-1000</f>
        <v>-1000</v>
      </c>
      <c r="AF187" s="132">
        <f t="shared" si="371"/>
        <v>-1000</v>
      </c>
      <c r="AG187" s="132">
        <f t="shared" si="371"/>
        <v>-1000</v>
      </c>
      <c r="AH187" s="132">
        <f t="shared" si="371"/>
        <v>-1000</v>
      </c>
      <c r="AI187" s="132">
        <f t="shared" si="371"/>
        <v>-1000</v>
      </c>
      <c r="AJ187" s="132">
        <f t="shared" si="371"/>
        <v>-1000</v>
      </c>
      <c r="AK187" s="132">
        <f t="shared" si="371"/>
        <v>-1000</v>
      </c>
      <c r="AL187" s="132">
        <f t="shared" si="371"/>
        <v>-1000</v>
      </c>
      <c r="AM187" s="132">
        <f t="shared" si="371"/>
        <v>-1000</v>
      </c>
      <c r="AN187" s="132">
        <f t="shared" si="371"/>
        <v>-1000</v>
      </c>
      <c r="AO187" s="132">
        <f t="shared" si="371"/>
        <v>-1000</v>
      </c>
      <c r="AP187" s="132">
        <f t="shared" si="371"/>
        <v>-1000</v>
      </c>
      <c r="AQ187" s="132">
        <f t="shared" si="371"/>
        <v>-1000</v>
      </c>
      <c r="AR187" s="132">
        <f t="shared" si="371"/>
        <v>-1000</v>
      </c>
      <c r="AS187" s="132">
        <f t="shared" si="371"/>
        <v>-1000</v>
      </c>
    </row>
    <row r="188">
      <c r="A188" s="132" t="s">
        <v>3690</v>
      </c>
      <c r="B188" s="132">
        <v>250.0</v>
      </c>
      <c r="C188" s="132">
        <v>0.0</v>
      </c>
      <c r="D188" s="132">
        <v>0.0</v>
      </c>
      <c r="E188" s="132">
        <v>0.0</v>
      </c>
      <c r="F188" s="132">
        <v>0.0</v>
      </c>
      <c r="G188" s="132">
        <v>250.0</v>
      </c>
      <c r="H188" s="132">
        <v>0.0</v>
      </c>
      <c r="I188" s="132">
        <v>0.0</v>
      </c>
      <c r="J188" s="132">
        <v>0.0</v>
      </c>
      <c r="K188" s="132">
        <v>0.0</v>
      </c>
      <c r="L188" s="132">
        <v>0.0</v>
      </c>
      <c r="M188" s="132">
        <v>0.0</v>
      </c>
      <c r="N188" s="132">
        <v>0.0</v>
      </c>
      <c r="O188" s="132">
        <v>0.0</v>
      </c>
      <c r="P188" s="132">
        <v>0.0</v>
      </c>
      <c r="Q188" s="132">
        <v>0.0</v>
      </c>
      <c r="R188" s="132">
        <v>0.0</v>
      </c>
      <c r="S188" s="132">
        <v>0.0</v>
      </c>
      <c r="T188" s="132">
        <v>0.0</v>
      </c>
      <c r="U188" s="132">
        <v>0.0</v>
      </c>
      <c r="V188" s="132">
        <v>0.0</v>
      </c>
      <c r="W188" s="132">
        <v>0.0</v>
      </c>
      <c r="Y188" s="132" t="s">
        <v>3690</v>
      </c>
      <c r="Z188" s="132">
        <f t="shared" ref="Z188:AC188" si="372">C188-1000</f>
        <v>-1000</v>
      </c>
      <c r="AA188" s="132">
        <f t="shared" si="372"/>
        <v>-1000</v>
      </c>
      <c r="AB188" s="132">
        <f t="shared" si="372"/>
        <v>-1000</v>
      </c>
      <c r="AC188" s="132">
        <f t="shared" si="372"/>
        <v>-1000</v>
      </c>
      <c r="AD188" s="132">
        <f t="shared" si="4"/>
        <v>-9750</v>
      </c>
      <c r="AE188" s="132">
        <f t="shared" ref="AE188:AS188" si="373">H188-1000</f>
        <v>-1000</v>
      </c>
      <c r="AF188" s="132">
        <f t="shared" si="373"/>
        <v>-1000</v>
      </c>
      <c r="AG188" s="132">
        <f t="shared" si="373"/>
        <v>-1000</v>
      </c>
      <c r="AH188" s="132">
        <f t="shared" si="373"/>
        <v>-1000</v>
      </c>
      <c r="AI188" s="132">
        <f t="shared" si="373"/>
        <v>-1000</v>
      </c>
      <c r="AJ188" s="132">
        <f t="shared" si="373"/>
        <v>-1000</v>
      </c>
      <c r="AK188" s="132">
        <f t="shared" si="373"/>
        <v>-1000</v>
      </c>
      <c r="AL188" s="132">
        <f t="shared" si="373"/>
        <v>-1000</v>
      </c>
      <c r="AM188" s="132">
        <f t="shared" si="373"/>
        <v>-1000</v>
      </c>
      <c r="AN188" s="132">
        <f t="shared" si="373"/>
        <v>-1000</v>
      </c>
      <c r="AO188" s="132">
        <f t="shared" si="373"/>
        <v>-1000</v>
      </c>
      <c r="AP188" s="132">
        <f t="shared" si="373"/>
        <v>-1000</v>
      </c>
      <c r="AQ188" s="132">
        <f t="shared" si="373"/>
        <v>-1000</v>
      </c>
      <c r="AR188" s="132">
        <f t="shared" si="373"/>
        <v>-1000</v>
      </c>
      <c r="AS188" s="132">
        <f t="shared" si="373"/>
        <v>-1000</v>
      </c>
    </row>
    <row r="189">
      <c r="A189" s="132" t="s">
        <v>3691</v>
      </c>
      <c r="B189" s="132">
        <v>10000.0</v>
      </c>
      <c r="C189" s="132">
        <v>0.0</v>
      </c>
      <c r="D189" s="132">
        <v>0.0</v>
      </c>
      <c r="E189" s="132">
        <v>0.0</v>
      </c>
      <c r="F189" s="132">
        <v>0.0</v>
      </c>
      <c r="G189" s="132">
        <v>10000.0</v>
      </c>
      <c r="H189" s="132">
        <v>0.0</v>
      </c>
      <c r="I189" s="132">
        <v>0.0</v>
      </c>
      <c r="J189" s="132">
        <v>0.0</v>
      </c>
      <c r="K189" s="132">
        <v>0.0</v>
      </c>
      <c r="L189" s="132">
        <v>0.0</v>
      </c>
      <c r="M189" s="132">
        <v>0.0</v>
      </c>
      <c r="N189" s="132">
        <v>0.0</v>
      </c>
      <c r="O189" s="132">
        <v>0.0</v>
      </c>
      <c r="P189" s="132">
        <v>0.0</v>
      </c>
      <c r="Q189" s="132">
        <v>0.0</v>
      </c>
      <c r="R189" s="132">
        <v>0.0</v>
      </c>
      <c r="S189" s="132">
        <v>0.0</v>
      </c>
      <c r="T189" s="132">
        <v>0.0</v>
      </c>
      <c r="U189" s="132">
        <v>0.0</v>
      </c>
      <c r="V189" s="132">
        <v>0.0</v>
      </c>
      <c r="W189" s="132">
        <v>0.0</v>
      </c>
      <c r="Y189" s="132" t="s">
        <v>3691</v>
      </c>
      <c r="Z189" s="132">
        <f t="shared" ref="Z189:AC189" si="374">C189-1000</f>
        <v>-1000</v>
      </c>
      <c r="AA189" s="132">
        <f t="shared" si="374"/>
        <v>-1000</v>
      </c>
      <c r="AB189" s="132">
        <f t="shared" si="374"/>
        <v>-1000</v>
      </c>
      <c r="AC189" s="132">
        <f t="shared" si="374"/>
        <v>-1000</v>
      </c>
      <c r="AD189" s="132">
        <f t="shared" si="4"/>
        <v>0</v>
      </c>
      <c r="AE189" s="132">
        <f t="shared" ref="AE189:AS189" si="375">H189-1000</f>
        <v>-1000</v>
      </c>
      <c r="AF189" s="132">
        <f t="shared" si="375"/>
        <v>-1000</v>
      </c>
      <c r="AG189" s="132">
        <f t="shared" si="375"/>
        <v>-1000</v>
      </c>
      <c r="AH189" s="132">
        <f t="shared" si="375"/>
        <v>-1000</v>
      </c>
      <c r="AI189" s="132">
        <f t="shared" si="375"/>
        <v>-1000</v>
      </c>
      <c r="AJ189" s="132">
        <f t="shared" si="375"/>
        <v>-1000</v>
      </c>
      <c r="AK189" s="132">
        <f t="shared" si="375"/>
        <v>-1000</v>
      </c>
      <c r="AL189" s="132">
        <f t="shared" si="375"/>
        <v>-1000</v>
      </c>
      <c r="AM189" s="132">
        <f t="shared" si="375"/>
        <v>-1000</v>
      </c>
      <c r="AN189" s="132">
        <f t="shared" si="375"/>
        <v>-1000</v>
      </c>
      <c r="AO189" s="132">
        <f t="shared" si="375"/>
        <v>-1000</v>
      </c>
      <c r="AP189" s="132">
        <f t="shared" si="375"/>
        <v>-1000</v>
      </c>
      <c r="AQ189" s="132">
        <f t="shared" si="375"/>
        <v>-1000</v>
      </c>
      <c r="AR189" s="132">
        <f t="shared" si="375"/>
        <v>-1000</v>
      </c>
      <c r="AS189" s="132">
        <f t="shared" si="375"/>
        <v>-1000</v>
      </c>
    </row>
    <row r="190">
      <c r="A190" s="132" t="s">
        <v>3692</v>
      </c>
      <c r="B190" s="132">
        <v>7250.0</v>
      </c>
      <c r="C190" s="132">
        <v>0.0</v>
      </c>
      <c r="D190" s="132">
        <v>250.0</v>
      </c>
      <c r="E190" s="132">
        <v>250.0</v>
      </c>
      <c r="F190" s="132">
        <v>250.0</v>
      </c>
      <c r="G190" s="132">
        <v>6000.0</v>
      </c>
      <c r="H190" s="132">
        <v>0.0</v>
      </c>
      <c r="I190" s="132">
        <v>0.0</v>
      </c>
      <c r="J190" s="132">
        <v>0.0</v>
      </c>
      <c r="K190" s="132">
        <v>250.0</v>
      </c>
      <c r="L190" s="132">
        <v>250.0</v>
      </c>
      <c r="M190" s="132">
        <v>0.0</v>
      </c>
      <c r="N190" s="132">
        <v>0.0</v>
      </c>
      <c r="O190" s="132">
        <v>0.0</v>
      </c>
      <c r="P190" s="132">
        <v>0.0</v>
      </c>
      <c r="Q190" s="132">
        <v>0.0</v>
      </c>
      <c r="R190" s="132">
        <v>0.0</v>
      </c>
      <c r="S190" s="132">
        <v>0.0</v>
      </c>
      <c r="T190" s="132">
        <v>0.0</v>
      </c>
      <c r="U190" s="132">
        <v>0.0</v>
      </c>
      <c r="V190" s="132">
        <v>0.0</v>
      </c>
      <c r="W190" s="132">
        <v>1.0</v>
      </c>
      <c r="Y190" s="132" t="s">
        <v>3692</v>
      </c>
      <c r="Z190" s="132">
        <f t="shared" ref="Z190:AC190" si="376">C190-1000</f>
        <v>-1000</v>
      </c>
      <c r="AA190" s="132">
        <f t="shared" si="376"/>
        <v>-750</v>
      </c>
      <c r="AB190" s="132">
        <f t="shared" si="376"/>
        <v>-750</v>
      </c>
      <c r="AC190" s="132">
        <f t="shared" si="376"/>
        <v>-750</v>
      </c>
      <c r="AD190" s="132">
        <f t="shared" si="4"/>
        <v>-4000</v>
      </c>
      <c r="AE190" s="132">
        <f t="shared" ref="AE190:AS190" si="377">H190-1000</f>
        <v>-1000</v>
      </c>
      <c r="AF190" s="132">
        <f t="shared" si="377"/>
        <v>-1000</v>
      </c>
      <c r="AG190" s="132">
        <f t="shared" si="377"/>
        <v>-1000</v>
      </c>
      <c r="AH190" s="132">
        <f t="shared" si="377"/>
        <v>-750</v>
      </c>
      <c r="AI190" s="132">
        <f t="shared" si="377"/>
        <v>-750</v>
      </c>
      <c r="AJ190" s="132">
        <f t="shared" si="377"/>
        <v>-1000</v>
      </c>
      <c r="AK190" s="132">
        <f t="shared" si="377"/>
        <v>-1000</v>
      </c>
      <c r="AL190" s="132">
        <f t="shared" si="377"/>
        <v>-1000</v>
      </c>
      <c r="AM190" s="132">
        <f t="shared" si="377"/>
        <v>-1000</v>
      </c>
      <c r="AN190" s="132">
        <f t="shared" si="377"/>
        <v>-1000</v>
      </c>
      <c r="AO190" s="132">
        <f t="shared" si="377"/>
        <v>-1000</v>
      </c>
      <c r="AP190" s="132">
        <f t="shared" si="377"/>
        <v>-1000</v>
      </c>
      <c r="AQ190" s="132">
        <f t="shared" si="377"/>
        <v>-1000</v>
      </c>
      <c r="AR190" s="132">
        <f t="shared" si="377"/>
        <v>-1000</v>
      </c>
      <c r="AS190" s="132">
        <f t="shared" si="377"/>
        <v>-1000</v>
      </c>
    </row>
    <row r="191">
      <c r="A191" s="132" t="s">
        <v>3693</v>
      </c>
      <c r="B191" s="132">
        <v>30000.0</v>
      </c>
      <c r="C191" s="132">
        <v>0.0</v>
      </c>
      <c r="D191" s="132">
        <v>0.0</v>
      </c>
      <c r="E191" s="132">
        <v>0.0</v>
      </c>
      <c r="F191" s="132">
        <v>0.0</v>
      </c>
      <c r="G191" s="132">
        <v>30000.0</v>
      </c>
      <c r="H191" s="132">
        <v>0.0</v>
      </c>
      <c r="I191" s="132">
        <v>0.0</v>
      </c>
      <c r="J191" s="132">
        <v>0.0</v>
      </c>
      <c r="K191" s="132">
        <v>0.0</v>
      </c>
      <c r="L191" s="132">
        <v>0.0</v>
      </c>
      <c r="M191" s="132">
        <v>0.0</v>
      </c>
      <c r="N191" s="132">
        <v>0.0</v>
      </c>
      <c r="O191" s="132">
        <v>0.0</v>
      </c>
      <c r="P191" s="132">
        <v>0.0</v>
      </c>
      <c r="Q191" s="132">
        <v>0.0</v>
      </c>
      <c r="R191" s="132">
        <v>0.0</v>
      </c>
      <c r="S191" s="132">
        <v>0.0</v>
      </c>
      <c r="T191" s="132">
        <v>0.0</v>
      </c>
      <c r="U191" s="132">
        <v>0.0</v>
      </c>
      <c r="V191" s="132">
        <v>0.0</v>
      </c>
      <c r="W191" s="132">
        <v>1.0</v>
      </c>
      <c r="Y191" s="132" t="s">
        <v>3693</v>
      </c>
      <c r="Z191" s="132">
        <f t="shared" ref="Z191:AC191" si="378">C191-1000</f>
        <v>-1000</v>
      </c>
      <c r="AA191" s="132">
        <f t="shared" si="378"/>
        <v>-1000</v>
      </c>
      <c r="AB191" s="132">
        <f t="shared" si="378"/>
        <v>-1000</v>
      </c>
      <c r="AC191" s="132">
        <f t="shared" si="378"/>
        <v>-1000</v>
      </c>
      <c r="AD191" s="132">
        <f t="shared" si="4"/>
        <v>20000</v>
      </c>
      <c r="AE191" s="132">
        <f t="shared" ref="AE191:AS191" si="379">H191-1000</f>
        <v>-1000</v>
      </c>
      <c r="AF191" s="132">
        <f t="shared" si="379"/>
        <v>-1000</v>
      </c>
      <c r="AG191" s="132">
        <f t="shared" si="379"/>
        <v>-1000</v>
      </c>
      <c r="AH191" s="132">
        <f t="shared" si="379"/>
        <v>-1000</v>
      </c>
      <c r="AI191" s="132">
        <f t="shared" si="379"/>
        <v>-1000</v>
      </c>
      <c r="AJ191" s="132">
        <f t="shared" si="379"/>
        <v>-1000</v>
      </c>
      <c r="AK191" s="132">
        <f t="shared" si="379"/>
        <v>-1000</v>
      </c>
      <c r="AL191" s="132">
        <f t="shared" si="379"/>
        <v>-1000</v>
      </c>
      <c r="AM191" s="132">
        <f t="shared" si="379"/>
        <v>-1000</v>
      </c>
      <c r="AN191" s="132">
        <f t="shared" si="379"/>
        <v>-1000</v>
      </c>
      <c r="AO191" s="132">
        <f t="shared" si="379"/>
        <v>-1000</v>
      </c>
      <c r="AP191" s="132">
        <f t="shared" si="379"/>
        <v>-1000</v>
      </c>
      <c r="AQ191" s="132">
        <f t="shared" si="379"/>
        <v>-1000</v>
      </c>
      <c r="AR191" s="132">
        <f t="shared" si="379"/>
        <v>-1000</v>
      </c>
      <c r="AS191" s="132">
        <f t="shared" si="379"/>
        <v>-1000</v>
      </c>
    </row>
    <row r="192">
      <c r="A192" s="132" t="s">
        <v>3694</v>
      </c>
      <c r="B192" s="132">
        <v>5000.0</v>
      </c>
      <c r="C192" s="132">
        <v>0.0</v>
      </c>
      <c r="D192" s="132">
        <v>0.0</v>
      </c>
      <c r="E192" s="132">
        <v>0.0</v>
      </c>
      <c r="F192" s="132">
        <v>0.0</v>
      </c>
      <c r="G192" s="132">
        <v>5000.0</v>
      </c>
      <c r="H192" s="132">
        <v>0.0</v>
      </c>
      <c r="I192" s="132">
        <v>0.0</v>
      </c>
      <c r="J192" s="132">
        <v>0.0</v>
      </c>
      <c r="K192" s="132">
        <v>0.0</v>
      </c>
      <c r="L192" s="132">
        <v>0.0</v>
      </c>
      <c r="M192" s="132">
        <v>0.0</v>
      </c>
      <c r="N192" s="132">
        <v>0.0</v>
      </c>
      <c r="O192" s="132">
        <v>0.0</v>
      </c>
      <c r="P192" s="132">
        <v>0.0</v>
      </c>
      <c r="Q192" s="132">
        <v>0.0</v>
      </c>
      <c r="R192" s="132">
        <v>0.0</v>
      </c>
      <c r="S192" s="132">
        <v>0.0</v>
      </c>
      <c r="T192" s="132">
        <v>0.0</v>
      </c>
      <c r="U192" s="132">
        <v>0.0</v>
      </c>
      <c r="V192" s="132">
        <v>0.0</v>
      </c>
      <c r="W192" s="132">
        <v>0.0</v>
      </c>
      <c r="Y192" s="132" t="s">
        <v>3694</v>
      </c>
      <c r="Z192" s="132">
        <f t="shared" ref="Z192:AC192" si="380">C192-1000</f>
        <v>-1000</v>
      </c>
      <c r="AA192" s="132">
        <f t="shared" si="380"/>
        <v>-1000</v>
      </c>
      <c r="AB192" s="132">
        <f t="shared" si="380"/>
        <v>-1000</v>
      </c>
      <c r="AC192" s="132">
        <f t="shared" si="380"/>
        <v>-1000</v>
      </c>
      <c r="AD192" s="132">
        <f t="shared" si="4"/>
        <v>-5000</v>
      </c>
      <c r="AE192" s="132">
        <f t="shared" ref="AE192:AS192" si="381">H192-1000</f>
        <v>-1000</v>
      </c>
      <c r="AF192" s="132">
        <f t="shared" si="381"/>
        <v>-1000</v>
      </c>
      <c r="AG192" s="132">
        <f t="shared" si="381"/>
        <v>-1000</v>
      </c>
      <c r="AH192" s="132">
        <f t="shared" si="381"/>
        <v>-1000</v>
      </c>
      <c r="AI192" s="132">
        <f t="shared" si="381"/>
        <v>-1000</v>
      </c>
      <c r="AJ192" s="132">
        <f t="shared" si="381"/>
        <v>-1000</v>
      </c>
      <c r="AK192" s="132">
        <f t="shared" si="381"/>
        <v>-1000</v>
      </c>
      <c r="AL192" s="132">
        <f t="shared" si="381"/>
        <v>-1000</v>
      </c>
      <c r="AM192" s="132">
        <f t="shared" si="381"/>
        <v>-1000</v>
      </c>
      <c r="AN192" s="132">
        <f t="shared" si="381"/>
        <v>-1000</v>
      </c>
      <c r="AO192" s="132">
        <f t="shared" si="381"/>
        <v>-1000</v>
      </c>
      <c r="AP192" s="132">
        <f t="shared" si="381"/>
        <v>-1000</v>
      </c>
      <c r="AQ192" s="132">
        <f t="shared" si="381"/>
        <v>-1000</v>
      </c>
      <c r="AR192" s="132">
        <f t="shared" si="381"/>
        <v>-1000</v>
      </c>
      <c r="AS192" s="132">
        <f t="shared" si="381"/>
        <v>-1000</v>
      </c>
    </row>
    <row r="193">
      <c r="A193" s="132" t="s">
        <v>3695</v>
      </c>
      <c r="B193" s="132">
        <v>25.0</v>
      </c>
      <c r="C193" s="132">
        <v>0.0</v>
      </c>
      <c r="D193" s="132">
        <v>0.0</v>
      </c>
      <c r="E193" s="132">
        <v>0.0</v>
      </c>
      <c r="F193" s="132">
        <v>0.0</v>
      </c>
      <c r="G193" s="132">
        <v>25.0</v>
      </c>
      <c r="H193" s="132">
        <v>0.0</v>
      </c>
      <c r="I193" s="132">
        <v>0.0</v>
      </c>
      <c r="J193" s="132">
        <v>0.0</v>
      </c>
      <c r="K193" s="132">
        <v>0.0</v>
      </c>
      <c r="L193" s="132">
        <v>0.0</v>
      </c>
      <c r="M193" s="132">
        <v>0.0</v>
      </c>
      <c r="N193" s="132">
        <v>0.0</v>
      </c>
      <c r="O193" s="132">
        <v>0.0</v>
      </c>
      <c r="P193" s="132">
        <v>0.0</v>
      </c>
      <c r="Q193" s="132">
        <v>0.0</v>
      </c>
      <c r="R193" s="132">
        <v>0.0</v>
      </c>
      <c r="S193" s="132">
        <v>0.0</v>
      </c>
      <c r="T193" s="132">
        <v>0.0</v>
      </c>
      <c r="U193" s="132">
        <v>0.0</v>
      </c>
      <c r="V193" s="132">
        <v>0.0</v>
      </c>
      <c r="W193" s="132">
        <v>0.0</v>
      </c>
      <c r="Y193" s="132" t="s">
        <v>3695</v>
      </c>
      <c r="Z193" s="132">
        <f t="shared" ref="Z193:AC193" si="382">C193-1000</f>
        <v>-1000</v>
      </c>
      <c r="AA193" s="132">
        <f t="shared" si="382"/>
        <v>-1000</v>
      </c>
      <c r="AB193" s="132">
        <f t="shared" si="382"/>
        <v>-1000</v>
      </c>
      <c r="AC193" s="132">
        <f t="shared" si="382"/>
        <v>-1000</v>
      </c>
      <c r="AD193" s="132">
        <f t="shared" si="4"/>
        <v>-9975</v>
      </c>
      <c r="AE193" s="132">
        <f t="shared" ref="AE193:AS193" si="383">H193-1000</f>
        <v>-1000</v>
      </c>
      <c r="AF193" s="132">
        <f t="shared" si="383"/>
        <v>-1000</v>
      </c>
      <c r="AG193" s="132">
        <f t="shared" si="383"/>
        <v>-1000</v>
      </c>
      <c r="AH193" s="132">
        <f t="shared" si="383"/>
        <v>-1000</v>
      </c>
      <c r="AI193" s="132">
        <f t="shared" si="383"/>
        <v>-1000</v>
      </c>
      <c r="AJ193" s="132">
        <f t="shared" si="383"/>
        <v>-1000</v>
      </c>
      <c r="AK193" s="132">
        <f t="shared" si="383"/>
        <v>-1000</v>
      </c>
      <c r="AL193" s="132">
        <f t="shared" si="383"/>
        <v>-1000</v>
      </c>
      <c r="AM193" s="132">
        <f t="shared" si="383"/>
        <v>-1000</v>
      </c>
      <c r="AN193" s="132">
        <f t="shared" si="383"/>
        <v>-1000</v>
      </c>
      <c r="AO193" s="132">
        <f t="shared" si="383"/>
        <v>-1000</v>
      </c>
      <c r="AP193" s="132">
        <f t="shared" si="383"/>
        <v>-1000</v>
      </c>
      <c r="AQ193" s="132">
        <f t="shared" si="383"/>
        <v>-1000</v>
      </c>
      <c r="AR193" s="132">
        <f t="shared" si="383"/>
        <v>-1000</v>
      </c>
      <c r="AS193" s="132">
        <f t="shared" si="383"/>
        <v>-1000</v>
      </c>
    </row>
    <row r="194">
      <c r="A194" s="132" t="s">
        <v>3696</v>
      </c>
      <c r="B194" s="132">
        <v>5000.0</v>
      </c>
      <c r="C194" s="132">
        <v>500.0</v>
      </c>
      <c r="D194" s="132">
        <v>0.0</v>
      </c>
      <c r="E194" s="132">
        <v>0.0</v>
      </c>
      <c r="F194" s="132">
        <v>0.0</v>
      </c>
      <c r="G194" s="132">
        <v>4500.0</v>
      </c>
      <c r="H194" s="132">
        <v>0.0</v>
      </c>
      <c r="I194" s="132">
        <v>0.0</v>
      </c>
      <c r="J194" s="132">
        <v>0.0</v>
      </c>
      <c r="K194" s="132">
        <v>0.0</v>
      </c>
      <c r="L194" s="132">
        <v>0.0</v>
      </c>
      <c r="M194" s="132">
        <v>0.0</v>
      </c>
      <c r="N194" s="132">
        <v>0.0</v>
      </c>
      <c r="O194" s="132">
        <v>0.0</v>
      </c>
      <c r="P194" s="132">
        <v>0.0</v>
      </c>
      <c r="Q194" s="132">
        <v>0.0</v>
      </c>
      <c r="R194" s="132">
        <v>0.0</v>
      </c>
      <c r="S194" s="132">
        <v>0.0</v>
      </c>
      <c r="T194" s="132">
        <v>0.0</v>
      </c>
      <c r="U194" s="132">
        <v>0.0</v>
      </c>
      <c r="V194" s="132">
        <v>0.0</v>
      </c>
      <c r="W194" s="132">
        <v>1.0</v>
      </c>
      <c r="Y194" s="132" t="s">
        <v>3696</v>
      </c>
      <c r="Z194" s="132">
        <f t="shared" ref="Z194:AC194" si="384">C194-1000</f>
        <v>-500</v>
      </c>
      <c r="AA194" s="132">
        <f t="shared" si="384"/>
        <v>-1000</v>
      </c>
      <c r="AB194" s="132">
        <f t="shared" si="384"/>
        <v>-1000</v>
      </c>
      <c r="AC194" s="132">
        <f t="shared" si="384"/>
        <v>-1000</v>
      </c>
      <c r="AD194" s="132">
        <f t="shared" si="4"/>
        <v>-5500</v>
      </c>
      <c r="AE194" s="132">
        <f t="shared" ref="AE194:AS194" si="385">H194-1000</f>
        <v>-1000</v>
      </c>
      <c r="AF194" s="132">
        <f t="shared" si="385"/>
        <v>-1000</v>
      </c>
      <c r="AG194" s="132">
        <f t="shared" si="385"/>
        <v>-1000</v>
      </c>
      <c r="AH194" s="132">
        <f t="shared" si="385"/>
        <v>-1000</v>
      </c>
      <c r="AI194" s="132">
        <f t="shared" si="385"/>
        <v>-1000</v>
      </c>
      <c r="AJ194" s="132">
        <f t="shared" si="385"/>
        <v>-1000</v>
      </c>
      <c r="AK194" s="132">
        <f t="shared" si="385"/>
        <v>-1000</v>
      </c>
      <c r="AL194" s="132">
        <f t="shared" si="385"/>
        <v>-1000</v>
      </c>
      <c r="AM194" s="132">
        <f t="shared" si="385"/>
        <v>-1000</v>
      </c>
      <c r="AN194" s="132">
        <f t="shared" si="385"/>
        <v>-1000</v>
      </c>
      <c r="AO194" s="132">
        <f t="shared" si="385"/>
        <v>-1000</v>
      </c>
      <c r="AP194" s="132">
        <f t="shared" si="385"/>
        <v>-1000</v>
      </c>
      <c r="AQ194" s="132">
        <f t="shared" si="385"/>
        <v>-1000</v>
      </c>
      <c r="AR194" s="132">
        <f t="shared" si="385"/>
        <v>-1000</v>
      </c>
      <c r="AS194" s="132">
        <f t="shared" si="385"/>
        <v>-1000</v>
      </c>
    </row>
    <row r="195">
      <c r="A195" s="132" t="s">
        <v>3697</v>
      </c>
      <c r="B195" s="132">
        <v>2000.0</v>
      </c>
      <c r="C195" s="132">
        <v>0.0</v>
      </c>
      <c r="D195" s="132">
        <v>0.0</v>
      </c>
      <c r="E195" s="132">
        <v>0.0</v>
      </c>
      <c r="F195" s="132">
        <v>0.0</v>
      </c>
      <c r="G195" s="132">
        <v>2000.0</v>
      </c>
      <c r="H195" s="132">
        <v>0.0</v>
      </c>
      <c r="I195" s="132">
        <v>0.0</v>
      </c>
      <c r="J195" s="132">
        <v>0.0</v>
      </c>
      <c r="K195" s="132">
        <v>0.0</v>
      </c>
      <c r="L195" s="132">
        <v>0.0</v>
      </c>
      <c r="M195" s="132">
        <v>0.0</v>
      </c>
      <c r="N195" s="132">
        <v>0.0</v>
      </c>
      <c r="O195" s="132">
        <v>0.0</v>
      </c>
      <c r="P195" s="132">
        <v>0.0</v>
      </c>
      <c r="Q195" s="132">
        <v>0.0</v>
      </c>
      <c r="R195" s="132">
        <v>0.0</v>
      </c>
      <c r="S195" s="132">
        <v>0.0</v>
      </c>
      <c r="T195" s="132">
        <v>0.0</v>
      </c>
      <c r="U195" s="132">
        <v>0.0</v>
      </c>
      <c r="V195" s="132">
        <v>0.0</v>
      </c>
      <c r="W195" s="132">
        <v>0.0</v>
      </c>
      <c r="Y195" s="132" t="s">
        <v>3697</v>
      </c>
      <c r="Z195" s="132">
        <f t="shared" ref="Z195:AC195" si="386">C195-1000</f>
        <v>-1000</v>
      </c>
      <c r="AA195" s="132">
        <f t="shared" si="386"/>
        <v>-1000</v>
      </c>
      <c r="AB195" s="132">
        <f t="shared" si="386"/>
        <v>-1000</v>
      </c>
      <c r="AC195" s="132">
        <f t="shared" si="386"/>
        <v>-1000</v>
      </c>
      <c r="AD195" s="132">
        <f t="shared" si="4"/>
        <v>-8000</v>
      </c>
      <c r="AE195" s="132">
        <f t="shared" ref="AE195:AS195" si="387">H195-1000</f>
        <v>-1000</v>
      </c>
      <c r="AF195" s="132">
        <f t="shared" si="387"/>
        <v>-1000</v>
      </c>
      <c r="AG195" s="132">
        <f t="shared" si="387"/>
        <v>-1000</v>
      </c>
      <c r="AH195" s="132">
        <f t="shared" si="387"/>
        <v>-1000</v>
      </c>
      <c r="AI195" s="132">
        <f t="shared" si="387"/>
        <v>-1000</v>
      </c>
      <c r="AJ195" s="132">
        <f t="shared" si="387"/>
        <v>-1000</v>
      </c>
      <c r="AK195" s="132">
        <f t="shared" si="387"/>
        <v>-1000</v>
      </c>
      <c r="AL195" s="132">
        <f t="shared" si="387"/>
        <v>-1000</v>
      </c>
      <c r="AM195" s="132">
        <f t="shared" si="387"/>
        <v>-1000</v>
      </c>
      <c r="AN195" s="132">
        <f t="shared" si="387"/>
        <v>-1000</v>
      </c>
      <c r="AO195" s="132">
        <f t="shared" si="387"/>
        <v>-1000</v>
      </c>
      <c r="AP195" s="132">
        <f t="shared" si="387"/>
        <v>-1000</v>
      </c>
      <c r="AQ195" s="132">
        <f t="shared" si="387"/>
        <v>-1000</v>
      </c>
      <c r="AR195" s="132">
        <f t="shared" si="387"/>
        <v>-1000</v>
      </c>
      <c r="AS195" s="132">
        <f t="shared" si="387"/>
        <v>-1000</v>
      </c>
    </row>
    <row r="196">
      <c r="A196" s="132" t="s">
        <v>3698</v>
      </c>
      <c r="B196" s="132">
        <v>10000.0</v>
      </c>
      <c r="C196" s="132">
        <v>0.0</v>
      </c>
      <c r="D196" s="132">
        <v>0.0</v>
      </c>
      <c r="E196" s="132">
        <v>0.0</v>
      </c>
      <c r="F196" s="132">
        <v>0.0</v>
      </c>
      <c r="G196" s="132">
        <v>10000.0</v>
      </c>
      <c r="H196" s="132">
        <v>0.0</v>
      </c>
      <c r="I196" s="132">
        <v>0.0</v>
      </c>
      <c r="J196" s="132">
        <v>0.0</v>
      </c>
      <c r="K196" s="132">
        <v>0.0</v>
      </c>
      <c r="L196" s="132">
        <v>0.0</v>
      </c>
      <c r="M196" s="132">
        <v>0.0</v>
      </c>
      <c r="N196" s="132">
        <v>0.0</v>
      </c>
      <c r="O196" s="132">
        <v>0.0</v>
      </c>
      <c r="P196" s="132">
        <v>0.0</v>
      </c>
      <c r="Q196" s="132">
        <v>0.0</v>
      </c>
      <c r="R196" s="132">
        <v>0.0</v>
      </c>
      <c r="S196" s="132">
        <v>0.0</v>
      </c>
      <c r="T196" s="132">
        <v>0.0</v>
      </c>
      <c r="U196" s="132">
        <v>0.0</v>
      </c>
      <c r="V196" s="132">
        <v>0.0</v>
      </c>
      <c r="W196" s="132">
        <v>0.0</v>
      </c>
      <c r="Y196" s="132" t="s">
        <v>3698</v>
      </c>
      <c r="Z196" s="132">
        <f t="shared" ref="Z196:AC196" si="388">C196-1000</f>
        <v>-1000</v>
      </c>
      <c r="AA196" s="132">
        <f t="shared" si="388"/>
        <v>-1000</v>
      </c>
      <c r="AB196" s="132">
        <f t="shared" si="388"/>
        <v>-1000</v>
      </c>
      <c r="AC196" s="132">
        <f t="shared" si="388"/>
        <v>-1000</v>
      </c>
      <c r="AD196" s="132">
        <f t="shared" si="4"/>
        <v>0</v>
      </c>
      <c r="AE196" s="132">
        <f t="shared" ref="AE196:AS196" si="389">H196-1000</f>
        <v>-1000</v>
      </c>
      <c r="AF196" s="132">
        <f t="shared" si="389"/>
        <v>-1000</v>
      </c>
      <c r="AG196" s="132">
        <f t="shared" si="389"/>
        <v>-1000</v>
      </c>
      <c r="AH196" s="132">
        <f t="shared" si="389"/>
        <v>-1000</v>
      </c>
      <c r="AI196" s="132">
        <f t="shared" si="389"/>
        <v>-1000</v>
      </c>
      <c r="AJ196" s="132">
        <f t="shared" si="389"/>
        <v>-1000</v>
      </c>
      <c r="AK196" s="132">
        <f t="shared" si="389"/>
        <v>-1000</v>
      </c>
      <c r="AL196" s="132">
        <f t="shared" si="389"/>
        <v>-1000</v>
      </c>
      <c r="AM196" s="132">
        <f t="shared" si="389"/>
        <v>-1000</v>
      </c>
      <c r="AN196" s="132">
        <f t="shared" si="389"/>
        <v>-1000</v>
      </c>
      <c r="AO196" s="132">
        <f t="shared" si="389"/>
        <v>-1000</v>
      </c>
      <c r="AP196" s="132">
        <f t="shared" si="389"/>
        <v>-1000</v>
      </c>
      <c r="AQ196" s="132">
        <f t="shared" si="389"/>
        <v>-1000</v>
      </c>
      <c r="AR196" s="132">
        <f t="shared" si="389"/>
        <v>-1000</v>
      </c>
      <c r="AS196" s="132">
        <f t="shared" si="389"/>
        <v>-1000</v>
      </c>
    </row>
    <row r="197">
      <c r="A197" s="132" t="s">
        <v>3699</v>
      </c>
      <c r="B197" s="132">
        <v>2500.0</v>
      </c>
      <c r="C197" s="132">
        <v>0.0</v>
      </c>
      <c r="D197" s="132">
        <v>0.0</v>
      </c>
      <c r="E197" s="132">
        <v>0.0</v>
      </c>
      <c r="F197" s="132">
        <v>0.0</v>
      </c>
      <c r="G197" s="132">
        <v>2500.0</v>
      </c>
      <c r="H197" s="132">
        <v>0.0</v>
      </c>
      <c r="I197" s="132">
        <v>0.0</v>
      </c>
      <c r="J197" s="132">
        <v>0.0</v>
      </c>
      <c r="K197" s="132">
        <v>0.0</v>
      </c>
      <c r="L197" s="132">
        <v>0.0</v>
      </c>
      <c r="M197" s="132">
        <v>0.0</v>
      </c>
      <c r="N197" s="132">
        <v>0.0</v>
      </c>
      <c r="O197" s="132">
        <v>0.0</v>
      </c>
      <c r="P197" s="132">
        <v>0.0</v>
      </c>
      <c r="Q197" s="132">
        <v>0.0</v>
      </c>
      <c r="R197" s="132">
        <v>0.0</v>
      </c>
      <c r="S197" s="132">
        <v>0.0</v>
      </c>
      <c r="T197" s="132">
        <v>0.0</v>
      </c>
      <c r="U197" s="132">
        <v>0.0</v>
      </c>
      <c r="V197" s="132">
        <v>0.0</v>
      </c>
      <c r="W197" s="132">
        <v>0.0</v>
      </c>
      <c r="Y197" s="132" t="s">
        <v>3699</v>
      </c>
      <c r="Z197" s="132">
        <f t="shared" ref="Z197:AC197" si="390">C197-1000</f>
        <v>-1000</v>
      </c>
      <c r="AA197" s="132">
        <f t="shared" si="390"/>
        <v>-1000</v>
      </c>
      <c r="AB197" s="132">
        <f t="shared" si="390"/>
        <v>-1000</v>
      </c>
      <c r="AC197" s="132">
        <f t="shared" si="390"/>
        <v>-1000</v>
      </c>
      <c r="AD197" s="132">
        <f t="shared" si="4"/>
        <v>-7500</v>
      </c>
      <c r="AE197" s="132">
        <f t="shared" ref="AE197:AS197" si="391">H197-1000</f>
        <v>-1000</v>
      </c>
      <c r="AF197" s="132">
        <f t="shared" si="391"/>
        <v>-1000</v>
      </c>
      <c r="AG197" s="132">
        <f t="shared" si="391"/>
        <v>-1000</v>
      </c>
      <c r="AH197" s="132">
        <f t="shared" si="391"/>
        <v>-1000</v>
      </c>
      <c r="AI197" s="132">
        <f t="shared" si="391"/>
        <v>-1000</v>
      </c>
      <c r="AJ197" s="132">
        <f t="shared" si="391"/>
        <v>-1000</v>
      </c>
      <c r="AK197" s="132">
        <f t="shared" si="391"/>
        <v>-1000</v>
      </c>
      <c r="AL197" s="132">
        <f t="shared" si="391"/>
        <v>-1000</v>
      </c>
      <c r="AM197" s="132">
        <f t="shared" si="391"/>
        <v>-1000</v>
      </c>
      <c r="AN197" s="132">
        <f t="shared" si="391"/>
        <v>-1000</v>
      </c>
      <c r="AO197" s="132">
        <f t="shared" si="391"/>
        <v>-1000</v>
      </c>
      <c r="AP197" s="132">
        <f t="shared" si="391"/>
        <v>-1000</v>
      </c>
      <c r="AQ197" s="132">
        <f t="shared" si="391"/>
        <v>-1000</v>
      </c>
      <c r="AR197" s="132">
        <f t="shared" si="391"/>
        <v>-1000</v>
      </c>
      <c r="AS197" s="132">
        <f t="shared" si="391"/>
        <v>-1000</v>
      </c>
    </row>
    <row r="198">
      <c r="A198" s="132" t="s">
        <v>3700</v>
      </c>
      <c r="B198" s="132">
        <v>600.0</v>
      </c>
      <c r="C198" s="132">
        <v>0.0</v>
      </c>
      <c r="D198" s="132">
        <v>0.0</v>
      </c>
      <c r="E198" s="132">
        <v>0.0</v>
      </c>
      <c r="F198" s="132">
        <v>0.0</v>
      </c>
      <c r="G198" s="132">
        <v>500.0</v>
      </c>
      <c r="H198" s="132">
        <v>0.0</v>
      </c>
      <c r="I198" s="132">
        <v>0.0</v>
      </c>
      <c r="J198" s="132">
        <v>0.0</v>
      </c>
      <c r="K198" s="132">
        <v>0.0</v>
      </c>
      <c r="L198" s="132">
        <v>0.0</v>
      </c>
      <c r="M198" s="132">
        <v>100.0</v>
      </c>
      <c r="N198" s="132">
        <v>0.0</v>
      </c>
      <c r="O198" s="132">
        <v>0.0</v>
      </c>
      <c r="P198" s="132">
        <v>0.0</v>
      </c>
      <c r="Q198" s="132">
        <v>0.0</v>
      </c>
      <c r="R198" s="132">
        <v>0.0</v>
      </c>
      <c r="S198" s="132">
        <v>0.0</v>
      </c>
      <c r="T198" s="132">
        <v>0.0</v>
      </c>
      <c r="U198" s="132">
        <v>0.0</v>
      </c>
      <c r="V198" s="132">
        <v>0.0</v>
      </c>
      <c r="W198" s="132">
        <v>1.0</v>
      </c>
      <c r="Y198" s="132" t="s">
        <v>3700</v>
      </c>
      <c r="Z198" s="132">
        <f t="shared" ref="Z198:AC198" si="392">C198-1000</f>
        <v>-1000</v>
      </c>
      <c r="AA198" s="132">
        <f t="shared" si="392"/>
        <v>-1000</v>
      </c>
      <c r="AB198" s="132">
        <f t="shared" si="392"/>
        <v>-1000</v>
      </c>
      <c r="AC198" s="132">
        <f t="shared" si="392"/>
        <v>-1000</v>
      </c>
      <c r="AD198" s="132">
        <f t="shared" si="4"/>
        <v>-9500</v>
      </c>
      <c r="AE198" s="132">
        <f t="shared" ref="AE198:AS198" si="393">H198-1000</f>
        <v>-1000</v>
      </c>
      <c r="AF198" s="132">
        <f t="shared" si="393"/>
        <v>-1000</v>
      </c>
      <c r="AG198" s="132">
        <f t="shared" si="393"/>
        <v>-1000</v>
      </c>
      <c r="AH198" s="132">
        <f t="shared" si="393"/>
        <v>-1000</v>
      </c>
      <c r="AI198" s="132">
        <f t="shared" si="393"/>
        <v>-1000</v>
      </c>
      <c r="AJ198" s="132">
        <f t="shared" si="393"/>
        <v>-900</v>
      </c>
      <c r="AK198" s="132">
        <f t="shared" si="393"/>
        <v>-1000</v>
      </c>
      <c r="AL198" s="132">
        <f t="shared" si="393"/>
        <v>-1000</v>
      </c>
      <c r="AM198" s="132">
        <f t="shared" si="393"/>
        <v>-1000</v>
      </c>
      <c r="AN198" s="132">
        <f t="shared" si="393"/>
        <v>-1000</v>
      </c>
      <c r="AO198" s="132">
        <f t="shared" si="393"/>
        <v>-1000</v>
      </c>
      <c r="AP198" s="132">
        <f t="shared" si="393"/>
        <v>-1000</v>
      </c>
      <c r="AQ198" s="132">
        <f t="shared" si="393"/>
        <v>-1000</v>
      </c>
      <c r="AR198" s="132">
        <f t="shared" si="393"/>
        <v>-1000</v>
      </c>
      <c r="AS198" s="132">
        <f t="shared" si="393"/>
        <v>-1000</v>
      </c>
    </row>
    <row r="199">
      <c r="A199" s="132" t="s">
        <v>3701</v>
      </c>
      <c r="B199" s="132">
        <v>2500.0</v>
      </c>
      <c r="C199" s="132">
        <v>0.0</v>
      </c>
      <c r="D199" s="132">
        <v>0.0</v>
      </c>
      <c r="E199" s="132">
        <v>0.0</v>
      </c>
      <c r="F199" s="132">
        <v>0.0</v>
      </c>
      <c r="G199" s="132">
        <v>2500.0</v>
      </c>
      <c r="H199" s="132">
        <v>0.0</v>
      </c>
      <c r="I199" s="132">
        <v>0.0</v>
      </c>
      <c r="J199" s="132">
        <v>0.0</v>
      </c>
      <c r="K199" s="132">
        <v>0.0</v>
      </c>
      <c r="L199" s="132">
        <v>0.0</v>
      </c>
      <c r="M199" s="132">
        <v>0.0</v>
      </c>
      <c r="N199" s="132">
        <v>0.0</v>
      </c>
      <c r="O199" s="132">
        <v>0.0</v>
      </c>
      <c r="P199" s="132">
        <v>0.0</v>
      </c>
      <c r="Q199" s="132">
        <v>0.0</v>
      </c>
      <c r="R199" s="132">
        <v>0.0</v>
      </c>
      <c r="S199" s="132">
        <v>0.0</v>
      </c>
      <c r="T199" s="132">
        <v>0.0</v>
      </c>
      <c r="U199" s="132">
        <v>0.0</v>
      </c>
      <c r="V199" s="132">
        <v>0.0</v>
      </c>
      <c r="W199" s="132">
        <v>0.0</v>
      </c>
      <c r="Y199" s="132" t="s">
        <v>3701</v>
      </c>
      <c r="Z199" s="132">
        <f t="shared" ref="Z199:AC199" si="394">C199-1000</f>
        <v>-1000</v>
      </c>
      <c r="AA199" s="132">
        <f t="shared" si="394"/>
        <v>-1000</v>
      </c>
      <c r="AB199" s="132">
        <f t="shared" si="394"/>
        <v>-1000</v>
      </c>
      <c r="AC199" s="132">
        <f t="shared" si="394"/>
        <v>-1000</v>
      </c>
      <c r="AD199" s="132">
        <f t="shared" si="4"/>
        <v>-7500</v>
      </c>
      <c r="AE199" s="132">
        <f t="shared" ref="AE199:AS199" si="395">H199-1000</f>
        <v>-1000</v>
      </c>
      <c r="AF199" s="132">
        <f t="shared" si="395"/>
        <v>-1000</v>
      </c>
      <c r="AG199" s="132">
        <f t="shared" si="395"/>
        <v>-1000</v>
      </c>
      <c r="AH199" s="132">
        <f t="shared" si="395"/>
        <v>-1000</v>
      </c>
      <c r="AI199" s="132">
        <f t="shared" si="395"/>
        <v>-1000</v>
      </c>
      <c r="AJ199" s="132">
        <f t="shared" si="395"/>
        <v>-1000</v>
      </c>
      <c r="AK199" s="132">
        <f t="shared" si="395"/>
        <v>-1000</v>
      </c>
      <c r="AL199" s="132">
        <f t="shared" si="395"/>
        <v>-1000</v>
      </c>
      <c r="AM199" s="132">
        <f t="shared" si="395"/>
        <v>-1000</v>
      </c>
      <c r="AN199" s="132">
        <f t="shared" si="395"/>
        <v>-1000</v>
      </c>
      <c r="AO199" s="132">
        <f t="shared" si="395"/>
        <v>-1000</v>
      </c>
      <c r="AP199" s="132">
        <f t="shared" si="395"/>
        <v>-1000</v>
      </c>
      <c r="AQ199" s="132">
        <f t="shared" si="395"/>
        <v>-1000</v>
      </c>
      <c r="AR199" s="132">
        <f t="shared" si="395"/>
        <v>-1000</v>
      </c>
      <c r="AS199" s="132">
        <f t="shared" si="395"/>
        <v>-1000</v>
      </c>
    </row>
    <row r="200">
      <c r="A200" s="132" t="s">
        <v>3702</v>
      </c>
      <c r="B200" s="132">
        <v>250.0</v>
      </c>
      <c r="C200" s="132">
        <v>0.0</v>
      </c>
      <c r="D200" s="132">
        <v>0.0</v>
      </c>
      <c r="E200" s="132">
        <v>0.0</v>
      </c>
      <c r="F200" s="132">
        <v>0.0</v>
      </c>
      <c r="G200" s="132">
        <v>250.0</v>
      </c>
      <c r="H200" s="132">
        <v>0.0</v>
      </c>
      <c r="I200" s="132">
        <v>0.0</v>
      </c>
      <c r="J200" s="132">
        <v>0.0</v>
      </c>
      <c r="K200" s="132">
        <v>0.0</v>
      </c>
      <c r="L200" s="132">
        <v>0.0</v>
      </c>
      <c r="M200" s="132">
        <v>0.0</v>
      </c>
      <c r="N200" s="132">
        <v>0.0</v>
      </c>
      <c r="O200" s="132">
        <v>0.0</v>
      </c>
      <c r="P200" s="132">
        <v>0.0</v>
      </c>
      <c r="Q200" s="132">
        <v>0.0</v>
      </c>
      <c r="R200" s="132">
        <v>0.0</v>
      </c>
      <c r="S200" s="132">
        <v>0.0</v>
      </c>
      <c r="T200" s="132">
        <v>0.0</v>
      </c>
      <c r="U200" s="132">
        <v>0.0</v>
      </c>
      <c r="V200" s="132">
        <v>0.0</v>
      </c>
      <c r="W200" s="132">
        <v>0.0</v>
      </c>
      <c r="Y200" s="132" t="s">
        <v>3702</v>
      </c>
      <c r="Z200" s="132">
        <f t="shared" ref="Z200:AC200" si="396">C200-1000</f>
        <v>-1000</v>
      </c>
      <c r="AA200" s="132">
        <f t="shared" si="396"/>
        <v>-1000</v>
      </c>
      <c r="AB200" s="132">
        <f t="shared" si="396"/>
        <v>-1000</v>
      </c>
      <c r="AC200" s="132">
        <f t="shared" si="396"/>
        <v>-1000</v>
      </c>
      <c r="AD200" s="132">
        <f t="shared" si="4"/>
        <v>-9750</v>
      </c>
      <c r="AE200" s="132">
        <f t="shared" ref="AE200:AS200" si="397">H200-1000</f>
        <v>-1000</v>
      </c>
      <c r="AF200" s="132">
        <f t="shared" si="397"/>
        <v>-1000</v>
      </c>
      <c r="AG200" s="132">
        <f t="shared" si="397"/>
        <v>-1000</v>
      </c>
      <c r="AH200" s="132">
        <f t="shared" si="397"/>
        <v>-1000</v>
      </c>
      <c r="AI200" s="132">
        <f t="shared" si="397"/>
        <v>-1000</v>
      </c>
      <c r="AJ200" s="132">
        <f t="shared" si="397"/>
        <v>-1000</v>
      </c>
      <c r="AK200" s="132">
        <f t="shared" si="397"/>
        <v>-1000</v>
      </c>
      <c r="AL200" s="132">
        <f t="shared" si="397"/>
        <v>-1000</v>
      </c>
      <c r="AM200" s="132">
        <f t="shared" si="397"/>
        <v>-1000</v>
      </c>
      <c r="AN200" s="132">
        <f t="shared" si="397"/>
        <v>-1000</v>
      </c>
      <c r="AO200" s="132">
        <f t="shared" si="397"/>
        <v>-1000</v>
      </c>
      <c r="AP200" s="132">
        <f t="shared" si="397"/>
        <v>-1000</v>
      </c>
      <c r="AQ200" s="132">
        <f t="shared" si="397"/>
        <v>-1000</v>
      </c>
      <c r="AR200" s="132">
        <f t="shared" si="397"/>
        <v>-1000</v>
      </c>
      <c r="AS200" s="132">
        <f t="shared" si="397"/>
        <v>-1000</v>
      </c>
    </row>
    <row r="201">
      <c r="A201" s="132" t="s">
        <v>3703</v>
      </c>
      <c r="B201" s="132">
        <v>10000.0</v>
      </c>
      <c r="C201" s="132">
        <v>0.0</v>
      </c>
      <c r="D201" s="132">
        <v>0.0</v>
      </c>
      <c r="E201" s="132">
        <v>0.0</v>
      </c>
      <c r="F201" s="132">
        <v>0.0</v>
      </c>
      <c r="G201" s="132">
        <v>10000.0</v>
      </c>
      <c r="H201" s="132">
        <v>0.0</v>
      </c>
      <c r="I201" s="132">
        <v>0.0</v>
      </c>
      <c r="J201" s="132">
        <v>0.0</v>
      </c>
      <c r="K201" s="132">
        <v>0.0</v>
      </c>
      <c r="L201" s="132">
        <v>0.0</v>
      </c>
      <c r="M201" s="132">
        <v>0.0</v>
      </c>
      <c r="N201" s="132">
        <v>0.0</v>
      </c>
      <c r="O201" s="132">
        <v>0.0</v>
      </c>
      <c r="P201" s="132">
        <v>0.0</v>
      </c>
      <c r="Q201" s="132">
        <v>0.0</v>
      </c>
      <c r="R201" s="132">
        <v>0.0</v>
      </c>
      <c r="S201" s="132">
        <v>0.0</v>
      </c>
      <c r="T201" s="132">
        <v>0.0</v>
      </c>
      <c r="U201" s="132">
        <v>0.0</v>
      </c>
      <c r="V201" s="132">
        <v>0.0</v>
      </c>
      <c r="W201" s="132">
        <v>0.0</v>
      </c>
      <c r="Y201" s="132" t="s">
        <v>3703</v>
      </c>
      <c r="Z201" s="132">
        <f t="shared" ref="Z201:AC201" si="398">C201-1000</f>
        <v>-1000</v>
      </c>
      <c r="AA201" s="132">
        <f t="shared" si="398"/>
        <v>-1000</v>
      </c>
      <c r="AB201" s="132">
        <f t="shared" si="398"/>
        <v>-1000</v>
      </c>
      <c r="AC201" s="132">
        <f t="shared" si="398"/>
        <v>-1000</v>
      </c>
      <c r="AD201" s="132">
        <f t="shared" si="4"/>
        <v>0</v>
      </c>
      <c r="AE201" s="132">
        <f t="shared" ref="AE201:AS201" si="399">H201-1000</f>
        <v>-1000</v>
      </c>
      <c r="AF201" s="132">
        <f t="shared" si="399"/>
        <v>-1000</v>
      </c>
      <c r="AG201" s="132">
        <f t="shared" si="399"/>
        <v>-1000</v>
      </c>
      <c r="AH201" s="132">
        <f t="shared" si="399"/>
        <v>-1000</v>
      </c>
      <c r="AI201" s="132">
        <f t="shared" si="399"/>
        <v>-1000</v>
      </c>
      <c r="AJ201" s="132">
        <f t="shared" si="399"/>
        <v>-1000</v>
      </c>
      <c r="AK201" s="132">
        <f t="shared" si="399"/>
        <v>-1000</v>
      </c>
      <c r="AL201" s="132">
        <f t="shared" si="399"/>
        <v>-1000</v>
      </c>
      <c r="AM201" s="132">
        <f t="shared" si="399"/>
        <v>-1000</v>
      </c>
      <c r="AN201" s="132">
        <f t="shared" si="399"/>
        <v>-1000</v>
      </c>
      <c r="AO201" s="132">
        <f t="shared" si="399"/>
        <v>-1000</v>
      </c>
      <c r="AP201" s="132">
        <f t="shared" si="399"/>
        <v>-1000</v>
      </c>
      <c r="AQ201" s="132">
        <f t="shared" si="399"/>
        <v>-1000</v>
      </c>
      <c r="AR201" s="132">
        <f t="shared" si="399"/>
        <v>-1000</v>
      </c>
      <c r="AS201" s="132">
        <f t="shared" si="399"/>
        <v>-1000</v>
      </c>
    </row>
    <row r="202">
      <c r="A202" s="132" t="s">
        <v>3704</v>
      </c>
      <c r="B202" s="132">
        <v>250.0</v>
      </c>
      <c r="C202" s="132">
        <v>0.0</v>
      </c>
      <c r="D202" s="132">
        <v>0.0</v>
      </c>
      <c r="E202" s="132">
        <v>0.0</v>
      </c>
      <c r="F202" s="132">
        <v>0.0</v>
      </c>
      <c r="G202" s="132">
        <v>250.0</v>
      </c>
      <c r="H202" s="132">
        <v>0.0</v>
      </c>
      <c r="I202" s="132">
        <v>0.0</v>
      </c>
      <c r="J202" s="132">
        <v>0.0</v>
      </c>
      <c r="K202" s="132">
        <v>0.0</v>
      </c>
      <c r="L202" s="132">
        <v>0.0</v>
      </c>
      <c r="M202" s="132">
        <v>0.0</v>
      </c>
      <c r="N202" s="132">
        <v>0.0</v>
      </c>
      <c r="O202" s="132">
        <v>0.0</v>
      </c>
      <c r="P202" s="132">
        <v>0.0</v>
      </c>
      <c r="Q202" s="132">
        <v>0.0</v>
      </c>
      <c r="R202" s="132">
        <v>0.0</v>
      </c>
      <c r="S202" s="132">
        <v>0.0</v>
      </c>
      <c r="T202" s="132">
        <v>0.0</v>
      </c>
      <c r="U202" s="132">
        <v>0.0</v>
      </c>
      <c r="V202" s="132">
        <v>0.0</v>
      </c>
      <c r="W202" s="132">
        <v>0.0</v>
      </c>
      <c r="Y202" s="132" t="s">
        <v>3704</v>
      </c>
      <c r="Z202" s="132">
        <f t="shared" ref="Z202:AC202" si="400">C202-1000</f>
        <v>-1000</v>
      </c>
      <c r="AA202" s="132">
        <f t="shared" si="400"/>
        <v>-1000</v>
      </c>
      <c r="AB202" s="132">
        <f t="shared" si="400"/>
        <v>-1000</v>
      </c>
      <c r="AC202" s="132">
        <f t="shared" si="400"/>
        <v>-1000</v>
      </c>
      <c r="AD202" s="132">
        <f t="shared" si="4"/>
        <v>-9750</v>
      </c>
      <c r="AE202" s="132">
        <f t="shared" ref="AE202:AS202" si="401">H202-1000</f>
        <v>-1000</v>
      </c>
      <c r="AF202" s="132">
        <f t="shared" si="401"/>
        <v>-1000</v>
      </c>
      <c r="AG202" s="132">
        <f t="shared" si="401"/>
        <v>-1000</v>
      </c>
      <c r="AH202" s="132">
        <f t="shared" si="401"/>
        <v>-1000</v>
      </c>
      <c r="AI202" s="132">
        <f t="shared" si="401"/>
        <v>-1000</v>
      </c>
      <c r="AJ202" s="132">
        <f t="shared" si="401"/>
        <v>-1000</v>
      </c>
      <c r="AK202" s="132">
        <f t="shared" si="401"/>
        <v>-1000</v>
      </c>
      <c r="AL202" s="132">
        <f t="shared" si="401"/>
        <v>-1000</v>
      </c>
      <c r="AM202" s="132">
        <f t="shared" si="401"/>
        <v>-1000</v>
      </c>
      <c r="AN202" s="132">
        <f t="shared" si="401"/>
        <v>-1000</v>
      </c>
      <c r="AO202" s="132">
        <f t="shared" si="401"/>
        <v>-1000</v>
      </c>
      <c r="AP202" s="132">
        <f t="shared" si="401"/>
        <v>-1000</v>
      </c>
      <c r="AQ202" s="132">
        <f t="shared" si="401"/>
        <v>-1000</v>
      </c>
      <c r="AR202" s="132">
        <f t="shared" si="401"/>
        <v>-1000</v>
      </c>
      <c r="AS202" s="132">
        <f t="shared" si="401"/>
        <v>-1000</v>
      </c>
    </row>
    <row r="203">
      <c r="A203" s="132" t="s">
        <v>3705</v>
      </c>
      <c r="B203" s="132">
        <v>300.0</v>
      </c>
      <c r="C203" s="132">
        <v>0.0</v>
      </c>
      <c r="D203" s="132">
        <v>0.0</v>
      </c>
      <c r="E203" s="132">
        <v>0.0</v>
      </c>
      <c r="F203" s="132">
        <v>0.0</v>
      </c>
      <c r="G203" s="132">
        <v>300.0</v>
      </c>
      <c r="H203" s="132">
        <v>0.0</v>
      </c>
      <c r="I203" s="132">
        <v>0.0</v>
      </c>
      <c r="J203" s="132">
        <v>0.0</v>
      </c>
      <c r="K203" s="132">
        <v>0.0</v>
      </c>
      <c r="L203" s="132">
        <v>0.0</v>
      </c>
      <c r="M203" s="132">
        <v>0.0</v>
      </c>
      <c r="N203" s="132">
        <v>0.0</v>
      </c>
      <c r="O203" s="132">
        <v>0.0</v>
      </c>
      <c r="P203" s="132">
        <v>0.0</v>
      </c>
      <c r="Q203" s="132">
        <v>0.0</v>
      </c>
      <c r="R203" s="132">
        <v>0.0</v>
      </c>
      <c r="S203" s="132">
        <v>0.0</v>
      </c>
      <c r="T203" s="132">
        <v>0.0</v>
      </c>
      <c r="U203" s="132">
        <v>0.0</v>
      </c>
      <c r="V203" s="132">
        <v>0.0</v>
      </c>
      <c r="W203" s="132">
        <v>0.0</v>
      </c>
      <c r="Y203" s="132" t="s">
        <v>3705</v>
      </c>
      <c r="Z203" s="132">
        <f t="shared" ref="Z203:AC203" si="402">C203-1000</f>
        <v>-1000</v>
      </c>
      <c r="AA203" s="132">
        <f t="shared" si="402"/>
        <v>-1000</v>
      </c>
      <c r="AB203" s="132">
        <f t="shared" si="402"/>
        <v>-1000</v>
      </c>
      <c r="AC203" s="132">
        <f t="shared" si="402"/>
        <v>-1000</v>
      </c>
      <c r="AD203" s="132">
        <f t="shared" si="4"/>
        <v>-9700</v>
      </c>
      <c r="AE203" s="132">
        <f t="shared" ref="AE203:AS203" si="403">H203-1000</f>
        <v>-1000</v>
      </c>
      <c r="AF203" s="132">
        <f t="shared" si="403"/>
        <v>-1000</v>
      </c>
      <c r="AG203" s="132">
        <f t="shared" si="403"/>
        <v>-1000</v>
      </c>
      <c r="AH203" s="132">
        <f t="shared" si="403"/>
        <v>-1000</v>
      </c>
      <c r="AI203" s="132">
        <f t="shared" si="403"/>
        <v>-1000</v>
      </c>
      <c r="AJ203" s="132">
        <f t="shared" si="403"/>
        <v>-1000</v>
      </c>
      <c r="AK203" s="132">
        <f t="shared" si="403"/>
        <v>-1000</v>
      </c>
      <c r="AL203" s="132">
        <f t="shared" si="403"/>
        <v>-1000</v>
      </c>
      <c r="AM203" s="132">
        <f t="shared" si="403"/>
        <v>-1000</v>
      </c>
      <c r="AN203" s="132">
        <f t="shared" si="403"/>
        <v>-1000</v>
      </c>
      <c r="AO203" s="132">
        <f t="shared" si="403"/>
        <v>-1000</v>
      </c>
      <c r="AP203" s="132">
        <f t="shared" si="403"/>
        <v>-1000</v>
      </c>
      <c r="AQ203" s="132">
        <f t="shared" si="403"/>
        <v>-1000</v>
      </c>
      <c r="AR203" s="132">
        <f t="shared" si="403"/>
        <v>-1000</v>
      </c>
      <c r="AS203" s="132">
        <f t="shared" si="403"/>
        <v>-1000</v>
      </c>
    </row>
    <row r="204">
      <c r="A204" s="132" t="s">
        <v>3706</v>
      </c>
      <c r="B204" s="132">
        <v>7500.0</v>
      </c>
      <c r="C204" s="132">
        <v>0.0</v>
      </c>
      <c r="D204" s="132">
        <v>0.0</v>
      </c>
      <c r="E204" s="132">
        <v>0.0</v>
      </c>
      <c r="F204" s="132">
        <v>0.0</v>
      </c>
      <c r="G204" s="132">
        <v>7500.0</v>
      </c>
      <c r="H204" s="132">
        <v>0.0</v>
      </c>
      <c r="I204" s="132">
        <v>0.0</v>
      </c>
      <c r="J204" s="132">
        <v>0.0</v>
      </c>
      <c r="K204" s="132">
        <v>0.0</v>
      </c>
      <c r="L204" s="132">
        <v>0.0</v>
      </c>
      <c r="M204" s="132">
        <v>0.0</v>
      </c>
      <c r="N204" s="132">
        <v>0.0</v>
      </c>
      <c r="O204" s="132">
        <v>0.0</v>
      </c>
      <c r="P204" s="132">
        <v>0.0</v>
      </c>
      <c r="Q204" s="132">
        <v>0.0</v>
      </c>
      <c r="R204" s="132">
        <v>0.0</v>
      </c>
      <c r="S204" s="132">
        <v>0.0</v>
      </c>
      <c r="T204" s="132">
        <v>0.0</v>
      </c>
      <c r="U204" s="132">
        <v>0.0</v>
      </c>
      <c r="V204" s="132">
        <v>0.0</v>
      </c>
      <c r="W204" s="132">
        <v>0.0</v>
      </c>
      <c r="Y204" s="132" t="s">
        <v>3706</v>
      </c>
      <c r="Z204" s="132">
        <f t="shared" ref="Z204:AC204" si="404">C204-1000</f>
        <v>-1000</v>
      </c>
      <c r="AA204" s="132">
        <f t="shared" si="404"/>
        <v>-1000</v>
      </c>
      <c r="AB204" s="132">
        <f t="shared" si="404"/>
        <v>-1000</v>
      </c>
      <c r="AC204" s="132">
        <f t="shared" si="404"/>
        <v>-1000</v>
      </c>
      <c r="AD204" s="132">
        <f t="shared" si="4"/>
        <v>-2500</v>
      </c>
      <c r="AE204" s="132">
        <f t="shared" ref="AE204:AS204" si="405">H204-1000</f>
        <v>-1000</v>
      </c>
      <c r="AF204" s="132">
        <f t="shared" si="405"/>
        <v>-1000</v>
      </c>
      <c r="AG204" s="132">
        <f t="shared" si="405"/>
        <v>-1000</v>
      </c>
      <c r="AH204" s="132">
        <f t="shared" si="405"/>
        <v>-1000</v>
      </c>
      <c r="AI204" s="132">
        <f t="shared" si="405"/>
        <v>-1000</v>
      </c>
      <c r="AJ204" s="132">
        <f t="shared" si="405"/>
        <v>-1000</v>
      </c>
      <c r="AK204" s="132">
        <f t="shared" si="405"/>
        <v>-1000</v>
      </c>
      <c r="AL204" s="132">
        <f t="shared" si="405"/>
        <v>-1000</v>
      </c>
      <c r="AM204" s="132">
        <f t="shared" si="405"/>
        <v>-1000</v>
      </c>
      <c r="AN204" s="132">
        <f t="shared" si="405"/>
        <v>-1000</v>
      </c>
      <c r="AO204" s="132">
        <f t="shared" si="405"/>
        <v>-1000</v>
      </c>
      <c r="AP204" s="132">
        <f t="shared" si="405"/>
        <v>-1000</v>
      </c>
      <c r="AQ204" s="132">
        <f t="shared" si="405"/>
        <v>-1000</v>
      </c>
      <c r="AR204" s="132">
        <f t="shared" si="405"/>
        <v>-1000</v>
      </c>
      <c r="AS204" s="132">
        <f t="shared" si="405"/>
        <v>-1000</v>
      </c>
    </row>
    <row r="205">
      <c r="A205" s="132" t="s">
        <v>3707</v>
      </c>
      <c r="B205" s="132">
        <v>350.0</v>
      </c>
      <c r="C205" s="132">
        <v>0.0</v>
      </c>
      <c r="D205" s="132">
        <v>0.0</v>
      </c>
      <c r="E205" s="132">
        <v>0.0</v>
      </c>
      <c r="F205" s="132">
        <v>0.0</v>
      </c>
      <c r="G205" s="132">
        <v>350.0</v>
      </c>
      <c r="H205" s="132">
        <v>0.0</v>
      </c>
      <c r="I205" s="132">
        <v>0.0</v>
      </c>
      <c r="J205" s="132">
        <v>0.0</v>
      </c>
      <c r="K205" s="132">
        <v>0.0</v>
      </c>
      <c r="L205" s="132">
        <v>0.0</v>
      </c>
      <c r="M205" s="132">
        <v>0.0</v>
      </c>
      <c r="N205" s="132">
        <v>0.0</v>
      </c>
      <c r="O205" s="132">
        <v>0.0</v>
      </c>
      <c r="P205" s="132">
        <v>0.0</v>
      </c>
      <c r="Q205" s="132">
        <v>0.0</v>
      </c>
      <c r="R205" s="132">
        <v>0.0</v>
      </c>
      <c r="S205" s="132">
        <v>0.0</v>
      </c>
      <c r="T205" s="132">
        <v>0.0</v>
      </c>
      <c r="U205" s="132">
        <v>0.0</v>
      </c>
      <c r="V205" s="132">
        <v>0.0</v>
      </c>
      <c r="W205" s="132">
        <v>1.0</v>
      </c>
      <c r="Y205" s="132" t="s">
        <v>3707</v>
      </c>
      <c r="Z205" s="132">
        <f t="shared" ref="Z205:AC205" si="406">C205-1000</f>
        <v>-1000</v>
      </c>
      <c r="AA205" s="132">
        <f t="shared" si="406"/>
        <v>-1000</v>
      </c>
      <c r="AB205" s="132">
        <f t="shared" si="406"/>
        <v>-1000</v>
      </c>
      <c r="AC205" s="132">
        <f t="shared" si="406"/>
        <v>-1000</v>
      </c>
      <c r="AD205" s="132">
        <f t="shared" si="4"/>
        <v>-9650</v>
      </c>
      <c r="AE205" s="132">
        <f t="shared" ref="AE205:AS205" si="407">H205-1000</f>
        <v>-1000</v>
      </c>
      <c r="AF205" s="132">
        <f t="shared" si="407"/>
        <v>-1000</v>
      </c>
      <c r="AG205" s="132">
        <f t="shared" si="407"/>
        <v>-1000</v>
      </c>
      <c r="AH205" s="132">
        <f t="shared" si="407"/>
        <v>-1000</v>
      </c>
      <c r="AI205" s="132">
        <f t="shared" si="407"/>
        <v>-1000</v>
      </c>
      <c r="AJ205" s="132">
        <f t="shared" si="407"/>
        <v>-1000</v>
      </c>
      <c r="AK205" s="132">
        <f t="shared" si="407"/>
        <v>-1000</v>
      </c>
      <c r="AL205" s="132">
        <f t="shared" si="407"/>
        <v>-1000</v>
      </c>
      <c r="AM205" s="132">
        <f t="shared" si="407"/>
        <v>-1000</v>
      </c>
      <c r="AN205" s="132">
        <f t="shared" si="407"/>
        <v>-1000</v>
      </c>
      <c r="AO205" s="132">
        <f t="shared" si="407"/>
        <v>-1000</v>
      </c>
      <c r="AP205" s="132">
        <f t="shared" si="407"/>
        <v>-1000</v>
      </c>
      <c r="AQ205" s="132">
        <f t="shared" si="407"/>
        <v>-1000</v>
      </c>
      <c r="AR205" s="132">
        <f t="shared" si="407"/>
        <v>-1000</v>
      </c>
      <c r="AS205" s="132">
        <f t="shared" si="407"/>
        <v>-1000</v>
      </c>
    </row>
    <row r="206">
      <c r="A206" s="132" t="s">
        <v>3708</v>
      </c>
      <c r="B206" s="132">
        <v>250.0</v>
      </c>
      <c r="C206" s="132">
        <v>0.0</v>
      </c>
      <c r="D206" s="132">
        <v>0.0</v>
      </c>
      <c r="E206" s="132">
        <v>0.0</v>
      </c>
      <c r="F206" s="132">
        <v>0.0</v>
      </c>
      <c r="G206" s="132">
        <v>250.0</v>
      </c>
      <c r="H206" s="132">
        <v>0.0</v>
      </c>
      <c r="I206" s="132">
        <v>0.0</v>
      </c>
      <c r="J206" s="132">
        <v>0.0</v>
      </c>
      <c r="K206" s="132">
        <v>0.0</v>
      </c>
      <c r="L206" s="132">
        <v>0.0</v>
      </c>
      <c r="M206" s="132">
        <v>0.0</v>
      </c>
      <c r="N206" s="132">
        <v>0.0</v>
      </c>
      <c r="O206" s="132">
        <v>0.0</v>
      </c>
      <c r="P206" s="132">
        <v>0.0</v>
      </c>
      <c r="Q206" s="132">
        <v>0.0</v>
      </c>
      <c r="R206" s="132">
        <v>0.0</v>
      </c>
      <c r="S206" s="132">
        <v>0.0</v>
      </c>
      <c r="T206" s="132">
        <v>0.0</v>
      </c>
      <c r="U206" s="132">
        <v>0.0</v>
      </c>
      <c r="V206" s="132">
        <v>0.0</v>
      </c>
      <c r="W206" s="132">
        <v>0.0</v>
      </c>
      <c r="Y206" s="132" t="s">
        <v>3708</v>
      </c>
      <c r="Z206" s="132">
        <f t="shared" ref="Z206:AC206" si="408">C206-1000</f>
        <v>-1000</v>
      </c>
      <c r="AA206" s="132">
        <f t="shared" si="408"/>
        <v>-1000</v>
      </c>
      <c r="AB206" s="132">
        <f t="shared" si="408"/>
        <v>-1000</v>
      </c>
      <c r="AC206" s="132">
        <f t="shared" si="408"/>
        <v>-1000</v>
      </c>
      <c r="AD206" s="132">
        <f t="shared" si="4"/>
        <v>-9750</v>
      </c>
      <c r="AE206" s="132">
        <f t="shared" ref="AE206:AS206" si="409">H206-1000</f>
        <v>-1000</v>
      </c>
      <c r="AF206" s="132">
        <f t="shared" si="409"/>
        <v>-1000</v>
      </c>
      <c r="AG206" s="132">
        <f t="shared" si="409"/>
        <v>-1000</v>
      </c>
      <c r="AH206" s="132">
        <f t="shared" si="409"/>
        <v>-1000</v>
      </c>
      <c r="AI206" s="132">
        <f t="shared" si="409"/>
        <v>-1000</v>
      </c>
      <c r="AJ206" s="132">
        <f t="shared" si="409"/>
        <v>-1000</v>
      </c>
      <c r="AK206" s="132">
        <f t="shared" si="409"/>
        <v>-1000</v>
      </c>
      <c r="AL206" s="132">
        <f t="shared" si="409"/>
        <v>-1000</v>
      </c>
      <c r="AM206" s="132">
        <f t="shared" si="409"/>
        <v>-1000</v>
      </c>
      <c r="AN206" s="132">
        <f t="shared" si="409"/>
        <v>-1000</v>
      </c>
      <c r="AO206" s="132">
        <f t="shared" si="409"/>
        <v>-1000</v>
      </c>
      <c r="AP206" s="132">
        <f t="shared" si="409"/>
        <v>-1000</v>
      </c>
      <c r="AQ206" s="132">
        <f t="shared" si="409"/>
        <v>-1000</v>
      </c>
      <c r="AR206" s="132">
        <f t="shared" si="409"/>
        <v>-1000</v>
      </c>
      <c r="AS206" s="132">
        <f t="shared" si="409"/>
        <v>-1000</v>
      </c>
    </row>
    <row r="207">
      <c r="A207" s="132" t="s">
        <v>3709</v>
      </c>
      <c r="B207" s="132">
        <v>350.0</v>
      </c>
      <c r="C207" s="132">
        <v>0.0</v>
      </c>
      <c r="D207" s="132">
        <v>0.0</v>
      </c>
      <c r="E207" s="132">
        <v>0.0</v>
      </c>
      <c r="F207" s="132">
        <v>0.0</v>
      </c>
      <c r="G207" s="132">
        <v>350.0</v>
      </c>
      <c r="H207" s="132">
        <v>0.0</v>
      </c>
      <c r="I207" s="132">
        <v>0.0</v>
      </c>
      <c r="J207" s="132">
        <v>0.0</v>
      </c>
      <c r="K207" s="132">
        <v>0.0</v>
      </c>
      <c r="L207" s="132">
        <v>0.0</v>
      </c>
      <c r="M207" s="132">
        <v>0.0</v>
      </c>
      <c r="N207" s="132">
        <v>0.0</v>
      </c>
      <c r="O207" s="132">
        <v>0.0</v>
      </c>
      <c r="P207" s="132">
        <v>0.0</v>
      </c>
      <c r="Q207" s="132">
        <v>0.0</v>
      </c>
      <c r="R207" s="132">
        <v>0.0</v>
      </c>
      <c r="S207" s="132">
        <v>0.0</v>
      </c>
      <c r="T207" s="132">
        <v>0.0</v>
      </c>
      <c r="U207" s="132">
        <v>0.0</v>
      </c>
      <c r="V207" s="132">
        <v>0.0</v>
      </c>
      <c r="W207" s="132">
        <v>0.0</v>
      </c>
      <c r="Y207" s="132" t="s">
        <v>3709</v>
      </c>
      <c r="Z207" s="132">
        <f t="shared" ref="Z207:AC207" si="410">C207-1000</f>
        <v>-1000</v>
      </c>
      <c r="AA207" s="132">
        <f t="shared" si="410"/>
        <v>-1000</v>
      </c>
      <c r="AB207" s="132">
        <f t="shared" si="410"/>
        <v>-1000</v>
      </c>
      <c r="AC207" s="132">
        <f t="shared" si="410"/>
        <v>-1000</v>
      </c>
      <c r="AD207" s="132">
        <f t="shared" si="4"/>
        <v>-9650</v>
      </c>
      <c r="AE207" s="132">
        <f t="shared" ref="AE207:AS207" si="411">H207-1000</f>
        <v>-1000</v>
      </c>
      <c r="AF207" s="132">
        <f t="shared" si="411"/>
        <v>-1000</v>
      </c>
      <c r="AG207" s="132">
        <f t="shared" si="411"/>
        <v>-1000</v>
      </c>
      <c r="AH207" s="132">
        <f t="shared" si="411"/>
        <v>-1000</v>
      </c>
      <c r="AI207" s="132">
        <f t="shared" si="411"/>
        <v>-1000</v>
      </c>
      <c r="AJ207" s="132">
        <f t="shared" si="411"/>
        <v>-1000</v>
      </c>
      <c r="AK207" s="132">
        <f t="shared" si="411"/>
        <v>-1000</v>
      </c>
      <c r="AL207" s="132">
        <f t="shared" si="411"/>
        <v>-1000</v>
      </c>
      <c r="AM207" s="132">
        <f t="shared" si="411"/>
        <v>-1000</v>
      </c>
      <c r="AN207" s="132">
        <f t="shared" si="411"/>
        <v>-1000</v>
      </c>
      <c r="AO207" s="132">
        <f t="shared" si="411"/>
        <v>-1000</v>
      </c>
      <c r="AP207" s="132">
        <f t="shared" si="411"/>
        <v>-1000</v>
      </c>
      <c r="AQ207" s="132">
        <f t="shared" si="411"/>
        <v>-1000</v>
      </c>
      <c r="AR207" s="132">
        <f t="shared" si="411"/>
        <v>-1000</v>
      </c>
      <c r="AS207" s="132">
        <f t="shared" si="411"/>
        <v>-1000</v>
      </c>
    </row>
    <row r="208">
      <c r="A208" s="132" t="s">
        <v>3710</v>
      </c>
      <c r="B208" s="132">
        <v>25000.0</v>
      </c>
      <c r="C208" s="132">
        <v>0.0</v>
      </c>
      <c r="D208" s="132">
        <v>0.0</v>
      </c>
      <c r="E208" s="132">
        <v>0.0</v>
      </c>
      <c r="F208" s="132">
        <v>0.0</v>
      </c>
      <c r="G208" s="132">
        <v>25000.0</v>
      </c>
      <c r="H208" s="132">
        <v>0.0</v>
      </c>
      <c r="I208" s="132">
        <v>0.0</v>
      </c>
      <c r="J208" s="132">
        <v>0.0</v>
      </c>
      <c r="K208" s="132">
        <v>0.0</v>
      </c>
      <c r="L208" s="132">
        <v>0.0</v>
      </c>
      <c r="M208" s="132">
        <v>0.0</v>
      </c>
      <c r="N208" s="132">
        <v>0.0</v>
      </c>
      <c r="O208" s="132">
        <v>0.0</v>
      </c>
      <c r="P208" s="132">
        <v>0.0</v>
      </c>
      <c r="Q208" s="132">
        <v>0.0</v>
      </c>
      <c r="R208" s="132">
        <v>0.0</v>
      </c>
      <c r="S208" s="132">
        <v>0.0</v>
      </c>
      <c r="T208" s="132">
        <v>0.0</v>
      </c>
      <c r="U208" s="132">
        <v>0.0</v>
      </c>
      <c r="V208" s="132">
        <v>0.0</v>
      </c>
      <c r="W208" s="132">
        <v>1.0</v>
      </c>
      <c r="Y208" s="132" t="s">
        <v>3710</v>
      </c>
      <c r="Z208" s="132">
        <f t="shared" ref="Z208:AC208" si="412">C208-1000</f>
        <v>-1000</v>
      </c>
      <c r="AA208" s="132">
        <f t="shared" si="412"/>
        <v>-1000</v>
      </c>
      <c r="AB208" s="132">
        <f t="shared" si="412"/>
        <v>-1000</v>
      </c>
      <c r="AC208" s="132">
        <f t="shared" si="412"/>
        <v>-1000</v>
      </c>
      <c r="AD208" s="132">
        <f t="shared" si="4"/>
        <v>15000</v>
      </c>
      <c r="AE208" s="132">
        <f t="shared" ref="AE208:AS208" si="413">H208-1000</f>
        <v>-1000</v>
      </c>
      <c r="AF208" s="132">
        <f t="shared" si="413"/>
        <v>-1000</v>
      </c>
      <c r="AG208" s="132">
        <f t="shared" si="413"/>
        <v>-1000</v>
      </c>
      <c r="AH208" s="132">
        <f t="shared" si="413"/>
        <v>-1000</v>
      </c>
      <c r="AI208" s="132">
        <f t="shared" si="413"/>
        <v>-1000</v>
      </c>
      <c r="AJ208" s="132">
        <f t="shared" si="413"/>
        <v>-1000</v>
      </c>
      <c r="AK208" s="132">
        <f t="shared" si="413"/>
        <v>-1000</v>
      </c>
      <c r="AL208" s="132">
        <f t="shared" si="413"/>
        <v>-1000</v>
      </c>
      <c r="AM208" s="132">
        <f t="shared" si="413"/>
        <v>-1000</v>
      </c>
      <c r="AN208" s="132">
        <f t="shared" si="413"/>
        <v>-1000</v>
      </c>
      <c r="AO208" s="132">
        <f t="shared" si="413"/>
        <v>-1000</v>
      </c>
      <c r="AP208" s="132">
        <f t="shared" si="413"/>
        <v>-1000</v>
      </c>
      <c r="AQ208" s="132">
        <f t="shared" si="413"/>
        <v>-1000</v>
      </c>
      <c r="AR208" s="132">
        <f t="shared" si="413"/>
        <v>-1000</v>
      </c>
      <c r="AS208" s="132">
        <f t="shared" si="413"/>
        <v>-1000</v>
      </c>
    </row>
    <row r="209">
      <c r="A209" s="132" t="s">
        <v>3711</v>
      </c>
      <c r="B209" s="132">
        <v>750.0</v>
      </c>
      <c r="C209" s="132">
        <v>0.0</v>
      </c>
      <c r="D209" s="132">
        <v>0.0</v>
      </c>
      <c r="E209" s="132">
        <v>0.0</v>
      </c>
      <c r="F209" s="132">
        <v>0.0</v>
      </c>
      <c r="G209" s="132">
        <v>750.0</v>
      </c>
      <c r="H209" s="132">
        <v>0.0</v>
      </c>
      <c r="I209" s="132">
        <v>0.0</v>
      </c>
      <c r="J209" s="132">
        <v>0.0</v>
      </c>
      <c r="K209" s="132">
        <v>0.0</v>
      </c>
      <c r="L209" s="132">
        <v>0.0</v>
      </c>
      <c r="M209" s="132">
        <v>0.0</v>
      </c>
      <c r="N209" s="132">
        <v>0.0</v>
      </c>
      <c r="O209" s="132">
        <v>0.0</v>
      </c>
      <c r="P209" s="132">
        <v>0.0</v>
      </c>
      <c r="Q209" s="132">
        <v>0.0</v>
      </c>
      <c r="R209" s="132">
        <v>0.0</v>
      </c>
      <c r="S209" s="132">
        <v>0.0</v>
      </c>
      <c r="T209" s="132">
        <v>0.0</v>
      </c>
      <c r="U209" s="132">
        <v>0.0</v>
      </c>
      <c r="V209" s="132">
        <v>0.0</v>
      </c>
      <c r="W209" s="132">
        <v>0.0</v>
      </c>
      <c r="Y209" s="132" t="s">
        <v>3711</v>
      </c>
      <c r="Z209" s="132">
        <f t="shared" ref="Z209:AC209" si="414">C209-1000</f>
        <v>-1000</v>
      </c>
      <c r="AA209" s="132">
        <f t="shared" si="414"/>
        <v>-1000</v>
      </c>
      <c r="AB209" s="132">
        <f t="shared" si="414"/>
        <v>-1000</v>
      </c>
      <c r="AC209" s="132">
        <f t="shared" si="414"/>
        <v>-1000</v>
      </c>
      <c r="AD209" s="132">
        <f t="shared" si="4"/>
        <v>-9250</v>
      </c>
      <c r="AE209" s="132">
        <f t="shared" ref="AE209:AS209" si="415">H209-1000</f>
        <v>-1000</v>
      </c>
      <c r="AF209" s="132">
        <f t="shared" si="415"/>
        <v>-1000</v>
      </c>
      <c r="AG209" s="132">
        <f t="shared" si="415"/>
        <v>-1000</v>
      </c>
      <c r="AH209" s="132">
        <f t="shared" si="415"/>
        <v>-1000</v>
      </c>
      <c r="AI209" s="132">
        <f t="shared" si="415"/>
        <v>-1000</v>
      </c>
      <c r="AJ209" s="132">
        <f t="shared" si="415"/>
        <v>-1000</v>
      </c>
      <c r="AK209" s="132">
        <f t="shared" si="415"/>
        <v>-1000</v>
      </c>
      <c r="AL209" s="132">
        <f t="shared" si="415"/>
        <v>-1000</v>
      </c>
      <c r="AM209" s="132">
        <f t="shared" si="415"/>
        <v>-1000</v>
      </c>
      <c r="AN209" s="132">
        <f t="shared" si="415"/>
        <v>-1000</v>
      </c>
      <c r="AO209" s="132">
        <f t="shared" si="415"/>
        <v>-1000</v>
      </c>
      <c r="AP209" s="132">
        <f t="shared" si="415"/>
        <v>-1000</v>
      </c>
      <c r="AQ209" s="132">
        <f t="shared" si="415"/>
        <v>-1000</v>
      </c>
      <c r="AR209" s="132">
        <f t="shared" si="415"/>
        <v>-1000</v>
      </c>
      <c r="AS209" s="132">
        <f t="shared" si="415"/>
        <v>-1000</v>
      </c>
    </row>
    <row r="210">
      <c r="A210" s="132" t="s">
        <v>3712</v>
      </c>
      <c r="B210" s="132">
        <v>1000.0</v>
      </c>
      <c r="C210" s="132">
        <v>250.0</v>
      </c>
      <c r="D210" s="132">
        <v>0.0</v>
      </c>
      <c r="E210" s="132">
        <v>0.0</v>
      </c>
      <c r="F210" s="132">
        <v>250.0</v>
      </c>
      <c r="G210" s="132">
        <v>500.0</v>
      </c>
      <c r="H210" s="132">
        <v>0.0</v>
      </c>
      <c r="I210" s="132">
        <v>0.0</v>
      </c>
      <c r="J210" s="132">
        <v>0.0</v>
      </c>
      <c r="K210" s="132">
        <v>0.0</v>
      </c>
      <c r="L210" s="132">
        <v>0.0</v>
      </c>
      <c r="M210" s="132">
        <v>0.0</v>
      </c>
      <c r="N210" s="132">
        <v>0.0</v>
      </c>
      <c r="O210" s="132">
        <v>0.0</v>
      </c>
      <c r="P210" s="132">
        <v>0.0</v>
      </c>
      <c r="Q210" s="132">
        <v>0.0</v>
      </c>
      <c r="R210" s="132">
        <v>0.0</v>
      </c>
      <c r="S210" s="132">
        <v>0.0</v>
      </c>
      <c r="T210" s="132">
        <v>0.0</v>
      </c>
      <c r="U210" s="132">
        <v>0.0</v>
      </c>
      <c r="V210" s="132">
        <v>0.0</v>
      </c>
      <c r="W210" s="132">
        <v>1.0</v>
      </c>
      <c r="Y210" s="132" t="s">
        <v>3712</v>
      </c>
      <c r="Z210" s="132">
        <f t="shared" ref="Z210:AC210" si="416">C210-1000</f>
        <v>-750</v>
      </c>
      <c r="AA210" s="132">
        <f t="shared" si="416"/>
        <v>-1000</v>
      </c>
      <c r="AB210" s="132">
        <f t="shared" si="416"/>
        <v>-1000</v>
      </c>
      <c r="AC210" s="132">
        <f t="shared" si="416"/>
        <v>-750</v>
      </c>
      <c r="AD210" s="132">
        <f t="shared" si="4"/>
        <v>-9500</v>
      </c>
      <c r="AE210" s="132">
        <f t="shared" ref="AE210:AS210" si="417">H210-1000</f>
        <v>-1000</v>
      </c>
      <c r="AF210" s="132">
        <f t="shared" si="417"/>
        <v>-1000</v>
      </c>
      <c r="AG210" s="132">
        <f t="shared" si="417"/>
        <v>-1000</v>
      </c>
      <c r="AH210" s="132">
        <f t="shared" si="417"/>
        <v>-1000</v>
      </c>
      <c r="AI210" s="132">
        <f t="shared" si="417"/>
        <v>-1000</v>
      </c>
      <c r="AJ210" s="132">
        <f t="shared" si="417"/>
        <v>-1000</v>
      </c>
      <c r="AK210" s="132">
        <f t="shared" si="417"/>
        <v>-1000</v>
      </c>
      <c r="AL210" s="132">
        <f t="shared" si="417"/>
        <v>-1000</v>
      </c>
      <c r="AM210" s="132">
        <f t="shared" si="417"/>
        <v>-1000</v>
      </c>
      <c r="AN210" s="132">
        <f t="shared" si="417"/>
        <v>-1000</v>
      </c>
      <c r="AO210" s="132">
        <f t="shared" si="417"/>
        <v>-1000</v>
      </c>
      <c r="AP210" s="132">
        <f t="shared" si="417"/>
        <v>-1000</v>
      </c>
      <c r="AQ210" s="132">
        <f t="shared" si="417"/>
        <v>-1000</v>
      </c>
      <c r="AR210" s="132">
        <f t="shared" si="417"/>
        <v>-1000</v>
      </c>
      <c r="AS210" s="132">
        <f t="shared" si="417"/>
        <v>-1000</v>
      </c>
    </row>
    <row r="211">
      <c r="A211" s="132" t="s">
        <v>3713</v>
      </c>
      <c r="B211" s="132">
        <v>1250.0</v>
      </c>
      <c r="C211" s="132">
        <v>0.0</v>
      </c>
      <c r="D211" s="132">
        <v>0.0</v>
      </c>
      <c r="E211" s="132">
        <v>0.0</v>
      </c>
      <c r="F211" s="132">
        <v>0.0</v>
      </c>
      <c r="G211" s="132">
        <v>1250.0</v>
      </c>
      <c r="H211" s="132">
        <v>0.0</v>
      </c>
      <c r="I211" s="132">
        <v>0.0</v>
      </c>
      <c r="J211" s="132">
        <v>0.0</v>
      </c>
      <c r="K211" s="132">
        <v>0.0</v>
      </c>
      <c r="L211" s="132">
        <v>0.0</v>
      </c>
      <c r="M211" s="132">
        <v>0.0</v>
      </c>
      <c r="N211" s="132">
        <v>0.0</v>
      </c>
      <c r="O211" s="132">
        <v>0.0</v>
      </c>
      <c r="P211" s="132">
        <v>0.0</v>
      </c>
      <c r="Q211" s="132">
        <v>0.0</v>
      </c>
      <c r="R211" s="132">
        <v>0.0</v>
      </c>
      <c r="S211" s="132">
        <v>0.0</v>
      </c>
      <c r="T211" s="132">
        <v>0.0</v>
      </c>
      <c r="U211" s="132">
        <v>0.0</v>
      </c>
      <c r="V211" s="132">
        <v>0.0</v>
      </c>
      <c r="W211" s="132">
        <v>1.0</v>
      </c>
      <c r="Y211" s="132" t="s">
        <v>3713</v>
      </c>
      <c r="Z211" s="132">
        <f t="shared" ref="Z211:AC211" si="418">C211-1000</f>
        <v>-1000</v>
      </c>
      <c r="AA211" s="132">
        <f t="shared" si="418"/>
        <v>-1000</v>
      </c>
      <c r="AB211" s="132">
        <f t="shared" si="418"/>
        <v>-1000</v>
      </c>
      <c r="AC211" s="132">
        <f t="shared" si="418"/>
        <v>-1000</v>
      </c>
      <c r="AD211" s="132">
        <f t="shared" si="4"/>
        <v>-8750</v>
      </c>
      <c r="AE211" s="132">
        <f t="shared" ref="AE211:AS211" si="419">H211-1000</f>
        <v>-1000</v>
      </c>
      <c r="AF211" s="132">
        <f t="shared" si="419"/>
        <v>-1000</v>
      </c>
      <c r="AG211" s="132">
        <f t="shared" si="419"/>
        <v>-1000</v>
      </c>
      <c r="AH211" s="132">
        <f t="shared" si="419"/>
        <v>-1000</v>
      </c>
      <c r="AI211" s="132">
        <f t="shared" si="419"/>
        <v>-1000</v>
      </c>
      <c r="AJ211" s="132">
        <f t="shared" si="419"/>
        <v>-1000</v>
      </c>
      <c r="AK211" s="132">
        <f t="shared" si="419"/>
        <v>-1000</v>
      </c>
      <c r="AL211" s="132">
        <f t="shared" si="419"/>
        <v>-1000</v>
      </c>
      <c r="AM211" s="132">
        <f t="shared" si="419"/>
        <v>-1000</v>
      </c>
      <c r="AN211" s="132">
        <f t="shared" si="419"/>
        <v>-1000</v>
      </c>
      <c r="AO211" s="132">
        <f t="shared" si="419"/>
        <v>-1000</v>
      </c>
      <c r="AP211" s="132">
        <f t="shared" si="419"/>
        <v>-1000</v>
      </c>
      <c r="AQ211" s="132">
        <f t="shared" si="419"/>
        <v>-1000</v>
      </c>
      <c r="AR211" s="132">
        <f t="shared" si="419"/>
        <v>-1000</v>
      </c>
      <c r="AS211" s="132">
        <f t="shared" si="419"/>
        <v>-1000</v>
      </c>
    </row>
    <row r="212">
      <c r="A212" s="132" t="s">
        <v>3714</v>
      </c>
      <c r="B212" s="132">
        <v>350.0</v>
      </c>
      <c r="C212" s="132">
        <v>0.0</v>
      </c>
      <c r="D212" s="132">
        <v>0.0</v>
      </c>
      <c r="E212" s="132">
        <v>0.0</v>
      </c>
      <c r="F212" s="132">
        <v>0.0</v>
      </c>
      <c r="G212" s="132">
        <v>350.0</v>
      </c>
      <c r="H212" s="132">
        <v>0.0</v>
      </c>
      <c r="I212" s="132">
        <v>0.0</v>
      </c>
      <c r="J212" s="132">
        <v>0.0</v>
      </c>
      <c r="K212" s="132">
        <v>0.0</v>
      </c>
      <c r="L212" s="132">
        <v>0.0</v>
      </c>
      <c r="M212" s="132">
        <v>0.0</v>
      </c>
      <c r="N212" s="132">
        <v>0.0</v>
      </c>
      <c r="O212" s="132">
        <v>0.0</v>
      </c>
      <c r="P212" s="132">
        <v>0.0</v>
      </c>
      <c r="Q212" s="132">
        <v>0.0</v>
      </c>
      <c r="R212" s="132">
        <v>0.0</v>
      </c>
      <c r="S212" s="132">
        <v>0.0</v>
      </c>
      <c r="T212" s="132">
        <v>0.0</v>
      </c>
      <c r="U212" s="132">
        <v>0.0</v>
      </c>
      <c r="V212" s="132">
        <v>0.0</v>
      </c>
      <c r="W212" s="132">
        <v>0.0</v>
      </c>
      <c r="Y212" s="132" t="s">
        <v>3714</v>
      </c>
      <c r="Z212" s="132">
        <f t="shared" ref="Z212:AC212" si="420">C212-1000</f>
        <v>-1000</v>
      </c>
      <c r="AA212" s="132">
        <f t="shared" si="420"/>
        <v>-1000</v>
      </c>
      <c r="AB212" s="132">
        <f t="shared" si="420"/>
        <v>-1000</v>
      </c>
      <c r="AC212" s="132">
        <f t="shared" si="420"/>
        <v>-1000</v>
      </c>
      <c r="AD212" s="132">
        <f t="shared" si="4"/>
        <v>-9650</v>
      </c>
      <c r="AE212" s="132">
        <f t="shared" ref="AE212:AS212" si="421">H212-1000</f>
        <v>-1000</v>
      </c>
      <c r="AF212" s="132">
        <f t="shared" si="421"/>
        <v>-1000</v>
      </c>
      <c r="AG212" s="132">
        <f t="shared" si="421"/>
        <v>-1000</v>
      </c>
      <c r="AH212" s="132">
        <f t="shared" si="421"/>
        <v>-1000</v>
      </c>
      <c r="AI212" s="132">
        <f t="shared" si="421"/>
        <v>-1000</v>
      </c>
      <c r="AJ212" s="132">
        <f t="shared" si="421"/>
        <v>-1000</v>
      </c>
      <c r="AK212" s="132">
        <f t="shared" si="421"/>
        <v>-1000</v>
      </c>
      <c r="AL212" s="132">
        <f t="shared" si="421"/>
        <v>-1000</v>
      </c>
      <c r="AM212" s="132">
        <f t="shared" si="421"/>
        <v>-1000</v>
      </c>
      <c r="AN212" s="132">
        <f t="shared" si="421"/>
        <v>-1000</v>
      </c>
      <c r="AO212" s="132">
        <f t="shared" si="421"/>
        <v>-1000</v>
      </c>
      <c r="AP212" s="132">
        <f t="shared" si="421"/>
        <v>-1000</v>
      </c>
      <c r="AQ212" s="132">
        <f t="shared" si="421"/>
        <v>-1000</v>
      </c>
      <c r="AR212" s="132">
        <f t="shared" si="421"/>
        <v>-1000</v>
      </c>
      <c r="AS212" s="132">
        <f t="shared" si="421"/>
        <v>-1000</v>
      </c>
    </row>
    <row r="213">
      <c r="A213" s="132" t="s">
        <v>3715</v>
      </c>
      <c r="B213" s="132">
        <v>2950.0</v>
      </c>
      <c r="C213" s="132">
        <v>0.0</v>
      </c>
      <c r="D213" s="132">
        <v>0.0</v>
      </c>
      <c r="E213" s="132">
        <v>0.0</v>
      </c>
      <c r="F213" s="132">
        <v>300.0</v>
      </c>
      <c r="G213" s="132">
        <v>1500.0</v>
      </c>
      <c r="H213" s="132">
        <v>0.0</v>
      </c>
      <c r="I213" s="132">
        <v>100.0</v>
      </c>
      <c r="J213" s="132">
        <v>0.0</v>
      </c>
      <c r="K213" s="132">
        <v>0.0</v>
      </c>
      <c r="L213" s="132">
        <v>800.0</v>
      </c>
      <c r="M213" s="132">
        <v>250.0</v>
      </c>
      <c r="N213" s="132">
        <v>0.0</v>
      </c>
      <c r="O213" s="132">
        <v>0.0</v>
      </c>
      <c r="P213" s="132">
        <v>0.0</v>
      </c>
      <c r="Q213" s="132">
        <v>0.0</v>
      </c>
      <c r="R213" s="132">
        <v>0.0</v>
      </c>
      <c r="S213" s="132">
        <v>0.0</v>
      </c>
      <c r="T213" s="132">
        <v>0.0</v>
      </c>
      <c r="U213" s="132">
        <v>0.0</v>
      </c>
      <c r="V213" s="132">
        <v>0.0</v>
      </c>
      <c r="W213" s="132">
        <v>1.0</v>
      </c>
      <c r="Y213" s="132" t="s">
        <v>3715</v>
      </c>
      <c r="Z213" s="132">
        <f t="shared" ref="Z213:AC213" si="422">C213-1000</f>
        <v>-1000</v>
      </c>
      <c r="AA213" s="132">
        <f t="shared" si="422"/>
        <v>-1000</v>
      </c>
      <c r="AB213" s="132">
        <f t="shared" si="422"/>
        <v>-1000</v>
      </c>
      <c r="AC213" s="132">
        <f t="shared" si="422"/>
        <v>-700</v>
      </c>
      <c r="AD213" s="132">
        <f t="shared" si="4"/>
        <v>-8500</v>
      </c>
      <c r="AE213" s="132">
        <f t="shared" ref="AE213:AS213" si="423">H213-1000</f>
        <v>-1000</v>
      </c>
      <c r="AF213" s="132">
        <f t="shared" si="423"/>
        <v>-900</v>
      </c>
      <c r="AG213" s="132">
        <f t="shared" si="423"/>
        <v>-1000</v>
      </c>
      <c r="AH213" s="132">
        <f t="shared" si="423"/>
        <v>-1000</v>
      </c>
      <c r="AI213" s="132">
        <f t="shared" si="423"/>
        <v>-200</v>
      </c>
      <c r="AJ213" s="132">
        <f t="shared" si="423"/>
        <v>-750</v>
      </c>
      <c r="AK213" s="132">
        <f t="shared" si="423"/>
        <v>-1000</v>
      </c>
      <c r="AL213" s="132">
        <f t="shared" si="423"/>
        <v>-1000</v>
      </c>
      <c r="AM213" s="132">
        <f t="shared" si="423"/>
        <v>-1000</v>
      </c>
      <c r="AN213" s="132">
        <f t="shared" si="423"/>
        <v>-1000</v>
      </c>
      <c r="AO213" s="132">
        <f t="shared" si="423"/>
        <v>-1000</v>
      </c>
      <c r="AP213" s="132">
        <f t="shared" si="423"/>
        <v>-1000</v>
      </c>
      <c r="AQ213" s="132">
        <f t="shared" si="423"/>
        <v>-1000</v>
      </c>
      <c r="AR213" s="132">
        <f t="shared" si="423"/>
        <v>-1000</v>
      </c>
      <c r="AS213" s="132">
        <f t="shared" si="423"/>
        <v>-1000</v>
      </c>
    </row>
    <row r="214">
      <c r="A214" s="132" t="s">
        <v>3716</v>
      </c>
      <c r="B214" s="132">
        <v>5000.0</v>
      </c>
      <c r="C214" s="132">
        <v>0.0</v>
      </c>
      <c r="D214" s="132">
        <v>0.0</v>
      </c>
      <c r="E214" s="132">
        <v>0.0</v>
      </c>
      <c r="F214" s="132">
        <v>0.0</v>
      </c>
      <c r="G214" s="132">
        <v>5000.0</v>
      </c>
      <c r="H214" s="132">
        <v>0.0</v>
      </c>
      <c r="I214" s="132">
        <v>0.0</v>
      </c>
      <c r="J214" s="132">
        <v>0.0</v>
      </c>
      <c r="K214" s="132">
        <v>0.0</v>
      </c>
      <c r="L214" s="132">
        <v>0.0</v>
      </c>
      <c r="M214" s="132">
        <v>0.0</v>
      </c>
      <c r="N214" s="132">
        <v>0.0</v>
      </c>
      <c r="O214" s="132">
        <v>0.0</v>
      </c>
      <c r="P214" s="132">
        <v>0.0</v>
      </c>
      <c r="Q214" s="132">
        <v>0.0</v>
      </c>
      <c r="R214" s="132">
        <v>0.0</v>
      </c>
      <c r="S214" s="132">
        <v>0.0</v>
      </c>
      <c r="T214" s="132">
        <v>0.0</v>
      </c>
      <c r="U214" s="132">
        <v>0.0</v>
      </c>
      <c r="V214" s="132">
        <v>0.0</v>
      </c>
      <c r="W214" s="132">
        <v>0.0</v>
      </c>
      <c r="Y214" s="132" t="s">
        <v>3716</v>
      </c>
      <c r="Z214" s="132">
        <f t="shared" ref="Z214:AC214" si="424">C214-1000</f>
        <v>-1000</v>
      </c>
      <c r="AA214" s="132">
        <f t="shared" si="424"/>
        <v>-1000</v>
      </c>
      <c r="AB214" s="132">
        <f t="shared" si="424"/>
        <v>-1000</v>
      </c>
      <c r="AC214" s="132">
        <f t="shared" si="424"/>
        <v>-1000</v>
      </c>
      <c r="AD214" s="132">
        <f t="shared" si="4"/>
        <v>-5000</v>
      </c>
      <c r="AE214" s="132">
        <f t="shared" ref="AE214:AS214" si="425">H214-1000</f>
        <v>-1000</v>
      </c>
      <c r="AF214" s="132">
        <f t="shared" si="425"/>
        <v>-1000</v>
      </c>
      <c r="AG214" s="132">
        <f t="shared" si="425"/>
        <v>-1000</v>
      </c>
      <c r="AH214" s="132">
        <f t="shared" si="425"/>
        <v>-1000</v>
      </c>
      <c r="AI214" s="132">
        <f t="shared" si="425"/>
        <v>-1000</v>
      </c>
      <c r="AJ214" s="132">
        <f t="shared" si="425"/>
        <v>-1000</v>
      </c>
      <c r="AK214" s="132">
        <f t="shared" si="425"/>
        <v>-1000</v>
      </c>
      <c r="AL214" s="132">
        <f t="shared" si="425"/>
        <v>-1000</v>
      </c>
      <c r="AM214" s="132">
        <f t="shared" si="425"/>
        <v>-1000</v>
      </c>
      <c r="AN214" s="132">
        <f t="shared" si="425"/>
        <v>-1000</v>
      </c>
      <c r="AO214" s="132">
        <f t="shared" si="425"/>
        <v>-1000</v>
      </c>
      <c r="AP214" s="132">
        <f t="shared" si="425"/>
        <v>-1000</v>
      </c>
      <c r="AQ214" s="132">
        <f t="shared" si="425"/>
        <v>-1000</v>
      </c>
      <c r="AR214" s="132">
        <f t="shared" si="425"/>
        <v>-1000</v>
      </c>
      <c r="AS214" s="132">
        <f t="shared" si="425"/>
        <v>-1000</v>
      </c>
    </row>
    <row r="215">
      <c r="A215" s="132" t="s">
        <v>3717</v>
      </c>
      <c r="B215" s="132">
        <v>7500.0</v>
      </c>
      <c r="C215" s="132">
        <v>0.0</v>
      </c>
      <c r="D215" s="132">
        <v>0.0</v>
      </c>
      <c r="E215" s="132">
        <v>0.0</v>
      </c>
      <c r="F215" s="132">
        <v>0.0</v>
      </c>
      <c r="G215" s="132">
        <v>7500.0</v>
      </c>
      <c r="H215" s="132">
        <v>0.0</v>
      </c>
      <c r="I215" s="132">
        <v>0.0</v>
      </c>
      <c r="J215" s="132">
        <v>0.0</v>
      </c>
      <c r="K215" s="132">
        <v>0.0</v>
      </c>
      <c r="L215" s="132">
        <v>0.0</v>
      </c>
      <c r="M215" s="132">
        <v>0.0</v>
      </c>
      <c r="N215" s="132">
        <v>0.0</v>
      </c>
      <c r="O215" s="132">
        <v>0.0</v>
      </c>
      <c r="P215" s="132">
        <v>0.0</v>
      </c>
      <c r="Q215" s="132">
        <v>0.0</v>
      </c>
      <c r="R215" s="132">
        <v>0.0</v>
      </c>
      <c r="S215" s="132">
        <v>0.0</v>
      </c>
      <c r="T215" s="132">
        <v>0.0</v>
      </c>
      <c r="U215" s="132">
        <v>0.0</v>
      </c>
      <c r="V215" s="132">
        <v>0.0</v>
      </c>
      <c r="W215" s="132">
        <v>1.0</v>
      </c>
      <c r="Y215" s="132" t="s">
        <v>3717</v>
      </c>
      <c r="Z215" s="132">
        <f t="shared" ref="Z215:AC215" si="426">C215-1000</f>
        <v>-1000</v>
      </c>
      <c r="AA215" s="132">
        <f t="shared" si="426"/>
        <v>-1000</v>
      </c>
      <c r="AB215" s="132">
        <f t="shared" si="426"/>
        <v>-1000</v>
      </c>
      <c r="AC215" s="132">
        <f t="shared" si="426"/>
        <v>-1000</v>
      </c>
      <c r="AD215" s="132">
        <f t="shared" si="4"/>
        <v>-2500</v>
      </c>
      <c r="AE215" s="132">
        <f t="shared" ref="AE215:AS215" si="427">H215-1000</f>
        <v>-1000</v>
      </c>
      <c r="AF215" s="132">
        <f t="shared" si="427"/>
        <v>-1000</v>
      </c>
      <c r="AG215" s="132">
        <f t="shared" si="427"/>
        <v>-1000</v>
      </c>
      <c r="AH215" s="132">
        <f t="shared" si="427"/>
        <v>-1000</v>
      </c>
      <c r="AI215" s="132">
        <f t="shared" si="427"/>
        <v>-1000</v>
      </c>
      <c r="AJ215" s="132">
        <f t="shared" si="427"/>
        <v>-1000</v>
      </c>
      <c r="AK215" s="132">
        <f t="shared" si="427"/>
        <v>-1000</v>
      </c>
      <c r="AL215" s="132">
        <f t="shared" si="427"/>
        <v>-1000</v>
      </c>
      <c r="AM215" s="132">
        <f t="shared" si="427"/>
        <v>-1000</v>
      </c>
      <c r="AN215" s="132">
        <f t="shared" si="427"/>
        <v>-1000</v>
      </c>
      <c r="AO215" s="132">
        <f t="shared" si="427"/>
        <v>-1000</v>
      </c>
      <c r="AP215" s="132">
        <f t="shared" si="427"/>
        <v>-1000</v>
      </c>
      <c r="AQ215" s="132">
        <f t="shared" si="427"/>
        <v>-1000</v>
      </c>
      <c r="AR215" s="132">
        <f t="shared" si="427"/>
        <v>-1000</v>
      </c>
      <c r="AS215" s="132">
        <f t="shared" si="427"/>
        <v>-1000</v>
      </c>
    </row>
    <row r="216">
      <c r="A216" s="132" t="s">
        <v>3718</v>
      </c>
      <c r="B216" s="132">
        <v>900.0</v>
      </c>
      <c r="C216" s="132">
        <v>0.0</v>
      </c>
      <c r="D216" s="132">
        <v>0.0</v>
      </c>
      <c r="E216" s="132">
        <v>0.0</v>
      </c>
      <c r="F216" s="132">
        <v>100.0</v>
      </c>
      <c r="G216" s="132">
        <v>800.0</v>
      </c>
      <c r="H216" s="132">
        <v>0.0</v>
      </c>
      <c r="I216" s="132">
        <v>0.0</v>
      </c>
      <c r="J216" s="132">
        <v>0.0</v>
      </c>
      <c r="K216" s="132">
        <v>0.0</v>
      </c>
      <c r="L216" s="132">
        <v>0.0</v>
      </c>
      <c r="M216" s="132">
        <v>0.0</v>
      </c>
      <c r="N216" s="132">
        <v>0.0</v>
      </c>
      <c r="O216" s="132">
        <v>0.0</v>
      </c>
      <c r="P216" s="132">
        <v>0.0</v>
      </c>
      <c r="Q216" s="132">
        <v>0.0</v>
      </c>
      <c r="R216" s="132">
        <v>0.0</v>
      </c>
      <c r="S216" s="132">
        <v>0.0</v>
      </c>
      <c r="T216" s="132">
        <v>0.0</v>
      </c>
      <c r="U216" s="132">
        <v>0.0</v>
      </c>
      <c r="V216" s="132">
        <v>0.0</v>
      </c>
      <c r="W216" s="132">
        <v>1.0</v>
      </c>
      <c r="Y216" s="132" t="s">
        <v>3718</v>
      </c>
      <c r="Z216" s="132">
        <f t="shared" ref="Z216:AC216" si="428">C216-1000</f>
        <v>-1000</v>
      </c>
      <c r="AA216" s="132">
        <f t="shared" si="428"/>
        <v>-1000</v>
      </c>
      <c r="AB216" s="132">
        <f t="shared" si="428"/>
        <v>-1000</v>
      </c>
      <c r="AC216" s="132">
        <f t="shared" si="428"/>
        <v>-900</v>
      </c>
      <c r="AD216" s="132">
        <f t="shared" si="4"/>
        <v>-9200</v>
      </c>
      <c r="AE216" s="132">
        <f t="shared" ref="AE216:AS216" si="429">H216-1000</f>
        <v>-1000</v>
      </c>
      <c r="AF216" s="132">
        <f t="shared" si="429"/>
        <v>-1000</v>
      </c>
      <c r="AG216" s="132">
        <f t="shared" si="429"/>
        <v>-1000</v>
      </c>
      <c r="AH216" s="132">
        <f t="shared" si="429"/>
        <v>-1000</v>
      </c>
      <c r="AI216" s="132">
        <f t="shared" si="429"/>
        <v>-1000</v>
      </c>
      <c r="AJ216" s="132">
        <f t="shared" si="429"/>
        <v>-1000</v>
      </c>
      <c r="AK216" s="132">
        <f t="shared" si="429"/>
        <v>-1000</v>
      </c>
      <c r="AL216" s="132">
        <f t="shared" si="429"/>
        <v>-1000</v>
      </c>
      <c r="AM216" s="132">
        <f t="shared" si="429"/>
        <v>-1000</v>
      </c>
      <c r="AN216" s="132">
        <f t="shared" si="429"/>
        <v>-1000</v>
      </c>
      <c r="AO216" s="132">
        <f t="shared" si="429"/>
        <v>-1000</v>
      </c>
      <c r="AP216" s="132">
        <f t="shared" si="429"/>
        <v>-1000</v>
      </c>
      <c r="AQ216" s="132">
        <f t="shared" si="429"/>
        <v>-1000</v>
      </c>
      <c r="AR216" s="132">
        <f t="shared" si="429"/>
        <v>-1000</v>
      </c>
      <c r="AS216" s="132">
        <f t="shared" si="429"/>
        <v>-1000</v>
      </c>
    </row>
    <row r="217">
      <c r="A217" s="132" t="s">
        <v>3719</v>
      </c>
      <c r="B217" s="132">
        <v>1000.0</v>
      </c>
      <c r="C217" s="132">
        <v>0.0</v>
      </c>
      <c r="D217" s="132">
        <v>0.0</v>
      </c>
      <c r="E217" s="132">
        <v>0.0</v>
      </c>
      <c r="F217" s="132">
        <v>0.0</v>
      </c>
      <c r="G217" s="132">
        <v>1000.0</v>
      </c>
      <c r="H217" s="132">
        <v>0.0</v>
      </c>
      <c r="I217" s="132">
        <v>0.0</v>
      </c>
      <c r="J217" s="132">
        <v>0.0</v>
      </c>
      <c r="K217" s="132">
        <v>0.0</v>
      </c>
      <c r="L217" s="132">
        <v>0.0</v>
      </c>
      <c r="M217" s="132">
        <v>0.0</v>
      </c>
      <c r="N217" s="132">
        <v>0.0</v>
      </c>
      <c r="O217" s="132">
        <v>0.0</v>
      </c>
      <c r="P217" s="132">
        <v>0.0</v>
      </c>
      <c r="Q217" s="132">
        <v>0.0</v>
      </c>
      <c r="R217" s="132">
        <v>0.0</v>
      </c>
      <c r="S217" s="132">
        <v>0.0</v>
      </c>
      <c r="T217" s="132">
        <v>0.0</v>
      </c>
      <c r="U217" s="132">
        <v>0.0</v>
      </c>
      <c r="V217" s="132">
        <v>0.0</v>
      </c>
      <c r="W217" s="132">
        <v>0.0</v>
      </c>
      <c r="Y217" s="132" t="s">
        <v>3719</v>
      </c>
      <c r="Z217" s="132">
        <f t="shared" ref="Z217:AC217" si="430">C217-1000</f>
        <v>-1000</v>
      </c>
      <c r="AA217" s="132">
        <f t="shared" si="430"/>
        <v>-1000</v>
      </c>
      <c r="AB217" s="132">
        <f t="shared" si="430"/>
        <v>-1000</v>
      </c>
      <c r="AC217" s="132">
        <f t="shared" si="430"/>
        <v>-1000</v>
      </c>
      <c r="AD217" s="132">
        <f t="shared" si="4"/>
        <v>-9000</v>
      </c>
      <c r="AE217" s="132">
        <f t="shared" ref="AE217:AS217" si="431">H217-1000</f>
        <v>-1000</v>
      </c>
      <c r="AF217" s="132">
        <f t="shared" si="431"/>
        <v>-1000</v>
      </c>
      <c r="AG217" s="132">
        <f t="shared" si="431"/>
        <v>-1000</v>
      </c>
      <c r="AH217" s="132">
        <f t="shared" si="431"/>
        <v>-1000</v>
      </c>
      <c r="AI217" s="132">
        <f t="shared" si="431"/>
        <v>-1000</v>
      </c>
      <c r="AJ217" s="132">
        <f t="shared" si="431"/>
        <v>-1000</v>
      </c>
      <c r="AK217" s="132">
        <f t="shared" si="431"/>
        <v>-1000</v>
      </c>
      <c r="AL217" s="132">
        <f t="shared" si="431"/>
        <v>-1000</v>
      </c>
      <c r="AM217" s="132">
        <f t="shared" si="431"/>
        <v>-1000</v>
      </c>
      <c r="AN217" s="132">
        <f t="shared" si="431"/>
        <v>-1000</v>
      </c>
      <c r="AO217" s="132">
        <f t="shared" si="431"/>
        <v>-1000</v>
      </c>
      <c r="AP217" s="132">
        <f t="shared" si="431"/>
        <v>-1000</v>
      </c>
      <c r="AQ217" s="132">
        <f t="shared" si="431"/>
        <v>-1000</v>
      </c>
      <c r="AR217" s="132">
        <f t="shared" si="431"/>
        <v>-1000</v>
      </c>
      <c r="AS217" s="132">
        <f t="shared" si="431"/>
        <v>-1000</v>
      </c>
    </row>
    <row r="218">
      <c r="A218" s="132" t="s">
        <v>3720</v>
      </c>
      <c r="B218" s="132">
        <v>250.0</v>
      </c>
      <c r="C218" s="132">
        <v>0.0</v>
      </c>
      <c r="D218" s="132">
        <v>0.0</v>
      </c>
      <c r="E218" s="132">
        <v>0.0</v>
      </c>
      <c r="F218" s="132">
        <v>0.0</v>
      </c>
      <c r="G218" s="132">
        <v>250.0</v>
      </c>
      <c r="H218" s="132">
        <v>0.0</v>
      </c>
      <c r="I218" s="132">
        <v>0.0</v>
      </c>
      <c r="J218" s="132">
        <v>0.0</v>
      </c>
      <c r="K218" s="132">
        <v>0.0</v>
      </c>
      <c r="L218" s="132">
        <v>0.0</v>
      </c>
      <c r="M218" s="132">
        <v>0.0</v>
      </c>
      <c r="N218" s="132">
        <v>0.0</v>
      </c>
      <c r="O218" s="132">
        <v>0.0</v>
      </c>
      <c r="P218" s="132">
        <v>0.0</v>
      </c>
      <c r="Q218" s="132">
        <v>0.0</v>
      </c>
      <c r="R218" s="132">
        <v>0.0</v>
      </c>
      <c r="S218" s="132">
        <v>0.0</v>
      </c>
      <c r="T218" s="132">
        <v>0.0</v>
      </c>
      <c r="U218" s="132">
        <v>0.0</v>
      </c>
      <c r="V218" s="132">
        <v>0.0</v>
      </c>
      <c r="W218" s="132">
        <v>0.0</v>
      </c>
      <c r="Y218" s="132" t="s">
        <v>3720</v>
      </c>
      <c r="Z218" s="132">
        <f t="shared" ref="Z218:AC218" si="432">C218-1000</f>
        <v>-1000</v>
      </c>
      <c r="AA218" s="132">
        <f t="shared" si="432"/>
        <v>-1000</v>
      </c>
      <c r="AB218" s="132">
        <f t="shared" si="432"/>
        <v>-1000</v>
      </c>
      <c r="AC218" s="132">
        <f t="shared" si="432"/>
        <v>-1000</v>
      </c>
      <c r="AD218" s="132">
        <f t="shared" si="4"/>
        <v>-9750</v>
      </c>
      <c r="AE218" s="132">
        <f t="shared" ref="AE218:AS218" si="433">H218-1000</f>
        <v>-1000</v>
      </c>
      <c r="AF218" s="132">
        <f t="shared" si="433"/>
        <v>-1000</v>
      </c>
      <c r="AG218" s="132">
        <f t="shared" si="433"/>
        <v>-1000</v>
      </c>
      <c r="AH218" s="132">
        <f t="shared" si="433"/>
        <v>-1000</v>
      </c>
      <c r="AI218" s="132">
        <f t="shared" si="433"/>
        <v>-1000</v>
      </c>
      <c r="AJ218" s="132">
        <f t="shared" si="433"/>
        <v>-1000</v>
      </c>
      <c r="AK218" s="132">
        <f t="shared" si="433"/>
        <v>-1000</v>
      </c>
      <c r="AL218" s="132">
        <f t="shared" si="433"/>
        <v>-1000</v>
      </c>
      <c r="AM218" s="132">
        <f t="shared" si="433"/>
        <v>-1000</v>
      </c>
      <c r="AN218" s="132">
        <f t="shared" si="433"/>
        <v>-1000</v>
      </c>
      <c r="AO218" s="132">
        <f t="shared" si="433"/>
        <v>-1000</v>
      </c>
      <c r="AP218" s="132">
        <f t="shared" si="433"/>
        <v>-1000</v>
      </c>
      <c r="AQ218" s="132">
        <f t="shared" si="433"/>
        <v>-1000</v>
      </c>
      <c r="AR218" s="132">
        <f t="shared" si="433"/>
        <v>-1000</v>
      </c>
      <c r="AS218" s="132">
        <f t="shared" si="433"/>
        <v>-1000</v>
      </c>
    </row>
    <row r="219">
      <c r="A219" s="132" t="s">
        <v>3721</v>
      </c>
      <c r="B219" s="132">
        <v>400.0</v>
      </c>
      <c r="C219" s="132">
        <v>0.0</v>
      </c>
      <c r="D219" s="132">
        <v>0.0</v>
      </c>
      <c r="E219" s="132">
        <v>0.0</v>
      </c>
      <c r="F219" s="132">
        <v>0.0</v>
      </c>
      <c r="G219" s="132">
        <v>400.0</v>
      </c>
      <c r="H219" s="132">
        <v>0.0</v>
      </c>
      <c r="I219" s="132">
        <v>0.0</v>
      </c>
      <c r="J219" s="132">
        <v>0.0</v>
      </c>
      <c r="K219" s="132">
        <v>0.0</v>
      </c>
      <c r="L219" s="132">
        <v>0.0</v>
      </c>
      <c r="M219" s="132">
        <v>0.0</v>
      </c>
      <c r="N219" s="132">
        <v>0.0</v>
      </c>
      <c r="O219" s="132">
        <v>0.0</v>
      </c>
      <c r="P219" s="132">
        <v>0.0</v>
      </c>
      <c r="Q219" s="132">
        <v>0.0</v>
      </c>
      <c r="R219" s="132">
        <v>0.0</v>
      </c>
      <c r="S219" s="132">
        <v>0.0</v>
      </c>
      <c r="T219" s="132">
        <v>0.0</v>
      </c>
      <c r="U219" s="132">
        <v>0.0</v>
      </c>
      <c r="V219" s="132">
        <v>0.0</v>
      </c>
      <c r="W219" s="132">
        <v>1.0</v>
      </c>
      <c r="Y219" s="132" t="s">
        <v>3721</v>
      </c>
      <c r="Z219" s="132">
        <f t="shared" ref="Z219:AC219" si="434">C219-1000</f>
        <v>-1000</v>
      </c>
      <c r="AA219" s="132">
        <f t="shared" si="434"/>
        <v>-1000</v>
      </c>
      <c r="AB219" s="132">
        <f t="shared" si="434"/>
        <v>-1000</v>
      </c>
      <c r="AC219" s="132">
        <f t="shared" si="434"/>
        <v>-1000</v>
      </c>
      <c r="AD219" s="132">
        <f t="shared" si="4"/>
        <v>-9600</v>
      </c>
      <c r="AE219" s="132">
        <f t="shared" ref="AE219:AS219" si="435">H219-1000</f>
        <v>-1000</v>
      </c>
      <c r="AF219" s="132">
        <f t="shared" si="435"/>
        <v>-1000</v>
      </c>
      <c r="AG219" s="132">
        <f t="shared" si="435"/>
        <v>-1000</v>
      </c>
      <c r="AH219" s="132">
        <f t="shared" si="435"/>
        <v>-1000</v>
      </c>
      <c r="AI219" s="132">
        <f t="shared" si="435"/>
        <v>-1000</v>
      </c>
      <c r="AJ219" s="132">
        <f t="shared" si="435"/>
        <v>-1000</v>
      </c>
      <c r="AK219" s="132">
        <f t="shared" si="435"/>
        <v>-1000</v>
      </c>
      <c r="AL219" s="132">
        <f t="shared" si="435"/>
        <v>-1000</v>
      </c>
      <c r="AM219" s="132">
        <f t="shared" si="435"/>
        <v>-1000</v>
      </c>
      <c r="AN219" s="132">
        <f t="shared" si="435"/>
        <v>-1000</v>
      </c>
      <c r="AO219" s="132">
        <f t="shared" si="435"/>
        <v>-1000</v>
      </c>
      <c r="AP219" s="132">
        <f t="shared" si="435"/>
        <v>-1000</v>
      </c>
      <c r="AQ219" s="132">
        <f t="shared" si="435"/>
        <v>-1000</v>
      </c>
      <c r="AR219" s="132">
        <f t="shared" si="435"/>
        <v>-1000</v>
      </c>
      <c r="AS219" s="132">
        <f t="shared" si="435"/>
        <v>-1000</v>
      </c>
    </row>
    <row r="220">
      <c r="A220" s="132" t="s">
        <v>3722</v>
      </c>
      <c r="B220" s="132">
        <v>7500.0</v>
      </c>
      <c r="C220" s="132">
        <v>0.0</v>
      </c>
      <c r="D220" s="132">
        <v>0.0</v>
      </c>
      <c r="E220" s="132">
        <v>0.0</v>
      </c>
      <c r="F220" s="132">
        <v>0.0</v>
      </c>
      <c r="G220" s="132">
        <v>7500.0</v>
      </c>
      <c r="H220" s="132">
        <v>0.0</v>
      </c>
      <c r="I220" s="132">
        <v>0.0</v>
      </c>
      <c r="J220" s="132">
        <v>0.0</v>
      </c>
      <c r="K220" s="132">
        <v>0.0</v>
      </c>
      <c r="L220" s="132">
        <v>0.0</v>
      </c>
      <c r="M220" s="132">
        <v>0.0</v>
      </c>
      <c r="N220" s="132">
        <v>0.0</v>
      </c>
      <c r="O220" s="132">
        <v>0.0</v>
      </c>
      <c r="P220" s="132">
        <v>0.0</v>
      </c>
      <c r="Q220" s="132">
        <v>0.0</v>
      </c>
      <c r="R220" s="132">
        <v>0.0</v>
      </c>
      <c r="S220" s="132">
        <v>0.0</v>
      </c>
      <c r="T220" s="132">
        <v>0.0</v>
      </c>
      <c r="U220" s="132">
        <v>0.0</v>
      </c>
      <c r="V220" s="132">
        <v>0.0</v>
      </c>
      <c r="W220" s="132">
        <v>1.0</v>
      </c>
      <c r="Y220" s="132" t="s">
        <v>3722</v>
      </c>
      <c r="Z220" s="132">
        <f t="shared" ref="Z220:AC220" si="436">C220-1000</f>
        <v>-1000</v>
      </c>
      <c r="AA220" s="132">
        <f t="shared" si="436"/>
        <v>-1000</v>
      </c>
      <c r="AB220" s="132">
        <f t="shared" si="436"/>
        <v>-1000</v>
      </c>
      <c r="AC220" s="132">
        <f t="shared" si="436"/>
        <v>-1000</v>
      </c>
      <c r="AD220" s="132">
        <f t="shared" si="4"/>
        <v>-2500</v>
      </c>
      <c r="AE220" s="132">
        <f t="shared" ref="AE220:AS220" si="437">H220-1000</f>
        <v>-1000</v>
      </c>
      <c r="AF220" s="132">
        <f t="shared" si="437"/>
        <v>-1000</v>
      </c>
      <c r="AG220" s="132">
        <f t="shared" si="437"/>
        <v>-1000</v>
      </c>
      <c r="AH220" s="132">
        <f t="shared" si="437"/>
        <v>-1000</v>
      </c>
      <c r="AI220" s="132">
        <f t="shared" si="437"/>
        <v>-1000</v>
      </c>
      <c r="AJ220" s="132">
        <f t="shared" si="437"/>
        <v>-1000</v>
      </c>
      <c r="AK220" s="132">
        <f t="shared" si="437"/>
        <v>-1000</v>
      </c>
      <c r="AL220" s="132">
        <f t="shared" si="437"/>
        <v>-1000</v>
      </c>
      <c r="AM220" s="132">
        <f t="shared" si="437"/>
        <v>-1000</v>
      </c>
      <c r="AN220" s="132">
        <f t="shared" si="437"/>
        <v>-1000</v>
      </c>
      <c r="AO220" s="132">
        <f t="shared" si="437"/>
        <v>-1000</v>
      </c>
      <c r="AP220" s="132">
        <f t="shared" si="437"/>
        <v>-1000</v>
      </c>
      <c r="AQ220" s="132">
        <f t="shared" si="437"/>
        <v>-1000</v>
      </c>
      <c r="AR220" s="132">
        <f t="shared" si="437"/>
        <v>-1000</v>
      </c>
      <c r="AS220" s="132">
        <f t="shared" si="437"/>
        <v>-1000</v>
      </c>
    </row>
    <row r="221">
      <c r="A221" s="132" t="s">
        <v>3723</v>
      </c>
      <c r="B221" s="132">
        <v>1000.0</v>
      </c>
      <c r="C221" s="132">
        <v>0.0</v>
      </c>
      <c r="D221" s="132">
        <v>0.0</v>
      </c>
      <c r="E221" s="132">
        <v>0.0</v>
      </c>
      <c r="F221" s="132">
        <v>0.0</v>
      </c>
      <c r="G221" s="132">
        <v>1000.0</v>
      </c>
      <c r="H221" s="132">
        <v>0.0</v>
      </c>
      <c r="I221" s="132">
        <v>0.0</v>
      </c>
      <c r="J221" s="132">
        <v>0.0</v>
      </c>
      <c r="K221" s="132">
        <v>0.0</v>
      </c>
      <c r="L221" s="132">
        <v>0.0</v>
      </c>
      <c r="M221" s="132">
        <v>0.0</v>
      </c>
      <c r="N221" s="132">
        <v>0.0</v>
      </c>
      <c r="O221" s="132">
        <v>0.0</v>
      </c>
      <c r="P221" s="132">
        <v>0.0</v>
      </c>
      <c r="Q221" s="132">
        <v>0.0</v>
      </c>
      <c r="R221" s="132">
        <v>0.0</v>
      </c>
      <c r="S221" s="132">
        <v>0.0</v>
      </c>
      <c r="T221" s="132">
        <v>0.0</v>
      </c>
      <c r="U221" s="132">
        <v>0.0</v>
      </c>
      <c r="V221" s="132">
        <v>0.0</v>
      </c>
      <c r="W221" s="132">
        <v>0.0</v>
      </c>
      <c r="Y221" s="132" t="s">
        <v>3723</v>
      </c>
      <c r="Z221" s="132">
        <f t="shared" ref="Z221:AC221" si="438">C221-1000</f>
        <v>-1000</v>
      </c>
      <c r="AA221" s="132">
        <f t="shared" si="438"/>
        <v>-1000</v>
      </c>
      <c r="AB221" s="132">
        <f t="shared" si="438"/>
        <v>-1000</v>
      </c>
      <c r="AC221" s="132">
        <f t="shared" si="438"/>
        <v>-1000</v>
      </c>
      <c r="AD221" s="132">
        <f t="shared" si="4"/>
        <v>-9000</v>
      </c>
      <c r="AE221" s="132">
        <f t="shared" ref="AE221:AS221" si="439">H221-1000</f>
        <v>-1000</v>
      </c>
      <c r="AF221" s="132">
        <f t="shared" si="439"/>
        <v>-1000</v>
      </c>
      <c r="AG221" s="132">
        <f t="shared" si="439"/>
        <v>-1000</v>
      </c>
      <c r="AH221" s="132">
        <f t="shared" si="439"/>
        <v>-1000</v>
      </c>
      <c r="AI221" s="132">
        <f t="shared" si="439"/>
        <v>-1000</v>
      </c>
      <c r="AJ221" s="132">
        <f t="shared" si="439"/>
        <v>-1000</v>
      </c>
      <c r="AK221" s="132">
        <f t="shared" si="439"/>
        <v>-1000</v>
      </c>
      <c r="AL221" s="132">
        <f t="shared" si="439"/>
        <v>-1000</v>
      </c>
      <c r="AM221" s="132">
        <f t="shared" si="439"/>
        <v>-1000</v>
      </c>
      <c r="AN221" s="132">
        <f t="shared" si="439"/>
        <v>-1000</v>
      </c>
      <c r="AO221" s="132">
        <f t="shared" si="439"/>
        <v>-1000</v>
      </c>
      <c r="AP221" s="132">
        <f t="shared" si="439"/>
        <v>-1000</v>
      </c>
      <c r="AQ221" s="132">
        <f t="shared" si="439"/>
        <v>-1000</v>
      </c>
      <c r="AR221" s="132">
        <f t="shared" si="439"/>
        <v>-1000</v>
      </c>
      <c r="AS221" s="132">
        <f t="shared" si="439"/>
        <v>-1000</v>
      </c>
    </row>
    <row r="222">
      <c r="A222" s="132" t="s">
        <v>3724</v>
      </c>
      <c r="B222" s="132">
        <v>250.0</v>
      </c>
      <c r="C222" s="132">
        <v>0.0</v>
      </c>
      <c r="D222" s="132">
        <v>0.0</v>
      </c>
      <c r="E222" s="132">
        <v>0.0</v>
      </c>
      <c r="F222" s="132">
        <v>0.0</v>
      </c>
      <c r="G222" s="132">
        <v>250.0</v>
      </c>
      <c r="H222" s="132">
        <v>0.0</v>
      </c>
      <c r="I222" s="132">
        <v>0.0</v>
      </c>
      <c r="J222" s="132">
        <v>0.0</v>
      </c>
      <c r="K222" s="132">
        <v>0.0</v>
      </c>
      <c r="L222" s="132">
        <v>0.0</v>
      </c>
      <c r="M222" s="132">
        <v>0.0</v>
      </c>
      <c r="N222" s="132">
        <v>0.0</v>
      </c>
      <c r="O222" s="132">
        <v>0.0</v>
      </c>
      <c r="P222" s="132">
        <v>0.0</v>
      </c>
      <c r="Q222" s="132">
        <v>0.0</v>
      </c>
      <c r="R222" s="132">
        <v>0.0</v>
      </c>
      <c r="S222" s="132">
        <v>0.0</v>
      </c>
      <c r="T222" s="132">
        <v>0.0</v>
      </c>
      <c r="U222" s="132">
        <v>0.0</v>
      </c>
      <c r="V222" s="132">
        <v>0.0</v>
      </c>
      <c r="W222" s="132">
        <v>0.0</v>
      </c>
      <c r="Y222" s="132" t="s">
        <v>3724</v>
      </c>
      <c r="Z222" s="132">
        <f t="shared" ref="Z222:AC222" si="440">C222-1000</f>
        <v>-1000</v>
      </c>
      <c r="AA222" s="132">
        <f t="shared" si="440"/>
        <v>-1000</v>
      </c>
      <c r="AB222" s="132">
        <f t="shared" si="440"/>
        <v>-1000</v>
      </c>
      <c r="AC222" s="132">
        <f t="shared" si="440"/>
        <v>-1000</v>
      </c>
      <c r="AD222" s="132">
        <f t="shared" si="4"/>
        <v>-9750</v>
      </c>
      <c r="AE222" s="132">
        <f t="shared" ref="AE222:AS222" si="441">H222-1000</f>
        <v>-1000</v>
      </c>
      <c r="AF222" s="132">
        <f t="shared" si="441"/>
        <v>-1000</v>
      </c>
      <c r="AG222" s="132">
        <f t="shared" si="441"/>
        <v>-1000</v>
      </c>
      <c r="AH222" s="132">
        <f t="shared" si="441"/>
        <v>-1000</v>
      </c>
      <c r="AI222" s="132">
        <f t="shared" si="441"/>
        <v>-1000</v>
      </c>
      <c r="AJ222" s="132">
        <f t="shared" si="441"/>
        <v>-1000</v>
      </c>
      <c r="AK222" s="132">
        <f t="shared" si="441"/>
        <v>-1000</v>
      </c>
      <c r="AL222" s="132">
        <f t="shared" si="441"/>
        <v>-1000</v>
      </c>
      <c r="AM222" s="132">
        <f t="shared" si="441"/>
        <v>-1000</v>
      </c>
      <c r="AN222" s="132">
        <f t="shared" si="441"/>
        <v>-1000</v>
      </c>
      <c r="AO222" s="132">
        <f t="shared" si="441"/>
        <v>-1000</v>
      </c>
      <c r="AP222" s="132">
        <f t="shared" si="441"/>
        <v>-1000</v>
      </c>
      <c r="AQ222" s="132">
        <f t="shared" si="441"/>
        <v>-1000</v>
      </c>
      <c r="AR222" s="132">
        <f t="shared" si="441"/>
        <v>-1000</v>
      </c>
      <c r="AS222" s="132">
        <f t="shared" si="441"/>
        <v>-1000</v>
      </c>
    </row>
    <row r="223">
      <c r="A223" s="132" t="s">
        <v>3725</v>
      </c>
      <c r="B223" s="132">
        <v>250.0</v>
      </c>
      <c r="C223" s="132">
        <v>0.0</v>
      </c>
      <c r="D223" s="132">
        <v>0.0</v>
      </c>
      <c r="E223" s="132">
        <v>0.0</v>
      </c>
      <c r="F223" s="132">
        <v>0.0</v>
      </c>
      <c r="G223" s="132">
        <v>250.0</v>
      </c>
      <c r="H223" s="132">
        <v>0.0</v>
      </c>
      <c r="I223" s="132">
        <v>0.0</v>
      </c>
      <c r="J223" s="132">
        <v>0.0</v>
      </c>
      <c r="K223" s="132">
        <v>0.0</v>
      </c>
      <c r="L223" s="132">
        <v>0.0</v>
      </c>
      <c r="M223" s="132">
        <v>0.0</v>
      </c>
      <c r="N223" s="132">
        <v>0.0</v>
      </c>
      <c r="O223" s="132">
        <v>0.0</v>
      </c>
      <c r="P223" s="132">
        <v>0.0</v>
      </c>
      <c r="Q223" s="132">
        <v>0.0</v>
      </c>
      <c r="R223" s="132">
        <v>0.0</v>
      </c>
      <c r="S223" s="132">
        <v>0.0</v>
      </c>
      <c r="T223" s="132">
        <v>0.0</v>
      </c>
      <c r="U223" s="132">
        <v>0.0</v>
      </c>
      <c r="V223" s="132">
        <v>0.0</v>
      </c>
      <c r="W223" s="132">
        <v>0.0</v>
      </c>
      <c r="Y223" s="132" t="s">
        <v>3725</v>
      </c>
      <c r="Z223" s="132">
        <f t="shared" ref="Z223:AC223" si="442">C223-1000</f>
        <v>-1000</v>
      </c>
      <c r="AA223" s="132">
        <f t="shared" si="442"/>
        <v>-1000</v>
      </c>
      <c r="AB223" s="132">
        <f t="shared" si="442"/>
        <v>-1000</v>
      </c>
      <c r="AC223" s="132">
        <f t="shared" si="442"/>
        <v>-1000</v>
      </c>
      <c r="AD223" s="132">
        <f t="shared" si="4"/>
        <v>-9750</v>
      </c>
      <c r="AE223" s="132">
        <f t="shared" ref="AE223:AS223" si="443">H223-1000</f>
        <v>-1000</v>
      </c>
      <c r="AF223" s="132">
        <f t="shared" si="443"/>
        <v>-1000</v>
      </c>
      <c r="AG223" s="132">
        <f t="shared" si="443"/>
        <v>-1000</v>
      </c>
      <c r="AH223" s="132">
        <f t="shared" si="443"/>
        <v>-1000</v>
      </c>
      <c r="AI223" s="132">
        <f t="shared" si="443"/>
        <v>-1000</v>
      </c>
      <c r="AJ223" s="132">
        <f t="shared" si="443"/>
        <v>-1000</v>
      </c>
      <c r="AK223" s="132">
        <f t="shared" si="443"/>
        <v>-1000</v>
      </c>
      <c r="AL223" s="132">
        <f t="shared" si="443"/>
        <v>-1000</v>
      </c>
      <c r="AM223" s="132">
        <f t="shared" si="443"/>
        <v>-1000</v>
      </c>
      <c r="AN223" s="132">
        <f t="shared" si="443"/>
        <v>-1000</v>
      </c>
      <c r="AO223" s="132">
        <f t="shared" si="443"/>
        <v>-1000</v>
      </c>
      <c r="AP223" s="132">
        <f t="shared" si="443"/>
        <v>-1000</v>
      </c>
      <c r="AQ223" s="132">
        <f t="shared" si="443"/>
        <v>-1000</v>
      </c>
      <c r="AR223" s="132">
        <f t="shared" si="443"/>
        <v>-1000</v>
      </c>
      <c r="AS223" s="132">
        <f t="shared" si="443"/>
        <v>-1000</v>
      </c>
    </row>
    <row r="224">
      <c r="A224" s="132" t="s">
        <v>3726</v>
      </c>
      <c r="B224" s="132">
        <v>1151.0</v>
      </c>
      <c r="C224" s="132">
        <v>0.0</v>
      </c>
      <c r="D224" s="132">
        <v>0.0</v>
      </c>
      <c r="E224" s="132">
        <v>0.0</v>
      </c>
      <c r="F224" s="132">
        <v>0.0</v>
      </c>
      <c r="G224" s="132">
        <v>1000.0</v>
      </c>
      <c r="H224" s="132">
        <v>0.0</v>
      </c>
      <c r="I224" s="132">
        <v>0.0</v>
      </c>
      <c r="J224" s="132">
        <v>0.0</v>
      </c>
      <c r="K224" s="132">
        <v>0.0</v>
      </c>
      <c r="L224" s="132">
        <v>0.0</v>
      </c>
      <c r="M224" s="132">
        <v>0.0</v>
      </c>
      <c r="N224" s="132">
        <v>151.0</v>
      </c>
      <c r="O224" s="132">
        <v>0.0</v>
      </c>
      <c r="P224" s="132">
        <v>0.0</v>
      </c>
      <c r="Q224" s="132">
        <v>0.0</v>
      </c>
      <c r="R224" s="132">
        <v>0.0</v>
      </c>
      <c r="S224" s="132">
        <v>0.0</v>
      </c>
      <c r="T224" s="132">
        <v>0.0</v>
      </c>
      <c r="U224" s="132">
        <v>0.0</v>
      </c>
      <c r="V224" s="132">
        <v>0.0</v>
      </c>
      <c r="W224" s="132">
        <v>1.0</v>
      </c>
      <c r="Y224" s="132" t="s">
        <v>3726</v>
      </c>
      <c r="Z224" s="132">
        <f t="shared" ref="Z224:AC224" si="444">C224-1000</f>
        <v>-1000</v>
      </c>
      <c r="AA224" s="132">
        <f t="shared" si="444"/>
        <v>-1000</v>
      </c>
      <c r="AB224" s="132">
        <f t="shared" si="444"/>
        <v>-1000</v>
      </c>
      <c r="AC224" s="132">
        <f t="shared" si="444"/>
        <v>-1000</v>
      </c>
      <c r="AD224" s="132">
        <f t="shared" si="4"/>
        <v>-9000</v>
      </c>
      <c r="AE224" s="132">
        <f t="shared" ref="AE224:AS224" si="445">H224-1000</f>
        <v>-1000</v>
      </c>
      <c r="AF224" s="132">
        <f t="shared" si="445"/>
        <v>-1000</v>
      </c>
      <c r="AG224" s="132">
        <f t="shared" si="445"/>
        <v>-1000</v>
      </c>
      <c r="AH224" s="132">
        <f t="shared" si="445"/>
        <v>-1000</v>
      </c>
      <c r="AI224" s="132">
        <f t="shared" si="445"/>
        <v>-1000</v>
      </c>
      <c r="AJ224" s="132">
        <f t="shared" si="445"/>
        <v>-1000</v>
      </c>
      <c r="AK224" s="132">
        <f t="shared" si="445"/>
        <v>-849</v>
      </c>
      <c r="AL224" s="132">
        <f t="shared" si="445"/>
        <v>-1000</v>
      </c>
      <c r="AM224" s="132">
        <f t="shared" si="445"/>
        <v>-1000</v>
      </c>
      <c r="AN224" s="132">
        <f t="shared" si="445"/>
        <v>-1000</v>
      </c>
      <c r="AO224" s="132">
        <f t="shared" si="445"/>
        <v>-1000</v>
      </c>
      <c r="AP224" s="132">
        <f t="shared" si="445"/>
        <v>-1000</v>
      </c>
      <c r="AQ224" s="132">
        <f t="shared" si="445"/>
        <v>-1000</v>
      </c>
      <c r="AR224" s="132">
        <f t="shared" si="445"/>
        <v>-1000</v>
      </c>
      <c r="AS224" s="132">
        <f t="shared" si="445"/>
        <v>-1000</v>
      </c>
    </row>
    <row r="225">
      <c r="A225" s="132" t="s">
        <v>3727</v>
      </c>
      <c r="B225" s="132">
        <v>7300.0</v>
      </c>
      <c r="C225" s="132">
        <v>0.0</v>
      </c>
      <c r="D225" s="132">
        <v>0.0</v>
      </c>
      <c r="E225" s="132">
        <v>0.0</v>
      </c>
      <c r="F225" s="132">
        <v>0.0</v>
      </c>
      <c r="G225" s="132">
        <v>6000.0</v>
      </c>
      <c r="H225" s="132">
        <v>300.0</v>
      </c>
      <c r="I225" s="132">
        <v>0.0</v>
      </c>
      <c r="J225" s="132">
        <v>0.0</v>
      </c>
      <c r="K225" s="132">
        <v>0.0</v>
      </c>
      <c r="L225" s="132">
        <v>0.0</v>
      </c>
      <c r="M225" s="132">
        <v>0.0</v>
      </c>
      <c r="N225" s="132">
        <v>0.0</v>
      </c>
      <c r="O225" s="132">
        <v>0.0</v>
      </c>
      <c r="P225" s="132">
        <v>0.0</v>
      </c>
      <c r="Q225" s="132">
        <v>0.0</v>
      </c>
      <c r="R225" s="132">
        <v>0.0</v>
      </c>
      <c r="S225" s="132">
        <v>0.0</v>
      </c>
      <c r="T225" s="132">
        <v>0.0</v>
      </c>
      <c r="U225" s="132">
        <v>1000.0</v>
      </c>
      <c r="V225" s="132">
        <v>0.0</v>
      </c>
      <c r="W225" s="132">
        <v>1.0</v>
      </c>
      <c r="Y225" s="132" t="s">
        <v>3727</v>
      </c>
      <c r="Z225" s="132">
        <f t="shared" ref="Z225:AC225" si="446">C225-1000</f>
        <v>-1000</v>
      </c>
      <c r="AA225" s="132">
        <f t="shared" si="446"/>
        <v>-1000</v>
      </c>
      <c r="AB225" s="132">
        <f t="shared" si="446"/>
        <v>-1000</v>
      </c>
      <c r="AC225" s="132">
        <f t="shared" si="446"/>
        <v>-1000</v>
      </c>
      <c r="AD225" s="132">
        <f t="shared" si="4"/>
        <v>-4000</v>
      </c>
      <c r="AE225" s="132">
        <f t="shared" ref="AE225:AS225" si="447">H225-1000</f>
        <v>-700</v>
      </c>
      <c r="AF225" s="132">
        <f t="shared" si="447"/>
        <v>-1000</v>
      </c>
      <c r="AG225" s="132">
        <f t="shared" si="447"/>
        <v>-1000</v>
      </c>
      <c r="AH225" s="132">
        <f t="shared" si="447"/>
        <v>-1000</v>
      </c>
      <c r="AI225" s="132">
        <f t="shared" si="447"/>
        <v>-1000</v>
      </c>
      <c r="AJ225" s="132">
        <f t="shared" si="447"/>
        <v>-1000</v>
      </c>
      <c r="AK225" s="132">
        <f t="shared" si="447"/>
        <v>-1000</v>
      </c>
      <c r="AL225" s="132">
        <f t="shared" si="447"/>
        <v>-1000</v>
      </c>
      <c r="AM225" s="132">
        <f t="shared" si="447"/>
        <v>-1000</v>
      </c>
      <c r="AN225" s="132">
        <f t="shared" si="447"/>
        <v>-1000</v>
      </c>
      <c r="AO225" s="132">
        <f t="shared" si="447"/>
        <v>-1000</v>
      </c>
      <c r="AP225" s="132">
        <f t="shared" si="447"/>
        <v>-1000</v>
      </c>
      <c r="AQ225" s="132">
        <f t="shared" si="447"/>
        <v>-1000</v>
      </c>
      <c r="AR225" s="132">
        <f t="shared" si="447"/>
        <v>0</v>
      </c>
      <c r="AS225" s="132">
        <f t="shared" si="447"/>
        <v>-1000</v>
      </c>
    </row>
    <row r="226">
      <c r="A226" s="132" t="s">
        <v>3728</v>
      </c>
      <c r="B226" s="132">
        <v>350.0</v>
      </c>
      <c r="C226" s="132">
        <v>0.0</v>
      </c>
      <c r="D226" s="132">
        <v>0.0</v>
      </c>
      <c r="E226" s="132">
        <v>0.0</v>
      </c>
      <c r="F226" s="132">
        <v>0.0</v>
      </c>
      <c r="G226" s="132">
        <v>350.0</v>
      </c>
      <c r="H226" s="132">
        <v>0.0</v>
      </c>
      <c r="I226" s="132">
        <v>0.0</v>
      </c>
      <c r="J226" s="132">
        <v>0.0</v>
      </c>
      <c r="K226" s="132">
        <v>0.0</v>
      </c>
      <c r="L226" s="132">
        <v>0.0</v>
      </c>
      <c r="M226" s="132">
        <v>0.0</v>
      </c>
      <c r="N226" s="132">
        <v>0.0</v>
      </c>
      <c r="O226" s="132">
        <v>0.0</v>
      </c>
      <c r="P226" s="132">
        <v>0.0</v>
      </c>
      <c r="Q226" s="132">
        <v>0.0</v>
      </c>
      <c r="R226" s="132">
        <v>0.0</v>
      </c>
      <c r="S226" s="132">
        <v>0.0</v>
      </c>
      <c r="T226" s="132">
        <v>0.0</v>
      </c>
      <c r="U226" s="132">
        <v>0.0</v>
      </c>
      <c r="V226" s="132">
        <v>0.0</v>
      </c>
      <c r="W226" s="132">
        <v>1.0</v>
      </c>
      <c r="Y226" s="132" t="s">
        <v>3728</v>
      </c>
      <c r="Z226" s="132">
        <f t="shared" ref="Z226:AC226" si="448">C226-1000</f>
        <v>-1000</v>
      </c>
      <c r="AA226" s="132">
        <f t="shared" si="448"/>
        <v>-1000</v>
      </c>
      <c r="AB226" s="132">
        <f t="shared" si="448"/>
        <v>-1000</v>
      </c>
      <c r="AC226" s="132">
        <f t="shared" si="448"/>
        <v>-1000</v>
      </c>
      <c r="AD226" s="132">
        <f t="shared" si="4"/>
        <v>-9650</v>
      </c>
      <c r="AE226" s="132">
        <f t="shared" ref="AE226:AS226" si="449">H226-1000</f>
        <v>-1000</v>
      </c>
      <c r="AF226" s="132">
        <f t="shared" si="449"/>
        <v>-1000</v>
      </c>
      <c r="AG226" s="132">
        <f t="shared" si="449"/>
        <v>-1000</v>
      </c>
      <c r="AH226" s="132">
        <f t="shared" si="449"/>
        <v>-1000</v>
      </c>
      <c r="AI226" s="132">
        <f t="shared" si="449"/>
        <v>-1000</v>
      </c>
      <c r="AJ226" s="132">
        <f t="shared" si="449"/>
        <v>-1000</v>
      </c>
      <c r="AK226" s="132">
        <f t="shared" si="449"/>
        <v>-1000</v>
      </c>
      <c r="AL226" s="132">
        <f t="shared" si="449"/>
        <v>-1000</v>
      </c>
      <c r="AM226" s="132">
        <f t="shared" si="449"/>
        <v>-1000</v>
      </c>
      <c r="AN226" s="132">
        <f t="shared" si="449"/>
        <v>-1000</v>
      </c>
      <c r="AO226" s="132">
        <f t="shared" si="449"/>
        <v>-1000</v>
      </c>
      <c r="AP226" s="132">
        <f t="shared" si="449"/>
        <v>-1000</v>
      </c>
      <c r="AQ226" s="132">
        <f t="shared" si="449"/>
        <v>-1000</v>
      </c>
      <c r="AR226" s="132">
        <f t="shared" si="449"/>
        <v>-1000</v>
      </c>
      <c r="AS226" s="132">
        <f t="shared" si="449"/>
        <v>-1000</v>
      </c>
    </row>
    <row r="227">
      <c r="A227" s="132" t="s">
        <v>3729</v>
      </c>
      <c r="B227" s="132">
        <v>2500.0</v>
      </c>
      <c r="C227" s="132">
        <v>0.0</v>
      </c>
      <c r="D227" s="132">
        <v>0.0</v>
      </c>
      <c r="E227" s="132">
        <v>0.0</v>
      </c>
      <c r="F227" s="132">
        <v>0.0</v>
      </c>
      <c r="G227" s="132">
        <v>2500.0</v>
      </c>
      <c r="H227" s="132">
        <v>0.0</v>
      </c>
      <c r="I227" s="132">
        <v>0.0</v>
      </c>
      <c r="J227" s="132">
        <v>0.0</v>
      </c>
      <c r="K227" s="132">
        <v>0.0</v>
      </c>
      <c r="L227" s="132">
        <v>0.0</v>
      </c>
      <c r="M227" s="132">
        <v>0.0</v>
      </c>
      <c r="N227" s="132">
        <v>0.0</v>
      </c>
      <c r="O227" s="132">
        <v>0.0</v>
      </c>
      <c r="P227" s="132">
        <v>0.0</v>
      </c>
      <c r="Q227" s="132">
        <v>0.0</v>
      </c>
      <c r="R227" s="132">
        <v>0.0</v>
      </c>
      <c r="S227" s="132">
        <v>0.0</v>
      </c>
      <c r="T227" s="132">
        <v>0.0</v>
      </c>
      <c r="U227" s="132">
        <v>0.0</v>
      </c>
      <c r="V227" s="132">
        <v>0.0</v>
      </c>
      <c r="W227" s="132">
        <v>0.0</v>
      </c>
      <c r="Y227" s="132" t="s">
        <v>3729</v>
      </c>
      <c r="Z227" s="132">
        <f t="shared" ref="Z227:AC227" si="450">C227-1000</f>
        <v>-1000</v>
      </c>
      <c r="AA227" s="132">
        <f t="shared" si="450"/>
        <v>-1000</v>
      </c>
      <c r="AB227" s="132">
        <f t="shared" si="450"/>
        <v>-1000</v>
      </c>
      <c r="AC227" s="132">
        <f t="shared" si="450"/>
        <v>-1000</v>
      </c>
      <c r="AD227" s="132">
        <f t="shared" si="4"/>
        <v>-7500</v>
      </c>
      <c r="AE227" s="132">
        <f t="shared" ref="AE227:AS227" si="451">H227-1000</f>
        <v>-1000</v>
      </c>
      <c r="AF227" s="132">
        <f t="shared" si="451"/>
        <v>-1000</v>
      </c>
      <c r="AG227" s="132">
        <f t="shared" si="451"/>
        <v>-1000</v>
      </c>
      <c r="AH227" s="132">
        <f t="shared" si="451"/>
        <v>-1000</v>
      </c>
      <c r="AI227" s="132">
        <f t="shared" si="451"/>
        <v>-1000</v>
      </c>
      <c r="AJ227" s="132">
        <f t="shared" si="451"/>
        <v>-1000</v>
      </c>
      <c r="AK227" s="132">
        <f t="shared" si="451"/>
        <v>-1000</v>
      </c>
      <c r="AL227" s="132">
        <f t="shared" si="451"/>
        <v>-1000</v>
      </c>
      <c r="AM227" s="132">
        <f t="shared" si="451"/>
        <v>-1000</v>
      </c>
      <c r="AN227" s="132">
        <f t="shared" si="451"/>
        <v>-1000</v>
      </c>
      <c r="AO227" s="132">
        <f t="shared" si="451"/>
        <v>-1000</v>
      </c>
      <c r="AP227" s="132">
        <f t="shared" si="451"/>
        <v>-1000</v>
      </c>
      <c r="AQ227" s="132">
        <f t="shared" si="451"/>
        <v>-1000</v>
      </c>
      <c r="AR227" s="132">
        <f t="shared" si="451"/>
        <v>-1000</v>
      </c>
      <c r="AS227" s="132">
        <f t="shared" si="451"/>
        <v>-1000</v>
      </c>
    </row>
    <row r="228">
      <c r="A228" s="132" t="s">
        <v>3730</v>
      </c>
      <c r="B228" s="132">
        <v>2500.0</v>
      </c>
      <c r="C228" s="132">
        <v>0.0</v>
      </c>
      <c r="D228" s="132">
        <v>0.0</v>
      </c>
      <c r="E228" s="132">
        <v>0.0</v>
      </c>
      <c r="F228" s="132">
        <v>0.0</v>
      </c>
      <c r="G228" s="132">
        <v>2500.0</v>
      </c>
      <c r="H228" s="132">
        <v>0.0</v>
      </c>
      <c r="I228" s="132">
        <v>0.0</v>
      </c>
      <c r="J228" s="132">
        <v>0.0</v>
      </c>
      <c r="K228" s="132">
        <v>0.0</v>
      </c>
      <c r="L228" s="132">
        <v>0.0</v>
      </c>
      <c r="M228" s="132">
        <v>0.0</v>
      </c>
      <c r="N228" s="132">
        <v>0.0</v>
      </c>
      <c r="O228" s="132">
        <v>0.0</v>
      </c>
      <c r="P228" s="132">
        <v>0.0</v>
      </c>
      <c r="Q228" s="132">
        <v>0.0</v>
      </c>
      <c r="R228" s="132">
        <v>0.0</v>
      </c>
      <c r="S228" s="132">
        <v>0.0</v>
      </c>
      <c r="T228" s="132">
        <v>0.0</v>
      </c>
      <c r="U228" s="132">
        <v>0.0</v>
      </c>
      <c r="V228" s="132">
        <v>0.0</v>
      </c>
      <c r="W228" s="132">
        <v>0.0</v>
      </c>
      <c r="Y228" s="132" t="s">
        <v>3730</v>
      </c>
      <c r="Z228" s="132">
        <f t="shared" ref="Z228:AC228" si="452">C228-1000</f>
        <v>-1000</v>
      </c>
      <c r="AA228" s="132">
        <f t="shared" si="452"/>
        <v>-1000</v>
      </c>
      <c r="AB228" s="132">
        <f t="shared" si="452"/>
        <v>-1000</v>
      </c>
      <c r="AC228" s="132">
        <f t="shared" si="452"/>
        <v>-1000</v>
      </c>
      <c r="AD228" s="132">
        <f t="shared" si="4"/>
        <v>-7500</v>
      </c>
      <c r="AE228" s="132">
        <f t="shared" ref="AE228:AS228" si="453">H228-1000</f>
        <v>-1000</v>
      </c>
      <c r="AF228" s="132">
        <f t="shared" si="453"/>
        <v>-1000</v>
      </c>
      <c r="AG228" s="132">
        <f t="shared" si="453"/>
        <v>-1000</v>
      </c>
      <c r="AH228" s="132">
        <f t="shared" si="453"/>
        <v>-1000</v>
      </c>
      <c r="AI228" s="132">
        <f t="shared" si="453"/>
        <v>-1000</v>
      </c>
      <c r="AJ228" s="132">
        <f t="shared" si="453"/>
        <v>-1000</v>
      </c>
      <c r="AK228" s="132">
        <f t="shared" si="453"/>
        <v>-1000</v>
      </c>
      <c r="AL228" s="132">
        <f t="shared" si="453"/>
        <v>-1000</v>
      </c>
      <c r="AM228" s="132">
        <f t="shared" si="453"/>
        <v>-1000</v>
      </c>
      <c r="AN228" s="132">
        <f t="shared" si="453"/>
        <v>-1000</v>
      </c>
      <c r="AO228" s="132">
        <f t="shared" si="453"/>
        <v>-1000</v>
      </c>
      <c r="AP228" s="132">
        <f t="shared" si="453"/>
        <v>-1000</v>
      </c>
      <c r="AQ228" s="132">
        <f t="shared" si="453"/>
        <v>-1000</v>
      </c>
      <c r="AR228" s="132">
        <f t="shared" si="453"/>
        <v>-1000</v>
      </c>
      <c r="AS228" s="132">
        <f t="shared" si="453"/>
        <v>-1000</v>
      </c>
    </row>
    <row r="229">
      <c r="A229" s="132" t="s">
        <v>3731</v>
      </c>
      <c r="B229" s="132">
        <v>2500.0</v>
      </c>
      <c r="C229" s="132">
        <v>0.0</v>
      </c>
      <c r="D229" s="132">
        <v>0.0</v>
      </c>
      <c r="E229" s="132">
        <v>0.0</v>
      </c>
      <c r="F229" s="132">
        <v>0.0</v>
      </c>
      <c r="G229" s="132">
        <v>2500.0</v>
      </c>
      <c r="H229" s="132">
        <v>0.0</v>
      </c>
      <c r="I229" s="132">
        <v>0.0</v>
      </c>
      <c r="J229" s="132">
        <v>0.0</v>
      </c>
      <c r="K229" s="132">
        <v>0.0</v>
      </c>
      <c r="L229" s="132">
        <v>0.0</v>
      </c>
      <c r="M229" s="132">
        <v>0.0</v>
      </c>
      <c r="N229" s="132">
        <v>0.0</v>
      </c>
      <c r="O229" s="132">
        <v>0.0</v>
      </c>
      <c r="P229" s="132">
        <v>0.0</v>
      </c>
      <c r="Q229" s="132">
        <v>0.0</v>
      </c>
      <c r="R229" s="132">
        <v>0.0</v>
      </c>
      <c r="S229" s="132">
        <v>0.0</v>
      </c>
      <c r="T229" s="132">
        <v>0.0</v>
      </c>
      <c r="U229" s="132">
        <v>0.0</v>
      </c>
      <c r="V229" s="132">
        <v>0.0</v>
      </c>
      <c r="W229" s="132">
        <v>0.0</v>
      </c>
      <c r="Y229" s="132" t="s">
        <v>3731</v>
      </c>
      <c r="Z229" s="132">
        <f t="shared" ref="Z229:AC229" si="454">C229-1000</f>
        <v>-1000</v>
      </c>
      <c r="AA229" s="132">
        <f t="shared" si="454"/>
        <v>-1000</v>
      </c>
      <c r="AB229" s="132">
        <f t="shared" si="454"/>
        <v>-1000</v>
      </c>
      <c r="AC229" s="132">
        <f t="shared" si="454"/>
        <v>-1000</v>
      </c>
      <c r="AD229" s="132">
        <f t="shared" si="4"/>
        <v>-7500</v>
      </c>
      <c r="AE229" s="132">
        <f t="shared" ref="AE229:AS229" si="455">H229-1000</f>
        <v>-1000</v>
      </c>
      <c r="AF229" s="132">
        <f t="shared" si="455"/>
        <v>-1000</v>
      </c>
      <c r="AG229" s="132">
        <f t="shared" si="455"/>
        <v>-1000</v>
      </c>
      <c r="AH229" s="132">
        <f t="shared" si="455"/>
        <v>-1000</v>
      </c>
      <c r="AI229" s="132">
        <f t="shared" si="455"/>
        <v>-1000</v>
      </c>
      <c r="AJ229" s="132">
        <f t="shared" si="455"/>
        <v>-1000</v>
      </c>
      <c r="AK229" s="132">
        <f t="shared" si="455"/>
        <v>-1000</v>
      </c>
      <c r="AL229" s="132">
        <f t="shared" si="455"/>
        <v>-1000</v>
      </c>
      <c r="AM229" s="132">
        <f t="shared" si="455"/>
        <v>-1000</v>
      </c>
      <c r="AN229" s="132">
        <f t="shared" si="455"/>
        <v>-1000</v>
      </c>
      <c r="AO229" s="132">
        <f t="shared" si="455"/>
        <v>-1000</v>
      </c>
      <c r="AP229" s="132">
        <f t="shared" si="455"/>
        <v>-1000</v>
      </c>
      <c r="AQ229" s="132">
        <f t="shared" si="455"/>
        <v>-1000</v>
      </c>
      <c r="AR229" s="132">
        <f t="shared" si="455"/>
        <v>-1000</v>
      </c>
      <c r="AS229" s="132">
        <f t="shared" si="455"/>
        <v>-1000</v>
      </c>
    </row>
    <row r="230">
      <c r="A230" s="132" t="s">
        <v>3732</v>
      </c>
      <c r="B230" s="132">
        <v>250.0</v>
      </c>
      <c r="C230" s="132">
        <v>0.0</v>
      </c>
      <c r="D230" s="132">
        <v>0.0</v>
      </c>
      <c r="E230" s="132">
        <v>0.0</v>
      </c>
      <c r="F230" s="132">
        <v>0.0</v>
      </c>
      <c r="G230" s="132">
        <v>250.0</v>
      </c>
      <c r="H230" s="132">
        <v>0.0</v>
      </c>
      <c r="I230" s="132">
        <v>0.0</v>
      </c>
      <c r="J230" s="132">
        <v>0.0</v>
      </c>
      <c r="K230" s="132">
        <v>0.0</v>
      </c>
      <c r="L230" s="132">
        <v>0.0</v>
      </c>
      <c r="M230" s="132">
        <v>0.0</v>
      </c>
      <c r="N230" s="132">
        <v>0.0</v>
      </c>
      <c r="O230" s="132">
        <v>0.0</v>
      </c>
      <c r="P230" s="132">
        <v>0.0</v>
      </c>
      <c r="Q230" s="132">
        <v>0.0</v>
      </c>
      <c r="R230" s="132">
        <v>0.0</v>
      </c>
      <c r="S230" s="132">
        <v>0.0</v>
      </c>
      <c r="T230" s="132">
        <v>0.0</v>
      </c>
      <c r="U230" s="132">
        <v>0.0</v>
      </c>
      <c r="V230" s="132">
        <v>0.0</v>
      </c>
      <c r="W230" s="132">
        <v>0.0</v>
      </c>
      <c r="Y230" s="132" t="s">
        <v>3732</v>
      </c>
      <c r="Z230" s="132">
        <f t="shared" ref="Z230:AC230" si="456">C230-1000</f>
        <v>-1000</v>
      </c>
      <c r="AA230" s="132">
        <f t="shared" si="456"/>
        <v>-1000</v>
      </c>
      <c r="AB230" s="132">
        <f t="shared" si="456"/>
        <v>-1000</v>
      </c>
      <c r="AC230" s="132">
        <f t="shared" si="456"/>
        <v>-1000</v>
      </c>
      <c r="AD230" s="132">
        <f t="shared" si="4"/>
        <v>-9750</v>
      </c>
      <c r="AE230" s="132">
        <f t="shared" ref="AE230:AS230" si="457">H230-1000</f>
        <v>-1000</v>
      </c>
      <c r="AF230" s="132">
        <f t="shared" si="457"/>
        <v>-1000</v>
      </c>
      <c r="AG230" s="132">
        <f t="shared" si="457"/>
        <v>-1000</v>
      </c>
      <c r="AH230" s="132">
        <f t="shared" si="457"/>
        <v>-1000</v>
      </c>
      <c r="AI230" s="132">
        <f t="shared" si="457"/>
        <v>-1000</v>
      </c>
      <c r="AJ230" s="132">
        <f t="shared" si="457"/>
        <v>-1000</v>
      </c>
      <c r="AK230" s="132">
        <f t="shared" si="457"/>
        <v>-1000</v>
      </c>
      <c r="AL230" s="132">
        <f t="shared" si="457"/>
        <v>-1000</v>
      </c>
      <c r="AM230" s="132">
        <f t="shared" si="457"/>
        <v>-1000</v>
      </c>
      <c r="AN230" s="132">
        <f t="shared" si="457"/>
        <v>-1000</v>
      </c>
      <c r="AO230" s="132">
        <f t="shared" si="457"/>
        <v>-1000</v>
      </c>
      <c r="AP230" s="132">
        <f t="shared" si="457"/>
        <v>-1000</v>
      </c>
      <c r="AQ230" s="132">
        <f t="shared" si="457"/>
        <v>-1000</v>
      </c>
      <c r="AR230" s="132">
        <f t="shared" si="457"/>
        <v>-1000</v>
      </c>
      <c r="AS230" s="132">
        <f t="shared" si="457"/>
        <v>-1000</v>
      </c>
    </row>
    <row r="231">
      <c r="A231" s="132" t="s">
        <v>3733</v>
      </c>
      <c r="B231" s="132">
        <v>350.0</v>
      </c>
      <c r="C231" s="132">
        <v>0.0</v>
      </c>
      <c r="D231" s="132">
        <v>0.0</v>
      </c>
      <c r="E231" s="132">
        <v>0.0</v>
      </c>
      <c r="F231" s="132">
        <v>0.0</v>
      </c>
      <c r="G231" s="132">
        <v>350.0</v>
      </c>
      <c r="H231" s="132">
        <v>0.0</v>
      </c>
      <c r="I231" s="132">
        <v>0.0</v>
      </c>
      <c r="J231" s="132">
        <v>0.0</v>
      </c>
      <c r="K231" s="132">
        <v>0.0</v>
      </c>
      <c r="L231" s="132">
        <v>0.0</v>
      </c>
      <c r="M231" s="132">
        <v>0.0</v>
      </c>
      <c r="N231" s="132">
        <v>0.0</v>
      </c>
      <c r="O231" s="132">
        <v>0.0</v>
      </c>
      <c r="P231" s="132">
        <v>0.0</v>
      </c>
      <c r="Q231" s="132">
        <v>0.0</v>
      </c>
      <c r="R231" s="132">
        <v>0.0</v>
      </c>
      <c r="S231" s="132">
        <v>0.0</v>
      </c>
      <c r="T231" s="132">
        <v>0.0</v>
      </c>
      <c r="U231" s="132">
        <v>0.0</v>
      </c>
      <c r="V231" s="132">
        <v>0.0</v>
      </c>
      <c r="W231" s="132">
        <v>0.0</v>
      </c>
      <c r="Y231" s="132" t="s">
        <v>3733</v>
      </c>
      <c r="Z231" s="132">
        <f t="shared" ref="Z231:AC231" si="458">C231-1000</f>
        <v>-1000</v>
      </c>
      <c r="AA231" s="132">
        <f t="shared" si="458"/>
        <v>-1000</v>
      </c>
      <c r="AB231" s="132">
        <f t="shared" si="458"/>
        <v>-1000</v>
      </c>
      <c r="AC231" s="132">
        <f t="shared" si="458"/>
        <v>-1000</v>
      </c>
      <c r="AD231" s="132">
        <f t="shared" si="4"/>
        <v>-9650</v>
      </c>
      <c r="AE231" s="132">
        <f t="shared" ref="AE231:AS231" si="459">H231-1000</f>
        <v>-1000</v>
      </c>
      <c r="AF231" s="132">
        <f t="shared" si="459"/>
        <v>-1000</v>
      </c>
      <c r="AG231" s="132">
        <f t="shared" si="459"/>
        <v>-1000</v>
      </c>
      <c r="AH231" s="132">
        <f t="shared" si="459"/>
        <v>-1000</v>
      </c>
      <c r="AI231" s="132">
        <f t="shared" si="459"/>
        <v>-1000</v>
      </c>
      <c r="AJ231" s="132">
        <f t="shared" si="459"/>
        <v>-1000</v>
      </c>
      <c r="AK231" s="132">
        <f t="shared" si="459"/>
        <v>-1000</v>
      </c>
      <c r="AL231" s="132">
        <f t="shared" si="459"/>
        <v>-1000</v>
      </c>
      <c r="AM231" s="132">
        <f t="shared" si="459"/>
        <v>-1000</v>
      </c>
      <c r="AN231" s="132">
        <f t="shared" si="459"/>
        <v>-1000</v>
      </c>
      <c r="AO231" s="132">
        <f t="shared" si="459"/>
        <v>-1000</v>
      </c>
      <c r="AP231" s="132">
        <f t="shared" si="459"/>
        <v>-1000</v>
      </c>
      <c r="AQ231" s="132">
        <f t="shared" si="459"/>
        <v>-1000</v>
      </c>
      <c r="AR231" s="132">
        <f t="shared" si="459"/>
        <v>-1000</v>
      </c>
      <c r="AS231" s="132">
        <f t="shared" si="459"/>
        <v>-1000</v>
      </c>
    </row>
    <row r="232">
      <c r="A232" s="132" t="s">
        <v>3734</v>
      </c>
      <c r="B232" s="132">
        <v>250.0</v>
      </c>
      <c r="C232" s="132">
        <v>0.0</v>
      </c>
      <c r="D232" s="132">
        <v>0.0</v>
      </c>
      <c r="E232" s="132">
        <v>0.0</v>
      </c>
      <c r="F232" s="132">
        <v>0.0</v>
      </c>
      <c r="G232" s="132">
        <v>250.0</v>
      </c>
      <c r="H232" s="132">
        <v>0.0</v>
      </c>
      <c r="I232" s="132">
        <v>0.0</v>
      </c>
      <c r="J232" s="132">
        <v>0.0</v>
      </c>
      <c r="K232" s="132">
        <v>0.0</v>
      </c>
      <c r="L232" s="132">
        <v>0.0</v>
      </c>
      <c r="M232" s="132">
        <v>0.0</v>
      </c>
      <c r="N232" s="132">
        <v>0.0</v>
      </c>
      <c r="O232" s="132">
        <v>0.0</v>
      </c>
      <c r="P232" s="132">
        <v>0.0</v>
      </c>
      <c r="Q232" s="132">
        <v>0.0</v>
      </c>
      <c r="R232" s="132">
        <v>0.0</v>
      </c>
      <c r="S232" s="132">
        <v>0.0</v>
      </c>
      <c r="T232" s="132">
        <v>0.0</v>
      </c>
      <c r="U232" s="132">
        <v>0.0</v>
      </c>
      <c r="V232" s="132">
        <v>0.0</v>
      </c>
      <c r="W232" s="132">
        <v>0.0</v>
      </c>
      <c r="Y232" s="132" t="s">
        <v>3734</v>
      </c>
      <c r="Z232" s="132">
        <f t="shared" ref="Z232:AC232" si="460">C232-1000</f>
        <v>-1000</v>
      </c>
      <c r="AA232" s="132">
        <f t="shared" si="460"/>
        <v>-1000</v>
      </c>
      <c r="AB232" s="132">
        <f t="shared" si="460"/>
        <v>-1000</v>
      </c>
      <c r="AC232" s="132">
        <f t="shared" si="460"/>
        <v>-1000</v>
      </c>
      <c r="AD232" s="132">
        <f t="shared" si="4"/>
        <v>-9750</v>
      </c>
      <c r="AE232" s="132">
        <f t="shared" ref="AE232:AS232" si="461">H232-1000</f>
        <v>-1000</v>
      </c>
      <c r="AF232" s="132">
        <f t="shared" si="461"/>
        <v>-1000</v>
      </c>
      <c r="AG232" s="132">
        <f t="shared" si="461"/>
        <v>-1000</v>
      </c>
      <c r="AH232" s="132">
        <f t="shared" si="461"/>
        <v>-1000</v>
      </c>
      <c r="AI232" s="132">
        <f t="shared" si="461"/>
        <v>-1000</v>
      </c>
      <c r="AJ232" s="132">
        <f t="shared" si="461"/>
        <v>-1000</v>
      </c>
      <c r="AK232" s="132">
        <f t="shared" si="461"/>
        <v>-1000</v>
      </c>
      <c r="AL232" s="132">
        <f t="shared" si="461"/>
        <v>-1000</v>
      </c>
      <c r="AM232" s="132">
        <f t="shared" si="461"/>
        <v>-1000</v>
      </c>
      <c r="AN232" s="132">
        <f t="shared" si="461"/>
        <v>-1000</v>
      </c>
      <c r="AO232" s="132">
        <f t="shared" si="461"/>
        <v>-1000</v>
      </c>
      <c r="AP232" s="132">
        <f t="shared" si="461"/>
        <v>-1000</v>
      </c>
      <c r="AQ232" s="132">
        <f t="shared" si="461"/>
        <v>-1000</v>
      </c>
      <c r="AR232" s="132">
        <f t="shared" si="461"/>
        <v>-1000</v>
      </c>
      <c r="AS232" s="132">
        <f t="shared" si="461"/>
        <v>-1000</v>
      </c>
    </row>
    <row r="233">
      <c r="A233" s="132" t="s">
        <v>3735</v>
      </c>
      <c r="B233" s="132">
        <v>5900.0</v>
      </c>
      <c r="C233" s="132">
        <v>100.0</v>
      </c>
      <c r="D233" s="132">
        <v>0.0</v>
      </c>
      <c r="E233" s="132">
        <v>0.0</v>
      </c>
      <c r="F233" s="132">
        <v>2000.0</v>
      </c>
      <c r="G233" s="132">
        <v>1800.0</v>
      </c>
      <c r="H233" s="132">
        <v>0.0</v>
      </c>
      <c r="I233" s="132">
        <v>0.0</v>
      </c>
      <c r="J233" s="132">
        <v>0.0</v>
      </c>
      <c r="K233" s="132">
        <v>0.0</v>
      </c>
      <c r="L233" s="132">
        <v>2000.0</v>
      </c>
      <c r="M233" s="132">
        <v>0.0</v>
      </c>
      <c r="N233" s="132">
        <v>0.0</v>
      </c>
      <c r="O233" s="132">
        <v>0.0</v>
      </c>
      <c r="P233" s="132">
        <v>0.0</v>
      </c>
      <c r="Q233" s="132">
        <v>0.0</v>
      </c>
      <c r="R233" s="132">
        <v>0.0</v>
      </c>
      <c r="S233" s="132">
        <v>0.0</v>
      </c>
      <c r="T233" s="132">
        <v>0.0</v>
      </c>
      <c r="U233" s="132">
        <v>0.0</v>
      </c>
      <c r="V233" s="132">
        <v>0.0</v>
      </c>
      <c r="W233" s="132">
        <v>1.0</v>
      </c>
      <c r="Y233" s="132" t="s">
        <v>3735</v>
      </c>
      <c r="Z233" s="132">
        <f t="shared" ref="Z233:AC233" si="462">C233-1000</f>
        <v>-900</v>
      </c>
      <c r="AA233" s="132">
        <f t="shared" si="462"/>
        <v>-1000</v>
      </c>
      <c r="AB233" s="132">
        <f t="shared" si="462"/>
        <v>-1000</v>
      </c>
      <c r="AC233" s="132">
        <f t="shared" si="462"/>
        <v>1000</v>
      </c>
      <c r="AD233" s="132">
        <f t="shared" si="4"/>
        <v>-8200</v>
      </c>
      <c r="AE233" s="132">
        <f t="shared" ref="AE233:AS233" si="463">H233-1000</f>
        <v>-1000</v>
      </c>
      <c r="AF233" s="132">
        <f t="shared" si="463"/>
        <v>-1000</v>
      </c>
      <c r="AG233" s="132">
        <f t="shared" si="463"/>
        <v>-1000</v>
      </c>
      <c r="AH233" s="132">
        <f t="shared" si="463"/>
        <v>-1000</v>
      </c>
      <c r="AI233" s="132">
        <f t="shared" si="463"/>
        <v>1000</v>
      </c>
      <c r="AJ233" s="132">
        <f t="shared" si="463"/>
        <v>-1000</v>
      </c>
      <c r="AK233" s="132">
        <f t="shared" si="463"/>
        <v>-1000</v>
      </c>
      <c r="AL233" s="132">
        <f t="shared" si="463"/>
        <v>-1000</v>
      </c>
      <c r="AM233" s="132">
        <f t="shared" si="463"/>
        <v>-1000</v>
      </c>
      <c r="AN233" s="132">
        <f t="shared" si="463"/>
        <v>-1000</v>
      </c>
      <c r="AO233" s="132">
        <f t="shared" si="463"/>
        <v>-1000</v>
      </c>
      <c r="AP233" s="132">
        <f t="shared" si="463"/>
        <v>-1000</v>
      </c>
      <c r="AQ233" s="132">
        <f t="shared" si="463"/>
        <v>-1000</v>
      </c>
      <c r="AR233" s="132">
        <f t="shared" si="463"/>
        <v>-1000</v>
      </c>
      <c r="AS233" s="132">
        <f t="shared" si="463"/>
        <v>-1000</v>
      </c>
    </row>
    <row r="234">
      <c r="A234" s="132" t="s">
        <v>3736</v>
      </c>
      <c r="B234" s="132">
        <v>600.0</v>
      </c>
      <c r="C234" s="132">
        <v>0.0</v>
      </c>
      <c r="D234" s="132">
        <v>0.0</v>
      </c>
      <c r="E234" s="132">
        <v>0.0</v>
      </c>
      <c r="F234" s="132">
        <v>0.0</v>
      </c>
      <c r="G234" s="132">
        <v>600.0</v>
      </c>
      <c r="H234" s="132">
        <v>0.0</v>
      </c>
      <c r="I234" s="132">
        <v>0.0</v>
      </c>
      <c r="J234" s="132">
        <v>0.0</v>
      </c>
      <c r="K234" s="132">
        <v>0.0</v>
      </c>
      <c r="L234" s="132">
        <v>0.0</v>
      </c>
      <c r="M234" s="132">
        <v>0.0</v>
      </c>
      <c r="N234" s="132">
        <v>0.0</v>
      </c>
      <c r="O234" s="132">
        <v>0.0</v>
      </c>
      <c r="P234" s="132">
        <v>0.0</v>
      </c>
      <c r="Q234" s="132">
        <v>0.0</v>
      </c>
      <c r="R234" s="132">
        <v>0.0</v>
      </c>
      <c r="S234" s="132">
        <v>0.0</v>
      </c>
      <c r="T234" s="132">
        <v>0.0</v>
      </c>
      <c r="U234" s="132">
        <v>0.0</v>
      </c>
      <c r="V234" s="132">
        <v>0.0</v>
      </c>
      <c r="W234" s="132">
        <v>0.0</v>
      </c>
      <c r="Y234" s="132" t="s">
        <v>3736</v>
      </c>
      <c r="Z234" s="132">
        <f t="shared" ref="Z234:AC234" si="464">C234-1000</f>
        <v>-1000</v>
      </c>
      <c r="AA234" s="132">
        <f t="shared" si="464"/>
        <v>-1000</v>
      </c>
      <c r="AB234" s="132">
        <f t="shared" si="464"/>
        <v>-1000</v>
      </c>
      <c r="AC234" s="132">
        <f t="shared" si="464"/>
        <v>-1000</v>
      </c>
      <c r="AD234" s="132">
        <f t="shared" si="4"/>
        <v>-9400</v>
      </c>
      <c r="AE234" s="132">
        <f t="shared" ref="AE234:AS234" si="465">H234-1000</f>
        <v>-1000</v>
      </c>
      <c r="AF234" s="132">
        <f t="shared" si="465"/>
        <v>-1000</v>
      </c>
      <c r="AG234" s="132">
        <f t="shared" si="465"/>
        <v>-1000</v>
      </c>
      <c r="AH234" s="132">
        <f t="shared" si="465"/>
        <v>-1000</v>
      </c>
      <c r="AI234" s="132">
        <f t="shared" si="465"/>
        <v>-1000</v>
      </c>
      <c r="AJ234" s="132">
        <f t="shared" si="465"/>
        <v>-1000</v>
      </c>
      <c r="AK234" s="132">
        <f t="shared" si="465"/>
        <v>-1000</v>
      </c>
      <c r="AL234" s="132">
        <f t="shared" si="465"/>
        <v>-1000</v>
      </c>
      <c r="AM234" s="132">
        <f t="shared" si="465"/>
        <v>-1000</v>
      </c>
      <c r="AN234" s="132">
        <f t="shared" si="465"/>
        <v>-1000</v>
      </c>
      <c r="AO234" s="132">
        <f t="shared" si="465"/>
        <v>-1000</v>
      </c>
      <c r="AP234" s="132">
        <f t="shared" si="465"/>
        <v>-1000</v>
      </c>
      <c r="AQ234" s="132">
        <f t="shared" si="465"/>
        <v>-1000</v>
      </c>
      <c r="AR234" s="132">
        <f t="shared" si="465"/>
        <v>-1000</v>
      </c>
      <c r="AS234" s="132">
        <f t="shared" si="465"/>
        <v>-1000</v>
      </c>
    </row>
    <row r="235">
      <c r="A235" s="132" t="s">
        <v>3737</v>
      </c>
      <c r="B235" s="132">
        <v>750.0</v>
      </c>
      <c r="C235" s="132">
        <v>250.0</v>
      </c>
      <c r="D235" s="132">
        <v>0.0</v>
      </c>
      <c r="E235" s="132">
        <v>0.0</v>
      </c>
      <c r="F235" s="132">
        <v>0.0</v>
      </c>
      <c r="G235" s="132">
        <v>500.0</v>
      </c>
      <c r="H235" s="132">
        <v>0.0</v>
      </c>
      <c r="I235" s="132">
        <v>0.0</v>
      </c>
      <c r="J235" s="132">
        <v>0.0</v>
      </c>
      <c r="K235" s="132">
        <v>0.0</v>
      </c>
      <c r="L235" s="132">
        <v>0.0</v>
      </c>
      <c r="M235" s="132">
        <v>0.0</v>
      </c>
      <c r="N235" s="132">
        <v>0.0</v>
      </c>
      <c r="O235" s="132">
        <v>0.0</v>
      </c>
      <c r="P235" s="132">
        <v>0.0</v>
      </c>
      <c r="Q235" s="132">
        <v>0.0</v>
      </c>
      <c r="R235" s="132">
        <v>0.0</v>
      </c>
      <c r="S235" s="132">
        <v>0.0</v>
      </c>
      <c r="T235" s="132">
        <v>0.0</v>
      </c>
      <c r="U235" s="132">
        <v>0.0</v>
      </c>
      <c r="V235" s="132">
        <v>0.0</v>
      </c>
      <c r="W235" s="132">
        <v>1.0</v>
      </c>
      <c r="Y235" s="132" t="s">
        <v>3737</v>
      </c>
      <c r="Z235" s="132">
        <f t="shared" ref="Z235:AC235" si="466">C235-1000</f>
        <v>-750</v>
      </c>
      <c r="AA235" s="132">
        <f t="shared" si="466"/>
        <v>-1000</v>
      </c>
      <c r="AB235" s="132">
        <f t="shared" si="466"/>
        <v>-1000</v>
      </c>
      <c r="AC235" s="132">
        <f t="shared" si="466"/>
        <v>-1000</v>
      </c>
      <c r="AD235" s="132">
        <f t="shared" si="4"/>
        <v>-9500</v>
      </c>
      <c r="AE235" s="132">
        <f t="shared" ref="AE235:AS235" si="467">H235-1000</f>
        <v>-1000</v>
      </c>
      <c r="AF235" s="132">
        <f t="shared" si="467"/>
        <v>-1000</v>
      </c>
      <c r="AG235" s="132">
        <f t="shared" si="467"/>
        <v>-1000</v>
      </c>
      <c r="AH235" s="132">
        <f t="shared" si="467"/>
        <v>-1000</v>
      </c>
      <c r="AI235" s="132">
        <f t="shared" si="467"/>
        <v>-1000</v>
      </c>
      <c r="AJ235" s="132">
        <f t="shared" si="467"/>
        <v>-1000</v>
      </c>
      <c r="AK235" s="132">
        <f t="shared" si="467"/>
        <v>-1000</v>
      </c>
      <c r="AL235" s="132">
        <f t="shared" si="467"/>
        <v>-1000</v>
      </c>
      <c r="AM235" s="132">
        <f t="shared" si="467"/>
        <v>-1000</v>
      </c>
      <c r="AN235" s="132">
        <f t="shared" si="467"/>
        <v>-1000</v>
      </c>
      <c r="AO235" s="132">
        <f t="shared" si="467"/>
        <v>-1000</v>
      </c>
      <c r="AP235" s="132">
        <f t="shared" si="467"/>
        <v>-1000</v>
      </c>
      <c r="AQ235" s="132">
        <f t="shared" si="467"/>
        <v>-1000</v>
      </c>
      <c r="AR235" s="132">
        <f t="shared" si="467"/>
        <v>-1000</v>
      </c>
      <c r="AS235" s="132">
        <f t="shared" si="467"/>
        <v>-1000</v>
      </c>
    </row>
    <row r="236">
      <c r="A236" s="132" t="s">
        <v>3738</v>
      </c>
      <c r="B236" s="132">
        <v>250.0</v>
      </c>
      <c r="C236" s="132">
        <v>0.0</v>
      </c>
      <c r="D236" s="132">
        <v>0.0</v>
      </c>
      <c r="E236" s="132">
        <v>0.0</v>
      </c>
      <c r="F236" s="132">
        <v>0.0</v>
      </c>
      <c r="G236" s="132">
        <v>250.0</v>
      </c>
      <c r="H236" s="132">
        <v>0.0</v>
      </c>
      <c r="I236" s="132">
        <v>0.0</v>
      </c>
      <c r="J236" s="132">
        <v>0.0</v>
      </c>
      <c r="K236" s="132">
        <v>0.0</v>
      </c>
      <c r="L236" s="132">
        <v>0.0</v>
      </c>
      <c r="M236" s="132">
        <v>0.0</v>
      </c>
      <c r="N236" s="132">
        <v>0.0</v>
      </c>
      <c r="O236" s="132">
        <v>0.0</v>
      </c>
      <c r="P236" s="132">
        <v>0.0</v>
      </c>
      <c r="Q236" s="132">
        <v>0.0</v>
      </c>
      <c r="R236" s="132">
        <v>0.0</v>
      </c>
      <c r="S236" s="132">
        <v>0.0</v>
      </c>
      <c r="T236" s="132">
        <v>0.0</v>
      </c>
      <c r="U236" s="132">
        <v>0.0</v>
      </c>
      <c r="V236" s="132">
        <v>0.0</v>
      </c>
      <c r="W236" s="132">
        <v>0.0</v>
      </c>
      <c r="Y236" s="132" t="s">
        <v>3738</v>
      </c>
      <c r="Z236" s="132">
        <f t="shared" ref="Z236:AC236" si="468">C236-1000</f>
        <v>-1000</v>
      </c>
      <c r="AA236" s="132">
        <f t="shared" si="468"/>
        <v>-1000</v>
      </c>
      <c r="AB236" s="132">
        <f t="shared" si="468"/>
        <v>-1000</v>
      </c>
      <c r="AC236" s="132">
        <f t="shared" si="468"/>
        <v>-1000</v>
      </c>
      <c r="AD236" s="132">
        <f t="shared" si="4"/>
        <v>-9750</v>
      </c>
      <c r="AE236" s="132">
        <f t="shared" ref="AE236:AS236" si="469">H236-1000</f>
        <v>-1000</v>
      </c>
      <c r="AF236" s="132">
        <f t="shared" si="469"/>
        <v>-1000</v>
      </c>
      <c r="AG236" s="132">
        <f t="shared" si="469"/>
        <v>-1000</v>
      </c>
      <c r="AH236" s="132">
        <f t="shared" si="469"/>
        <v>-1000</v>
      </c>
      <c r="AI236" s="132">
        <f t="shared" si="469"/>
        <v>-1000</v>
      </c>
      <c r="AJ236" s="132">
        <f t="shared" si="469"/>
        <v>-1000</v>
      </c>
      <c r="AK236" s="132">
        <f t="shared" si="469"/>
        <v>-1000</v>
      </c>
      <c r="AL236" s="132">
        <f t="shared" si="469"/>
        <v>-1000</v>
      </c>
      <c r="AM236" s="132">
        <f t="shared" si="469"/>
        <v>-1000</v>
      </c>
      <c r="AN236" s="132">
        <f t="shared" si="469"/>
        <v>-1000</v>
      </c>
      <c r="AO236" s="132">
        <f t="shared" si="469"/>
        <v>-1000</v>
      </c>
      <c r="AP236" s="132">
        <f t="shared" si="469"/>
        <v>-1000</v>
      </c>
      <c r="AQ236" s="132">
        <f t="shared" si="469"/>
        <v>-1000</v>
      </c>
      <c r="AR236" s="132">
        <f t="shared" si="469"/>
        <v>-1000</v>
      </c>
      <c r="AS236" s="132">
        <f t="shared" si="469"/>
        <v>-1000</v>
      </c>
    </row>
    <row r="237">
      <c r="A237" s="132" t="s">
        <v>3739</v>
      </c>
      <c r="B237" s="132">
        <v>7750.0</v>
      </c>
      <c r="C237" s="132">
        <v>0.0</v>
      </c>
      <c r="D237" s="132">
        <v>0.0</v>
      </c>
      <c r="E237" s="132">
        <v>0.0</v>
      </c>
      <c r="F237" s="132">
        <v>0.0</v>
      </c>
      <c r="G237" s="132">
        <v>2500.0</v>
      </c>
      <c r="H237" s="132">
        <v>250.0</v>
      </c>
      <c r="I237" s="132">
        <v>0.0</v>
      </c>
      <c r="J237" s="132">
        <v>4000.0</v>
      </c>
      <c r="K237" s="132">
        <v>0.0</v>
      </c>
      <c r="L237" s="132">
        <v>1000.0</v>
      </c>
      <c r="M237" s="132">
        <v>0.0</v>
      </c>
      <c r="N237" s="132">
        <v>0.0</v>
      </c>
      <c r="O237" s="132">
        <v>0.0</v>
      </c>
      <c r="P237" s="132">
        <v>0.0</v>
      </c>
      <c r="Q237" s="132">
        <v>0.0</v>
      </c>
      <c r="R237" s="132">
        <v>0.0</v>
      </c>
      <c r="S237" s="132">
        <v>0.0</v>
      </c>
      <c r="T237" s="132">
        <v>0.0</v>
      </c>
      <c r="U237" s="132">
        <v>0.0</v>
      </c>
      <c r="V237" s="132">
        <v>0.0</v>
      </c>
      <c r="W237" s="132">
        <v>1.0</v>
      </c>
      <c r="Y237" s="132" t="s">
        <v>3739</v>
      </c>
      <c r="Z237" s="132">
        <f t="shared" ref="Z237:AC237" si="470">C237-1000</f>
        <v>-1000</v>
      </c>
      <c r="AA237" s="132">
        <f t="shared" si="470"/>
        <v>-1000</v>
      </c>
      <c r="AB237" s="132">
        <f t="shared" si="470"/>
        <v>-1000</v>
      </c>
      <c r="AC237" s="132">
        <f t="shared" si="470"/>
        <v>-1000</v>
      </c>
      <c r="AD237" s="132">
        <f t="shared" si="4"/>
        <v>-7500</v>
      </c>
      <c r="AE237" s="132">
        <f t="shared" ref="AE237:AS237" si="471">H237-1000</f>
        <v>-750</v>
      </c>
      <c r="AF237" s="132">
        <f t="shared" si="471"/>
        <v>-1000</v>
      </c>
      <c r="AG237" s="132">
        <f t="shared" si="471"/>
        <v>3000</v>
      </c>
      <c r="AH237" s="132">
        <f t="shared" si="471"/>
        <v>-1000</v>
      </c>
      <c r="AI237" s="132">
        <f t="shared" si="471"/>
        <v>0</v>
      </c>
      <c r="AJ237" s="132">
        <f t="shared" si="471"/>
        <v>-1000</v>
      </c>
      <c r="AK237" s="132">
        <f t="shared" si="471"/>
        <v>-1000</v>
      </c>
      <c r="AL237" s="132">
        <f t="shared" si="471"/>
        <v>-1000</v>
      </c>
      <c r="AM237" s="132">
        <f t="shared" si="471"/>
        <v>-1000</v>
      </c>
      <c r="AN237" s="132">
        <f t="shared" si="471"/>
        <v>-1000</v>
      </c>
      <c r="AO237" s="132">
        <f t="shared" si="471"/>
        <v>-1000</v>
      </c>
      <c r="AP237" s="132">
        <f t="shared" si="471"/>
        <v>-1000</v>
      </c>
      <c r="AQ237" s="132">
        <f t="shared" si="471"/>
        <v>-1000</v>
      </c>
      <c r="AR237" s="132">
        <f t="shared" si="471"/>
        <v>-1000</v>
      </c>
      <c r="AS237" s="132">
        <f t="shared" si="471"/>
        <v>-1000</v>
      </c>
    </row>
    <row r="238">
      <c r="A238" s="132" t="s">
        <v>3740</v>
      </c>
      <c r="B238" s="132">
        <v>2000.0</v>
      </c>
      <c r="C238" s="132">
        <v>0.0</v>
      </c>
      <c r="D238" s="132">
        <v>0.0</v>
      </c>
      <c r="E238" s="132">
        <v>0.0</v>
      </c>
      <c r="F238" s="132">
        <v>0.0</v>
      </c>
      <c r="G238" s="132">
        <v>2000.0</v>
      </c>
      <c r="H238" s="132">
        <v>0.0</v>
      </c>
      <c r="I238" s="132">
        <v>0.0</v>
      </c>
      <c r="J238" s="132">
        <v>0.0</v>
      </c>
      <c r="K238" s="132">
        <v>0.0</v>
      </c>
      <c r="L238" s="132">
        <v>0.0</v>
      </c>
      <c r="M238" s="132">
        <v>0.0</v>
      </c>
      <c r="N238" s="132">
        <v>0.0</v>
      </c>
      <c r="O238" s="132">
        <v>0.0</v>
      </c>
      <c r="P238" s="132">
        <v>0.0</v>
      </c>
      <c r="Q238" s="132">
        <v>0.0</v>
      </c>
      <c r="R238" s="132">
        <v>0.0</v>
      </c>
      <c r="S238" s="132">
        <v>0.0</v>
      </c>
      <c r="T238" s="132">
        <v>0.0</v>
      </c>
      <c r="U238" s="132">
        <v>0.0</v>
      </c>
      <c r="V238" s="132">
        <v>0.0</v>
      </c>
      <c r="W238" s="132">
        <v>0.0</v>
      </c>
      <c r="Y238" s="132" t="s">
        <v>3740</v>
      </c>
      <c r="Z238" s="132">
        <f t="shared" ref="Z238:AC238" si="472">C238-1000</f>
        <v>-1000</v>
      </c>
      <c r="AA238" s="132">
        <f t="shared" si="472"/>
        <v>-1000</v>
      </c>
      <c r="AB238" s="132">
        <f t="shared" si="472"/>
        <v>-1000</v>
      </c>
      <c r="AC238" s="132">
        <f t="shared" si="472"/>
        <v>-1000</v>
      </c>
      <c r="AD238" s="132">
        <f t="shared" si="4"/>
        <v>-8000</v>
      </c>
      <c r="AE238" s="132">
        <f t="shared" ref="AE238:AS238" si="473">H238-1000</f>
        <v>-1000</v>
      </c>
      <c r="AF238" s="132">
        <f t="shared" si="473"/>
        <v>-1000</v>
      </c>
      <c r="AG238" s="132">
        <f t="shared" si="473"/>
        <v>-1000</v>
      </c>
      <c r="AH238" s="132">
        <f t="shared" si="473"/>
        <v>-1000</v>
      </c>
      <c r="AI238" s="132">
        <f t="shared" si="473"/>
        <v>-1000</v>
      </c>
      <c r="AJ238" s="132">
        <f t="shared" si="473"/>
        <v>-1000</v>
      </c>
      <c r="AK238" s="132">
        <f t="shared" si="473"/>
        <v>-1000</v>
      </c>
      <c r="AL238" s="132">
        <f t="shared" si="473"/>
        <v>-1000</v>
      </c>
      <c r="AM238" s="132">
        <f t="shared" si="473"/>
        <v>-1000</v>
      </c>
      <c r="AN238" s="132">
        <f t="shared" si="473"/>
        <v>-1000</v>
      </c>
      <c r="AO238" s="132">
        <f t="shared" si="473"/>
        <v>-1000</v>
      </c>
      <c r="AP238" s="132">
        <f t="shared" si="473"/>
        <v>-1000</v>
      </c>
      <c r="AQ238" s="132">
        <f t="shared" si="473"/>
        <v>-1000</v>
      </c>
      <c r="AR238" s="132">
        <f t="shared" si="473"/>
        <v>-1000</v>
      </c>
      <c r="AS238" s="132">
        <f t="shared" si="473"/>
        <v>-1000</v>
      </c>
    </row>
    <row r="239">
      <c r="A239" s="132" t="s">
        <v>3741</v>
      </c>
      <c r="B239" s="132">
        <v>1250.0</v>
      </c>
      <c r="C239" s="132">
        <v>0.0</v>
      </c>
      <c r="D239" s="132">
        <v>0.0</v>
      </c>
      <c r="E239" s="132">
        <v>0.0</v>
      </c>
      <c r="F239" s="132">
        <v>500.0</v>
      </c>
      <c r="G239" s="132">
        <v>750.0</v>
      </c>
      <c r="H239" s="132">
        <v>0.0</v>
      </c>
      <c r="I239" s="132">
        <v>0.0</v>
      </c>
      <c r="J239" s="132">
        <v>0.0</v>
      </c>
      <c r="K239" s="132">
        <v>0.0</v>
      </c>
      <c r="L239" s="132">
        <v>0.0</v>
      </c>
      <c r="M239" s="132">
        <v>0.0</v>
      </c>
      <c r="N239" s="132">
        <v>0.0</v>
      </c>
      <c r="O239" s="132">
        <v>0.0</v>
      </c>
      <c r="P239" s="132">
        <v>0.0</v>
      </c>
      <c r="Q239" s="132">
        <v>0.0</v>
      </c>
      <c r="R239" s="132">
        <v>0.0</v>
      </c>
      <c r="S239" s="132">
        <v>0.0</v>
      </c>
      <c r="T239" s="132">
        <v>0.0</v>
      </c>
      <c r="U239" s="132">
        <v>0.0</v>
      </c>
      <c r="V239" s="132">
        <v>0.0</v>
      </c>
      <c r="W239" s="132">
        <v>1.0</v>
      </c>
      <c r="Y239" s="132" t="s">
        <v>3741</v>
      </c>
      <c r="Z239" s="132">
        <f t="shared" ref="Z239:AC239" si="474">C239-1000</f>
        <v>-1000</v>
      </c>
      <c r="AA239" s="132">
        <f t="shared" si="474"/>
        <v>-1000</v>
      </c>
      <c r="AB239" s="132">
        <f t="shared" si="474"/>
        <v>-1000</v>
      </c>
      <c r="AC239" s="132">
        <f t="shared" si="474"/>
        <v>-500</v>
      </c>
      <c r="AD239" s="132">
        <f t="shared" si="4"/>
        <v>-9250</v>
      </c>
      <c r="AE239" s="132">
        <f t="shared" ref="AE239:AS239" si="475">H239-1000</f>
        <v>-1000</v>
      </c>
      <c r="AF239" s="132">
        <f t="shared" si="475"/>
        <v>-1000</v>
      </c>
      <c r="AG239" s="132">
        <f t="shared" si="475"/>
        <v>-1000</v>
      </c>
      <c r="AH239" s="132">
        <f t="shared" si="475"/>
        <v>-1000</v>
      </c>
      <c r="AI239" s="132">
        <f t="shared" si="475"/>
        <v>-1000</v>
      </c>
      <c r="AJ239" s="132">
        <f t="shared" si="475"/>
        <v>-1000</v>
      </c>
      <c r="AK239" s="132">
        <f t="shared" si="475"/>
        <v>-1000</v>
      </c>
      <c r="AL239" s="132">
        <f t="shared" si="475"/>
        <v>-1000</v>
      </c>
      <c r="AM239" s="132">
        <f t="shared" si="475"/>
        <v>-1000</v>
      </c>
      <c r="AN239" s="132">
        <f t="shared" si="475"/>
        <v>-1000</v>
      </c>
      <c r="AO239" s="132">
        <f t="shared" si="475"/>
        <v>-1000</v>
      </c>
      <c r="AP239" s="132">
        <f t="shared" si="475"/>
        <v>-1000</v>
      </c>
      <c r="AQ239" s="132">
        <f t="shared" si="475"/>
        <v>-1000</v>
      </c>
      <c r="AR239" s="132">
        <f t="shared" si="475"/>
        <v>-1000</v>
      </c>
      <c r="AS239" s="132">
        <f t="shared" si="475"/>
        <v>-1000</v>
      </c>
    </row>
    <row r="240">
      <c r="A240" s="132" t="s">
        <v>3742</v>
      </c>
      <c r="B240" s="132">
        <v>5050.0</v>
      </c>
      <c r="C240" s="132">
        <v>0.0</v>
      </c>
      <c r="D240" s="132">
        <v>0.0</v>
      </c>
      <c r="E240" s="132">
        <v>0.0</v>
      </c>
      <c r="F240" s="132">
        <v>0.0</v>
      </c>
      <c r="G240" s="132">
        <v>5050.0</v>
      </c>
      <c r="H240" s="132">
        <v>0.0</v>
      </c>
      <c r="I240" s="132">
        <v>0.0</v>
      </c>
      <c r="J240" s="132">
        <v>0.0</v>
      </c>
      <c r="K240" s="132">
        <v>0.0</v>
      </c>
      <c r="L240" s="132">
        <v>0.0</v>
      </c>
      <c r="M240" s="132">
        <v>0.0</v>
      </c>
      <c r="N240" s="132">
        <v>0.0</v>
      </c>
      <c r="O240" s="132">
        <v>0.0</v>
      </c>
      <c r="P240" s="132">
        <v>0.0</v>
      </c>
      <c r="Q240" s="132">
        <v>0.0</v>
      </c>
      <c r="R240" s="132">
        <v>0.0</v>
      </c>
      <c r="S240" s="132">
        <v>0.0</v>
      </c>
      <c r="T240" s="132">
        <v>0.0</v>
      </c>
      <c r="U240" s="132">
        <v>0.0</v>
      </c>
      <c r="V240" s="132">
        <v>0.0</v>
      </c>
      <c r="W240" s="132">
        <v>1.0</v>
      </c>
      <c r="Y240" s="132" t="s">
        <v>3742</v>
      </c>
      <c r="Z240" s="132">
        <f t="shared" ref="Z240:AC240" si="476">C240-1000</f>
        <v>-1000</v>
      </c>
      <c r="AA240" s="132">
        <f t="shared" si="476"/>
        <v>-1000</v>
      </c>
      <c r="AB240" s="132">
        <f t="shared" si="476"/>
        <v>-1000</v>
      </c>
      <c r="AC240" s="132">
        <f t="shared" si="476"/>
        <v>-1000</v>
      </c>
      <c r="AD240" s="132">
        <f t="shared" si="4"/>
        <v>-4950</v>
      </c>
      <c r="AE240" s="132">
        <f t="shared" ref="AE240:AS240" si="477">H240-1000</f>
        <v>-1000</v>
      </c>
      <c r="AF240" s="132">
        <f t="shared" si="477"/>
        <v>-1000</v>
      </c>
      <c r="AG240" s="132">
        <f t="shared" si="477"/>
        <v>-1000</v>
      </c>
      <c r="AH240" s="132">
        <f t="shared" si="477"/>
        <v>-1000</v>
      </c>
      <c r="AI240" s="132">
        <f t="shared" si="477"/>
        <v>-1000</v>
      </c>
      <c r="AJ240" s="132">
        <f t="shared" si="477"/>
        <v>-1000</v>
      </c>
      <c r="AK240" s="132">
        <f t="shared" si="477"/>
        <v>-1000</v>
      </c>
      <c r="AL240" s="132">
        <f t="shared" si="477"/>
        <v>-1000</v>
      </c>
      <c r="AM240" s="132">
        <f t="shared" si="477"/>
        <v>-1000</v>
      </c>
      <c r="AN240" s="132">
        <f t="shared" si="477"/>
        <v>-1000</v>
      </c>
      <c r="AO240" s="132">
        <f t="shared" si="477"/>
        <v>-1000</v>
      </c>
      <c r="AP240" s="132">
        <f t="shared" si="477"/>
        <v>-1000</v>
      </c>
      <c r="AQ240" s="132">
        <f t="shared" si="477"/>
        <v>-1000</v>
      </c>
      <c r="AR240" s="132">
        <f t="shared" si="477"/>
        <v>-1000</v>
      </c>
      <c r="AS240" s="132">
        <f t="shared" si="477"/>
        <v>-1000</v>
      </c>
    </row>
    <row r="241">
      <c r="A241" s="132" t="s">
        <v>3743</v>
      </c>
      <c r="B241" s="132">
        <v>250.0</v>
      </c>
      <c r="C241" s="132">
        <v>0.0</v>
      </c>
      <c r="D241" s="132">
        <v>0.0</v>
      </c>
      <c r="E241" s="132">
        <v>0.0</v>
      </c>
      <c r="F241" s="132">
        <v>0.0</v>
      </c>
      <c r="G241" s="132">
        <v>250.0</v>
      </c>
      <c r="H241" s="132">
        <v>0.0</v>
      </c>
      <c r="I241" s="132">
        <v>0.0</v>
      </c>
      <c r="J241" s="132">
        <v>0.0</v>
      </c>
      <c r="K241" s="132">
        <v>0.0</v>
      </c>
      <c r="L241" s="132">
        <v>0.0</v>
      </c>
      <c r="M241" s="132">
        <v>0.0</v>
      </c>
      <c r="N241" s="132">
        <v>0.0</v>
      </c>
      <c r="O241" s="132">
        <v>0.0</v>
      </c>
      <c r="P241" s="132">
        <v>0.0</v>
      </c>
      <c r="Q241" s="132">
        <v>0.0</v>
      </c>
      <c r="R241" s="132">
        <v>0.0</v>
      </c>
      <c r="S241" s="132">
        <v>0.0</v>
      </c>
      <c r="T241" s="132">
        <v>0.0</v>
      </c>
      <c r="U241" s="132">
        <v>0.0</v>
      </c>
      <c r="V241" s="132">
        <v>0.0</v>
      </c>
      <c r="W241" s="132">
        <v>0.0</v>
      </c>
      <c r="Y241" s="132" t="s">
        <v>3743</v>
      </c>
      <c r="Z241" s="132">
        <f t="shared" ref="Z241:AC241" si="478">C241-1000</f>
        <v>-1000</v>
      </c>
      <c r="AA241" s="132">
        <f t="shared" si="478"/>
        <v>-1000</v>
      </c>
      <c r="AB241" s="132">
        <f t="shared" si="478"/>
        <v>-1000</v>
      </c>
      <c r="AC241" s="132">
        <f t="shared" si="478"/>
        <v>-1000</v>
      </c>
      <c r="AD241" s="132">
        <f t="shared" si="4"/>
        <v>-9750</v>
      </c>
      <c r="AE241" s="132">
        <f t="shared" ref="AE241:AS241" si="479">H241-1000</f>
        <v>-1000</v>
      </c>
      <c r="AF241" s="132">
        <f t="shared" si="479"/>
        <v>-1000</v>
      </c>
      <c r="AG241" s="132">
        <f t="shared" si="479"/>
        <v>-1000</v>
      </c>
      <c r="AH241" s="132">
        <f t="shared" si="479"/>
        <v>-1000</v>
      </c>
      <c r="AI241" s="132">
        <f t="shared" si="479"/>
        <v>-1000</v>
      </c>
      <c r="AJ241" s="132">
        <f t="shared" si="479"/>
        <v>-1000</v>
      </c>
      <c r="AK241" s="132">
        <f t="shared" si="479"/>
        <v>-1000</v>
      </c>
      <c r="AL241" s="132">
        <f t="shared" si="479"/>
        <v>-1000</v>
      </c>
      <c r="AM241" s="132">
        <f t="shared" si="479"/>
        <v>-1000</v>
      </c>
      <c r="AN241" s="132">
        <f t="shared" si="479"/>
        <v>-1000</v>
      </c>
      <c r="AO241" s="132">
        <f t="shared" si="479"/>
        <v>-1000</v>
      </c>
      <c r="AP241" s="132">
        <f t="shared" si="479"/>
        <v>-1000</v>
      </c>
      <c r="AQ241" s="132">
        <f t="shared" si="479"/>
        <v>-1000</v>
      </c>
      <c r="AR241" s="132">
        <f t="shared" si="479"/>
        <v>-1000</v>
      </c>
      <c r="AS241" s="132">
        <f t="shared" si="479"/>
        <v>-1000</v>
      </c>
    </row>
    <row r="242">
      <c r="A242" s="132" t="s">
        <v>3744</v>
      </c>
      <c r="B242" s="132">
        <v>602.0</v>
      </c>
      <c r="C242" s="132">
        <v>0.0</v>
      </c>
      <c r="D242" s="132">
        <v>0.0</v>
      </c>
      <c r="E242" s="132">
        <v>0.0</v>
      </c>
      <c r="F242" s="132">
        <v>0.0</v>
      </c>
      <c r="G242" s="132">
        <v>500.0</v>
      </c>
      <c r="H242" s="132">
        <v>0.0</v>
      </c>
      <c r="I242" s="132">
        <v>0.0</v>
      </c>
      <c r="J242" s="132">
        <v>0.0</v>
      </c>
      <c r="K242" s="132">
        <v>0.0</v>
      </c>
      <c r="L242" s="132">
        <v>0.0</v>
      </c>
      <c r="M242" s="132">
        <v>0.0</v>
      </c>
      <c r="N242" s="132">
        <v>102.0</v>
      </c>
      <c r="O242" s="132">
        <v>0.0</v>
      </c>
      <c r="P242" s="132">
        <v>0.0</v>
      </c>
      <c r="Q242" s="132">
        <v>0.0</v>
      </c>
      <c r="R242" s="132">
        <v>0.0</v>
      </c>
      <c r="S242" s="132">
        <v>0.0</v>
      </c>
      <c r="T242" s="132">
        <v>0.0</v>
      </c>
      <c r="U242" s="132">
        <v>0.0</v>
      </c>
      <c r="V242" s="132">
        <v>0.0</v>
      </c>
      <c r="W242" s="132">
        <v>1.0</v>
      </c>
      <c r="Y242" s="132" t="s">
        <v>3744</v>
      </c>
      <c r="Z242" s="132">
        <f t="shared" ref="Z242:AC242" si="480">C242-1000</f>
        <v>-1000</v>
      </c>
      <c r="AA242" s="132">
        <f t="shared" si="480"/>
        <v>-1000</v>
      </c>
      <c r="AB242" s="132">
        <f t="shared" si="480"/>
        <v>-1000</v>
      </c>
      <c r="AC242" s="132">
        <f t="shared" si="480"/>
        <v>-1000</v>
      </c>
      <c r="AD242" s="132">
        <f t="shared" si="4"/>
        <v>-9500</v>
      </c>
      <c r="AE242" s="132">
        <f t="shared" ref="AE242:AS242" si="481">H242-1000</f>
        <v>-1000</v>
      </c>
      <c r="AF242" s="132">
        <f t="shared" si="481"/>
        <v>-1000</v>
      </c>
      <c r="AG242" s="132">
        <f t="shared" si="481"/>
        <v>-1000</v>
      </c>
      <c r="AH242" s="132">
        <f t="shared" si="481"/>
        <v>-1000</v>
      </c>
      <c r="AI242" s="132">
        <f t="shared" si="481"/>
        <v>-1000</v>
      </c>
      <c r="AJ242" s="132">
        <f t="shared" si="481"/>
        <v>-1000</v>
      </c>
      <c r="AK242" s="132">
        <f t="shared" si="481"/>
        <v>-898</v>
      </c>
      <c r="AL242" s="132">
        <f t="shared" si="481"/>
        <v>-1000</v>
      </c>
      <c r="AM242" s="132">
        <f t="shared" si="481"/>
        <v>-1000</v>
      </c>
      <c r="AN242" s="132">
        <f t="shared" si="481"/>
        <v>-1000</v>
      </c>
      <c r="AO242" s="132">
        <f t="shared" si="481"/>
        <v>-1000</v>
      </c>
      <c r="AP242" s="132">
        <f t="shared" si="481"/>
        <v>-1000</v>
      </c>
      <c r="AQ242" s="132">
        <f t="shared" si="481"/>
        <v>-1000</v>
      </c>
      <c r="AR242" s="132">
        <f t="shared" si="481"/>
        <v>-1000</v>
      </c>
      <c r="AS242" s="132">
        <f t="shared" si="481"/>
        <v>-1000</v>
      </c>
    </row>
    <row r="243">
      <c r="A243" s="132" t="s">
        <v>3745</v>
      </c>
      <c r="B243" s="132">
        <v>250.0</v>
      </c>
      <c r="C243" s="132">
        <v>0.0</v>
      </c>
      <c r="D243" s="132">
        <v>0.0</v>
      </c>
      <c r="E243" s="132">
        <v>0.0</v>
      </c>
      <c r="F243" s="132">
        <v>0.0</v>
      </c>
      <c r="G243" s="132">
        <v>250.0</v>
      </c>
      <c r="H243" s="132">
        <v>0.0</v>
      </c>
      <c r="I243" s="132">
        <v>0.0</v>
      </c>
      <c r="J243" s="132">
        <v>0.0</v>
      </c>
      <c r="K243" s="132">
        <v>0.0</v>
      </c>
      <c r="L243" s="132">
        <v>0.0</v>
      </c>
      <c r="M243" s="132">
        <v>0.0</v>
      </c>
      <c r="N243" s="132">
        <v>0.0</v>
      </c>
      <c r="O243" s="132">
        <v>0.0</v>
      </c>
      <c r="P243" s="132">
        <v>0.0</v>
      </c>
      <c r="Q243" s="132">
        <v>0.0</v>
      </c>
      <c r="R243" s="132">
        <v>0.0</v>
      </c>
      <c r="S243" s="132">
        <v>0.0</v>
      </c>
      <c r="T243" s="132">
        <v>0.0</v>
      </c>
      <c r="U243" s="132">
        <v>0.0</v>
      </c>
      <c r="V243" s="132">
        <v>0.0</v>
      </c>
      <c r="W243" s="132">
        <v>0.0</v>
      </c>
      <c r="Y243" s="132" t="s">
        <v>3745</v>
      </c>
      <c r="Z243" s="132">
        <f t="shared" ref="Z243:AC243" si="482">C243-1000</f>
        <v>-1000</v>
      </c>
      <c r="AA243" s="132">
        <f t="shared" si="482"/>
        <v>-1000</v>
      </c>
      <c r="AB243" s="132">
        <f t="shared" si="482"/>
        <v>-1000</v>
      </c>
      <c r="AC243" s="132">
        <f t="shared" si="482"/>
        <v>-1000</v>
      </c>
      <c r="AD243" s="132">
        <f t="shared" si="4"/>
        <v>-9750</v>
      </c>
      <c r="AE243" s="132">
        <f t="shared" ref="AE243:AS243" si="483">H243-1000</f>
        <v>-1000</v>
      </c>
      <c r="AF243" s="132">
        <f t="shared" si="483"/>
        <v>-1000</v>
      </c>
      <c r="AG243" s="132">
        <f t="shared" si="483"/>
        <v>-1000</v>
      </c>
      <c r="AH243" s="132">
        <f t="shared" si="483"/>
        <v>-1000</v>
      </c>
      <c r="AI243" s="132">
        <f t="shared" si="483"/>
        <v>-1000</v>
      </c>
      <c r="AJ243" s="132">
        <f t="shared" si="483"/>
        <v>-1000</v>
      </c>
      <c r="AK243" s="132">
        <f t="shared" si="483"/>
        <v>-1000</v>
      </c>
      <c r="AL243" s="132">
        <f t="shared" si="483"/>
        <v>-1000</v>
      </c>
      <c r="AM243" s="132">
        <f t="shared" si="483"/>
        <v>-1000</v>
      </c>
      <c r="AN243" s="132">
        <f t="shared" si="483"/>
        <v>-1000</v>
      </c>
      <c r="AO243" s="132">
        <f t="shared" si="483"/>
        <v>-1000</v>
      </c>
      <c r="AP243" s="132">
        <f t="shared" si="483"/>
        <v>-1000</v>
      </c>
      <c r="AQ243" s="132">
        <f t="shared" si="483"/>
        <v>-1000</v>
      </c>
      <c r="AR243" s="132">
        <f t="shared" si="483"/>
        <v>-1000</v>
      </c>
      <c r="AS243" s="132">
        <f t="shared" si="483"/>
        <v>-1000</v>
      </c>
    </row>
    <row r="244">
      <c r="A244" s="132" t="s">
        <v>3746</v>
      </c>
      <c r="B244" s="132">
        <v>500.0</v>
      </c>
      <c r="C244" s="132">
        <v>0.0</v>
      </c>
      <c r="D244" s="132">
        <v>0.0</v>
      </c>
      <c r="E244" s="132">
        <v>0.0</v>
      </c>
      <c r="F244" s="132">
        <v>0.0</v>
      </c>
      <c r="G244" s="132">
        <v>500.0</v>
      </c>
      <c r="H244" s="132">
        <v>0.0</v>
      </c>
      <c r="I244" s="132">
        <v>0.0</v>
      </c>
      <c r="J244" s="132">
        <v>0.0</v>
      </c>
      <c r="K244" s="132">
        <v>0.0</v>
      </c>
      <c r="L244" s="132">
        <v>0.0</v>
      </c>
      <c r="M244" s="132">
        <v>0.0</v>
      </c>
      <c r="N244" s="132">
        <v>0.0</v>
      </c>
      <c r="O244" s="132">
        <v>0.0</v>
      </c>
      <c r="P244" s="132">
        <v>0.0</v>
      </c>
      <c r="Q244" s="132">
        <v>0.0</v>
      </c>
      <c r="R244" s="132">
        <v>0.0</v>
      </c>
      <c r="S244" s="132">
        <v>0.0</v>
      </c>
      <c r="T244" s="132">
        <v>0.0</v>
      </c>
      <c r="U244" s="132">
        <v>0.0</v>
      </c>
      <c r="V244" s="132">
        <v>0.0</v>
      </c>
      <c r="W244" s="132">
        <v>0.0</v>
      </c>
      <c r="Y244" s="132" t="s">
        <v>3746</v>
      </c>
      <c r="Z244" s="132">
        <f t="shared" ref="Z244:AC244" si="484">C244-1000</f>
        <v>-1000</v>
      </c>
      <c r="AA244" s="132">
        <f t="shared" si="484"/>
        <v>-1000</v>
      </c>
      <c r="AB244" s="132">
        <f t="shared" si="484"/>
        <v>-1000</v>
      </c>
      <c r="AC244" s="132">
        <f t="shared" si="484"/>
        <v>-1000</v>
      </c>
      <c r="AD244" s="132">
        <f t="shared" si="4"/>
        <v>-9500</v>
      </c>
      <c r="AE244" s="132">
        <f t="shared" ref="AE244:AS244" si="485">H244-1000</f>
        <v>-1000</v>
      </c>
      <c r="AF244" s="132">
        <f t="shared" si="485"/>
        <v>-1000</v>
      </c>
      <c r="AG244" s="132">
        <f t="shared" si="485"/>
        <v>-1000</v>
      </c>
      <c r="AH244" s="132">
        <f t="shared" si="485"/>
        <v>-1000</v>
      </c>
      <c r="AI244" s="132">
        <f t="shared" si="485"/>
        <v>-1000</v>
      </c>
      <c r="AJ244" s="132">
        <f t="shared" si="485"/>
        <v>-1000</v>
      </c>
      <c r="AK244" s="132">
        <f t="shared" si="485"/>
        <v>-1000</v>
      </c>
      <c r="AL244" s="132">
        <f t="shared" si="485"/>
        <v>-1000</v>
      </c>
      <c r="AM244" s="132">
        <f t="shared" si="485"/>
        <v>-1000</v>
      </c>
      <c r="AN244" s="132">
        <f t="shared" si="485"/>
        <v>-1000</v>
      </c>
      <c r="AO244" s="132">
        <f t="shared" si="485"/>
        <v>-1000</v>
      </c>
      <c r="AP244" s="132">
        <f t="shared" si="485"/>
        <v>-1000</v>
      </c>
      <c r="AQ244" s="132">
        <f t="shared" si="485"/>
        <v>-1000</v>
      </c>
      <c r="AR244" s="132">
        <f t="shared" si="485"/>
        <v>-1000</v>
      </c>
      <c r="AS244" s="132">
        <f t="shared" si="485"/>
        <v>-1000</v>
      </c>
    </row>
    <row r="245">
      <c r="A245" s="132" t="s">
        <v>3747</v>
      </c>
      <c r="B245" s="132">
        <v>450.0</v>
      </c>
      <c r="C245" s="132">
        <v>0.0</v>
      </c>
      <c r="D245" s="132">
        <v>0.0</v>
      </c>
      <c r="E245" s="132">
        <v>100.0</v>
      </c>
      <c r="F245" s="132">
        <v>0.0</v>
      </c>
      <c r="G245" s="132">
        <v>250.0</v>
      </c>
      <c r="H245" s="132">
        <v>0.0</v>
      </c>
      <c r="I245" s="132">
        <v>0.0</v>
      </c>
      <c r="J245" s="132">
        <v>0.0</v>
      </c>
      <c r="K245" s="132">
        <v>100.0</v>
      </c>
      <c r="L245" s="132">
        <v>0.0</v>
      </c>
      <c r="M245" s="132">
        <v>0.0</v>
      </c>
      <c r="N245" s="132">
        <v>0.0</v>
      </c>
      <c r="O245" s="132">
        <v>0.0</v>
      </c>
      <c r="P245" s="132">
        <v>0.0</v>
      </c>
      <c r="Q245" s="132">
        <v>0.0</v>
      </c>
      <c r="R245" s="132">
        <v>0.0</v>
      </c>
      <c r="S245" s="132">
        <v>0.0</v>
      </c>
      <c r="T245" s="132">
        <v>0.0</v>
      </c>
      <c r="U245" s="132">
        <v>0.0</v>
      </c>
      <c r="V245" s="132">
        <v>0.0</v>
      </c>
      <c r="W245" s="132">
        <v>1.0</v>
      </c>
      <c r="Y245" s="132" t="s">
        <v>3747</v>
      </c>
      <c r="Z245" s="132">
        <f t="shared" ref="Z245:AC245" si="486">C245-1000</f>
        <v>-1000</v>
      </c>
      <c r="AA245" s="132">
        <f t="shared" si="486"/>
        <v>-1000</v>
      </c>
      <c r="AB245" s="132">
        <f t="shared" si="486"/>
        <v>-900</v>
      </c>
      <c r="AC245" s="132">
        <f t="shared" si="486"/>
        <v>-1000</v>
      </c>
      <c r="AD245" s="132">
        <f t="shared" si="4"/>
        <v>-9750</v>
      </c>
      <c r="AE245" s="132">
        <f t="shared" ref="AE245:AS245" si="487">H245-1000</f>
        <v>-1000</v>
      </c>
      <c r="AF245" s="132">
        <f t="shared" si="487"/>
        <v>-1000</v>
      </c>
      <c r="AG245" s="132">
        <f t="shared" si="487"/>
        <v>-1000</v>
      </c>
      <c r="AH245" s="132">
        <f t="shared" si="487"/>
        <v>-900</v>
      </c>
      <c r="AI245" s="132">
        <f t="shared" si="487"/>
        <v>-1000</v>
      </c>
      <c r="AJ245" s="132">
        <f t="shared" si="487"/>
        <v>-1000</v>
      </c>
      <c r="AK245" s="132">
        <f t="shared" si="487"/>
        <v>-1000</v>
      </c>
      <c r="AL245" s="132">
        <f t="shared" si="487"/>
        <v>-1000</v>
      </c>
      <c r="AM245" s="132">
        <f t="shared" si="487"/>
        <v>-1000</v>
      </c>
      <c r="AN245" s="132">
        <f t="shared" si="487"/>
        <v>-1000</v>
      </c>
      <c r="AO245" s="132">
        <f t="shared" si="487"/>
        <v>-1000</v>
      </c>
      <c r="AP245" s="132">
        <f t="shared" si="487"/>
        <v>-1000</v>
      </c>
      <c r="AQ245" s="132">
        <f t="shared" si="487"/>
        <v>-1000</v>
      </c>
      <c r="AR245" s="132">
        <f t="shared" si="487"/>
        <v>-1000</v>
      </c>
      <c r="AS245" s="132">
        <f t="shared" si="487"/>
        <v>-1000</v>
      </c>
    </row>
    <row r="246">
      <c r="A246" s="132" t="s">
        <v>3748</v>
      </c>
      <c r="B246" s="132">
        <v>551.0</v>
      </c>
      <c r="C246" s="132">
        <v>0.0</v>
      </c>
      <c r="D246" s="132">
        <v>0.0</v>
      </c>
      <c r="E246" s="132">
        <v>0.0</v>
      </c>
      <c r="F246" s="132">
        <v>0.0</v>
      </c>
      <c r="G246" s="132">
        <v>500.0</v>
      </c>
      <c r="H246" s="132">
        <v>0.0</v>
      </c>
      <c r="I246" s="132">
        <v>0.0</v>
      </c>
      <c r="J246" s="132">
        <v>0.0</v>
      </c>
      <c r="K246" s="132">
        <v>0.0</v>
      </c>
      <c r="L246" s="132">
        <v>0.0</v>
      </c>
      <c r="M246" s="132">
        <v>0.0</v>
      </c>
      <c r="N246" s="132">
        <v>51.0</v>
      </c>
      <c r="O246" s="132">
        <v>0.0</v>
      </c>
      <c r="P246" s="132">
        <v>0.0</v>
      </c>
      <c r="Q246" s="132">
        <v>0.0</v>
      </c>
      <c r="R246" s="132">
        <v>0.0</v>
      </c>
      <c r="S246" s="132">
        <v>0.0</v>
      </c>
      <c r="T246" s="132">
        <v>0.0</v>
      </c>
      <c r="U246" s="132">
        <v>0.0</v>
      </c>
      <c r="V246" s="132">
        <v>0.0</v>
      </c>
      <c r="W246" s="132">
        <v>1.0</v>
      </c>
      <c r="Y246" s="132" t="s">
        <v>3748</v>
      </c>
      <c r="Z246" s="132">
        <f t="shared" ref="Z246:AC246" si="488">C246-1000</f>
        <v>-1000</v>
      </c>
      <c r="AA246" s="132">
        <f t="shared" si="488"/>
        <v>-1000</v>
      </c>
      <c r="AB246" s="132">
        <f t="shared" si="488"/>
        <v>-1000</v>
      </c>
      <c r="AC246" s="132">
        <f t="shared" si="488"/>
        <v>-1000</v>
      </c>
      <c r="AD246" s="132">
        <f t="shared" si="4"/>
        <v>-9500</v>
      </c>
      <c r="AE246" s="132">
        <f t="shared" ref="AE246:AS246" si="489">H246-1000</f>
        <v>-1000</v>
      </c>
      <c r="AF246" s="132">
        <f t="shared" si="489"/>
        <v>-1000</v>
      </c>
      <c r="AG246" s="132">
        <f t="shared" si="489"/>
        <v>-1000</v>
      </c>
      <c r="AH246" s="132">
        <f t="shared" si="489"/>
        <v>-1000</v>
      </c>
      <c r="AI246" s="132">
        <f t="shared" si="489"/>
        <v>-1000</v>
      </c>
      <c r="AJ246" s="132">
        <f t="shared" si="489"/>
        <v>-1000</v>
      </c>
      <c r="AK246" s="132">
        <f t="shared" si="489"/>
        <v>-949</v>
      </c>
      <c r="AL246" s="132">
        <f t="shared" si="489"/>
        <v>-1000</v>
      </c>
      <c r="AM246" s="132">
        <f t="shared" si="489"/>
        <v>-1000</v>
      </c>
      <c r="AN246" s="132">
        <f t="shared" si="489"/>
        <v>-1000</v>
      </c>
      <c r="AO246" s="132">
        <f t="shared" si="489"/>
        <v>-1000</v>
      </c>
      <c r="AP246" s="132">
        <f t="shared" si="489"/>
        <v>-1000</v>
      </c>
      <c r="AQ246" s="132">
        <f t="shared" si="489"/>
        <v>-1000</v>
      </c>
      <c r="AR246" s="132">
        <f t="shared" si="489"/>
        <v>-1000</v>
      </c>
      <c r="AS246" s="132">
        <f t="shared" si="489"/>
        <v>-1000</v>
      </c>
    </row>
    <row r="247">
      <c r="A247" s="132" t="s">
        <v>3749</v>
      </c>
      <c r="B247" s="132">
        <v>250.0</v>
      </c>
      <c r="C247" s="132">
        <v>0.0</v>
      </c>
      <c r="D247" s="132">
        <v>0.0</v>
      </c>
      <c r="E247" s="132">
        <v>0.0</v>
      </c>
      <c r="F247" s="132">
        <v>0.0</v>
      </c>
      <c r="G247" s="132">
        <v>250.0</v>
      </c>
      <c r="H247" s="132">
        <v>0.0</v>
      </c>
      <c r="I247" s="132">
        <v>0.0</v>
      </c>
      <c r="J247" s="132">
        <v>0.0</v>
      </c>
      <c r="K247" s="132">
        <v>0.0</v>
      </c>
      <c r="L247" s="132">
        <v>0.0</v>
      </c>
      <c r="M247" s="132">
        <v>0.0</v>
      </c>
      <c r="N247" s="132">
        <v>0.0</v>
      </c>
      <c r="O247" s="132">
        <v>0.0</v>
      </c>
      <c r="P247" s="132">
        <v>0.0</v>
      </c>
      <c r="Q247" s="132">
        <v>0.0</v>
      </c>
      <c r="R247" s="132">
        <v>0.0</v>
      </c>
      <c r="S247" s="132">
        <v>0.0</v>
      </c>
      <c r="T247" s="132">
        <v>0.0</v>
      </c>
      <c r="U247" s="132">
        <v>0.0</v>
      </c>
      <c r="V247" s="132">
        <v>0.0</v>
      </c>
      <c r="W247" s="132">
        <v>0.0</v>
      </c>
      <c r="Y247" s="132" t="s">
        <v>3749</v>
      </c>
      <c r="Z247" s="132">
        <f t="shared" ref="Z247:AC247" si="490">C247-1000</f>
        <v>-1000</v>
      </c>
      <c r="AA247" s="132">
        <f t="shared" si="490"/>
        <v>-1000</v>
      </c>
      <c r="AB247" s="132">
        <f t="shared" si="490"/>
        <v>-1000</v>
      </c>
      <c r="AC247" s="132">
        <f t="shared" si="490"/>
        <v>-1000</v>
      </c>
      <c r="AD247" s="132">
        <f t="shared" si="4"/>
        <v>-9750</v>
      </c>
      <c r="AE247" s="132">
        <f t="shared" ref="AE247:AS247" si="491">H247-1000</f>
        <v>-1000</v>
      </c>
      <c r="AF247" s="132">
        <f t="shared" si="491"/>
        <v>-1000</v>
      </c>
      <c r="AG247" s="132">
        <f t="shared" si="491"/>
        <v>-1000</v>
      </c>
      <c r="AH247" s="132">
        <f t="shared" si="491"/>
        <v>-1000</v>
      </c>
      <c r="AI247" s="132">
        <f t="shared" si="491"/>
        <v>-1000</v>
      </c>
      <c r="AJ247" s="132">
        <f t="shared" si="491"/>
        <v>-1000</v>
      </c>
      <c r="AK247" s="132">
        <f t="shared" si="491"/>
        <v>-1000</v>
      </c>
      <c r="AL247" s="132">
        <f t="shared" si="491"/>
        <v>-1000</v>
      </c>
      <c r="AM247" s="132">
        <f t="shared" si="491"/>
        <v>-1000</v>
      </c>
      <c r="AN247" s="132">
        <f t="shared" si="491"/>
        <v>-1000</v>
      </c>
      <c r="AO247" s="132">
        <f t="shared" si="491"/>
        <v>-1000</v>
      </c>
      <c r="AP247" s="132">
        <f t="shared" si="491"/>
        <v>-1000</v>
      </c>
      <c r="AQ247" s="132">
        <f t="shared" si="491"/>
        <v>-1000</v>
      </c>
      <c r="AR247" s="132">
        <f t="shared" si="491"/>
        <v>-1000</v>
      </c>
      <c r="AS247" s="132">
        <f t="shared" si="491"/>
        <v>-1000</v>
      </c>
    </row>
    <row r="248">
      <c r="A248" s="132" t="s">
        <v>3750</v>
      </c>
      <c r="B248" s="132">
        <v>400.0</v>
      </c>
      <c r="C248" s="132">
        <v>0.0</v>
      </c>
      <c r="D248" s="132">
        <v>0.0</v>
      </c>
      <c r="E248" s="132">
        <v>0.0</v>
      </c>
      <c r="F248" s="132">
        <v>0.0</v>
      </c>
      <c r="G248" s="132">
        <v>400.0</v>
      </c>
      <c r="H248" s="132">
        <v>0.0</v>
      </c>
      <c r="I248" s="132">
        <v>0.0</v>
      </c>
      <c r="J248" s="132">
        <v>0.0</v>
      </c>
      <c r="K248" s="132">
        <v>0.0</v>
      </c>
      <c r="L248" s="132">
        <v>0.0</v>
      </c>
      <c r="M248" s="132">
        <v>0.0</v>
      </c>
      <c r="N248" s="132">
        <v>0.0</v>
      </c>
      <c r="O248" s="132">
        <v>0.0</v>
      </c>
      <c r="P248" s="132">
        <v>0.0</v>
      </c>
      <c r="Q248" s="132">
        <v>0.0</v>
      </c>
      <c r="R248" s="132">
        <v>0.0</v>
      </c>
      <c r="S248" s="132">
        <v>0.0</v>
      </c>
      <c r="T248" s="132">
        <v>0.0</v>
      </c>
      <c r="U248" s="132">
        <v>0.0</v>
      </c>
      <c r="V248" s="132">
        <v>0.0</v>
      </c>
      <c r="W248" s="132">
        <v>1.0</v>
      </c>
      <c r="Y248" s="132" t="s">
        <v>3750</v>
      </c>
      <c r="Z248" s="132">
        <f t="shared" ref="Z248:AC248" si="492">C248-1000</f>
        <v>-1000</v>
      </c>
      <c r="AA248" s="132">
        <f t="shared" si="492"/>
        <v>-1000</v>
      </c>
      <c r="AB248" s="132">
        <f t="shared" si="492"/>
        <v>-1000</v>
      </c>
      <c r="AC248" s="132">
        <f t="shared" si="492"/>
        <v>-1000</v>
      </c>
      <c r="AD248" s="132">
        <f t="shared" si="4"/>
        <v>-9600</v>
      </c>
      <c r="AE248" s="132">
        <f t="shared" ref="AE248:AS248" si="493">H248-1000</f>
        <v>-1000</v>
      </c>
      <c r="AF248" s="132">
        <f t="shared" si="493"/>
        <v>-1000</v>
      </c>
      <c r="AG248" s="132">
        <f t="shared" si="493"/>
        <v>-1000</v>
      </c>
      <c r="AH248" s="132">
        <f t="shared" si="493"/>
        <v>-1000</v>
      </c>
      <c r="AI248" s="132">
        <f t="shared" si="493"/>
        <v>-1000</v>
      </c>
      <c r="AJ248" s="132">
        <f t="shared" si="493"/>
        <v>-1000</v>
      </c>
      <c r="AK248" s="132">
        <f t="shared" si="493"/>
        <v>-1000</v>
      </c>
      <c r="AL248" s="132">
        <f t="shared" si="493"/>
        <v>-1000</v>
      </c>
      <c r="AM248" s="132">
        <f t="shared" si="493"/>
        <v>-1000</v>
      </c>
      <c r="AN248" s="132">
        <f t="shared" si="493"/>
        <v>-1000</v>
      </c>
      <c r="AO248" s="132">
        <f t="shared" si="493"/>
        <v>-1000</v>
      </c>
      <c r="AP248" s="132">
        <f t="shared" si="493"/>
        <v>-1000</v>
      </c>
      <c r="AQ248" s="132">
        <f t="shared" si="493"/>
        <v>-1000</v>
      </c>
      <c r="AR248" s="132">
        <f t="shared" si="493"/>
        <v>-1000</v>
      </c>
      <c r="AS248" s="132">
        <f t="shared" si="493"/>
        <v>-1000</v>
      </c>
    </row>
    <row r="249">
      <c r="A249" s="132" t="s">
        <v>3751</v>
      </c>
      <c r="B249" s="132">
        <v>350.0</v>
      </c>
      <c r="C249" s="132">
        <v>0.0</v>
      </c>
      <c r="D249" s="132">
        <v>0.0</v>
      </c>
      <c r="E249" s="132">
        <v>0.0</v>
      </c>
      <c r="F249" s="132">
        <v>100.0</v>
      </c>
      <c r="G249" s="132">
        <v>250.0</v>
      </c>
      <c r="H249" s="132">
        <v>0.0</v>
      </c>
      <c r="I249" s="132">
        <v>0.0</v>
      </c>
      <c r="J249" s="132">
        <v>0.0</v>
      </c>
      <c r="K249" s="132">
        <v>0.0</v>
      </c>
      <c r="L249" s="132">
        <v>0.0</v>
      </c>
      <c r="M249" s="132">
        <v>0.0</v>
      </c>
      <c r="N249" s="132">
        <v>0.0</v>
      </c>
      <c r="O249" s="132">
        <v>0.0</v>
      </c>
      <c r="P249" s="132">
        <v>0.0</v>
      </c>
      <c r="Q249" s="132">
        <v>0.0</v>
      </c>
      <c r="R249" s="132">
        <v>0.0</v>
      </c>
      <c r="S249" s="132">
        <v>0.0</v>
      </c>
      <c r="T249" s="132">
        <v>0.0</v>
      </c>
      <c r="U249" s="132">
        <v>0.0</v>
      </c>
      <c r="V249" s="132">
        <v>0.0</v>
      </c>
      <c r="W249" s="132">
        <v>1.0</v>
      </c>
      <c r="Y249" s="132" t="s">
        <v>3751</v>
      </c>
      <c r="Z249" s="132">
        <f t="shared" ref="Z249:AC249" si="494">C249-1000</f>
        <v>-1000</v>
      </c>
      <c r="AA249" s="132">
        <f t="shared" si="494"/>
        <v>-1000</v>
      </c>
      <c r="AB249" s="132">
        <f t="shared" si="494"/>
        <v>-1000</v>
      </c>
      <c r="AC249" s="132">
        <f t="shared" si="494"/>
        <v>-900</v>
      </c>
      <c r="AD249" s="132">
        <f t="shared" si="4"/>
        <v>-9750</v>
      </c>
      <c r="AE249" s="132">
        <f t="shared" ref="AE249:AS249" si="495">H249-1000</f>
        <v>-1000</v>
      </c>
      <c r="AF249" s="132">
        <f t="shared" si="495"/>
        <v>-1000</v>
      </c>
      <c r="AG249" s="132">
        <f t="shared" si="495"/>
        <v>-1000</v>
      </c>
      <c r="AH249" s="132">
        <f t="shared" si="495"/>
        <v>-1000</v>
      </c>
      <c r="AI249" s="132">
        <f t="shared" si="495"/>
        <v>-1000</v>
      </c>
      <c r="AJ249" s="132">
        <f t="shared" si="495"/>
        <v>-1000</v>
      </c>
      <c r="AK249" s="132">
        <f t="shared" si="495"/>
        <v>-1000</v>
      </c>
      <c r="AL249" s="132">
        <f t="shared" si="495"/>
        <v>-1000</v>
      </c>
      <c r="AM249" s="132">
        <f t="shared" si="495"/>
        <v>-1000</v>
      </c>
      <c r="AN249" s="132">
        <f t="shared" si="495"/>
        <v>-1000</v>
      </c>
      <c r="AO249" s="132">
        <f t="shared" si="495"/>
        <v>-1000</v>
      </c>
      <c r="AP249" s="132">
        <f t="shared" si="495"/>
        <v>-1000</v>
      </c>
      <c r="AQ249" s="132">
        <f t="shared" si="495"/>
        <v>-1000</v>
      </c>
      <c r="AR249" s="132">
        <f t="shared" si="495"/>
        <v>-1000</v>
      </c>
      <c r="AS249" s="132">
        <f t="shared" si="495"/>
        <v>-1000</v>
      </c>
    </row>
    <row r="250">
      <c r="A250" s="132" t="s">
        <v>3752</v>
      </c>
      <c r="B250" s="132">
        <v>500.0</v>
      </c>
      <c r="C250" s="132">
        <v>0.0</v>
      </c>
      <c r="D250" s="132">
        <v>0.0</v>
      </c>
      <c r="E250" s="132">
        <v>0.0</v>
      </c>
      <c r="F250" s="132">
        <v>0.0</v>
      </c>
      <c r="G250" s="132">
        <v>500.0</v>
      </c>
      <c r="H250" s="132">
        <v>0.0</v>
      </c>
      <c r="I250" s="132">
        <v>0.0</v>
      </c>
      <c r="J250" s="132">
        <v>0.0</v>
      </c>
      <c r="K250" s="132">
        <v>0.0</v>
      </c>
      <c r="L250" s="132">
        <v>0.0</v>
      </c>
      <c r="M250" s="132">
        <v>0.0</v>
      </c>
      <c r="N250" s="132">
        <v>0.0</v>
      </c>
      <c r="O250" s="132">
        <v>0.0</v>
      </c>
      <c r="P250" s="132">
        <v>0.0</v>
      </c>
      <c r="Q250" s="132">
        <v>0.0</v>
      </c>
      <c r="R250" s="132">
        <v>0.0</v>
      </c>
      <c r="S250" s="132">
        <v>0.0</v>
      </c>
      <c r="T250" s="132">
        <v>0.0</v>
      </c>
      <c r="U250" s="132">
        <v>0.0</v>
      </c>
      <c r="V250" s="132">
        <v>0.0</v>
      </c>
      <c r="W250" s="132">
        <v>0.0</v>
      </c>
      <c r="Y250" s="132" t="s">
        <v>3752</v>
      </c>
      <c r="Z250" s="132">
        <f t="shared" ref="Z250:AC250" si="496">C250-1000</f>
        <v>-1000</v>
      </c>
      <c r="AA250" s="132">
        <f t="shared" si="496"/>
        <v>-1000</v>
      </c>
      <c r="AB250" s="132">
        <f t="shared" si="496"/>
        <v>-1000</v>
      </c>
      <c r="AC250" s="132">
        <f t="shared" si="496"/>
        <v>-1000</v>
      </c>
      <c r="AD250" s="132">
        <f t="shared" si="4"/>
        <v>-9500</v>
      </c>
      <c r="AE250" s="132">
        <f t="shared" ref="AE250:AS250" si="497">H250-1000</f>
        <v>-1000</v>
      </c>
      <c r="AF250" s="132">
        <f t="shared" si="497"/>
        <v>-1000</v>
      </c>
      <c r="AG250" s="132">
        <f t="shared" si="497"/>
        <v>-1000</v>
      </c>
      <c r="AH250" s="132">
        <f t="shared" si="497"/>
        <v>-1000</v>
      </c>
      <c r="AI250" s="132">
        <f t="shared" si="497"/>
        <v>-1000</v>
      </c>
      <c r="AJ250" s="132">
        <f t="shared" si="497"/>
        <v>-1000</v>
      </c>
      <c r="AK250" s="132">
        <f t="shared" si="497"/>
        <v>-1000</v>
      </c>
      <c r="AL250" s="132">
        <f t="shared" si="497"/>
        <v>-1000</v>
      </c>
      <c r="AM250" s="132">
        <f t="shared" si="497"/>
        <v>-1000</v>
      </c>
      <c r="AN250" s="132">
        <f t="shared" si="497"/>
        <v>-1000</v>
      </c>
      <c r="AO250" s="132">
        <f t="shared" si="497"/>
        <v>-1000</v>
      </c>
      <c r="AP250" s="132">
        <f t="shared" si="497"/>
        <v>-1000</v>
      </c>
      <c r="AQ250" s="132">
        <f t="shared" si="497"/>
        <v>-1000</v>
      </c>
      <c r="AR250" s="132">
        <f t="shared" si="497"/>
        <v>-1000</v>
      </c>
      <c r="AS250" s="132">
        <f t="shared" si="497"/>
        <v>-1000</v>
      </c>
    </row>
    <row r="251">
      <c r="A251" s="132" t="s">
        <v>3753</v>
      </c>
      <c r="B251" s="132">
        <v>350.0</v>
      </c>
      <c r="C251" s="132">
        <v>0.0</v>
      </c>
      <c r="D251" s="132">
        <v>0.0</v>
      </c>
      <c r="E251" s="132">
        <v>0.0</v>
      </c>
      <c r="F251" s="132">
        <v>0.0</v>
      </c>
      <c r="G251" s="132">
        <v>350.0</v>
      </c>
      <c r="H251" s="132">
        <v>0.0</v>
      </c>
      <c r="I251" s="132">
        <v>0.0</v>
      </c>
      <c r="J251" s="132">
        <v>0.0</v>
      </c>
      <c r="K251" s="132">
        <v>0.0</v>
      </c>
      <c r="L251" s="132">
        <v>0.0</v>
      </c>
      <c r="M251" s="132">
        <v>0.0</v>
      </c>
      <c r="N251" s="132">
        <v>0.0</v>
      </c>
      <c r="O251" s="132">
        <v>0.0</v>
      </c>
      <c r="P251" s="132">
        <v>0.0</v>
      </c>
      <c r="Q251" s="132">
        <v>0.0</v>
      </c>
      <c r="R251" s="132">
        <v>0.0</v>
      </c>
      <c r="S251" s="132">
        <v>0.0</v>
      </c>
      <c r="T251" s="132">
        <v>0.0</v>
      </c>
      <c r="U251" s="132">
        <v>0.0</v>
      </c>
      <c r="V251" s="132">
        <v>0.0</v>
      </c>
      <c r="W251" s="132">
        <v>0.0</v>
      </c>
      <c r="Y251" s="132" t="s">
        <v>3753</v>
      </c>
      <c r="Z251" s="132">
        <f t="shared" ref="Z251:AC251" si="498">C251-1000</f>
        <v>-1000</v>
      </c>
      <c r="AA251" s="132">
        <f t="shared" si="498"/>
        <v>-1000</v>
      </c>
      <c r="AB251" s="132">
        <f t="shared" si="498"/>
        <v>-1000</v>
      </c>
      <c r="AC251" s="132">
        <f t="shared" si="498"/>
        <v>-1000</v>
      </c>
      <c r="AD251" s="132">
        <f t="shared" si="4"/>
        <v>-9650</v>
      </c>
      <c r="AE251" s="132">
        <f t="shared" ref="AE251:AS251" si="499">H251-1000</f>
        <v>-1000</v>
      </c>
      <c r="AF251" s="132">
        <f t="shared" si="499"/>
        <v>-1000</v>
      </c>
      <c r="AG251" s="132">
        <f t="shared" si="499"/>
        <v>-1000</v>
      </c>
      <c r="AH251" s="132">
        <f t="shared" si="499"/>
        <v>-1000</v>
      </c>
      <c r="AI251" s="132">
        <f t="shared" si="499"/>
        <v>-1000</v>
      </c>
      <c r="AJ251" s="132">
        <f t="shared" si="499"/>
        <v>-1000</v>
      </c>
      <c r="AK251" s="132">
        <f t="shared" si="499"/>
        <v>-1000</v>
      </c>
      <c r="AL251" s="132">
        <f t="shared" si="499"/>
        <v>-1000</v>
      </c>
      <c r="AM251" s="132">
        <f t="shared" si="499"/>
        <v>-1000</v>
      </c>
      <c r="AN251" s="132">
        <f t="shared" si="499"/>
        <v>-1000</v>
      </c>
      <c r="AO251" s="132">
        <f t="shared" si="499"/>
        <v>-1000</v>
      </c>
      <c r="AP251" s="132">
        <f t="shared" si="499"/>
        <v>-1000</v>
      </c>
      <c r="AQ251" s="132">
        <f t="shared" si="499"/>
        <v>-1000</v>
      </c>
      <c r="AR251" s="132">
        <f t="shared" si="499"/>
        <v>-1000</v>
      </c>
      <c r="AS251" s="132">
        <f t="shared" si="499"/>
        <v>-1000</v>
      </c>
    </row>
    <row r="252">
      <c r="A252" s="132" t="s">
        <v>3754</v>
      </c>
      <c r="B252" s="132">
        <v>500.0</v>
      </c>
      <c r="C252" s="132">
        <v>0.0</v>
      </c>
      <c r="D252" s="132">
        <v>0.0</v>
      </c>
      <c r="E252" s="132">
        <v>0.0</v>
      </c>
      <c r="F252" s="132">
        <v>0.0</v>
      </c>
      <c r="G252" s="132">
        <v>500.0</v>
      </c>
      <c r="H252" s="132">
        <v>0.0</v>
      </c>
      <c r="I252" s="132">
        <v>0.0</v>
      </c>
      <c r="J252" s="132">
        <v>0.0</v>
      </c>
      <c r="K252" s="132">
        <v>0.0</v>
      </c>
      <c r="L252" s="132">
        <v>0.0</v>
      </c>
      <c r="M252" s="132">
        <v>0.0</v>
      </c>
      <c r="N252" s="132">
        <v>0.0</v>
      </c>
      <c r="O252" s="132">
        <v>0.0</v>
      </c>
      <c r="P252" s="132">
        <v>0.0</v>
      </c>
      <c r="Q252" s="132">
        <v>0.0</v>
      </c>
      <c r="R252" s="132">
        <v>0.0</v>
      </c>
      <c r="S252" s="132">
        <v>0.0</v>
      </c>
      <c r="T252" s="132">
        <v>0.0</v>
      </c>
      <c r="U252" s="132">
        <v>0.0</v>
      </c>
      <c r="V252" s="132">
        <v>0.0</v>
      </c>
      <c r="W252" s="132">
        <v>0.0</v>
      </c>
      <c r="Y252" s="132" t="s">
        <v>3754</v>
      </c>
      <c r="Z252" s="132">
        <f t="shared" ref="Z252:AC252" si="500">C252-1000</f>
        <v>-1000</v>
      </c>
      <c r="AA252" s="132">
        <f t="shared" si="500"/>
        <v>-1000</v>
      </c>
      <c r="AB252" s="132">
        <f t="shared" si="500"/>
        <v>-1000</v>
      </c>
      <c r="AC252" s="132">
        <f t="shared" si="500"/>
        <v>-1000</v>
      </c>
      <c r="AD252" s="132">
        <f t="shared" si="4"/>
        <v>-9500</v>
      </c>
      <c r="AE252" s="132">
        <f t="shared" ref="AE252:AS252" si="501">H252-1000</f>
        <v>-1000</v>
      </c>
      <c r="AF252" s="132">
        <f t="shared" si="501"/>
        <v>-1000</v>
      </c>
      <c r="AG252" s="132">
        <f t="shared" si="501"/>
        <v>-1000</v>
      </c>
      <c r="AH252" s="132">
        <f t="shared" si="501"/>
        <v>-1000</v>
      </c>
      <c r="AI252" s="132">
        <f t="shared" si="501"/>
        <v>-1000</v>
      </c>
      <c r="AJ252" s="132">
        <f t="shared" si="501"/>
        <v>-1000</v>
      </c>
      <c r="AK252" s="132">
        <f t="shared" si="501"/>
        <v>-1000</v>
      </c>
      <c r="AL252" s="132">
        <f t="shared" si="501"/>
        <v>-1000</v>
      </c>
      <c r="AM252" s="132">
        <f t="shared" si="501"/>
        <v>-1000</v>
      </c>
      <c r="AN252" s="132">
        <f t="shared" si="501"/>
        <v>-1000</v>
      </c>
      <c r="AO252" s="132">
        <f t="shared" si="501"/>
        <v>-1000</v>
      </c>
      <c r="AP252" s="132">
        <f t="shared" si="501"/>
        <v>-1000</v>
      </c>
      <c r="AQ252" s="132">
        <f t="shared" si="501"/>
        <v>-1000</v>
      </c>
      <c r="AR252" s="132">
        <f t="shared" si="501"/>
        <v>-1000</v>
      </c>
      <c r="AS252" s="132">
        <f t="shared" si="501"/>
        <v>-1000</v>
      </c>
    </row>
    <row r="253">
      <c r="A253" s="132" t="s">
        <v>3755</v>
      </c>
      <c r="B253" s="132">
        <v>2000.0</v>
      </c>
      <c r="C253" s="132">
        <v>0.0</v>
      </c>
      <c r="D253" s="132">
        <v>0.0</v>
      </c>
      <c r="E253" s="132">
        <v>0.0</v>
      </c>
      <c r="F253" s="132">
        <v>0.0</v>
      </c>
      <c r="G253" s="132">
        <v>1000.0</v>
      </c>
      <c r="H253" s="132">
        <v>0.0</v>
      </c>
      <c r="I253" s="132">
        <v>1000.0</v>
      </c>
      <c r="J253" s="132">
        <v>0.0</v>
      </c>
      <c r="K253" s="132">
        <v>0.0</v>
      </c>
      <c r="L253" s="132">
        <v>0.0</v>
      </c>
      <c r="M253" s="132">
        <v>0.0</v>
      </c>
      <c r="N253" s="132">
        <v>0.0</v>
      </c>
      <c r="O253" s="132">
        <v>0.0</v>
      </c>
      <c r="P253" s="132">
        <v>0.0</v>
      </c>
      <c r="Q253" s="132">
        <v>0.0</v>
      </c>
      <c r="R253" s="132">
        <v>0.0</v>
      </c>
      <c r="S253" s="132">
        <v>0.0</v>
      </c>
      <c r="T253" s="132">
        <v>0.0</v>
      </c>
      <c r="U253" s="132">
        <v>0.0</v>
      </c>
      <c r="V253" s="132">
        <v>0.0</v>
      </c>
      <c r="W253" s="132">
        <v>1.0</v>
      </c>
      <c r="Y253" s="132" t="s">
        <v>3755</v>
      </c>
      <c r="Z253" s="132">
        <f t="shared" ref="Z253:AC253" si="502">C253-1000</f>
        <v>-1000</v>
      </c>
      <c r="AA253" s="132">
        <f t="shared" si="502"/>
        <v>-1000</v>
      </c>
      <c r="AB253" s="132">
        <f t="shared" si="502"/>
        <v>-1000</v>
      </c>
      <c r="AC253" s="132">
        <f t="shared" si="502"/>
        <v>-1000</v>
      </c>
      <c r="AD253" s="132">
        <f t="shared" si="4"/>
        <v>-9000</v>
      </c>
      <c r="AE253" s="132">
        <f t="shared" ref="AE253:AS253" si="503">H253-1000</f>
        <v>-1000</v>
      </c>
      <c r="AF253" s="132">
        <f t="shared" si="503"/>
        <v>0</v>
      </c>
      <c r="AG253" s="132">
        <f t="shared" si="503"/>
        <v>-1000</v>
      </c>
      <c r="AH253" s="132">
        <f t="shared" si="503"/>
        <v>-1000</v>
      </c>
      <c r="AI253" s="132">
        <f t="shared" si="503"/>
        <v>-1000</v>
      </c>
      <c r="AJ253" s="132">
        <f t="shared" si="503"/>
        <v>-1000</v>
      </c>
      <c r="AK253" s="132">
        <f t="shared" si="503"/>
        <v>-1000</v>
      </c>
      <c r="AL253" s="132">
        <f t="shared" si="503"/>
        <v>-1000</v>
      </c>
      <c r="AM253" s="132">
        <f t="shared" si="503"/>
        <v>-1000</v>
      </c>
      <c r="AN253" s="132">
        <f t="shared" si="503"/>
        <v>-1000</v>
      </c>
      <c r="AO253" s="132">
        <f t="shared" si="503"/>
        <v>-1000</v>
      </c>
      <c r="AP253" s="132">
        <f t="shared" si="503"/>
        <v>-1000</v>
      </c>
      <c r="AQ253" s="132">
        <f t="shared" si="503"/>
        <v>-1000</v>
      </c>
      <c r="AR253" s="132">
        <f t="shared" si="503"/>
        <v>-1000</v>
      </c>
      <c r="AS253" s="132">
        <f t="shared" si="503"/>
        <v>-1000</v>
      </c>
    </row>
    <row r="254">
      <c r="A254" s="132" t="s">
        <v>3756</v>
      </c>
      <c r="B254" s="132">
        <v>1350.0</v>
      </c>
      <c r="C254" s="132">
        <v>0.0</v>
      </c>
      <c r="D254" s="132">
        <v>0.0</v>
      </c>
      <c r="E254" s="132">
        <v>0.0</v>
      </c>
      <c r="F254" s="132">
        <v>0.0</v>
      </c>
      <c r="G254" s="132">
        <v>1350.0</v>
      </c>
      <c r="H254" s="132">
        <v>0.0</v>
      </c>
      <c r="I254" s="132">
        <v>0.0</v>
      </c>
      <c r="J254" s="132">
        <v>0.0</v>
      </c>
      <c r="K254" s="132">
        <v>0.0</v>
      </c>
      <c r="L254" s="132">
        <v>0.0</v>
      </c>
      <c r="M254" s="132">
        <v>0.0</v>
      </c>
      <c r="N254" s="132">
        <v>0.0</v>
      </c>
      <c r="O254" s="132">
        <v>0.0</v>
      </c>
      <c r="P254" s="132">
        <v>0.0</v>
      </c>
      <c r="Q254" s="132">
        <v>0.0</v>
      </c>
      <c r="R254" s="132">
        <v>0.0</v>
      </c>
      <c r="S254" s="132">
        <v>0.0</v>
      </c>
      <c r="T254" s="132">
        <v>0.0</v>
      </c>
      <c r="U254" s="132">
        <v>0.0</v>
      </c>
      <c r="V254" s="132">
        <v>0.0</v>
      </c>
      <c r="W254" s="132">
        <v>0.0</v>
      </c>
      <c r="Y254" s="132" t="s">
        <v>3756</v>
      </c>
      <c r="Z254" s="132">
        <f t="shared" ref="Z254:AC254" si="504">C254-1000</f>
        <v>-1000</v>
      </c>
      <c r="AA254" s="132">
        <f t="shared" si="504"/>
        <v>-1000</v>
      </c>
      <c r="AB254" s="132">
        <f t="shared" si="504"/>
        <v>-1000</v>
      </c>
      <c r="AC254" s="132">
        <f t="shared" si="504"/>
        <v>-1000</v>
      </c>
      <c r="AD254" s="132">
        <f t="shared" si="4"/>
        <v>-8650</v>
      </c>
      <c r="AE254" s="132">
        <f t="shared" ref="AE254:AS254" si="505">H254-1000</f>
        <v>-1000</v>
      </c>
      <c r="AF254" s="132">
        <f t="shared" si="505"/>
        <v>-1000</v>
      </c>
      <c r="AG254" s="132">
        <f t="shared" si="505"/>
        <v>-1000</v>
      </c>
      <c r="AH254" s="132">
        <f t="shared" si="505"/>
        <v>-1000</v>
      </c>
      <c r="AI254" s="132">
        <f t="shared" si="505"/>
        <v>-1000</v>
      </c>
      <c r="AJ254" s="132">
        <f t="shared" si="505"/>
        <v>-1000</v>
      </c>
      <c r="AK254" s="132">
        <f t="shared" si="505"/>
        <v>-1000</v>
      </c>
      <c r="AL254" s="132">
        <f t="shared" si="505"/>
        <v>-1000</v>
      </c>
      <c r="AM254" s="132">
        <f t="shared" si="505"/>
        <v>-1000</v>
      </c>
      <c r="AN254" s="132">
        <f t="shared" si="505"/>
        <v>-1000</v>
      </c>
      <c r="AO254" s="132">
        <f t="shared" si="505"/>
        <v>-1000</v>
      </c>
      <c r="AP254" s="132">
        <f t="shared" si="505"/>
        <v>-1000</v>
      </c>
      <c r="AQ254" s="132">
        <f t="shared" si="505"/>
        <v>-1000</v>
      </c>
      <c r="AR254" s="132">
        <f t="shared" si="505"/>
        <v>-1000</v>
      </c>
      <c r="AS254" s="132">
        <f t="shared" si="505"/>
        <v>-1000</v>
      </c>
    </row>
    <row r="255">
      <c r="A255" s="132" t="s">
        <v>3757</v>
      </c>
      <c r="B255" s="132">
        <v>1000.0</v>
      </c>
      <c r="C255" s="132">
        <v>0.0</v>
      </c>
      <c r="D255" s="132">
        <v>0.0</v>
      </c>
      <c r="E255" s="132">
        <v>0.0</v>
      </c>
      <c r="F255" s="132">
        <v>0.0</v>
      </c>
      <c r="G255" s="132">
        <v>1000.0</v>
      </c>
      <c r="H255" s="132">
        <v>0.0</v>
      </c>
      <c r="I255" s="132">
        <v>0.0</v>
      </c>
      <c r="J255" s="132">
        <v>0.0</v>
      </c>
      <c r="K255" s="132">
        <v>0.0</v>
      </c>
      <c r="L255" s="132">
        <v>0.0</v>
      </c>
      <c r="M255" s="132">
        <v>0.0</v>
      </c>
      <c r="N255" s="132">
        <v>0.0</v>
      </c>
      <c r="O255" s="132">
        <v>0.0</v>
      </c>
      <c r="P255" s="132">
        <v>0.0</v>
      </c>
      <c r="Q255" s="132">
        <v>0.0</v>
      </c>
      <c r="R255" s="132">
        <v>0.0</v>
      </c>
      <c r="S255" s="132">
        <v>0.0</v>
      </c>
      <c r="T255" s="132">
        <v>0.0</v>
      </c>
      <c r="U255" s="132">
        <v>0.0</v>
      </c>
      <c r="V255" s="132">
        <v>0.0</v>
      </c>
      <c r="W255" s="132">
        <v>0.0</v>
      </c>
      <c r="Y255" s="132" t="s">
        <v>3757</v>
      </c>
      <c r="Z255" s="132">
        <f t="shared" ref="Z255:AC255" si="506">C255-1000</f>
        <v>-1000</v>
      </c>
      <c r="AA255" s="132">
        <f t="shared" si="506"/>
        <v>-1000</v>
      </c>
      <c r="AB255" s="132">
        <f t="shared" si="506"/>
        <v>-1000</v>
      </c>
      <c r="AC255" s="132">
        <f t="shared" si="506"/>
        <v>-1000</v>
      </c>
      <c r="AD255" s="132">
        <f t="shared" si="4"/>
        <v>-9000</v>
      </c>
      <c r="AE255" s="132">
        <f t="shared" ref="AE255:AS255" si="507">H255-1000</f>
        <v>-1000</v>
      </c>
      <c r="AF255" s="132">
        <f t="shared" si="507"/>
        <v>-1000</v>
      </c>
      <c r="AG255" s="132">
        <f t="shared" si="507"/>
        <v>-1000</v>
      </c>
      <c r="AH255" s="132">
        <f t="shared" si="507"/>
        <v>-1000</v>
      </c>
      <c r="AI255" s="132">
        <f t="shared" si="507"/>
        <v>-1000</v>
      </c>
      <c r="AJ255" s="132">
        <f t="shared" si="507"/>
        <v>-1000</v>
      </c>
      <c r="AK255" s="132">
        <f t="shared" si="507"/>
        <v>-1000</v>
      </c>
      <c r="AL255" s="132">
        <f t="shared" si="507"/>
        <v>-1000</v>
      </c>
      <c r="AM255" s="132">
        <f t="shared" si="507"/>
        <v>-1000</v>
      </c>
      <c r="AN255" s="132">
        <f t="shared" si="507"/>
        <v>-1000</v>
      </c>
      <c r="AO255" s="132">
        <f t="shared" si="507"/>
        <v>-1000</v>
      </c>
      <c r="AP255" s="132">
        <f t="shared" si="507"/>
        <v>-1000</v>
      </c>
      <c r="AQ255" s="132">
        <f t="shared" si="507"/>
        <v>-1000</v>
      </c>
      <c r="AR255" s="132">
        <f t="shared" si="507"/>
        <v>-1000</v>
      </c>
      <c r="AS255" s="132">
        <f t="shared" si="507"/>
        <v>-1000</v>
      </c>
    </row>
    <row r="256">
      <c r="A256" s="132" t="s">
        <v>3758</v>
      </c>
      <c r="B256" s="132">
        <v>2500.0</v>
      </c>
      <c r="C256" s="132">
        <v>0.0</v>
      </c>
      <c r="D256" s="132">
        <v>0.0</v>
      </c>
      <c r="E256" s="132">
        <v>0.0</v>
      </c>
      <c r="F256" s="132">
        <v>0.0</v>
      </c>
      <c r="G256" s="132">
        <v>2500.0</v>
      </c>
      <c r="H256" s="132">
        <v>0.0</v>
      </c>
      <c r="I256" s="132">
        <v>0.0</v>
      </c>
      <c r="J256" s="132">
        <v>0.0</v>
      </c>
      <c r="K256" s="132">
        <v>0.0</v>
      </c>
      <c r="L256" s="132">
        <v>0.0</v>
      </c>
      <c r="M256" s="132">
        <v>0.0</v>
      </c>
      <c r="N256" s="132">
        <v>0.0</v>
      </c>
      <c r="O256" s="132">
        <v>0.0</v>
      </c>
      <c r="P256" s="132">
        <v>0.0</v>
      </c>
      <c r="Q256" s="132">
        <v>0.0</v>
      </c>
      <c r="R256" s="132">
        <v>0.0</v>
      </c>
      <c r="S256" s="132">
        <v>0.0</v>
      </c>
      <c r="T256" s="132">
        <v>0.0</v>
      </c>
      <c r="U256" s="132">
        <v>0.0</v>
      </c>
      <c r="V256" s="132">
        <v>0.0</v>
      </c>
      <c r="W256" s="132">
        <v>0.0</v>
      </c>
      <c r="Y256" s="132" t="s">
        <v>3758</v>
      </c>
      <c r="Z256" s="132">
        <f t="shared" ref="Z256:AC256" si="508">C256-1000</f>
        <v>-1000</v>
      </c>
      <c r="AA256" s="132">
        <f t="shared" si="508"/>
        <v>-1000</v>
      </c>
      <c r="AB256" s="132">
        <f t="shared" si="508"/>
        <v>-1000</v>
      </c>
      <c r="AC256" s="132">
        <f t="shared" si="508"/>
        <v>-1000</v>
      </c>
      <c r="AD256" s="132">
        <f t="shared" si="4"/>
        <v>-7500</v>
      </c>
      <c r="AE256" s="132">
        <f t="shared" ref="AE256:AS256" si="509">H256-1000</f>
        <v>-1000</v>
      </c>
      <c r="AF256" s="132">
        <f t="shared" si="509"/>
        <v>-1000</v>
      </c>
      <c r="AG256" s="132">
        <f t="shared" si="509"/>
        <v>-1000</v>
      </c>
      <c r="AH256" s="132">
        <f t="shared" si="509"/>
        <v>-1000</v>
      </c>
      <c r="AI256" s="132">
        <f t="shared" si="509"/>
        <v>-1000</v>
      </c>
      <c r="AJ256" s="132">
        <f t="shared" si="509"/>
        <v>-1000</v>
      </c>
      <c r="AK256" s="132">
        <f t="shared" si="509"/>
        <v>-1000</v>
      </c>
      <c r="AL256" s="132">
        <f t="shared" si="509"/>
        <v>-1000</v>
      </c>
      <c r="AM256" s="132">
        <f t="shared" si="509"/>
        <v>-1000</v>
      </c>
      <c r="AN256" s="132">
        <f t="shared" si="509"/>
        <v>-1000</v>
      </c>
      <c r="AO256" s="132">
        <f t="shared" si="509"/>
        <v>-1000</v>
      </c>
      <c r="AP256" s="132">
        <f t="shared" si="509"/>
        <v>-1000</v>
      </c>
      <c r="AQ256" s="132">
        <f t="shared" si="509"/>
        <v>-1000</v>
      </c>
      <c r="AR256" s="132">
        <f t="shared" si="509"/>
        <v>-1000</v>
      </c>
      <c r="AS256" s="132">
        <f t="shared" si="509"/>
        <v>-1000</v>
      </c>
    </row>
    <row r="257">
      <c r="A257" s="132" t="s">
        <v>3759</v>
      </c>
      <c r="B257" s="132">
        <v>250.0</v>
      </c>
      <c r="C257" s="132">
        <v>0.0</v>
      </c>
      <c r="D257" s="132">
        <v>0.0</v>
      </c>
      <c r="E257" s="132">
        <v>0.0</v>
      </c>
      <c r="F257" s="132">
        <v>0.0</v>
      </c>
      <c r="G257" s="132">
        <v>250.0</v>
      </c>
      <c r="H257" s="132">
        <v>0.0</v>
      </c>
      <c r="I257" s="132">
        <v>0.0</v>
      </c>
      <c r="J257" s="132">
        <v>0.0</v>
      </c>
      <c r="K257" s="132">
        <v>0.0</v>
      </c>
      <c r="L257" s="132">
        <v>0.0</v>
      </c>
      <c r="M257" s="132">
        <v>0.0</v>
      </c>
      <c r="N257" s="132">
        <v>0.0</v>
      </c>
      <c r="O257" s="132">
        <v>0.0</v>
      </c>
      <c r="P257" s="132">
        <v>0.0</v>
      </c>
      <c r="Q257" s="132">
        <v>0.0</v>
      </c>
      <c r="R257" s="132">
        <v>0.0</v>
      </c>
      <c r="S257" s="132">
        <v>0.0</v>
      </c>
      <c r="T257" s="132">
        <v>0.0</v>
      </c>
      <c r="U257" s="132">
        <v>0.0</v>
      </c>
      <c r="V257" s="132">
        <v>0.0</v>
      </c>
      <c r="W257" s="132">
        <v>0.0</v>
      </c>
      <c r="Y257" s="132" t="s">
        <v>3759</v>
      </c>
      <c r="Z257" s="132">
        <f t="shared" ref="Z257:AC257" si="510">C257-1000</f>
        <v>-1000</v>
      </c>
      <c r="AA257" s="132">
        <f t="shared" si="510"/>
        <v>-1000</v>
      </c>
      <c r="AB257" s="132">
        <f t="shared" si="510"/>
        <v>-1000</v>
      </c>
      <c r="AC257" s="132">
        <f t="shared" si="510"/>
        <v>-1000</v>
      </c>
      <c r="AD257" s="132">
        <f t="shared" si="4"/>
        <v>-9750</v>
      </c>
      <c r="AE257" s="132">
        <f t="shared" ref="AE257:AS257" si="511">H257-1000</f>
        <v>-1000</v>
      </c>
      <c r="AF257" s="132">
        <f t="shared" si="511"/>
        <v>-1000</v>
      </c>
      <c r="AG257" s="132">
        <f t="shared" si="511"/>
        <v>-1000</v>
      </c>
      <c r="AH257" s="132">
        <f t="shared" si="511"/>
        <v>-1000</v>
      </c>
      <c r="AI257" s="132">
        <f t="shared" si="511"/>
        <v>-1000</v>
      </c>
      <c r="AJ257" s="132">
        <f t="shared" si="511"/>
        <v>-1000</v>
      </c>
      <c r="AK257" s="132">
        <f t="shared" si="511"/>
        <v>-1000</v>
      </c>
      <c r="AL257" s="132">
        <f t="shared" si="511"/>
        <v>-1000</v>
      </c>
      <c r="AM257" s="132">
        <f t="shared" si="511"/>
        <v>-1000</v>
      </c>
      <c r="AN257" s="132">
        <f t="shared" si="511"/>
        <v>-1000</v>
      </c>
      <c r="AO257" s="132">
        <f t="shared" si="511"/>
        <v>-1000</v>
      </c>
      <c r="AP257" s="132">
        <f t="shared" si="511"/>
        <v>-1000</v>
      </c>
      <c r="AQ257" s="132">
        <f t="shared" si="511"/>
        <v>-1000</v>
      </c>
      <c r="AR257" s="132">
        <f t="shared" si="511"/>
        <v>-1000</v>
      </c>
      <c r="AS257" s="132">
        <f t="shared" si="511"/>
        <v>-1000</v>
      </c>
    </row>
    <row r="258">
      <c r="A258" s="132" t="s">
        <v>3760</v>
      </c>
      <c r="B258" s="132">
        <v>9250.0</v>
      </c>
      <c r="C258" s="132">
        <v>1000.0</v>
      </c>
      <c r="D258" s="132">
        <v>0.0</v>
      </c>
      <c r="E258" s="132">
        <v>1000.0</v>
      </c>
      <c r="F258" s="132">
        <v>2000.0</v>
      </c>
      <c r="G258" s="132">
        <v>5250.0</v>
      </c>
      <c r="H258" s="132">
        <v>0.0</v>
      </c>
      <c r="I258" s="132">
        <v>0.0</v>
      </c>
      <c r="J258" s="132">
        <v>0.0</v>
      </c>
      <c r="K258" s="132">
        <v>0.0</v>
      </c>
      <c r="L258" s="132">
        <v>0.0</v>
      </c>
      <c r="M258" s="132">
        <v>0.0</v>
      </c>
      <c r="N258" s="132">
        <v>0.0</v>
      </c>
      <c r="O258" s="132">
        <v>0.0</v>
      </c>
      <c r="P258" s="132">
        <v>0.0</v>
      </c>
      <c r="Q258" s="132">
        <v>0.0</v>
      </c>
      <c r="R258" s="132">
        <v>0.0</v>
      </c>
      <c r="S258" s="132">
        <v>0.0</v>
      </c>
      <c r="T258" s="132">
        <v>0.0</v>
      </c>
      <c r="U258" s="132">
        <v>0.0</v>
      </c>
      <c r="V258" s="132">
        <v>0.0</v>
      </c>
      <c r="W258" s="132">
        <v>1.0</v>
      </c>
      <c r="Y258" s="132" t="s">
        <v>3760</v>
      </c>
      <c r="Z258" s="132">
        <f t="shared" ref="Z258:AC258" si="512">C258-1000</f>
        <v>0</v>
      </c>
      <c r="AA258" s="132">
        <f t="shared" si="512"/>
        <v>-1000</v>
      </c>
      <c r="AB258" s="132">
        <f t="shared" si="512"/>
        <v>0</v>
      </c>
      <c r="AC258" s="132">
        <f t="shared" si="512"/>
        <v>1000</v>
      </c>
      <c r="AD258" s="132">
        <f t="shared" si="4"/>
        <v>-4750</v>
      </c>
      <c r="AE258" s="132">
        <f t="shared" ref="AE258:AS258" si="513">H258-1000</f>
        <v>-1000</v>
      </c>
      <c r="AF258" s="132">
        <f t="shared" si="513"/>
        <v>-1000</v>
      </c>
      <c r="AG258" s="132">
        <f t="shared" si="513"/>
        <v>-1000</v>
      </c>
      <c r="AH258" s="132">
        <f t="shared" si="513"/>
        <v>-1000</v>
      </c>
      <c r="AI258" s="132">
        <f t="shared" si="513"/>
        <v>-1000</v>
      </c>
      <c r="AJ258" s="132">
        <f t="shared" si="513"/>
        <v>-1000</v>
      </c>
      <c r="AK258" s="132">
        <f t="shared" si="513"/>
        <v>-1000</v>
      </c>
      <c r="AL258" s="132">
        <f t="shared" si="513"/>
        <v>-1000</v>
      </c>
      <c r="AM258" s="132">
        <f t="shared" si="513"/>
        <v>-1000</v>
      </c>
      <c r="AN258" s="132">
        <f t="shared" si="513"/>
        <v>-1000</v>
      </c>
      <c r="AO258" s="132">
        <f t="shared" si="513"/>
        <v>-1000</v>
      </c>
      <c r="AP258" s="132">
        <f t="shared" si="513"/>
        <v>-1000</v>
      </c>
      <c r="AQ258" s="132">
        <f t="shared" si="513"/>
        <v>-1000</v>
      </c>
      <c r="AR258" s="132">
        <f t="shared" si="513"/>
        <v>-1000</v>
      </c>
      <c r="AS258" s="132">
        <f t="shared" si="513"/>
        <v>-1000</v>
      </c>
    </row>
    <row r="259">
      <c r="A259" s="132" t="s">
        <v>3761</v>
      </c>
      <c r="B259" s="132">
        <v>5500.0</v>
      </c>
      <c r="C259" s="132">
        <v>0.0</v>
      </c>
      <c r="D259" s="132">
        <v>0.0</v>
      </c>
      <c r="E259" s="132">
        <v>0.0</v>
      </c>
      <c r="F259" s="132">
        <v>0.0</v>
      </c>
      <c r="G259" s="132">
        <v>4500.0</v>
      </c>
      <c r="H259" s="132">
        <v>0.0</v>
      </c>
      <c r="I259" s="132">
        <v>1000.0</v>
      </c>
      <c r="J259" s="132">
        <v>0.0</v>
      </c>
      <c r="K259" s="132">
        <v>0.0</v>
      </c>
      <c r="L259" s="132">
        <v>0.0</v>
      </c>
      <c r="M259" s="132">
        <v>0.0</v>
      </c>
      <c r="N259" s="132">
        <v>0.0</v>
      </c>
      <c r="O259" s="132">
        <v>0.0</v>
      </c>
      <c r="P259" s="132">
        <v>0.0</v>
      </c>
      <c r="Q259" s="132">
        <v>0.0</v>
      </c>
      <c r="R259" s="132">
        <v>0.0</v>
      </c>
      <c r="S259" s="132">
        <v>0.0</v>
      </c>
      <c r="T259" s="132">
        <v>0.0</v>
      </c>
      <c r="U259" s="132">
        <v>0.0</v>
      </c>
      <c r="V259" s="132">
        <v>0.0</v>
      </c>
      <c r="W259" s="132">
        <v>1.0</v>
      </c>
      <c r="Y259" s="132" t="s">
        <v>3761</v>
      </c>
      <c r="Z259" s="132">
        <f t="shared" ref="Z259:AC259" si="514">C259-1000</f>
        <v>-1000</v>
      </c>
      <c r="AA259" s="132">
        <f t="shared" si="514"/>
        <v>-1000</v>
      </c>
      <c r="AB259" s="132">
        <f t="shared" si="514"/>
        <v>-1000</v>
      </c>
      <c r="AC259" s="132">
        <f t="shared" si="514"/>
        <v>-1000</v>
      </c>
      <c r="AD259" s="132">
        <f t="shared" si="4"/>
        <v>-5500</v>
      </c>
      <c r="AE259" s="132">
        <f t="shared" ref="AE259:AS259" si="515">H259-1000</f>
        <v>-1000</v>
      </c>
      <c r="AF259" s="132">
        <f t="shared" si="515"/>
        <v>0</v>
      </c>
      <c r="AG259" s="132">
        <f t="shared" si="515"/>
        <v>-1000</v>
      </c>
      <c r="AH259" s="132">
        <f t="shared" si="515"/>
        <v>-1000</v>
      </c>
      <c r="AI259" s="132">
        <f t="shared" si="515"/>
        <v>-1000</v>
      </c>
      <c r="AJ259" s="132">
        <f t="shared" si="515"/>
        <v>-1000</v>
      </c>
      <c r="AK259" s="132">
        <f t="shared" si="515"/>
        <v>-1000</v>
      </c>
      <c r="AL259" s="132">
        <f t="shared" si="515"/>
        <v>-1000</v>
      </c>
      <c r="AM259" s="132">
        <f t="shared" si="515"/>
        <v>-1000</v>
      </c>
      <c r="AN259" s="132">
        <f t="shared" si="515"/>
        <v>-1000</v>
      </c>
      <c r="AO259" s="132">
        <f t="shared" si="515"/>
        <v>-1000</v>
      </c>
      <c r="AP259" s="132">
        <f t="shared" si="515"/>
        <v>-1000</v>
      </c>
      <c r="AQ259" s="132">
        <f t="shared" si="515"/>
        <v>-1000</v>
      </c>
      <c r="AR259" s="132">
        <f t="shared" si="515"/>
        <v>-1000</v>
      </c>
      <c r="AS259" s="132">
        <f t="shared" si="515"/>
        <v>-1000</v>
      </c>
    </row>
    <row r="260">
      <c r="A260" s="132" t="s">
        <v>3762</v>
      </c>
      <c r="B260" s="132">
        <v>350.0</v>
      </c>
      <c r="C260" s="132">
        <v>0.0</v>
      </c>
      <c r="D260" s="132">
        <v>0.0</v>
      </c>
      <c r="E260" s="132">
        <v>0.0</v>
      </c>
      <c r="F260" s="132">
        <v>0.0</v>
      </c>
      <c r="G260" s="132">
        <v>350.0</v>
      </c>
      <c r="H260" s="132">
        <v>0.0</v>
      </c>
      <c r="I260" s="132">
        <v>0.0</v>
      </c>
      <c r="J260" s="132">
        <v>0.0</v>
      </c>
      <c r="K260" s="132">
        <v>0.0</v>
      </c>
      <c r="L260" s="132">
        <v>0.0</v>
      </c>
      <c r="M260" s="132">
        <v>0.0</v>
      </c>
      <c r="N260" s="132">
        <v>0.0</v>
      </c>
      <c r="O260" s="132">
        <v>0.0</v>
      </c>
      <c r="P260" s="132">
        <v>0.0</v>
      </c>
      <c r="Q260" s="132">
        <v>0.0</v>
      </c>
      <c r="R260" s="132">
        <v>0.0</v>
      </c>
      <c r="S260" s="132">
        <v>0.0</v>
      </c>
      <c r="T260" s="132">
        <v>0.0</v>
      </c>
      <c r="U260" s="132">
        <v>0.0</v>
      </c>
      <c r="V260" s="132">
        <v>0.0</v>
      </c>
      <c r="W260" s="132">
        <v>0.0</v>
      </c>
      <c r="Y260" s="132" t="s">
        <v>3762</v>
      </c>
      <c r="Z260" s="132">
        <f t="shared" ref="Z260:AC260" si="516">C260-1000</f>
        <v>-1000</v>
      </c>
      <c r="AA260" s="132">
        <f t="shared" si="516"/>
        <v>-1000</v>
      </c>
      <c r="AB260" s="132">
        <f t="shared" si="516"/>
        <v>-1000</v>
      </c>
      <c r="AC260" s="132">
        <f t="shared" si="516"/>
        <v>-1000</v>
      </c>
      <c r="AD260" s="132">
        <f t="shared" si="4"/>
        <v>-9650</v>
      </c>
      <c r="AE260" s="132">
        <f t="shared" ref="AE260:AS260" si="517">H260-1000</f>
        <v>-1000</v>
      </c>
      <c r="AF260" s="132">
        <f t="shared" si="517"/>
        <v>-1000</v>
      </c>
      <c r="AG260" s="132">
        <f t="shared" si="517"/>
        <v>-1000</v>
      </c>
      <c r="AH260" s="132">
        <f t="shared" si="517"/>
        <v>-1000</v>
      </c>
      <c r="AI260" s="132">
        <f t="shared" si="517"/>
        <v>-1000</v>
      </c>
      <c r="AJ260" s="132">
        <f t="shared" si="517"/>
        <v>-1000</v>
      </c>
      <c r="AK260" s="132">
        <f t="shared" si="517"/>
        <v>-1000</v>
      </c>
      <c r="AL260" s="132">
        <f t="shared" si="517"/>
        <v>-1000</v>
      </c>
      <c r="AM260" s="132">
        <f t="shared" si="517"/>
        <v>-1000</v>
      </c>
      <c r="AN260" s="132">
        <f t="shared" si="517"/>
        <v>-1000</v>
      </c>
      <c r="AO260" s="132">
        <f t="shared" si="517"/>
        <v>-1000</v>
      </c>
      <c r="AP260" s="132">
        <f t="shared" si="517"/>
        <v>-1000</v>
      </c>
      <c r="AQ260" s="132">
        <f t="shared" si="517"/>
        <v>-1000</v>
      </c>
      <c r="AR260" s="132">
        <f t="shared" si="517"/>
        <v>-1000</v>
      </c>
      <c r="AS260" s="132">
        <f t="shared" si="517"/>
        <v>-1000</v>
      </c>
    </row>
    <row r="261">
      <c r="A261" s="132" t="s">
        <v>3763</v>
      </c>
      <c r="B261" s="132">
        <v>1250.0</v>
      </c>
      <c r="C261" s="132">
        <v>0.0</v>
      </c>
      <c r="D261" s="132">
        <v>0.0</v>
      </c>
      <c r="E261" s="132">
        <v>150.0</v>
      </c>
      <c r="F261" s="132">
        <v>100.0</v>
      </c>
      <c r="G261" s="132">
        <v>1000.0</v>
      </c>
      <c r="H261" s="132">
        <v>0.0</v>
      </c>
      <c r="I261" s="132">
        <v>0.0</v>
      </c>
      <c r="J261" s="132">
        <v>0.0</v>
      </c>
      <c r="K261" s="132">
        <v>0.0</v>
      </c>
      <c r="L261" s="132">
        <v>0.0</v>
      </c>
      <c r="M261" s="132">
        <v>0.0</v>
      </c>
      <c r="N261" s="132">
        <v>0.0</v>
      </c>
      <c r="O261" s="132">
        <v>0.0</v>
      </c>
      <c r="P261" s="132">
        <v>0.0</v>
      </c>
      <c r="Q261" s="132">
        <v>0.0</v>
      </c>
      <c r="R261" s="132">
        <v>0.0</v>
      </c>
      <c r="S261" s="132">
        <v>0.0</v>
      </c>
      <c r="T261" s="132">
        <v>0.0</v>
      </c>
      <c r="U261" s="132">
        <v>0.0</v>
      </c>
      <c r="V261" s="132">
        <v>0.0</v>
      </c>
      <c r="W261" s="132">
        <v>0.0</v>
      </c>
      <c r="Y261" s="132" t="s">
        <v>3763</v>
      </c>
      <c r="Z261" s="132">
        <f t="shared" ref="Z261:AC261" si="518">C261-1000</f>
        <v>-1000</v>
      </c>
      <c r="AA261" s="132">
        <f t="shared" si="518"/>
        <v>-1000</v>
      </c>
      <c r="AB261" s="132">
        <f t="shared" si="518"/>
        <v>-850</v>
      </c>
      <c r="AC261" s="132">
        <f t="shared" si="518"/>
        <v>-900</v>
      </c>
      <c r="AD261" s="132">
        <f t="shared" si="4"/>
        <v>-9000</v>
      </c>
      <c r="AE261" s="132">
        <f t="shared" ref="AE261:AS261" si="519">H261-1000</f>
        <v>-1000</v>
      </c>
      <c r="AF261" s="132">
        <f t="shared" si="519"/>
        <v>-1000</v>
      </c>
      <c r="AG261" s="132">
        <f t="shared" si="519"/>
        <v>-1000</v>
      </c>
      <c r="AH261" s="132">
        <f t="shared" si="519"/>
        <v>-1000</v>
      </c>
      <c r="AI261" s="132">
        <f t="shared" si="519"/>
        <v>-1000</v>
      </c>
      <c r="AJ261" s="132">
        <f t="shared" si="519"/>
        <v>-1000</v>
      </c>
      <c r="AK261" s="132">
        <f t="shared" si="519"/>
        <v>-1000</v>
      </c>
      <c r="AL261" s="132">
        <f t="shared" si="519"/>
        <v>-1000</v>
      </c>
      <c r="AM261" s="132">
        <f t="shared" si="519"/>
        <v>-1000</v>
      </c>
      <c r="AN261" s="132">
        <f t="shared" si="519"/>
        <v>-1000</v>
      </c>
      <c r="AO261" s="132">
        <f t="shared" si="519"/>
        <v>-1000</v>
      </c>
      <c r="AP261" s="132">
        <f t="shared" si="519"/>
        <v>-1000</v>
      </c>
      <c r="AQ261" s="132">
        <f t="shared" si="519"/>
        <v>-1000</v>
      </c>
      <c r="AR261" s="132">
        <f t="shared" si="519"/>
        <v>-1000</v>
      </c>
      <c r="AS261" s="132">
        <f t="shared" si="519"/>
        <v>-1000</v>
      </c>
    </row>
    <row r="262">
      <c r="A262" s="132" t="s">
        <v>3764</v>
      </c>
      <c r="B262" s="132">
        <v>250.0</v>
      </c>
      <c r="C262" s="132">
        <v>0.0</v>
      </c>
      <c r="D262" s="132">
        <v>0.0</v>
      </c>
      <c r="E262" s="132">
        <v>0.0</v>
      </c>
      <c r="F262" s="132">
        <v>0.0</v>
      </c>
      <c r="G262" s="132">
        <v>250.0</v>
      </c>
      <c r="H262" s="132">
        <v>0.0</v>
      </c>
      <c r="I262" s="132">
        <v>0.0</v>
      </c>
      <c r="J262" s="132">
        <v>0.0</v>
      </c>
      <c r="K262" s="132">
        <v>0.0</v>
      </c>
      <c r="L262" s="132">
        <v>0.0</v>
      </c>
      <c r="M262" s="132">
        <v>0.0</v>
      </c>
      <c r="N262" s="132">
        <v>0.0</v>
      </c>
      <c r="O262" s="132">
        <v>0.0</v>
      </c>
      <c r="P262" s="132">
        <v>0.0</v>
      </c>
      <c r="Q262" s="132">
        <v>0.0</v>
      </c>
      <c r="R262" s="132">
        <v>0.0</v>
      </c>
      <c r="S262" s="132">
        <v>0.0</v>
      </c>
      <c r="T262" s="132">
        <v>0.0</v>
      </c>
      <c r="U262" s="132">
        <v>0.0</v>
      </c>
      <c r="V262" s="132">
        <v>0.0</v>
      </c>
      <c r="W262" s="132">
        <v>0.0</v>
      </c>
      <c r="Y262" s="132" t="s">
        <v>3764</v>
      </c>
      <c r="Z262" s="132">
        <f t="shared" ref="Z262:AC262" si="520">C262-1000</f>
        <v>-1000</v>
      </c>
      <c r="AA262" s="132">
        <f t="shared" si="520"/>
        <v>-1000</v>
      </c>
      <c r="AB262" s="132">
        <f t="shared" si="520"/>
        <v>-1000</v>
      </c>
      <c r="AC262" s="132">
        <f t="shared" si="520"/>
        <v>-1000</v>
      </c>
      <c r="AD262" s="132">
        <f t="shared" si="4"/>
        <v>-9750</v>
      </c>
      <c r="AE262" s="132">
        <f t="shared" ref="AE262:AS262" si="521">H262-1000</f>
        <v>-1000</v>
      </c>
      <c r="AF262" s="132">
        <f t="shared" si="521"/>
        <v>-1000</v>
      </c>
      <c r="AG262" s="132">
        <f t="shared" si="521"/>
        <v>-1000</v>
      </c>
      <c r="AH262" s="132">
        <f t="shared" si="521"/>
        <v>-1000</v>
      </c>
      <c r="AI262" s="132">
        <f t="shared" si="521"/>
        <v>-1000</v>
      </c>
      <c r="AJ262" s="132">
        <f t="shared" si="521"/>
        <v>-1000</v>
      </c>
      <c r="AK262" s="132">
        <f t="shared" si="521"/>
        <v>-1000</v>
      </c>
      <c r="AL262" s="132">
        <f t="shared" si="521"/>
        <v>-1000</v>
      </c>
      <c r="AM262" s="132">
        <f t="shared" si="521"/>
        <v>-1000</v>
      </c>
      <c r="AN262" s="132">
        <f t="shared" si="521"/>
        <v>-1000</v>
      </c>
      <c r="AO262" s="132">
        <f t="shared" si="521"/>
        <v>-1000</v>
      </c>
      <c r="AP262" s="132">
        <f t="shared" si="521"/>
        <v>-1000</v>
      </c>
      <c r="AQ262" s="132">
        <f t="shared" si="521"/>
        <v>-1000</v>
      </c>
      <c r="AR262" s="132">
        <f t="shared" si="521"/>
        <v>-1000</v>
      </c>
      <c r="AS262" s="132">
        <f t="shared" si="521"/>
        <v>-1000</v>
      </c>
    </row>
    <row r="263">
      <c r="A263" s="132" t="s">
        <v>3765</v>
      </c>
      <c r="B263" s="132">
        <v>10.0</v>
      </c>
      <c r="C263" s="132">
        <v>0.0</v>
      </c>
      <c r="D263" s="132">
        <v>0.0</v>
      </c>
      <c r="E263" s="132">
        <v>0.0</v>
      </c>
      <c r="F263" s="132">
        <v>0.0</v>
      </c>
      <c r="G263" s="132">
        <v>10.0</v>
      </c>
      <c r="H263" s="132">
        <v>0.0</v>
      </c>
      <c r="I263" s="132">
        <v>0.0</v>
      </c>
      <c r="J263" s="132">
        <v>0.0</v>
      </c>
      <c r="K263" s="132">
        <v>0.0</v>
      </c>
      <c r="L263" s="132">
        <v>0.0</v>
      </c>
      <c r="M263" s="132">
        <v>0.0</v>
      </c>
      <c r="N263" s="132">
        <v>0.0</v>
      </c>
      <c r="O263" s="132">
        <v>0.0</v>
      </c>
      <c r="P263" s="132">
        <v>0.0</v>
      </c>
      <c r="Q263" s="132">
        <v>0.0</v>
      </c>
      <c r="R263" s="132">
        <v>0.0</v>
      </c>
      <c r="S263" s="132">
        <v>0.0</v>
      </c>
      <c r="T263" s="132">
        <v>0.0</v>
      </c>
      <c r="U263" s="132">
        <v>0.0</v>
      </c>
      <c r="V263" s="132">
        <v>0.0</v>
      </c>
      <c r="W263" s="132">
        <v>0.0</v>
      </c>
      <c r="Y263" s="132" t="s">
        <v>3765</v>
      </c>
      <c r="Z263" s="132">
        <f t="shared" ref="Z263:AC263" si="522">C263-1000</f>
        <v>-1000</v>
      </c>
      <c r="AA263" s="132">
        <f t="shared" si="522"/>
        <v>-1000</v>
      </c>
      <c r="AB263" s="132">
        <f t="shared" si="522"/>
        <v>-1000</v>
      </c>
      <c r="AC263" s="132">
        <f t="shared" si="522"/>
        <v>-1000</v>
      </c>
      <c r="AD263" s="132">
        <f t="shared" si="4"/>
        <v>-9990</v>
      </c>
      <c r="AE263" s="132">
        <f t="shared" ref="AE263:AS263" si="523">H263-1000</f>
        <v>-1000</v>
      </c>
      <c r="AF263" s="132">
        <f t="shared" si="523"/>
        <v>-1000</v>
      </c>
      <c r="AG263" s="132">
        <f t="shared" si="523"/>
        <v>-1000</v>
      </c>
      <c r="AH263" s="132">
        <f t="shared" si="523"/>
        <v>-1000</v>
      </c>
      <c r="AI263" s="132">
        <f t="shared" si="523"/>
        <v>-1000</v>
      </c>
      <c r="AJ263" s="132">
        <f t="shared" si="523"/>
        <v>-1000</v>
      </c>
      <c r="AK263" s="132">
        <f t="shared" si="523"/>
        <v>-1000</v>
      </c>
      <c r="AL263" s="132">
        <f t="shared" si="523"/>
        <v>-1000</v>
      </c>
      <c r="AM263" s="132">
        <f t="shared" si="523"/>
        <v>-1000</v>
      </c>
      <c r="AN263" s="132">
        <f t="shared" si="523"/>
        <v>-1000</v>
      </c>
      <c r="AO263" s="132">
        <f t="shared" si="523"/>
        <v>-1000</v>
      </c>
      <c r="AP263" s="132">
        <f t="shared" si="523"/>
        <v>-1000</v>
      </c>
      <c r="AQ263" s="132">
        <f t="shared" si="523"/>
        <v>-1000</v>
      </c>
      <c r="AR263" s="132">
        <f t="shared" si="523"/>
        <v>-1000</v>
      </c>
      <c r="AS263" s="132">
        <f t="shared" si="523"/>
        <v>-1000</v>
      </c>
    </row>
    <row r="264">
      <c r="A264" s="132" t="s">
        <v>3766</v>
      </c>
      <c r="B264" s="132">
        <v>50.0</v>
      </c>
      <c r="C264" s="132">
        <v>0.0</v>
      </c>
      <c r="D264" s="132">
        <v>0.0</v>
      </c>
      <c r="E264" s="132">
        <v>0.0</v>
      </c>
      <c r="F264" s="132">
        <v>0.0</v>
      </c>
      <c r="G264" s="132">
        <v>50.0</v>
      </c>
      <c r="H264" s="132">
        <v>0.0</v>
      </c>
      <c r="I264" s="132">
        <v>0.0</v>
      </c>
      <c r="J264" s="132">
        <v>0.0</v>
      </c>
      <c r="K264" s="132">
        <v>0.0</v>
      </c>
      <c r="L264" s="132">
        <v>0.0</v>
      </c>
      <c r="M264" s="132">
        <v>0.0</v>
      </c>
      <c r="N264" s="132">
        <v>0.0</v>
      </c>
      <c r="O264" s="132">
        <v>0.0</v>
      </c>
      <c r="P264" s="132">
        <v>0.0</v>
      </c>
      <c r="Q264" s="132">
        <v>0.0</v>
      </c>
      <c r="R264" s="132">
        <v>0.0</v>
      </c>
      <c r="S264" s="132">
        <v>0.0</v>
      </c>
      <c r="T264" s="132">
        <v>0.0</v>
      </c>
      <c r="U264" s="132">
        <v>0.0</v>
      </c>
      <c r="V264" s="132">
        <v>0.0</v>
      </c>
      <c r="W264" s="132">
        <v>0.0</v>
      </c>
      <c r="Y264" s="132" t="s">
        <v>3766</v>
      </c>
      <c r="Z264" s="132">
        <f t="shared" ref="Z264:AC264" si="524">C264-1000</f>
        <v>-1000</v>
      </c>
      <c r="AA264" s="132">
        <f t="shared" si="524"/>
        <v>-1000</v>
      </c>
      <c r="AB264" s="132">
        <f t="shared" si="524"/>
        <v>-1000</v>
      </c>
      <c r="AC264" s="132">
        <f t="shared" si="524"/>
        <v>-1000</v>
      </c>
      <c r="AD264" s="132">
        <f t="shared" si="4"/>
        <v>-9950</v>
      </c>
      <c r="AE264" s="132">
        <f t="shared" ref="AE264:AS264" si="525">H264-1000</f>
        <v>-1000</v>
      </c>
      <c r="AF264" s="132">
        <f t="shared" si="525"/>
        <v>-1000</v>
      </c>
      <c r="AG264" s="132">
        <f t="shared" si="525"/>
        <v>-1000</v>
      </c>
      <c r="AH264" s="132">
        <f t="shared" si="525"/>
        <v>-1000</v>
      </c>
      <c r="AI264" s="132">
        <f t="shared" si="525"/>
        <v>-1000</v>
      </c>
      <c r="AJ264" s="132">
        <f t="shared" si="525"/>
        <v>-1000</v>
      </c>
      <c r="AK264" s="132">
        <f t="shared" si="525"/>
        <v>-1000</v>
      </c>
      <c r="AL264" s="132">
        <f t="shared" si="525"/>
        <v>-1000</v>
      </c>
      <c r="AM264" s="132">
        <f t="shared" si="525"/>
        <v>-1000</v>
      </c>
      <c r="AN264" s="132">
        <f t="shared" si="525"/>
        <v>-1000</v>
      </c>
      <c r="AO264" s="132">
        <f t="shared" si="525"/>
        <v>-1000</v>
      </c>
      <c r="AP264" s="132">
        <f t="shared" si="525"/>
        <v>-1000</v>
      </c>
      <c r="AQ264" s="132">
        <f t="shared" si="525"/>
        <v>-1000</v>
      </c>
      <c r="AR264" s="132">
        <f t="shared" si="525"/>
        <v>-1000</v>
      </c>
      <c r="AS264" s="132">
        <f t="shared" si="525"/>
        <v>-1000</v>
      </c>
    </row>
    <row r="265">
      <c r="A265" s="132" t="s">
        <v>3767</v>
      </c>
      <c r="B265" s="132">
        <v>500.0</v>
      </c>
      <c r="C265" s="132">
        <v>0.0</v>
      </c>
      <c r="D265" s="132">
        <v>0.0</v>
      </c>
      <c r="E265" s="132">
        <v>0.0</v>
      </c>
      <c r="F265" s="132">
        <v>0.0</v>
      </c>
      <c r="G265" s="132">
        <v>500.0</v>
      </c>
      <c r="H265" s="132">
        <v>0.0</v>
      </c>
      <c r="I265" s="132">
        <v>0.0</v>
      </c>
      <c r="J265" s="132">
        <v>0.0</v>
      </c>
      <c r="K265" s="132">
        <v>0.0</v>
      </c>
      <c r="L265" s="132">
        <v>0.0</v>
      </c>
      <c r="M265" s="132">
        <v>0.0</v>
      </c>
      <c r="N265" s="132">
        <v>0.0</v>
      </c>
      <c r="O265" s="132">
        <v>0.0</v>
      </c>
      <c r="P265" s="132">
        <v>0.0</v>
      </c>
      <c r="Q265" s="132">
        <v>0.0</v>
      </c>
      <c r="R265" s="132">
        <v>0.0</v>
      </c>
      <c r="S265" s="132">
        <v>0.0</v>
      </c>
      <c r="T265" s="132">
        <v>0.0</v>
      </c>
      <c r="U265" s="132">
        <v>0.0</v>
      </c>
      <c r="V265" s="132">
        <v>0.0</v>
      </c>
      <c r="W265" s="132">
        <v>0.0</v>
      </c>
      <c r="Y265" s="132" t="s">
        <v>3767</v>
      </c>
      <c r="Z265" s="132">
        <f t="shared" ref="Z265:AC265" si="526">C265-1000</f>
        <v>-1000</v>
      </c>
      <c r="AA265" s="132">
        <f t="shared" si="526"/>
        <v>-1000</v>
      </c>
      <c r="AB265" s="132">
        <f t="shared" si="526"/>
        <v>-1000</v>
      </c>
      <c r="AC265" s="132">
        <f t="shared" si="526"/>
        <v>-1000</v>
      </c>
      <c r="AD265" s="132">
        <f t="shared" si="4"/>
        <v>-9500</v>
      </c>
      <c r="AE265" s="132">
        <f t="shared" ref="AE265:AS265" si="527">H265-1000</f>
        <v>-1000</v>
      </c>
      <c r="AF265" s="132">
        <f t="shared" si="527"/>
        <v>-1000</v>
      </c>
      <c r="AG265" s="132">
        <f t="shared" si="527"/>
        <v>-1000</v>
      </c>
      <c r="AH265" s="132">
        <f t="shared" si="527"/>
        <v>-1000</v>
      </c>
      <c r="AI265" s="132">
        <f t="shared" si="527"/>
        <v>-1000</v>
      </c>
      <c r="AJ265" s="132">
        <f t="shared" si="527"/>
        <v>-1000</v>
      </c>
      <c r="AK265" s="132">
        <f t="shared" si="527"/>
        <v>-1000</v>
      </c>
      <c r="AL265" s="132">
        <f t="shared" si="527"/>
        <v>-1000</v>
      </c>
      <c r="AM265" s="132">
        <f t="shared" si="527"/>
        <v>-1000</v>
      </c>
      <c r="AN265" s="132">
        <f t="shared" si="527"/>
        <v>-1000</v>
      </c>
      <c r="AO265" s="132">
        <f t="shared" si="527"/>
        <v>-1000</v>
      </c>
      <c r="AP265" s="132">
        <f t="shared" si="527"/>
        <v>-1000</v>
      </c>
      <c r="AQ265" s="132">
        <f t="shared" si="527"/>
        <v>-1000</v>
      </c>
      <c r="AR265" s="132">
        <f t="shared" si="527"/>
        <v>-1000</v>
      </c>
      <c r="AS265" s="132">
        <f t="shared" si="527"/>
        <v>-1000</v>
      </c>
    </row>
    <row r="266">
      <c r="A266" s="132" t="s">
        <v>3768</v>
      </c>
      <c r="B266" s="132">
        <v>350.0</v>
      </c>
      <c r="C266" s="132">
        <v>0.0</v>
      </c>
      <c r="D266" s="132">
        <v>0.0</v>
      </c>
      <c r="E266" s="132">
        <v>0.0</v>
      </c>
      <c r="F266" s="132">
        <v>0.0</v>
      </c>
      <c r="G266" s="132">
        <v>250.0</v>
      </c>
      <c r="H266" s="132">
        <v>0.0</v>
      </c>
      <c r="I266" s="132">
        <v>0.0</v>
      </c>
      <c r="J266" s="132">
        <v>0.0</v>
      </c>
      <c r="K266" s="132">
        <v>100.0</v>
      </c>
      <c r="L266" s="132">
        <v>0.0</v>
      </c>
      <c r="M266" s="132">
        <v>0.0</v>
      </c>
      <c r="N266" s="132">
        <v>0.0</v>
      </c>
      <c r="O266" s="132">
        <v>0.0</v>
      </c>
      <c r="P266" s="132">
        <v>0.0</v>
      </c>
      <c r="Q266" s="132">
        <v>0.0</v>
      </c>
      <c r="R266" s="132">
        <v>0.0</v>
      </c>
      <c r="S266" s="132">
        <v>0.0</v>
      </c>
      <c r="T266" s="132">
        <v>0.0</v>
      </c>
      <c r="U266" s="132">
        <v>0.0</v>
      </c>
      <c r="V266" s="132">
        <v>0.0</v>
      </c>
      <c r="W266" s="132">
        <v>1.0</v>
      </c>
      <c r="Y266" s="132" t="s">
        <v>3768</v>
      </c>
      <c r="Z266" s="132">
        <f t="shared" ref="Z266:AC266" si="528">C266-1000</f>
        <v>-1000</v>
      </c>
      <c r="AA266" s="132">
        <f t="shared" si="528"/>
        <v>-1000</v>
      </c>
      <c r="AB266" s="132">
        <f t="shared" si="528"/>
        <v>-1000</v>
      </c>
      <c r="AC266" s="132">
        <f t="shared" si="528"/>
        <v>-1000</v>
      </c>
      <c r="AD266" s="132">
        <f t="shared" si="4"/>
        <v>-9750</v>
      </c>
      <c r="AE266" s="132">
        <f t="shared" ref="AE266:AS266" si="529">H266-1000</f>
        <v>-1000</v>
      </c>
      <c r="AF266" s="132">
        <f t="shared" si="529"/>
        <v>-1000</v>
      </c>
      <c r="AG266" s="132">
        <f t="shared" si="529"/>
        <v>-1000</v>
      </c>
      <c r="AH266" s="132">
        <f t="shared" si="529"/>
        <v>-900</v>
      </c>
      <c r="AI266" s="132">
        <f t="shared" si="529"/>
        <v>-1000</v>
      </c>
      <c r="AJ266" s="132">
        <f t="shared" si="529"/>
        <v>-1000</v>
      </c>
      <c r="AK266" s="132">
        <f t="shared" si="529"/>
        <v>-1000</v>
      </c>
      <c r="AL266" s="132">
        <f t="shared" si="529"/>
        <v>-1000</v>
      </c>
      <c r="AM266" s="132">
        <f t="shared" si="529"/>
        <v>-1000</v>
      </c>
      <c r="AN266" s="132">
        <f t="shared" si="529"/>
        <v>-1000</v>
      </c>
      <c r="AO266" s="132">
        <f t="shared" si="529"/>
        <v>-1000</v>
      </c>
      <c r="AP266" s="132">
        <f t="shared" si="529"/>
        <v>-1000</v>
      </c>
      <c r="AQ266" s="132">
        <f t="shared" si="529"/>
        <v>-1000</v>
      </c>
      <c r="AR266" s="132">
        <f t="shared" si="529"/>
        <v>-1000</v>
      </c>
      <c r="AS266" s="132">
        <f t="shared" si="529"/>
        <v>-1000</v>
      </c>
    </row>
    <row r="267">
      <c r="A267" s="132" t="s">
        <v>3769</v>
      </c>
      <c r="B267" s="132">
        <v>150.0</v>
      </c>
      <c r="C267" s="132">
        <v>0.0</v>
      </c>
      <c r="D267" s="132">
        <v>0.0</v>
      </c>
      <c r="E267" s="132">
        <v>0.0</v>
      </c>
      <c r="F267" s="132">
        <v>0.0</v>
      </c>
      <c r="G267" s="132">
        <v>150.0</v>
      </c>
      <c r="H267" s="132">
        <v>0.0</v>
      </c>
      <c r="I267" s="132">
        <v>0.0</v>
      </c>
      <c r="J267" s="132">
        <v>0.0</v>
      </c>
      <c r="K267" s="132">
        <v>0.0</v>
      </c>
      <c r="L267" s="132">
        <v>0.0</v>
      </c>
      <c r="M267" s="132">
        <v>0.0</v>
      </c>
      <c r="N267" s="132">
        <v>0.0</v>
      </c>
      <c r="O267" s="132">
        <v>0.0</v>
      </c>
      <c r="P267" s="132">
        <v>0.0</v>
      </c>
      <c r="Q267" s="132">
        <v>0.0</v>
      </c>
      <c r="R267" s="132">
        <v>0.0</v>
      </c>
      <c r="S267" s="132">
        <v>0.0</v>
      </c>
      <c r="T267" s="132">
        <v>0.0</v>
      </c>
      <c r="U267" s="132">
        <v>0.0</v>
      </c>
      <c r="V267" s="132">
        <v>0.0</v>
      </c>
      <c r="W267" s="132">
        <v>0.0</v>
      </c>
      <c r="Y267" s="132" t="s">
        <v>3769</v>
      </c>
      <c r="Z267" s="132">
        <f t="shared" ref="Z267:AC267" si="530">C267-1000</f>
        <v>-1000</v>
      </c>
      <c r="AA267" s="132">
        <f t="shared" si="530"/>
        <v>-1000</v>
      </c>
      <c r="AB267" s="132">
        <f t="shared" si="530"/>
        <v>-1000</v>
      </c>
      <c r="AC267" s="132">
        <f t="shared" si="530"/>
        <v>-1000</v>
      </c>
      <c r="AD267" s="132">
        <f t="shared" si="4"/>
        <v>-9850</v>
      </c>
      <c r="AE267" s="132">
        <f t="shared" ref="AE267:AS267" si="531">H267-1000</f>
        <v>-1000</v>
      </c>
      <c r="AF267" s="132">
        <f t="shared" si="531"/>
        <v>-1000</v>
      </c>
      <c r="AG267" s="132">
        <f t="shared" si="531"/>
        <v>-1000</v>
      </c>
      <c r="AH267" s="132">
        <f t="shared" si="531"/>
        <v>-1000</v>
      </c>
      <c r="AI267" s="132">
        <f t="shared" si="531"/>
        <v>-1000</v>
      </c>
      <c r="AJ267" s="132">
        <f t="shared" si="531"/>
        <v>-1000</v>
      </c>
      <c r="AK267" s="132">
        <f t="shared" si="531"/>
        <v>-1000</v>
      </c>
      <c r="AL267" s="132">
        <f t="shared" si="531"/>
        <v>-1000</v>
      </c>
      <c r="AM267" s="132">
        <f t="shared" si="531"/>
        <v>-1000</v>
      </c>
      <c r="AN267" s="132">
        <f t="shared" si="531"/>
        <v>-1000</v>
      </c>
      <c r="AO267" s="132">
        <f t="shared" si="531"/>
        <v>-1000</v>
      </c>
      <c r="AP267" s="132">
        <f t="shared" si="531"/>
        <v>-1000</v>
      </c>
      <c r="AQ267" s="132">
        <f t="shared" si="531"/>
        <v>-1000</v>
      </c>
      <c r="AR267" s="132">
        <f t="shared" si="531"/>
        <v>-1000</v>
      </c>
      <c r="AS267" s="132">
        <f t="shared" si="531"/>
        <v>-1000</v>
      </c>
    </row>
    <row r="268">
      <c r="A268" s="132" t="s">
        <v>3770</v>
      </c>
      <c r="B268" s="132">
        <v>1500.0</v>
      </c>
      <c r="C268" s="132">
        <v>0.0</v>
      </c>
      <c r="D268" s="132">
        <v>0.0</v>
      </c>
      <c r="E268" s="132">
        <v>0.0</v>
      </c>
      <c r="F268" s="132">
        <v>0.0</v>
      </c>
      <c r="G268" s="132">
        <v>1500.0</v>
      </c>
      <c r="H268" s="132">
        <v>0.0</v>
      </c>
      <c r="I268" s="132">
        <v>0.0</v>
      </c>
      <c r="J268" s="132">
        <v>0.0</v>
      </c>
      <c r="K268" s="132">
        <v>0.0</v>
      </c>
      <c r="L268" s="132">
        <v>0.0</v>
      </c>
      <c r="M268" s="132">
        <v>0.0</v>
      </c>
      <c r="N268" s="132">
        <v>0.0</v>
      </c>
      <c r="O268" s="132">
        <v>0.0</v>
      </c>
      <c r="P268" s="132">
        <v>0.0</v>
      </c>
      <c r="Q268" s="132">
        <v>0.0</v>
      </c>
      <c r="R268" s="132">
        <v>0.0</v>
      </c>
      <c r="S268" s="132">
        <v>0.0</v>
      </c>
      <c r="T268" s="132">
        <v>0.0</v>
      </c>
      <c r="U268" s="132">
        <v>0.0</v>
      </c>
      <c r="V268" s="132">
        <v>0.0</v>
      </c>
      <c r="W268" s="132">
        <v>1.0</v>
      </c>
      <c r="Y268" s="132" t="s">
        <v>3770</v>
      </c>
      <c r="Z268" s="132">
        <f t="shared" ref="Z268:AC268" si="532">C268-1000</f>
        <v>-1000</v>
      </c>
      <c r="AA268" s="132">
        <f t="shared" si="532"/>
        <v>-1000</v>
      </c>
      <c r="AB268" s="132">
        <f t="shared" si="532"/>
        <v>-1000</v>
      </c>
      <c r="AC268" s="132">
        <f t="shared" si="532"/>
        <v>-1000</v>
      </c>
      <c r="AD268" s="132">
        <f t="shared" si="4"/>
        <v>-8500</v>
      </c>
      <c r="AE268" s="132">
        <f t="shared" ref="AE268:AS268" si="533">H268-1000</f>
        <v>-1000</v>
      </c>
      <c r="AF268" s="132">
        <f t="shared" si="533"/>
        <v>-1000</v>
      </c>
      <c r="AG268" s="132">
        <f t="shared" si="533"/>
        <v>-1000</v>
      </c>
      <c r="AH268" s="132">
        <f t="shared" si="533"/>
        <v>-1000</v>
      </c>
      <c r="AI268" s="132">
        <f t="shared" si="533"/>
        <v>-1000</v>
      </c>
      <c r="AJ268" s="132">
        <f t="shared" si="533"/>
        <v>-1000</v>
      </c>
      <c r="AK268" s="132">
        <f t="shared" si="533"/>
        <v>-1000</v>
      </c>
      <c r="AL268" s="132">
        <f t="shared" si="533"/>
        <v>-1000</v>
      </c>
      <c r="AM268" s="132">
        <f t="shared" si="533"/>
        <v>-1000</v>
      </c>
      <c r="AN268" s="132">
        <f t="shared" si="533"/>
        <v>-1000</v>
      </c>
      <c r="AO268" s="132">
        <f t="shared" si="533"/>
        <v>-1000</v>
      </c>
      <c r="AP268" s="132">
        <f t="shared" si="533"/>
        <v>-1000</v>
      </c>
      <c r="AQ268" s="132">
        <f t="shared" si="533"/>
        <v>-1000</v>
      </c>
      <c r="AR268" s="132">
        <f t="shared" si="533"/>
        <v>-1000</v>
      </c>
      <c r="AS268" s="132">
        <f t="shared" si="533"/>
        <v>-1000</v>
      </c>
    </row>
    <row r="269">
      <c r="A269" s="132" t="s">
        <v>3771</v>
      </c>
      <c r="B269" s="132">
        <v>500.0</v>
      </c>
      <c r="C269" s="132">
        <v>0.0</v>
      </c>
      <c r="D269" s="132">
        <v>0.0</v>
      </c>
      <c r="E269" s="132">
        <v>0.0</v>
      </c>
      <c r="F269" s="132">
        <v>0.0</v>
      </c>
      <c r="G269" s="132">
        <v>500.0</v>
      </c>
      <c r="H269" s="132">
        <v>0.0</v>
      </c>
      <c r="I269" s="132">
        <v>0.0</v>
      </c>
      <c r="J269" s="132">
        <v>0.0</v>
      </c>
      <c r="K269" s="132">
        <v>0.0</v>
      </c>
      <c r="L269" s="132">
        <v>0.0</v>
      </c>
      <c r="M269" s="132">
        <v>0.0</v>
      </c>
      <c r="N269" s="132">
        <v>0.0</v>
      </c>
      <c r="O269" s="132">
        <v>0.0</v>
      </c>
      <c r="P269" s="132">
        <v>0.0</v>
      </c>
      <c r="Q269" s="132">
        <v>0.0</v>
      </c>
      <c r="R269" s="132">
        <v>0.0</v>
      </c>
      <c r="S269" s="132">
        <v>0.0</v>
      </c>
      <c r="T269" s="132">
        <v>0.0</v>
      </c>
      <c r="U269" s="132">
        <v>0.0</v>
      </c>
      <c r="V269" s="132">
        <v>0.0</v>
      </c>
      <c r="W269" s="132">
        <v>0.0</v>
      </c>
      <c r="Y269" s="132" t="s">
        <v>3771</v>
      </c>
      <c r="Z269" s="132">
        <f t="shared" ref="Z269:AC269" si="534">C269-1000</f>
        <v>-1000</v>
      </c>
      <c r="AA269" s="132">
        <f t="shared" si="534"/>
        <v>-1000</v>
      </c>
      <c r="AB269" s="132">
        <f t="shared" si="534"/>
        <v>-1000</v>
      </c>
      <c r="AC269" s="132">
        <f t="shared" si="534"/>
        <v>-1000</v>
      </c>
      <c r="AD269" s="132">
        <f t="shared" si="4"/>
        <v>-9500</v>
      </c>
      <c r="AE269" s="132">
        <f t="shared" ref="AE269:AS269" si="535">H269-1000</f>
        <v>-1000</v>
      </c>
      <c r="AF269" s="132">
        <f t="shared" si="535"/>
        <v>-1000</v>
      </c>
      <c r="AG269" s="132">
        <f t="shared" si="535"/>
        <v>-1000</v>
      </c>
      <c r="AH269" s="132">
        <f t="shared" si="535"/>
        <v>-1000</v>
      </c>
      <c r="AI269" s="132">
        <f t="shared" si="535"/>
        <v>-1000</v>
      </c>
      <c r="AJ269" s="132">
        <f t="shared" si="535"/>
        <v>-1000</v>
      </c>
      <c r="AK269" s="132">
        <f t="shared" si="535"/>
        <v>-1000</v>
      </c>
      <c r="AL269" s="132">
        <f t="shared" si="535"/>
        <v>-1000</v>
      </c>
      <c r="AM269" s="132">
        <f t="shared" si="535"/>
        <v>-1000</v>
      </c>
      <c r="AN269" s="132">
        <f t="shared" si="535"/>
        <v>-1000</v>
      </c>
      <c r="AO269" s="132">
        <f t="shared" si="535"/>
        <v>-1000</v>
      </c>
      <c r="AP269" s="132">
        <f t="shared" si="535"/>
        <v>-1000</v>
      </c>
      <c r="AQ269" s="132">
        <f t="shared" si="535"/>
        <v>-1000</v>
      </c>
      <c r="AR269" s="132">
        <f t="shared" si="535"/>
        <v>-1000</v>
      </c>
      <c r="AS269" s="132">
        <f t="shared" si="535"/>
        <v>-1000</v>
      </c>
    </row>
    <row r="270">
      <c r="A270" s="132" t="s">
        <v>3772</v>
      </c>
      <c r="B270" s="132">
        <v>300.0</v>
      </c>
      <c r="C270" s="132">
        <v>0.0</v>
      </c>
      <c r="D270" s="132">
        <v>0.0</v>
      </c>
      <c r="E270" s="132">
        <v>50.0</v>
      </c>
      <c r="F270" s="132">
        <v>0.0</v>
      </c>
      <c r="G270" s="132">
        <v>250.0</v>
      </c>
      <c r="H270" s="132">
        <v>0.0</v>
      </c>
      <c r="I270" s="132">
        <v>0.0</v>
      </c>
      <c r="J270" s="132">
        <v>0.0</v>
      </c>
      <c r="K270" s="132">
        <v>0.0</v>
      </c>
      <c r="L270" s="132">
        <v>0.0</v>
      </c>
      <c r="M270" s="132">
        <v>0.0</v>
      </c>
      <c r="N270" s="132">
        <v>0.0</v>
      </c>
      <c r="O270" s="132">
        <v>0.0</v>
      </c>
      <c r="P270" s="132">
        <v>0.0</v>
      </c>
      <c r="Q270" s="132">
        <v>0.0</v>
      </c>
      <c r="R270" s="132">
        <v>0.0</v>
      </c>
      <c r="S270" s="132">
        <v>0.0</v>
      </c>
      <c r="T270" s="132">
        <v>0.0</v>
      </c>
      <c r="U270" s="132">
        <v>0.0</v>
      </c>
      <c r="V270" s="132">
        <v>0.0</v>
      </c>
      <c r="W270" s="132">
        <v>1.0</v>
      </c>
      <c r="Y270" s="132" t="s">
        <v>3772</v>
      </c>
      <c r="Z270" s="132">
        <f t="shared" ref="Z270:AC270" si="536">C270-1000</f>
        <v>-1000</v>
      </c>
      <c r="AA270" s="132">
        <f t="shared" si="536"/>
        <v>-1000</v>
      </c>
      <c r="AB270" s="132">
        <f t="shared" si="536"/>
        <v>-950</v>
      </c>
      <c r="AC270" s="132">
        <f t="shared" si="536"/>
        <v>-1000</v>
      </c>
      <c r="AD270" s="132">
        <f t="shared" si="4"/>
        <v>-9750</v>
      </c>
      <c r="AE270" s="132">
        <f t="shared" ref="AE270:AS270" si="537">H270-1000</f>
        <v>-1000</v>
      </c>
      <c r="AF270" s="132">
        <f t="shared" si="537"/>
        <v>-1000</v>
      </c>
      <c r="AG270" s="132">
        <f t="shared" si="537"/>
        <v>-1000</v>
      </c>
      <c r="AH270" s="132">
        <f t="shared" si="537"/>
        <v>-1000</v>
      </c>
      <c r="AI270" s="132">
        <f t="shared" si="537"/>
        <v>-1000</v>
      </c>
      <c r="AJ270" s="132">
        <f t="shared" si="537"/>
        <v>-1000</v>
      </c>
      <c r="AK270" s="132">
        <f t="shared" si="537"/>
        <v>-1000</v>
      </c>
      <c r="AL270" s="132">
        <f t="shared" si="537"/>
        <v>-1000</v>
      </c>
      <c r="AM270" s="132">
        <f t="shared" si="537"/>
        <v>-1000</v>
      </c>
      <c r="AN270" s="132">
        <f t="shared" si="537"/>
        <v>-1000</v>
      </c>
      <c r="AO270" s="132">
        <f t="shared" si="537"/>
        <v>-1000</v>
      </c>
      <c r="AP270" s="132">
        <f t="shared" si="537"/>
        <v>-1000</v>
      </c>
      <c r="AQ270" s="132">
        <f t="shared" si="537"/>
        <v>-1000</v>
      </c>
      <c r="AR270" s="132">
        <f t="shared" si="537"/>
        <v>-1000</v>
      </c>
      <c r="AS270" s="132">
        <f t="shared" si="537"/>
        <v>-1000</v>
      </c>
    </row>
    <row r="271">
      <c r="A271" s="132" t="s">
        <v>3773</v>
      </c>
      <c r="B271" s="132">
        <v>1000.0</v>
      </c>
      <c r="C271" s="132">
        <v>0.0</v>
      </c>
      <c r="D271" s="132">
        <v>0.0</v>
      </c>
      <c r="E271" s="132">
        <v>0.0</v>
      </c>
      <c r="F271" s="132">
        <v>0.0</v>
      </c>
      <c r="G271" s="132">
        <v>1000.0</v>
      </c>
      <c r="H271" s="132">
        <v>0.0</v>
      </c>
      <c r="I271" s="132">
        <v>0.0</v>
      </c>
      <c r="J271" s="132">
        <v>0.0</v>
      </c>
      <c r="K271" s="132">
        <v>0.0</v>
      </c>
      <c r="L271" s="132">
        <v>0.0</v>
      </c>
      <c r="M271" s="132">
        <v>0.0</v>
      </c>
      <c r="N271" s="132">
        <v>0.0</v>
      </c>
      <c r="O271" s="132">
        <v>0.0</v>
      </c>
      <c r="P271" s="132">
        <v>0.0</v>
      </c>
      <c r="Q271" s="132">
        <v>0.0</v>
      </c>
      <c r="R271" s="132">
        <v>0.0</v>
      </c>
      <c r="S271" s="132">
        <v>0.0</v>
      </c>
      <c r="T271" s="132">
        <v>0.0</v>
      </c>
      <c r="U271" s="132">
        <v>0.0</v>
      </c>
      <c r="V271" s="132">
        <v>0.0</v>
      </c>
      <c r="W271" s="132">
        <v>0.0</v>
      </c>
      <c r="Y271" s="132" t="s">
        <v>3773</v>
      </c>
      <c r="Z271" s="132">
        <f t="shared" ref="Z271:AC271" si="538">C271-1000</f>
        <v>-1000</v>
      </c>
      <c r="AA271" s="132">
        <f t="shared" si="538"/>
        <v>-1000</v>
      </c>
      <c r="AB271" s="132">
        <f t="shared" si="538"/>
        <v>-1000</v>
      </c>
      <c r="AC271" s="132">
        <f t="shared" si="538"/>
        <v>-1000</v>
      </c>
      <c r="AD271" s="132">
        <f t="shared" si="4"/>
        <v>-9000</v>
      </c>
      <c r="AE271" s="132">
        <f t="shared" ref="AE271:AS271" si="539">H271-1000</f>
        <v>-1000</v>
      </c>
      <c r="AF271" s="132">
        <f t="shared" si="539"/>
        <v>-1000</v>
      </c>
      <c r="AG271" s="132">
        <f t="shared" si="539"/>
        <v>-1000</v>
      </c>
      <c r="AH271" s="132">
        <f t="shared" si="539"/>
        <v>-1000</v>
      </c>
      <c r="AI271" s="132">
        <f t="shared" si="539"/>
        <v>-1000</v>
      </c>
      <c r="AJ271" s="132">
        <f t="shared" si="539"/>
        <v>-1000</v>
      </c>
      <c r="AK271" s="132">
        <f t="shared" si="539"/>
        <v>-1000</v>
      </c>
      <c r="AL271" s="132">
        <f t="shared" si="539"/>
        <v>-1000</v>
      </c>
      <c r="AM271" s="132">
        <f t="shared" si="539"/>
        <v>-1000</v>
      </c>
      <c r="AN271" s="132">
        <f t="shared" si="539"/>
        <v>-1000</v>
      </c>
      <c r="AO271" s="132">
        <f t="shared" si="539"/>
        <v>-1000</v>
      </c>
      <c r="AP271" s="132">
        <f t="shared" si="539"/>
        <v>-1000</v>
      </c>
      <c r="AQ271" s="132">
        <f t="shared" si="539"/>
        <v>-1000</v>
      </c>
      <c r="AR271" s="132">
        <f t="shared" si="539"/>
        <v>-1000</v>
      </c>
      <c r="AS271" s="132">
        <f t="shared" si="539"/>
        <v>-1000</v>
      </c>
    </row>
    <row r="272">
      <c r="A272" s="132" t="s">
        <v>3774</v>
      </c>
      <c r="B272" s="132">
        <v>2000.0</v>
      </c>
      <c r="C272" s="132">
        <v>0.0</v>
      </c>
      <c r="D272" s="132">
        <v>0.0</v>
      </c>
      <c r="E272" s="132">
        <v>0.0</v>
      </c>
      <c r="F272" s="132">
        <v>1000.0</v>
      </c>
      <c r="G272" s="132">
        <v>1000.0</v>
      </c>
      <c r="H272" s="132">
        <v>0.0</v>
      </c>
      <c r="I272" s="132">
        <v>0.0</v>
      </c>
      <c r="J272" s="132">
        <v>0.0</v>
      </c>
      <c r="K272" s="132">
        <v>0.0</v>
      </c>
      <c r="L272" s="132">
        <v>0.0</v>
      </c>
      <c r="M272" s="132">
        <v>0.0</v>
      </c>
      <c r="N272" s="132">
        <v>0.0</v>
      </c>
      <c r="O272" s="132">
        <v>0.0</v>
      </c>
      <c r="P272" s="132">
        <v>0.0</v>
      </c>
      <c r="Q272" s="132">
        <v>0.0</v>
      </c>
      <c r="R272" s="132">
        <v>0.0</v>
      </c>
      <c r="S272" s="132">
        <v>0.0</v>
      </c>
      <c r="T272" s="132">
        <v>0.0</v>
      </c>
      <c r="U272" s="132">
        <v>0.0</v>
      </c>
      <c r="V272" s="132">
        <v>0.0</v>
      </c>
      <c r="W272" s="132">
        <v>0.0</v>
      </c>
      <c r="Y272" s="132" t="s">
        <v>3774</v>
      </c>
      <c r="Z272" s="132">
        <f t="shared" ref="Z272:AC272" si="540">C272-1000</f>
        <v>-1000</v>
      </c>
      <c r="AA272" s="132">
        <f t="shared" si="540"/>
        <v>-1000</v>
      </c>
      <c r="AB272" s="132">
        <f t="shared" si="540"/>
        <v>-1000</v>
      </c>
      <c r="AC272" s="132">
        <f t="shared" si="540"/>
        <v>0</v>
      </c>
      <c r="AD272" s="132">
        <f t="shared" si="4"/>
        <v>-9000</v>
      </c>
      <c r="AE272" s="132">
        <f t="shared" ref="AE272:AS272" si="541">H272-1000</f>
        <v>-1000</v>
      </c>
      <c r="AF272" s="132">
        <f t="shared" si="541"/>
        <v>-1000</v>
      </c>
      <c r="AG272" s="132">
        <f t="shared" si="541"/>
        <v>-1000</v>
      </c>
      <c r="AH272" s="132">
        <f t="shared" si="541"/>
        <v>-1000</v>
      </c>
      <c r="AI272" s="132">
        <f t="shared" si="541"/>
        <v>-1000</v>
      </c>
      <c r="AJ272" s="132">
        <f t="shared" si="541"/>
        <v>-1000</v>
      </c>
      <c r="AK272" s="132">
        <f t="shared" si="541"/>
        <v>-1000</v>
      </c>
      <c r="AL272" s="132">
        <f t="shared" si="541"/>
        <v>-1000</v>
      </c>
      <c r="AM272" s="132">
        <f t="shared" si="541"/>
        <v>-1000</v>
      </c>
      <c r="AN272" s="132">
        <f t="shared" si="541"/>
        <v>-1000</v>
      </c>
      <c r="AO272" s="132">
        <f t="shared" si="541"/>
        <v>-1000</v>
      </c>
      <c r="AP272" s="132">
        <f t="shared" si="541"/>
        <v>-1000</v>
      </c>
      <c r="AQ272" s="132">
        <f t="shared" si="541"/>
        <v>-1000</v>
      </c>
      <c r="AR272" s="132">
        <f t="shared" si="541"/>
        <v>-1000</v>
      </c>
      <c r="AS272" s="132">
        <f t="shared" si="541"/>
        <v>-1000</v>
      </c>
    </row>
    <row r="273">
      <c r="A273" s="132" t="s">
        <v>3775</v>
      </c>
      <c r="B273" s="132">
        <v>13600.0</v>
      </c>
      <c r="C273" s="132">
        <v>0.0</v>
      </c>
      <c r="D273" s="132">
        <v>0.0</v>
      </c>
      <c r="E273" s="132">
        <v>0.0</v>
      </c>
      <c r="F273" s="132">
        <v>0.0</v>
      </c>
      <c r="G273" s="132">
        <v>10000.0</v>
      </c>
      <c r="H273" s="132">
        <v>0.0</v>
      </c>
      <c r="I273" s="132">
        <v>0.0</v>
      </c>
      <c r="J273" s="132">
        <v>0.0</v>
      </c>
      <c r="K273" s="132">
        <v>0.0</v>
      </c>
      <c r="L273" s="132">
        <v>3600.0</v>
      </c>
      <c r="M273" s="132">
        <v>0.0</v>
      </c>
      <c r="N273" s="132">
        <v>0.0</v>
      </c>
      <c r="O273" s="132">
        <v>0.0</v>
      </c>
      <c r="P273" s="132">
        <v>0.0</v>
      </c>
      <c r="Q273" s="132">
        <v>0.0</v>
      </c>
      <c r="R273" s="132">
        <v>0.0</v>
      </c>
      <c r="S273" s="132">
        <v>0.0</v>
      </c>
      <c r="T273" s="132">
        <v>0.0</v>
      </c>
      <c r="U273" s="132">
        <v>0.0</v>
      </c>
      <c r="V273" s="132">
        <v>0.0</v>
      </c>
      <c r="W273" s="132">
        <v>1.0</v>
      </c>
      <c r="Y273" s="132" t="s">
        <v>3775</v>
      </c>
      <c r="Z273" s="132">
        <f t="shared" ref="Z273:AC273" si="542">C273-1000</f>
        <v>-1000</v>
      </c>
      <c r="AA273" s="132">
        <f t="shared" si="542"/>
        <v>-1000</v>
      </c>
      <c r="AB273" s="132">
        <f t="shared" si="542"/>
        <v>-1000</v>
      </c>
      <c r="AC273" s="132">
        <f t="shared" si="542"/>
        <v>-1000</v>
      </c>
      <c r="AD273" s="132">
        <f t="shared" si="4"/>
        <v>0</v>
      </c>
      <c r="AE273" s="132">
        <f t="shared" ref="AE273:AS273" si="543">H273-1000</f>
        <v>-1000</v>
      </c>
      <c r="AF273" s="132">
        <f t="shared" si="543"/>
        <v>-1000</v>
      </c>
      <c r="AG273" s="132">
        <f t="shared" si="543"/>
        <v>-1000</v>
      </c>
      <c r="AH273" s="132">
        <f t="shared" si="543"/>
        <v>-1000</v>
      </c>
      <c r="AI273" s="132">
        <f t="shared" si="543"/>
        <v>2600</v>
      </c>
      <c r="AJ273" s="132">
        <f t="shared" si="543"/>
        <v>-1000</v>
      </c>
      <c r="AK273" s="132">
        <f t="shared" si="543"/>
        <v>-1000</v>
      </c>
      <c r="AL273" s="132">
        <f t="shared" si="543"/>
        <v>-1000</v>
      </c>
      <c r="AM273" s="132">
        <f t="shared" si="543"/>
        <v>-1000</v>
      </c>
      <c r="AN273" s="132">
        <f t="shared" si="543"/>
        <v>-1000</v>
      </c>
      <c r="AO273" s="132">
        <f t="shared" si="543"/>
        <v>-1000</v>
      </c>
      <c r="AP273" s="132">
        <f t="shared" si="543"/>
        <v>-1000</v>
      </c>
      <c r="AQ273" s="132">
        <f t="shared" si="543"/>
        <v>-1000</v>
      </c>
      <c r="AR273" s="132">
        <f t="shared" si="543"/>
        <v>-1000</v>
      </c>
      <c r="AS273" s="132">
        <f t="shared" si="543"/>
        <v>-1000</v>
      </c>
    </row>
    <row r="274">
      <c r="A274" s="132" t="s">
        <v>3776</v>
      </c>
      <c r="B274" s="132">
        <v>1100.0</v>
      </c>
      <c r="C274" s="132">
        <v>0.0</v>
      </c>
      <c r="D274" s="132">
        <v>0.0</v>
      </c>
      <c r="E274" s="132">
        <v>0.0</v>
      </c>
      <c r="F274" s="132">
        <v>0.0</v>
      </c>
      <c r="G274" s="132">
        <v>1000.0</v>
      </c>
      <c r="H274" s="132">
        <v>0.0</v>
      </c>
      <c r="I274" s="132">
        <v>0.0</v>
      </c>
      <c r="J274" s="132">
        <v>0.0</v>
      </c>
      <c r="K274" s="132">
        <v>0.0</v>
      </c>
      <c r="L274" s="132">
        <v>0.0</v>
      </c>
      <c r="M274" s="132">
        <v>100.0</v>
      </c>
      <c r="N274" s="132">
        <v>0.0</v>
      </c>
      <c r="O274" s="132">
        <v>0.0</v>
      </c>
      <c r="P274" s="132">
        <v>0.0</v>
      </c>
      <c r="Q274" s="132">
        <v>0.0</v>
      </c>
      <c r="R274" s="132">
        <v>0.0</v>
      </c>
      <c r="S274" s="132">
        <v>0.0</v>
      </c>
      <c r="T274" s="132">
        <v>0.0</v>
      </c>
      <c r="U274" s="132">
        <v>0.0</v>
      </c>
      <c r="V274" s="132">
        <v>0.0</v>
      </c>
      <c r="W274" s="132">
        <v>1.0</v>
      </c>
      <c r="Y274" s="132" t="s">
        <v>3776</v>
      </c>
      <c r="Z274" s="132">
        <f t="shared" ref="Z274:AC274" si="544">C274-1000</f>
        <v>-1000</v>
      </c>
      <c r="AA274" s="132">
        <f t="shared" si="544"/>
        <v>-1000</v>
      </c>
      <c r="AB274" s="132">
        <f t="shared" si="544"/>
        <v>-1000</v>
      </c>
      <c r="AC274" s="132">
        <f t="shared" si="544"/>
        <v>-1000</v>
      </c>
      <c r="AD274" s="132">
        <f t="shared" si="4"/>
        <v>-9000</v>
      </c>
      <c r="AE274" s="132">
        <f t="shared" ref="AE274:AS274" si="545">H274-1000</f>
        <v>-1000</v>
      </c>
      <c r="AF274" s="132">
        <f t="shared" si="545"/>
        <v>-1000</v>
      </c>
      <c r="AG274" s="132">
        <f t="shared" si="545"/>
        <v>-1000</v>
      </c>
      <c r="AH274" s="132">
        <f t="shared" si="545"/>
        <v>-1000</v>
      </c>
      <c r="AI274" s="132">
        <f t="shared" si="545"/>
        <v>-1000</v>
      </c>
      <c r="AJ274" s="132">
        <f t="shared" si="545"/>
        <v>-900</v>
      </c>
      <c r="AK274" s="132">
        <f t="shared" si="545"/>
        <v>-1000</v>
      </c>
      <c r="AL274" s="132">
        <f t="shared" si="545"/>
        <v>-1000</v>
      </c>
      <c r="AM274" s="132">
        <f t="shared" si="545"/>
        <v>-1000</v>
      </c>
      <c r="AN274" s="132">
        <f t="shared" si="545"/>
        <v>-1000</v>
      </c>
      <c r="AO274" s="132">
        <f t="shared" si="545"/>
        <v>-1000</v>
      </c>
      <c r="AP274" s="132">
        <f t="shared" si="545"/>
        <v>-1000</v>
      </c>
      <c r="AQ274" s="132">
        <f t="shared" si="545"/>
        <v>-1000</v>
      </c>
      <c r="AR274" s="132">
        <f t="shared" si="545"/>
        <v>-1000</v>
      </c>
      <c r="AS274" s="132">
        <f t="shared" si="545"/>
        <v>-1000</v>
      </c>
    </row>
    <row r="275">
      <c r="A275" s="132" t="s">
        <v>3777</v>
      </c>
      <c r="B275" s="132">
        <v>2500.0</v>
      </c>
      <c r="C275" s="132">
        <v>0.0</v>
      </c>
      <c r="D275" s="132">
        <v>0.0</v>
      </c>
      <c r="E275" s="132">
        <v>0.0</v>
      </c>
      <c r="F275" s="132">
        <v>0.0</v>
      </c>
      <c r="G275" s="132">
        <v>2500.0</v>
      </c>
      <c r="H275" s="132">
        <v>0.0</v>
      </c>
      <c r="I275" s="132">
        <v>0.0</v>
      </c>
      <c r="J275" s="132">
        <v>0.0</v>
      </c>
      <c r="K275" s="132">
        <v>0.0</v>
      </c>
      <c r="L275" s="132">
        <v>0.0</v>
      </c>
      <c r="M275" s="132">
        <v>0.0</v>
      </c>
      <c r="N275" s="132">
        <v>0.0</v>
      </c>
      <c r="O275" s="132">
        <v>0.0</v>
      </c>
      <c r="P275" s="132">
        <v>0.0</v>
      </c>
      <c r="Q275" s="132">
        <v>0.0</v>
      </c>
      <c r="R275" s="132">
        <v>0.0</v>
      </c>
      <c r="S275" s="132">
        <v>0.0</v>
      </c>
      <c r="T275" s="132">
        <v>0.0</v>
      </c>
      <c r="U275" s="132">
        <v>0.0</v>
      </c>
      <c r="V275" s="132">
        <v>0.0</v>
      </c>
      <c r="W275" s="132">
        <v>0.0</v>
      </c>
      <c r="Y275" s="132" t="s">
        <v>3777</v>
      </c>
      <c r="Z275" s="132">
        <f t="shared" ref="Z275:AC275" si="546">C275-1000</f>
        <v>-1000</v>
      </c>
      <c r="AA275" s="132">
        <f t="shared" si="546"/>
        <v>-1000</v>
      </c>
      <c r="AB275" s="132">
        <f t="shared" si="546"/>
        <v>-1000</v>
      </c>
      <c r="AC275" s="132">
        <f t="shared" si="546"/>
        <v>-1000</v>
      </c>
      <c r="AD275" s="132">
        <f t="shared" si="4"/>
        <v>-7500</v>
      </c>
      <c r="AE275" s="132">
        <f t="shared" ref="AE275:AS275" si="547">H275-1000</f>
        <v>-1000</v>
      </c>
      <c r="AF275" s="132">
        <f t="shared" si="547"/>
        <v>-1000</v>
      </c>
      <c r="AG275" s="132">
        <f t="shared" si="547"/>
        <v>-1000</v>
      </c>
      <c r="AH275" s="132">
        <f t="shared" si="547"/>
        <v>-1000</v>
      </c>
      <c r="AI275" s="132">
        <f t="shared" si="547"/>
        <v>-1000</v>
      </c>
      <c r="AJ275" s="132">
        <f t="shared" si="547"/>
        <v>-1000</v>
      </c>
      <c r="AK275" s="132">
        <f t="shared" si="547"/>
        <v>-1000</v>
      </c>
      <c r="AL275" s="132">
        <f t="shared" si="547"/>
        <v>-1000</v>
      </c>
      <c r="AM275" s="132">
        <f t="shared" si="547"/>
        <v>-1000</v>
      </c>
      <c r="AN275" s="132">
        <f t="shared" si="547"/>
        <v>-1000</v>
      </c>
      <c r="AO275" s="132">
        <f t="shared" si="547"/>
        <v>-1000</v>
      </c>
      <c r="AP275" s="132">
        <f t="shared" si="547"/>
        <v>-1000</v>
      </c>
      <c r="AQ275" s="132">
        <f t="shared" si="547"/>
        <v>-1000</v>
      </c>
      <c r="AR275" s="132">
        <f t="shared" si="547"/>
        <v>-1000</v>
      </c>
      <c r="AS275" s="132">
        <f t="shared" si="547"/>
        <v>-1000</v>
      </c>
    </row>
    <row r="276">
      <c r="A276" s="132" t="s">
        <v>3778</v>
      </c>
      <c r="B276" s="132">
        <v>500.0</v>
      </c>
      <c r="C276" s="132">
        <v>0.0</v>
      </c>
      <c r="D276" s="132">
        <v>0.0</v>
      </c>
      <c r="E276" s="132">
        <v>0.0</v>
      </c>
      <c r="F276" s="132">
        <v>0.0</v>
      </c>
      <c r="G276" s="132">
        <v>500.0</v>
      </c>
      <c r="H276" s="132">
        <v>0.0</v>
      </c>
      <c r="I276" s="132">
        <v>0.0</v>
      </c>
      <c r="J276" s="132">
        <v>0.0</v>
      </c>
      <c r="K276" s="132">
        <v>0.0</v>
      </c>
      <c r="L276" s="132">
        <v>0.0</v>
      </c>
      <c r="M276" s="132">
        <v>0.0</v>
      </c>
      <c r="N276" s="132">
        <v>0.0</v>
      </c>
      <c r="O276" s="132">
        <v>0.0</v>
      </c>
      <c r="P276" s="132">
        <v>0.0</v>
      </c>
      <c r="Q276" s="132">
        <v>0.0</v>
      </c>
      <c r="R276" s="132">
        <v>0.0</v>
      </c>
      <c r="S276" s="132">
        <v>0.0</v>
      </c>
      <c r="T276" s="132">
        <v>0.0</v>
      </c>
      <c r="U276" s="132">
        <v>0.0</v>
      </c>
      <c r="V276" s="132">
        <v>0.0</v>
      </c>
      <c r="W276" s="132">
        <v>0.0</v>
      </c>
      <c r="Y276" s="132" t="s">
        <v>3778</v>
      </c>
      <c r="Z276" s="132">
        <f t="shared" ref="Z276:AC276" si="548">C276-1000</f>
        <v>-1000</v>
      </c>
      <c r="AA276" s="132">
        <f t="shared" si="548"/>
        <v>-1000</v>
      </c>
      <c r="AB276" s="132">
        <f t="shared" si="548"/>
        <v>-1000</v>
      </c>
      <c r="AC276" s="132">
        <f t="shared" si="548"/>
        <v>-1000</v>
      </c>
      <c r="AD276" s="132">
        <f t="shared" si="4"/>
        <v>-9500</v>
      </c>
      <c r="AE276" s="132">
        <f t="shared" ref="AE276:AS276" si="549">H276-1000</f>
        <v>-1000</v>
      </c>
      <c r="AF276" s="132">
        <f t="shared" si="549"/>
        <v>-1000</v>
      </c>
      <c r="AG276" s="132">
        <f t="shared" si="549"/>
        <v>-1000</v>
      </c>
      <c r="AH276" s="132">
        <f t="shared" si="549"/>
        <v>-1000</v>
      </c>
      <c r="AI276" s="132">
        <f t="shared" si="549"/>
        <v>-1000</v>
      </c>
      <c r="AJ276" s="132">
        <f t="shared" si="549"/>
        <v>-1000</v>
      </c>
      <c r="AK276" s="132">
        <f t="shared" si="549"/>
        <v>-1000</v>
      </c>
      <c r="AL276" s="132">
        <f t="shared" si="549"/>
        <v>-1000</v>
      </c>
      <c r="AM276" s="132">
        <f t="shared" si="549"/>
        <v>-1000</v>
      </c>
      <c r="AN276" s="132">
        <f t="shared" si="549"/>
        <v>-1000</v>
      </c>
      <c r="AO276" s="132">
        <f t="shared" si="549"/>
        <v>-1000</v>
      </c>
      <c r="AP276" s="132">
        <f t="shared" si="549"/>
        <v>-1000</v>
      </c>
      <c r="AQ276" s="132">
        <f t="shared" si="549"/>
        <v>-1000</v>
      </c>
      <c r="AR276" s="132">
        <f t="shared" si="549"/>
        <v>-1000</v>
      </c>
      <c r="AS276" s="132">
        <f t="shared" si="549"/>
        <v>-1000</v>
      </c>
    </row>
    <row r="277">
      <c r="A277" s="132" t="s">
        <v>3779</v>
      </c>
      <c r="B277" s="132">
        <v>425.0</v>
      </c>
      <c r="C277" s="132">
        <v>0.0</v>
      </c>
      <c r="D277" s="132">
        <v>0.0</v>
      </c>
      <c r="E277" s="132">
        <v>50.0</v>
      </c>
      <c r="F277" s="132">
        <v>100.0</v>
      </c>
      <c r="G277" s="132">
        <v>200.0</v>
      </c>
      <c r="H277" s="132">
        <v>0.0</v>
      </c>
      <c r="I277" s="132">
        <v>0.0</v>
      </c>
      <c r="J277" s="132">
        <v>0.0</v>
      </c>
      <c r="K277" s="132">
        <v>0.0</v>
      </c>
      <c r="L277" s="132">
        <v>0.0</v>
      </c>
      <c r="M277" s="132">
        <v>75.0</v>
      </c>
      <c r="N277" s="132">
        <v>0.0</v>
      </c>
      <c r="O277" s="132">
        <v>0.0</v>
      </c>
      <c r="P277" s="132">
        <v>0.0</v>
      </c>
      <c r="Q277" s="132">
        <v>0.0</v>
      </c>
      <c r="R277" s="132">
        <v>0.0</v>
      </c>
      <c r="S277" s="132">
        <v>0.0</v>
      </c>
      <c r="T277" s="132">
        <v>0.0</v>
      </c>
      <c r="U277" s="132">
        <v>0.0</v>
      </c>
      <c r="V277" s="132">
        <v>0.0</v>
      </c>
      <c r="W277" s="132">
        <v>0.0</v>
      </c>
      <c r="Y277" s="132" t="s">
        <v>3779</v>
      </c>
      <c r="Z277" s="132">
        <f t="shared" ref="Z277:AC277" si="550">C277-1000</f>
        <v>-1000</v>
      </c>
      <c r="AA277" s="132">
        <f t="shared" si="550"/>
        <v>-1000</v>
      </c>
      <c r="AB277" s="132">
        <f t="shared" si="550"/>
        <v>-950</v>
      </c>
      <c r="AC277" s="132">
        <f t="shared" si="550"/>
        <v>-900</v>
      </c>
      <c r="AD277" s="132">
        <f t="shared" si="4"/>
        <v>-9800</v>
      </c>
      <c r="AE277" s="132">
        <f t="shared" ref="AE277:AS277" si="551">H277-1000</f>
        <v>-1000</v>
      </c>
      <c r="AF277" s="132">
        <f t="shared" si="551"/>
        <v>-1000</v>
      </c>
      <c r="AG277" s="132">
        <f t="shared" si="551"/>
        <v>-1000</v>
      </c>
      <c r="AH277" s="132">
        <f t="shared" si="551"/>
        <v>-1000</v>
      </c>
      <c r="AI277" s="132">
        <f t="shared" si="551"/>
        <v>-1000</v>
      </c>
      <c r="AJ277" s="132">
        <f t="shared" si="551"/>
        <v>-925</v>
      </c>
      <c r="AK277" s="132">
        <f t="shared" si="551"/>
        <v>-1000</v>
      </c>
      <c r="AL277" s="132">
        <f t="shared" si="551"/>
        <v>-1000</v>
      </c>
      <c r="AM277" s="132">
        <f t="shared" si="551"/>
        <v>-1000</v>
      </c>
      <c r="AN277" s="132">
        <f t="shared" si="551"/>
        <v>-1000</v>
      </c>
      <c r="AO277" s="132">
        <f t="shared" si="551"/>
        <v>-1000</v>
      </c>
      <c r="AP277" s="132">
        <f t="shared" si="551"/>
        <v>-1000</v>
      </c>
      <c r="AQ277" s="132">
        <f t="shared" si="551"/>
        <v>-1000</v>
      </c>
      <c r="AR277" s="132">
        <f t="shared" si="551"/>
        <v>-1000</v>
      </c>
      <c r="AS277" s="132">
        <f t="shared" si="551"/>
        <v>-1000</v>
      </c>
    </row>
    <row r="278">
      <c r="A278" s="132" t="s">
        <v>3780</v>
      </c>
      <c r="B278" s="132">
        <v>1000.0</v>
      </c>
      <c r="C278" s="132">
        <v>0.0</v>
      </c>
      <c r="D278" s="132">
        <v>0.0</v>
      </c>
      <c r="E278" s="132">
        <v>0.0</v>
      </c>
      <c r="F278" s="132">
        <v>0.0</v>
      </c>
      <c r="G278" s="132">
        <v>1000.0</v>
      </c>
      <c r="H278" s="132">
        <v>0.0</v>
      </c>
      <c r="I278" s="132">
        <v>0.0</v>
      </c>
      <c r="J278" s="132">
        <v>0.0</v>
      </c>
      <c r="K278" s="132">
        <v>0.0</v>
      </c>
      <c r="L278" s="132">
        <v>0.0</v>
      </c>
      <c r="M278" s="132">
        <v>0.0</v>
      </c>
      <c r="N278" s="132">
        <v>0.0</v>
      </c>
      <c r="O278" s="132">
        <v>0.0</v>
      </c>
      <c r="P278" s="132">
        <v>0.0</v>
      </c>
      <c r="Q278" s="132">
        <v>0.0</v>
      </c>
      <c r="R278" s="132">
        <v>0.0</v>
      </c>
      <c r="S278" s="132">
        <v>0.0</v>
      </c>
      <c r="T278" s="132">
        <v>0.0</v>
      </c>
      <c r="U278" s="132">
        <v>0.0</v>
      </c>
      <c r="V278" s="132">
        <v>0.0</v>
      </c>
      <c r="W278" s="132">
        <v>0.0</v>
      </c>
      <c r="Y278" s="132" t="s">
        <v>3780</v>
      </c>
      <c r="Z278" s="132">
        <f t="shared" ref="Z278:AC278" si="552">C278-1000</f>
        <v>-1000</v>
      </c>
      <c r="AA278" s="132">
        <f t="shared" si="552"/>
        <v>-1000</v>
      </c>
      <c r="AB278" s="132">
        <f t="shared" si="552"/>
        <v>-1000</v>
      </c>
      <c r="AC278" s="132">
        <f t="shared" si="552"/>
        <v>-1000</v>
      </c>
      <c r="AD278" s="132">
        <f t="shared" si="4"/>
        <v>-9000</v>
      </c>
      <c r="AE278" s="132">
        <f t="shared" ref="AE278:AS278" si="553">H278-1000</f>
        <v>-1000</v>
      </c>
      <c r="AF278" s="132">
        <f t="shared" si="553"/>
        <v>-1000</v>
      </c>
      <c r="AG278" s="132">
        <f t="shared" si="553"/>
        <v>-1000</v>
      </c>
      <c r="AH278" s="132">
        <f t="shared" si="553"/>
        <v>-1000</v>
      </c>
      <c r="AI278" s="132">
        <f t="shared" si="553"/>
        <v>-1000</v>
      </c>
      <c r="AJ278" s="132">
        <f t="shared" si="553"/>
        <v>-1000</v>
      </c>
      <c r="AK278" s="132">
        <f t="shared" si="553"/>
        <v>-1000</v>
      </c>
      <c r="AL278" s="132">
        <f t="shared" si="553"/>
        <v>-1000</v>
      </c>
      <c r="AM278" s="132">
        <f t="shared" si="553"/>
        <v>-1000</v>
      </c>
      <c r="AN278" s="132">
        <f t="shared" si="553"/>
        <v>-1000</v>
      </c>
      <c r="AO278" s="132">
        <f t="shared" si="553"/>
        <v>-1000</v>
      </c>
      <c r="AP278" s="132">
        <f t="shared" si="553"/>
        <v>-1000</v>
      </c>
      <c r="AQ278" s="132">
        <f t="shared" si="553"/>
        <v>-1000</v>
      </c>
      <c r="AR278" s="132">
        <f t="shared" si="553"/>
        <v>-1000</v>
      </c>
      <c r="AS278" s="132">
        <f t="shared" si="553"/>
        <v>-1000</v>
      </c>
    </row>
    <row r="279">
      <c r="A279" s="132" t="s">
        <v>3781</v>
      </c>
      <c r="B279" s="132">
        <v>1000.0</v>
      </c>
      <c r="C279" s="132">
        <v>0.0</v>
      </c>
      <c r="D279" s="132">
        <v>0.0</v>
      </c>
      <c r="E279" s="132">
        <v>0.0</v>
      </c>
      <c r="F279" s="132">
        <v>0.0</v>
      </c>
      <c r="G279" s="132">
        <v>1000.0</v>
      </c>
      <c r="H279" s="132">
        <v>0.0</v>
      </c>
      <c r="I279" s="132">
        <v>0.0</v>
      </c>
      <c r="J279" s="132">
        <v>0.0</v>
      </c>
      <c r="K279" s="132">
        <v>0.0</v>
      </c>
      <c r="L279" s="132">
        <v>0.0</v>
      </c>
      <c r="M279" s="132">
        <v>0.0</v>
      </c>
      <c r="N279" s="132">
        <v>0.0</v>
      </c>
      <c r="O279" s="132">
        <v>0.0</v>
      </c>
      <c r="P279" s="132">
        <v>0.0</v>
      </c>
      <c r="Q279" s="132">
        <v>0.0</v>
      </c>
      <c r="R279" s="132">
        <v>0.0</v>
      </c>
      <c r="S279" s="132">
        <v>0.0</v>
      </c>
      <c r="T279" s="132">
        <v>0.0</v>
      </c>
      <c r="U279" s="132">
        <v>0.0</v>
      </c>
      <c r="V279" s="132">
        <v>0.0</v>
      </c>
      <c r="W279" s="132">
        <v>0.0</v>
      </c>
      <c r="Y279" s="132" t="s">
        <v>3781</v>
      </c>
      <c r="Z279" s="132">
        <f t="shared" ref="Z279:AC279" si="554">C279-1000</f>
        <v>-1000</v>
      </c>
      <c r="AA279" s="132">
        <f t="shared" si="554"/>
        <v>-1000</v>
      </c>
      <c r="AB279" s="132">
        <f t="shared" si="554"/>
        <v>-1000</v>
      </c>
      <c r="AC279" s="132">
        <f t="shared" si="554"/>
        <v>-1000</v>
      </c>
      <c r="AD279" s="132">
        <f t="shared" si="4"/>
        <v>-9000</v>
      </c>
      <c r="AE279" s="132">
        <f t="shared" ref="AE279:AS279" si="555">H279-1000</f>
        <v>-1000</v>
      </c>
      <c r="AF279" s="132">
        <f t="shared" si="555"/>
        <v>-1000</v>
      </c>
      <c r="AG279" s="132">
        <f t="shared" si="555"/>
        <v>-1000</v>
      </c>
      <c r="AH279" s="132">
        <f t="shared" si="555"/>
        <v>-1000</v>
      </c>
      <c r="AI279" s="132">
        <f t="shared" si="555"/>
        <v>-1000</v>
      </c>
      <c r="AJ279" s="132">
        <f t="shared" si="555"/>
        <v>-1000</v>
      </c>
      <c r="AK279" s="132">
        <f t="shared" si="555"/>
        <v>-1000</v>
      </c>
      <c r="AL279" s="132">
        <f t="shared" si="555"/>
        <v>-1000</v>
      </c>
      <c r="AM279" s="132">
        <f t="shared" si="555"/>
        <v>-1000</v>
      </c>
      <c r="AN279" s="132">
        <f t="shared" si="555"/>
        <v>-1000</v>
      </c>
      <c r="AO279" s="132">
        <f t="shared" si="555"/>
        <v>-1000</v>
      </c>
      <c r="AP279" s="132">
        <f t="shared" si="555"/>
        <v>-1000</v>
      </c>
      <c r="AQ279" s="132">
        <f t="shared" si="555"/>
        <v>-1000</v>
      </c>
      <c r="AR279" s="132">
        <f t="shared" si="555"/>
        <v>-1000</v>
      </c>
      <c r="AS279" s="132">
        <f t="shared" si="555"/>
        <v>-1000</v>
      </c>
    </row>
    <row r="280">
      <c r="A280" s="132" t="s">
        <v>3782</v>
      </c>
      <c r="B280" s="132">
        <v>500.0</v>
      </c>
      <c r="C280" s="132">
        <v>0.0</v>
      </c>
      <c r="D280" s="132">
        <v>0.0</v>
      </c>
      <c r="E280" s="132">
        <v>0.0</v>
      </c>
      <c r="F280" s="132">
        <v>0.0</v>
      </c>
      <c r="G280" s="132">
        <v>500.0</v>
      </c>
      <c r="H280" s="132">
        <v>0.0</v>
      </c>
      <c r="I280" s="132">
        <v>0.0</v>
      </c>
      <c r="J280" s="132">
        <v>0.0</v>
      </c>
      <c r="K280" s="132">
        <v>0.0</v>
      </c>
      <c r="L280" s="132">
        <v>0.0</v>
      </c>
      <c r="M280" s="132">
        <v>0.0</v>
      </c>
      <c r="N280" s="132">
        <v>0.0</v>
      </c>
      <c r="O280" s="132">
        <v>0.0</v>
      </c>
      <c r="P280" s="132">
        <v>0.0</v>
      </c>
      <c r="Q280" s="132">
        <v>0.0</v>
      </c>
      <c r="R280" s="132">
        <v>0.0</v>
      </c>
      <c r="S280" s="132">
        <v>0.0</v>
      </c>
      <c r="T280" s="132">
        <v>0.0</v>
      </c>
      <c r="U280" s="132">
        <v>0.0</v>
      </c>
      <c r="V280" s="132">
        <v>0.0</v>
      </c>
      <c r="W280" s="132">
        <v>0.0</v>
      </c>
      <c r="Y280" s="132" t="s">
        <v>3782</v>
      </c>
      <c r="Z280" s="132">
        <f t="shared" ref="Z280:AC280" si="556">C280-1000</f>
        <v>-1000</v>
      </c>
      <c r="AA280" s="132">
        <f t="shared" si="556"/>
        <v>-1000</v>
      </c>
      <c r="AB280" s="132">
        <f t="shared" si="556"/>
        <v>-1000</v>
      </c>
      <c r="AC280" s="132">
        <f t="shared" si="556"/>
        <v>-1000</v>
      </c>
      <c r="AD280" s="132">
        <f t="shared" si="4"/>
        <v>-9500</v>
      </c>
      <c r="AE280" s="132">
        <f t="shared" ref="AE280:AS280" si="557">H280-1000</f>
        <v>-1000</v>
      </c>
      <c r="AF280" s="132">
        <f t="shared" si="557"/>
        <v>-1000</v>
      </c>
      <c r="AG280" s="132">
        <f t="shared" si="557"/>
        <v>-1000</v>
      </c>
      <c r="AH280" s="132">
        <f t="shared" si="557"/>
        <v>-1000</v>
      </c>
      <c r="AI280" s="132">
        <f t="shared" si="557"/>
        <v>-1000</v>
      </c>
      <c r="AJ280" s="132">
        <f t="shared" si="557"/>
        <v>-1000</v>
      </c>
      <c r="AK280" s="132">
        <f t="shared" si="557"/>
        <v>-1000</v>
      </c>
      <c r="AL280" s="132">
        <f t="shared" si="557"/>
        <v>-1000</v>
      </c>
      <c r="AM280" s="132">
        <f t="shared" si="557"/>
        <v>-1000</v>
      </c>
      <c r="AN280" s="132">
        <f t="shared" si="557"/>
        <v>-1000</v>
      </c>
      <c r="AO280" s="132">
        <f t="shared" si="557"/>
        <v>-1000</v>
      </c>
      <c r="AP280" s="132">
        <f t="shared" si="557"/>
        <v>-1000</v>
      </c>
      <c r="AQ280" s="132">
        <f t="shared" si="557"/>
        <v>-1000</v>
      </c>
      <c r="AR280" s="132">
        <f t="shared" si="557"/>
        <v>-1000</v>
      </c>
      <c r="AS280" s="132">
        <f t="shared" si="557"/>
        <v>-1000</v>
      </c>
    </row>
    <row r="281">
      <c r="A281" s="132" t="s">
        <v>3783</v>
      </c>
      <c r="B281" s="132">
        <v>500.0</v>
      </c>
      <c r="C281" s="132">
        <v>0.0</v>
      </c>
      <c r="D281" s="132">
        <v>0.0</v>
      </c>
      <c r="E281" s="132">
        <v>0.0</v>
      </c>
      <c r="F281" s="132">
        <v>0.0</v>
      </c>
      <c r="G281" s="132">
        <v>500.0</v>
      </c>
      <c r="H281" s="132">
        <v>0.0</v>
      </c>
      <c r="I281" s="132">
        <v>0.0</v>
      </c>
      <c r="J281" s="132">
        <v>0.0</v>
      </c>
      <c r="K281" s="132">
        <v>0.0</v>
      </c>
      <c r="L281" s="132">
        <v>0.0</v>
      </c>
      <c r="M281" s="132">
        <v>0.0</v>
      </c>
      <c r="N281" s="132">
        <v>0.0</v>
      </c>
      <c r="O281" s="132">
        <v>0.0</v>
      </c>
      <c r="P281" s="132">
        <v>0.0</v>
      </c>
      <c r="Q281" s="132">
        <v>0.0</v>
      </c>
      <c r="R281" s="132">
        <v>0.0</v>
      </c>
      <c r="S281" s="132">
        <v>0.0</v>
      </c>
      <c r="T281" s="132">
        <v>0.0</v>
      </c>
      <c r="U281" s="132">
        <v>0.0</v>
      </c>
      <c r="V281" s="132">
        <v>0.0</v>
      </c>
      <c r="W281" s="132">
        <v>0.0</v>
      </c>
      <c r="Y281" s="132" t="s">
        <v>3783</v>
      </c>
      <c r="Z281" s="132">
        <f t="shared" ref="Z281:AC281" si="558">C281-1000</f>
        <v>-1000</v>
      </c>
      <c r="AA281" s="132">
        <f t="shared" si="558"/>
        <v>-1000</v>
      </c>
      <c r="AB281" s="132">
        <f t="shared" si="558"/>
        <v>-1000</v>
      </c>
      <c r="AC281" s="132">
        <f t="shared" si="558"/>
        <v>-1000</v>
      </c>
      <c r="AD281" s="132">
        <f t="shared" si="4"/>
        <v>-9500</v>
      </c>
      <c r="AE281" s="132">
        <f t="shared" ref="AE281:AS281" si="559">H281-1000</f>
        <v>-1000</v>
      </c>
      <c r="AF281" s="132">
        <f t="shared" si="559"/>
        <v>-1000</v>
      </c>
      <c r="AG281" s="132">
        <f t="shared" si="559"/>
        <v>-1000</v>
      </c>
      <c r="AH281" s="132">
        <f t="shared" si="559"/>
        <v>-1000</v>
      </c>
      <c r="AI281" s="132">
        <f t="shared" si="559"/>
        <v>-1000</v>
      </c>
      <c r="AJ281" s="132">
        <f t="shared" si="559"/>
        <v>-1000</v>
      </c>
      <c r="AK281" s="132">
        <f t="shared" si="559"/>
        <v>-1000</v>
      </c>
      <c r="AL281" s="132">
        <f t="shared" si="559"/>
        <v>-1000</v>
      </c>
      <c r="AM281" s="132">
        <f t="shared" si="559"/>
        <v>-1000</v>
      </c>
      <c r="AN281" s="132">
        <f t="shared" si="559"/>
        <v>-1000</v>
      </c>
      <c r="AO281" s="132">
        <f t="shared" si="559"/>
        <v>-1000</v>
      </c>
      <c r="AP281" s="132">
        <f t="shared" si="559"/>
        <v>-1000</v>
      </c>
      <c r="AQ281" s="132">
        <f t="shared" si="559"/>
        <v>-1000</v>
      </c>
      <c r="AR281" s="132">
        <f t="shared" si="559"/>
        <v>-1000</v>
      </c>
      <c r="AS281" s="132">
        <f t="shared" si="559"/>
        <v>-1000</v>
      </c>
    </row>
    <row r="282">
      <c r="A282" s="132" t="s">
        <v>3784</v>
      </c>
      <c r="B282" s="132">
        <v>500.0</v>
      </c>
      <c r="C282" s="132">
        <v>0.0</v>
      </c>
      <c r="D282" s="132">
        <v>0.0</v>
      </c>
      <c r="E282" s="132">
        <v>0.0</v>
      </c>
      <c r="F282" s="132">
        <v>0.0</v>
      </c>
      <c r="G282" s="132">
        <v>500.0</v>
      </c>
      <c r="H282" s="132">
        <v>0.0</v>
      </c>
      <c r="I282" s="132">
        <v>0.0</v>
      </c>
      <c r="J282" s="132">
        <v>0.0</v>
      </c>
      <c r="K282" s="132">
        <v>0.0</v>
      </c>
      <c r="L282" s="132">
        <v>0.0</v>
      </c>
      <c r="M282" s="132">
        <v>0.0</v>
      </c>
      <c r="N282" s="132">
        <v>0.0</v>
      </c>
      <c r="O282" s="132">
        <v>0.0</v>
      </c>
      <c r="P282" s="132">
        <v>0.0</v>
      </c>
      <c r="Q282" s="132">
        <v>0.0</v>
      </c>
      <c r="R282" s="132">
        <v>0.0</v>
      </c>
      <c r="S282" s="132">
        <v>0.0</v>
      </c>
      <c r="T282" s="132">
        <v>0.0</v>
      </c>
      <c r="U282" s="132">
        <v>0.0</v>
      </c>
      <c r="V282" s="132">
        <v>0.0</v>
      </c>
      <c r="W282" s="132">
        <v>0.0</v>
      </c>
      <c r="Y282" s="132" t="s">
        <v>3784</v>
      </c>
      <c r="Z282" s="132">
        <f t="shared" ref="Z282:AC282" si="560">C282-1000</f>
        <v>-1000</v>
      </c>
      <c r="AA282" s="132">
        <f t="shared" si="560"/>
        <v>-1000</v>
      </c>
      <c r="AB282" s="132">
        <f t="shared" si="560"/>
        <v>-1000</v>
      </c>
      <c r="AC282" s="132">
        <f t="shared" si="560"/>
        <v>-1000</v>
      </c>
      <c r="AD282" s="132">
        <f t="shared" si="4"/>
        <v>-9500</v>
      </c>
      <c r="AE282" s="132">
        <f t="shared" ref="AE282:AS282" si="561">H282-1000</f>
        <v>-1000</v>
      </c>
      <c r="AF282" s="132">
        <f t="shared" si="561"/>
        <v>-1000</v>
      </c>
      <c r="AG282" s="132">
        <f t="shared" si="561"/>
        <v>-1000</v>
      </c>
      <c r="AH282" s="132">
        <f t="shared" si="561"/>
        <v>-1000</v>
      </c>
      <c r="AI282" s="132">
        <f t="shared" si="561"/>
        <v>-1000</v>
      </c>
      <c r="AJ282" s="132">
        <f t="shared" si="561"/>
        <v>-1000</v>
      </c>
      <c r="AK282" s="132">
        <f t="shared" si="561"/>
        <v>-1000</v>
      </c>
      <c r="AL282" s="132">
        <f t="shared" si="561"/>
        <v>-1000</v>
      </c>
      <c r="AM282" s="132">
        <f t="shared" si="561"/>
        <v>-1000</v>
      </c>
      <c r="AN282" s="132">
        <f t="shared" si="561"/>
        <v>-1000</v>
      </c>
      <c r="AO282" s="132">
        <f t="shared" si="561"/>
        <v>-1000</v>
      </c>
      <c r="AP282" s="132">
        <f t="shared" si="561"/>
        <v>-1000</v>
      </c>
      <c r="AQ282" s="132">
        <f t="shared" si="561"/>
        <v>-1000</v>
      </c>
      <c r="AR282" s="132">
        <f t="shared" si="561"/>
        <v>-1000</v>
      </c>
      <c r="AS282" s="132">
        <f t="shared" si="561"/>
        <v>-1000</v>
      </c>
    </row>
    <row r="283">
      <c r="A283" s="132" t="s">
        <v>3785</v>
      </c>
      <c r="B283" s="132">
        <v>8500.0</v>
      </c>
      <c r="C283" s="132">
        <v>1000.0</v>
      </c>
      <c r="D283" s="132">
        <v>0.0</v>
      </c>
      <c r="E283" s="132">
        <v>0.0</v>
      </c>
      <c r="F283" s="132">
        <v>0.0</v>
      </c>
      <c r="G283" s="132">
        <v>7500.0</v>
      </c>
      <c r="H283" s="132">
        <v>0.0</v>
      </c>
      <c r="I283" s="132">
        <v>0.0</v>
      </c>
      <c r="J283" s="132">
        <v>0.0</v>
      </c>
      <c r="K283" s="132">
        <v>0.0</v>
      </c>
      <c r="L283" s="132">
        <v>0.0</v>
      </c>
      <c r="M283" s="132">
        <v>0.0</v>
      </c>
      <c r="N283" s="132">
        <v>0.0</v>
      </c>
      <c r="O283" s="132">
        <v>0.0</v>
      </c>
      <c r="P283" s="132">
        <v>0.0</v>
      </c>
      <c r="Q283" s="132">
        <v>0.0</v>
      </c>
      <c r="R283" s="132">
        <v>0.0</v>
      </c>
      <c r="S283" s="132">
        <v>0.0</v>
      </c>
      <c r="T283" s="132">
        <v>0.0</v>
      </c>
      <c r="U283" s="132">
        <v>0.0</v>
      </c>
      <c r="V283" s="132">
        <v>0.0</v>
      </c>
      <c r="W283" s="132">
        <v>0.0</v>
      </c>
      <c r="Y283" s="132" t="s">
        <v>3785</v>
      </c>
      <c r="Z283" s="132">
        <f t="shared" ref="Z283:AC283" si="562">C283-1000</f>
        <v>0</v>
      </c>
      <c r="AA283" s="132">
        <f t="shared" si="562"/>
        <v>-1000</v>
      </c>
      <c r="AB283" s="132">
        <f t="shared" si="562"/>
        <v>-1000</v>
      </c>
      <c r="AC283" s="132">
        <f t="shared" si="562"/>
        <v>-1000</v>
      </c>
      <c r="AD283" s="132">
        <f t="shared" si="4"/>
        <v>-2500</v>
      </c>
      <c r="AE283" s="132">
        <f t="shared" ref="AE283:AS283" si="563">H283-1000</f>
        <v>-1000</v>
      </c>
      <c r="AF283" s="132">
        <f t="shared" si="563"/>
        <v>-1000</v>
      </c>
      <c r="AG283" s="132">
        <f t="shared" si="563"/>
        <v>-1000</v>
      </c>
      <c r="AH283" s="132">
        <f t="shared" si="563"/>
        <v>-1000</v>
      </c>
      <c r="AI283" s="132">
        <f t="shared" si="563"/>
        <v>-1000</v>
      </c>
      <c r="AJ283" s="132">
        <f t="shared" si="563"/>
        <v>-1000</v>
      </c>
      <c r="AK283" s="132">
        <f t="shared" si="563"/>
        <v>-1000</v>
      </c>
      <c r="AL283" s="132">
        <f t="shared" si="563"/>
        <v>-1000</v>
      </c>
      <c r="AM283" s="132">
        <f t="shared" si="563"/>
        <v>-1000</v>
      </c>
      <c r="AN283" s="132">
        <f t="shared" si="563"/>
        <v>-1000</v>
      </c>
      <c r="AO283" s="132">
        <f t="shared" si="563"/>
        <v>-1000</v>
      </c>
      <c r="AP283" s="132">
        <f t="shared" si="563"/>
        <v>-1000</v>
      </c>
      <c r="AQ283" s="132">
        <f t="shared" si="563"/>
        <v>-1000</v>
      </c>
      <c r="AR283" s="132">
        <f t="shared" si="563"/>
        <v>-1000</v>
      </c>
      <c r="AS283" s="132">
        <f t="shared" si="563"/>
        <v>-1000</v>
      </c>
    </row>
    <row r="284">
      <c r="A284" s="132" t="s">
        <v>3786</v>
      </c>
      <c r="B284" s="132">
        <v>250.0</v>
      </c>
      <c r="C284" s="132">
        <v>0.0</v>
      </c>
      <c r="D284" s="132">
        <v>0.0</v>
      </c>
      <c r="E284" s="132">
        <v>0.0</v>
      </c>
      <c r="F284" s="132">
        <v>0.0</v>
      </c>
      <c r="G284" s="132">
        <v>250.0</v>
      </c>
      <c r="H284" s="132">
        <v>0.0</v>
      </c>
      <c r="I284" s="132">
        <v>0.0</v>
      </c>
      <c r="J284" s="132">
        <v>0.0</v>
      </c>
      <c r="K284" s="132">
        <v>0.0</v>
      </c>
      <c r="L284" s="132">
        <v>0.0</v>
      </c>
      <c r="M284" s="132">
        <v>0.0</v>
      </c>
      <c r="N284" s="132">
        <v>0.0</v>
      </c>
      <c r="O284" s="132">
        <v>0.0</v>
      </c>
      <c r="P284" s="132">
        <v>0.0</v>
      </c>
      <c r="Q284" s="132">
        <v>0.0</v>
      </c>
      <c r="R284" s="132">
        <v>0.0</v>
      </c>
      <c r="S284" s="132">
        <v>0.0</v>
      </c>
      <c r="T284" s="132">
        <v>0.0</v>
      </c>
      <c r="U284" s="132">
        <v>0.0</v>
      </c>
      <c r="V284" s="132">
        <v>0.0</v>
      </c>
      <c r="W284" s="132">
        <v>0.0</v>
      </c>
      <c r="Y284" s="132" t="s">
        <v>3786</v>
      </c>
      <c r="Z284" s="132">
        <f t="shared" ref="Z284:AC284" si="564">C284-1000</f>
        <v>-1000</v>
      </c>
      <c r="AA284" s="132">
        <f t="shared" si="564"/>
        <v>-1000</v>
      </c>
      <c r="AB284" s="132">
        <f t="shared" si="564"/>
        <v>-1000</v>
      </c>
      <c r="AC284" s="132">
        <f t="shared" si="564"/>
        <v>-1000</v>
      </c>
      <c r="AD284" s="132">
        <f t="shared" si="4"/>
        <v>-9750</v>
      </c>
      <c r="AE284" s="132">
        <f t="shared" ref="AE284:AS284" si="565">H284-1000</f>
        <v>-1000</v>
      </c>
      <c r="AF284" s="132">
        <f t="shared" si="565"/>
        <v>-1000</v>
      </c>
      <c r="AG284" s="132">
        <f t="shared" si="565"/>
        <v>-1000</v>
      </c>
      <c r="AH284" s="132">
        <f t="shared" si="565"/>
        <v>-1000</v>
      </c>
      <c r="AI284" s="132">
        <f t="shared" si="565"/>
        <v>-1000</v>
      </c>
      <c r="AJ284" s="132">
        <f t="shared" si="565"/>
        <v>-1000</v>
      </c>
      <c r="AK284" s="132">
        <f t="shared" si="565"/>
        <v>-1000</v>
      </c>
      <c r="AL284" s="132">
        <f t="shared" si="565"/>
        <v>-1000</v>
      </c>
      <c r="AM284" s="132">
        <f t="shared" si="565"/>
        <v>-1000</v>
      </c>
      <c r="AN284" s="132">
        <f t="shared" si="565"/>
        <v>-1000</v>
      </c>
      <c r="AO284" s="132">
        <f t="shared" si="565"/>
        <v>-1000</v>
      </c>
      <c r="AP284" s="132">
        <f t="shared" si="565"/>
        <v>-1000</v>
      </c>
      <c r="AQ284" s="132">
        <f t="shared" si="565"/>
        <v>-1000</v>
      </c>
      <c r="AR284" s="132">
        <f t="shared" si="565"/>
        <v>-1000</v>
      </c>
      <c r="AS284" s="132">
        <f t="shared" si="565"/>
        <v>-1000</v>
      </c>
    </row>
    <row r="285">
      <c r="A285" s="132" t="s">
        <v>3787</v>
      </c>
      <c r="B285" s="132">
        <v>1000.0</v>
      </c>
      <c r="C285" s="132">
        <v>0.0</v>
      </c>
      <c r="D285" s="132">
        <v>0.0</v>
      </c>
      <c r="E285" s="132">
        <v>0.0</v>
      </c>
      <c r="F285" s="132">
        <v>0.0</v>
      </c>
      <c r="G285" s="132">
        <v>1000.0</v>
      </c>
      <c r="H285" s="132">
        <v>0.0</v>
      </c>
      <c r="I285" s="132">
        <v>0.0</v>
      </c>
      <c r="J285" s="132">
        <v>0.0</v>
      </c>
      <c r="K285" s="132">
        <v>0.0</v>
      </c>
      <c r="L285" s="132">
        <v>0.0</v>
      </c>
      <c r="M285" s="132">
        <v>0.0</v>
      </c>
      <c r="N285" s="132">
        <v>0.0</v>
      </c>
      <c r="O285" s="132">
        <v>0.0</v>
      </c>
      <c r="P285" s="132">
        <v>0.0</v>
      </c>
      <c r="Q285" s="132">
        <v>0.0</v>
      </c>
      <c r="R285" s="132">
        <v>0.0</v>
      </c>
      <c r="S285" s="132">
        <v>0.0</v>
      </c>
      <c r="T285" s="132">
        <v>0.0</v>
      </c>
      <c r="U285" s="132">
        <v>0.0</v>
      </c>
      <c r="V285" s="132">
        <v>0.0</v>
      </c>
      <c r="W285" s="132">
        <v>0.0</v>
      </c>
      <c r="Y285" s="132" t="s">
        <v>3787</v>
      </c>
      <c r="Z285" s="132">
        <f t="shared" ref="Z285:AC285" si="566">C285-1000</f>
        <v>-1000</v>
      </c>
      <c r="AA285" s="132">
        <f t="shared" si="566"/>
        <v>-1000</v>
      </c>
      <c r="AB285" s="132">
        <f t="shared" si="566"/>
        <v>-1000</v>
      </c>
      <c r="AC285" s="132">
        <f t="shared" si="566"/>
        <v>-1000</v>
      </c>
      <c r="AD285" s="132">
        <f t="shared" si="4"/>
        <v>-9000</v>
      </c>
      <c r="AE285" s="132">
        <f t="shared" ref="AE285:AS285" si="567">H285-1000</f>
        <v>-1000</v>
      </c>
      <c r="AF285" s="132">
        <f t="shared" si="567"/>
        <v>-1000</v>
      </c>
      <c r="AG285" s="132">
        <f t="shared" si="567"/>
        <v>-1000</v>
      </c>
      <c r="AH285" s="132">
        <f t="shared" si="567"/>
        <v>-1000</v>
      </c>
      <c r="AI285" s="132">
        <f t="shared" si="567"/>
        <v>-1000</v>
      </c>
      <c r="AJ285" s="132">
        <f t="shared" si="567"/>
        <v>-1000</v>
      </c>
      <c r="AK285" s="132">
        <f t="shared" si="567"/>
        <v>-1000</v>
      </c>
      <c r="AL285" s="132">
        <f t="shared" si="567"/>
        <v>-1000</v>
      </c>
      <c r="AM285" s="132">
        <f t="shared" si="567"/>
        <v>-1000</v>
      </c>
      <c r="AN285" s="132">
        <f t="shared" si="567"/>
        <v>-1000</v>
      </c>
      <c r="AO285" s="132">
        <f t="shared" si="567"/>
        <v>-1000</v>
      </c>
      <c r="AP285" s="132">
        <f t="shared" si="567"/>
        <v>-1000</v>
      </c>
      <c r="AQ285" s="132">
        <f t="shared" si="567"/>
        <v>-1000</v>
      </c>
      <c r="AR285" s="132">
        <f t="shared" si="567"/>
        <v>-1000</v>
      </c>
      <c r="AS285" s="132">
        <f t="shared" si="567"/>
        <v>-1000</v>
      </c>
    </row>
    <row r="286">
      <c r="A286" s="132" t="s">
        <v>3788</v>
      </c>
      <c r="B286" s="132">
        <v>250.0</v>
      </c>
      <c r="C286" s="132">
        <v>0.0</v>
      </c>
      <c r="D286" s="132">
        <v>0.0</v>
      </c>
      <c r="E286" s="132">
        <v>0.0</v>
      </c>
      <c r="F286" s="132">
        <v>0.0</v>
      </c>
      <c r="G286" s="132">
        <v>250.0</v>
      </c>
      <c r="H286" s="132">
        <v>0.0</v>
      </c>
      <c r="I286" s="132">
        <v>0.0</v>
      </c>
      <c r="J286" s="132">
        <v>0.0</v>
      </c>
      <c r="K286" s="132">
        <v>0.0</v>
      </c>
      <c r="L286" s="132">
        <v>0.0</v>
      </c>
      <c r="M286" s="132">
        <v>0.0</v>
      </c>
      <c r="N286" s="132">
        <v>0.0</v>
      </c>
      <c r="O286" s="132">
        <v>0.0</v>
      </c>
      <c r="P286" s="132">
        <v>0.0</v>
      </c>
      <c r="Q286" s="132">
        <v>0.0</v>
      </c>
      <c r="R286" s="132">
        <v>0.0</v>
      </c>
      <c r="S286" s="132">
        <v>0.0</v>
      </c>
      <c r="T286" s="132">
        <v>0.0</v>
      </c>
      <c r="U286" s="132">
        <v>0.0</v>
      </c>
      <c r="V286" s="132">
        <v>0.0</v>
      </c>
      <c r="W286" s="132">
        <v>0.0</v>
      </c>
      <c r="Y286" s="132" t="s">
        <v>3788</v>
      </c>
      <c r="Z286" s="132">
        <f t="shared" ref="Z286:AC286" si="568">C286-1000</f>
        <v>-1000</v>
      </c>
      <c r="AA286" s="132">
        <f t="shared" si="568"/>
        <v>-1000</v>
      </c>
      <c r="AB286" s="132">
        <f t="shared" si="568"/>
        <v>-1000</v>
      </c>
      <c r="AC286" s="132">
        <f t="shared" si="568"/>
        <v>-1000</v>
      </c>
      <c r="AD286" s="132">
        <f t="shared" si="4"/>
        <v>-9750</v>
      </c>
      <c r="AE286" s="132">
        <f t="shared" ref="AE286:AS286" si="569">H286-1000</f>
        <v>-1000</v>
      </c>
      <c r="AF286" s="132">
        <f t="shared" si="569"/>
        <v>-1000</v>
      </c>
      <c r="AG286" s="132">
        <f t="shared" si="569"/>
        <v>-1000</v>
      </c>
      <c r="AH286" s="132">
        <f t="shared" si="569"/>
        <v>-1000</v>
      </c>
      <c r="AI286" s="132">
        <f t="shared" si="569"/>
        <v>-1000</v>
      </c>
      <c r="AJ286" s="132">
        <f t="shared" si="569"/>
        <v>-1000</v>
      </c>
      <c r="AK286" s="132">
        <f t="shared" si="569"/>
        <v>-1000</v>
      </c>
      <c r="AL286" s="132">
        <f t="shared" si="569"/>
        <v>-1000</v>
      </c>
      <c r="AM286" s="132">
        <f t="shared" si="569"/>
        <v>-1000</v>
      </c>
      <c r="AN286" s="132">
        <f t="shared" si="569"/>
        <v>-1000</v>
      </c>
      <c r="AO286" s="132">
        <f t="shared" si="569"/>
        <v>-1000</v>
      </c>
      <c r="AP286" s="132">
        <f t="shared" si="569"/>
        <v>-1000</v>
      </c>
      <c r="AQ286" s="132">
        <f t="shared" si="569"/>
        <v>-1000</v>
      </c>
      <c r="AR286" s="132">
        <f t="shared" si="569"/>
        <v>-1000</v>
      </c>
      <c r="AS286" s="132">
        <f t="shared" si="569"/>
        <v>-1000</v>
      </c>
    </row>
    <row r="287">
      <c r="A287" s="132" t="s">
        <v>3789</v>
      </c>
      <c r="B287" s="132">
        <v>250.0</v>
      </c>
      <c r="C287" s="132">
        <v>0.0</v>
      </c>
      <c r="D287" s="132">
        <v>0.0</v>
      </c>
      <c r="E287" s="132">
        <v>0.0</v>
      </c>
      <c r="F287" s="132">
        <v>0.0</v>
      </c>
      <c r="G287" s="132">
        <v>250.0</v>
      </c>
      <c r="H287" s="132">
        <v>0.0</v>
      </c>
      <c r="I287" s="132">
        <v>0.0</v>
      </c>
      <c r="J287" s="132">
        <v>0.0</v>
      </c>
      <c r="K287" s="132">
        <v>0.0</v>
      </c>
      <c r="L287" s="132">
        <v>0.0</v>
      </c>
      <c r="M287" s="132">
        <v>0.0</v>
      </c>
      <c r="N287" s="132">
        <v>0.0</v>
      </c>
      <c r="O287" s="132">
        <v>0.0</v>
      </c>
      <c r="P287" s="132">
        <v>0.0</v>
      </c>
      <c r="Q287" s="132">
        <v>0.0</v>
      </c>
      <c r="R287" s="132">
        <v>0.0</v>
      </c>
      <c r="S287" s="132">
        <v>0.0</v>
      </c>
      <c r="T287" s="132">
        <v>0.0</v>
      </c>
      <c r="U287" s="132">
        <v>0.0</v>
      </c>
      <c r="V287" s="132">
        <v>0.0</v>
      </c>
      <c r="W287" s="132">
        <v>0.0</v>
      </c>
      <c r="Y287" s="132" t="s">
        <v>3789</v>
      </c>
      <c r="Z287" s="132">
        <f t="shared" ref="Z287:AC287" si="570">C287-1000</f>
        <v>-1000</v>
      </c>
      <c r="AA287" s="132">
        <f t="shared" si="570"/>
        <v>-1000</v>
      </c>
      <c r="AB287" s="132">
        <f t="shared" si="570"/>
        <v>-1000</v>
      </c>
      <c r="AC287" s="132">
        <f t="shared" si="570"/>
        <v>-1000</v>
      </c>
      <c r="AD287" s="132">
        <f t="shared" si="4"/>
        <v>-9750</v>
      </c>
      <c r="AE287" s="132">
        <f t="shared" ref="AE287:AS287" si="571">H287-1000</f>
        <v>-1000</v>
      </c>
      <c r="AF287" s="132">
        <f t="shared" si="571"/>
        <v>-1000</v>
      </c>
      <c r="AG287" s="132">
        <f t="shared" si="571"/>
        <v>-1000</v>
      </c>
      <c r="AH287" s="132">
        <f t="shared" si="571"/>
        <v>-1000</v>
      </c>
      <c r="AI287" s="132">
        <f t="shared" si="571"/>
        <v>-1000</v>
      </c>
      <c r="AJ287" s="132">
        <f t="shared" si="571"/>
        <v>-1000</v>
      </c>
      <c r="AK287" s="132">
        <f t="shared" si="571"/>
        <v>-1000</v>
      </c>
      <c r="AL287" s="132">
        <f t="shared" si="571"/>
        <v>-1000</v>
      </c>
      <c r="AM287" s="132">
        <f t="shared" si="571"/>
        <v>-1000</v>
      </c>
      <c r="AN287" s="132">
        <f t="shared" si="571"/>
        <v>-1000</v>
      </c>
      <c r="AO287" s="132">
        <f t="shared" si="571"/>
        <v>-1000</v>
      </c>
      <c r="AP287" s="132">
        <f t="shared" si="571"/>
        <v>-1000</v>
      </c>
      <c r="AQ287" s="132">
        <f t="shared" si="571"/>
        <v>-1000</v>
      </c>
      <c r="AR287" s="132">
        <f t="shared" si="571"/>
        <v>-1000</v>
      </c>
      <c r="AS287" s="132">
        <f t="shared" si="571"/>
        <v>-1000</v>
      </c>
    </row>
    <row r="288">
      <c r="A288" s="132" t="s">
        <v>3790</v>
      </c>
      <c r="B288" s="132">
        <v>500.0</v>
      </c>
      <c r="C288" s="132">
        <v>0.0</v>
      </c>
      <c r="D288" s="132">
        <v>0.0</v>
      </c>
      <c r="E288" s="132">
        <v>0.0</v>
      </c>
      <c r="F288" s="132">
        <v>0.0</v>
      </c>
      <c r="G288" s="132">
        <v>500.0</v>
      </c>
      <c r="H288" s="132">
        <v>0.0</v>
      </c>
      <c r="I288" s="132">
        <v>0.0</v>
      </c>
      <c r="J288" s="132">
        <v>0.0</v>
      </c>
      <c r="K288" s="132">
        <v>0.0</v>
      </c>
      <c r="L288" s="132">
        <v>0.0</v>
      </c>
      <c r="M288" s="132">
        <v>0.0</v>
      </c>
      <c r="N288" s="132">
        <v>0.0</v>
      </c>
      <c r="O288" s="132">
        <v>0.0</v>
      </c>
      <c r="P288" s="132">
        <v>0.0</v>
      </c>
      <c r="Q288" s="132">
        <v>0.0</v>
      </c>
      <c r="R288" s="132">
        <v>0.0</v>
      </c>
      <c r="S288" s="132">
        <v>0.0</v>
      </c>
      <c r="T288" s="132">
        <v>0.0</v>
      </c>
      <c r="U288" s="132">
        <v>0.0</v>
      </c>
      <c r="V288" s="132">
        <v>0.0</v>
      </c>
      <c r="W288" s="132">
        <v>0.0</v>
      </c>
      <c r="Y288" s="132" t="s">
        <v>3790</v>
      </c>
      <c r="Z288" s="132">
        <f t="shared" ref="Z288:AC288" si="572">C288-1000</f>
        <v>-1000</v>
      </c>
      <c r="AA288" s="132">
        <f t="shared" si="572"/>
        <v>-1000</v>
      </c>
      <c r="AB288" s="132">
        <f t="shared" si="572"/>
        <v>-1000</v>
      </c>
      <c r="AC288" s="132">
        <f t="shared" si="572"/>
        <v>-1000</v>
      </c>
      <c r="AD288" s="132">
        <f t="shared" si="4"/>
        <v>-9500</v>
      </c>
      <c r="AE288" s="132">
        <f t="shared" ref="AE288:AS288" si="573">H288-1000</f>
        <v>-1000</v>
      </c>
      <c r="AF288" s="132">
        <f t="shared" si="573"/>
        <v>-1000</v>
      </c>
      <c r="AG288" s="132">
        <f t="shared" si="573"/>
        <v>-1000</v>
      </c>
      <c r="AH288" s="132">
        <f t="shared" si="573"/>
        <v>-1000</v>
      </c>
      <c r="AI288" s="132">
        <f t="shared" si="573"/>
        <v>-1000</v>
      </c>
      <c r="AJ288" s="132">
        <f t="shared" si="573"/>
        <v>-1000</v>
      </c>
      <c r="AK288" s="132">
        <f t="shared" si="573"/>
        <v>-1000</v>
      </c>
      <c r="AL288" s="132">
        <f t="shared" si="573"/>
        <v>-1000</v>
      </c>
      <c r="AM288" s="132">
        <f t="shared" si="573"/>
        <v>-1000</v>
      </c>
      <c r="AN288" s="132">
        <f t="shared" si="573"/>
        <v>-1000</v>
      </c>
      <c r="AO288" s="132">
        <f t="shared" si="573"/>
        <v>-1000</v>
      </c>
      <c r="AP288" s="132">
        <f t="shared" si="573"/>
        <v>-1000</v>
      </c>
      <c r="AQ288" s="132">
        <f t="shared" si="573"/>
        <v>-1000</v>
      </c>
      <c r="AR288" s="132">
        <f t="shared" si="573"/>
        <v>-1000</v>
      </c>
      <c r="AS288" s="132">
        <f t="shared" si="573"/>
        <v>-1000</v>
      </c>
    </row>
    <row r="289">
      <c r="A289" s="132" t="s">
        <v>3791</v>
      </c>
      <c r="B289" s="132">
        <v>85.0</v>
      </c>
      <c r="C289" s="132">
        <v>0.0</v>
      </c>
      <c r="D289" s="132">
        <v>0.0</v>
      </c>
      <c r="E289" s="132">
        <v>0.0</v>
      </c>
      <c r="F289" s="132">
        <v>0.0</v>
      </c>
      <c r="G289" s="132">
        <v>85.0</v>
      </c>
      <c r="H289" s="132">
        <v>0.0</v>
      </c>
      <c r="I289" s="132">
        <v>0.0</v>
      </c>
      <c r="J289" s="132">
        <v>0.0</v>
      </c>
      <c r="K289" s="132">
        <v>0.0</v>
      </c>
      <c r="L289" s="132">
        <v>0.0</v>
      </c>
      <c r="M289" s="132">
        <v>0.0</v>
      </c>
      <c r="N289" s="132">
        <v>0.0</v>
      </c>
      <c r="O289" s="132">
        <v>0.0</v>
      </c>
      <c r="P289" s="132">
        <v>0.0</v>
      </c>
      <c r="Q289" s="132">
        <v>0.0</v>
      </c>
      <c r="R289" s="132">
        <v>0.0</v>
      </c>
      <c r="S289" s="132">
        <v>0.0</v>
      </c>
      <c r="T289" s="132">
        <v>0.0</v>
      </c>
      <c r="U289" s="132">
        <v>0.0</v>
      </c>
      <c r="V289" s="132">
        <v>0.0</v>
      </c>
      <c r="W289" s="132">
        <v>1.0</v>
      </c>
      <c r="Y289" s="132" t="s">
        <v>3791</v>
      </c>
      <c r="Z289" s="132">
        <f t="shared" ref="Z289:AC289" si="574">C289-1000</f>
        <v>-1000</v>
      </c>
      <c r="AA289" s="132">
        <f t="shared" si="574"/>
        <v>-1000</v>
      </c>
      <c r="AB289" s="132">
        <f t="shared" si="574"/>
        <v>-1000</v>
      </c>
      <c r="AC289" s="132">
        <f t="shared" si="574"/>
        <v>-1000</v>
      </c>
      <c r="AD289" s="132">
        <f t="shared" si="4"/>
        <v>-9915</v>
      </c>
      <c r="AE289" s="132">
        <f t="shared" ref="AE289:AS289" si="575">H289-1000</f>
        <v>-1000</v>
      </c>
      <c r="AF289" s="132">
        <f t="shared" si="575"/>
        <v>-1000</v>
      </c>
      <c r="AG289" s="132">
        <f t="shared" si="575"/>
        <v>-1000</v>
      </c>
      <c r="AH289" s="132">
        <f t="shared" si="575"/>
        <v>-1000</v>
      </c>
      <c r="AI289" s="132">
        <f t="shared" si="575"/>
        <v>-1000</v>
      </c>
      <c r="AJ289" s="132">
        <f t="shared" si="575"/>
        <v>-1000</v>
      </c>
      <c r="AK289" s="132">
        <f t="shared" si="575"/>
        <v>-1000</v>
      </c>
      <c r="AL289" s="132">
        <f t="shared" si="575"/>
        <v>-1000</v>
      </c>
      <c r="AM289" s="132">
        <f t="shared" si="575"/>
        <v>-1000</v>
      </c>
      <c r="AN289" s="132">
        <f t="shared" si="575"/>
        <v>-1000</v>
      </c>
      <c r="AO289" s="132">
        <f t="shared" si="575"/>
        <v>-1000</v>
      </c>
      <c r="AP289" s="132">
        <f t="shared" si="575"/>
        <v>-1000</v>
      </c>
      <c r="AQ289" s="132">
        <f t="shared" si="575"/>
        <v>-1000</v>
      </c>
      <c r="AR289" s="132">
        <f t="shared" si="575"/>
        <v>-1000</v>
      </c>
      <c r="AS289" s="132">
        <f t="shared" si="575"/>
        <v>-1000</v>
      </c>
    </row>
    <row r="290">
      <c r="A290" s="132" t="s">
        <v>3792</v>
      </c>
      <c r="B290" s="132">
        <v>500.0</v>
      </c>
      <c r="C290" s="132">
        <v>0.0</v>
      </c>
      <c r="D290" s="132">
        <v>0.0</v>
      </c>
      <c r="E290" s="132">
        <v>0.0</v>
      </c>
      <c r="F290" s="132">
        <v>0.0</v>
      </c>
      <c r="G290" s="132">
        <v>500.0</v>
      </c>
      <c r="H290" s="132">
        <v>0.0</v>
      </c>
      <c r="I290" s="132">
        <v>0.0</v>
      </c>
      <c r="J290" s="132">
        <v>0.0</v>
      </c>
      <c r="K290" s="132">
        <v>0.0</v>
      </c>
      <c r="L290" s="132">
        <v>0.0</v>
      </c>
      <c r="M290" s="132">
        <v>0.0</v>
      </c>
      <c r="N290" s="132">
        <v>0.0</v>
      </c>
      <c r="O290" s="132">
        <v>0.0</v>
      </c>
      <c r="P290" s="132">
        <v>0.0</v>
      </c>
      <c r="Q290" s="132">
        <v>0.0</v>
      </c>
      <c r="R290" s="132">
        <v>0.0</v>
      </c>
      <c r="S290" s="132">
        <v>0.0</v>
      </c>
      <c r="T290" s="132">
        <v>0.0</v>
      </c>
      <c r="U290" s="132">
        <v>0.0</v>
      </c>
      <c r="V290" s="132">
        <v>0.0</v>
      </c>
      <c r="W290" s="132">
        <v>0.0</v>
      </c>
      <c r="Y290" s="132" t="s">
        <v>3792</v>
      </c>
      <c r="Z290" s="132">
        <f t="shared" ref="Z290:AC290" si="576">C290-1000</f>
        <v>-1000</v>
      </c>
      <c r="AA290" s="132">
        <f t="shared" si="576"/>
        <v>-1000</v>
      </c>
      <c r="AB290" s="132">
        <f t="shared" si="576"/>
        <v>-1000</v>
      </c>
      <c r="AC290" s="132">
        <f t="shared" si="576"/>
        <v>-1000</v>
      </c>
      <c r="AD290" s="132">
        <f t="shared" si="4"/>
        <v>-9500</v>
      </c>
      <c r="AE290" s="132">
        <f t="shared" ref="AE290:AS290" si="577">H290-1000</f>
        <v>-1000</v>
      </c>
      <c r="AF290" s="132">
        <f t="shared" si="577"/>
        <v>-1000</v>
      </c>
      <c r="AG290" s="132">
        <f t="shared" si="577"/>
        <v>-1000</v>
      </c>
      <c r="AH290" s="132">
        <f t="shared" si="577"/>
        <v>-1000</v>
      </c>
      <c r="AI290" s="132">
        <f t="shared" si="577"/>
        <v>-1000</v>
      </c>
      <c r="AJ290" s="132">
        <f t="shared" si="577"/>
        <v>-1000</v>
      </c>
      <c r="AK290" s="132">
        <f t="shared" si="577"/>
        <v>-1000</v>
      </c>
      <c r="AL290" s="132">
        <f t="shared" si="577"/>
        <v>-1000</v>
      </c>
      <c r="AM290" s="132">
        <f t="shared" si="577"/>
        <v>-1000</v>
      </c>
      <c r="AN290" s="132">
        <f t="shared" si="577"/>
        <v>-1000</v>
      </c>
      <c r="AO290" s="132">
        <f t="shared" si="577"/>
        <v>-1000</v>
      </c>
      <c r="AP290" s="132">
        <f t="shared" si="577"/>
        <v>-1000</v>
      </c>
      <c r="AQ290" s="132">
        <f t="shared" si="577"/>
        <v>-1000</v>
      </c>
      <c r="AR290" s="132">
        <f t="shared" si="577"/>
        <v>-1000</v>
      </c>
      <c r="AS290" s="132">
        <f t="shared" si="577"/>
        <v>-1000</v>
      </c>
    </row>
    <row r="291">
      <c r="A291" s="132" t="s">
        <v>3793</v>
      </c>
      <c r="B291" s="132">
        <v>350.0</v>
      </c>
      <c r="C291" s="132">
        <v>0.0</v>
      </c>
      <c r="D291" s="132">
        <v>0.0</v>
      </c>
      <c r="E291" s="132">
        <v>0.0</v>
      </c>
      <c r="F291" s="132">
        <v>0.0</v>
      </c>
      <c r="G291" s="132">
        <v>350.0</v>
      </c>
      <c r="H291" s="132">
        <v>0.0</v>
      </c>
      <c r="I291" s="132">
        <v>0.0</v>
      </c>
      <c r="J291" s="132">
        <v>0.0</v>
      </c>
      <c r="K291" s="132">
        <v>0.0</v>
      </c>
      <c r="L291" s="132">
        <v>0.0</v>
      </c>
      <c r="M291" s="132">
        <v>0.0</v>
      </c>
      <c r="N291" s="132">
        <v>0.0</v>
      </c>
      <c r="O291" s="132">
        <v>0.0</v>
      </c>
      <c r="P291" s="132">
        <v>0.0</v>
      </c>
      <c r="Q291" s="132">
        <v>0.0</v>
      </c>
      <c r="R291" s="132">
        <v>0.0</v>
      </c>
      <c r="S291" s="132">
        <v>0.0</v>
      </c>
      <c r="T291" s="132">
        <v>0.0</v>
      </c>
      <c r="U291" s="132">
        <v>0.0</v>
      </c>
      <c r="V291" s="132">
        <v>0.0</v>
      </c>
      <c r="W291" s="132">
        <v>0.0</v>
      </c>
      <c r="Y291" s="132" t="s">
        <v>3793</v>
      </c>
      <c r="Z291" s="132">
        <f t="shared" ref="Z291:AC291" si="578">C291-1000</f>
        <v>-1000</v>
      </c>
      <c r="AA291" s="132">
        <f t="shared" si="578"/>
        <v>-1000</v>
      </c>
      <c r="AB291" s="132">
        <f t="shared" si="578"/>
        <v>-1000</v>
      </c>
      <c r="AC291" s="132">
        <f t="shared" si="578"/>
        <v>-1000</v>
      </c>
      <c r="AD291" s="132">
        <f t="shared" si="4"/>
        <v>-9650</v>
      </c>
      <c r="AE291" s="132">
        <f t="shared" ref="AE291:AS291" si="579">H291-1000</f>
        <v>-1000</v>
      </c>
      <c r="AF291" s="132">
        <f t="shared" si="579"/>
        <v>-1000</v>
      </c>
      <c r="AG291" s="132">
        <f t="shared" si="579"/>
        <v>-1000</v>
      </c>
      <c r="AH291" s="132">
        <f t="shared" si="579"/>
        <v>-1000</v>
      </c>
      <c r="AI291" s="132">
        <f t="shared" si="579"/>
        <v>-1000</v>
      </c>
      <c r="AJ291" s="132">
        <f t="shared" si="579"/>
        <v>-1000</v>
      </c>
      <c r="AK291" s="132">
        <f t="shared" si="579"/>
        <v>-1000</v>
      </c>
      <c r="AL291" s="132">
        <f t="shared" si="579"/>
        <v>-1000</v>
      </c>
      <c r="AM291" s="132">
        <f t="shared" si="579"/>
        <v>-1000</v>
      </c>
      <c r="AN291" s="132">
        <f t="shared" si="579"/>
        <v>-1000</v>
      </c>
      <c r="AO291" s="132">
        <f t="shared" si="579"/>
        <v>-1000</v>
      </c>
      <c r="AP291" s="132">
        <f t="shared" si="579"/>
        <v>-1000</v>
      </c>
      <c r="AQ291" s="132">
        <f t="shared" si="579"/>
        <v>-1000</v>
      </c>
      <c r="AR291" s="132">
        <f t="shared" si="579"/>
        <v>-1000</v>
      </c>
      <c r="AS291" s="132">
        <f t="shared" si="579"/>
        <v>-1000</v>
      </c>
    </row>
    <row r="292">
      <c r="A292" s="132" t="s">
        <v>3794</v>
      </c>
      <c r="B292" s="132">
        <v>2250.0</v>
      </c>
      <c r="C292" s="132">
        <v>0.0</v>
      </c>
      <c r="D292" s="132">
        <v>0.0</v>
      </c>
      <c r="E292" s="132">
        <v>0.0</v>
      </c>
      <c r="F292" s="132">
        <v>250.0</v>
      </c>
      <c r="G292" s="132">
        <v>1000.0</v>
      </c>
      <c r="H292" s="132">
        <v>0.0</v>
      </c>
      <c r="I292" s="132">
        <v>0.0</v>
      </c>
      <c r="J292" s="132">
        <v>0.0</v>
      </c>
      <c r="K292" s="132">
        <v>0.0</v>
      </c>
      <c r="L292" s="132">
        <v>0.0</v>
      </c>
      <c r="M292" s="132">
        <v>1000.0</v>
      </c>
      <c r="N292" s="132">
        <v>0.0</v>
      </c>
      <c r="O292" s="132">
        <v>0.0</v>
      </c>
      <c r="P292" s="132">
        <v>0.0</v>
      </c>
      <c r="Q292" s="132">
        <v>0.0</v>
      </c>
      <c r="R292" s="132">
        <v>0.0</v>
      </c>
      <c r="S292" s="132">
        <v>0.0</v>
      </c>
      <c r="T292" s="132">
        <v>0.0</v>
      </c>
      <c r="U292" s="132">
        <v>0.0</v>
      </c>
      <c r="V292" s="132">
        <v>0.0</v>
      </c>
      <c r="W292" s="132">
        <v>0.0</v>
      </c>
      <c r="Y292" s="132" t="s">
        <v>3794</v>
      </c>
      <c r="Z292" s="132">
        <f t="shared" ref="Z292:AC292" si="580">C292-1000</f>
        <v>-1000</v>
      </c>
      <c r="AA292" s="132">
        <f t="shared" si="580"/>
        <v>-1000</v>
      </c>
      <c r="AB292" s="132">
        <f t="shared" si="580"/>
        <v>-1000</v>
      </c>
      <c r="AC292" s="132">
        <f t="shared" si="580"/>
        <v>-750</v>
      </c>
      <c r="AD292" s="132">
        <f t="shared" si="4"/>
        <v>-9000</v>
      </c>
      <c r="AE292" s="132">
        <f t="shared" ref="AE292:AS292" si="581">H292-1000</f>
        <v>-1000</v>
      </c>
      <c r="AF292" s="132">
        <f t="shared" si="581"/>
        <v>-1000</v>
      </c>
      <c r="AG292" s="132">
        <f t="shared" si="581"/>
        <v>-1000</v>
      </c>
      <c r="AH292" s="132">
        <f t="shared" si="581"/>
        <v>-1000</v>
      </c>
      <c r="AI292" s="132">
        <f t="shared" si="581"/>
        <v>-1000</v>
      </c>
      <c r="AJ292" s="132">
        <f t="shared" si="581"/>
        <v>0</v>
      </c>
      <c r="AK292" s="132">
        <f t="shared" si="581"/>
        <v>-1000</v>
      </c>
      <c r="AL292" s="132">
        <f t="shared" si="581"/>
        <v>-1000</v>
      </c>
      <c r="AM292" s="132">
        <f t="shared" si="581"/>
        <v>-1000</v>
      </c>
      <c r="AN292" s="132">
        <f t="shared" si="581"/>
        <v>-1000</v>
      </c>
      <c r="AO292" s="132">
        <f t="shared" si="581"/>
        <v>-1000</v>
      </c>
      <c r="AP292" s="132">
        <f t="shared" si="581"/>
        <v>-1000</v>
      </c>
      <c r="AQ292" s="132">
        <f t="shared" si="581"/>
        <v>-1000</v>
      </c>
      <c r="AR292" s="132">
        <f t="shared" si="581"/>
        <v>-1000</v>
      </c>
      <c r="AS292" s="132">
        <f t="shared" si="581"/>
        <v>-1000</v>
      </c>
    </row>
    <row r="293">
      <c r="A293" s="132" t="s">
        <v>3795</v>
      </c>
      <c r="B293" s="132">
        <v>100.0</v>
      </c>
      <c r="C293" s="132">
        <v>0.0</v>
      </c>
      <c r="D293" s="132">
        <v>0.0</v>
      </c>
      <c r="E293" s="132">
        <v>0.0</v>
      </c>
      <c r="F293" s="132">
        <v>0.0</v>
      </c>
      <c r="G293" s="132">
        <v>100.0</v>
      </c>
      <c r="H293" s="132">
        <v>0.0</v>
      </c>
      <c r="I293" s="132">
        <v>0.0</v>
      </c>
      <c r="J293" s="132">
        <v>0.0</v>
      </c>
      <c r="K293" s="132">
        <v>0.0</v>
      </c>
      <c r="L293" s="132">
        <v>0.0</v>
      </c>
      <c r="M293" s="132">
        <v>0.0</v>
      </c>
      <c r="N293" s="132">
        <v>0.0</v>
      </c>
      <c r="O293" s="132">
        <v>0.0</v>
      </c>
      <c r="P293" s="132">
        <v>0.0</v>
      </c>
      <c r="Q293" s="132">
        <v>0.0</v>
      </c>
      <c r="R293" s="132">
        <v>0.0</v>
      </c>
      <c r="S293" s="132">
        <v>0.0</v>
      </c>
      <c r="T293" s="132">
        <v>0.0</v>
      </c>
      <c r="U293" s="132">
        <v>0.0</v>
      </c>
      <c r="V293" s="132">
        <v>0.0</v>
      </c>
      <c r="W293" s="132">
        <v>0.0</v>
      </c>
      <c r="Y293" s="132" t="s">
        <v>3795</v>
      </c>
      <c r="Z293" s="132">
        <f t="shared" ref="Z293:AC293" si="582">C293-1000</f>
        <v>-1000</v>
      </c>
      <c r="AA293" s="132">
        <f t="shared" si="582"/>
        <v>-1000</v>
      </c>
      <c r="AB293" s="132">
        <f t="shared" si="582"/>
        <v>-1000</v>
      </c>
      <c r="AC293" s="132">
        <f t="shared" si="582"/>
        <v>-1000</v>
      </c>
      <c r="AD293" s="132">
        <f t="shared" si="4"/>
        <v>-9900</v>
      </c>
      <c r="AE293" s="132">
        <f t="shared" ref="AE293:AS293" si="583">H293-1000</f>
        <v>-1000</v>
      </c>
      <c r="AF293" s="132">
        <f t="shared" si="583"/>
        <v>-1000</v>
      </c>
      <c r="AG293" s="132">
        <f t="shared" si="583"/>
        <v>-1000</v>
      </c>
      <c r="AH293" s="132">
        <f t="shared" si="583"/>
        <v>-1000</v>
      </c>
      <c r="AI293" s="132">
        <f t="shared" si="583"/>
        <v>-1000</v>
      </c>
      <c r="AJ293" s="132">
        <f t="shared" si="583"/>
        <v>-1000</v>
      </c>
      <c r="AK293" s="132">
        <f t="shared" si="583"/>
        <v>-1000</v>
      </c>
      <c r="AL293" s="132">
        <f t="shared" si="583"/>
        <v>-1000</v>
      </c>
      <c r="AM293" s="132">
        <f t="shared" si="583"/>
        <v>-1000</v>
      </c>
      <c r="AN293" s="132">
        <f t="shared" si="583"/>
        <v>-1000</v>
      </c>
      <c r="AO293" s="132">
        <f t="shared" si="583"/>
        <v>-1000</v>
      </c>
      <c r="AP293" s="132">
        <f t="shared" si="583"/>
        <v>-1000</v>
      </c>
      <c r="AQ293" s="132">
        <f t="shared" si="583"/>
        <v>-1000</v>
      </c>
      <c r="AR293" s="132">
        <f t="shared" si="583"/>
        <v>-1000</v>
      </c>
      <c r="AS293" s="132">
        <f t="shared" si="583"/>
        <v>-1000</v>
      </c>
    </row>
    <row r="294">
      <c r="A294" s="132" t="s">
        <v>3796</v>
      </c>
      <c r="B294" s="132">
        <v>130.0</v>
      </c>
      <c r="C294" s="132">
        <v>0.0</v>
      </c>
      <c r="D294" s="132">
        <v>0.0</v>
      </c>
      <c r="E294" s="132">
        <v>0.0</v>
      </c>
      <c r="F294" s="132">
        <v>0.0</v>
      </c>
      <c r="G294" s="132">
        <v>100.0</v>
      </c>
      <c r="H294" s="132">
        <v>0.0</v>
      </c>
      <c r="I294" s="132">
        <v>0.0</v>
      </c>
      <c r="J294" s="132">
        <v>0.0</v>
      </c>
      <c r="K294" s="132">
        <v>0.0</v>
      </c>
      <c r="L294" s="132">
        <v>30.0</v>
      </c>
      <c r="M294" s="132">
        <v>0.0</v>
      </c>
      <c r="N294" s="132">
        <v>0.0</v>
      </c>
      <c r="O294" s="132">
        <v>0.0</v>
      </c>
      <c r="P294" s="132">
        <v>0.0</v>
      </c>
      <c r="Q294" s="132">
        <v>0.0</v>
      </c>
      <c r="R294" s="132">
        <v>0.0</v>
      </c>
      <c r="S294" s="132">
        <v>0.0</v>
      </c>
      <c r="T294" s="132">
        <v>0.0</v>
      </c>
      <c r="U294" s="132">
        <v>0.0</v>
      </c>
      <c r="V294" s="132">
        <v>0.0</v>
      </c>
      <c r="W294" s="132">
        <v>0.0</v>
      </c>
      <c r="Y294" s="132" t="s">
        <v>3796</v>
      </c>
      <c r="Z294" s="132">
        <f t="shared" ref="Z294:AC294" si="584">C294-1000</f>
        <v>-1000</v>
      </c>
      <c r="AA294" s="132">
        <f t="shared" si="584"/>
        <v>-1000</v>
      </c>
      <c r="AB294" s="132">
        <f t="shared" si="584"/>
        <v>-1000</v>
      </c>
      <c r="AC294" s="132">
        <f t="shared" si="584"/>
        <v>-1000</v>
      </c>
      <c r="AD294" s="132">
        <f t="shared" si="4"/>
        <v>-9900</v>
      </c>
      <c r="AE294" s="132">
        <f t="shared" ref="AE294:AS294" si="585">H294-1000</f>
        <v>-1000</v>
      </c>
      <c r="AF294" s="132">
        <f t="shared" si="585"/>
        <v>-1000</v>
      </c>
      <c r="AG294" s="132">
        <f t="shared" si="585"/>
        <v>-1000</v>
      </c>
      <c r="AH294" s="132">
        <f t="shared" si="585"/>
        <v>-1000</v>
      </c>
      <c r="AI294" s="132">
        <f t="shared" si="585"/>
        <v>-970</v>
      </c>
      <c r="AJ294" s="132">
        <f t="shared" si="585"/>
        <v>-1000</v>
      </c>
      <c r="AK294" s="132">
        <f t="shared" si="585"/>
        <v>-1000</v>
      </c>
      <c r="AL294" s="132">
        <f t="shared" si="585"/>
        <v>-1000</v>
      </c>
      <c r="AM294" s="132">
        <f t="shared" si="585"/>
        <v>-1000</v>
      </c>
      <c r="AN294" s="132">
        <f t="shared" si="585"/>
        <v>-1000</v>
      </c>
      <c r="AO294" s="132">
        <f t="shared" si="585"/>
        <v>-1000</v>
      </c>
      <c r="AP294" s="132">
        <f t="shared" si="585"/>
        <v>-1000</v>
      </c>
      <c r="AQ294" s="132">
        <f t="shared" si="585"/>
        <v>-1000</v>
      </c>
      <c r="AR294" s="132">
        <f t="shared" si="585"/>
        <v>-1000</v>
      </c>
      <c r="AS294" s="132">
        <f t="shared" si="585"/>
        <v>-1000</v>
      </c>
    </row>
    <row r="295">
      <c r="A295" s="132" t="s">
        <v>3797</v>
      </c>
      <c r="B295" s="132">
        <v>2500.0</v>
      </c>
      <c r="C295" s="132">
        <v>0.0</v>
      </c>
      <c r="D295" s="132">
        <v>0.0</v>
      </c>
      <c r="E295" s="132">
        <v>0.0</v>
      </c>
      <c r="F295" s="132">
        <v>0.0</v>
      </c>
      <c r="G295" s="132">
        <v>2500.0</v>
      </c>
      <c r="H295" s="132">
        <v>0.0</v>
      </c>
      <c r="I295" s="132">
        <v>0.0</v>
      </c>
      <c r="J295" s="132">
        <v>0.0</v>
      </c>
      <c r="K295" s="132">
        <v>0.0</v>
      </c>
      <c r="L295" s="132">
        <v>0.0</v>
      </c>
      <c r="M295" s="132">
        <v>0.0</v>
      </c>
      <c r="N295" s="132">
        <v>0.0</v>
      </c>
      <c r="O295" s="132">
        <v>0.0</v>
      </c>
      <c r="P295" s="132">
        <v>0.0</v>
      </c>
      <c r="Q295" s="132">
        <v>0.0</v>
      </c>
      <c r="R295" s="132">
        <v>0.0</v>
      </c>
      <c r="S295" s="132">
        <v>0.0</v>
      </c>
      <c r="T295" s="132">
        <v>0.0</v>
      </c>
      <c r="U295" s="132">
        <v>0.0</v>
      </c>
      <c r="V295" s="132">
        <v>0.0</v>
      </c>
      <c r="W295" s="132">
        <v>0.0</v>
      </c>
      <c r="Y295" s="132" t="s">
        <v>3797</v>
      </c>
      <c r="Z295" s="132">
        <f t="shared" ref="Z295:AC295" si="586">C295-1000</f>
        <v>-1000</v>
      </c>
      <c r="AA295" s="132">
        <f t="shared" si="586"/>
        <v>-1000</v>
      </c>
      <c r="AB295" s="132">
        <f t="shared" si="586"/>
        <v>-1000</v>
      </c>
      <c r="AC295" s="132">
        <f t="shared" si="586"/>
        <v>-1000</v>
      </c>
      <c r="AD295" s="132">
        <f t="shared" si="4"/>
        <v>-7500</v>
      </c>
      <c r="AE295" s="132">
        <f t="shared" ref="AE295:AS295" si="587">H295-1000</f>
        <v>-1000</v>
      </c>
      <c r="AF295" s="132">
        <f t="shared" si="587"/>
        <v>-1000</v>
      </c>
      <c r="AG295" s="132">
        <f t="shared" si="587"/>
        <v>-1000</v>
      </c>
      <c r="AH295" s="132">
        <f t="shared" si="587"/>
        <v>-1000</v>
      </c>
      <c r="AI295" s="132">
        <f t="shared" si="587"/>
        <v>-1000</v>
      </c>
      <c r="AJ295" s="132">
        <f t="shared" si="587"/>
        <v>-1000</v>
      </c>
      <c r="AK295" s="132">
        <f t="shared" si="587"/>
        <v>-1000</v>
      </c>
      <c r="AL295" s="132">
        <f t="shared" si="587"/>
        <v>-1000</v>
      </c>
      <c r="AM295" s="132">
        <f t="shared" si="587"/>
        <v>-1000</v>
      </c>
      <c r="AN295" s="132">
        <f t="shared" si="587"/>
        <v>-1000</v>
      </c>
      <c r="AO295" s="132">
        <f t="shared" si="587"/>
        <v>-1000</v>
      </c>
      <c r="AP295" s="132">
        <f t="shared" si="587"/>
        <v>-1000</v>
      </c>
      <c r="AQ295" s="132">
        <f t="shared" si="587"/>
        <v>-1000</v>
      </c>
      <c r="AR295" s="132">
        <f t="shared" si="587"/>
        <v>-1000</v>
      </c>
      <c r="AS295" s="132">
        <f t="shared" si="587"/>
        <v>-1000</v>
      </c>
    </row>
    <row r="296">
      <c r="A296" s="132" t="s">
        <v>3798</v>
      </c>
      <c r="B296" s="132">
        <v>18000.0</v>
      </c>
      <c r="C296" s="132">
        <v>5000.0</v>
      </c>
      <c r="D296" s="132">
        <v>0.0</v>
      </c>
      <c r="E296" s="132">
        <v>0.0</v>
      </c>
      <c r="F296" s="132">
        <v>6000.0</v>
      </c>
      <c r="G296" s="132">
        <v>5000.0</v>
      </c>
      <c r="H296" s="132">
        <v>0.0</v>
      </c>
      <c r="I296" s="132">
        <v>0.0</v>
      </c>
      <c r="J296" s="132">
        <v>0.0</v>
      </c>
      <c r="K296" s="132">
        <v>0.0</v>
      </c>
      <c r="L296" s="132">
        <v>0.0</v>
      </c>
      <c r="M296" s="132">
        <v>0.0</v>
      </c>
      <c r="N296" s="132">
        <v>0.0</v>
      </c>
      <c r="O296" s="132">
        <v>0.0</v>
      </c>
      <c r="P296" s="132">
        <v>0.0</v>
      </c>
      <c r="Q296" s="132">
        <v>2000.0</v>
      </c>
      <c r="R296" s="132">
        <v>0.0</v>
      </c>
      <c r="S296" s="132">
        <v>0.0</v>
      </c>
      <c r="T296" s="132">
        <v>0.0</v>
      </c>
      <c r="U296" s="132">
        <v>0.0</v>
      </c>
      <c r="V296" s="132">
        <v>0.0</v>
      </c>
      <c r="W296" s="132">
        <v>1.0</v>
      </c>
      <c r="Y296" s="132" t="s">
        <v>3798</v>
      </c>
      <c r="Z296" s="132">
        <f t="shared" ref="Z296:AC296" si="588">C296-1000</f>
        <v>4000</v>
      </c>
      <c r="AA296" s="132">
        <f t="shared" si="588"/>
        <v>-1000</v>
      </c>
      <c r="AB296" s="132">
        <f t="shared" si="588"/>
        <v>-1000</v>
      </c>
      <c r="AC296" s="132">
        <f t="shared" si="588"/>
        <v>5000</v>
      </c>
      <c r="AD296" s="132">
        <f t="shared" si="4"/>
        <v>-5000</v>
      </c>
      <c r="AE296" s="132">
        <f t="shared" ref="AE296:AS296" si="589">H296-1000</f>
        <v>-1000</v>
      </c>
      <c r="AF296" s="132">
        <f t="shared" si="589"/>
        <v>-1000</v>
      </c>
      <c r="AG296" s="132">
        <f t="shared" si="589"/>
        <v>-1000</v>
      </c>
      <c r="AH296" s="132">
        <f t="shared" si="589"/>
        <v>-1000</v>
      </c>
      <c r="AI296" s="132">
        <f t="shared" si="589"/>
        <v>-1000</v>
      </c>
      <c r="AJ296" s="132">
        <f t="shared" si="589"/>
        <v>-1000</v>
      </c>
      <c r="AK296" s="132">
        <f t="shared" si="589"/>
        <v>-1000</v>
      </c>
      <c r="AL296" s="132">
        <f t="shared" si="589"/>
        <v>-1000</v>
      </c>
      <c r="AM296" s="132">
        <f t="shared" si="589"/>
        <v>-1000</v>
      </c>
      <c r="AN296" s="132">
        <f t="shared" si="589"/>
        <v>1000</v>
      </c>
      <c r="AO296" s="132">
        <f t="shared" si="589"/>
        <v>-1000</v>
      </c>
      <c r="AP296" s="132">
        <f t="shared" si="589"/>
        <v>-1000</v>
      </c>
      <c r="AQ296" s="132">
        <f t="shared" si="589"/>
        <v>-1000</v>
      </c>
      <c r="AR296" s="132">
        <f t="shared" si="589"/>
        <v>-1000</v>
      </c>
      <c r="AS296" s="132">
        <f t="shared" si="589"/>
        <v>-1000</v>
      </c>
    </row>
    <row r="297">
      <c r="A297" s="132" t="s">
        <v>3799</v>
      </c>
      <c r="B297" s="132">
        <v>10000.0</v>
      </c>
      <c r="C297" s="132">
        <v>10000.0</v>
      </c>
      <c r="D297" s="132">
        <v>0.0</v>
      </c>
      <c r="E297" s="132">
        <v>0.0</v>
      </c>
      <c r="F297" s="132">
        <v>0.0</v>
      </c>
      <c r="G297" s="132">
        <v>0.0</v>
      </c>
      <c r="H297" s="132">
        <v>0.0</v>
      </c>
      <c r="I297" s="132">
        <v>0.0</v>
      </c>
      <c r="J297" s="132">
        <v>0.0</v>
      </c>
      <c r="K297" s="132">
        <v>0.0</v>
      </c>
      <c r="L297" s="132">
        <v>0.0</v>
      </c>
      <c r="M297" s="132">
        <v>0.0</v>
      </c>
      <c r="N297" s="132">
        <v>0.0</v>
      </c>
      <c r="O297" s="132">
        <v>0.0</v>
      </c>
      <c r="P297" s="132">
        <v>0.0</v>
      </c>
      <c r="Q297" s="132">
        <v>0.0</v>
      </c>
      <c r="R297" s="132">
        <v>0.0</v>
      </c>
      <c r="S297" s="132">
        <v>0.0</v>
      </c>
      <c r="T297" s="132">
        <v>0.0</v>
      </c>
      <c r="U297" s="132">
        <v>0.0</v>
      </c>
      <c r="V297" s="132">
        <v>0.0</v>
      </c>
      <c r="W297" s="132">
        <v>1.0</v>
      </c>
      <c r="Y297" s="132" t="s">
        <v>3799</v>
      </c>
      <c r="Z297" s="132">
        <f t="shared" ref="Z297:AC297" si="590">C297-1000</f>
        <v>9000</v>
      </c>
      <c r="AA297" s="132">
        <f t="shared" si="590"/>
        <v>-1000</v>
      </c>
      <c r="AB297" s="132">
        <f t="shared" si="590"/>
        <v>-1000</v>
      </c>
      <c r="AC297" s="132">
        <f t="shared" si="590"/>
        <v>-1000</v>
      </c>
      <c r="AD297" s="132">
        <f t="shared" si="4"/>
        <v>-10000</v>
      </c>
      <c r="AE297" s="132">
        <f t="shared" ref="AE297:AS297" si="591">H297-1000</f>
        <v>-1000</v>
      </c>
      <c r="AF297" s="132">
        <f t="shared" si="591"/>
        <v>-1000</v>
      </c>
      <c r="AG297" s="132">
        <f t="shared" si="591"/>
        <v>-1000</v>
      </c>
      <c r="AH297" s="132">
        <f t="shared" si="591"/>
        <v>-1000</v>
      </c>
      <c r="AI297" s="132">
        <f t="shared" si="591"/>
        <v>-1000</v>
      </c>
      <c r="AJ297" s="132">
        <f t="shared" si="591"/>
        <v>-1000</v>
      </c>
      <c r="AK297" s="132">
        <f t="shared" si="591"/>
        <v>-1000</v>
      </c>
      <c r="AL297" s="132">
        <f t="shared" si="591"/>
        <v>-1000</v>
      </c>
      <c r="AM297" s="132">
        <f t="shared" si="591"/>
        <v>-1000</v>
      </c>
      <c r="AN297" s="132">
        <f t="shared" si="591"/>
        <v>-1000</v>
      </c>
      <c r="AO297" s="132">
        <f t="shared" si="591"/>
        <v>-1000</v>
      </c>
      <c r="AP297" s="132">
        <f t="shared" si="591"/>
        <v>-1000</v>
      </c>
      <c r="AQ297" s="132">
        <f t="shared" si="591"/>
        <v>-1000</v>
      </c>
      <c r="AR297" s="132">
        <f t="shared" si="591"/>
        <v>-1000</v>
      </c>
      <c r="AS297" s="132">
        <f t="shared" si="591"/>
        <v>-1000</v>
      </c>
    </row>
    <row r="298">
      <c r="A298" s="132" t="s">
        <v>3800</v>
      </c>
      <c r="B298" s="132">
        <v>1000.0</v>
      </c>
      <c r="C298" s="132">
        <v>1000.0</v>
      </c>
      <c r="D298" s="132">
        <v>0.0</v>
      </c>
      <c r="E298" s="132">
        <v>0.0</v>
      </c>
      <c r="F298" s="132">
        <v>0.0</v>
      </c>
      <c r="G298" s="132">
        <v>0.0</v>
      </c>
      <c r="H298" s="132">
        <v>0.0</v>
      </c>
      <c r="I298" s="132">
        <v>0.0</v>
      </c>
      <c r="J298" s="132">
        <v>0.0</v>
      </c>
      <c r="K298" s="132">
        <v>0.0</v>
      </c>
      <c r="L298" s="132">
        <v>0.0</v>
      </c>
      <c r="M298" s="132">
        <v>0.0</v>
      </c>
      <c r="N298" s="132">
        <v>0.0</v>
      </c>
      <c r="O298" s="132">
        <v>0.0</v>
      </c>
      <c r="P298" s="132">
        <v>0.0</v>
      </c>
      <c r="Q298" s="132">
        <v>0.0</v>
      </c>
      <c r="R298" s="132">
        <v>0.0</v>
      </c>
      <c r="S298" s="132">
        <v>0.0</v>
      </c>
      <c r="T298" s="132">
        <v>0.0</v>
      </c>
      <c r="U298" s="132">
        <v>0.0</v>
      </c>
      <c r="V298" s="132">
        <v>0.0</v>
      </c>
      <c r="W298" s="132">
        <v>0.0</v>
      </c>
      <c r="Y298" s="132" t="s">
        <v>3800</v>
      </c>
      <c r="Z298" s="132">
        <f t="shared" ref="Z298:AC298" si="592">C298-1000</f>
        <v>0</v>
      </c>
      <c r="AA298" s="132">
        <f t="shared" si="592"/>
        <v>-1000</v>
      </c>
      <c r="AB298" s="132">
        <f t="shared" si="592"/>
        <v>-1000</v>
      </c>
      <c r="AC298" s="132">
        <f t="shared" si="592"/>
        <v>-1000</v>
      </c>
      <c r="AD298" s="132">
        <f t="shared" si="4"/>
        <v>-10000</v>
      </c>
      <c r="AE298" s="132">
        <f t="shared" ref="AE298:AS298" si="593">H298-1000</f>
        <v>-1000</v>
      </c>
      <c r="AF298" s="132">
        <f t="shared" si="593"/>
        <v>-1000</v>
      </c>
      <c r="AG298" s="132">
        <f t="shared" si="593"/>
        <v>-1000</v>
      </c>
      <c r="AH298" s="132">
        <f t="shared" si="593"/>
        <v>-1000</v>
      </c>
      <c r="AI298" s="132">
        <f t="shared" si="593"/>
        <v>-1000</v>
      </c>
      <c r="AJ298" s="132">
        <f t="shared" si="593"/>
        <v>-1000</v>
      </c>
      <c r="AK298" s="132">
        <f t="shared" si="593"/>
        <v>-1000</v>
      </c>
      <c r="AL298" s="132">
        <f t="shared" si="593"/>
        <v>-1000</v>
      </c>
      <c r="AM298" s="132">
        <f t="shared" si="593"/>
        <v>-1000</v>
      </c>
      <c r="AN298" s="132">
        <f t="shared" si="593"/>
        <v>-1000</v>
      </c>
      <c r="AO298" s="132">
        <f t="shared" si="593"/>
        <v>-1000</v>
      </c>
      <c r="AP298" s="132">
        <f t="shared" si="593"/>
        <v>-1000</v>
      </c>
      <c r="AQ298" s="132">
        <f t="shared" si="593"/>
        <v>-1000</v>
      </c>
      <c r="AR298" s="132">
        <f t="shared" si="593"/>
        <v>-1000</v>
      </c>
      <c r="AS298" s="132">
        <f t="shared" si="593"/>
        <v>-1000</v>
      </c>
    </row>
    <row r="299">
      <c r="A299" s="132" t="s">
        <v>3801</v>
      </c>
      <c r="B299" s="132">
        <v>100.0</v>
      </c>
      <c r="C299" s="132">
        <v>0.0</v>
      </c>
      <c r="D299" s="132">
        <v>0.0</v>
      </c>
      <c r="E299" s="132">
        <v>0.0</v>
      </c>
      <c r="F299" s="132">
        <v>0.0</v>
      </c>
      <c r="G299" s="132">
        <v>0.0</v>
      </c>
      <c r="H299" s="132">
        <v>0.0</v>
      </c>
      <c r="I299" s="132">
        <v>0.0</v>
      </c>
      <c r="J299" s="132">
        <v>0.0</v>
      </c>
      <c r="K299" s="132">
        <v>0.0</v>
      </c>
      <c r="L299" s="132">
        <v>100.0</v>
      </c>
      <c r="M299" s="132">
        <v>0.0</v>
      </c>
      <c r="N299" s="132">
        <v>0.0</v>
      </c>
      <c r="O299" s="132">
        <v>0.0</v>
      </c>
      <c r="P299" s="132">
        <v>0.0</v>
      </c>
      <c r="Q299" s="132">
        <v>0.0</v>
      </c>
      <c r="R299" s="132">
        <v>0.0</v>
      </c>
      <c r="S299" s="132">
        <v>0.0</v>
      </c>
      <c r="T299" s="132">
        <v>0.0</v>
      </c>
      <c r="U299" s="132">
        <v>0.0</v>
      </c>
      <c r="V299" s="132">
        <v>0.0</v>
      </c>
      <c r="W299" s="132">
        <v>0.0</v>
      </c>
      <c r="Y299" s="132" t="s">
        <v>3801</v>
      </c>
      <c r="Z299" s="132">
        <f t="shared" ref="Z299:AC299" si="594">C299-1000</f>
        <v>-1000</v>
      </c>
      <c r="AA299" s="132">
        <f t="shared" si="594"/>
        <v>-1000</v>
      </c>
      <c r="AB299" s="132">
        <f t="shared" si="594"/>
        <v>-1000</v>
      </c>
      <c r="AC299" s="132">
        <f t="shared" si="594"/>
        <v>-1000</v>
      </c>
      <c r="AD299" s="132">
        <f t="shared" si="4"/>
        <v>-10000</v>
      </c>
      <c r="AE299" s="132">
        <f t="shared" ref="AE299:AS299" si="595">H299-1000</f>
        <v>-1000</v>
      </c>
      <c r="AF299" s="132">
        <f t="shared" si="595"/>
        <v>-1000</v>
      </c>
      <c r="AG299" s="132">
        <f t="shared" si="595"/>
        <v>-1000</v>
      </c>
      <c r="AH299" s="132">
        <f t="shared" si="595"/>
        <v>-1000</v>
      </c>
      <c r="AI299" s="132">
        <f t="shared" si="595"/>
        <v>-900</v>
      </c>
      <c r="AJ299" s="132">
        <f t="shared" si="595"/>
        <v>-1000</v>
      </c>
      <c r="AK299" s="132">
        <f t="shared" si="595"/>
        <v>-1000</v>
      </c>
      <c r="AL299" s="132">
        <f t="shared" si="595"/>
        <v>-1000</v>
      </c>
      <c r="AM299" s="132">
        <f t="shared" si="595"/>
        <v>-1000</v>
      </c>
      <c r="AN299" s="132">
        <f t="shared" si="595"/>
        <v>-1000</v>
      </c>
      <c r="AO299" s="132">
        <f t="shared" si="595"/>
        <v>-1000</v>
      </c>
      <c r="AP299" s="132">
        <f t="shared" si="595"/>
        <v>-1000</v>
      </c>
      <c r="AQ299" s="132">
        <f t="shared" si="595"/>
        <v>-1000</v>
      </c>
      <c r="AR299" s="132">
        <f t="shared" si="595"/>
        <v>-1000</v>
      </c>
      <c r="AS299" s="132">
        <f t="shared" si="595"/>
        <v>-1000</v>
      </c>
    </row>
    <row r="300">
      <c r="A300" s="132" t="s">
        <v>3802</v>
      </c>
      <c r="B300" s="132">
        <v>710.0</v>
      </c>
      <c r="C300" s="132">
        <v>0.0</v>
      </c>
      <c r="D300" s="132">
        <v>0.0</v>
      </c>
      <c r="E300" s="132">
        <v>0.0</v>
      </c>
      <c r="F300" s="132">
        <v>0.0</v>
      </c>
      <c r="G300" s="132">
        <v>0.0</v>
      </c>
      <c r="H300" s="132">
        <v>0.0</v>
      </c>
      <c r="I300" s="132">
        <v>0.0</v>
      </c>
      <c r="J300" s="132">
        <v>0.0</v>
      </c>
      <c r="K300" s="132">
        <v>0.0</v>
      </c>
      <c r="L300" s="132">
        <v>710.0</v>
      </c>
      <c r="M300" s="132">
        <v>0.0</v>
      </c>
      <c r="N300" s="132">
        <v>0.0</v>
      </c>
      <c r="O300" s="132">
        <v>0.0</v>
      </c>
      <c r="P300" s="132">
        <v>0.0</v>
      </c>
      <c r="Q300" s="132">
        <v>0.0</v>
      </c>
      <c r="R300" s="132">
        <v>0.0</v>
      </c>
      <c r="S300" s="132">
        <v>0.0</v>
      </c>
      <c r="T300" s="132">
        <v>0.0</v>
      </c>
      <c r="U300" s="132">
        <v>0.0</v>
      </c>
      <c r="V300" s="132">
        <v>0.0</v>
      </c>
      <c r="W300" s="132">
        <v>0.0</v>
      </c>
      <c r="Y300" s="132" t="s">
        <v>3802</v>
      </c>
      <c r="Z300" s="132">
        <f t="shared" ref="Z300:AC300" si="596">C300-1000</f>
        <v>-1000</v>
      </c>
      <c r="AA300" s="132">
        <f t="shared" si="596"/>
        <v>-1000</v>
      </c>
      <c r="AB300" s="132">
        <f t="shared" si="596"/>
        <v>-1000</v>
      </c>
      <c r="AC300" s="132">
        <f t="shared" si="596"/>
        <v>-1000</v>
      </c>
      <c r="AD300" s="132">
        <f t="shared" si="4"/>
        <v>-10000</v>
      </c>
      <c r="AE300" s="132">
        <f t="shared" ref="AE300:AS300" si="597">H300-1000</f>
        <v>-1000</v>
      </c>
      <c r="AF300" s="132">
        <f t="shared" si="597"/>
        <v>-1000</v>
      </c>
      <c r="AG300" s="132">
        <f t="shared" si="597"/>
        <v>-1000</v>
      </c>
      <c r="AH300" s="132">
        <f t="shared" si="597"/>
        <v>-1000</v>
      </c>
      <c r="AI300" s="132">
        <f t="shared" si="597"/>
        <v>-290</v>
      </c>
      <c r="AJ300" s="132">
        <f t="shared" si="597"/>
        <v>-1000</v>
      </c>
      <c r="AK300" s="132">
        <f t="shared" si="597"/>
        <v>-1000</v>
      </c>
      <c r="AL300" s="132">
        <f t="shared" si="597"/>
        <v>-1000</v>
      </c>
      <c r="AM300" s="132">
        <f t="shared" si="597"/>
        <v>-1000</v>
      </c>
      <c r="AN300" s="132">
        <f t="shared" si="597"/>
        <v>-1000</v>
      </c>
      <c r="AO300" s="132">
        <f t="shared" si="597"/>
        <v>-1000</v>
      </c>
      <c r="AP300" s="132">
        <f t="shared" si="597"/>
        <v>-1000</v>
      </c>
      <c r="AQ300" s="132">
        <f t="shared" si="597"/>
        <v>-1000</v>
      </c>
      <c r="AR300" s="132">
        <f t="shared" si="597"/>
        <v>-1000</v>
      </c>
      <c r="AS300" s="132">
        <f t="shared" si="597"/>
        <v>-1000</v>
      </c>
    </row>
    <row r="301">
      <c r="A301" s="132" t="s">
        <v>3803</v>
      </c>
      <c r="B301" s="132">
        <v>100.0</v>
      </c>
      <c r="C301" s="132">
        <v>0.0</v>
      </c>
      <c r="D301" s="132">
        <v>0.0</v>
      </c>
      <c r="E301" s="132">
        <v>0.0</v>
      </c>
      <c r="F301" s="132">
        <v>0.0</v>
      </c>
      <c r="G301" s="132">
        <v>0.0</v>
      </c>
      <c r="H301" s="132">
        <v>0.0</v>
      </c>
      <c r="I301" s="132">
        <v>0.0</v>
      </c>
      <c r="J301" s="132">
        <v>0.0</v>
      </c>
      <c r="K301" s="132">
        <v>0.0</v>
      </c>
      <c r="L301" s="132">
        <v>100.0</v>
      </c>
      <c r="M301" s="132">
        <v>0.0</v>
      </c>
      <c r="N301" s="132">
        <v>0.0</v>
      </c>
      <c r="O301" s="132">
        <v>0.0</v>
      </c>
      <c r="P301" s="132">
        <v>0.0</v>
      </c>
      <c r="Q301" s="132">
        <v>0.0</v>
      </c>
      <c r="R301" s="132">
        <v>0.0</v>
      </c>
      <c r="S301" s="132">
        <v>0.0</v>
      </c>
      <c r="T301" s="132">
        <v>0.0</v>
      </c>
      <c r="U301" s="132">
        <v>0.0</v>
      </c>
      <c r="V301" s="132">
        <v>0.0</v>
      </c>
      <c r="W301" s="132">
        <v>0.0</v>
      </c>
      <c r="Y301" s="132" t="s">
        <v>3803</v>
      </c>
      <c r="Z301" s="132">
        <f t="shared" ref="Z301:AC301" si="598">C301-1000</f>
        <v>-1000</v>
      </c>
      <c r="AA301" s="132">
        <f t="shared" si="598"/>
        <v>-1000</v>
      </c>
      <c r="AB301" s="132">
        <f t="shared" si="598"/>
        <v>-1000</v>
      </c>
      <c r="AC301" s="132">
        <f t="shared" si="598"/>
        <v>-1000</v>
      </c>
      <c r="AD301" s="132">
        <f t="shared" si="4"/>
        <v>-10000</v>
      </c>
      <c r="AE301" s="132">
        <f t="shared" ref="AE301:AS301" si="599">H301-1000</f>
        <v>-1000</v>
      </c>
      <c r="AF301" s="132">
        <f t="shared" si="599"/>
        <v>-1000</v>
      </c>
      <c r="AG301" s="132">
        <f t="shared" si="599"/>
        <v>-1000</v>
      </c>
      <c r="AH301" s="132">
        <f t="shared" si="599"/>
        <v>-1000</v>
      </c>
      <c r="AI301" s="132">
        <f t="shared" si="599"/>
        <v>-900</v>
      </c>
      <c r="AJ301" s="132">
        <f t="shared" si="599"/>
        <v>-1000</v>
      </c>
      <c r="AK301" s="132">
        <f t="shared" si="599"/>
        <v>-1000</v>
      </c>
      <c r="AL301" s="132">
        <f t="shared" si="599"/>
        <v>-1000</v>
      </c>
      <c r="AM301" s="132">
        <f t="shared" si="599"/>
        <v>-1000</v>
      </c>
      <c r="AN301" s="132">
        <f t="shared" si="599"/>
        <v>-1000</v>
      </c>
      <c r="AO301" s="132">
        <f t="shared" si="599"/>
        <v>-1000</v>
      </c>
      <c r="AP301" s="132">
        <f t="shared" si="599"/>
        <v>-1000</v>
      </c>
      <c r="AQ301" s="132">
        <f t="shared" si="599"/>
        <v>-1000</v>
      </c>
      <c r="AR301" s="132">
        <f t="shared" si="599"/>
        <v>-1000</v>
      </c>
      <c r="AS301" s="132">
        <f t="shared" si="599"/>
        <v>-1000</v>
      </c>
    </row>
    <row r="302">
      <c r="A302" s="132" t="s">
        <v>3804</v>
      </c>
      <c r="B302" s="132">
        <v>100.0</v>
      </c>
      <c r="C302" s="132">
        <v>0.0</v>
      </c>
      <c r="D302" s="132">
        <v>0.0</v>
      </c>
      <c r="E302" s="132">
        <v>0.0</v>
      </c>
      <c r="F302" s="132">
        <v>0.0</v>
      </c>
      <c r="G302" s="132">
        <v>0.0</v>
      </c>
      <c r="H302" s="132">
        <v>0.0</v>
      </c>
      <c r="I302" s="132">
        <v>0.0</v>
      </c>
      <c r="J302" s="132">
        <v>0.0</v>
      </c>
      <c r="K302" s="132">
        <v>0.0</v>
      </c>
      <c r="L302" s="132">
        <v>100.0</v>
      </c>
      <c r="M302" s="132">
        <v>0.0</v>
      </c>
      <c r="N302" s="132">
        <v>0.0</v>
      </c>
      <c r="O302" s="132">
        <v>0.0</v>
      </c>
      <c r="P302" s="132">
        <v>0.0</v>
      </c>
      <c r="Q302" s="132">
        <v>0.0</v>
      </c>
      <c r="R302" s="132">
        <v>0.0</v>
      </c>
      <c r="S302" s="132">
        <v>0.0</v>
      </c>
      <c r="T302" s="132">
        <v>0.0</v>
      </c>
      <c r="U302" s="132">
        <v>0.0</v>
      </c>
      <c r="V302" s="132">
        <v>0.0</v>
      </c>
      <c r="W302" s="132">
        <v>0.0</v>
      </c>
      <c r="Y302" s="132" t="s">
        <v>3804</v>
      </c>
      <c r="Z302" s="132">
        <f t="shared" ref="Z302:AC302" si="600">C302-1000</f>
        <v>-1000</v>
      </c>
      <c r="AA302" s="132">
        <f t="shared" si="600"/>
        <v>-1000</v>
      </c>
      <c r="AB302" s="132">
        <f t="shared" si="600"/>
        <v>-1000</v>
      </c>
      <c r="AC302" s="132">
        <f t="shared" si="600"/>
        <v>-1000</v>
      </c>
      <c r="AD302" s="132">
        <f t="shared" si="4"/>
        <v>-10000</v>
      </c>
      <c r="AE302" s="132">
        <f t="shared" ref="AE302:AS302" si="601">H302-1000</f>
        <v>-1000</v>
      </c>
      <c r="AF302" s="132">
        <f t="shared" si="601"/>
        <v>-1000</v>
      </c>
      <c r="AG302" s="132">
        <f t="shared" si="601"/>
        <v>-1000</v>
      </c>
      <c r="AH302" s="132">
        <f t="shared" si="601"/>
        <v>-1000</v>
      </c>
      <c r="AI302" s="132">
        <f t="shared" si="601"/>
        <v>-900</v>
      </c>
      <c r="AJ302" s="132">
        <f t="shared" si="601"/>
        <v>-1000</v>
      </c>
      <c r="AK302" s="132">
        <f t="shared" si="601"/>
        <v>-1000</v>
      </c>
      <c r="AL302" s="132">
        <f t="shared" si="601"/>
        <v>-1000</v>
      </c>
      <c r="AM302" s="132">
        <f t="shared" si="601"/>
        <v>-1000</v>
      </c>
      <c r="AN302" s="132">
        <f t="shared" si="601"/>
        <v>-1000</v>
      </c>
      <c r="AO302" s="132">
        <f t="shared" si="601"/>
        <v>-1000</v>
      </c>
      <c r="AP302" s="132">
        <f t="shared" si="601"/>
        <v>-1000</v>
      </c>
      <c r="AQ302" s="132">
        <f t="shared" si="601"/>
        <v>-1000</v>
      </c>
      <c r="AR302" s="132">
        <f t="shared" si="601"/>
        <v>-1000</v>
      </c>
      <c r="AS302" s="132">
        <f t="shared" si="601"/>
        <v>-1000</v>
      </c>
    </row>
    <row r="303">
      <c r="A303" s="132" t="s">
        <v>3805</v>
      </c>
      <c r="B303" s="132">
        <v>800.0</v>
      </c>
      <c r="C303" s="132">
        <v>0.0</v>
      </c>
      <c r="D303" s="132">
        <v>0.0</v>
      </c>
      <c r="E303" s="132">
        <v>0.0</v>
      </c>
      <c r="F303" s="132">
        <v>500.0</v>
      </c>
      <c r="G303" s="132">
        <v>0.0</v>
      </c>
      <c r="H303" s="132">
        <v>0.0</v>
      </c>
      <c r="I303" s="132">
        <v>0.0</v>
      </c>
      <c r="J303" s="132">
        <v>0.0</v>
      </c>
      <c r="K303" s="132">
        <v>0.0</v>
      </c>
      <c r="L303" s="132">
        <v>300.0</v>
      </c>
      <c r="M303" s="132">
        <v>0.0</v>
      </c>
      <c r="N303" s="132">
        <v>0.0</v>
      </c>
      <c r="O303" s="132">
        <v>0.0</v>
      </c>
      <c r="P303" s="132">
        <v>0.0</v>
      </c>
      <c r="Q303" s="132">
        <v>0.0</v>
      </c>
      <c r="R303" s="132">
        <v>0.0</v>
      </c>
      <c r="S303" s="132">
        <v>0.0</v>
      </c>
      <c r="T303" s="132">
        <v>0.0</v>
      </c>
      <c r="U303" s="132">
        <v>0.0</v>
      </c>
      <c r="V303" s="132">
        <v>0.0</v>
      </c>
      <c r="W303" s="132">
        <v>0.0</v>
      </c>
      <c r="Y303" s="132" t="s">
        <v>3805</v>
      </c>
      <c r="Z303" s="132">
        <f t="shared" ref="Z303:AC303" si="602">C303-1000</f>
        <v>-1000</v>
      </c>
      <c r="AA303" s="132">
        <f t="shared" si="602"/>
        <v>-1000</v>
      </c>
      <c r="AB303" s="132">
        <f t="shared" si="602"/>
        <v>-1000</v>
      </c>
      <c r="AC303" s="132">
        <f t="shared" si="602"/>
        <v>-500</v>
      </c>
      <c r="AD303" s="132">
        <f t="shared" si="4"/>
        <v>-10000</v>
      </c>
      <c r="AE303" s="132">
        <f t="shared" ref="AE303:AS303" si="603">H303-1000</f>
        <v>-1000</v>
      </c>
      <c r="AF303" s="132">
        <f t="shared" si="603"/>
        <v>-1000</v>
      </c>
      <c r="AG303" s="132">
        <f t="shared" si="603"/>
        <v>-1000</v>
      </c>
      <c r="AH303" s="132">
        <f t="shared" si="603"/>
        <v>-1000</v>
      </c>
      <c r="AI303" s="132">
        <f t="shared" si="603"/>
        <v>-700</v>
      </c>
      <c r="AJ303" s="132">
        <f t="shared" si="603"/>
        <v>-1000</v>
      </c>
      <c r="AK303" s="132">
        <f t="shared" si="603"/>
        <v>-1000</v>
      </c>
      <c r="AL303" s="132">
        <f t="shared" si="603"/>
        <v>-1000</v>
      </c>
      <c r="AM303" s="132">
        <f t="shared" si="603"/>
        <v>-1000</v>
      </c>
      <c r="AN303" s="132">
        <f t="shared" si="603"/>
        <v>-1000</v>
      </c>
      <c r="AO303" s="132">
        <f t="shared" si="603"/>
        <v>-1000</v>
      </c>
      <c r="AP303" s="132">
        <f t="shared" si="603"/>
        <v>-1000</v>
      </c>
      <c r="AQ303" s="132">
        <f t="shared" si="603"/>
        <v>-1000</v>
      </c>
      <c r="AR303" s="132">
        <f t="shared" si="603"/>
        <v>-1000</v>
      </c>
      <c r="AS303" s="132">
        <f t="shared" si="603"/>
        <v>-1000</v>
      </c>
    </row>
    <row r="304">
      <c r="A304" s="132" t="s">
        <v>3806</v>
      </c>
      <c r="B304" s="132">
        <v>200.0</v>
      </c>
      <c r="C304" s="132">
        <v>0.0</v>
      </c>
      <c r="D304" s="132">
        <v>0.0</v>
      </c>
      <c r="E304" s="132">
        <v>0.0</v>
      </c>
      <c r="F304" s="132">
        <v>0.0</v>
      </c>
      <c r="G304" s="132">
        <v>0.0</v>
      </c>
      <c r="H304" s="132">
        <v>0.0</v>
      </c>
      <c r="I304" s="132">
        <v>0.0</v>
      </c>
      <c r="J304" s="132">
        <v>0.0</v>
      </c>
      <c r="K304" s="132">
        <v>0.0</v>
      </c>
      <c r="L304" s="132">
        <v>200.0</v>
      </c>
      <c r="M304" s="132">
        <v>0.0</v>
      </c>
      <c r="N304" s="132">
        <v>0.0</v>
      </c>
      <c r="O304" s="132">
        <v>0.0</v>
      </c>
      <c r="P304" s="132">
        <v>0.0</v>
      </c>
      <c r="Q304" s="132">
        <v>0.0</v>
      </c>
      <c r="R304" s="132">
        <v>0.0</v>
      </c>
      <c r="S304" s="132">
        <v>0.0</v>
      </c>
      <c r="T304" s="132">
        <v>0.0</v>
      </c>
      <c r="U304" s="132">
        <v>0.0</v>
      </c>
      <c r="V304" s="132">
        <v>0.0</v>
      </c>
      <c r="W304" s="132">
        <v>0.0</v>
      </c>
      <c r="Y304" s="132" t="s">
        <v>3806</v>
      </c>
      <c r="Z304" s="132">
        <f t="shared" ref="Z304:AC304" si="604">C304-1000</f>
        <v>-1000</v>
      </c>
      <c r="AA304" s="132">
        <f t="shared" si="604"/>
        <v>-1000</v>
      </c>
      <c r="AB304" s="132">
        <f t="shared" si="604"/>
        <v>-1000</v>
      </c>
      <c r="AC304" s="132">
        <f t="shared" si="604"/>
        <v>-1000</v>
      </c>
      <c r="AD304" s="132">
        <f t="shared" si="4"/>
        <v>-10000</v>
      </c>
      <c r="AE304" s="132">
        <f t="shared" ref="AE304:AS304" si="605">H304-1000</f>
        <v>-1000</v>
      </c>
      <c r="AF304" s="132">
        <f t="shared" si="605"/>
        <v>-1000</v>
      </c>
      <c r="AG304" s="132">
        <f t="shared" si="605"/>
        <v>-1000</v>
      </c>
      <c r="AH304" s="132">
        <f t="shared" si="605"/>
        <v>-1000</v>
      </c>
      <c r="AI304" s="132">
        <f t="shared" si="605"/>
        <v>-800</v>
      </c>
      <c r="AJ304" s="132">
        <f t="shared" si="605"/>
        <v>-1000</v>
      </c>
      <c r="AK304" s="132">
        <f t="shared" si="605"/>
        <v>-1000</v>
      </c>
      <c r="AL304" s="132">
        <f t="shared" si="605"/>
        <v>-1000</v>
      </c>
      <c r="AM304" s="132">
        <f t="shared" si="605"/>
        <v>-1000</v>
      </c>
      <c r="AN304" s="132">
        <f t="shared" si="605"/>
        <v>-1000</v>
      </c>
      <c r="AO304" s="132">
        <f t="shared" si="605"/>
        <v>-1000</v>
      </c>
      <c r="AP304" s="132">
        <f t="shared" si="605"/>
        <v>-1000</v>
      </c>
      <c r="AQ304" s="132">
        <f t="shared" si="605"/>
        <v>-1000</v>
      </c>
      <c r="AR304" s="132">
        <f t="shared" si="605"/>
        <v>-1000</v>
      </c>
      <c r="AS304" s="132">
        <f t="shared" si="605"/>
        <v>-1000</v>
      </c>
    </row>
    <row r="305">
      <c r="A305" s="132" t="s">
        <v>3807</v>
      </c>
      <c r="B305" s="132">
        <v>650.0</v>
      </c>
      <c r="C305" s="132">
        <v>0.0</v>
      </c>
      <c r="D305" s="132">
        <v>0.0</v>
      </c>
      <c r="E305" s="132">
        <v>0.0</v>
      </c>
      <c r="F305" s="132">
        <v>0.0</v>
      </c>
      <c r="G305" s="132">
        <v>0.0</v>
      </c>
      <c r="H305" s="132">
        <v>0.0</v>
      </c>
      <c r="I305" s="132">
        <v>0.0</v>
      </c>
      <c r="J305" s="132">
        <v>0.0</v>
      </c>
      <c r="K305" s="132">
        <v>250.0</v>
      </c>
      <c r="L305" s="132">
        <v>400.0</v>
      </c>
      <c r="M305" s="132">
        <v>0.0</v>
      </c>
      <c r="N305" s="132">
        <v>0.0</v>
      </c>
      <c r="O305" s="132">
        <v>0.0</v>
      </c>
      <c r="P305" s="132">
        <v>0.0</v>
      </c>
      <c r="Q305" s="132">
        <v>0.0</v>
      </c>
      <c r="R305" s="132">
        <v>0.0</v>
      </c>
      <c r="S305" s="132">
        <v>0.0</v>
      </c>
      <c r="T305" s="132">
        <v>0.0</v>
      </c>
      <c r="U305" s="132">
        <v>0.0</v>
      </c>
      <c r="V305" s="132">
        <v>0.0</v>
      </c>
      <c r="W305" s="132">
        <v>1.0</v>
      </c>
      <c r="Y305" s="132" t="s">
        <v>3807</v>
      </c>
      <c r="Z305" s="132">
        <f t="shared" ref="Z305:AC305" si="606">C305-1000</f>
        <v>-1000</v>
      </c>
      <c r="AA305" s="132">
        <f t="shared" si="606"/>
        <v>-1000</v>
      </c>
      <c r="AB305" s="132">
        <f t="shared" si="606"/>
        <v>-1000</v>
      </c>
      <c r="AC305" s="132">
        <f t="shared" si="606"/>
        <v>-1000</v>
      </c>
      <c r="AD305" s="132">
        <f t="shared" si="4"/>
        <v>-10000</v>
      </c>
      <c r="AE305" s="132">
        <f t="shared" ref="AE305:AS305" si="607">H305-1000</f>
        <v>-1000</v>
      </c>
      <c r="AF305" s="132">
        <f t="shared" si="607"/>
        <v>-1000</v>
      </c>
      <c r="AG305" s="132">
        <f t="shared" si="607"/>
        <v>-1000</v>
      </c>
      <c r="AH305" s="132">
        <f t="shared" si="607"/>
        <v>-750</v>
      </c>
      <c r="AI305" s="132">
        <f t="shared" si="607"/>
        <v>-600</v>
      </c>
      <c r="AJ305" s="132">
        <f t="shared" si="607"/>
        <v>-1000</v>
      </c>
      <c r="AK305" s="132">
        <f t="shared" si="607"/>
        <v>-1000</v>
      </c>
      <c r="AL305" s="132">
        <f t="shared" si="607"/>
        <v>-1000</v>
      </c>
      <c r="AM305" s="132">
        <f t="shared" si="607"/>
        <v>-1000</v>
      </c>
      <c r="AN305" s="132">
        <f t="shared" si="607"/>
        <v>-1000</v>
      </c>
      <c r="AO305" s="132">
        <f t="shared" si="607"/>
        <v>-1000</v>
      </c>
      <c r="AP305" s="132">
        <f t="shared" si="607"/>
        <v>-1000</v>
      </c>
      <c r="AQ305" s="132">
        <f t="shared" si="607"/>
        <v>-1000</v>
      </c>
      <c r="AR305" s="132">
        <f t="shared" si="607"/>
        <v>-1000</v>
      </c>
      <c r="AS305" s="132">
        <f t="shared" si="607"/>
        <v>-1000</v>
      </c>
    </row>
    <row r="306">
      <c r="A306" s="132" t="s">
        <v>3808</v>
      </c>
      <c r="B306" s="132">
        <v>1500.0</v>
      </c>
      <c r="C306" s="132">
        <v>0.0</v>
      </c>
      <c r="D306" s="132">
        <v>0.0</v>
      </c>
      <c r="E306" s="132">
        <v>0.0</v>
      </c>
      <c r="F306" s="132">
        <v>250.0</v>
      </c>
      <c r="G306" s="132">
        <v>500.0</v>
      </c>
      <c r="H306" s="132">
        <v>50.0</v>
      </c>
      <c r="I306" s="132">
        <v>0.0</v>
      </c>
      <c r="J306" s="132">
        <v>0.0</v>
      </c>
      <c r="K306" s="132">
        <v>0.0</v>
      </c>
      <c r="L306" s="132">
        <v>700.0</v>
      </c>
      <c r="M306" s="132">
        <v>0.0</v>
      </c>
      <c r="N306" s="132">
        <v>0.0</v>
      </c>
      <c r="O306" s="132">
        <v>0.0</v>
      </c>
      <c r="P306" s="132">
        <v>0.0</v>
      </c>
      <c r="Q306" s="132">
        <v>0.0</v>
      </c>
      <c r="R306" s="132">
        <v>0.0</v>
      </c>
      <c r="S306" s="132">
        <v>0.0</v>
      </c>
      <c r="T306" s="132">
        <v>0.0</v>
      </c>
      <c r="U306" s="132">
        <v>0.0</v>
      </c>
      <c r="V306" s="132">
        <v>0.0</v>
      </c>
      <c r="W306" s="132">
        <v>1.0</v>
      </c>
      <c r="Y306" s="132" t="s">
        <v>3808</v>
      </c>
      <c r="Z306" s="132">
        <f t="shared" ref="Z306:AC306" si="608">C306-1000</f>
        <v>-1000</v>
      </c>
      <c r="AA306" s="132">
        <f t="shared" si="608"/>
        <v>-1000</v>
      </c>
      <c r="AB306" s="132">
        <f t="shared" si="608"/>
        <v>-1000</v>
      </c>
      <c r="AC306" s="132">
        <f t="shared" si="608"/>
        <v>-750</v>
      </c>
      <c r="AD306" s="132">
        <f t="shared" si="4"/>
        <v>-9500</v>
      </c>
      <c r="AE306" s="132">
        <f t="shared" ref="AE306:AS306" si="609">H306-1000</f>
        <v>-950</v>
      </c>
      <c r="AF306" s="132">
        <f t="shared" si="609"/>
        <v>-1000</v>
      </c>
      <c r="AG306" s="132">
        <f t="shared" si="609"/>
        <v>-1000</v>
      </c>
      <c r="AH306" s="132">
        <f t="shared" si="609"/>
        <v>-1000</v>
      </c>
      <c r="AI306" s="132">
        <f t="shared" si="609"/>
        <v>-300</v>
      </c>
      <c r="AJ306" s="132">
        <f t="shared" si="609"/>
        <v>-1000</v>
      </c>
      <c r="AK306" s="132">
        <f t="shared" si="609"/>
        <v>-1000</v>
      </c>
      <c r="AL306" s="132">
        <f t="shared" si="609"/>
        <v>-1000</v>
      </c>
      <c r="AM306" s="132">
        <f t="shared" si="609"/>
        <v>-1000</v>
      </c>
      <c r="AN306" s="132">
        <f t="shared" si="609"/>
        <v>-1000</v>
      </c>
      <c r="AO306" s="132">
        <f t="shared" si="609"/>
        <v>-1000</v>
      </c>
      <c r="AP306" s="132">
        <f t="shared" si="609"/>
        <v>-1000</v>
      </c>
      <c r="AQ306" s="132">
        <f t="shared" si="609"/>
        <v>-1000</v>
      </c>
      <c r="AR306" s="132">
        <f t="shared" si="609"/>
        <v>-1000</v>
      </c>
      <c r="AS306" s="132">
        <f t="shared" si="609"/>
        <v>-1000</v>
      </c>
    </row>
    <row r="307">
      <c r="A307" s="132" t="s">
        <v>3809</v>
      </c>
      <c r="B307" s="132">
        <v>30.0</v>
      </c>
      <c r="C307" s="132">
        <v>0.0</v>
      </c>
      <c r="D307" s="132">
        <v>0.0</v>
      </c>
      <c r="E307" s="132">
        <v>0.0</v>
      </c>
      <c r="F307" s="132">
        <v>0.0</v>
      </c>
      <c r="G307" s="132">
        <v>0.0</v>
      </c>
      <c r="H307" s="132">
        <v>0.0</v>
      </c>
      <c r="I307" s="132">
        <v>0.0</v>
      </c>
      <c r="J307" s="132">
        <v>0.0</v>
      </c>
      <c r="K307" s="132">
        <v>0.0</v>
      </c>
      <c r="L307" s="132">
        <v>30.0</v>
      </c>
      <c r="M307" s="132">
        <v>0.0</v>
      </c>
      <c r="N307" s="132">
        <v>0.0</v>
      </c>
      <c r="O307" s="132">
        <v>0.0</v>
      </c>
      <c r="P307" s="132">
        <v>0.0</v>
      </c>
      <c r="Q307" s="132">
        <v>0.0</v>
      </c>
      <c r="R307" s="132">
        <v>0.0</v>
      </c>
      <c r="S307" s="132">
        <v>0.0</v>
      </c>
      <c r="T307" s="132">
        <v>0.0</v>
      </c>
      <c r="U307" s="132">
        <v>0.0</v>
      </c>
      <c r="V307" s="132">
        <v>0.0</v>
      </c>
      <c r="W307" s="132">
        <v>1.0</v>
      </c>
      <c r="Y307" s="132" t="s">
        <v>3809</v>
      </c>
      <c r="Z307" s="132">
        <f t="shared" ref="Z307:AC307" si="610">C307-1000</f>
        <v>-1000</v>
      </c>
      <c r="AA307" s="132">
        <f t="shared" si="610"/>
        <v>-1000</v>
      </c>
      <c r="AB307" s="132">
        <f t="shared" si="610"/>
        <v>-1000</v>
      </c>
      <c r="AC307" s="132">
        <f t="shared" si="610"/>
        <v>-1000</v>
      </c>
      <c r="AD307" s="132">
        <f t="shared" si="4"/>
        <v>-10000</v>
      </c>
      <c r="AE307" s="132">
        <f t="shared" ref="AE307:AS307" si="611">H307-1000</f>
        <v>-1000</v>
      </c>
      <c r="AF307" s="132">
        <f t="shared" si="611"/>
        <v>-1000</v>
      </c>
      <c r="AG307" s="132">
        <f t="shared" si="611"/>
        <v>-1000</v>
      </c>
      <c r="AH307" s="132">
        <f t="shared" si="611"/>
        <v>-1000</v>
      </c>
      <c r="AI307" s="132">
        <f t="shared" si="611"/>
        <v>-970</v>
      </c>
      <c r="AJ307" s="132">
        <f t="shared" si="611"/>
        <v>-1000</v>
      </c>
      <c r="AK307" s="132">
        <f t="shared" si="611"/>
        <v>-1000</v>
      </c>
      <c r="AL307" s="132">
        <f t="shared" si="611"/>
        <v>-1000</v>
      </c>
      <c r="AM307" s="132">
        <f t="shared" si="611"/>
        <v>-1000</v>
      </c>
      <c r="AN307" s="132">
        <f t="shared" si="611"/>
        <v>-1000</v>
      </c>
      <c r="AO307" s="132">
        <f t="shared" si="611"/>
        <v>-1000</v>
      </c>
      <c r="AP307" s="132">
        <f t="shared" si="611"/>
        <v>-1000</v>
      </c>
      <c r="AQ307" s="132">
        <f t="shared" si="611"/>
        <v>-1000</v>
      </c>
      <c r="AR307" s="132">
        <f t="shared" si="611"/>
        <v>-1000</v>
      </c>
      <c r="AS307" s="132">
        <f t="shared" si="611"/>
        <v>-1000</v>
      </c>
    </row>
    <row r="308">
      <c r="A308" s="132" t="s">
        <v>3810</v>
      </c>
      <c r="B308" s="132">
        <v>200.0</v>
      </c>
      <c r="C308" s="132">
        <v>0.0</v>
      </c>
      <c r="D308" s="132">
        <v>0.0</v>
      </c>
      <c r="E308" s="132">
        <v>0.0</v>
      </c>
      <c r="F308" s="132">
        <v>0.0</v>
      </c>
      <c r="G308" s="132">
        <v>0.0</v>
      </c>
      <c r="H308" s="132">
        <v>0.0</v>
      </c>
      <c r="I308" s="132">
        <v>0.0</v>
      </c>
      <c r="J308" s="132">
        <v>0.0</v>
      </c>
      <c r="K308" s="132">
        <v>0.0</v>
      </c>
      <c r="L308" s="132">
        <v>200.0</v>
      </c>
      <c r="M308" s="132">
        <v>0.0</v>
      </c>
      <c r="N308" s="132">
        <v>0.0</v>
      </c>
      <c r="O308" s="132">
        <v>0.0</v>
      </c>
      <c r="P308" s="132">
        <v>0.0</v>
      </c>
      <c r="Q308" s="132">
        <v>0.0</v>
      </c>
      <c r="R308" s="132">
        <v>0.0</v>
      </c>
      <c r="S308" s="132">
        <v>0.0</v>
      </c>
      <c r="T308" s="132">
        <v>0.0</v>
      </c>
      <c r="U308" s="132">
        <v>0.0</v>
      </c>
      <c r="V308" s="132">
        <v>0.0</v>
      </c>
      <c r="W308" s="132">
        <v>1.0</v>
      </c>
      <c r="Y308" s="132" t="s">
        <v>3810</v>
      </c>
      <c r="Z308" s="132">
        <f t="shared" ref="Z308:AC308" si="612">C308-1000</f>
        <v>-1000</v>
      </c>
      <c r="AA308" s="132">
        <f t="shared" si="612"/>
        <v>-1000</v>
      </c>
      <c r="AB308" s="132">
        <f t="shared" si="612"/>
        <v>-1000</v>
      </c>
      <c r="AC308" s="132">
        <f t="shared" si="612"/>
        <v>-1000</v>
      </c>
      <c r="AD308" s="132">
        <f t="shared" si="4"/>
        <v>-10000</v>
      </c>
      <c r="AE308" s="132">
        <f t="shared" ref="AE308:AS308" si="613">H308-1000</f>
        <v>-1000</v>
      </c>
      <c r="AF308" s="132">
        <f t="shared" si="613"/>
        <v>-1000</v>
      </c>
      <c r="AG308" s="132">
        <f t="shared" si="613"/>
        <v>-1000</v>
      </c>
      <c r="AH308" s="132">
        <f t="shared" si="613"/>
        <v>-1000</v>
      </c>
      <c r="AI308" s="132">
        <f t="shared" si="613"/>
        <v>-800</v>
      </c>
      <c r="AJ308" s="132">
        <f t="shared" si="613"/>
        <v>-1000</v>
      </c>
      <c r="AK308" s="132">
        <f t="shared" si="613"/>
        <v>-1000</v>
      </c>
      <c r="AL308" s="132">
        <f t="shared" si="613"/>
        <v>-1000</v>
      </c>
      <c r="AM308" s="132">
        <f t="shared" si="613"/>
        <v>-1000</v>
      </c>
      <c r="AN308" s="132">
        <f t="shared" si="613"/>
        <v>-1000</v>
      </c>
      <c r="AO308" s="132">
        <f t="shared" si="613"/>
        <v>-1000</v>
      </c>
      <c r="AP308" s="132">
        <f t="shared" si="613"/>
        <v>-1000</v>
      </c>
      <c r="AQ308" s="132">
        <f t="shared" si="613"/>
        <v>-1000</v>
      </c>
      <c r="AR308" s="132">
        <f t="shared" si="613"/>
        <v>-1000</v>
      </c>
      <c r="AS308" s="132">
        <f t="shared" si="613"/>
        <v>-1000</v>
      </c>
    </row>
    <row r="309">
      <c r="A309" s="132" t="s">
        <v>3811</v>
      </c>
      <c r="B309" s="132">
        <v>900.0</v>
      </c>
      <c r="C309" s="132">
        <v>0.0</v>
      </c>
      <c r="D309" s="132">
        <v>0.0</v>
      </c>
      <c r="E309" s="132">
        <v>0.0</v>
      </c>
      <c r="F309" s="132">
        <v>0.0</v>
      </c>
      <c r="G309" s="132">
        <v>0.0</v>
      </c>
      <c r="H309" s="132">
        <v>0.0</v>
      </c>
      <c r="I309" s="132">
        <v>0.0</v>
      </c>
      <c r="J309" s="132">
        <v>0.0</v>
      </c>
      <c r="K309" s="132">
        <v>0.0</v>
      </c>
      <c r="L309" s="132">
        <v>400.0</v>
      </c>
      <c r="M309" s="132">
        <v>0.0</v>
      </c>
      <c r="N309" s="132">
        <v>0.0</v>
      </c>
      <c r="O309" s="132">
        <v>0.0</v>
      </c>
      <c r="P309" s="132">
        <v>0.0</v>
      </c>
      <c r="Q309" s="132">
        <v>0.0</v>
      </c>
      <c r="R309" s="132">
        <v>0.0</v>
      </c>
      <c r="S309" s="132">
        <v>0.0</v>
      </c>
      <c r="T309" s="132">
        <v>500.0</v>
      </c>
      <c r="U309" s="132">
        <v>0.0</v>
      </c>
      <c r="V309" s="132">
        <v>0.0</v>
      </c>
      <c r="W309" s="132">
        <v>1.0</v>
      </c>
      <c r="Y309" s="132" t="s">
        <v>3811</v>
      </c>
      <c r="Z309" s="132">
        <f t="shared" ref="Z309:AC309" si="614">C309-1000</f>
        <v>-1000</v>
      </c>
      <c r="AA309" s="132">
        <f t="shared" si="614"/>
        <v>-1000</v>
      </c>
      <c r="AB309" s="132">
        <f t="shared" si="614"/>
        <v>-1000</v>
      </c>
      <c r="AC309" s="132">
        <f t="shared" si="614"/>
        <v>-1000</v>
      </c>
      <c r="AD309" s="132">
        <f t="shared" si="4"/>
        <v>-10000</v>
      </c>
      <c r="AE309" s="132">
        <f t="shared" ref="AE309:AS309" si="615">H309-1000</f>
        <v>-1000</v>
      </c>
      <c r="AF309" s="132">
        <f t="shared" si="615"/>
        <v>-1000</v>
      </c>
      <c r="AG309" s="132">
        <f t="shared" si="615"/>
        <v>-1000</v>
      </c>
      <c r="AH309" s="132">
        <f t="shared" si="615"/>
        <v>-1000</v>
      </c>
      <c r="AI309" s="132">
        <f t="shared" si="615"/>
        <v>-600</v>
      </c>
      <c r="AJ309" s="132">
        <f t="shared" si="615"/>
        <v>-1000</v>
      </c>
      <c r="AK309" s="132">
        <f t="shared" si="615"/>
        <v>-1000</v>
      </c>
      <c r="AL309" s="132">
        <f t="shared" si="615"/>
        <v>-1000</v>
      </c>
      <c r="AM309" s="132">
        <f t="shared" si="615"/>
        <v>-1000</v>
      </c>
      <c r="AN309" s="132">
        <f t="shared" si="615"/>
        <v>-1000</v>
      </c>
      <c r="AO309" s="132">
        <f t="shared" si="615"/>
        <v>-1000</v>
      </c>
      <c r="AP309" s="132">
        <f t="shared" si="615"/>
        <v>-1000</v>
      </c>
      <c r="AQ309" s="132">
        <f t="shared" si="615"/>
        <v>-500</v>
      </c>
      <c r="AR309" s="132">
        <f t="shared" si="615"/>
        <v>-1000</v>
      </c>
      <c r="AS309" s="132">
        <f t="shared" si="615"/>
        <v>-1000</v>
      </c>
    </row>
    <row r="310">
      <c r="A310" s="132" t="s">
        <v>3812</v>
      </c>
      <c r="B310" s="132">
        <v>2000.0</v>
      </c>
      <c r="C310" s="132">
        <v>0.0</v>
      </c>
      <c r="D310" s="132">
        <v>0.0</v>
      </c>
      <c r="E310" s="132">
        <v>0.0</v>
      </c>
      <c r="F310" s="132">
        <v>1000.0</v>
      </c>
      <c r="G310" s="132">
        <v>0.0</v>
      </c>
      <c r="H310" s="132">
        <v>0.0</v>
      </c>
      <c r="I310" s="132">
        <v>0.0</v>
      </c>
      <c r="J310" s="132">
        <v>0.0</v>
      </c>
      <c r="K310" s="132">
        <v>0.0</v>
      </c>
      <c r="L310" s="132">
        <v>1000.0</v>
      </c>
      <c r="M310" s="132">
        <v>0.0</v>
      </c>
      <c r="N310" s="132">
        <v>0.0</v>
      </c>
      <c r="O310" s="132">
        <v>0.0</v>
      </c>
      <c r="P310" s="132">
        <v>0.0</v>
      </c>
      <c r="Q310" s="132">
        <v>0.0</v>
      </c>
      <c r="R310" s="132">
        <v>0.0</v>
      </c>
      <c r="S310" s="132">
        <v>0.0</v>
      </c>
      <c r="T310" s="132">
        <v>0.0</v>
      </c>
      <c r="U310" s="132">
        <v>0.0</v>
      </c>
      <c r="V310" s="132">
        <v>0.0</v>
      </c>
      <c r="W310" s="132">
        <v>0.0</v>
      </c>
      <c r="Y310" s="132" t="s">
        <v>3812</v>
      </c>
      <c r="Z310" s="132">
        <f t="shared" ref="Z310:AC310" si="616">C310-1000</f>
        <v>-1000</v>
      </c>
      <c r="AA310" s="132">
        <f t="shared" si="616"/>
        <v>-1000</v>
      </c>
      <c r="AB310" s="132">
        <f t="shared" si="616"/>
        <v>-1000</v>
      </c>
      <c r="AC310" s="132">
        <f t="shared" si="616"/>
        <v>0</v>
      </c>
      <c r="AD310" s="132">
        <f t="shared" si="4"/>
        <v>-10000</v>
      </c>
      <c r="AE310" s="132">
        <f t="shared" ref="AE310:AS310" si="617">H310-1000</f>
        <v>-1000</v>
      </c>
      <c r="AF310" s="132">
        <f t="shared" si="617"/>
        <v>-1000</v>
      </c>
      <c r="AG310" s="132">
        <f t="shared" si="617"/>
        <v>-1000</v>
      </c>
      <c r="AH310" s="132">
        <f t="shared" si="617"/>
        <v>-1000</v>
      </c>
      <c r="AI310" s="132">
        <f t="shared" si="617"/>
        <v>0</v>
      </c>
      <c r="AJ310" s="132">
        <f t="shared" si="617"/>
        <v>-1000</v>
      </c>
      <c r="AK310" s="132">
        <f t="shared" si="617"/>
        <v>-1000</v>
      </c>
      <c r="AL310" s="132">
        <f t="shared" si="617"/>
        <v>-1000</v>
      </c>
      <c r="AM310" s="132">
        <f t="shared" si="617"/>
        <v>-1000</v>
      </c>
      <c r="AN310" s="132">
        <f t="shared" si="617"/>
        <v>-1000</v>
      </c>
      <c r="AO310" s="132">
        <f t="shared" si="617"/>
        <v>-1000</v>
      </c>
      <c r="AP310" s="132">
        <f t="shared" si="617"/>
        <v>-1000</v>
      </c>
      <c r="AQ310" s="132">
        <f t="shared" si="617"/>
        <v>-1000</v>
      </c>
      <c r="AR310" s="132">
        <f t="shared" si="617"/>
        <v>-1000</v>
      </c>
      <c r="AS310" s="132">
        <f t="shared" si="617"/>
        <v>-1000</v>
      </c>
    </row>
    <row r="311">
      <c r="A311" s="132" t="s">
        <v>3813</v>
      </c>
      <c r="B311" s="132">
        <v>500.0</v>
      </c>
      <c r="C311" s="132">
        <v>0.0</v>
      </c>
      <c r="D311" s="132">
        <v>0.0</v>
      </c>
      <c r="E311" s="132">
        <v>0.0</v>
      </c>
      <c r="F311" s="132">
        <v>0.0</v>
      </c>
      <c r="G311" s="132">
        <v>0.0</v>
      </c>
      <c r="H311" s="132">
        <v>0.0</v>
      </c>
      <c r="I311" s="132">
        <v>0.0</v>
      </c>
      <c r="J311" s="132">
        <v>0.0</v>
      </c>
      <c r="K311" s="132">
        <v>0.0</v>
      </c>
      <c r="L311" s="132">
        <v>500.0</v>
      </c>
      <c r="M311" s="132">
        <v>0.0</v>
      </c>
      <c r="N311" s="132">
        <v>0.0</v>
      </c>
      <c r="O311" s="132">
        <v>0.0</v>
      </c>
      <c r="P311" s="132">
        <v>0.0</v>
      </c>
      <c r="Q311" s="132">
        <v>0.0</v>
      </c>
      <c r="R311" s="132">
        <v>0.0</v>
      </c>
      <c r="S311" s="132">
        <v>0.0</v>
      </c>
      <c r="T311" s="132">
        <v>0.0</v>
      </c>
      <c r="U311" s="132">
        <v>0.0</v>
      </c>
      <c r="V311" s="132">
        <v>0.0</v>
      </c>
      <c r="W311" s="132">
        <v>0.0</v>
      </c>
      <c r="Y311" s="132" t="s">
        <v>3813</v>
      </c>
      <c r="Z311" s="132">
        <f t="shared" ref="Z311:AC311" si="618">C311-1000</f>
        <v>-1000</v>
      </c>
      <c r="AA311" s="132">
        <f t="shared" si="618"/>
        <v>-1000</v>
      </c>
      <c r="AB311" s="132">
        <f t="shared" si="618"/>
        <v>-1000</v>
      </c>
      <c r="AC311" s="132">
        <f t="shared" si="618"/>
        <v>-1000</v>
      </c>
      <c r="AD311" s="132">
        <f t="shared" si="4"/>
        <v>-10000</v>
      </c>
      <c r="AE311" s="132">
        <f t="shared" ref="AE311:AS311" si="619">H311-1000</f>
        <v>-1000</v>
      </c>
      <c r="AF311" s="132">
        <f t="shared" si="619"/>
        <v>-1000</v>
      </c>
      <c r="AG311" s="132">
        <f t="shared" si="619"/>
        <v>-1000</v>
      </c>
      <c r="AH311" s="132">
        <f t="shared" si="619"/>
        <v>-1000</v>
      </c>
      <c r="AI311" s="132">
        <f t="shared" si="619"/>
        <v>-500</v>
      </c>
      <c r="AJ311" s="132">
        <f t="shared" si="619"/>
        <v>-1000</v>
      </c>
      <c r="AK311" s="132">
        <f t="shared" si="619"/>
        <v>-1000</v>
      </c>
      <c r="AL311" s="132">
        <f t="shared" si="619"/>
        <v>-1000</v>
      </c>
      <c r="AM311" s="132">
        <f t="shared" si="619"/>
        <v>-1000</v>
      </c>
      <c r="AN311" s="132">
        <f t="shared" si="619"/>
        <v>-1000</v>
      </c>
      <c r="AO311" s="132">
        <f t="shared" si="619"/>
        <v>-1000</v>
      </c>
      <c r="AP311" s="132">
        <f t="shared" si="619"/>
        <v>-1000</v>
      </c>
      <c r="AQ311" s="132">
        <f t="shared" si="619"/>
        <v>-1000</v>
      </c>
      <c r="AR311" s="132">
        <f t="shared" si="619"/>
        <v>-1000</v>
      </c>
      <c r="AS311" s="132">
        <f t="shared" si="619"/>
        <v>-1000</v>
      </c>
    </row>
    <row r="312">
      <c r="A312" s="132" t="s">
        <v>3814</v>
      </c>
      <c r="B312" s="132">
        <v>200.0</v>
      </c>
      <c r="C312" s="132">
        <v>0.0</v>
      </c>
      <c r="D312" s="132">
        <v>0.0</v>
      </c>
      <c r="E312" s="132">
        <v>0.0</v>
      </c>
      <c r="F312" s="132">
        <v>0.0</v>
      </c>
      <c r="G312" s="132">
        <v>0.0</v>
      </c>
      <c r="H312" s="132">
        <v>0.0</v>
      </c>
      <c r="I312" s="132">
        <v>0.0</v>
      </c>
      <c r="J312" s="132">
        <v>0.0</v>
      </c>
      <c r="K312" s="132">
        <v>0.0</v>
      </c>
      <c r="L312" s="132">
        <v>200.0</v>
      </c>
      <c r="M312" s="132">
        <v>0.0</v>
      </c>
      <c r="N312" s="132">
        <v>0.0</v>
      </c>
      <c r="O312" s="132">
        <v>0.0</v>
      </c>
      <c r="P312" s="132">
        <v>0.0</v>
      </c>
      <c r="Q312" s="132">
        <v>0.0</v>
      </c>
      <c r="R312" s="132">
        <v>0.0</v>
      </c>
      <c r="S312" s="132">
        <v>0.0</v>
      </c>
      <c r="T312" s="132">
        <v>0.0</v>
      </c>
      <c r="U312" s="132">
        <v>0.0</v>
      </c>
      <c r="V312" s="132">
        <v>0.0</v>
      </c>
      <c r="W312" s="132">
        <v>0.0</v>
      </c>
      <c r="Y312" s="132" t="s">
        <v>3814</v>
      </c>
      <c r="Z312" s="132">
        <f t="shared" ref="Z312:AC312" si="620">C312-1000</f>
        <v>-1000</v>
      </c>
      <c r="AA312" s="132">
        <f t="shared" si="620"/>
        <v>-1000</v>
      </c>
      <c r="AB312" s="132">
        <f t="shared" si="620"/>
        <v>-1000</v>
      </c>
      <c r="AC312" s="132">
        <f t="shared" si="620"/>
        <v>-1000</v>
      </c>
      <c r="AD312" s="132">
        <f t="shared" si="4"/>
        <v>-10000</v>
      </c>
      <c r="AE312" s="132">
        <f t="shared" ref="AE312:AS312" si="621">H312-1000</f>
        <v>-1000</v>
      </c>
      <c r="AF312" s="132">
        <f t="shared" si="621"/>
        <v>-1000</v>
      </c>
      <c r="AG312" s="132">
        <f t="shared" si="621"/>
        <v>-1000</v>
      </c>
      <c r="AH312" s="132">
        <f t="shared" si="621"/>
        <v>-1000</v>
      </c>
      <c r="AI312" s="132">
        <f t="shared" si="621"/>
        <v>-800</v>
      </c>
      <c r="AJ312" s="132">
        <f t="shared" si="621"/>
        <v>-1000</v>
      </c>
      <c r="AK312" s="132">
        <f t="shared" si="621"/>
        <v>-1000</v>
      </c>
      <c r="AL312" s="132">
        <f t="shared" si="621"/>
        <v>-1000</v>
      </c>
      <c r="AM312" s="132">
        <f t="shared" si="621"/>
        <v>-1000</v>
      </c>
      <c r="AN312" s="132">
        <f t="shared" si="621"/>
        <v>-1000</v>
      </c>
      <c r="AO312" s="132">
        <f t="shared" si="621"/>
        <v>-1000</v>
      </c>
      <c r="AP312" s="132">
        <f t="shared" si="621"/>
        <v>-1000</v>
      </c>
      <c r="AQ312" s="132">
        <f t="shared" si="621"/>
        <v>-1000</v>
      </c>
      <c r="AR312" s="132">
        <f t="shared" si="621"/>
        <v>-1000</v>
      </c>
      <c r="AS312" s="132">
        <f t="shared" si="621"/>
        <v>-1000</v>
      </c>
    </row>
    <row r="313">
      <c r="A313" s="132" t="s">
        <v>3815</v>
      </c>
      <c r="B313" s="132">
        <v>50.0</v>
      </c>
      <c r="C313" s="132">
        <v>0.0</v>
      </c>
      <c r="D313" s="132">
        <v>0.0</v>
      </c>
      <c r="E313" s="132">
        <v>0.0</v>
      </c>
      <c r="F313" s="132">
        <v>0.0</v>
      </c>
      <c r="G313" s="132">
        <v>0.0</v>
      </c>
      <c r="H313" s="132">
        <v>0.0</v>
      </c>
      <c r="I313" s="132">
        <v>0.0</v>
      </c>
      <c r="J313" s="132">
        <v>0.0</v>
      </c>
      <c r="K313" s="132">
        <v>0.0</v>
      </c>
      <c r="L313" s="132">
        <v>50.0</v>
      </c>
      <c r="M313" s="132">
        <v>0.0</v>
      </c>
      <c r="N313" s="132">
        <v>0.0</v>
      </c>
      <c r="O313" s="132">
        <v>0.0</v>
      </c>
      <c r="P313" s="132">
        <v>0.0</v>
      </c>
      <c r="Q313" s="132">
        <v>0.0</v>
      </c>
      <c r="R313" s="132">
        <v>0.0</v>
      </c>
      <c r="S313" s="132">
        <v>0.0</v>
      </c>
      <c r="T313" s="132">
        <v>0.0</v>
      </c>
      <c r="U313" s="132">
        <v>0.0</v>
      </c>
      <c r="V313" s="132">
        <v>0.0</v>
      </c>
      <c r="W313" s="132">
        <v>0.0</v>
      </c>
      <c r="Y313" s="132" t="s">
        <v>3815</v>
      </c>
      <c r="Z313" s="132">
        <f t="shared" ref="Z313:AC313" si="622">C313-1000</f>
        <v>-1000</v>
      </c>
      <c r="AA313" s="132">
        <f t="shared" si="622"/>
        <v>-1000</v>
      </c>
      <c r="AB313" s="132">
        <f t="shared" si="622"/>
        <v>-1000</v>
      </c>
      <c r="AC313" s="132">
        <f t="shared" si="622"/>
        <v>-1000</v>
      </c>
      <c r="AD313" s="132">
        <f t="shared" si="4"/>
        <v>-10000</v>
      </c>
      <c r="AE313" s="132">
        <f t="shared" ref="AE313:AS313" si="623">H313-1000</f>
        <v>-1000</v>
      </c>
      <c r="AF313" s="132">
        <f t="shared" si="623"/>
        <v>-1000</v>
      </c>
      <c r="AG313" s="132">
        <f t="shared" si="623"/>
        <v>-1000</v>
      </c>
      <c r="AH313" s="132">
        <f t="shared" si="623"/>
        <v>-1000</v>
      </c>
      <c r="AI313" s="132">
        <f t="shared" si="623"/>
        <v>-950</v>
      </c>
      <c r="AJ313" s="132">
        <f t="shared" si="623"/>
        <v>-1000</v>
      </c>
      <c r="AK313" s="132">
        <f t="shared" si="623"/>
        <v>-1000</v>
      </c>
      <c r="AL313" s="132">
        <f t="shared" si="623"/>
        <v>-1000</v>
      </c>
      <c r="AM313" s="132">
        <f t="shared" si="623"/>
        <v>-1000</v>
      </c>
      <c r="AN313" s="132">
        <f t="shared" si="623"/>
        <v>-1000</v>
      </c>
      <c r="AO313" s="132">
        <f t="shared" si="623"/>
        <v>-1000</v>
      </c>
      <c r="AP313" s="132">
        <f t="shared" si="623"/>
        <v>-1000</v>
      </c>
      <c r="AQ313" s="132">
        <f t="shared" si="623"/>
        <v>-1000</v>
      </c>
      <c r="AR313" s="132">
        <f t="shared" si="623"/>
        <v>-1000</v>
      </c>
      <c r="AS313" s="132">
        <f t="shared" si="623"/>
        <v>-1000</v>
      </c>
    </row>
    <row r="314">
      <c r="A314" s="132" t="s">
        <v>3816</v>
      </c>
      <c r="B314" s="132">
        <v>25.0</v>
      </c>
      <c r="C314" s="132">
        <v>0.0</v>
      </c>
      <c r="D314" s="132">
        <v>0.0</v>
      </c>
      <c r="E314" s="132">
        <v>0.0</v>
      </c>
      <c r="F314" s="132">
        <v>0.0</v>
      </c>
      <c r="G314" s="132">
        <v>0.0</v>
      </c>
      <c r="H314" s="132">
        <v>0.0</v>
      </c>
      <c r="I314" s="132">
        <v>0.0</v>
      </c>
      <c r="J314" s="132">
        <v>0.0</v>
      </c>
      <c r="K314" s="132">
        <v>0.0</v>
      </c>
      <c r="L314" s="132">
        <v>25.0</v>
      </c>
      <c r="M314" s="132">
        <v>0.0</v>
      </c>
      <c r="N314" s="132">
        <v>0.0</v>
      </c>
      <c r="O314" s="132">
        <v>0.0</v>
      </c>
      <c r="P314" s="132">
        <v>0.0</v>
      </c>
      <c r="Q314" s="132">
        <v>0.0</v>
      </c>
      <c r="R314" s="132">
        <v>0.0</v>
      </c>
      <c r="S314" s="132">
        <v>0.0</v>
      </c>
      <c r="T314" s="132">
        <v>0.0</v>
      </c>
      <c r="U314" s="132">
        <v>0.0</v>
      </c>
      <c r="V314" s="132">
        <v>0.0</v>
      </c>
      <c r="W314" s="132">
        <v>0.0</v>
      </c>
      <c r="Y314" s="132" t="s">
        <v>3816</v>
      </c>
      <c r="Z314" s="132">
        <f t="shared" ref="Z314:AC314" si="624">C314-1000</f>
        <v>-1000</v>
      </c>
      <c r="AA314" s="132">
        <f t="shared" si="624"/>
        <v>-1000</v>
      </c>
      <c r="AB314" s="132">
        <f t="shared" si="624"/>
        <v>-1000</v>
      </c>
      <c r="AC314" s="132">
        <f t="shared" si="624"/>
        <v>-1000</v>
      </c>
      <c r="AD314" s="132">
        <f t="shared" si="4"/>
        <v>-10000</v>
      </c>
      <c r="AE314" s="132">
        <f t="shared" ref="AE314:AS314" si="625">H314-1000</f>
        <v>-1000</v>
      </c>
      <c r="AF314" s="132">
        <f t="shared" si="625"/>
        <v>-1000</v>
      </c>
      <c r="AG314" s="132">
        <f t="shared" si="625"/>
        <v>-1000</v>
      </c>
      <c r="AH314" s="132">
        <f t="shared" si="625"/>
        <v>-1000</v>
      </c>
      <c r="AI314" s="132">
        <f t="shared" si="625"/>
        <v>-975</v>
      </c>
      <c r="AJ314" s="132">
        <f t="shared" si="625"/>
        <v>-1000</v>
      </c>
      <c r="AK314" s="132">
        <f t="shared" si="625"/>
        <v>-1000</v>
      </c>
      <c r="AL314" s="132">
        <f t="shared" si="625"/>
        <v>-1000</v>
      </c>
      <c r="AM314" s="132">
        <f t="shared" si="625"/>
        <v>-1000</v>
      </c>
      <c r="AN314" s="132">
        <f t="shared" si="625"/>
        <v>-1000</v>
      </c>
      <c r="AO314" s="132">
        <f t="shared" si="625"/>
        <v>-1000</v>
      </c>
      <c r="AP314" s="132">
        <f t="shared" si="625"/>
        <v>-1000</v>
      </c>
      <c r="AQ314" s="132">
        <f t="shared" si="625"/>
        <v>-1000</v>
      </c>
      <c r="AR314" s="132">
        <f t="shared" si="625"/>
        <v>-1000</v>
      </c>
      <c r="AS314" s="132">
        <f t="shared" si="625"/>
        <v>-1000</v>
      </c>
    </row>
    <row r="315">
      <c r="A315" s="132" t="s">
        <v>3817</v>
      </c>
      <c r="B315" s="132">
        <v>300.0</v>
      </c>
      <c r="C315" s="132">
        <v>0.0</v>
      </c>
      <c r="D315" s="132">
        <v>0.0</v>
      </c>
      <c r="E315" s="132">
        <v>0.0</v>
      </c>
      <c r="F315" s="132">
        <v>0.0</v>
      </c>
      <c r="G315" s="132">
        <v>0.0</v>
      </c>
      <c r="H315" s="132">
        <v>0.0</v>
      </c>
      <c r="I315" s="132">
        <v>0.0</v>
      </c>
      <c r="J315" s="132">
        <v>0.0</v>
      </c>
      <c r="K315" s="132">
        <v>0.0</v>
      </c>
      <c r="L315" s="132">
        <v>300.0</v>
      </c>
      <c r="M315" s="132">
        <v>0.0</v>
      </c>
      <c r="N315" s="132">
        <v>0.0</v>
      </c>
      <c r="O315" s="132">
        <v>0.0</v>
      </c>
      <c r="P315" s="132">
        <v>0.0</v>
      </c>
      <c r="Q315" s="132">
        <v>0.0</v>
      </c>
      <c r="R315" s="132">
        <v>0.0</v>
      </c>
      <c r="S315" s="132">
        <v>0.0</v>
      </c>
      <c r="T315" s="132">
        <v>0.0</v>
      </c>
      <c r="U315" s="132">
        <v>0.0</v>
      </c>
      <c r="V315" s="132">
        <v>0.0</v>
      </c>
      <c r="W315" s="132">
        <v>0.0</v>
      </c>
      <c r="Y315" s="132" t="s">
        <v>3817</v>
      </c>
      <c r="Z315" s="132">
        <f t="shared" ref="Z315:AC315" si="626">C315-1000</f>
        <v>-1000</v>
      </c>
      <c r="AA315" s="132">
        <f t="shared" si="626"/>
        <v>-1000</v>
      </c>
      <c r="AB315" s="132">
        <f t="shared" si="626"/>
        <v>-1000</v>
      </c>
      <c r="AC315" s="132">
        <f t="shared" si="626"/>
        <v>-1000</v>
      </c>
      <c r="AD315" s="132">
        <f t="shared" si="4"/>
        <v>-10000</v>
      </c>
      <c r="AE315" s="132">
        <f t="shared" ref="AE315:AS315" si="627">H315-1000</f>
        <v>-1000</v>
      </c>
      <c r="AF315" s="132">
        <f t="shared" si="627"/>
        <v>-1000</v>
      </c>
      <c r="AG315" s="132">
        <f t="shared" si="627"/>
        <v>-1000</v>
      </c>
      <c r="AH315" s="132">
        <f t="shared" si="627"/>
        <v>-1000</v>
      </c>
      <c r="AI315" s="132">
        <f t="shared" si="627"/>
        <v>-700</v>
      </c>
      <c r="AJ315" s="132">
        <f t="shared" si="627"/>
        <v>-1000</v>
      </c>
      <c r="AK315" s="132">
        <f t="shared" si="627"/>
        <v>-1000</v>
      </c>
      <c r="AL315" s="132">
        <f t="shared" si="627"/>
        <v>-1000</v>
      </c>
      <c r="AM315" s="132">
        <f t="shared" si="627"/>
        <v>-1000</v>
      </c>
      <c r="AN315" s="132">
        <f t="shared" si="627"/>
        <v>-1000</v>
      </c>
      <c r="AO315" s="132">
        <f t="shared" si="627"/>
        <v>-1000</v>
      </c>
      <c r="AP315" s="132">
        <f t="shared" si="627"/>
        <v>-1000</v>
      </c>
      <c r="AQ315" s="132">
        <f t="shared" si="627"/>
        <v>-1000</v>
      </c>
      <c r="AR315" s="132">
        <f t="shared" si="627"/>
        <v>-1000</v>
      </c>
      <c r="AS315" s="132">
        <f t="shared" si="627"/>
        <v>-1000</v>
      </c>
    </row>
    <row r="316">
      <c r="A316" s="132" t="s">
        <v>3818</v>
      </c>
      <c r="B316" s="132">
        <v>750.0</v>
      </c>
      <c r="C316" s="132">
        <v>0.0</v>
      </c>
      <c r="D316" s="132">
        <v>0.0</v>
      </c>
      <c r="E316" s="132">
        <v>0.0</v>
      </c>
      <c r="F316" s="132">
        <v>0.0</v>
      </c>
      <c r="G316" s="132">
        <v>0.0</v>
      </c>
      <c r="H316" s="132">
        <v>0.0</v>
      </c>
      <c r="I316" s="132">
        <v>0.0</v>
      </c>
      <c r="J316" s="132">
        <v>0.0</v>
      </c>
      <c r="K316" s="132">
        <v>0.0</v>
      </c>
      <c r="L316" s="132">
        <v>750.0</v>
      </c>
      <c r="M316" s="132">
        <v>0.0</v>
      </c>
      <c r="N316" s="132">
        <v>0.0</v>
      </c>
      <c r="O316" s="132">
        <v>0.0</v>
      </c>
      <c r="P316" s="132">
        <v>0.0</v>
      </c>
      <c r="Q316" s="132">
        <v>0.0</v>
      </c>
      <c r="R316" s="132">
        <v>0.0</v>
      </c>
      <c r="S316" s="132">
        <v>0.0</v>
      </c>
      <c r="T316" s="132">
        <v>0.0</v>
      </c>
      <c r="U316" s="132">
        <v>0.0</v>
      </c>
      <c r="V316" s="132">
        <v>0.0</v>
      </c>
      <c r="W316" s="132">
        <v>1.0</v>
      </c>
      <c r="Y316" s="132" t="s">
        <v>3818</v>
      </c>
      <c r="Z316" s="132">
        <f t="shared" ref="Z316:AC316" si="628">C316-1000</f>
        <v>-1000</v>
      </c>
      <c r="AA316" s="132">
        <f t="shared" si="628"/>
        <v>-1000</v>
      </c>
      <c r="AB316" s="132">
        <f t="shared" si="628"/>
        <v>-1000</v>
      </c>
      <c r="AC316" s="132">
        <f t="shared" si="628"/>
        <v>-1000</v>
      </c>
      <c r="AD316" s="132">
        <f t="shared" si="4"/>
        <v>-10000</v>
      </c>
      <c r="AE316" s="132">
        <f t="shared" ref="AE316:AS316" si="629">H316-1000</f>
        <v>-1000</v>
      </c>
      <c r="AF316" s="132">
        <f t="shared" si="629"/>
        <v>-1000</v>
      </c>
      <c r="AG316" s="132">
        <f t="shared" si="629"/>
        <v>-1000</v>
      </c>
      <c r="AH316" s="132">
        <f t="shared" si="629"/>
        <v>-1000</v>
      </c>
      <c r="AI316" s="132">
        <f t="shared" si="629"/>
        <v>-250</v>
      </c>
      <c r="AJ316" s="132">
        <f t="shared" si="629"/>
        <v>-1000</v>
      </c>
      <c r="AK316" s="132">
        <f t="shared" si="629"/>
        <v>-1000</v>
      </c>
      <c r="AL316" s="132">
        <f t="shared" si="629"/>
        <v>-1000</v>
      </c>
      <c r="AM316" s="132">
        <f t="shared" si="629"/>
        <v>-1000</v>
      </c>
      <c r="AN316" s="132">
        <f t="shared" si="629"/>
        <v>-1000</v>
      </c>
      <c r="AO316" s="132">
        <f t="shared" si="629"/>
        <v>-1000</v>
      </c>
      <c r="AP316" s="132">
        <f t="shared" si="629"/>
        <v>-1000</v>
      </c>
      <c r="AQ316" s="132">
        <f t="shared" si="629"/>
        <v>-1000</v>
      </c>
      <c r="AR316" s="132">
        <f t="shared" si="629"/>
        <v>-1000</v>
      </c>
      <c r="AS316" s="132">
        <f t="shared" si="629"/>
        <v>-1000</v>
      </c>
    </row>
    <row r="317">
      <c r="A317" s="132" t="s">
        <v>3819</v>
      </c>
      <c r="B317" s="132">
        <v>250.0</v>
      </c>
      <c r="C317" s="132">
        <v>0.0</v>
      </c>
      <c r="D317" s="132">
        <v>0.0</v>
      </c>
      <c r="E317" s="132">
        <v>0.0</v>
      </c>
      <c r="F317" s="132">
        <v>0.0</v>
      </c>
      <c r="G317" s="132">
        <v>0.0</v>
      </c>
      <c r="H317" s="132">
        <v>0.0</v>
      </c>
      <c r="I317" s="132">
        <v>0.0</v>
      </c>
      <c r="J317" s="132">
        <v>0.0</v>
      </c>
      <c r="K317" s="132">
        <v>0.0</v>
      </c>
      <c r="L317" s="132">
        <v>250.0</v>
      </c>
      <c r="M317" s="132">
        <v>0.0</v>
      </c>
      <c r="N317" s="132">
        <v>0.0</v>
      </c>
      <c r="O317" s="132">
        <v>0.0</v>
      </c>
      <c r="P317" s="132">
        <v>0.0</v>
      </c>
      <c r="Q317" s="132">
        <v>0.0</v>
      </c>
      <c r="R317" s="132">
        <v>0.0</v>
      </c>
      <c r="S317" s="132">
        <v>0.0</v>
      </c>
      <c r="T317" s="132">
        <v>0.0</v>
      </c>
      <c r="U317" s="132">
        <v>0.0</v>
      </c>
      <c r="V317" s="132">
        <v>0.0</v>
      </c>
      <c r="W317" s="132">
        <v>0.0</v>
      </c>
      <c r="Y317" s="132" t="s">
        <v>3819</v>
      </c>
      <c r="Z317" s="132">
        <f t="shared" ref="Z317:AC317" si="630">C317-1000</f>
        <v>-1000</v>
      </c>
      <c r="AA317" s="132">
        <f t="shared" si="630"/>
        <v>-1000</v>
      </c>
      <c r="AB317" s="132">
        <f t="shared" si="630"/>
        <v>-1000</v>
      </c>
      <c r="AC317" s="132">
        <f t="shared" si="630"/>
        <v>-1000</v>
      </c>
      <c r="AD317" s="132">
        <f t="shared" si="4"/>
        <v>-10000</v>
      </c>
      <c r="AE317" s="132">
        <f t="shared" ref="AE317:AS317" si="631">H317-1000</f>
        <v>-1000</v>
      </c>
      <c r="AF317" s="132">
        <f t="shared" si="631"/>
        <v>-1000</v>
      </c>
      <c r="AG317" s="132">
        <f t="shared" si="631"/>
        <v>-1000</v>
      </c>
      <c r="AH317" s="132">
        <f t="shared" si="631"/>
        <v>-1000</v>
      </c>
      <c r="AI317" s="132">
        <f t="shared" si="631"/>
        <v>-750</v>
      </c>
      <c r="AJ317" s="132">
        <f t="shared" si="631"/>
        <v>-1000</v>
      </c>
      <c r="AK317" s="132">
        <f t="shared" si="631"/>
        <v>-1000</v>
      </c>
      <c r="AL317" s="132">
        <f t="shared" si="631"/>
        <v>-1000</v>
      </c>
      <c r="AM317" s="132">
        <f t="shared" si="631"/>
        <v>-1000</v>
      </c>
      <c r="AN317" s="132">
        <f t="shared" si="631"/>
        <v>-1000</v>
      </c>
      <c r="AO317" s="132">
        <f t="shared" si="631"/>
        <v>-1000</v>
      </c>
      <c r="AP317" s="132">
        <f t="shared" si="631"/>
        <v>-1000</v>
      </c>
      <c r="AQ317" s="132">
        <f t="shared" si="631"/>
        <v>-1000</v>
      </c>
      <c r="AR317" s="132">
        <f t="shared" si="631"/>
        <v>-1000</v>
      </c>
      <c r="AS317" s="132">
        <f t="shared" si="631"/>
        <v>-1000</v>
      </c>
    </row>
    <row r="318">
      <c r="A318" s="132" t="s">
        <v>3820</v>
      </c>
      <c r="B318" s="132">
        <v>50.0</v>
      </c>
      <c r="C318" s="132">
        <v>0.0</v>
      </c>
      <c r="D318" s="132">
        <v>0.0</v>
      </c>
      <c r="E318" s="132">
        <v>0.0</v>
      </c>
      <c r="F318" s="132">
        <v>0.0</v>
      </c>
      <c r="G318" s="132">
        <v>0.0</v>
      </c>
      <c r="H318" s="132">
        <v>0.0</v>
      </c>
      <c r="I318" s="132">
        <v>0.0</v>
      </c>
      <c r="J318" s="132">
        <v>0.0</v>
      </c>
      <c r="K318" s="132">
        <v>0.0</v>
      </c>
      <c r="L318" s="132">
        <v>50.0</v>
      </c>
      <c r="M318" s="132">
        <v>0.0</v>
      </c>
      <c r="N318" s="132">
        <v>0.0</v>
      </c>
      <c r="O318" s="132">
        <v>0.0</v>
      </c>
      <c r="P318" s="132">
        <v>0.0</v>
      </c>
      <c r="Q318" s="132">
        <v>0.0</v>
      </c>
      <c r="R318" s="132">
        <v>0.0</v>
      </c>
      <c r="S318" s="132">
        <v>0.0</v>
      </c>
      <c r="T318" s="132">
        <v>0.0</v>
      </c>
      <c r="U318" s="132">
        <v>0.0</v>
      </c>
      <c r="V318" s="132">
        <v>0.0</v>
      </c>
      <c r="W318" s="132">
        <v>0.0</v>
      </c>
      <c r="Y318" s="132" t="s">
        <v>3820</v>
      </c>
      <c r="Z318" s="132">
        <f t="shared" ref="Z318:AC318" si="632">C318-1000</f>
        <v>-1000</v>
      </c>
      <c r="AA318" s="132">
        <f t="shared" si="632"/>
        <v>-1000</v>
      </c>
      <c r="AB318" s="132">
        <f t="shared" si="632"/>
        <v>-1000</v>
      </c>
      <c r="AC318" s="132">
        <f t="shared" si="632"/>
        <v>-1000</v>
      </c>
      <c r="AD318" s="132">
        <f t="shared" si="4"/>
        <v>-10000</v>
      </c>
      <c r="AE318" s="132">
        <f t="shared" ref="AE318:AS318" si="633">H318-1000</f>
        <v>-1000</v>
      </c>
      <c r="AF318" s="132">
        <f t="shared" si="633"/>
        <v>-1000</v>
      </c>
      <c r="AG318" s="132">
        <f t="shared" si="633"/>
        <v>-1000</v>
      </c>
      <c r="AH318" s="132">
        <f t="shared" si="633"/>
        <v>-1000</v>
      </c>
      <c r="AI318" s="132">
        <f t="shared" si="633"/>
        <v>-950</v>
      </c>
      <c r="AJ318" s="132">
        <f t="shared" si="633"/>
        <v>-1000</v>
      </c>
      <c r="AK318" s="132">
        <f t="shared" si="633"/>
        <v>-1000</v>
      </c>
      <c r="AL318" s="132">
        <f t="shared" si="633"/>
        <v>-1000</v>
      </c>
      <c r="AM318" s="132">
        <f t="shared" si="633"/>
        <v>-1000</v>
      </c>
      <c r="AN318" s="132">
        <f t="shared" si="633"/>
        <v>-1000</v>
      </c>
      <c r="AO318" s="132">
        <f t="shared" si="633"/>
        <v>-1000</v>
      </c>
      <c r="AP318" s="132">
        <f t="shared" si="633"/>
        <v>-1000</v>
      </c>
      <c r="AQ318" s="132">
        <f t="shared" si="633"/>
        <v>-1000</v>
      </c>
      <c r="AR318" s="132">
        <f t="shared" si="633"/>
        <v>-1000</v>
      </c>
      <c r="AS318" s="132">
        <f t="shared" si="633"/>
        <v>-1000</v>
      </c>
    </row>
    <row r="319">
      <c r="A319" s="132" t="s">
        <v>3821</v>
      </c>
      <c r="B319" s="132">
        <v>200.0</v>
      </c>
      <c r="C319" s="132">
        <v>0.0</v>
      </c>
      <c r="D319" s="132">
        <v>0.0</v>
      </c>
      <c r="E319" s="132">
        <v>0.0</v>
      </c>
      <c r="F319" s="132">
        <v>0.0</v>
      </c>
      <c r="G319" s="132">
        <v>0.0</v>
      </c>
      <c r="H319" s="132">
        <v>0.0</v>
      </c>
      <c r="I319" s="132">
        <v>0.0</v>
      </c>
      <c r="J319" s="132">
        <v>0.0</v>
      </c>
      <c r="K319" s="132">
        <v>0.0</v>
      </c>
      <c r="L319" s="132">
        <v>200.0</v>
      </c>
      <c r="M319" s="132">
        <v>0.0</v>
      </c>
      <c r="N319" s="132">
        <v>0.0</v>
      </c>
      <c r="O319" s="132">
        <v>0.0</v>
      </c>
      <c r="P319" s="132">
        <v>0.0</v>
      </c>
      <c r="Q319" s="132">
        <v>0.0</v>
      </c>
      <c r="R319" s="132">
        <v>0.0</v>
      </c>
      <c r="S319" s="132">
        <v>0.0</v>
      </c>
      <c r="T319" s="132">
        <v>0.0</v>
      </c>
      <c r="U319" s="132">
        <v>0.0</v>
      </c>
      <c r="V319" s="132">
        <v>0.0</v>
      </c>
      <c r="W319" s="132">
        <v>0.0</v>
      </c>
      <c r="Y319" s="132" t="s">
        <v>3821</v>
      </c>
      <c r="Z319" s="132">
        <f t="shared" ref="Z319:AC319" si="634">C319-1000</f>
        <v>-1000</v>
      </c>
      <c r="AA319" s="132">
        <f t="shared" si="634"/>
        <v>-1000</v>
      </c>
      <c r="AB319" s="132">
        <f t="shared" si="634"/>
        <v>-1000</v>
      </c>
      <c r="AC319" s="132">
        <f t="shared" si="634"/>
        <v>-1000</v>
      </c>
      <c r="AD319" s="132">
        <f t="shared" si="4"/>
        <v>-10000</v>
      </c>
      <c r="AE319" s="132">
        <f t="shared" ref="AE319:AS319" si="635">H319-1000</f>
        <v>-1000</v>
      </c>
      <c r="AF319" s="132">
        <f t="shared" si="635"/>
        <v>-1000</v>
      </c>
      <c r="AG319" s="132">
        <f t="shared" si="635"/>
        <v>-1000</v>
      </c>
      <c r="AH319" s="132">
        <f t="shared" si="635"/>
        <v>-1000</v>
      </c>
      <c r="AI319" s="132">
        <f t="shared" si="635"/>
        <v>-800</v>
      </c>
      <c r="AJ319" s="132">
        <f t="shared" si="635"/>
        <v>-1000</v>
      </c>
      <c r="AK319" s="132">
        <f t="shared" si="635"/>
        <v>-1000</v>
      </c>
      <c r="AL319" s="132">
        <f t="shared" si="635"/>
        <v>-1000</v>
      </c>
      <c r="AM319" s="132">
        <f t="shared" si="635"/>
        <v>-1000</v>
      </c>
      <c r="AN319" s="132">
        <f t="shared" si="635"/>
        <v>-1000</v>
      </c>
      <c r="AO319" s="132">
        <f t="shared" si="635"/>
        <v>-1000</v>
      </c>
      <c r="AP319" s="132">
        <f t="shared" si="635"/>
        <v>-1000</v>
      </c>
      <c r="AQ319" s="132">
        <f t="shared" si="635"/>
        <v>-1000</v>
      </c>
      <c r="AR319" s="132">
        <f t="shared" si="635"/>
        <v>-1000</v>
      </c>
      <c r="AS319" s="132">
        <f t="shared" si="635"/>
        <v>-1000</v>
      </c>
    </row>
    <row r="320">
      <c r="A320" s="132" t="s">
        <v>3822</v>
      </c>
      <c r="B320" s="132">
        <v>500.0</v>
      </c>
      <c r="C320" s="132">
        <v>0.0</v>
      </c>
      <c r="D320" s="132">
        <v>0.0</v>
      </c>
      <c r="E320" s="132">
        <v>0.0</v>
      </c>
      <c r="F320" s="132">
        <v>0.0</v>
      </c>
      <c r="G320" s="132">
        <v>0.0</v>
      </c>
      <c r="H320" s="132">
        <v>0.0</v>
      </c>
      <c r="I320" s="132">
        <v>0.0</v>
      </c>
      <c r="J320" s="132">
        <v>0.0</v>
      </c>
      <c r="K320" s="132">
        <v>0.0</v>
      </c>
      <c r="L320" s="132">
        <v>500.0</v>
      </c>
      <c r="M320" s="132">
        <v>0.0</v>
      </c>
      <c r="N320" s="132">
        <v>0.0</v>
      </c>
      <c r="O320" s="132">
        <v>0.0</v>
      </c>
      <c r="P320" s="132">
        <v>0.0</v>
      </c>
      <c r="Q320" s="132">
        <v>0.0</v>
      </c>
      <c r="R320" s="132">
        <v>0.0</v>
      </c>
      <c r="S320" s="132">
        <v>0.0</v>
      </c>
      <c r="T320" s="132">
        <v>0.0</v>
      </c>
      <c r="U320" s="132">
        <v>0.0</v>
      </c>
      <c r="V320" s="132">
        <v>0.0</v>
      </c>
      <c r="W320" s="132">
        <v>0.0</v>
      </c>
      <c r="Y320" s="132" t="s">
        <v>3822</v>
      </c>
      <c r="Z320" s="132">
        <f t="shared" ref="Z320:AC320" si="636">C320-1000</f>
        <v>-1000</v>
      </c>
      <c r="AA320" s="132">
        <f t="shared" si="636"/>
        <v>-1000</v>
      </c>
      <c r="AB320" s="132">
        <f t="shared" si="636"/>
        <v>-1000</v>
      </c>
      <c r="AC320" s="132">
        <f t="shared" si="636"/>
        <v>-1000</v>
      </c>
      <c r="AD320" s="132">
        <f t="shared" si="4"/>
        <v>-10000</v>
      </c>
      <c r="AE320" s="132">
        <f t="shared" ref="AE320:AS320" si="637">H320-1000</f>
        <v>-1000</v>
      </c>
      <c r="AF320" s="132">
        <f t="shared" si="637"/>
        <v>-1000</v>
      </c>
      <c r="AG320" s="132">
        <f t="shared" si="637"/>
        <v>-1000</v>
      </c>
      <c r="AH320" s="132">
        <f t="shared" si="637"/>
        <v>-1000</v>
      </c>
      <c r="AI320" s="132">
        <f t="shared" si="637"/>
        <v>-500</v>
      </c>
      <c r="AJ320" s="132">
        <f t="shared" si="637"/>
        <v>-1000</v>
      </c>
      <c r="AK320" s="132">
        <f t="shared" si="637"/>
        <v>-1000</v>
      </c>
      <c r="AL320" s="132">
        <f t="shared" si="637"/>
        <v>-1000</v>
      </c>
      <c r="AM320" s="132">
        <f t="shared" si="637"/>
        <v>-1000</v>
      </c>
      <c r="AN320" s="132">
        <f t="shared" si="637"/>
        <v>-1000</v>
      </c>
      <c r="AO320" s="132">
        <f t="shared" si="637"/>
        <v>-1000</v>
      </c>
      <c r="AP320" s="132">
        <f t="shared" si="637"/>
        <v>-1000</v>
      </c>
      <c r="AQ320" s="132">
        <f t="shared" si="637"/>
        <v>-1000</v>
      </c>
      <c r="AR320" s="132">
        <f t="shared" si="637"/>
        <v>-1000</v>
      </c>
      <c r="AS320" s="132">
        <f t="shared" si="637"/>
        <v>-1000</v>
      </c>
    </row>
    <row r="321">
      <c r="A321" s="132" t="s">
        <v>3823</v>
      </c>
      <c r="B321" s="132">
        <v>1000.0</v>
      </c>
      <c r="C321" s="132">
        <v>0.0</v>
      </c>
      <c r="D321" s="132">
        <v>0.0</v>
      </c>
      <c r="E321" s="132">
        <v>0.0</v>
      </c>
      <c r="F321" s="132">
        <v>0.0</v>
      </c>
      <c r="G321" s="132">
        <v>0.0</v>
      </c>
      <c r="H321" s="132">
        <v>0.0</v>
      </c>
      <c r="I321" s="132">
        <v>0.0</v>
      </c>
      <c r="J321" s="132">
        <v>0.0</v>
      </c>
      <c r="K321" s="132">
        <v>0.0</v>
      </c>
      <c r="L321" s="132">
        <v>1000.0</v>
      </c>
      <c r="M321" s="132">
        <v>0.0</v>
      </c>
      <c r="N321" s="132">
        <v>0.0</v>
      </c>
      <c r="O321" s="132">
        <v>0.0</v>
      </c>
      <c r="P321" s="132">
        <v>0.0</v>
      </c>
      <c r="Q321" s="132">
        <v>0.0</v>
      </c>
      <c r="R321" s="132">
        <v>0.0</v>
      </c>
      <c r="S321" s="132">
        <v>0.0</v>
      </c>
      <c r="T321" s="132">
        <v>0.0</v>
      </c>
      <c r="U321" s="132">
        <v>0.0</v>
      </c>
      <c r="V321" s="132">
        <v>0.0</v>
      </c>
      <c r="W321" s="132">
        <v>0.0</v>
      </c>
      <c r="Y321" s="132" t="s">
        <v>3823</v>
      </c>
      <c r="Z321" s="132">
        <f t="shared" ref="Z321:AC321" si="638">C321-1000</f>
        <v>-1000</v>
      </c>
      <c r="AA321" s="132">
        <f t="shared" si="638"/>
        <v>-1000</v>
      </c>
      <c r="AB321" s="132">
        <f t="shared" si="638"/>
        <v>-1000</v>
      </c>
      <c r="AC321" s="132">
        <f t="shared" si="638"/>
        <v>-1000</v>
      </c>
      <c r="AD321" s="132">
        <f t="shared" si="4"/>
        <v>-10000</v>
      </c>
      <c r="AE321" s="132">
        <f t="shared" ref="AE321:AS321" si="639">H321-1000</f>
        <v>-1000</v>
      </c>
      <c r="AF321" s="132">
        <f t="shared" si="639"/>
        <v>-1000</v>
      </c>
      <c r="AG321" s="132">
        <f t="shared" si="639"/>
        <v>-1000</v>
      </c>
      <c r="AH321" s="132">
        <f t="shared" si="639"/>
        <v>-1000</v>
      </c>
      <c r="AI321" s="132">
        <f t="shared" si="639"/>
        <v>0</v>
      </c>
      <c r="AJ321" s="132">
        <f t="shared" si="639"/>
        <v>-1000</v>
      </c>
      <c r="AK321" s="132">
        <f t="shared" si="639"/>
        <v>-1000</v>
      </c>
      <c r="AL321" s="132">
        <f t="shared" si="639"/>
        <v>-1000</v>
      </c>
      <c r="AM321" s="132">
        <f t="shared" si="639"/>
        <v>-1000</v>
      </c>
      <c r="AN321" s="132">
        <f t="shared" si="639"/>
        <v>-1000</v>
      </c>
      <c r="AO321" s="132">
        <f t="shared" si="639"/>
        <v>-1000</v>
      </c>
      <c r="AP321" s="132">
        <f t="shared" si="639"/>
        <v>-1000</v>
      </c>
      <c r="AQ321" s="132">
        <f t="shared" si="639"/>
        <v>-1000</v>
      </c>
      <c r="AR321" s="132">
        <f t="shared" si="639"/>
        <v>-1000</v>
      </c>
      <c r="AS321" s="132">
        <f t="shared" si="639"/>
        <v>-1000</v>
      </c>
    </row>
    <row r="322">
      <c r="A322" s="132" t="s">
        <v>3824</v>
      </c>
      <c r="B322" s="132">
        <v>100.0</v>
      </c>
      <c r="C322" s="132">
        <v>0.0</v>
      </c>
      <c r="D322" s="132">
        <v>0.0</v>
      </c>
      <c r="E322" s="132">
        <v>0.0</v>
      </c>
      <c r="F322" s="132">
        <v>0.0</v>
      </c>
      <c r="G322" s="132">
        <v>0.0</v>
      </c>
      <c r="H322" s="132">
        <v>0.0</v>
      </c>
      <c r="I322" s="132">
        <v>0.0</v>
      </c>
      <c r="J322" s="132">
        <v>0.0</v>
      </c>
      <c r="K322" s="132">
        <v>0.0</v>
      </c>
      <c r="L322" s="132">
        <v>100.0</v>
      </c>
      <c r="M322" s="132">
        <v>0.0</v>
      </c>
      <c r="N322" s="132">
        <v>0.0</v>
      </c>
      <c r="O322" s="132">
        <v>0.0</v>
      </c>
      <c r="P322" s="132">
        <v>0.0</v>
      </c>
      <c r="Q322" s="132">
        <v>0.0</v>
      </c>
      <c r="R322" s="132">
        <v>0.0</v>
      </c>
      <c r="S322" s="132">
        <v>0.0</v>
      </c>
      <c r="T322" s="132">
        <v>0.0</v>
      </c>
      <c r="U322" s="132">
        <v>0.0</v>
      </c>
      <c r="V322" s="132">
        <v>0.0</v>
      </c>
      <c r="W322" s="132">
        <v>0.0</v>
      </c>
      <c r="Y322" s="132" t="s">
        <v>3824</v>
      </c>
      <c r="Z322" s="132">
        <f t="shared" ref="Z322:AC322" si="640">C322-1000</f>
        <v>-1000</v>
      </c>
      <c r="AA322" s="132">
        <f t="shared" si="640"/>
        <v>-1000</v>
      </c>
      <c r="AB322" s="132">
        <f t="shared" si="640"/>
        <v>-1000</v>
      </c>
      <c r="AC322" s="132">
        <f t="shared" si="640"/>
        <v>-1000</v>
      </c>
      <c r="AD322" s="132">
        <f t="shared" si="4"/>
        <v>-10000</v>
      </c>
      <c r="AE322" s="132">
        <f t="shared" ref="AE322:AS322" si="641">H322-1000</f>
        <v>-1000</v>
      </c>
      <c r="AF322" s="132">
        <f t="shared" si="641"/>
        <v>-1000</v>
      </c>
      <c r="AG322" s="132">
        <f t="shared" si="641"/>
        <v>-1000</v>
      </c>
      <c r="AH322" s="132">
        <f t="shared" si="641"/>
        <v>-1000</v>
      </c>
      <c r="AI322" s="132">
        <f t="shared" si="641"/>
        <v>-900</v>
      </c>
      <c r="AJ322" s="132">
        <f t="shared" si="641"/>
        <v>-1000</v>
      </c>
      <c r="AK322" s="132">
        <f t="shared" si="641"/>
        <v>-1000</v>
      </c>
      <c r="AL322" s="132">
        <f t="shared" si="641"/>
        <v>-1000</v>
      </c>
      <c r="AM322" s="132">
        <f t="shared" si="641"/>
        <v>-1000</v>
      </c>
      <c r="AN322" s="132">
        <f t="shared" si="641"/>
        <v>-1000</v>
      </c>
      <c r="AO322" s="132">
        <f t="shared" si="641"/>
        <v>-1000</v>
      </c>
      <c r="AP322" s="132">
        <f t="shared" si="641"/>
        <v>-1000</v>
      </c>
      <c r="AQ322" s="132">
        <f t="shared" si="641"/>
        <v>-1000</v>
      </c>
      <c r="AR322" s="132">
        <f t="shared" si="641"/>
        <v>-1000</v>
      </c>
      <c r="AS322" s="132">
        <f t="shared" si="641"/>
        <v>-1000</v>
      </c>
    </row>
    <row r="323">
      <c r="A323" s="132" t="s">
        <v>3825</v>
      </c>
      <c r="B323" s="132">
        <v>50.0</v>
      </c>
      <c r="C323" s="132">
        <v>0.0</v>
      </c>
      <c r="D323" s="132">
        <v>0.0</v>
      </c>
      <c r="E323" s="132">
        <v>0.0</v>
      </c>
      <c r="F323" s="132">
        <v>0.0</v>
      </c>
      <c r="G323" s="132">
        <v>0.0</v>
      </c>
      <c r="H323" s="132">
        <v>0.0</v>
      </c>
      <c r="I323" s="132">
        <v>0.0</v>
      </c>
      <c r="J323" s="132">
        <v>0.0</v>
      </c>
      <c r="K323" s="132">
        <v>0.0</v>
      </c>
      <c r="L323" s="132">
        <v>50.0</v>
      </c>
      <c r="M323" s="132">
        <v>0.0</v>
      </c>
      <c r="N323" s="132">
        <v>0.0</v>
      </c>
      <c r="O323" s="132">
        <v>0.0</v>
      </c>
      <c r="P323" s="132">
        <v>0.0</v>
      </c>
      <c r="Q323" s="132">
        <v>0.0</v>
      </c>
      <c r="R323" s="132">
        <v>0.0</v>
      </c>
      <c r="S323" s="132">
        <v>0.0</v>
      </c>
      <c r="T323" s="132">
        <v>0.0</v>
      </c>
      <c r="U323" s="132">
        <v>0.0</v>
      </c>
      <c r="V323" s="132">
        <v>0.0</v>
      </c>
      <c r="W323" s="132">
        <v>0.0</v>
      </c>
      <c r="Y323" s="132" t="s">
        <v>3825</v>
      </c>
      <c r="Z323" s="132">
        <f t="shared" ref="Z323:AC323" si="642">C323-1000</f>
        <v>-1000</v>
      </c>
      <c r="AA323" s="132">
        <f t="shared" si="642"/>
        <v>-1000</v>
      </c>
      <c r="AB323" s="132">
        <f t="shared" si="642"/>
        <v>-1000</v>
      </c>
      <c r="AC323" s="132">
        <f t="shared" si="642"/>
        <v>-1000</v>
      </c>
      <c r="AD323" s="132">
        <f t="shared" si="4"/>
        <v>-10000</v>
      </c>
      <c r="AE323" s="132">
        <f t="shared" ref="AE323:AS323" si="643">H323-1000</f>
        <v>-1000</v>
      </c>
      <c r="AF323" s="132">
        <f t="shared" si="643"/>
        <v>-1000</v>
      </c>
      <c r="AG323" s="132">
        <f t="shared" si="643"/>
        <v>-1000</v>
      </c>
      <c r="AH323" s="132">
        <f t="shared" si="643"/>
        <v>-1000</v>
      </c>
      <c r="AI323" s="132">
        <f t="shared" si="643"/>
        <v>-950</v>
      </c>
      <c r="AJ323" s="132">
        <f t="shared" si="643"/>
        <v>-1000</v>
      </c>
      <c r="AK323" s="132">
        <f t="shared" si="643"/>
        <v>-1000</v>
      </c>
      <c r="AL323" s="132">
        <f t="shared" si="643"/>
        <v>-1000</v>
      </c>
      <c r="AM323" s="132">
        <f t="shared" si="643"/>
        <v>-1000</v>
      </c>
      <c r="AN323" s="132">
        <f t="shared" si="643"/>
        <v>-1000</v>
      </c>
      <c r="AO323" s="132">
        <f t="shared" si="643"/>
        <v>-1000</v>
      </c>
      <c r="AP323" s="132">
        <f t="shared" si="643"/>
        <v>-1000</v>
      </c>
      <c r="AQ323" s="132">
        <f t="shared" si="643"/>
        <v>-1000</v>
      </c>
      <c r="AR323" s="132">
        <f t="shared" si="643"/>
        <v>-1000</v>
      </c>
      <c r="AS323" s="132">
        <f t="shared" si="643"/>
        <v>-1000</v>
      </c>
    </row>
    <row r="324">
      <c r="A324" s="132" t="s">
        <v>3826</v>
      </c>
      <c r="B324" s="132">
        <v>1250.0</v>
      </c>
      <c r="C324" s="132">
        <v>0.0</v>
      </c>
      <c r="D324" s="132">
        <v>0.0</v>
      </c>
      <c r="E324" s="132">
        <v>0.0</v>
      </c>
      <c r="F324" s="132">
        <v>0.0</v>
      </c>
      <c r="G324" s="132">
        <v>0.0</v>
      </c>
      <c r="H324" s="132">
        <v>0.0</v>
      </c>
      <c r="I324" s="132">
        <v>0.0</v>
      </c>
      <c r="J324" s="132">
        <v>0.0</v>
      </c>
      <c r="K324" s="132">
        <v>0.0</v>
      </c>
      <c r="L324" s="132">
        <v>1250.0</v>
      </c>
      <c r="M324" s="132">
        <v>0.0</v>
      </c>
      <c r="N324" s="132">
        <v>0.0</v>
      </c>
      <c r="O324" s="132">
        <v>0.0</v>
      </c>
      <c r="P324" s="132">
        <v>0.0</v>
      </c>
      <c r="Q324" s="132">
        <v>0.0</v>
      </c>
      <c r="R324" s="132">
        <v>0.0</v>
      </c>
      <c r="S324" s="132">
        <v>0.0</v>
      </c>
      <c r="T324" s="132">
        <v>0.0</v>
      </c>
      <c r="U324" s="132">
        <v>0.0</v>
      </c>
      <c r="V324" s="132">
        <v>0.0</v>
      </c>
      <c r="W324" s="132">
        <v>0.0</v>
      </c>
      <c r="Y324" s="132" t="s">
        <v>3826</v>
      </c>
      <c r="Z324" s="132">
        <f t="shared" ref="Z324:AC324" si="644">C324-1000</f>
        <v>-1000</v>
      </c>
      <c r="AA324" s="132">
        <f t="shared" si="644"/>
        <v>-1000</v>
      </c>
      <c r="AB324" s="132">
        <f t="shared" si="644"/>
        <v>-1000</v>
      </c>
      <c r="AC324" s="132">
        <f t="shared" si="644"/>
        <v>-1000</v>
      </c>
      <c r="AD324" s="132">
        <f t="shared" si="4"/>
        <v>-10000</v>
      </c>
      <c r="AE324" s="132">
        <f t="shared" ref="AE324:AS324" si="645">H324-1000</f>
        <v>-1000</v>
      </c>
      <c r="AF324" s="132">
        <f t="shared" si="645"/>
        <v>-1000</v>
      </c>
      <c r="AG324" s="132">
        <f t="shared" si="645"/>
        <v>-1000</v>
      </c>
      <c r="AH324" s="132">
        <f t="shared" si="645"/>
        <v>-1000</v>
      </c>
      <c r="AI324" s="132">
        <f t="shared" si="645"/>
        <v>250</v>
      </c>
      <c r="AJ324" s="132">
        <f t="shared" si="645"/>
        <v>-1000</v>
      </c>
      <c r="AK324" s="132">
        <f t="shared" si="645"/>
        <v>-1000</v>
      </c>
      <c r="AL324" s="132">
        <f t="shared" si="645"/>
        <v>-1000</v>
      </c>
      <c r="AM324" s="132">
        <f t="shared" si="645"/>
        <v>-1000</v>
      </c>
      <c r="AN324" s="132">
        <f t="shared" si="645"/>
        <v>-1000</v>
      </c>
      <c r="AO324" s="132">
        <f t="shared" si="645"/>
        <v>-1000</v>
      </c>
      <c r="AP324" s="132">
        <f t="shared" si="645"/>
        <v>-1000</v>
      </c>
      <c r="AQ324" s="132">
        <f t="shared" si="645"/>
        <v>-1000</v>
      </c>
      <c r="AR324" s="132">
        <f t="shared" si="645"/>
        <v>-1000</v>
      </c>
      <c r="AS324" s="132">
        <f t="shared" si="645"/>
        <v>-1000</v>
      </c>
    </row>
    <row r="325">
      <c r="A325" s="132" t="s">
        <v>3827</v>
      </c>
      <c r="B325" s="132">
        <v>100.0</v>
      </c>
      <c r="C325" s="132">
        <v>0.0</v>
      </c>
      <c r="D325" s="132">
        <v>0.0</v>
      </c>
      <c r="E325" s="132">
        <v>0.0</v>
      </c>
      <c r="F325" s="132">
        <v>0.0</v>
      </c>
      <c r="G325" s="132">
        <v>0.0</v>
      </c>
      <c r="H325" s="132">
        <v>0.0</v>
      </c>
      <c r="I325" s="132">
        <v>0.0</v>
      </c>
      <c r="J325" s="132">
        <v>0.0</v>
      </c>
      <c r="K325" s="132">
        <v>0.0</v>
      </c>
      <c r="L325" s="132">
        <v>100.0</v>
      </c>
      <c r="M325" s="132">
        <v>0.0</v>
      </c>
      <c r="N325" s="132">
        <v>0.0</v>
      </c>
      <c r="O325" s="132">
        <v>0.0</v>
      </c>
      <c r="P325" s="132">
        <v>0.0</v>
      </c>
      <c r="Q325" s="132">
        <v>0.0</v>
      </c>
      <c r="R325" s="132">
        <v>0.0</v>
      </c>
      <c r="S325" s="132">
        <v>0.0</v>
      </c>
      <c r="T325" s="132">
        <v>0.0</v>
      </c>
      <c r="U325" s="132">
        <v>0.0</v>
      </c>
      <c r="V325" s="132">
        <v>0.0</v>
      </c>
      <c r="W325" s="132">
        <v>0.0</v>
      </c>
      <c r="Y325" s="132" t="s">
        <v>3827</v>
      </c>
      <c r="Z325" s="132">
        <f t="shared" ref="Z325:AC325" si="646">C325-1000</f>
        <v>-1000</v>
      </c>
      <c r="AA325" s="132">
        <f t="shared" si="646"/>
        <v>-1000</v>
      </c>
      <c r="AB325" s="132">
        <f t="shared" si="646"/>
        <v>-1000</v>
      </c>
      <c r="AC325" s="132">
        <f t="shared" si="646"/>
        <v>-1000</v>
      </c>
      <c r="AD325" s="132">
        <f t="shared" si="4"/>
        <v>-10000</v>
      </c>
      <c r="AE325" s="132">
        <f t="shared" ref="AE325:AS325" si="647">H325-1000</f>
        <v>-1000</v>
      </c>
      <c r="AF325" s="132">
        <f t="shared" si="647"/>
        <v>-1000</v>
      </c>
      <c r="AG325" s="132">
        <f t="shared" si="647"/>
        <v>-1000</v>
      </c>
      <c r="AH325" s="132">
        <f t="shared" si="647"/>
        <v>-1000</v>
      </c>
      <c r="AI325" s="132">
        <f t="shared" si="647"/>
        <v>-900</v>
      </c>
      <c r="AJ325" s="132">
        <f t="shared" si="647"/>
        <v>-1000</v>
      </c>
      <c r="AK325" s="132">
        <f t="shared" si="647"/>
        <v>-1000</v>
      </c>
      <c r="AL325" s="132">
        <f t="shared" si="647"/>
        <v>-1000</v>
      </c>
      <c r="AM325" s="132">
        <f t="shared" si="647"/>
        <v>-1000</v>
      </c>
      <c r="AN325" s="132">
        <f t="shared" si="647"/>
        <v>-1000</v>
      </c>
      <c r="AO325" s="132">
        <f t="shared" si="647"/>
        <v>-1000</v>
      </c>
      <c r="AP325" s="132">
        <f t="shared" si="647"/>
        <v>-1000</v>
      </c>
      <c r="AQ325" s="132">
        <f t="shared" si="647"/>
        <v>-1000</v>
      </c>
      <c r="AR325" s="132">
        <f t="shared" si="647"/>
        <v>-1000</v>
      </c>
      <c r="AS325" s="132">
        <f t="shared" si="647"/>
        <v>-1000</v>
      </c>
    </row>
    <row r="326">
      <c r="A326" s="132" t="s">
        <v>3828</v>
      </c>
      <c r="B326" s="132">
        <v>100.0</v>
      </c>
      <c r="C326" s="132">
        <v>0.0</v>
      </c>
      <c r="D326" s="132">
        <v>0.0</v>
      </c>
      <c r="E326" s="132">
        <v>0.0</v>
      </c>
      <c r="F326" s="132">
        <v>0.0</v>
      </c>
      <c r="G326" s="132">
        <v>0.0</v>
      </c>
      <c r="H326" s="132">
        <v>0.0</v>
      </c>
      <c r="I326" s="132">
        <v>0.0</v>
      </c>
      <c r="J326" s="132">
        <v>0.0</v>
      </c>
      <c r="K326" s="132">
        <v>0.0</v>
      </c>
      <c r="L326" s="132">
        <v>100.0</v>
      </c>
      <c r="M326" s="132">
        <v>0.0</v>
      </c>
      <c r="N326" s="132">
        <v>0.0</v>
      </c>
      <c r="O326" s="132">
        <v>0.0</v>
      </c>
      <c r="P326" s="132">
        <v>0.0</v>
      </c>
      <c r="Q326" s="132">
        <v>0.0</v>
      </c>
      <c r="R326" s="132">
        <v>0.0</v>
      </c>
      <c r="S326" s="132">
        <v>0.0</v>
      </c>
      <c r="T326" s="132">
        <v>0.0</v>
      </c>
      <c r="U326" s="132">
        <v>0.0</v>
      </c>
      <c r="V326" s="132">
        <v>0.0</v>
      </c>
      <c r="W326" s="132">
        <v>0.0</v>
      </c>
      <c r="Y326" s="132" t="s">
        <v>3828</v>
      </c>
      <c r="Z326" s="132">
        <f t="shared" ref="Z326:AC326" si="648">C326-1000</f>
        <v>-1000</v>
      </c>
      <c r="AA326" s="132">
        <f t="shared" si="648"/>
        <v>-1000</v>
      </c>
      <c r="AB326" s="132">
        <f t="shared" si="648"/>
        <v>-1000</v>
      </c>
      <c r="AC326" s="132">
        <f t="shared" si="648"/>
        <v>-1000</v>
      </c>
      <c r="AD326" s="132">
        <f t="shared" si="4"/>
        <v>-10000</v>
      </c>
      <c r="AE326" s="132">
        <f t="shared" ref="AE326:AS326" si="649">H326-1000</f>
        <v>-1000</v>
      </c>
      <c r="AF326" s="132">
        <f t="shared" si="649"/>
        <v>-1000</v>
      </c>
      <c r="AG326" s="132">
        <f t="shared" si="649"/>
        <v>-1000</v>
      </c>
      <c r="AH326" s="132">
        <f t="shared" si="649"/>
        <v>-1000</v>
      </c>
      <c r="AI326" s="132">
        <f t="shared" si="649"/>
        <v>-900</v>
      </c>
      <c r="AJ326" s="132">
        <f t="shared" si="649"/>
        <v>-1000</v>
      </c>
      <c r="AK326" s="132">
        <f t="shared" si="649"/>
        <v>-1000</v>
      </c>
      <c r="AL326" s="132">
        <f t="shared" si="649"/>
        <v>-1000</v>
      </c>
      <c r="AM326" s="132">
        <f t="shared" si="649"/>
        <v>-1000</v>
      </c>
      <c r="AN326" s="132">
        <f t="shared" si="649"/>
        <v>-1000</v>
      </c>
      <c r="AO326" s="132">
        <f t="shared" si="649"/>
        <v>-1000</v>
      </c>
      <c r="AP326" s="132">
        <f t="shared" si="649"/>
        <v>-1000</v>
      </c>
      <c r="AQ326" s="132">
        <f t="shared" si="649"/>
        <v>-1000</v>
      </c>
      <c r="AR326" s="132">
        <f t="shared" si="649"/>
        <v>-1000</v>
      </c>
      <c r="AS326" s="132">
        <f t="shared" si="649"/>
        <v>-1000</v>
      </c>
    </row>
    <row r="327">
      <c r="A327" s="132" t="s">
        <v>3829</v>
      </c>
      <c r="B327" s="132">
        <v>30.0</v>
      </c>
      <c r="C327" s="132">
        <v>0.0</v>
      </c>
      <c r="D327" s="132">
        <v>0.0</v>
      </c>
      <c r="E327" s="132">
        <v>0.0</v>
      </c>
      <c r="F327" s="132">
        <v>0.0</v>
      </c>
      <c r="G327" s="132">
        <v>0.0</v>
      </c>
      <c r="H327" s="132">
        <v>0.0</v>
      </c>
      <c r="I327" s="132">
        <v>0.0</v>
      </c>
      <c r="J327" s="132">
        <v>0.0</v>
      </c>
      <c r="K327" s="132">
        <v>0.0</v>
      </c>
      <c r="L327" s="132">
        <v>30.0</v>
      </c>
      <c r="M327" s="132">
        <v>0.0</v>
      </c>
      <c r="N327" s="132">
        <v>0.0</v>
      </c>
      <c r="O327" s="132">
        <v>0.0</v>
      </c>
      <c r="P327" s="132">
        <v>0.0</v>
      </c>
      <c r="Q327" s="132">
        <v>0.0</v>
      </c>
      <c r="R327" s="132">
        <v>0.0</v>
      </c>
      <c r="S327" s="132">
        <v>0.0</v>
      </c>
      <c r="T327" s="132">
        <v>0.0</v>
      </c>
      <c r="U327" s="132">
        <v>0.0</v>
      </c>
      <c r="V327" s="132">
        <v>0.0</v>
      </c>
      <c r="W327" s="132">
        <v>0.0</v>
      </c>
      <c r="Y327" s="132" t="s">
        <v>3829</v>
      </c>
      <c r="Z327" s="132">
        <f t="shared" ref="Z327:AC327" si="650">C327-1000</f>
        <v>-1000</v>
      </c>
      <c r="AA327" s="132">
        <f t="shared" si="650"/>
        <v>-1000</v>
      </c>
      <c r="AB327" s="132">
        <f t="shared" si="650"/>
        <v>-1000</v>
      </c>
      <c r="AC327" s="132">
        <f t="shared" si="650"/>
        <v>-1000</v>
      </c>
      <c r="AD327" s="132">
        <f t="shared" si="4"/>
        <v>-10000</v>
      </c>
      <c r="AE327" s="132">
        <f t="shared" ref="AE327:AS327" si="651">H327-1000</f>
        <v>-1000</v>
      </c>
      <c r="AF327" s="132">
        <f t="shared" si="651"/>
        <v>-1000</v>
      </c>
      <c r="AG327" s="132">
        <f t="shared" si="651"/>
        <v>-1000</v>
      </c>
      <c r="AH327" s="132">
        <f t="shared" si="651"/>
        <v>-1000</v>
      </c>
      <c r="AI327" s="132">
        <f t="shared" si="651"/>
        <v>-970</v>
      </c>
      <c r="AJ327" s="132">
        <f t="shared" si="651"/>
        <v>-1000</v>
      </c>
      <c r="AK327" s="132">
        <f t="shared" si="651"/>
        <v>-1000</v>
      </c>
      <c r="AL327" s="132">
        <f t="shared" si="651"/>
        <v>-1000</v>
      </c>
      <c r="AM327" s="132">
        <f t="shared" si="651"/>
        <v>-1000</v>
      </c>
      <c r="AN327" s="132">
        <f t="shared" si="651"/>
        <v>-1000</v>
      </c>
      <c r="AO327" s="132">
        <f t="shared" si="651"/>
        <v>-1000</v>
      </c>
      <c r="AP327" s="132">
        <f t="shared" si="651"/>
        <v>-1000</v>
      </c>
      <c r="AQ327" s="132">
        <f t="shared" si="651"/>
        <v>-1000</v>
      </c>
      <c r="AR327" s="132">
        <f t="shared" si="651"/>
        <v>-1000</v>
      </c>
      <c r="AS327" s="132">
        <f t="shared" si="651"/>
        <v>-1000</v>
      </c>
    </row>
    <row r="328">
      <c r="A328" s="132" t="s">
        <v>3830</v>
      </c>
      <c r="B328" s="132">
        <v>100.0</v>
      </c>
      <c r="C328" s="132">
        <v>0.0</v>
      </c>
      <c r="D328" s="132">
        <v>0.0</v>
      </c>
      <c r="E328" s="132">
        <v>0.0</v>
      </c>
      <c r="F328" s="132">
        <v>0.0</v>
      </c>
      <c r="G328" s="132">
        <v>0.0</v>
      </c>
      <c r="H328" s="132">
        <v>0.0</v>
      </c>
      <c r="I328" s="132">
        <v>0.0</v>
      </c>
      <c r="J328" s="132">
        <v>0.0</v>
      </c>
      <c r="K328" s="132">
        <v>0.0</v>
      </c>
      <c r="L328" s="132">
        <v>100.0</v>
      </c>
      <c r="M328" s="132">
        <v>0.0</v>
      </c>
      <c r="N328" s="132">
        <v>0.0</v>
      </c>
      <c r="O328" s="132">
        <v>0.0</v>
      </c>
      <c r="P328" s="132">
        <v>0.0</v>
      </c>
      <c r="Q328" s="132">
        <v>0.0</v>
      </c>
      <c r="R328" s="132">
        <v>0.0</v>
      </c>
      <c r="S328" s="132">
        <v>0.0</v>
      </c>
      <c r="T328" s="132">
        <v>0.0</v>
      </c>
      <c r="U328" s="132">
        <v>0.0</v>
      </c>
      <c r="V328" s="132">
        <v>0.0</v>
      </c>
      <c r="W328" s="132">
        <v>0.0</v>
      </c>
      <c r="Y328" s="132" t="s">
        <v>3830</v>
      </c>
      <c r="Z328" s="132">
        <f t="shared" ref="Z328:AC328" si="652">C328-1000</f>
        <v>-1000</v>
      </c>
      <c r="AA328" s="132">
        <f t="shared" si="652"/>
        <v>-1000</v>
      </c>
      <c r="AB328" s="132">
        <f t="shared" si="652"/>
        <v>-1000</v>
      </c>
      <c r="AC328" s="132">
        <f t="shared" si="652"/>
        <v>-1000</v>
      </c>
      <c r="AD328" s="132">
        <f t="shared" si="4"/>
        <v>-10000</v>
      </c>
      <c r="AE328" s="132">
        <f t="shared" ref="AE328:AS328" si="653">H328-1000</f>
        <v>-1000</v>
      </c>
      <c r="AF328" s="132">
        <f t="shared" si="653"/>
        <v>-1000</v>
      </c>
      <c r="AG328" s="132">
        <f t="shared" si="653"/>
        <v>-1000</v>
      </c>
      <c r="AH328" s="132">
        <f t="shared" si="653"/>
        <v>-1000</v>
      </c>
      <c r="AI328" s="132">
        <f t="shared" si="653"/>
        <v>-900</v>
      </c>
      <c r="AJ328" s="132">
        <f t="shared" si="653"/>
        <v>-1000</v>
      </c>
      <c r="AK328" s="132">
        <f t="shared" si="653"/>
        <v>-1000</v>
      </c>
      <c r="AL328" s="132">
        <f t="shared" si="653"/>
        <v>-1000</v>
      </c>
      <c r="AM328" s="132">
        <f t="shared" si="653"/>
        <v>-1000</v>
      </c>
      <c r="AN328" s="132">
        <f t="shared" si="653"/>
        <v>-1000</v>
      </c>
      <c r="AO328" s="132">
        <f t="shared" si="653"/>
        <v>-1000</v>
      </c>
      <c r="AP328" s="132">
        <f t="shared" si="653"/>
        <v>-1000</v>
      </c>
      <c r="AQ328" s="132">
        <f t="shared" si="653"/>
        <v>-1000</v>
      </c>
      <c r="AR328" s="132">
        <f t="shared" si="653"/>
        <v>-1000</v>
      </c>
      <c r="AS328" s="132">
        <f t="shared" si="653"/>
        <v>-1000</v>
      </c>
    </row>
    <row r="329">
      <c r="A329" s="132" t="s">
        <v>3831</v>
      </c>
      <c r="B329" s="132">
        <v>250.0</v>
      </c>
      <c r="C329" s="132">
        <v>0.0</v>
      </c>
      <c r="D329" s="132">
        <v>0.0</v>
      </c>
      <c r="E329" s="132">
        <v>0.0</v>
      </c>
      <c r="F329" s="132">
        <v>0.0</v>
      </c>
      <c r="G329" s="132">
        <v>0.0</v>
      </c>
      <c r="H329" s="132">
        <v>0.0</v>
      </c>
      <c r="I329" s="132">
        <v>0.0</v>
      </c>
      <c r="J329" s="132">
        <v>0.0</v>
      </c>
      <c r="K329" s="132">
        <v>0.0</v>
      </c>
      <c r="L329" s="132">
        <v>250.0</v>
      </c>
      <c r="M329" s="132">
        <v>0.0</v>
      </c>
      <c r="N329" s="132">
        <v>0.0</v>
      </c>
      <c r="O329" s="132">
        <v>0.0</v>
      </c>
      <c r="P329" s="132">
        <v>0.0</v>
      </c>
      <c r="Q329" s="132">
        <v>0.0</v>
      </c>
      <c r="R329" s="132">
        <v>0.0</v>
      </c>
      <c r="S329" s="132">
        <v>0.0</v>
      </c>
      <c r="T329" s="132">
        <v>0.0</v>
      </c>
      <c r="U329" s="132">
        <v>0.0</v>
      </c>
      <c r="V329" s="132">
        <v>0.0</v>
      </c>
      <c r="W329" s="132">
        <v>0.0</v>
      </c>
      <c r="Y329" s="132" t="s">
        <v>3831</v>
      </c>
      <c r="Z329" s="132">
        <f t="shared" ref="Z329:AC329" si="654">C329-1000</f>
        <v>-1000</v>
      </c>
      <c r="AA329" s="132">
        <f t="shared" si="654"/>
        <v>-1000</v>
      </c>
      <c r="AB329" s="132">
        <f t="shared" si="654"/>
        <v>-1000</v>
      </c>
      <c r="AC329" s="132">
        <f t="shared" si="654"/>
        <v>-1000</v>
      </c>
      <c r="AD329" s="132">
        <f t="shared" si="4"/>
        <v>-10000</v>
      </c>
      <c r="AE329" s="132">
        <f t="shared" ref="AE329:AS329" si="655">H329-1000</f>
        <v>-1000</v>
      </c>
      <c r="AF329" s="132">
        <f t="shared" si="655"/>
        <v>-1000</v>
      </c>
      <c r="AG329" s="132">
        <f t="shared" si="655"/>
        <v>-1000</v>
      </c>
      <c r="AH329" s="132">
        <f t="shared" si="655"/>
        <v>-1000</v>
      </c>
      <c r="AI329" s="132">
        <f t="shared" si="655"/>
        <v>-750</v>
      </c>
      <c r="AJ329" s="132">
        <f t="shared" si="655"/>
        <v>-1000</v>
      </c>
      <c r="AK329" s="132">
        <f t="shared" si="655"/>
        <v>-1000</v>
      </c>
      <c r="AL329" s="132">
        <f t="shared" si="655"/>
        <v>-1000</v>
      </c>
      <c r="AM329" s="132">
        <f t="shared" si="655"/>
        <v>-1000</v>
      </c>
      <c r="AN329" s="132">
        <f t="shared" si="655"/>
        <v>-1000</v>
      </c>
      <c r="AO329" s="132">
        <f t="shared" si="655"/>
        <v>-1000</v>
      </c>
      <c r="AP329" s="132">
        <f t="shared" si="655"/>
        <v>-1000</v>
      </c>
      <c r="AQ329" s="132">
        <f t="shared" si="655"/>
        <v>-1000</v>
      </c>
      <c r="AR329" s="132">
        <f t="shared" si="655"/>
        <v>-1000</v>
      </c>
      <c r="AS329" s="132">
        <f t="shared" si="655"/>
        <v>-1000</v>
      </c>
    </row>
    <row r="330">
      <c r="A330" s="132" t="s">
        <v>3832</v>
      </c>
      <c r="B330" s="132">
        <v>1000.0</v>
      </c>
      <c r="C330" s="132">
        <v>0.0</v>
      </c>
      <c r="D330" s="132">
        <v>0.0</v>
      </c>
      <c r="E330" s="132">
        <v>0.0</v>
      </c>
      <c r="F330" s="132">
        <v>0.0</v>
      </c>
      <c r="G330" s="132">
        <v>0.0</v>
      </c>
      <c r="H330" s="132">
        <v>0.0</v>
      </c>
      <c r="I330" s="132">
        <v>0.0</v>
      </c>
      <c r="J330" s="132">
        <v>0.0</v>
      </c>
      <c r="K330" s="132">
        <v>0.0</v>
      </c>
      <c r="L330" s="132">
        <v>1000.0</v>
      </c>
      <c r="M330" s="132">
        <v>0.0</v>
      </c>
      <c r="N330" s="132">
        <v>0.0</v>
      </c>
      <c r="O330" s="132">
        <v>0.0</v>
      </c>
      <c r="P330" s="132">
        <v>0.0</v>
      </c>
      <c r="Q330" s="132">
        <v>0.0</v>
      </c>
      <c r="R330" s="132">
        <v>0.0</v>
      </c>
      <c r="S330" s="132">
        <v>0.0</v>
      </c>
      <c r="T330" s="132">
        <v>0.0</v>
      </c>
      <c r="U330" s="132">
        <v>0.0</v>
      </c>
      <c r="V330" s="132">
        <v>0.0</v>
      </c>
      <c r="W330" s="132">
        <v>0.0</v>
      </c>
      <c r="Y330" s="132" t="s">
        <v>3832</v>
      </c>
      <c r="Z330" s="132">
        <f t="shared" ref="Z330:AC330" si="656">C330-1000</f>
        <v>-1000</v>
      </c>
      <c r="AA330" s="132">
        <f t="shared" si="656"/>
        <v>-1000</v>
      </c>
      <c r="AB330" s="132">
        <f t="shared" si="656"/>
        <v>-1000</v>
      </c>
      <c r="AC330" s="132">
        <f t="shared" si="656"/>
        <v>-1000</v>
      </c>
      <c r="AD330" s="132">
        <f t="shared" si="4"/>
        <v>-10000</v>
      </c>
      <c r="AE330" s="132">
        <f t="shared" ref="AE330:AS330" si="657">H330-1000</f>
        <v>-1000</v>
      </c>
      <c r="AF330" s="132">
        <f t="shared" si="657"/>
        <v>-1000</v>
      </c>
      <c r="AG330" s="132">
        <f t="shared" si="657"/>
        <v>-1000</v>
      </c>
      <c r="AH330" s="132">
        <f t="shared" si="657"/>
        <v>-1000</v>
      </c>
      <c r="AI330" s="132">
        <f t="shared" si="657"/>
        <v>0</v>
      </c>
      <c r="AJ330" s="132">
        <f t="shared" si="657"/>
        <v>-1000</v>
      </c>
      <c r="AK330" s="132">
        <f t="shared" si="657"/>
        <v>-1000</v>
      </c>
      <c r="AL330" s="132">
        <f t="shared" si="657"/>
        <v>-1000</v>
      </c>
      <c r="AM330" s="132">
        <f t="shared" si="657"/>
        <v>-1000</v>
      </c>
      <c r="AN330" s="132">
        <f t="shared" si="657"/>
        <v>-1000</v>
      </c>
      <c r="AO330" s="132">
        <f t="shared" si="657"/>
        <v>-1000</v>
      </c>
      <c r="AP330" s="132">
        <f t="shared" si="657"/>
        <v>-1000</v>
      </c>
      <c r="AQ330" s="132">
        <f t="shared" si="657"/>
        <v>-1000</v>
      </c>
      <c r="AR330" s="132">
        <f t="shared" si="657"/>
        <v>-1000</v>
      </c>
      <c r="AS330" s="132">
        <f t="shared" si="657"/>
        <v>-1000</v>
      </c>
    </row>
    <row r="331">
      <c r="A331" s="132" t="s">
        <v>3833</v>
      </c>
      <c r="B331" s="132">
        <v>1050.0</v>
      </c>
      <c r="C331" s="132">
        <v>0.0</v>
      </c>
      <c r="D331" s="132">
        <v>0.0</v>
      </c>
      <c r="E331" s="132">
        <v>0.0</v>
      </c>
      <c r="F331" s="132">
        <v>0.0</v>
      </c>
      <c r="G331" s="132">
        <v>1000.0</v>
      </c>
      <c r="H331" s="132">
        <v>0.0</v>
      </c>
      <c r="I331" s="132">
        <v>0.0</v>
      </c>
      <c r="J331" s="132">
        <v>0.0</v>
      </c>
      <c r="K331" s="132">
        <v>0.0</v>
      </c>
      <c r="L331" s="132">
        <v>50.0</v>
      </c>
      <c r="M331" s="132">
        <v>0.0</v>
      </c>
      <c r="N331" s="132">
        <v>0.0</v>
      </c>
      <c r="O331" s="132">
        <v>0.0</v>
      </c>
      <c r="P331" s="132">
        <v>0.0</v>
      </c>
      <c r="Q331" s="132">
        <v>0.0</v>
      </c>
      <c r="R331" s="132">
        <v>0.0</v>
      </c>
      <c r="S331" s="132">
        <v>0.0</v>
      </c>
      <c r="T331" s="132">
        <v>0.0</v>
      </c>
      <c r="U331" s="132">
        <v>0.0</v>
      </c>
      <c r="V331" s="132">
        <v>0.0</v>
      </c>
      <c r="W331" s="132">
        <v>1.0</v>
      </c>
      <c r="Y331" s="132" t="s">
        <v>3833</v>
      </c>
      <c r="Z331" s="132">
        <f t="shared" ref="Z331:AC331" si="658">C331-1000</f>
        <v>-1000</v>
      </c>
      <c r="AA331" s="132">
        <f t="shared" si="658"/>
        <v>-1000</v>
      </c>
      <c r="AB331" s="132">
        <f t="shared" si="658"/>
        <v>-1000</v>
      </c>
      <c r="AC331" s="132">
        <f t="shared" si="658"/>
        <v>-1000</v>
      </c>
      <c r="AD331" s="132">
        <f t="shared" si="4"/>
        <v>-9000</v>
      </c>
      <c r="AE331" s="132">
        <f t="shared" ref="AE331:AS331" si="659">H331-1000</f>
        <v>-1000</v>
      </c>
      <c r="AF331" s="132">
        <f t="shared" si="659"/>
        <v>-1000</v>
      </c>
      <c r="AG331" s="132">
        <f t="shared" si="659"/>
        <v>-1000</v>
      </c>
      <c r="AH331" s="132">
        <f t="shared" si="659"/>
        <v>-1000</v>
      </c>
      <c r="AI331" s="132">
        <f t="shared" si="659"/>
        <v>-950</v>
      </c>
      <c r="AJ331" s="132">
        <f t="shared" si="659"/>
        <v>-1000</v>
      </c>
      <c r="AK331" s="132">
        <f t="shared" si="659"/>
        <v>-1000</v>
      </c>
      <c r="AL331" s="132">
        <f t="shared" si="659"/>
        <v>-1000</v>
      </c>
      <c r="AM331" s="132">
        <f t="shared" si="659"/>
        <v>-1000</v>
      </c>
      <c r="AN331" s="132">
        <f t="shared" si="659"/>
        <v>-1000</v>
      </c>
      <c r="AO331" s="132">
        <f t="shared" si="659"/>
        <v>-1000</v>
      </c>
      <c r="AP331" s="132">
        <f t="shared" si="659"/>
        <v>-1000</v>
      </c>
      <c r="AQ331" s="132">
        <f t="shared" si="659"/>
        <v>-1000</v>
      </c>
      <c r="AR331" s="132">
        <f t="shared" si="659"/>
        <v>-1000</v>
      </c>
      <c r="AS331" s="132">
        <f t="shared" si="659"/>
        <v>-1000</v>
      </c>
    </row>
    <row r="332">
      <c r="A332" s="132" t="s">
        <v>3834</v>
      </c>
      <c r="B332" s="132">
        <v>250.0</v>
      </c>
      <c r="C332" s="132">
        <v>0.0</v>
      </c>
      <c r="D332" s="132">
        <v>0.0</v>
      </c>
      <c r="E332" s="132">
        <v>0.0</v>
      </c>
      <c r="F332" s="132">
        <v>250.0</v>
      </c>
      <c r="G332" s="132">
        <v>0.0</v>
      </c>
      <c r="H332" s="132">
        <v>0.0</v>
      </c>
      <c r="I332" s="132">
        <v>0.0</v>
      </c>
      <c r="J332" s="132">
        <v>0.0</v>
      </c>
      <c r="K332" s="132">
        <v>0.0</v>
      </c>
      <c r="L332" s="132">
        <v>0.0</v>
      </c>
      <c r="M332" s="132">
        <v>0.0</v>
      </c>
      <c r="N332" s="132">
        <v>0.0</v>
      </c>
      <c r="O332" s="132">
        <v>0.0</v>
      </c>
      <c r="P332" s="132">
        <v>0.0</v>
      </c>
      <c r="Q332" s="132">
        <v>0.0</v>
      </c>
      <c r="R332" s="132">
        <v>0.0</v>
      </c>
      <c r="S332" s="132">
        <v>0.0</v>
      </c>
      <c r="T332" s="132">
        <v>0.0</v>
      </c>
      <c r="U332" s="132">
        <v>0.0</v>
      </c>
      <c r="V332" s="132">
        <v>0.0</v>
      </c>
      <c r="W332" s="132">
        <v>0.0</v>
      </c>
      <c r="Y332" s="132" t="s">
        <v>3834</v>
      </c>
      <c r="Z332" s="132">
        <f t="shared" ref="Z332:AC332" si="660">C332-1000</f>
        <v>-1000</v>
      </c>
      <c r="AA332" s="132">
        <f t="shared" si="660"/>
        <v>-1000</v>
      </c>
      <c r="AB332" s="132">
        <f t="shared" si="660"/>
        <v>-1000</v>
      </c>
      <c r="AC332" s="132">
        <f t="shared" si="660"/>
        <v>-750</v>
      </c>
      <c r="AD332" s="132">
        <f t="shared" si="4"/>
        <v>-10000</v>
      </c>
      <c r="AE332" s="132">
        <f t="shared" ref="AE332:AS332" si="661">H332-1000</f>
        <v>-1000</v>
      </c>
      <c r="AF332" s="132">
        <f t="shared" si="661"/>
        <v>-1000</v>
      </c>
      <c r="AG332" s="132">
        <f t="shared" si="661"/>
        <v>-1000</v>
      </c>
      <c r="AH332" s="132">
        <f t="shared" si="661"/>
        <v>-1000</v>
      </c>
      <c r="AI332" s="132">
        <f t="shared" si="661"/>
        <v>-1000</v>
      </c>
      <c r="AJ332" s="132">
        <f t="shared" si="661"/>
        <v>-1000</v>
      </c>
      <c r="AK332" s="132">
        <f t="shared" si="661"/>
        <v>-1000</v>
      </c>
      <c r="AL332" s="132">
        <f t="shared" si="661"/>
        <v>-1000</v>
      </c>
      <c r="AM332" s="132">
        <f t="shared" si="661"/>
        <v>-1000</v>
      </c>
      <c r="AN332" s="132">
        <f t="shared" si="661"/>
        <v>-1000</v>
      </c>
      <c r="AO332" s="132">
        <f t="shared" si="661"/>
        <v>-1000</v>
      </c>
      <c r="AP332" s="132">
        <f t="shared" si="661"/>
        <v>-1000</v>
      </c>
      <c r="AQ332" s="132">
        <f t="shared" si="661"/>
        <v>-1000</v>
      </c>
      <c r="AR332" s="132">
        <f t="shared" si="661"/>
        <v>-1000</v>
      </c>
      <c r="AS332" s="132">
        <f t="shared" si="661"/>
        <v>-1000</v>
      </c>
    </row>
    <row r="333">
      <c r="A333" s="132" t="s">
        <v>3835</v>
      </c>
      <c r="B333" s="132">
        <v>250.0</v>
      </c>
      <c r="C333" s="132">
        <v>0.0</v>
      </c>
      <c r="D333" s="132">
        <v>0.0</v>
      </c>
      <c r="E333" s="132">
        <v>0.0</v>
      </c>
      <c r="F333" s="132">
        <v>250.0</v>
      </c>
      <c r="G333" s="132">
        <v>0.0</v>
      </c>
      <c r="H333" s="132">
        <v>0.0</v>
      </c>
      <c r="I333" s="132">
        <v>0.0</v>
      </c>
      <c r="J333" s="132">
        <v>0.0</v>
      </c>
      <c r="K333" s="132">
        <v>0.0</v>
      </c>
      <c r="L333" s="132">
        <v>0.0</v>
      </c>
      <c r="M333" s="132">
        <v>0.0</v>
      </c>
      <c r="N333" s="132">
        <v>0.0</v>
      </c>
      <c r="O333" s="132">
        <v>0.0</v>
      </c>
      <c r="P333" s="132">
        <v>0.0</v>
      </c>
      <c r="Q333" s="132">
        <v>0.0</v>
      </c>
      <c r="R333" s="132">
        <v>0.0</v>
      </c>
      <c r="S333" s="132">
        <v>0.0</v>
      </c>
      <c r="T333" s="132">
        <v>0.0</v>
      </c>
      <c r="U333" s="132">
        <v>0.0</v>
      </c>
      <c r="V333" s="132">
        <v>0.0</v>
      </c>
      <c r="W333" s="132">
        <v>0.0</v>
      </c>
      <c r="Y333" s="132" t="s">
        <v>3835</v>
      </c>
      <c r="Z333" s="132">
        <f t="shared" ref="Z333:AC333" si="662">C333-1000</f>
        <v>-1000</v>
      </c>
      <c r="AA333" s="132">
        <f t="shared" si="662"/>
        <v>-1000</v>
      </c>
      <c r="AB333" s="132">
        <f t="shared" si="662"/>
        <v>-1000</v>
      </c>
      <c r="AC333" s="132">
        <f t="shared" si="662"/>
        <v>-750</v>
      </c>
      <c r="AD333" s="132">
        <f t="shared" si="4"/>
        <v>-10000</v>
      </c>
      <c r="AE333" s="132">
        <f t="shared" ref="AE333:AS333" si="663">H333-1000</f>
        <v>-1000</v>
      </c>
      <c r="AF333" s="132">
        <f t="shared" si="663"/>
        <v>-1000</v>
      </c>
      <c r="AG333" s="132">
        <f t="shared" si="663"/>
        <v>-1000</v>
      </c>
      <c r="AH333" s="132">
        <f t="shared" si="663"/>
        <v>-1000</v>
      </c>
      <c r="AI333" s="132">
        <f t="shared" si="663"/>
        <v>-1000</v>
      </c>
      <c r="AJ333" s="132">
        <f t="shared" si="663"/>
        <v>-1000</v>
      </c>
      <c r="AK333" s="132">
        <f t="shared" si="663"/>
        <v>-1000</v>
      </c>
      <c r="AL333" s="132">
        <f t="shared" si="663"/>
        <v>-1000</v>
      </c>
      <c r="AM333" s="132">
        <f t="shared" si="663"/>
        <v>-1000</v>
      </c>
      <c r="AN333" s="132">
        <f t="shared" si="663"/>
        <v>-1000</v>
      </c>
      <c r="AO333" s="132">
        <f t="shared" si="663"/>
        <v>-1000</v>
      </c>
      <c r="AP333" s="132">
        <f t="shared" si="663"/>
        <v>-1000</v>
      </c>
      <c r="AQ333" s="132">
        <f t="shared" si="663"/>
        <v>-1000</v>
      </c>
      <c r="AR333" s="132">
        <f t="shared" si="663"/>
        <v>-1000</v>
      </c>
      <c r="AS333" s="132">
        <f t="shared" si="663"/>
        <v>-1000</v>
      </c>
    </row>
    <row r="334">
      <c r="A334" s="132" t="s">
        <v>3836</v>
      </c>
      <c r="B334" s="132">
        <v>250.0</v>
      </c>
      <c r="C334" s="132">
        <v>0.0</v>
      </c>
      <c r="D334" s="132">
        <v>0.0</v>
      </c>
      <c r="E334" s="132">
        <v>0.0</v>
      </c>
      <c r="F334" s="132">
        <v>250.0</v>
      </c>
      <c r="G334" s="132">
        <v>0.0</v>
      </c>
      <c r="H334" s="132">
        <v>0.0</v>
      </c>
      <c r="I334" s="132">
        <v>0.0</v>
      </c>
      <c r="J334" s="132">
        <v>0.0</v>
      </c>
      <c r="K334" s="132">
        <v>0.0</v>
      </c>
      <c r="L334" s="132">
        <v>0.0</v>
      </c>
      <c r="M334" s="132">
        <v>0.0</v>
      </c>
      <c r="N334" s="132">
        <v>0.0</v>
      </c>
      <c r="O334" s="132">
        <v>0.0</v>
      </c>
      <c r="P334" s="132">
        <v>0.0</v>
      </c>
      <c r="Q334" s="132">
        <v>0.0</v>
      </c>
      <c r="R334" s="132">
        <v>0.0</v>
      </c>
      <c r="S334" s="132">
        <v>0.0</v>
      </c>
      <c r="T334" s="132">
        <v>0.0</v>
      </c>
      <c r="U334" s="132">
        <v>0.0</v>
      </c>
      <c r="V334" s="132">
        <v>0.0</v>
      </c>
      <c r="W334" s="132">
        <v>0.0</v>
      </c>
      <c r="Y334" s="132" t="s">
        <v>3836</v>
      </c>
      <c r="Z334" s="132">
        <f t="shared" ref="Z334:AC334" si="664">C334-1000</f>
        <v>-1000</v>
      </c>
      <c r="AA334" s="132">
        <f t="shared" si="664"/>
        <v>-1000</v>
      </c>
      <c r="AB334" s="132">
        <f t="shared" si="664"/>
        <v>-1000</v>
      </c>
      <c r="AC334" s="132">
        <f t="shared" si="664"/>
        <v>-750</v>
      </c>
      <c r="AD334" s="132">
        <f t="shared" si="4"/>
        <v>-10000</v>
      </c>
      <c r="AE334" s="132">
        <f t="shared" ref="AE334:AS334" si="665">H334-1000</f>
        <v>-1000</v>
      </c>
      <c r="AF334" s="132">
        <f t="shared" si="665"/>
        <v>-1000</v>
      </c>
      <c r="AG334" s="132">
        <f t="shared" si="665"/>
        <v>-1000</v>
      </c>
      <c r="AH334" s="132">
        <f t="shared" si="665"/>
        <v>-1000</v>
      </c>
      <c r="AI334" s="132">
        <f t="shared" si="665"/>
        <v>-1000</v>
      </c>
      <c r="AJ334" s="132">
        <f t="shared" si="665"/>
        <v>-1000</v>
      </c>
      <c r="AK334" s="132">
        <f t="shared" si="665"/>
        <v>-1000</v>
      </c>
      <c r="AL334" s="132">
        <f t="shared" si="665"/>
        <v>-1000</v>
      </c>
      <c r="AM334" s="132">
        <f t="shared" si="665"/>
        <v>-1000</v>
      </c>
      <c r="AN334" s="132">
        <f t="shared" si="665"/>
        <v>-1000</v>
      </c>
      <c r="AO334" s="132">
        <f t="shared" si="665"/>
        <v>-1000</v>
      </c>
      <c r="AP334" s="132">
        <f t="shared" si="665"/>
        <v>-1000</v>
      </c>
      <c r="AQ334" s="132">
        <f t="shared" si="665"/>
        <v>-1000</v>
      </c>
      <c r="AR334" s="132">
        <f t="shared" si="665"/>
        <v>-1000</v>
      </c>
      <c r="AS334" s="132">
        <f t="shared" si="665"/>
        <v>-1000</v>
      </c>
    </row>
    <row r="335">
      <c r="A335" s="132" t="s">
        <v>3837</v>
      </c>
      <c r="B335" s="132">
        <v>2000.0</v>
      </c>
      <c r="C335" s="132">
        <v>0.0</v>
      </c>
      <c r="D335" s="132">
        <v>0.0</v>
      </c>
      <c r="E335" s="132">
        <v>0.0</v>
      </c>
      <c r="F335" s="132">
        <v>2000.0</v>
      </c>
      <c r="G335" s="132">
        <v>0.0</v>
      </c>
      <c r="H335" s="132">
        <v>0.0</v>
      </c>
      <c r="I335" s="132">
        <v>0.0</v>
      </c>
      <c r="J335" s="132">
        <v>0.0</v>
      </c>
      <c r="K335" s="132">
        <v>0.0</v>
      </c>
      <c r="L335" s="132">
        <v>0.0</v>
      </c>
      <c r="M335" s="132">
        <v>0.0</v>
      </c>
      <c r="N335" s="132">
        <v>0.0</v>
      </c>
      <c r="O335" s="132">
        <v>0.0</v>
      </c>
      <c r="P335" s="132">
        <v>0.0</v>
      </c>
      <c r="Q335" s="132">
        <v>0.0</v>
      </c>
      <c r="R335" s="132">
        <v>0.0</v>
      </c>
      <c r="S335" s="132">
        <v>0.0</v>
      </c>
      <c r="T335" s="132">
        <v>0.0</v>
      </c>
      <c r="U335" s="132">
        <v>0.0</v>
      </c>
      <c r="V335" s="132">
        <v>0.0</v>
      </c>
      <c r="W335" s="132">
        <v>0.0</v>
      </c>
      <c r="Y335" s="132" t="s">
        <v>3837</v>
      </c>
      <c r="Z335" s="132">
        <f t="shared" ref="Z335:AC335" si="666">C335-1000</f>
        <v>-1000</v>
      </c>
      <c r="AA335" s="132">
        <f t="shared" si="666"/>
        <v>-1000</v>
      </c>
      <c r="AB335" s="132">
        <f t="shared" si="666"/>
        <v>-1000</v>
      </c>
      <c r="AC335" s="132">
        <f t="shared" si="666"/>
        <v>1000</v>
      </c>
      <c r="AD335" s="132">
        <f t="shared" si="4"/>
        <v>-10000</v>
      </c>
      <c r="AE335" s="132">
        <f t="shared" ref="AE335:AS335" si="667">H335-1000</f>
        <v>-1000</v>
      </c>
      <c r="AF335" s="132">
        <f t="shared" si="667"/>
        <v>-1000</v>
      </c>
      <c r="AG335" s="132">
        <f t="shared" si="667"/>
        <v>-1000</v>
      </c>
      <c r="AH335" s="132">
        <f t="shared" si="667"/>
        <v>-1000</v>
      </c>
      <c r="AI335" s="132">
        <f t="shared" si="667"/>
        <v>-1000</v>
      </c>
      <c r="AJ335" s="132">
        <f t="shared" si="667"/>
        <v>-1000</v>
      </c>
      <c r="AK335" s="132">
        <f t="shared" si="667"/>
        <v>-1000</v>
      </c>
      <c r="AL335" s="132">
        <f t="shared" si="667"/>
        <v>-1000</v>
      </c>
      <c r="AM335" s="132">
        <f t="shared" si="667"/>
        <v>-1000</v>
      </c>
      <c r="AN335" s="132">
        <f t="shared" si="667"/>
        <v>-1000</v>
      </c>
      <c r="AO335" s="132">
        <f t="shared" si="667"/>
        <v>-1000</v>
      </c>
      <c r="AP335" s="132">
        <f t="shared" si="667"/>
        <v>-1000</v>
      </c>
      <c r="AQ335" s="132">
        <f t="shared" si="667"/>
        <v>-1000</v>
      </c>
      <c r="AR335" s="132">
        <f t="shared" si="667"/>
        <v>-1000</v>
      </c>
      <c r="AS335" s="132">
        <f t="shared" si="667"/>
        <v>-1000</v>
      </c>
    </row>
    <row r="336">
      <c r="A336" s="132" t="s">
        <v>3838</v>
      </c>
      <c r="B336" s="132">
        <v>6250.0</v>
      </c>
      <c r="C336" s="132">
        <v>750.0</v>
      </c>
      <c r="D336" s="132">
        <v>0.0</v>
      </c>
      <c r="E336" s="132">
        <v>1000.0</v>
      </c>
      <c r="F336" s="132">
        <v>1500.0</v>
      </c>
      <c r="G336" s="132">
        <v>2500.0</v>
      </c>
      <c r="H336" s="132">
        <v>0.0</v>
      </c>
      <c r="I336" s="132">
        <v>0.0</v>
      </c>
      <c r="J336" s="132">
        <v>0.0</v>
      </c>
      <c r="K336" s="132">
        <v>0.0</v>
      </c>
      <c r="L336" s="132">
        <v>0.0</v>
      </c>
      <c r="M336" s="132">
        <v>500.0</v>
      </c>
      <c r="N336" s="132">
        <v>0.0</v>
      </c>
      <c r="O336" s="132">
        <v>0.0</v>
      </c>
      <c r="P336" s="132">
        <v>0.0</v>
      </c>
      <c r="Q336" s="132">
        <v>0.0</v>
      </c>
      <c r="R336" s="132">
        <v>0.0</v>
      </c>
      <c r="S336" s="132">
        <v>0.0</v>
      </c>
      <c r="T336" s="132">
        <v>0.0</v>
      </c>
      <c r="U336" s="132">
        <v>0.0</v>
      </c>
      <c r="V336" s="132">
        <v>0.0</v>
      </c>
      <c r="W336" s="132">
        <v>1.0</v>
      </c>
      <c r="Y336" s="132" t="s">
        <v>3838</v>
      </c>
      <c r="Z336" s="132">
        <f t="shared" ref="Z336:AC336" si="668">C336-1000</f>
        <v>-250</v>
      </c>
      <c r="AA336" s="132">
        <f t="shared" si="668"/>
        <v>-1000</v>
      </c>
      <c r="AB336" s="132">
        <f t="shared" si="668"/>
        <v>0</v>
      </c>
      <c r="AC336" s="132">
        <f t="shared" si="668"/>
        <v>500</v>
      </c>
      <c r="AD336" s="132">
        <f t="shared" si="4"/>
        <v>-7500</v>
      </c>
      <c r="AE336" s="132">
        <f t="shared" ref="AE336:AS336" si="669">H336-1000</f>
        <v>-1000</v>
      </c>
      <c r="AF336" s="132">
        <f t="shared" si="669"/>
        <v>-1000</v>
      </c>
      <c r="AG336" s="132">
        <f t="shared" si="669"/>
        <v>-1000</v>
      </c>
      <c r="AH336" s="132">
        <f t="shared" si="669"/>
        <v>-1000</v>
      </c>
      <c r="AI336" s="132">
        <f t="shared" si="669"/>
        <v>-1000</v>
      </c>
      <c r="AJ336" s="132">
        <f t="shared" si="669"/>
        <v>-500</v>
      </c>
      <c r="AK336" s="132">
        <f t="shared" si="669"/>
        <v>-1000</v>
      </c>
      <c r="AL336" s="132">
        <f t="shared" si="669"/>
        <v>-1000</v>
      </c>
      <c r="AM336" s="132">
        <f t="shared" si="669"/>
        <v>-1000</v>
      </c>
      <c r="AN336" s="132">
        <f t="shared" si="669"/>
        <v>-1000</v>
      </c>
      <c r="AO336" s="132">
        <f t="shared" si="669"/>
        <v>-1000</v>
      </c>
      <c r="AP336" s="132">
        <f t="shared" si="669"/>
        <v>-1000</v>
      </c>
      <c r="AQ336" s="132">
        <f t="shared" si="669"/>
        <v>-1000</v>
      </c>
      <c r="AR336" s="132">
        <f t="shared" si="669"/>
        <v>-1000</v>
      </c>
      <c r="AS336" s="132">
        <f t="shared" si="669"/>
        <v>-1000</v>
      </c>
    </row>
    <row r="337">
      <c r="A337" s="132" t="s">
        <v>3839</v>
      </c>
      <c r="B337" s="132">
        <v>5125.0</v>
      </c>
      <c r="C337" s="132">
        <v>0.0</v>
      </c>
      <c r="D337" s="132">
        <v>0.0</v>
      </c>
      <c r="E337" s="132">
        <v>50.0</v>
      </c>
      <c r="F337" s="132">
        <v>75.0</v>
      </c>
      <c r="G337" s="132">
        <v>5000.0</v>
      </c>
      <c r="H337" s="132">
        <v>0.0</v>
      </c>
      <c r="I337" s="132">
        <v>0.0</v>
      </c>
      <c r="J337" s="132">
        <v>0.0</v>
      </c>
      <c r="K337" s="132">
        <v>0.0</v>
      </c>
      <c r="L337" s="132">
        <v>0.0</v>
      </c>
      <c r="M337" s="132">
        <v>0.0</v>
      </c>
      <c r="N337" s="132">
        <v>0.0</v>
      </c>
      <c r="O337" s="132">
        <v>0.0</v>
      </c>
      <c r="P337" s="132">
        <v>0.0</v>
      </c>
      <c r="Q337" s="132">
        <v>0.0</v>
      </c>
      <c r="R337" s="132">
        <v>0.0</v>
      </c>
      <c r="S337" s="132">
        <v>0.0</v>
      </c>
      <c r="T337" s="132">
        <v>0.0</v>
      </c>
      <c r="U337" s="132">
        <v>0.0</v>
      </c>
      <c r="V337" s="132">
        <v>0.0</v>
      </c>
      <c r="W337" s="132">
        <v>1.0</v>
      </c>
      <c r="Y337" s="132" t="s">
        <v>3839</v>
      </c>
      <c r="Z337" s="132">
        <f t="shared" ref="Z337:AC337" si="670">C337-1000</f>
        <v>-1000</v>
      </c>
      <c r="AA337" s="132">
        <f t="shared" si="670"/>
        <v>-1000</v>
      </c>
      <c r="AB337" s="132">
        <f t="shared" si="670"/>
        <v>-950</v>
      </c>
      <c r="AC337" s="132">
        <f t="shared" si="670"/>
        <v>-925</v>
      </c>
      <c r="AD337" s="132">
        <f t="shared" si="4"/>
        <v>-5000</v>
      </c>
      <c r="AE337" s="132">
        <f t="shared" ref="AE337:AS337" si="671">H337-1000</f>
        <v>-1000</v>
      </c>
      <c r="AF337" s="132">
        <f t="shared" si="671"/>
        <v>-1000</v>
      </c>
      <c r="AG337" s="132">
        <f t="shared" si="671"/>
        <v>-1000</v>
      </c>
      <c r="AH337" s="132">
        <f t="shared" si="671"/>
        <v>-1000</v>
      </c>
      <c r="AI337" s="132">
        <f t="shared" si="671"/>
        <v>-1000</v>
      </c>
      <c r="AJ337" s="132">
        <f t="shared" si="671"/>
        <v>-1000</v>
      </c>
      <c r="AK337" s="132">
        <f t="shared" si="671"/>
        <v>-1000</v>
      </c>
      <c r="AL337" s="132">
        <f t="shared" si="671"/>
        <v>-1000</v>
      </c>
      <c r="AM337" s="132">
        <f t="shared" si="671"/>
        <v>-1000</v>
      </c>
      <c r="AN337" s="132">
        <f t="shared" si="671"/>
        <v>-1000</v>
      </c>
      <c r="AO337" s="132">
        <f t="shared" si="671"/>
        <v>-1000</v>
      </c>
      <c r="AP337" s="132">
        <f t="shared" si="671"/>
        <v>-1000</v>
      </c>
      <c r="AQ337" s="132">
        <f t="shared" si="671"/>
        <v>-1000</v>
      </c>
      <c r="AR337" s="132">
        <f t="shared" si="671"/>
        <v>-1000</v>
      </c>
      <c r="AS337" s="132">
        <f t="shared" si="671"/>
        <v>-1000</v>
      </c>
    </row>
    <row r="338">
      <c r="A338" s="132" t="s">
        <v>3840</v>
      </c>
      <c r="B338" s="132">
        <v>751.0</v>
      </c>
      <c r="C338" s="132">
        <v>0.0</v>
      </c>
      <c r="D338" s="132">
        <v>0.0</v>
      </c>
      <c r="E338" s="132">
        <v>0.0</v>
      </c>
      <c r="F338" s="132">
        <v>600.0</v>
      </c>
      <c r="G338" s="132">
        <v>0.0</v>
      </c>
      <c r="H338" s="132">
        <v>0.0</v>
      </c>
      <c r="I338" s="132">
        <v>0.0</v>
      </c>
      <c r="J338" s="132">
        <v>0.0</v>
      </c>
      <c r="K338" s="132">
        <v>0.0</v>
      </c>
      <c r="L338" s="132">
        <v>0.0</v>
      </c>
      <c r="M338" s="132">
        <v>0.0</v>
      </c>
      <c r="N338" s="132">
        <v>151.0</v>
      </c>
      <c r="O338" s="132">
        <v>0.0</v>
      </c>
      <c r="P338" s="132">
        <v>0.0</v>
      </c>
      <c r="Q338" s="132">
        <v>0.0</v>
      </c>
      <c r="R338" s="132">
        <v>0.0</v>
      </c>
      <c r="S338" s="132">
        <v>0.0</v>
      </c>
      <c r="T338" s="132">
        <v>0.0</v>
      </c>
      <c r="U338" s="132">
        <v>0.0</v>
      </c>
      <c r="V338" s="132">
        <v>0.0</v>
      </c>
      <c r="W338" s="132">
        <v>1.0</v>
      </c>
      <c r="Y338" s="132" t="s">
        <v>3840</v>
      </c>
      <c r="Z338" s="132">
        <f t="shared" ref="Z338:AC338" si="672">C338-1000</f>
        <v>-1000</v>
      </c>
      <c r="AA338" s="132">
        <f t="shared" si="672"/>
        <v>-1000</v>
      </c>
      <c r="AB338" s="132">
        <f t="shared" si="672"/>
        <v>-1000</v>
      </c>
      <c r="AC338" s="132">
        <f t="shared" si="672"/>
        <v>-400</v>
      </c>
      <c r="AD338" s="132">
        <f t="shared" si="4"/>
        <v>-10000</v>
      </c>
      <c r="AE338" s="132">
        <f t="shared" ref="AE338:AS338" si="673">H338-1000</f>
        <v>-1000</v>
      </c>
      <c r="AF338" s="132">
        <f t="shared" si="673"/>
        <v>-1000</v>
      </c>
      <c r="AG338" s="132">
        <f t="shared" si="673"/>
        <v>-1000</v>
      </c>
      <c r="AH338" s="132">
        <f t="shared" si="673"/>
        <v>-1000</v>
      </c>
      <c r="AI338" s="132">
        <f t="shared" si="673"/>
        <v>-1000</v>
      </c>
      <c r="AJ338" s="132">
        <f t="shared" si="673"/>
        <v>-1000</v>
      </c>
      <c r="AK338" s="132">
        <f t="shared" si="673"/>
        <v>-849</v>
      </c>
      <c r="AL338" s="132">
        <f t="shared" si="673"/>
        <v>-1000</v>
      </c>
      <c r="AM338" s="132">
        <f t="shared" si="673"/>
        <v>-1000</v>
      </c>
      <c r="AN338" s="132">
        <f t="shared" si="673"/>
        <v>-1000</v>
      </c>
      <c r="AO338" s="132">
        <f t="shared" si="673"/>
        <v>-1000</v>
      </c>
      <c r="AP338" s="132">
        <f t="shared" si="673"/>
        <v>-1000</v>
      </c>
      <c r="AQ338" s="132">
        <f t="shared" si="673"/>
        <v>-1000</v>
      </c>
      <c r="AR338" s="132">
        <f t="shared" si="673"/>
        <v>-1000</v>
      </c>
      <c r="AS338" s="132">
        <f t="shared" si="673"/>
        <v>-1000</v>
      </c>
    </row>
    <row r="339">
      <c r="A339" s="132" t="s">
        <v>3841</v>
      </c>
      <c r="B339" s="132">
        <v>500.0</v>
      </c>
      <c r="C339" s="132">
        <v>0.0</v>
      </c>
      <c r="D339" s="132">
        <v>0.0</v>
      </c>
      <c r="E339" s="132">
        <v>0.0</v>
      </c>
      <c r="F339" s="132">
        <v>500.0</v>
      </c>
      <c r="G339" s="132">
        <v>0.0</v>
      </c>
      <c r="H339" s="132">
        <v>0.0</v>
      </c>
      <c r="I339" s="132">
        <v>0.0</v>
      </c>
      <c r="J339" s="132">
        <v>0.0</v>
      </c>
      <c r="K339" s="132">
        <v>0.0</v>
      </c>
      <c r="L339" s="132">
        <v>0.0</v>
      </c>
      <c r="M339" s="132">
        <v>0.0</v>
      </c>
      <c r="N339" s="132">
        <v>0.0</v>
      </c>
      <c r="O339" s="132">
        <v>0.0</v>
      </c>
      <c r="P339" s="132">
        <v>0.0</v>
      </c>
      <c r="Q339" s="132">
        <v>0.0</v>
      </c>
      <c r="R339" s="132">
        <v>0.0</v>
      </c>
      <c r="S339" s="132">
        <v>0.0</v>
      </c>
      <c r="T339" s="132">
        <v>0.0</v>
      </c>
      <c r="U339" s="132">
        <v>0.0</v>
      </c>
      <c r="V339" s="132">
        <v>0.0</v>
      </c>
      <c r="W339" s="132">
        <v>0.0</v>
      </c>
      <c r="Y339" s="132" t="s">
        <v>3841</v>
      </c>
      <c r="Z339" s="132">
        <f t="shared" ref="Z339:AC339" si="674">C339-1000</f>
        <v>-1000</v>
      </c>
      <c r="AA339" s="132">
        <f t="shared" si="674"/>
        <v>-1000</v>
      </c>
      <c r="AB339" s="132">
        <f t="shared" si="674"/>
        <v>-1000</v>
      </c>
      <c r="AC339" s="132">
        <f t="shared" si="674"/>
        <v>-500</v>
      </c>
      <c r="AD339" s="132">
        <f t="shared" si="4"/>
        <v>-10000</v>
      </c>
      <c r="AE339" s="132">
        <f t="shared" ref="AE339:AS339" si="675">H339-1000</f>
        <v>-1000</v>
      </c>
      <c r="AF339" s="132">
        <f t="shared" si="675"/>
        <v>-1000</v>
      </c>
      <c r="AG339" s="132">
        <f t="shared" si="675"/>
        <v>-1000</v>
      </c>
      <c r="AH339" s="132">
        <f t="shared" si="675"/>
        <v>-1000</v>
      </c>
      <c r="AI339" s="132">
        <f t="shared" si="675"/>
        <v>-1000</v>
      </c>
      <c r="AJ339" s="132">
        <f t="shared" si="675"/>
        <v>-1000</v>
      </c>
      <c r="AK339" s="132">
        <f t="shared" si="675"/>
        <v>-1000</v>
      </c>
      <c r="AL339" s="132">
        <f t="shared" si="675"/>
        <v>-1000</v>
      </c>
      <c r="AM339" s="132">
        <f t="shared" si="675"/>
        <v>-1000</v>
      </c>
      <c r="AN339" s="132">
        <f t="shared" si="675"/>
        <v>-1000</v>
      </c>
      <c r="AO339" s="132">
        <f t="shared" si="675"/>
        <v>-1000</v>
      </c>
      <c r="AP339" s="132">
        <f t="shared" si="675"/>
        <v>-1000</v>
      </c>
      <c r="AQ339" s="132">
        <f t="shared" si="675"/>
        <v>-1000</v>
      </c>
      <c r="AR339" s="132">
        <f t="shared" si="675"/>
        <v>-1000</v>
      </c>
      <c r="AS339" s="132">
        <f t="shared" si="675"/>
        <v>-1000</v>
      </c>
    </row>
    <row r="340">
      <c r="A340" s="132" t="s">
        <v>3842</v>
      </c>
      <c r="B340" s="132">
        <v>1000.0</v>
      </c>
      <c r="C340" s="132">
        <v>0.0</v>
      </c>
      <c r="D340" s="132">
        <v>0.0</v>
      </c>
      <c r="E340" s="132">
        <v>0.0</v>
      </c>
      <c r="F340" s="132">
        <v>1000.0</v>
      </c>
      <c r="G340" s="132">
        <v>0.0</v>
      </c>
      <c r="H340" s="132">
        <v>0.0</v>
      </c>
      <c r="I340" s="132">
        <v>0.0</v>
      </c>
      <c r="J340" s="132">
        <v>0.0</v>
      </c>
      <c r="K340" s="132">
        <v>0.0</v>
      </c>
      <c r="L340" s="132">
        <v>0.0</v>
      </c>
      <c r="M340" s="132">
        <v>0.0</v>
      </c>
      <c r="N340" s="132">
        <v>0.0</v>
      </c>
      <c r="O340" s="132">
        <v>0.0</v>
      </c>
      <c r="P340" s="132">
        <v>0.0</v>
      </c>
      <c r="Q340" s="132">
        <v>0.0</v>
      </c>
      <c r="R340" s="132">
        <v>0.0</v>
      </c>
      <c r="S340" s="132">
        <v>0.0</v>
      </c>
      <c r="T340" s="132">
        <v>0.0</v>
      </c>
      <c r="U340" s="132">
        <v>0.0</v>
      </c>
      <c r="V340" s="132">
        <v>0.0</v>
      </c>
      <c r="W340" s="132">
        <v>0.0</v>
      </c>
      <c r="Y340" s="132" t="s">
        <v>3842</v>
      </c>
      <c r="Z340" s="132">
        <f t="shared" ref="Z340:AC340" si="676">C340-1000</f>
        <v>-1000</v>
      </c>
      <c r="AA340" s="132">
        <f t="shared" si="676"/>
        <v>-1000</v>
      </c>
      <c r="AB340" s="132">
        <f t="shared" si="676"/>
        <v>-1000</v>
      </c>
      <c r="AC340" s="132">
        <f t="shared" si="676"/>
        <v>0</v>
      </c>
      <c r="AD340" s="132">
        <f t="shared" si="4"/>
        <v>-10000</v>
      </c>
      <c r="AE340" s="132">
        <f t="shared" ref="AE340:AS340" si="677">H340-1000</f>
        <v>-1000</v>
      </c>
      <c r="AF340" s="132">
        <f t="shared" si="677"/>
        <v>-1000</v>
      </c>
      <c r="AG340" s="132">
        <f t="shared" si="677"/>
        <v>-1000</v>
      </c>
      <c r="AH340" s="132">
        <f t="shared" si="677"/>
        <v>-1000</v>
      </c>
      <c r="AI340" s="132">
        <f t="shared" si="677"/>
        <v>-1000</v>
      </c>
      <c r="AJ340" s="132">
        <f t="shared" si="677"/>
        <v>-1000</v>
      </c>
      <c r="AK340" s="132">
        <f t="shared" si="677"/>
        <v>-1000</v>
      </c>
      <c r="AL340" s="132">
        <f t="shared" si="677"/>
        <v>-1000</v>
      </c>
      <c r="AM340" s="132">
        <f t="shared" si="677"/>
        <v>-1000</v>
      </c>
      <c r="AN340" s="132">
        <f t="shared" si="677"/>
        <v>-1000</v>
      </c>
      <c r="AO340" s="132">
        <f t="shared" si="677"/>
        <v>-1000</v>
      </c>
      <c r="AP340" s="132">
        <f t="shared" si="677"/>
        <v>-1000</v>
      </c>
      <c r="AQ340" s="132">
        <f t="shared" si="677"/>
        <v>-1000</v>
      </c>
      <c r="AR340" s="132">
        <f t="shared" si="677"/>
        <v>-1000</v>
      </c>
      <c r="AS340" s="132">
        <f t="shared" si="677"/>
        <v>-1000</v>
      </c>
    </row>
    <row r="341">
      <c r="A341" s="132" t="s">
        <v>3843</v>
      </c>
      <c r="B341" s="132">
        <v>1000.0</v>
      </c>
      <c r="C341" s="132">
        <v>0.0</v>
      </c>
      <c r="D341" s="132">
        <v>0.0</v>
      </c>
      <c r="E341" s="132">
        <v>0.0</v>
      </c>
      <c r="F341" s="132">
        <v>1000.0</v>
      </c>
      <c r="G341" s="132">
        <v>0.0</v>
      </c>
      <c r="H341" s="132">
        <v>0.0</v>
      </c>
      <c r="I341" s="132">
        <v>0.0</v>
      </c>
      <c r="J341" s="132">
        <v>0.0</v>
      </c>
      <c r="K341" s="132">
        <v>0.0</v>
      </c>
      <c r="L341" s="132">
        <v>0.0</v>
      </c>
      <c r="M341" s="132">
        <v>0.0</v>
      </c>
      <c r="N341" s="132">
        <v>0.0</v>
      </c>
      <c r="O341" s="132">
        <v>0.0</v>
      </c>
      <c r="P341" s="132">
        <v>0.0</v>
      </c>
      <c r="Q341" s="132">
        <v>0.0</v>
      </c>
      <c r="R341" s="132">
        <v>0.0</v>
      </c>
      <c r="S341" s="132">
        <v>0.0</v>
      </c>
      <c r="T341" s="132">
        <v>0.0</v>
      </c>
      <c r="U341" s="132">
        <v>0.0</v>
      </c>
      <c r="V341" s="132">
        <v>0.0</v>
      </c>
      <c r="W341" s="132">
        <v>0.0</v>
      </c>
      <c r="Y341" s="132" t="s">
        <v>3843</v>
      </c>
      <c r="Z341" s="132">
        <f t="shared" ref="Z341:AC341" si="678">C341-1000</f>
        <v>-1000</v>
      </c>
      <c r="AA341" s="132">
        <f t="shared" si="678"/>
        <v>-1000</v>
      </c>
      <c r="AB341" s="132">
        <f t="shared" si="678"/>
        <v>-1000</v>
      </c>
      <c r="AC341" s="132">
        <f t="shared" si="678"/>
        <v>0</v>
      </c>
      <c r="AD341" s="132">
        <f t="shared" si="4"/>
        <v>-10000</v>
      </c>
      <c r="AE341" s="132">
        <f t="shared" ref="AE341:AS341" si="679">H341-1000</f>
        <v>-1000</v>
      </c>
      <c r="AF341" s="132">
        <f t="shared" si="679"/>
        <v>-1000</v>
      </c>
      <c r="AG341" s="132">
        <f t="shared" si="679"/>
        <v>-1000</v>
      </c>
      <c r="AH341" s="132">
        <f t="shared" si="679"/>
        <v>-1000</v>
      </c>
      <c r="AI341" s="132">
        <f t="shared" si="679"/>
        <v>-1000</v>
      </c>
      <c r="AJ341" s="132">
        <f t="shared" si="679"/>
        <v>-1000</v>
      </c>
      <c r="AK341" s="132">
        <f t="shared" si="679"/>
        <v>-1000</v>
      </c>
      <c r="AL341" s="132">
        <f t="shared" si="679"/>
        <v>-1000</v>
      </c>
      <c r="AM341" s="132">
        <f t="shared" si="679"/>
        <v>-1000</v>
      </c>
      <c r="AN341" s="132">
        <f t="shared" si="679"/>
        <v>-1000</v>
      </c>
      <c r="AO341" s="132">
        <f t="shared" si="679"/>
        <v>-1000</v>
      </c>
      <c r="AP341" s="132">
        <f t="shared" si="679"/>
        <v>-1000</v>
      </c>
      <c r="AQ341" s="132">
        <f t="shared" si="679"/>
        <v>-1000</v>
      </c>
      <c r="AR341" s="132">
        <f t="shared" si="679"/>
        <v>-1000</v>
      </c>
      <c r="AS341" s="132">
        <f t="shared" si="679"/>
        <v>-1000</v>
      </c>
    </row>
    <row r="342">
      <c r="A342" s="132" t="s">
        <v>3844</v>
      </c>
      <c r="B342" s="132">
        <v>1000.0</v>
      </c>
      <c r="C342" s="132">
        <v>0.0</v>
      </c>
      <c r="D342" s="132">
        <v>0.0</v>
      </c>
      <c r="E342" s="132">
        <v>0.0</v>
      </c>
      <c r="F342" s="132">
        <v>1000.0</v>
      </c>
      <c r="G342" s="132">
        <v>0.0</v>
      </c>
      <c r="H342" s="132">
        <v>0.0</v>
      </c>
      <c r="I342" s="132">
        <v>0.0</v>
      </c>
      <c r="J342" s="132">
        <v>0.0</v>
      </c>
      <c r="K342" s="132">
        <v>0.0</v>
      </c>
      <c r="L342" s="132">
        <v>0.0</v>
      </c>
      <c r="M342" s="132">
        <v>0.0</v>
      </c>
      <c r="N342" s="132">
        <v>0.0</v>
      </c>
      <c r="O342" s="132">
        <v>0.0</v>
      </c>
      <c r="P342" s="132">
        <v>0.0</v>
      </c>
      <c r="Q342" s="132">
        <v>0.0</v>
      </c>
      <c r="R342" s="132">
        <v>0.0</v>
      </c>
      <c r="S342" s="132">
        <v>0.0</v>
      </c>
      <c r="T342" s="132">
        <v>0.0</v>
      </c>
      <c r="U342" s="132">
        <v>0.0</v>
      </c>
      <c r="V342" s="132">
        <v>0.0</v>
      </c>
      <c r="W342" s="132">
        <v>0.0</v>
      </c>
      <c r="Y342" s="132" t="s">
        <v>3844</v>
      </c>
      <c r="Z342" s="132">
        <f t="shared" ref="Z342:AC342" si="680">C342-1000</f>
        <v>-1000</v>
      </c>
      <c r="AA342" s="132">
        <f t="shared" si="680"/>
        <v>-1000</v>
      </c>
      <c r="AB342" s="132">
        <f t="shared" si="680"/>
        <v>-1000</v>
      </c>
      <c r="AC342" s="132">
        <f t="shared" si="680"/>
        <v>0</v>
      </c>
      <c r="AD342" s="132">
        <f t="shared" si="4"/>
        <v>-10000</v>
      </c>
      <c r="AE342" s="132">
        <f t="shared" ref="AE342:AS342" si="681">H342-1000</f>
        <v>-1000</v>
      </c>
      <c r="AF342" s="132">
        <f t="shared" si="681"/>
        <v>-1000</v>
      </c>
      <c r="AG342" s="132">
        <f t="shared" si="681"/>
        <v>-1000</v>
      </c>
      <c r="AH342" s="132">
        <f t="shared" si="681"/>
        <v>-1000</v>
      </c>
      <c r="AI342" s="132">
        <f t="shared" si="681"/>
        <v>-1000</v>
      </c>
      <c r="AJ342" s="132">
        <f t="shared" si="681"/>
        <v>-1000</v>
      </c>
      <c r="AK342" s="132">
        <f t="shared" si="681"/>
        <v>-1000</v>
      </c>
      <c r="AL342" s="132">
        <f t="shared" si="681"/>
        <v>-1000</v>
      </c>
      <c r="AM342" s="132">
        <f t="shared" si="681"/>
        <v>-1000</v>
      </c>
      <c r="AN342" s="132">
        <f t="shared" si="681"/>
        <v>-1000</v>
      </c>
      <c r="AO342" s="132">
        <f t="shared" si="681"/>
        <v>-1000</v>
      </c>
      <c r="AP342" s="132">
        <f t="shared" si="681"/>
        <v>-1000</v>
      </c>
      <c r="AQ342" s="132">
        <f t="shared" si="681"/>
        <v>-1000</v>
      </c>
      <c r="AR342" s="132">
        <f t="shared" si="681"/>
        <v>-1000</v>
      </c>
      <c r="AS342" s="132">
        <f t="shared" si="681"/>
        <v>-1000</v>
      </c>
    </row>
    <row r="343">
      <c r="A343" s="132" t="s">
        <v>3845</v>
      </c>
      <c r="B343" s="132">
        <v>500.0</v>
      </c>
      <c r="C343" s="132">
        <v>0.0</v>
      </c>
      <c r="D343" s="132">
        <v>0.0</v>
      </c>
      <c r="E343" s="132">
        <v>0.0</v>
      </c>
      <c r="F343" s="132">
        <v>500.0</v>
      </c>
      <c r="G343" s="132">
        <v>0.0</v>
      </c>
      <c r="H343" s="132">
        <v>0.0</v>
      </c>
      <c r="I343" s="132">
        <v>0.0</v>
      </c>
      <c r="J343" s="132">
        <v>0.0</v>
      </c>
      <c r="K343" s="132">
        <v>0.0</v>
      </c>
      <c r="L343" s="132">
        <v>0.0</v>
      </c>
      <c r="M343" s="132">
        <v>0.0</v>
      </c>
      <c r="N343" s="132">
        <v>0.0</v>
      </c>
      <c r="O343" s="132">
        <v>0.0</v>
      </c>
      <c r="P343" s="132">
        <v>0.0</v>
      </c>
      <c r="Q343" s="132">
        <v>0.0</v>
      </c>
      <c r="R343" s="132">
        <v>0.0</v>
      </c>
      <c r="S343" s="132">
        <v>0.0</v>
      </c>
      <c r="T343" s="132">
        <v>0.0</v>
      </c>
      <c r="U343" s="132">
        <v>0.0</v>
      </c>
      <c r="V343" s="132">
        <v>0.0</v>
      </c>
      <c r="W343" s="132">
        <v>0.0</v>
      </c>
      <c r="Y343" s="132" t="s">
        <v>3845</v>
      </c>
      <c r="Z343" s="132">
        <f t="shared" ref="Z343:AC343" si="682">C343-1000</f>
        <v>-1000</v>
      </c>
      <c r="AA343" s="132">
        <f t="shared" si="682"/>
        <v>-1000</v>
      </c>
      <c r="AB343" s="132">
        <f t="shared" si="682"/>
        <v>-1000</v>
      </c>
      <c r="AC343" s="132">
        <f t="shared" si="682"/>
        <v>-500</v>
      </c>
      <c r="AD343" s="132">
        <f t="shared" si="4"/>
        <v>-10000</v>
      </c>
      <c r="AE343" s="132">
        <f t="shared" ref="AE343:AS343" si="683">H343-1000</f>
        <v>-1000</v>
      </c>
      <c r="AF343" s="132">
        <f t="shared" si="683"/>
        <v>-1000</v>
      </c>
      <c r="AG343" s="132">
        <f t="shared" si="683"/>
        <v>-1000</v>
      </c>
      <c r="AH343" s="132">
        <f t="shared" si="683"/>
        <v>-1000</v>
      </c>
      <c r="AI343" s="132">
        <f t="shared" si="683"/>
        <v>-1000</v>
      </c>
      <c r="AJ343" s="132">
        <f t="shared" si="683"/>
        <v>-1000</v>
      </c>
      <c r="AK343" s="132">
        <f t="shared" si="683"/>
        <v>-1000</v>
      </c>
      <c r="AL343" s="132">
        <f t="shared" si="683"/>
        <v>-1000</v>
      </c>
      <c r="AM343" s="132">
        <f t="shared" si="683"/>
        <v>-1000</v>
      </c>
      <c r="AN343" s="132">
        <f t="shared" si="683"/>
        <v>-1000</v>
      </c>
      <c r="AO343" s="132">
        <f t="shared" si="683"/>
        <v>-1000</v>
      </c>
      <c r="AP343" s="132">
        <f t="shared" si="683"/>
        <v>-1000</v>
      </c>
      <c r="AQ343" s="132">
        <f t="shared" si="683"/>
        <v>-1000</v>
      </c>
      <c r="AR343" s="132">
        <f t="shared" si="683"/>
        <v>-1000</v>
      </c>
      <c r="AS343" s="132">
        <f t="shared" si="683"/>
        <v>-1000</v>
      </c>
    </row>
    <row r="344">
      <c r="A344" s="132" t="s">
        <v>3846</v>
      </c>
      <c r="B344" s="132">
        <v>500.0</v>
      </c>
      <c r="C344" s="132">
        <v>0.0</v>
      </c>
      <c r="D344" s="132">
        <v>0.0</v>
      </c>
      <c r="E344" s="132">
        <v>0.0</v>
      </c>
      <c r="F344" s="132">
        <v>500.0</v>
      </c>
      <c r="G344" s="132">
        <v>0.0</v>
      </c>
      <c r="H344" s="132">
        <v>0.0</v>
      </c>
      <c r="I344" s="132">
        <v>0.0</v>
      </c>
      <c r="J344" s="132">
        <v>0.0</v>
      </c>
      <c r="K344" s="132">
        <v>0.0</v>
      </c>
      <c r="L344" s="132">
        <v>0.0</v>
      </c>
      <c r="M344" s="132">
        <v>0.0</v>
      </c>
      <c r="N344" s="132">
        <v>0.0</v>
      </c>
      <c r="O344" s="132">
        <v>0.0</v>
      </c>
      <c r="P344" s="132">
        <v>0.0</v>
      </c>
      <c r="Q344" s="132">
        <v>0.0</v>
      </c>
      <c r="R344" s="132">
        <v>0.0</v>
      </c>
      <c r="S344" s="132">
        <v>0.0</v>
      </c>
      <c r="T344" s="132">
        <v>0.0</v>
      </c>
      <c r="U344" s="132">
        <v>0.0</v>
      </c>
      <c r="V344" s="132">
        <v>0.0</v>
      </c>
      <c r="W344" s="132">
        <v>0.0</v>
      </c>
      <c r="Y344" s="132" t="s">
        <v>3846</v>
      </c>
      <c r="Z344" s="132">
        <f t="shared" ref="Z344:AC344" si="684">C344-1000</f>
        <v>-1000</v>
      </c>
      <c r="AA344" s="132">
        <f t="shared" si="684"/>
        <v>-1000</v>
      </c>
      <c r="AB344" s="132">
        <f t="shared" si="684"/>
        <v>-1000</v>
      </c>
      <c r="AC344" s="132">
        <f t="shared" si="684"/>
        <v>-500</v>
      </c>
      <c r="AD344" s="132">
        <f t="shared" si="4"/>
        <v>-10000</v>
      </c>
      <c r="AE344" s="132">
        <f t="shared" ref="AE344:AS344" si="685">H344-1000</f>
        <v>-1000</v>
      </c>
      <c r="AF344" s="132">
        <f t="shared" si="685"/>
        <v>-1000</v>
      </c>
      <c r="AG344" s="132">
        <f t="shared" si="685"/>
        <v>-1000</v>
      </c>
      <c r="AH344" s="132">
        <f t="shared" si="685"/>
        <v>-1000</v>
      </c>
      <c r="AI344" s="132">
        <f t="shared" si="685"/>
        <v>-1000</v>
      </c>
      <c r="AJ344" s="132">
        <f t="shared" si="685"/>
        <v>-1000</v>
      </c>
      <c r="AK344" s="132">
        <f t="shared" si="685"/>
        <v>-1000</v>
      </c>
      <c r="AL344" s="132">
        <f t="shared" si="685"/>
        <v>-1000</v>
      </c>
      <c r="AM344" s="132">
        <f t="shared" si="685"/>
        <v>-1000</v>
      </c>
      <c r="AN344" s="132">
        <f t="shared" si="685"/>
        <v>-1000</v>
      </c>
      <c r="AO344" s="132">
        <f t="shared" si="685"/>
        <v>-1000</v>
      </c>
      <c r="AP344" s="132">
        <f t="shared" si="685"/>
        <v>-1000</v>
      </c>
      <c r="AQ344" s="132">
        <f t="shared" si="685"/>
        <v>-1000</v>
      </c>
      <c r="AR344" s="132">
        <f t="shared" si="685"/>
        <v>-1000</v>
      </c>
      <c r="AS344" s="132">
        <f t="shared" si="685"/>
        <v>-1000</v>
      </c>
    </row>
    <row r="345">
      <c r="A345" s="132" t="s">
        <v>3847</v>
      </c>
      <c r="B345" s="132">
        <v>2250.0</v>
      </c>
      <c r="C345" s="132">
        <v>0.0</v>
      </c>
      <c r="D345" s="132">
        <v>0.0</v>
      </c>
      <c r="E345" s="132">
        <v>0.0</v>
      </c>
      <c r="F345" s="132">
        <v>750.0</v>
      </c>
      <c r="G345" s="132">
        <v>1500.0</v>
      </c>
      <c r="H345" s="132">
        <v>0.0</v>
      </c>
      <c r="I345" s="132">
        <v>0.0</v>
      </c>
      <c r="J345" s="132">
        <v>0.0</v>
      </c>
      <c r="K345" s="132">
        <v>0.0</v>
      </c>
      <c r="L345" s="132">
        <v>0.0</v>
      </c>
      <c r="M345" s="132">
        <v>0.0</v>
      </c>
      <c r="N345" s="132">
        <v>0.0</v>
      </c>
      <c r="O345" s="132">
        <v>0.0</v>
      </c>
      <c r="P345" s="132">
        <v>0.0</v>
      </c>
      <c r="Q345" s="132">
        <v>0.0</v>
      </c>
      <c r="R345" s="132">
        <v>0.0</v>
      </c>
      <c r="S345" s="132">
        <v>0.0</v>
      </c>
      <c r="T345" s="132">
        <v>0.0</v>
      </c>
      <c r="U345" s="132">
        <v>0.0</v>
      </c>
      <c r="V345" s="132">
        <v>0.0</v>
      </c>
      <c r="W345" s="132">
        <v>0.0</v>
      </c>
      <c r="Y345" s="132" t="s">
        <v>3847</v>
      </c>
      <c r="Z345" s="132">
        <f t="shared" ref="Z345:AC345" si="686">C345-1000</f>
        <v>-1000</v>
      </c>
      <c r="AA345" s="132">
        <f t="shared" si="686"/>
        <v>-1000</v>
      </c>
      <c r="AB345" s="132">
        <f t="shared" si="686"/>
        <v>-1000</v>
      </c>
      <c r="AC345" s="132">
        <f t="shared" si="686"/>
        <v>-250</v>
      </c>
      <c r="AD345" s="132">
        <f t="shared" si="4"/>
        <v>-8500</v>
      </c>
      <c r="AE345" s="132">
        <f t="shared" ref="AE345:AS345" si="687">H345-1000</f>
        <v>-1000</v>
      </c>
      <c r="AF345" s="132">
        <f t="shared" si="687"/>
        <v>-1000</v>
      </c>
      <c r="AG345" s="132">
        <f t="shared" si="687"/>
        <v>-1000</v>
      </c>
      <c r="AH345" s="132">
        <f t="shared" si="687"/>
        <v>-1000</v>
      </c>
      <c r="AI345" s="132">
        <f t="shared" si="687"/>
        <v>-1000</v>
      </c>
      <c r="AJ345" s="132">
        <f t="shared" si="687"/>
        <v>-1000</v>
      </c>
      <c r="AK345" s="132">
        <f t="shared" si="687"/>
        <v>-1000</v>
      </c>
      <c r="AL345" s="132">
        <f t="shared" si="687"/>
        <v>-1000</v>
      </c>
      <c r="AM345" s="132">
        <f t="shared" si="687"/>
        <v>-1000</v>
      </c>
      <c r="AN345" s="132">
        <f t="shared" si="687"/>
        <v>-1000</v>
      </c>
      <c r="AO345" s="132">
        <f t="shared" si="687"/>
        <v>-1000</v>
      </c>
      <c r="AP345" s="132">
        <f t="shared" si="687"/>
        <v>-1000</v>
      </c>
      <c r="AQ345" s="132">
        <f t="shared" si="687"/>
        <v>-1000</v>
      </c>
      <c r="AR345" s="132">
        <f t="shared" si="687"/>
        <v>-1000</v>
      </c>
      <c r="AS345" s="132">
        <f t="shared" si="687"/>
        <v>-1000</v>
      </c>
    </row>
    <row r="346">
      <c r="A346" s="132" t="s">
        <v>3848</v>
      </c>
      <c r="B346" s="132">
        <v>500.0</v>
      </c>
      <c r="C346" s="132">
        <v>250.0</v>
      </c>
      <c r="D346" s="132">
        <v>0.0</v>
      </c>
      <c r="E346" s="132">
        <v>50.0</v>
      </c>
      <c r="F346" s="132">
        <v>200.0</v>
      </c>
      <c r="G346" s="132">
        <v>0.0</v>
      </c>
      <c r="H346" s="132">
        <v>0.0</v>
      </c>
      <c r="I346" s="132">
        <v>0.0</v>
      </c>
      <c r="J346" s="132">
        <v>0.0</v>
      </c>
      <c r="K346" s="132">
        <v>0.0</v>
      </c>
      <c r="L346" s="132">
        <v>0.0</v>
      </c>
      <c r="M346" s="132">
        <v>0.0</v>
      </c>
      <c r="N346" s="132">
        <v>0.0</v>
      </c>
      <c r="O346" s="132">
        <v>0.0</v>
      </c>
      <c r="P346" s="132">
        <v>0.0</v>
      </c>
      <c r="Q346" s="132">
        <v>0.0</v>
      </c>
      <c r="R346" s="132">
        <v>0.0</v>
      </c>
      <c r="S346" s="132">
        <v>0.0</v>
      </c>
      <c r="T346" s="132">
        <v>0.0</v>
      </c>
      <c r="U346" s="132">
        <v>0.0</v>
      </c>
      <c r="V346" s="132">
        <v>0.0</v>
      </c>
      <c r="W346" s="132">
        <v>0.0</v>
      </c>
      <c r="Y346" s="132" t="s">
        <v>3848</v>
      </c>
      <c r="Z346" s="132">
        <f t="shared" ref="Z346:AC346" si="688">C346-1000</f>
        <v>-750</v>
      </c>
      <c r="AA346" s="132">
        <f t="shared" si="688"/>
        <v>-1000</v>
      </c>
      <c r="AB346" s="132">
        <f t="shared" si="688"/>
        <v>-950</v>
      </c>
      <c r="AC346" s="132">
        <f t="shared" si="688"/>
        <v>-800</v>
      </c>
      <c r="AD346" s="132">
        <f t="shared" si="4"/>
        <v>-10000</v>
      </c>
      <c r="AE346" s="132">
        <f t="shared" ref="AE346:AS346" si="689">H346-1000</f>
        <v>-1000</v>
      </c>
      <c r="AF346" s="132">
        <f t="shared" si="689"/>
        <v>-1000</v>
      </c>
      <c r="AG346" s="132">
        <f t="shared" si="689"/>
        <v>-1000</v>
      </c>
      <c r="AH346" s="132">
        <f t="shared" si="689"/>
        <v>-1000</v>
      </c>
      <c r="AI346" s="132">
        <f t="shared" si="689"/>
        <v>-1000</v>
      </c>
      <c r="AJ346" s="132">
        <f t="shared" si="689"/>
        <v>-1000</v>
      </c>
      <c r="AK346" s="132">
        <f t="shared" si="689"/>
        <v>-1000</v>
      </c>
      <c r="AL346" s="132">
        <f t="shared" si="689"/>
        <v>-1000</v>
      </c>
      <c r="AM346" s="132">
        <f t="shared" si="689"/>
        <v>-1000</v>
      </c>
      <c r="AN346" s="132">
        <f t="shared" si="689"/>
        <v>-1000</v>
      </c>
      <c r="AO346" s="132">
        <f t="shared" si="689"/>
        <v>-1000</v>
      </c>
      <c r="AP346" s="132">
        <f t="shared" si="689"/>
        <v>-1000</v>
      </c>
      <c r="AQ346" s="132">
        <f t="shared" si="689"/>
        <v>-1000</v>
      </c>
      <c r="AR346" s="132">
        <f t="shared" si="689"/>
        <v>-1000</v>
      </c>
      <c r="AS346" s="132">
        <f t="shared" si="689"/>
        <v>-1000</v>
      </c>
    </row>
    <row r="347">
      <c r="A347" s="132" t="s">
        <v>3849</v>
      </c>
      <c r="B347" s="132">
        <v>1750.0</v>
      </c>
      <c r="C347" s="132">
        <v>0.0</v>
      </c>
      <c r="D347" s="132">
        <v>0.0</v>
      </c>
      <c r="E347" s="132">
        <v>0.0</v>
      </c>
      <c r="F347" s="132">
        <v>1000.0</v>
      </c>
      <c r="G347" s="132">
        <v>0.0</v>
      </c>
      <c r="H347" s="132">
        <v>0.0</v>
      </c>
      <c r="I347" s="132">
        <v>250.0</v>
      </c>
      <c r="J347" s="132">
        <v>0.0</v>
      </c>
      <c r="K347" s="132">
        <v>0.0</v>
      </c>
      <c r="L347" s="132">
        <v>0.0</v>
      </c>
      <c r="M347" s="132">
        <v>0.0</v>
      </c>
      <c r="N347" s="132">
        <v>0.0</v>
      </c>
      <c r="O347" s="132">
        <v>0.0</v>
      </c>
      <c r="P347" s="132">
        <v>500.0</v>
      </c>
      <c r="Q347" s="132">
        <v>0.0</v>
      </c>
      <c r="R347" s="132">
        <v>0.0</v>
      </c>
      <c r="S347" s="132">
        <v>0.0</v>
      </c>
      <c r="T347" s="132">
        <v>0.0</v>
      </c>
      <c r="U347" s="132">
        <v>0.0</v>
      </c>
      <c r="V347" s="132">
        <v>0.0</v>
      </c>
      <c r="W347" s="132">
        <v>1.0</v>
      </c>
      <c r="Y347" s="132" t="s">
        <v>3849</v>
      </c>
      <c r="Z347" s="132">
        <f t="shared" ref="Z347:AC347" si="690">C347-1000</f>
        <v>-1000</v>
      </c>
      <c r="AA347" s="132">
        <f t="shared" si="690"/>
        <v>-1000</v>
      </c>
      <c r="AB347" s="132">
        <f t="shared" si="690"/>
        <v>-1000</v>
      </c>
      <c r="AC347" s="132">
        <f t="shared" si="690"/>
        <v>0</v>
      </c>
      <c r="AD347" s="132">
        <f t="shared" si="4"/>
        <v>-10000</v>
      </c>
      <c r="AE347" s="132">
        <f t="shared" ref="AE347:AS347" si="691">H347-1000</f>
        <v>-1000</v>
      </c>
      <c r="AF347" s="132">
        <f t="shared" si="691"/>
        <v>-750</v>
      </c>
      <c r="AG347" s="132">
        <f t="shared" si="691"/>
        <v>-1000</v>
      </c>
      <c r="AH347" s="132">
        <f t="shared" si="691"/>
        <v>-1000</v>
      </c>
      <c r="AI347" s="132">
        <f t="shared" si="691"/>
        <v>-1000</v>
      </c>
      <c r="AJ347" s="132">
        <f t="shared" si="691"/>
        <v>-1000</v>
      </c>
      <c r="AK347" s="132">
        <f t="shared" si="691"/>
        <v>-1000</v>
      </c>
      <c r="AL347" s="132">
        <f t="shared" si="691"/>
        <v>-1000</v>
      </c>
      <c r="AM347" s="132">
        <f t="shared" si="691"/>
        <v>-500</v>
      </c>
      <c r="AN347" s="132">
        <f t="shared" si="691"/>
        <v>-1000</v>
      </c>
      <c r="AO347" s="132">
        <f t="shared" si="691"/>
        <v>-1000</v>
      </c>
      <c r="AP347" s="132">
        <f t="shared" si="691"/>
        <v>-1000</v>
      </c>
      <c r="AQ347" s="132">
        <f t="shared" si="691"/>
        <v>-1000</v>
      </c>
      <c r="AR347" s="132">
        <f t="shared" si="691"/>
        <v>-1000</v>
      </c>
      <c r="AS347" s="132">
        <f t="shared" si="691"/>
        <v>-1000</v>
      </c>
    </row>
    <row r="348">
      <c r="A348" s="132" t="s">
        <v>3850</v>
      </c>
      <c r="B348" s="132">
        <v>450.0</v>
      </c>
      <c r="C348" s="132">
        <v>0.0</v>
      </c>
      <c r="D348" s="132">
        <v>0.0</v>
      </c>
      <c r="E348" s="132">
        <v>0.0</v>
      </c>
      <c r="F348" s="132">
        <v>350.0</v>
      </c>
      <c r="G348" s="132">
        <v>100.0</v>
      </c>
      <c r="H348" s="132">
        <v>0.0</v>
      </c>
      <c r="I348" s="132">
        <v>0.0</v>
      </c>
      <c r="J348" s="132">
        <v>0.0</v>
      </c>
      <c r="K348" s="132">
        <v>0.0</v>
      </c>
      <c r="L348" s="132">
        <v>0.0</v>
      </c>
      <c r="M348" s="132">
        <v>0.0</v>
      </c>
      <c r="N348" s="132">
        <v>0.0</v>
      </c>
      <c r="O348" s="132">
        <v>0.0</v>
      </c>
      <c r="P348" s="132">
        <v>0.0</v>
      </c>
      <c r="Q348" s="132">
        <v>0.0</v>
      </c>
      <c r="R348" s="132">
        <v>0.0</v>
      </c>
      <c r="S348" s="132">
        <v>0.0</v>
      </c>
      <c r="T348" s="132">
        <v>0.0</v>
      </c>
      <c r="U348" s="132">
        <v>0.0</v>
      </c>
      <c r="V348" s="132">
        <v>0.0</v>
      </c>
      <c r="W348" s="132">
        <v>1.0</v>
      </c>
      <c r="Y348" s="132" t="s">
        <v>3850</v>
      </c>
      <c r="Z348" s="132">
        <f t="shared" ref="Z348:AC348" si="692">C348-1000</f>
        <v>-1000</v>
      </c>
      <c r="AA348" s="132">
        <f t="shared" si="692"/>
        <v>-1000</v>
      </c>
      <c r="AB348" s="132">
        <f t="shared" si="692"/>
        <v>-1000</v>
      </c>
      <c r="AC348" s="132">
        <f t="shared" si="692"/>
        <v>-650</v>
      </c>
      <c r="AD348" s="132">
        <f t="shared" si="4"/>
        <v>-9900</v>
      </c>
      <c r="AE348" s="132">
        <f t="shared" ref="AE348:AS348" si="693">H348-1000</f>
        <v>-1000</v>
      </c>
      <c r="AF348" s="132">
        <f t="shared" si="693"/>
        <v>-1000</v>
      </c>
      <c r="AG348" s="132">
        <f t="shared" si="693"/>
        <v>-1000</v>
      </c>
      <c r="AH348" s="132">
        <f t="shared" si="693"/>
        <v>-1000</v>
      </c>
      <c r="AI348" s="132">
        <f t="shared" si="693"/>
        <v>-1000</v>
      </c>
      <c r="AJ348" s="132">
        <f t="shared" si="693"/>
        <v>-1000</v>
      </c>
      <c r="AK348" s="132">
        <f t="shared" si="693"/>
        <v>-1000</v>
      </c>
      <c r="AL348" s="132">
        <f t="shared" si="693"/>
        <v>-1000</v>
      </c>
      <c r="AM348" s="132">
        <f t="shared" si="693"/>
        <v>-1000</v>
      </c>
      <c r="AN348" s="132">
        <f t="shared" si="693"/>
        <v>-1000</v>
      </c>
      <c r="AO348" s="132">
        <f t="shared" si="693"/>
        <v>-1000</v>
      </c>
      <c r="AP348" s="132">
        <f t="shared" si="693"/>
        <v>-1000</v>
      </c>
      <c r="AQ348" s="132">
        <f t="shared" si="693"/>
        <v>-1000</v>
      </c>
      <c r="AR348" s="132">
        <f t="shared" si="693"/>
        <v>-1000</v>
      </c>
      <c r="AS348" s="132">
        <f t="shared" si="693"/>
        <v>-1000</v>
      </c>
    </row>
    <row r="349">
      <c r="A349" s="132" t="s">
        <v>3851</v>
      </c>
      <c r="B349" s="132">
        <v>750.0</v>
      </c>
      <c r="C349" s="132">
        <v>0.0</v>
      </c>
      <c r="D349" s="132">
        <v>0.0</v>
      </c>
      <c r="E349" s="132">
        <v>100.0</v>
      </c>
      <c r="F349" s="132">
        <v>250.0</v>
      </c>
      <c r="G349" s="132">
        <v>0.0</v>
      </c>
      <c r="H349" s="132">
        <v>0.0</v>
      </c>
      <c r="I349" s="132">
        <v>100.0</v>
      </c>
      <c r="J349" s="132">
        <v>0.0</v>
      </c>
      <c r="K349" s="132">
        <v>0.0</v>
      </c>
      <c r="L349" s="132">
        <v>0.0</v>
      </c>
      <c r="M349" s="132">
        <v>0.0</v>
      </c>
      <c r="N349" s="132">
        <v>0.0</v>
      </c>
      <c r="O349" s="132">
        <v>300.0</v>
      </c>
      <c r="P349" s="132">
        <v>0.0</v>
      </c>
      <c r="Q349" s="132">
        <v>0.0</v>
      </c>
      <c r="R349" s="132">
        <v>0.0</v>
      </c>
      <c r="S349" s="132">
        <v>0.0</v>
      </c>
      <c r="T349" s="132">
        <v>0.0</v>
      </c>
      <c r="U349" s="132">
        <v>0.0</v>
      </c>
      <c r="V349" s="132">
        <v>0.0</v>
      </c>
      <c r="W349" s="132">
        <v>0.0</v>
      </c>
      <c r="Y349" s="132" t="s">
        <v>3851</v>
      </c>
      <c r="Z349" s="132">
        <f t="shared" ref="Z349:AC349" si="694">C349-1000</f>
        <v>-1000</v>
      </c>
      <c r="AA349" s="132">
        <f t="shared" si="694"/>
        <v>-1000</v>
      </c>
      <c r="AB349" s="132">
        <f t="shared" si="694"/>
        <v>-900</v>
      </c>
      <c r="AC349" s="132">
        <f t="shared" si="694"/>
        <v>-750</v>
      </c>
      <c r="AD349" s="132">
        <f t="shared" si="4"/>
        <v>-10000</v>
      </c>
      <c r="AE349" s="132">
        <f t="shared" ref="AE349:AS349" si="695">H349-1000</f>
        <v>-1000</v>
      </c>
      <c r="AF349" s="132">
        <f t="shared" si="695"/>
        <v>-900</v>
      </c>
      <c r="AG349" s="132">
        <f t="shared" si="695"/>
        <v>-1000</v>
      </c>
      <c r="AH349" s="132">
        <f t="shared" si="695"/>
        <v>-1000</v>
      </c>
      <c r="AI349" s="132">
        <f t="shared" si="695"/>
        <v>-1000</v>
      </c>
      <c r="AJ349" s="132">
        <f t="shared" si="695"/>
        <v>-1000</v>
      </c>
      <c r="AK349" s="132">
        <f t="shared" si="695"/>
        <v>-1000</v>
      </c>
      <c r="AL349" s="132">
        <f t="shared" si="695"/>
        <v>-700</v>
      </c>
      <c r="AM349" s="132">
        <f t="shared" si="695"/>
        <v>-1000</v>
      </c>
      <c r="AN349" s="132">
        <f t="shared" si="695"/>
        <v>-1000</v>
      </c>
      <c r="AO349" s="132">
        <f t="shared" si="695"/>
        <v>-1000</v>
      </c>
      <c r="AP349" s="132">
        <f t="shared" si="695"/>
        <v>-1000</v>
      </c>
      <c r="AQ349" s="132">
        <f t="shared" si="695"/>
        <v>-1000</v>
      </c>
      <c r="AR349" s="132">
        <f t="shared" si="695"/>
        <v>-1000</v>
      </c>
      <c r="AS349" s="132">
        <f t="shared" si="695"/>
        <v>-1000</v>
      </c>
    </row>
    <row r="350">
      <c r="A350" s="132" t="s">
        <v>3852</v>
      </c>
      <c r="B350" s="132">
        <v>100.0</v>
      </c>
      <c r="C350" s="132">
        <v>0.0</v>
      </c>
      <c r="D350" s="132">
        <v>0.0</v>
      </c>
      <c r="E350" s="132">
        <v>0.0</v>
      </c>
      <c r="F350" s="132">
        <v>100.0</v>
      </c>
      <c r="G350" s="132">
        <v>0.0</v>
      </c>
      <c r="H350" s="132">
        <v>0.0</v>
      </c>
      <c r="I350" s="132">
        <v>0.0</v>
      </c>
      <c r="J350" s="132">
        <v>0.0</v>
      </c>
      <c r="K350" s="132">
        <v>0.0</v>
      </c>
      <c r="L350" s="132">
        <v>0.0</v>
      </c>
      <c r="M350" s="132">
        <v>0.0</v>
      </c>
      <c r="N350" s="132">
        <v>0.0</v>
      </c>
      <c r="O350" s="132">
        <v>0.0</v>
      </c>
      <c r="P350" s="132">
        <v>0.0</v>
      </c>
      <c r="Q350" s="132">
        <v>0.0</v>
      </c>
      <c r="R350" s="132">
        <v>0.0</v>
      </c>
      <c r="S350" s="132">
        <v>0.0</v>
      </c>
      <c r="T350" s="132">
        <v>0.0</v>
      </c>
      <c r="U350" s="132">
        <v>0.0</v>
      </c>
      <c r="V350" s="132">
        <v>0.0</v>
      </c>
      <c r="W350" s="132">
        <v>0.0</v>
      </c>
      <c r="Y350" s="132" t="s">
        <v>3852</v>
      </c>
      <c r="Z350" s="132">
        <f t="shared" ref="Z350:AC350" si="696">C350-1000</f>
        <v>-1000</v>
      </c>
      <c r="AA350" s="132">
        <f t="shared" si="696"/>
        <v>-1000</v>
      </c>
      <c r="AB350" s="132">
        <f t="shared" si="696"/>
        <v>-1000</v>
      </c>
      <c r="AC350" s="132">
        <f t="shared" si="696"/>
        <v>-900</v>
      </c>
      <c r="AD350" s="132">
        <f t="shared" si="4"/>
        <v>-10000</v>
      </c>
      <c r="AE350" s="132">
        <f t="shared" ref="AE350:AS350" si="697">H350-1000</f>
        <v>-1000</v>
      </c>
      <c r="AF350" s="132">
        <f t="shared" si="697"/>
        <v>-1000</v>
      </c>
      <c r="AG350" s="132">
        <f t="shared" si="697"/>
        <v>-1000</v>
      </c>
      <c r="AH350" s="132">
        <f t="shared" si="697"/>
        <v>-1000</v>
      </c>
      <c r="AI350" s="132">
        <f t="shared" si="697"/>
        <v>-1000</v>
      </c>
      <c r="AJ350" s="132">
        <f t="shared" si="697"/>
        <v>-1000</v>
      </c>
      <c r="AK350" s="132">
        <f t="shared" si="697"/>
        <v>-1000</v>
      </c>
      <c r="AL350" s="132">
        <f t="shared" si="697"/>
        <v>-1000</v>
      </c>
      <c r="AM350" s="132">
        <f t="shared" si="697"/>
        <v>-1000</v>
      </c>
      <c r="AN350" s="132">
        <f t="shared" si="697"/>
        <v>-1000</v>
      </c>
      <c r="AO350" s="132">
        <f t="shared" si="697"/>
        <v>-1000</v>
      </c>
      <c r="AP350" s="132">
        <f t="shared" si="697"/>
        <v>-1000</v>
      </c>
      <c r="AQ350" s="132">
        <f t="shared" si="697"/>
        <v>-1000</v>
      </c>
      <c r="AR350" s="132">
        <f t="shared" si="697"/>
        <v>-1000</v>
      </c>
      <c r="AS350" s="132">
        <f t="shared" si="697"/>
        <v>-1000</v>
      </c>
    </row>
    <row r="351">
      <c r="A351" s="132" t="s">
        <v>3853</v>
      </c>
      <c r="B351" s="132">
        <v>300.0</v>
      </c>
      <c r="C351" s="132">
        <v>0.0</v>
      </c>
      <c r="D351" s="132">
        <v>0.0</v>
      </c>
      <c r="E351" s="132">
        <v>0.0</v>
      </c>
      <c r="F351" s="132">
        <v>300.0</v>
      </c>
      <c r="G351" s="132">
        <v>0.0</v>
      </c>
      <c r="H351" s="132">
        <v>0.0</v>
      </c>
      <c r="I351" s="132">
        <v>0.0</v>
      </c>
      <c r="J351" s="132">
        <v>0.0</v>
      </c>
      <c r="K351" s="132">
        <v>0.0</v>
      </c>
      <c r="L351" s="132">
        <v>0.0</v>
      </c>
      <c r="M351" s="132">
        <v>0.0</v>
      </c>
      <c r="N351" s="132">
        <v>0.0</v>
      </c>
      <c r="O351" s="132">
        <v>0.0</v>
      </c>
      <c r="P351" s="132">
        <v>0.0</v>
      </c>
      <c r="Q351" s="132">
        <v>0.0</v>
      </c>
      <c r="R351" s="132">
        <v>0.0</v>
      </c>
      <c r="S351" s="132">
        <v>0.0</v>
      </c>
      <c r="T351" s="132">
        <v>0.0</v>
      </c>
      <c r="U351" s="132">
        <v>0.0</v>
      </c>
      <c r="V351" s="132">
        <v>0.0</v>
      </c>
      <c r="W351" s="132">
        <v>0.0</v>
      </c>
      <c r="Y351" s="132" t="s">
        <v>3853</v>
      </c>
      <c r="Z351" s="132">
        <f t="shared" ref="Z351:AC351" si="698">C351-1000</f>
        <v>-1000</v>
      </c>
      <c r="AA351" s="132">
        <f t="shared" si="698"/>
        <v>-1000</v>
      </c>
      <c r="AB351" s="132">
        <f t="shared" si="698"/>
        <v>-1000</v>
      </c>
      <c r="AC351" s="132">
        <f t="shared" si="698"/>
        <v>-700</v>
      </c>
      <c r="AD351" s="132">
        <f t="shared" si="4"/>
        <v>-10000</v>
      </c>
      <c r="AE351" s="132">
        <f t="shared" ref="AE351:AS351" si="699">H351-1000</f>
        <v>-1000</v>
      </c>
      <c r="AF351" s="132">
        <f t="shared" si="699"/>
        <v>-1000</v>
      </c>
      <c r="AG351" s="132">
        <f t="shared" si="699"/>
        <v>-1000</v>
      </c>
      <c r="AH351" s="132">
        <f t="shared" si="699"/>
        <v>-1000</v>
      </c>
      <c r="AI351" s="132">
        <f t="shared" si="699"/>
        <v>-1000</v>
      </c>
      <c r="AJ351" s="132">
        <f t="shared" si="699"/>
        <v>-1000</v>
      </c>
      <c r="AK351" s="132">
        <f t="shared" si="699"/>
        <v>-1000</v>
      </c>
      <c r="AL351" s="132">
        <f t="shared" si="699"/>
        <v>-1000</v>
      </c>
      <c r="AM351" s="132">
        <f t="shared" si="699"/>
        <v>-1000</v>
      </c>
      <c r="AN351" s="132">
        <f t="shared" si="699"/>
        <v>-1000</v>
      </c>
      <c r="AO351" s="132">
        <f t="shared" si="699"/>
        <v>-1000</v>
      </c>
      <c r="AP351" s="132">
        <f t="shared" si="699"/>
        <v>-1000</v>
      </c>
      <c r="AQ351" s="132">
        <f t="shared" si="699"/>
        <v>-1000</v>
      </c>
      <c r="AR351" s="132">
        <f t="shared" si="699"/>
        <v>-1000</v>
      </c>
      <c r="AS351" s="132">
        <f t="shared" si="699"/>
        <v>-1000</v>
      </c>
    </row>
    <row r="352">
      <c r="A352" s="132" t="s">
        <v>3854</v>
      </c>
      <c r="B352" s="132">
        <v>100.0</v>
      </c>
      <c r="C352" s="132">
        <v>0.0</v>
      </c>
      <c r="D352" s="132">
        <v>0.0</v>
      </c>
      <c r="E352" s="132">
        <v>0.0</v>
      </c>
      <c r="F352" s="132">
        <v>100.0</v>
      </c>
      <c r="G352" s="132">
        <v>0.0</v>
      </c>
      <c r="H352" s="132">
        <v>0.0</v>
      </c>
      <c r="I352" s="132">
        <v>0.0</v>
      </c>
      <c r="J352" s="132">
        <v>0.0</v>
      </c>
      <c r="K352" s="132">
        <v>0.0</v>
      </c>
      <c r="L352" s="132">
        <v>0.0</v>
      </c>
      <c r="M352" s="132">
        <v>0.0</v>
      </c>
      <c r="N352" s="132">
        <v>0.0</v>
      </c>
      <c r="O352" s="132">
        <v>0.0</v>
      </c>
      <c r="P352" s="132">
        <v>0.0</v>
      </c>
      <c r="Q352" s="132">
        <v>0.0</v>
      </c>
      <c r="R352" s="132">
        <v>0.0</v>
      </c>
      <c r="S352" s="132">
        <v>0.0</v>
      </c>
      <c r="T352" s="132">
        <v>0.0</v>
      </c>
      <c r="U352" s="132">
        <v>0.0</v>
      </c>
      <c r="V352" s="132">
        <v>0.0</v>
      </c>
      <c r="W352" s="132">
        <v>0.0</v>
      </c>
      <c r="Y352" s="132" t="s">
        <v>3854</v>
      </c>
      <c r="Z352" s="132">
        <f t="shared" ref="Z352:AC352" si="700">C352-1000</f>
        <v>-1000</v>
      </c>
      <c r="AA352" s="132">
        <f t="shared" si="700"/>
        <v>-1000</v>
      </c>
      <c r="AB352" s="132">
        <f t="shared" si="700"/>
        <v>-1000</v>
      </c>
      <c r="AC352" s="132">
        <f t="shared" si="700"/>
        <v>-900</v>
      </c>
      <c r="AD352" s="132">
        <f t="shared" si="4"/>
        <v>-10000</v>
      </c>
      <c r="AE352" s="132">
        <f t="shared" ref="AE352:AS352" si="701">H352-1000</f>
        <v>-1000</v>
      </c>
      <c r="AF352" s="132">
        <f t="shared" si="701"/>
        <v>-1000</v>
      </c>
      <c r="AG352" s="132">
        <f t="shared" si="701"/>
        <v>-1000</v>
      </c>
      <c r="AH352" s="132">
        <f t="shared" si="701"/>
        <v>-1000</v>
      </c>
      <c r="AI352" s="132">
        <f t="shared" si="701"/>
        <v>-1000</v>
      </c>
      <c r="AJ352" s="132">
        <f t="shared" si="701"/>
        <v>-1000</v>
      </c>
      <c r="AK352" s="132">
        <f t="shared" si="701"/>
        <v>-1000</v>
      </c>
      <c r="AL352" s="132">
        <f t="shared" si="701"/>
        <v>-1000</v>
      </c>
      <c r="AM352" s="132">
        <f t="shared" si="701"/>
        <v>-1000</v>
      </c>
      <c r="AN352" s="132">
        <f t="shared" si="701"/>
        <v>-1000</v>
      </c>
      <c r="AO352" s="132">
        <f t="shared" si="701"/>
        <v>-1000</v>
      </c>
      <c r="AP352" s="132">
        <f t="shared" si="701"/>
        <v>-1000</v>
      </c>
      <c r="AQ352" s="132">
        <f t="shared" si="701"/>
        <v>-1000</v>
      </c>
      <c r="AR352" s="132">
        <f t="shared" si="701"/>
        <v>-1000</v>
      </c>
      <c r="AS352" s="132">
        <f t="shared" si="701"/>
        <v>-1000</v>
      </c>
    </row>
    <row r="353">
      <c r="A353" s="132" t="s">
        <v>3855</v>
      </c>
      <c r="B353" s="132">
        <v>250.0</v>
      </c>
      <c r="C353" s="132">
        <v>0.0</v>
      </c>
      <c r="D353" s="132">
        <v>0.0</v>
      </c>
      <c r="E353" s="132">
        <v>0.0</v>
      </c>
      <c r="F353" s="132">
        <v>250.0</v>
      </c>
      <c r="G353" s="132">
        <v>0.0</v>
      </c>
      <c r="H353" s="132">
        <v>0.0</v>
      </c>
      <c r="I353" s="132">
        <v>0.0</v>
      </c>
      <c r="J353" s="132">
        <v>0.0</v>
      </c>
      <c r="K353" s="132">
        <v>0.0</v>
      </c>
      <c r="L353" s="132">
        <v>0.0</v>
      </c>
      <c r="M353" s="132">
        <v>0.0</v>
      </c>
      <c r="N353" s="132">
        <v>0.0</v>
      </c>
      <c r="O353" s="132">
        <v>0.0</v>
      </c>
      <c r="P353" s="132">
        <v>0.0</v>
      </c>
      <c r="Q353" s="132">
        <v>0.0</v>
      </c>
      <c r="R353" s="132">
        <v>0.0</v>
      </c>
      <c r="S353" s="132">
        <v>0.0</v>
      </c>
      <c r="T353" s="132">
        <v>0.0</v>
      </c>
      <c r="U353" s="132">
        <v>0.0</v>
      </c>
      <c r="V353" s="132">
        <v>0.0</v>
      </c>
      <c r="W353" s="132">
        <v>0.0</v>
      </c>
      <c r="Y353" s="132" t="s">
        <v>3855</v>
      </c>
      <c r="Z353" s="132">
        <f t="shared" ref="Z353:AC353" si="702">C353-1000</f>
        <v>-1000</v>
      </c>
      <c r="AA353" s="132">
        <f t="shared" si="702"/>
        <v>-1000</v>
      </c>
      <c r="AB353" s="132">
        <f t="shared" si="702"/>
        <v>-1000</v>
      </c>
      <c r="AC353" s="132">
        <f t="shared" si="702"/>
        <v>-750</v>
      </c>
      <c r="AD353" s="132">
        <f t="shared" si="4"/>
        <v>-10000</v>
      </c>
      <c r="AE353" s="132">
        <f t="shared" ref="AE353:AS353" si="703">H353-1000</f>
        <v>-1000</v>
      </c>
      <c r="AF353" s="132">
        <f t="shared" si="703"/>
        <v>-1000</v>
      </c>
      <c r="AG353" s="132">
        <f t="shared" si="703"/>
        <v>-1000</v>
      </c>
      <c r="AH353" s="132">
        <f t="shared" si="703"/>
        <v>-1000</v>
      </c>
      <c r="AI353" s="132">
        <f t="shared" si="703"/>
        <v>-1000</v>
      </c>
      <c r="AJ353" s="132">
        <f t="shared" si="703"/>
        <v>-1000</v>
      </c>
      <c r="AK353" s="132">
        <f t="shared" si="703"/>
        <v>-1000</v>
      </c>
      <c r="AL353" s="132">
        <f t="shared" si="703"/>
        <v>-1000</v>
      </c>
      <c r="AM353" s="132">
        <f t="shared" si="703"/>
        <v>-1000</v>
      </c>
      <c r="AN353" s="132">
        <f t="shared" si="703"/>
        <v>-1000</v>
      </c>
      <c r="AO353" s="132">
        <f t="shared" si="703"/>
        <v>-1000</v>
      </c>
      <c r="AP353" s="132">
        <f t="shared" si="703"/>
        <v>-1000</v>
      </c>
      <c r="AQ353" s="132">
        <f t="shared" si="703"/>
        <v>-1000</v>
      </c>
      <c r="AR353" s="132">
        <f t="shared" si="703"/>
        <v>-1000</v>
      </c>
      <c r="AS353" s="132">
        <f t="shared" si="703"/>
        <v>-1000</v>
      </c>
    </row>
    <row r="354">
      <c r="A354" s="132" t="s">
        <v>3856</v>
      </c>
      <c r="B354" s="132">
        <v>50.0</v>
      </c>
      <c r="C354" s="132">
        <v>0.0</v>
      </c>
      <c r="D354" s="132">
        <v>0.0</v>
      </c>
      <c r="E354" s="132">
        <v>0.0</v>
      </c>
      <c r="F354" s="132">
        <v>50.0</v>
      </c>
      <c r="G354" s="132">
        <v>0.0</v>
      </c>
      <c r="H354" s="132">
        <v>0.0</v>
      </c>
      <c r="I354" s="132">
        <v>0.0</v>
      </c>
      <c r="J354" s="132">
        <v>0.0</v>
      </c>
      <c r="K354" s="132">
        <v>0.0</v>
      </c>
      <c r="L354" s="132">
        <v>0.0</v>
      </c>
      <c r="M354" s="132">
        <v>0.0</v>
      </c>
      <c r="N354" s="132">
        <v>0.0</v>
      </c>
      <c r="O354" s="132">
        <v>0.0</v>
      </c>
      <c r="P354" s="132">
        <v>0.0</v>
      </c>
      <c r="Q354" s="132">
        <v>0.0</v>
      </c>
      <c r="R354" s="132">
        <v>0.0</v>
      </c>
      <c r="S354" s="132">
        <v>0.0</v>
      </c>
      <c r="T354" s="132">
        <v>0.0</v>
      </c>
      <c r="U354" s="132">
        <v>0.0</v>
      </c>
      <c r="V354" s="132">
        <v>0.0</v>
      </c>
      <c r="W354" s="132">
        <v>0.0</v>
      </c>
      <c r="Y354" s="132" t="s">
        <v>3856</v>
      </c>
      <c r="Z354" s="132">
        <f t="shared" ref="Z354:AC354" si="704">C354-1000</f>
        <v>-1000</v>
      </c>
      <c r="AA354" s="132">
        <f t="shared" si="704"/>
        <v>-1000</v>
      </c>
      <c r="AB354" s="132">
        <f t="shared" si="704"/>
        <v>-1000</v>
      </c>
      <c r="AC354" s="132">
        <f t="shared" si="704"/>
        <v>-950</v>
      </c>
      <c r="AD354" s="132">
        <f t="shared" si="4"/>
        <v>-10000</v>
      </c>
      <c r="AE354" s="132">
        <f t="shared" ref="AE354:AS354" si="705">H354-1000</f>
        <v>-1000</v>
      </c>
      <c r="AF354" s="132">
        <f t="shared" si="705"/>
        <v>-1000</v>
      </c>
      <c r="AG354" s="132">
        <f t="shared" si="705"/>
        <v>-1000</v>
      </c>
      <c r="AH354" s="132">
        <f t="shared" si="705"/>
        <v>-1000</v>
      </c>
      <c r="AI354" s="132">
        <f t="shared" si="705"/>
        <v>-1000</v>
      </c>
      <c r="AJ354" s="132">
        <f t="shared" si="705"/>
        <v>-1000</v>
      </c>
      <c r="AK354" s="132">
        <f t="shared" si="705"/>
        <v>-1000</v>
      </c>
      <c r="AL354" s="132">
        <f t="shared" si="705"/>
        <v>-1000</v>
      </c>
      <c r="AM354" s="132">
        <f t="shared" si="705"/>
        <v>-1000</v>
      </c>
      <c r="AN354" s="132">
        <f t="shared" si="705"/>
        <v>-1000</v>
      </c>
      <c r="AO354" s="132">
        <f t="shared" si="705"/>
        <v>-1000</v>
      </c>
      <c r="AP354" s="132">
        <f t="shared" si="705"/>
        <v>-1000</v>
      </c>
      <c r="AQ354" s="132">
        <f t="shared" si="705"/>
        <v>-1000</v>
      </c>
      <c r="AR354" s="132">
        <f t="shared" si="705"/>
        <v>-1000</v>
      </c>
      <c r="AS354" s="132">
        <f t="shared" si="705"/>
        <v>-1000</v>
      </c>
    </row>
    <row r="355">
      <c r="A355" s="132" t="s">
        <v>3857</v>
      </c>
      <c r="B355" s="132">
        <v>2000.0</v>
      </c>
      <c r="C355" s="132">
        <v>0.0</v>
      </c>
      <c r="D355" s="132">
        <v>0.0</v>
      </c>
      <c r="E355" s="132">
        <v>0.0</v>
      </c>
      <c r="F355" s="132">
        <v>1000.0</v>
      </c>
      <c r="G355" s="132">
        <v>1000.0</v>
      </c>
      <c r="H355" s="132">
        <v>0.0</v>
      </c>
      <c r="I355" s="132">
        <v>0.0</v>
      </c>
      <c r="J355" s="132">
        <v>0.0</v>
      </c>
      <c r="K355" s="132">
        <v>0.0</v>
      </c>
      <c r="L355" s="132">
        <v>0.0</v>
      </c>
      <c r="M355" s="132">
        <v>0.0</v>
      </c>
      <c r="N355" s="132">
        <v>0.0</v>
      </c>
      <c r="O355" s="132">
        <v>0.0</v>
      </c>
      <c r="P355" s="132">
        <v>0.0</v>
      </c>
      <c r="Q355" s="132">
        <v>0.0</v>
      </c>
      <c r="R355" s="132">
        <v>0.0</v>
      </c>
      <c r="S355" s="132">
        <v>0.0</v>
      </c>
      <c r="T355" s="132">
        <v>0.0</v>
      </c>
      <c r="U355" s="132">
        <v>0.0</v>
      </c>
      <c r="V355" s="132">
        <v>0.0</v>
      </c>
      <c r="W355" s="132">
        <v>0.0</v>
      </c>
      <c r="Y355" s="132" t="s">
        <v>3857</v>
      </c>
      <c r="Z355" s="132">
        <f t="shared" ref="Z355:AC355" si="706">C355-1000</f>
        <v>-1000</v>
      </c>
      <c r="AA355" s="132">
        <f t="shared" si="706"/>
        <v>-1000</v>
      </c>
      <c r="AB355" s="132">
        <f t="shared" si="706"/>
        <v>-1000</v>
      </c>
      <c r="AC355" s="132">
        <f t="shared" si="706"/>
        <v>0</v>
      </c>
      <c r="AD355" s="132">
        <f t="shared" si="4"/>
        <v>-9000</v>
      </c>
      <c r="AE355" s="132">
        <f t="shared" ref="AE355:AS355" si="707">H355-1000</f>
        <v>-1000</v>
      </c>
      <c r="AF355" s="132">
        <f t="shared" si="707"/>
        <v>-1000</v>
      </c>
      <c r="AG355" s="132">
        <f t="shared" si="707"/>
        <v>-1000</v>
      </c>
      <c r="AH355" s="132">
        <f t="shared" si="707"/>
        <v>-1000</v>
      </c>
      <c r="AI355" s="132">
        <f t="shared" si="707"/>
        <v>-1000</v>
      </c>
      <c r="AJ355" s="132">
        <f t="shared" si="707"/>
        <v>-1000</v>
      </c>
      <c r="AK355" s="132">
        <f t="shared" si="707"/>
        <v>-1000</v>
      </c>
      <c r="AL355" s="132">
        <f t="shared" si="707"/>
        <v>-1000</v>
      </c>
      <c r="AM355" s="132">
        <f t="shared" si="707"/>
        <v>-1000</v>
      </c>
      <c r="AN355" s="132">
        <f t="shared" si="707"/>
        <v>-1000</v>
      </c>
      <c r="AO355" s="132">
        <f t="shared" si="707"/>
        <v>-1000</v>
      </c>
      <c r="AP355" s="132">
        <f t="shared" si="707"/>
        <v>-1000</v>
      </c>
      <c r="AQ355" s="132">
        <f t="shared" si="707"/>
        <v>-1000</v>
      </c>
      <c r="AR355" s="132">
        <f t="shared" si="707"/>
        <v>-1000</v>
      </c>
      <c r="AS355" s="132">
        <f t="shared" si="707"/>
        <v>-1000</v>
      </c>
    </row>
    <row r="356">
      <c r="A356" s="132" t="s">
        <v>3858</v>
      </c>
      <c r="B356" s="132">
        <v>100.0</v>
      </c>
      <c r="C356" s="132">
        <v>0.0</v>
      </c>
      <c r="D356" s="132">
        <v>0.0</v>
      </c>
      <c r="E356" s="132">
        <v>0.0</v>
      </c>
      <c r="F356" s="132">
        <v>100.0</v>
      </c>
      <c r="G356" s="132">
        <v>0.0</v>
      </c>
      <c r="H356" s="132">
        <v>0.0</v>
      </c>
      <c r="I356" s="132">
        <v>0.0</v>
      </c>
      <c r="J356" s="132">
        <v>0.0</v>
      </c>
      <c r="K356" s="132">
        <v>0.0</v>
      </c>
      <c r="L356" s="132">
        <v>0.0</v>
      </c>
      <c r="M356" s="132">
        <v>0.0</v>
      </c>
      <c r="N356" s="132">
        <v>0.0</v>
      </c>
      <c r="O356" s="132">
        <v>0.0</v>
      </c>
      <c r="P356" s="132">
        <v>0.0</v>
      </c>
      <c r="Q356" s="132">
        <v>0.0</v>
      </c>
      <c r="R356" s="132">
        <v>0.0</v>
      </c>
      <c r="S356" s="132">
        <v>0.0</v>
      </c>
      <c r="T356" s="132">
        <v>0.0</v>
      </c>
      <c r="U356" s="132">
        <v>0.0</v>
      </c>
      <c r="V356" s="132">
        <v>0.0</v>
      </c>
      <c r="W356" s="132">
        <v>0.0</v>
      </c>
      <c r="Y356" s="132" t="s">
        <v>3858</v>
      </c>
      <c r="Z356" s="132">
        <f t="shared" ref="Z356:AC356" si="708">C356-1000</f>
        <v>-1000</v>
      </c>
      <c r="AA356" s="132">
        <f t="shared" si="708"/>
        <v>-1000</v>
      </c>
      <c r="AB356" s="132">
        <f t="shared" si="708"/>
        <v>-1000</v>
      </c>
      <c r="AC356" s="132">
        <f t="shared" si="708"/>
        <v>-900</v>
      </c>
      <c r="AD356" s="132">
        <f t="shared" si="4"/>
        <v>-10000</v>
      </c>
      <c r="AE356" s="132">
        <f t="shared" ref="AE356:AS356" si="709">H356-1000</f>
        <v>-1000</v>
      </c>
      <c r="AF356" s="132">
        <f t="shared" si="709"/>
        <v>-1000</v>
      </c>
      <c r="AG356" s="132">
        <f t="shared" si="709"/>
        <v>-1000</v>
      </c>
      <c r="AH356" s="132">
        <f t="shared" si="709"/>
        <v>-1000</v>
      </c>
      <c r="AI356" s="132">
        <f t="shared" si="709"/>
        <v>-1000</v>
      </c>
      <c r="AJ356" s="132">
        <f t="shared" si="709"/>
        <v>-1000</v>
      </c>
      <c r="AK356" s="132">
        <f t="shared" si="709"/>
        <v>-1000</v>
      </c>
      <c r="AL356" s="132">
        <f t="shared" si="709"/>
        <v>-1000</v>
      </c>
      <c r="AM356" s="132">
        <f t="shared" si="709"/>
        <v>-1000</v>
      </c>
      <c r="AN356" s="132">
        <f t="shared" si="709"/>
        <v>-1000</v>
      </c>
      <c r="AO356" s="132">
        <f t="shared" si="709"/>
        <v>-1000</v>
      </c>
      <c r="AP356" s="132">
        <f t="shared" si="709"/>
        <v>-1000</v>
      </c>
      <c r="AQ356" s="132">
        <f t="shared" si="709"/>
        <v>-1000</v>
      </c>
      <c r="AR356" s="132">
        <f t="shared" si="709"/>
        <v>-1000</v>
      </c>
      <c r="AS356" s="132">
        <f t="shared" si="709"/>
        <v>-1000</v>
      </c>
    </row>
    <row r="357">
      <c r="A357" s="132" t="s">
        <v>3859</v>
      </c>
      <c r="B357" s="132">
        <v>500.0</v>
      </c>
      <c r="C357" s="132">
        <v>0.0</v>
      </c>
      <c r="D357" s="132">
        <v>0.0</v>
      </c>
      <c r="E357" s="132">
        <v>0.0</v>
      </c>
      <c r="F357" s="132">
        <v>500.0</v>
      </c>
      <c r="G357" s="132">
        <v>0.0</v>
      </c>
      <c r="H357" s="132">
        <v>0.0</v>
      </c>
      <c r="I357" s="132">
        <v>0.0</v>
      </c>
      <c r="J357" s="132">
        <v>0.0</v>
      </c>
      <c r="K357" s="132">
        <v>0.0</v>
      </c>
      <c r="L357" s="132">
        <v>0.0</v>
      </c>
      <c r="M357" s="132">
        <v>0.0</v>
      </c>
      <c r="N357" s="132">
        <v>0.0</v>
      </c>
      <c r="O357" s="132">
        <v>0.0</v>
      </c>
      <c r="P357" s="132">
        <v>0.0</v>
      </c>
      <c r="Q357" s="132">
        <v>0.0</v>
      </c>
      <c r="R357" s="132">
        <v>0.0</v>
      </c>
      <c r="S357" s="132">
        <v>0.0</v>
      </c>
      <c r="T357" s="132">
        <v>0.0</v>
      </c>
      <c r="U357" s="132">
        <v>0.0</v>
      </c>
      <c r="V357" s="132">
        <v>0.0</v>
      </c>
      <c r="W357" s="132">
        <v>0.0</v>
      </c>
      <c r="Y357" s="132" t="s">
        <v>3859</v>
      </c>
      <c r="Z357" s="132">
        <f t="shared" ref="Z357:AC357" si="710">C357-1000</f>
        <v>-1000</v>
      </c>
      <c r="AA357" s="132">
        <f t="shared" si="710"/>
        <v>-1000</v>
      </c>
      <c r="AB357" s="132">
        <f t="shared" si="710"/>
        <v>-1000</v>
      </c>
      <c r="AC357" s="132">
        <f t="shared" si="710"/>
        <v>-500</v>
      </c>
      <c r="AD357" s="132">
        <f t="shared" si="4"/>
        <v>-10000</v>
      </c>
      <c r="AE357" s="132">
        <f t="shared" ref="AE357:AS357" si="711">H357-1000</f>
        <v>-1000</v>
      </c>
      <c r="AF357" s="132">
        <f t="shared" si="711"/>
        <v>-1000</v>
      </c>
      <c r="AG357" s="132">
        <f t="shared" si="711"/>
        <v>-1000</v>
      </c>
      <c r="AH357" s="132">
        <f t="shared" si="711"/>
        <v>-1000</v>
      </c>
      <c r="AI357" s="132">
        <f t="shared" si="711"/>
        <v>-1000</v>
      </c>
      <c r="AJ357" s="132">
        <f t="shared" si="711"/>
        <v>-1000</v>
      </c>
      <c r="AK357" s="132">
        <f t="shared" si="711"/>
        <v>-1000</v>
      </c>
      <c r="AL357" s="132">
        <f t="shared" si="711"/>
        <v>-1000</v>
      </c>
      <c r="AM357" s="132">
        <f t="shared" si="711"/>
        <v>-1000</v>
      </c>
      <c r="AN357" s="132">
        <f t="shared" si="711"/>
        <v>-1000</v>
      </c>
      <c r="AO357" s="132">
        <f t="shared" si="711"/>
        <v>-1000</v>
      </c>
      <c r="AP357" s="132">
        <f t="shared" si="711"/>
        <v>-1000</v>
      </c>
      <c r="AQ357" s="132">
        <f t="shared" si="711"/>
        <v>-1000</v>
      </c>
      <c r="AR357" s="132">
        <f t="shared" si="711"/>
        <v>-1000</v>
      </c>
      <c r="AS357" s="132">
        <f t="shared" si="711"/>
        <v>-1000</v>
      </c>
    </row>
    <row r="358">
      <c r="A358" s="132" t="s">
        <v>3860</v>
      </c>
      <c r="B358" s="132">
        <v>1560.0</v>
      </c>
      <c r="C358" s="132">
        <v>0.0</v>
      </c>
      <c r="D358" s="132">
        <v>0.0</v>
      </c>
      <c r="E358" s="132">
        <v>0.0</v>
      </c>
      <c r="F358" s="132">
        <v>1500.0</v>
      </c>
      <c r="G358" s="132">
        <v>60.0</v>
      </c>
      <c r="H358" s="132">
        <v>0.0</v>
      </c>
      <c r="I358" s="132">
        <v>0.0</v>
      </c>
      <c r="J358" s="132">
        <v>0.0</v>
      </c>
      <c r="K358" s="132">
        <v>0.0</v>
      </c>
      <c r="L358" s="132">
        <v>0.0</v>
      </c>
      <c r="M358" s="132">
        <v>0.0</v>
      </c>
      <c r="N358" s="132">
        <v>0.0</v>
      </c>
      <c r="O358" s="132">
        <v>0.0</v>
      </c>
      <c r="P358" s="132">
        <v>0.0</v>
      </c>
      <c r="Q358" s="132">
        <v>0.0</v>
      </c>
      <c r="R358" s="132">
        <v>0.0</v>
      </c>
      <c r="S358" s="132">
        <v>0.0</v>
      </c>
      <c r="T358" s="132">
        <v>0.0</v>
      </c>
      <c r="U358" s="132">
        <v>0.0</v>
      </c>
      <c r="V358" s="132">
        <v>0.0</v>
      </c>
      <c r="W358" s="132">
        <v>1.0</v>
      </c>
      <c r="Y358" s="132" t="s">
        <v>3860</v>
      </c>
      <c r="Z358" s="132">
        <f t="shared" ref="Z358:AC358" si="712">C358-1000</f>
        <v>-1000</v>
      </c>
      <c r="AA358" s="132">
        <f t="shared" si="712"/>
        <v>-1000</v>
      </c>
      <c r="AB358" s="132">
        <f t="shared" si="712"/>
        <v>-1000</v>
      </c>
      <c r="AC358" s="132">
        <f t="shared" si="712"/>
        <v>500</v>
      </c>
      <c r="AD358" s="132">
        <f t="shared" si="4"/>
        <v>-9940</v>
      </c>
      <c r="AE358" s="132">
        <f t="shared" ref="AE358:AS358" si="713">H358-1000</f>
        <v>-1000</v>
      </c>
      <c r="AF358" s="132">
        <f t="shared" si="713"/>
        <v>-1000</v>
      </c>
      <c r="AG358" s="132">
        <f t="shared" si="713"/>
        <v>-1000</v>
      </c>
      <c r="AH358" s="132">
        <f t="shared" si="713"/>
        <v>-1000</v>
      </c>
      <c r="AI358" s="132">
        <f t="shared" si="713"/>
        <v>-1000</v>
      </c>
      <c r="AJ358" s="132">
        <f t="shared" si="713"/>
        <v>-1000</v>
      </c>
      <c r="AK358" s="132">
        <f t="shared" si="713"/>
        <v>-1000</v>
      </c>
      <c r="AL358" s="132">
        <f t="shared" si="713"/>
        <v>-1000</v>
      </c>
      <c r="AM358" s="132">
        <f t="shared" si="713"/>
        <v>-1000</v>
      </c>
      <c r="AN358" s="132">
        <f t="shared" si="713"/>
        <v>-1000</v>
      </c>
      <c r="AO358" s="132">
        <f t="shared" si="713"/>
        <v>-1000</v>
      </c>
      <c r="AP358" s="132">
        <f t="shared" si="713"/>
        <v>-1000</v>
      </c>
      <c r="AQ358" s="132">
        <f t="shared" si="713"/>
        <v>-1000</v>
      </c>
      <c r="AR358" s="132">
        <f t="shared" si="713"/>
        <v>-1000</v>
      </c>
      <c r="AS358" s="132">
        <f t="shared" si="713"/>
        <v>-1000</v>
      </c>
    </row>
    <row r="359">
      <c r="A359" s="132" t="s">
        <v>3861</v>
      </c>
      <c r="B359" s="132">
        <v>1350.0</v>
      </c>
      <c r="C359" s="132">
        <v>0.0</v>
      </c>
      <c r="D359" s="132">
        <v>0.0</v>
      </c>
      <c r="E359" s="132">
        <v>0.0</v>
      </c>
      <c r="F359" s="132">
        <v>1350.0</v>
      </c>
      <c r="G359" s="132">
        <v>0.0</v>
      </c>
      <c r="H359" s="132">
        <v>0.0</v>
      </c>
      <c r="I359" s="132">
        <v>0.0</v>
      </c>
      <c r="J359" s="132">
        <v>0.0</v>
      </c>
      <c r="K359" s="132">
        <v>0.0</v>
      </c>
      <c r="L359" s="132">
        <v>0.0</v>
      </c>
      <c r="M359" s="132">
        <v>0.0</v>
      </c>
      <c r="N359" s="132">
        <v>0.0</v>
      </c>
      <c r="O359" s="132">
        <v>0.0</v>
      </c>
      <c r="P359" s="132">
        <v>0.0</v>
      </c>
      <c r="Q359" s="132">
        <v>0.0</v>
      </c>
      <c r="R359" s="132">
        <v>0.0</v>
      </c>
      <c r="S359" s="132">
        <v>0.0</v>
      </c>
      <c r="T359" s="132">
        <v>0.0</v>
      </c>
      <c r="U359" s="132">
        <v>0.0</v>
      </c>
      <c r="V359" s="132">
        <v>0.0</v>
      </c>
      <c r="W359" s="132">
        <v>0.0</v>
      </c>
      <c r="Y359" s="132" t="s">
        <v>3861</v>
      </c>
      <c r="Z359" s="132">
        <f t="shared" ref="Z359:AC359" si="714">C359-1000</f>
        <v>-1000</v>
      </c>
      <c r="AA359" s="132">
        <f t="shared" si="714"/>
        <v>-1000</v>
      </c>
      <c r="AB359" s="132">
        <f t="shared" si="714"/>
        <v>-1000</v>
      </c>
      <c r="AC359" s="132">
        <f t="shared" si="714"/>
        <v>350</v>
      </c>
      <c r="AD359" s="132">
        <f t="shared" si="4"/>
        <v>-10000</v>
      </c>
      <c r="AE359" s="132">
        <f t="shared" ref="AE359:AS359" si="715">H359-1000</f>
        <v>-1000</v>
      </c>
      <c r="AF359" s="132">
        <f t="shared" si="715"/>
        <v>-1000</v>
      </c>
      <c r="AG359" s="132">
        <f t="shared" si="715"/>
        <v>-1000</v>
      </c>
      <c r="AH359" s="132">
        <f t="shared" si="715"/>
        <v>-1000</v>
      </c>
      <c r="AI359" s="132">
        <f t="shared" si="715"/>
        <v>-1000</v>
      </c>
      <c r="AJ359" s="132">
        <f t="shared" si="715"/>
        <v>-1000</v>
      </c>
      <c r="AK359" s="132">
        <f t="shared" si="715"/>
        <v>-1000</v>
      </c>
      <c r="AL359" s="132">
        <f t="shared" si="715"/>
        <v>-1000</v>
      </c>
      <c r="AM359" s="132">
        <f t="shared" si="715"/>
        <v>-1000</v>
      </c>
      <c r="AN359" s="132">
        <f t="shared" si="715"/>
        <v>-1000</v>
      </c>
      <c r="AO359" s="132">
        <f t="shared" si="715"/>
        <v>-1000</v>
      </c>
      <c r="AP359" s="132">
        <f t="shared" si="715"/>
        <v>-1000</v>
      </c>
      <c r="AQ359" s="132">
        <f t="shared" si="715"/>
        <v>-1000</v>
      </c>
      <c r="AR359" s="132">
        <f t="shared" si="715"/>
        <v>-1000</v>
      </c>
      <c r="AS359" s="132">
        <f t="shared" si="715"/>
        <v>-1000</v>
      </c>
    </row>
    <row r="360">
      <c r="A360" s="132" t="s">
        <v>3862</v>
      </c>
      <c r="B360" s="132">
        <v>250.0</v>
      </c>
      <c r="C360" s="132">
        <v>0.0</v>
      </c>
      <c r="D360" s="132">
        <v>0.0</v>
      </c>
      <c r="E360" s="132">
        <v>0.0</v>
      </c>
      <c r="F360" s="132">
        <v>250.0</v>
      </c>
      <c r="G360" s="132">
        <v>0.0</v>
      </c>
      <c r="H360" s="132">
        <v>0.0</v>
      </c>
      <c r="I360" s="132">
        <v>0.0</v>
      </c>
      <c r="J360" s="132">
        <v>0.0</v>
      </c>
      <c r="K360" s="132">
        <v>0.0</v>
      </c>
      <c r="L360" s="132">
        <v>0.0</v>
      </c>
      <c r="M360" s="132">
        <v>0.0</v>
      </c>
      <c r="N360" s="132">
        <v>0.0</v>
      </c>
      <c r="O360" s="132">
        <v>0.0</v>
      </c>
      <c r="P360" s="132">
        <v>0.0</v>
      </c>
      <c r="Q360" s="132">
        <v>0.0</v>
      </c>
      <c r="R360" s="132">
        <v>0.0</v>
      </c>
      <c r="S360" s="132">
        <v>0.0</v>
      </c>
      <c r="T360" s="132">
        <v>0.0</v>
      </c>
      <c r="U360" s="132">
        <v>0.0</v>
      </c>
      <c r="V360" s="132">
        <v>0.0</v>
      </c>
      <c r="W360" s="132">
        <v>0.0</v>
      </c>
      <c r="Y360" s="132" t="s">
        <v>3862</v>
      </c>
      <c r="Z360" s="132">
        <f t="shared" ref="Z360:AC360" si="716">C360-1000</f>
        <v>-1000</v>
      </c>
      <c r="AA360" s="132">
        <f t="shared" si="716"/>
        <v>-1000</v>
      </c>
      <c r="AB360" s="132">
        <f t="shared" si="716"/>
        <v>-1000</v>
      </c>
      <c r="AC360" s="132">
        <f t="shared" si="716"/>
        <v>-750</v>
      </c>
      <c r="AD360" s="132">
        <f t="shared" si="4"/>
        <v>-10000</v>
      </c>
      <c r="AE360" s="132">
        <f t="shared" ref="AE360:AS360" si="717">H360-1000</f>
        <v>-1000</v>
      </c>
      <c r="AF360" s="132">
        <f t="shared" si="717"/>
        <v>-1000</v>
      </c>
      <c r="AG360" s="132">
        <f t="shared" si="717"/>
        <v>-1000</v>
      </c>
      <c r="AH360" s="132">
        <f t="shared" si="717"/>
        <v>-1000</v>
      </c>
      <c r="AI360" s="132">
        <f t="shared" si="717"/>
        <v>-1000</v>
      </c>
      <c r="AJ360" s="132">
        <f t="shared" si="717"/>
        <v>-1000</v>
      </c>
      <c r="AK360" s="132">
        <f t="shared" si="717"/>
        <v>-1000</v>
      </c>
      <c r="AL360" s="132">
        <f t="shared" si="717"/>
        <v>-1000</v>
      </c>
      <c r="AM360" s="132">
        <f t="shared" si="717"/>
        <v>-1000</v>
      </c>
      <c r="AN360" s="132">
        <f t="shared" si="717"/>
        <v>-1000</v>
      </c>
      <c r="AO360" s="132">
        <f t="shared" si="717"/>
        <v>-1000</v>
      </c>
      <c r="AP360" s="132">
        <f t="shared" si="717"/>
        <v>-1000</v>
      </c>
      <c r="AQ360" s="132">
        <f t="shared" si="717"/>
        <v>-1000</v>
      </c>
      <c r="AR360" s="132">
        <f t="shared" si="717"/>
        <v>-1000</v>
      </c>
      <c r="AS360" s="132">
        <f t="shared" si="717"/>
        <v>-1000</v>
      </c>
    </row>
    <row r="361">
      <c r="A361" s="132" t="s">
        <v>3863</v>
      </c>
      <c r="B361" s="132">
        <v>1000.0</v>
      </c>
      <c r="C361" s="132">
        <v>0.0</v>
      </c>
      <c r="D361" s="132">
        <v>0.0</v>
      </c>
      <c r="E361" s="132">
        <v>0.0</v>
      </c>
      <c r="F361" s="132">
        <v>1000.0</v>
      </c>
      <c r="G361" s="132">
        <v>0.0</v>
      </c>
      <c r="H361" s="132">
        <v>0.0</v>
      </c>
      <c r="I361" s="132">
        <v>0.0</v>
      </c>
      <c r="J361" s="132">
        <v>0.0</v>
      </c>
      <c r="K361" s="132">
        <v>0.0</v>
      </c>
      <c r="L361" s="132">
        <v>0.0</v>
      </c>
      <c r="M361" s="132">
        <v>0.0</v>
      </c>
      <c r="N361" s="132">
        <v>0.0</v>
      </c>
      <c r="O361" s="132">
        <v>0.0</v>
      </c>
      <c r="P361" s="132">
        <v>0.0</v>
      </c>
      <c r="Q361" s="132">
        <v>0.0</v>
      </c>
      <c r="R361" s="132">
        <v>0.0</v>
      </c>
      <c r="S361" s="132">
        <v>0.0</v>
      </c>
      <c r="T361" s="132">
        <v>0.0</v>
      </c>
      <c r="U361" s="132">
        <v>0.0</v>
      </c>
      <c r="V361" s="132">
        <v>0.0</v>
      </c>
      <c r="W361" s="132">
        <v>0.0</v>
      </c>
      <c r="Y361" s="132" t="s">
        <v>3863</v>
      </c>
      <c r="Z361" s="132">
        <f t="shared" ref="Z361:AC361" si="718">C361-1000</f>
        <v>-1000</v>
      </c>
      <c r="AA361" s="132">
        <f t="shared" si="718"/>
        <v>-1000</v>
      </c>
      <c r="AB361" s="132">
        <f t="shared" si="718"/>
        <v>-1000</v>
      </c>
      <c r="AC361" s="132">
        <f t="shared" si="718"/>
        <v>0</v>
      </c>
      <c r="AD361" s="132">
        <f t="shared" si="4"/>
        <v>-10000</v>
      </c>
      <c r="AE361" s="132">
        <f t="shared" ref="AE361:AS361" si="719">H361-1000</f>
        <v>-1000</v>
      </c>
      <c r="AF361" s="132">
        <f t="shared" si="719"/>
        <v>-1000</v>
      </c>
      <c r="AG361" s="132">
        <f t="shared" si="719"/>
        <v>-1000</v>
      </c>
      <c r="AH361" s="132">
        <f t="shared" si="719"/>
        <v>-1000</v>
      </c>
      <c r="AI361" s="132">
        <f t="shared" si="719"/>
        <v>-1000</v>
      </c>
      <c r="AJ361" s="132">
        <f t="shared" si="719"/>
        <v>-1000</v>
      </c>
      <c r="AK361" s="132">
        <f t="shared" si="719"/>
        <v>-1000</v>
      </c>
      <c r="AL361" s="132">
        <f t="shared" si="719"/>
        <v>-1000</v>
      </c>
      <c r="AM361" s="132">
        <f t="shared" si="719"/>
        <v>-1000</v>
      </c>
      <c r="AN361" s="132">
        <f t="shared" si="719"/>
        <v>-1000</v>
      </c>
      <c r="AO361" s="132">
        <f t="shared" si="719"/>
        <v>-1000</v>
      </c>
      <c r="AP361" s="132">
        <f t="shared" si="719"/>
        <v>-1000</v>
      </c>
      <c r="AQ361" s="132">
        <f t="shared" si="719"/>
        <v>-1000</v>
      </c>
      <c r="AR361" s="132">
        <f t="shared" si="719"/>
        <v>-1000</v>
      </c>
      <c r="AS361" s="132">
        <f t="shared" si="719"/>
        <v>-1000</v>
      </c>
    </row>
    <row r="362">
      <c r="A362" s="132" t="s">
        <v>3864</v>
      </c>
      <c r="B362" s="132">
        <v>100.0</v>
      </c>
      <c r="C362" s="132">
        <v>0.0</v>
      </c>
      <c r="D362" s="132">
        <v>0.0</v>
      </c>
      <c r="E362" s="132">
        <v>0.0</v>
      </c>
      <c r="F362" s="132">
        <v>100.0</v>
      </c>
      <c r="G362" s="132">
        <v>0.0</v>
      </c>
      <c r="H362" s="132">
        <v>0.0</v>
      </c>
      <c r="I362" s="132">
        <v>0.0</v>
      </c>
      <c r="J362" s="132">
        <v>0.0</v>
      </c>
      <c r="K362" s="132">
        <v>0.0</v>
      </c>
      <c r="L362" s="132">
        <v>0.0</v>
      </c>
      <c r="M362" s="132">
        <v>0.0</v>
      </c>
      <c r="N362" s="132">
        <v>0.0</v>
      </c>
      <c r="O362" s="132">
        <v>0.0</v>
      </c>
      <c r="P362" s="132">
        <v>0.0</v>
      </c>
      <c r="Q362" s="132">
        <v>0.0</v>
      </c>
      <c r="R362" s="132">
        <v>0.0</v>
      </c>
      <c r="S362" s="132">
        <v>0.0</v>
      </c>
      <c r="T362" s="132">
        <v>0.0</v>
      </c>
      <c r="U362" s="132">
        <v>0.0</v>
      </c>
      <c r="V362" s="132">
        <v>0.0</v>
      </c>
      <c r="W362" s="132">
        <v>0.0</v>
      </c>
      <c r="Y362" s="132" t="s">
        <v>3864</v>
      </c>
      <c r="Z362" s="132">
        <f t="shared" ref="Z362:AC362" si="720">C362-1000</f>
        <v>-1000</v>
      </c>
      <c r="AA362" s="132">
        <f t="shared" si="720"/>
        <v>-1000</v>
      </c>
      <c r="AB362" s="132">
        <f t="shared" si="720"/>
        <v>-1000</v>
      </c>
      <c r="AC362" s="132">
        <f t="shared" si="720"/>
        <v>-900</v>
      </c>
      <c r="AD362" s="132">
        <f t="shared" si="4"/>
        <v>-10000</v>
      </c>
      <c r="AE362" s="132">
        <f t="shared" ref="AE362:AS362" si="721">H362-1000</f>
        <v>-1000</v>
      </c>
      <c r="AF362" s="132">
        <f t="shared" si="721"/>
        <v>-1000</v>
      </c>
      <c r="AG362" s="132">
        <f t="shared" si="721"/>
        <v>-1000</v>
      </c>
      <c r="AH362" s="132">
        <f t="shared" si="721"/>
        <v>-1000</v>
      </c>
      <c r="AI362" s="132">
        <f t="shared" si="721"/>
        <v>-1000</v>
      </c>
      <c r="AJ362" s="132">
        <f t="shared" si="721"/>
        <v>-1000</v>
      </c>
      <c r="AK362" s="132">
        <f t="shared" si="721"/>
        <v>-1000</v>
      </c>
      <c r="AL362" s="132">
        <f t="shared" si="721"/>
        <v>-1000</v>
      </c>
      <c r="AM362" s="132">
        <f t="shared" si="721"/>
        <v>-1000</v>
      </c>
      <c r="AN362" s="132">
        <f t="shared" si="721"/>
        <v>-1000</v>
      </c>
      <c r="AO362" s="132">
        <f t="shared" si="721"/>
        <v>-1000</v>
      </c>
      <c r="AP362" s="132">
        <f t="shared" si="721"/>
        <v>-1000</v>
      </c>
      <c r="AQ362" s="132">
        <f t="shared" si="721"/>
        <v>-1000</v>
      </c>
      <c r="AR362" s="132">
        <f t="shared" si="721"/>
        <v>-1000</v>
      </c>
      <c r="AS362" s="132">
        <f t="shared" si="721"/>
        <v>-1000</v>
      </c>
    </row>
    <row r="363">
      <c r="A363" s="132" t="s">
        <v>3865</v>
      </c>
      <c r="B363" s="132">
        <v>250.0</v>
      </c>
      <c r="C363" s="132">
        <v>0.0</v>
      </c>
      <c r="D363" s="132">
        <v>0.0</v>
      </c>
      <c r="E363" s="132">
        <v>0.0</v>
      </c>
      <c r="F363" s="132">
        <v>250.0</v>
      </c>
      <c r="G363" s="132">
        <v>0.0</v>
      </c>
      <c r="H363" s="132">
        <v>0.0</v>
      </c>
      <c r="I363" s="132">
        <v>0.0</v>
      </c>
      <c r="J363" s="132">
        <v>0.0</v>
      </c>
      <c r="K363" s="132">
        <v>0.0</v>
      </c>
      <c r="L363" s="132">
        <v>0.0</v>
      </c>
      <c r="M363" s="132">
        <v>0.0</v>
      </c>
      <c r="N363" s="132">
        <v>0.0</v>
      </c>
      <c r="O363" s="132">
        <v>0.0</v>
      </c>
      <c r="P363" s="132">
        <v>0.0</v>
      </c>
      <c r="Q363" s="132">
        <v>0.0</v>
      </c>
      <c r="R363" s="132">
        <v>0.0</v>
      </c>
      <c r="S363" s="132">
        <v>0.0</v>
      </c>
      <c r="T363" s="132">
        <v>0.0</v>
      </c>
      <c r="U363" s="132">
        <v>0.0</v>
      </c>
      <c r="V363" s="132">
        <v>0.0</v>
      </c>
      <c r="W363" s="132">
        <v>0.0</v>
      </c>
      <c r="Y363" s="132" t="s">
        <v>3865</v>
      </c>
      <c r="Z363" s="132">
        <f t="shared" ref="Z363:AC363" si="722">C363-1000</f>
        <v>-1000</v>
      </c>
      <c r="AA363" s="132">
        <f t="shared" si="722"/>
        <v>-1000</v>
      </c>
      <c r="AB363" s="132">
        <f t="shared" si="722"/>
        <v>-1000</v>
      </c>
      <c r="AC363" s="132">
        <f t="shared" si="722"/>
        <v>-750</v>
      </c>
      <c r="AD363" s="132">
        <f t="shared" si="4"/>
        <v>-10000</v>
      </c>
      <c r="AE363" s="132">
        <f t="shared" ref="AE363:AS363" si="723">H363-1000</f>
        <v>-1000</v>
      </c>
      <c r="AF363" s="132">
        <f t="shared" si="723"/>
        <v>-1000</v>
      </c>
      <c r="AG363" s="132">
        <f t="shared" si="723"/>
        <v>-1000</v>
      </c>
      <c r="AH363" s="132">
        <f t="shared" si="723"/>
        <v>-1000</v>
      </c>
      <c r="AI363" s="132">
        <f t="shared" si="723"/>
        <v>-1000</v>
      </c>
      <c r="AJ363" s="132">
        <f t="shared" si="723"/>
        <v>-1000</v>
      </c>
      <c r="AK363" s="132">
        <f t="shared" si="723"/>
        <v>-1000</v>
      </c>
      <c r="AL363" s="132">
        <f t="shared" si="723"/>
        <v>-1000</v>
      </c>
      <c r="AM363" s="132">
        <f t="shared" si="723"/>
        <v>-1000</v>
      </c>
      <c r="AN363" s="132">
        <f t="shared" si="723"/>
        <v>-1000</v>
      </c>
      <c r="AO363" s="132">
        <f t="shared" si="723"/>
        <v>-1000</v>
      </c>
      <c r="AP363" s="132">
        <f t="shared" si="723"/>
        <v>-1000</v>
      </c>
      <c r="AQ363" s="132">
        <f t="shared" si="723"/>
        <v>-1000</v>
      </c>
      <c r="AR363" s="132">
        <f t="shared" si="723"/>
        <v>-1000</v>
      </c>
      <c r="AS363" s="132">
        <f t="shared" si="723"/>
        <v>-1000</v>
      </c>
    </row>
    <row r="364">
      <c r="A364" s="132" t="s">
        <v>3866</v>
      </c>
      <c r="B364" s="132">
        <v>350.0</v>
      </c>
      <c r="C364" s="132">
        <v>0.0</v>
      </c>
      <c r="D364" s="132">
        <v>0.0</v>
      </c>
      <c r="E364" s="132">
        <v>0.0</v>
      </c>
      <c r="F364" s="132">
        <v>350.0</v>
      </c>
      <c r="G364" s="132">
        <v>0.0</v>
      </c>
      <c r="H364" s="132">
        <v>0.0</v>
      </c>
      <c r="I364" s="132">
        <v>0.0</v>
      </c>
      <c r="J364" s="132">
        <v>0.0</v>
      </c>
      <c r="K364" s="132">
        <v>0.0</v>
      </c>
      <c r="L364" s="132">
        <v>0.0</v>
      </c>
      <c r="M364" s="132">
        <v>0.0</v>
      </c>
      <c r="N364" s="132">
        <v>0.0</v>
      </c>
      <c r="O364" s="132">
        <v>0.0</v>
      </c>
      <c r="P364" s="132">
        <v>0.0</v>
      </c>
      <c r="Q364" s="132">
        <v>0.0</v>
      </c>
      <c r="R364" s="132">
        <v>0.0</v>
      </c>
      <c r="S364" s="132">
        <v>0.0</v>
      </c>
      <c r="T364" s="132">
        <v>0.0</v>
      </c>
      <c r="U364" s="132">
        <v>0.0</v>
      </c>
      <c r="V364" s="132">
        <v>0.0</v>
      </c>
      <c r="W364" s="132">
        <v>0.0</v>
      </c>
      <c r="Y364" s="132" t="s">
        <v>3866</v>
      </c>
      <c r="Z364" s="132">
        <f t="shared" ref="Z364:AC364" si="724">C364-1000</f>
        <v>-1000</v>
      </c>
      <c r="AA364" s="132">
        <f t="shared" si="724"/>
        <v>-1000</v>
      </c>
      <c r="AB364" s="132">
        <f t="shared" si="724"/>
        <v>-1000</v>
      </c>
      <c r="AC364" s="132">
        <f t="shared" si="724"/>
        <v>-650</v>
      </c>
      <c r="AD364" s="132">
        <f t="shared" si="4"/>
        <v>-10000</v>
      </c>
      <c r="AE364" s="132">
        <f t="shared" ref="AE364:AS364" si="725">H364-1000</f>
        <v>-1000</v>
      </c>
      <c r="AF364" s="132">
        <f t="shared" si="725"/>
        <v>-1000</v>
      </c>
      <c r="AG364" s="132">
        <f t="shared" si="725"/>
        <v>-1000</v>
      </c>
      <c r="AH364" s="132">
        <f t="shared" si="725"/>
        <v>-1000</v>
      </c>
      <c r="AI364" s="132">
        <f t="shared" si="725"/>
        <v>-1000</v>
      </c>
      <c r="AJ364" s="132">
        <f t="shared" si="725"/>
        <v>-1000</v>
      </c>
      <c r="AK364" s="132">
        <f t="shared" si="725"/>
        <v>-1000</v>
      </c>
      <c r="AL364" s="132">
        <f t="shared" si="725"/>
        <v>-1000</v>
      </c>
      <c r="AM364" s="132">
        <f t="shared" si="725"/>
        <v>-1000</v>
      </c>
      <c r="AN364" s="132">
        <f t="shared" si="725"/>
        <v>-1000</v>
      </c>
      <c r="AO364" s="132">
        <f t="shared" si="725"/>
        <v>-1000</v>
      </c>
      <c r="AP364" s="132">
        <f t="shared" si="725"/>
        <v>-1000</v>
      </c>
      <c r="AQ364" s="132">
        <f t="shared" si="725"/>
        <v>-1000</v>
      </c>
      <c r="AR364" s="132">
        <f t="shared" si="725"/>
        <v>-1000</v>
      </c>
      <c r="AS364" s="132">
        <f t="shared" si="725"/>
        <v>-1000</v>
      </c>
    </row>
    <row r="365">
      <c r="A365" s="132" t="s">
        <v>3867</v>
      </c>
      <c r="B365" s="132">
        <v>150.0</v>
      </c>
      <c r="C365" s="132">
        <v>0.0</v>
      </c>
      <c r="D365" s="132">
        <v>0.0</v>
      </c>
      <c r="E365" s="132">
        <v>0.0</v>
      </c>
      <c r="F365" s="132">
        <v>150.0</v>
      </c>
      <c r="G365" s="132">
        <v>0.0</v>
      </c>
      <c r="H365" s="132">
        <v>0.0</v>
      </c>
      <c r="I365" s="132">
        <v>0.0</v>
      </c>
      <c r="J365" s="132">
        <v>0.0</v>
      </c>
      <c r="K365" s="132">
        <v>0.0</v>
      </c>
      <c r="L365" s="132">
        <v>0.0</v>
      </c>
      <c r="M365" s="132">
        <v>0.0</v>
      </c>
      <c r="N365" s="132">
        <v>0.0</v>
      </c>
      <c r="O365" s="132">
        <v>0.0</v>
      </c>
      <c r="P365" s="132">
        <v>0.0</v>
      </c>
      <c r="Q365" s="132">
        <v>0.0</v>
      </c>
      <c r="R365" s="132">
        <v>0.0</v>
      </c>
      <c r="S365" s="132">
        <v>0.0</v>
      </c>
      <c r="T365" s="132">
        <v>0.0</v>
      </c>
      <c r="U365" s="132">
        <v>0.0</v>
      </c>
      <c r="V365" s="132">
        <v>0.0</v>
      </c>
      <c r="W365" s="132">
        <v>0.0</v>
      </c>
      <c r="Y365" s="132" t="s">
        <v>3867</v>
      </c>
      <c r="Z365" s="132">
        <f t="shared" ref="Z365:AC365" si="726">C365-1000</f>
        <v>-1000</v>
      </c>
      <c r="AA365" s="132">
        <f t="shared" si="726"/>
        <v>-1000</v>
      </c>
      <c r="AB365" s="132">
        <f t="shared" si="726"/>
        <v>-1000</v>
      </c>
      <c r="AC365" s="132">
        <f t="shared" si="726"/>
        <v>-850</v>
      </c>
      <c r="AD365" s="132">
        <f t="shared" si="4"/>
        <v>-10000</v>
      </c>
      <c r="AE365" s="132">
        <f t="shared" ref="AE365:AS365" si="727">H365-1000</f>
        <v>-1000</v>
      </c>
      <c r="AF365" s="132">
        <f t="shared" si="727"/>
        <v>-1000</v>
      </c>
      <c r="AG365" s="132">
        <f t="shared" si="727"/>
        <v>-1000</v>
      </c>
      <c r="AH365" s="132">
        <f t="shared" si="727"/>
        <v>-1000</v>
      </c>
      <c r="AI365" s="132">
        <f t="shared" si="727"/>
        <v>-1000</v>
      </c>
      <c r="AJ365" s="132">
        <f t="shared" si="727"/>
        <v>-1000</v>
      </c>
      <c r="AK365" s="132">
        <f t="shared" si="727"/>
        <v>-1000</v>
      </c>
      <c r="AL365" s="132">
        <f t="shared" si="727"/>
        <v>-1000</v>
      </c>
      <c r="AM365" s="132">
        <f t="shared" si="727"/>
        <v>-1000</v>
      </c>
      <c r="AN365" s="132">
        <f t="shared" si="727"/>
        <v>-1000</v>
      </c>
      <c r="AO365" s="132">
        <f t="shared" si="727"/>
        <v>-1000</v>
      </c>
      <c r="AP365" s="132">
        <f t="shared" si="727"/>
        <v>-1000</v>
      </c>
      <c r="AQ365" s="132">
        <f t="shared" si="727"/>
        <v>-1000</v>
      </c>
      <c r="AR365" s="132">
        <f t="shared" si="727"/>
        <v>-1000</v>
      </c>
      <c r="AS365" s="132">
        <f t="shared" si="727"/>
        <v>-1000</v>
      </c>
    </row>
    <row r="366">
      <c r="A366" s="132" t="s">
        <v>3868</v>
      </c>
      <c r="B366" s="132">
        <v>500.0</v>
      </c>
      <c r="C366" s="132">
        <v>0.0</v>
      </c>
      <c r="D366" s="132">
        <v>0.0</v>
      </c>
      <c r="E366" s="132">
        <v>0.0</v>
      </c>
      <c r="F366" s="132">
        <v>500.0</v>
      </c>
      <c r="G366" s="132">
        <v>0.0</v>
      </c>
      <c r="H366" s="132">
        <v>0.0</v>
      </c>
      <c r="I366" s="132">
        <v>0.0</v>
      </c>
      <c r="J366" s="132">
        <v>0.0</v>
      </c>
      <c r="K366" s="132">
        <v>0.0</v>
      </c>
      <c r="L366" s="132">
        <v>0.0</v>
      </c>
      <c r="M366" s="132">
        <v>0.0</v>
      </c>
      <c r="N366" s="132">
        <v>0.0</v>
      </c>
      <c r="O366" s="132">
        <v>0.0</v>
      </c>
      <c r="P366" s="132">
        <v>0.0</v>
      </c>
      <c r="Q366" s="132">
        <v>0.0</v>
      </c>
      <c r="R366" s="132">
        <v>0.0</v>
      </c>
      <c r="S366" s="132">
        <v>0.0</v>
      </c>
      <c r="T366" s="132">
        <v>0.0</v>
      </c>
      <c r="U366" s="132">
        <v>0.0</v>
      </c>
      <c r="V366" s="132">
        <v>0.0</v>
      </c>
      <c r="W366" s="132">
        <v>0.0</v>
      </c>
      <c r="Y366" s="132" t="s">
        <v>3868</v>
      </c>
      <c r="Z366" s="132">
        <f t="shared" ref="Z366:AC366" si="728">C366-1000</f>
        <v>-1000</v>
      </c>
      <c r="AA366" s="132">
        <f t="shared" si="728"/>
        <v>-1000</v>
      </c>
      <c r="AB366" s="132">
        <f t="shared" si="728"/>
        <v>-1000</v>
      </c>
      <c r="AC366" s="132">
        <f t="shared" si="728"/>
        <v>-500</v>
      </c>
      <c r="AD366" s="132">
        <f t="shared" si="4"/>
        <v>-10000</v>
      </c>
      <c r="AE366" s="132">
        <f t="shared" ref="AE366:AS366" si="729">H366-1000</f>
        <v>-1000</v>
      </c>
      <c r="AF366" s="132">
        <f t="shared" si="729"/>
        <v>-1000</v>
      </c>
      <c r="AG366" s="132">
        <f t="shared" si="729"/>
        <v>-1000</v>
      </c>
      <c r="AH366" s="132">
        <f t="shared" si="729"/>
        <v>-1000</v>
      </c>
      <c r="AI366" s="132">
        <f t="shared" si="729"/>
        <v>-1000</v>
      </c>
      <c r="AJ366" s="132">
        <f t="shared" si="729"/>
        <v>-1000</v>
      </c>
      <c r="AK366" s="132">
        <f t="shared" si="729"/>
        <v>-1000</v>
      </c>
      <c r="AL366" s="132">
        <f t="shared" si="729"/>
        <v>-1000</v>
      </c>
      <c r="AM366" s="132">
        <f t="shared" si="729"/>
        <v>-1000</v>
      </c>
      <c r="AN366" s="132">
        <f t="shared" si="729"/>
        <v>-1000</v>
      </c>
      <c r="AO366" s="132">
        <f t="shared" si="729"/>
        <v>-1000</v>
      </c>
      <c r="AP366" s="132">
        <f t="shared" si="729"/>
        <v>-1000</v>
      </c>
      <c r="AQ366" s="132">
        <f t="shared" si="729"/>
        <v>-1000</v>
      </c>
      <c r="AR366" s="132">
        <f t="shared" si="729"/>
        <v>-1000</v>
      </c>
      <c r="AS366" s="132">
        <f t="shared" si="729"/>
        <v>-1000</v>
      </c>
    </row>
    <row r="367">
      <c r="A367" s="132" t="s">
        <v>3869</v>
      </c>
      <c r="B367" s="132">
        <v>250.0</v>
      </c>
      <c r="C367" s="132">
        <v>0.0</v>
      </c>
      <c r="D367" s="132">
        <v>0.0</v>
      </c>
      <c r="E367" s="132">
        <v>0.0</v>
      </c>
      <c r="F367" s="132">
        <v>250.0</v>
      </c>
      <c r="G367" s="132">
        <v>0.0</v>
      </c>
      <c r="H367" s="132">
        <v>0.0</v>
      </c>
      <c r="I367" s="132">
        <v>0.0</v>
      </c>
      <c r="J367" s="132">
        <v>0.0</v>
      </c>
      <c r="K367" s="132">
        <v>0.0</v>
      </c>
      <c r="L367" s="132">
        <v>0.0</v>
      </c>
      <c r="M367" s="132">
        <v>0.0</v>
      </c>
      <c r="N367" s="132">
        <v>0.0</v>
      </c>
      <c r="O367" s="132">
        <v>0.0</v>
      </c>
      <c r="P367" s="132">
        <v>0.0</v>
      </c>
      <c r="Q367" s="132">
        <v>0.0</v>
      </c>
      <c r="R367" s="132">
        <v>0.0</v>
      </c>
      <c r="S367" s="132">
        <v>0.0</v>
      </c>
      <c r="T367" s="132">
        <v>0.0</v>
      </c>
      <c r="U367" s="132">
        <v>0.0</v>
      </c>
      <c r="V367" s="132">
        <v>0.0</v>
      </c>
      <c r="W367" s="132">
        <v>0.0</v>
      </c>
      <c r="Y367" s="132" t="s">
        <v>3869</v>
      </c>
      <c r="Z367" s="132">
        <f t="shared" ref="Z367:AC367" si="730">C367-1000</f>
        <v>-1000</v>
      </c>
      <c r="AA367" s="132">
        <f t="shared" si="730"/>
        <v>-1000</v>
      </c>
      <c r="AB367" s="132">
        <f t="shared" si="730"/>
        <v>-1000</v>
      </c>
      <c r="AC367" s="132">
        <f t="shared" si="730"/>
        <v>-750</v>
      </c>
      <c r="AD367" s="132">
        <f t="shared" si="4"/>
        <v>-10000</v>
      </c>
      <c r="AE367" s="132">
        <f t="shared" ref="AE367:AS367" si="731">H367-1000</f>
        <v>-1000</v>
      </c>
      <c r="AF367" s="132">
        <f t="shared" si="731"/>
        <v>-1000</v>
      </c>
      <c r="AG367" s="132">
        <f t="shared" si="731"/>
        <v>-1000</v>
      </c>
      <c r="AH367" s="132">
        <f t="shared" si="731"/>
        <v>-1000</v>
      </c>
      <c r="AI367" s="132">
        <f t="shared" si="731"/>
        <v>-1000</v>
      </c>
      <c r="AJ367" s="132">
        <f t="shared" si="731"/>
        <v>-1000</v>
      </c>
      <c r="AK367" s="132">
        <f t="shared" si="731"/>
        <v>-1000</v>
      </c>
      <c r="AL367" s="132">
        <f t="shared" si="731"/>
        <v>-1000</v>
      </c>
      <c r="AM367" s="132">
        <f t="shared" si="731"/>
        <v>-1000</v>
      </c>
      <c r="AN367" s="132">
        <f t="shared" si="731"/>
        <v>-1000</v>
      </c>
      <c r="AO367" s="132">
        <f t="shared" si="731"/>
        <v>-1000</v>
      </c>
      <c r="AP367" s="132">
        <f t="shared" si="731"/>
        <v>-1000</v>
      </c>
      <c r="AQ367" s="132">
        <f t="shared" si="731"/>
        <v>-1000</v>
      </c>
      <c r="AR367" s="132">
        <f t="shared" si="731"/>
        <v>-1000</v>
      </c>
      <c r="AS367" s="132">
        <f t="shared" si="731"/>
        <v>-1000</v>
      </c>
    </row>
    <row r="368">
      <c r="A368" s="132" t="s">
        <v>3870</v>
      </c>
      <c r="B368" s="132">
        <v>2000.0</v>
      </c>
      <c r="C368" s="132">
        <v>0.0</v>
      </c>
      <c r="D368" s="132">
        <v>0.0</v>
      </c>
      <c r="E368" s="132">
        <v>0.0</v>
      </c>
      <c r="F368" s="132">
        <v>2000.0</v>
      </c>
      <c r="G368" s="132">
        <v>0.0</v>
      </c>
      <c r="H368" s="132">
        <v>0.0</v>
      </c>
      <c r="I368" s="132">
        <v>0.0</v>
      </c>
      <c r="J368" s="132">
        <v>0.0</v>
      </c>
      <c r="K368" s="132">
        <v>0.0</v>
      </c>
      <c r="L368" s="132">
        <v>0.0</v>
      </c>
      <c r="M368" s="132">
        <v>0.0</v>
      </c>
      <c r="N368" s="132">
        <v>0.0</v>
      </c>
      <c r="O368" s="132">
        <v>0.0</v>
      </c>
      <c r="P368" s="132">
        <v>0.0</v>
      </c>
      <c r="Q368" s="132">
        <v>0.0</v>
      </c>
      <c r="R368" s="132">
        <v>0.0</v>
      </c>
      <c r="S368" s="132">
        <v>0.0</v>
      </c>
      <c r="T368" s="132">
        <v>0.0</v>
      </c>
      <c r="U368" s="132">
        <v>0.0</v>
      </c>
      <c r="V368" s="132">
        <v>0.0</v>
      </c>
      <c r="W368" s="132">
        <v>1.0</v>
      </c>
      <c r="Y368" s="132" t="s">
        <v>3870</v>
      </c>
      <c r="Z368" s="132">
        <f t="shared" ref="Z368:AC368" si="732">C368-1000</f>
        <v>-1000</v>
      </c>
      <c r="AA368" s="132">
        <f t="shared" si="732"/>
        <v>-1000</v>
      </c>
      <c r="AB368" s="132">
        <f t="shared" si="732"/>
        <v>-1000</v>
      </c>
      <c r="AC368" s="132">
        <f t="shared" si="732"/>
        <v>1000</v>
      </c>
      <c r="AD368" s="132">
        <f t="shared" si="4"/>
        <v>-10000</v>
      </c>
      <c r="AE368" s="132">
        <f t="shared" ref="AE368:AS368" si="733">H368-1000</f>
        <v>-1000</v>
      </c>
      <c r="AF368" s="132">
        <f t="shared" si="733"/>
        <v>-1000</v>
      </c>
      <c r="AG368" s="132">
        <f t="shared" si="733"/>
        <v>-1000</v>
      </c>
      <c r="AH368" s="132">
        <f t="shared" si="733"/>
        <v>-1000</v>
      </c>
      <c r="AI368" s="132">
        <f t="shared" si="733"/>
        <v>-1000</v>
      </c>
      <c r="AJ368" s="132">
        <f t="shared" si="733"/>
        <v>-1000</v>
      </c>
      <c r="AK368" s="132">
        <f t="shared" si="733"/>
        <v>-1000</v>
      </c>
      <c r="AL368" s="132">
        <f t="shared" si="733"/>
        <v>-1000</v>
      </c>
      <c r="AM368" s="132">
        <f t="shared" si="733"/>
        <v>-1000</v>
      </c>
      <c r="AN368" s="132">
        <f t="shared" si="733"/>
        <v>-1000</v>
      </c>
      <c r="AO368" s="132">
        <f t="shared" si="733"/>
        <v>-1000</v>
      </c>
      <c r="AP368" s="132">
        <f t="shared" si="733"/>
        <v>-1000</v>
      </c>
      <c r="AQ368" s="132">
        <f t="shared" si="733"/>
        <v>-1000</v>
      </c>
      <c r="AR368" s="132">
        <f t="shared" si="733"/>
        <v>-1000</v>
      </c>
      <c r="AS368" s="132">
        <f t="shared" si="733"/>
        <v>-1000</v>
      </c>
    </row>
    <row r="369">
      <c r="A369" s="132" t="s">
        <v>3871</v>
      </c>
      <c r="B369" s="132">
        <v>500.0</v>
      </c>
      <c r="C369" s="132">
        <v>0.0</v>
      </c>
      <c r="D369" s="132">
        <v>0.0</v>
      </c>
      <c r="E369" s="132">
        <v>0.0</v>
      </c>
      <c r="F369" s="132">
        <v>500.0</v>
      </c>
      <c r="G369" s="132">
        <v>0.0</v>
      </c>
      <c r="H369" s="132">
        <v>0.0</v>
      </c>
      <c r="I369" s="132">
        <v>0.0</v>
      </c>
      <c r="J369" s="132">
        <v>0.0</v>
      </c>
      <c r="K369" s="132">
        <v>0.0</v>
      </c>
      <c r="L369" s="132">
        <v>0.0</v>
      </c>
      <c r="M369" s="132">
        <v>0.0</v>
      </c>
      <c r="N369" s="132">
        <v>0.0</v>
      </c>
      <c r="O369" s="132">
        <v>0.0</v>
      </c>
      <c r="P369" s="132">
        <v>0.0</v>
      </c>
      <c r="Q369" s="132">
        <v>0.0</v>
      </c>
      <c r="R369" s="132">
        <v>0.0</v>
      </c>
      <c r="S369" s="132">
        <v>0.0</v>
      </c>
      <c r="T369" s="132">
        <v>0.0</v>
      </c>
      <c r="U369" s="132">
        <v>0.0</v>
      </c>
      <c r="V369" s="132">
        <v>0.0</v>
      </c>
      <c r="W369" s="132">
        <v>0.0</v>
      </c>
      <c r="Y369" s="132" t="s">
        <v>3871</v>
      </c>
      <c r="Z369" s="132">
        <f t="shared" ref="Z369:AC369" si="734">C369-1000</f>
        <v>-1000</v>
      </c>
      <c r="AA369" s="132">
        <f t="shared" si="734"/>
        <v>-1000</v>
      </c>
      <c r="AB369" s="132">
        <f t="shared" si="734"/>
        <v>-1000</v>
      </c>
      <c r="AC369" s="132">
        <f t="shared" si="734"/>
        <v>-500</v>
      </c>
      <c r="AD369" s="132">
        <f t="shared" si="4"/>
        <v>-10000</v>
      </c>
      <c r="AE369" s="132">
        <f t="shared" ref="AE369:AS369" si="735">H369-1000</f>
        <v>-1000</v>
      </c>
      <c r="AF369" s="132">
        <f t="shared" si="735"/>
        <v>-1000</v>
      </c>
      <c r="AG369" s="132">
        <f t="shared" si="735"/>
        <v>-1000</v>
      </c>
      <c r="AH369" s="132">
        <f t="shared" si="735"/>
        <v>-1000</v>
      </c>
      <c r="AI369" s="132">
        <f t="shared" si="735"/>
        <v>-1000</v>
      </c>
      <c r="AJ369" s="132">
        <f t="shared" si="735"/>
        <v>-1000</v>
      </c>
      <c r="AK369" s="132">
        <f t="shared" si="735"/>
        <v>-1000</v>
      </c>
      <c r="AL369" s="132">
        <f t="shared" si="735"/>
        <v>-1000</v>
      </c>
      <c r="AM369" s="132">
        <f t="shared" si="735"/>
        <v>-1000</v>
      </c>
      <c r="AN369" s="132">
        <f t="shared" si="735"/>
        <v>-1000</v>
      </c>
      <c r="AO369" s="132">
        <f t="shared" si="735"/>
        <v>-1000</v>
      </c>
      <c r="AP369" s="132">
        <f t="shared" si="735"/>
        <v>-1000</v>
      </c>
      <c r="AQ369" s="132">
        <f t="shared" si="735"/>
        <v>-1000</v>
      </c>
      <c r="AR369" s="132">
        <f t="shared" si="735"/>
        <v>-1000</v>
      </c>
      <c r="AS369" s="132">
        <f t="shared" si="735"/>
        <v>-1000</v>
      </c>
    </row>
    <row r="370">
      <c r="A370" s="132" t="s">
        <v>3872</v>
      </c>
      <c r="B370" s="132">
        <v>250.0</v>
      </c>
      <c r="C370" s="132">
        <v>0.0</v>
      </c>
      <c r="D370" s="132">
        <v>0.0</v>
      </c>
      <c r="E370" s="132">
        <v>0.0</v>
      </c>
      <c r="F370" s="132">
        <v>250.0</v>
      </c>
      <c r="G370" s="132">
        <v>0.0</v>
      </c>
      <c r="H370" s="132">
        <v>0.0</v>
      </c>
      <c r="I370" s="132">
        <v>0.0</v>
      </c>
      <c r="J370" s="132">
        <v>0.0</v>
      </c>
      <c r="K370" s="132">
        <v>0.0</v>
      </c>
      <c r="L370" s="132">
        <v>0.0</v>
      </c>
      <c r="M370" s="132">
        <v>0.0</v>
      </c>
      <c r="N370" s="132">
        <v>0.0</v>
      </c>
      <c r="O370" s="132">
        <v>0.0</v>
      </c>
      <c r="P370" s="132">
        <v>0.0</v>
      </c>
      <c r="Q370" s="132">
        <v>0.0</v>
      </c>
      <c r="R370" s="132">
        <v>0.0</v>
      </c>
      <c r="S370" s="132">
        <v>0.0</v>
      </c>
      <c r="T370" s="132">
        <v>0.0</v>
      </c>
      <c r="U370" s="132">
        <v>0.0</v>
      </c>
      <c r="V370" s="132">
        <v>0.0</v>
      </c>
      <c r="W370" s="132">
        <v>1.0</v>
      </c>
      <c r="Y370" s="132" t="s">
        <v>3872</v>
      </c>
      <c r="Z370" s="132">
        <f t="shared" ref="Z370:AC370" si="736">C370-1000</f>
        <v>-1000</v>
      </c>
      <c r="AA370" s="132">
        <f t="shared" si="736"/>
        <v>-1000</v>
      </c>
      <c r="AB370" s="132">
        <f t="shared" si="736"/>
        <v>-1000</v>
      </c>
      <c r="AC370" s="132">
        <f t="shared" si="736"/>
        <v>-750</v>
      </c>
      <c r="AD370" s="132">
        <f t="shared" si="4"/>
        <v>-10000</v>
      </c>
      <c r="AE370" s="132">
        <f t="shared" ref="AE370:AS370" si="737">H370-1000</f>
        <v>-1000</v>
      </c>
      <c r="AF370" s="132">
        <f t="shared" si="737"/>
        <v>-1000</v>
      </c>
      <c r="AG370" s="132">
        <f t="shared" si="737"/>
        <v>-1000</v>
      </c>
      <c r="AH370" s="132">
        <f t="shared" si="737"/>
        <v>-1000</v>
      </c>
      <c r="AI370" s="132">
        <f t="shared" si="737"/>
        <v>-1000</v>
      </c>
      <c r="AJ370" s="132">
        <f t="shared" si="737"/>
        <v>-1000</v>
      </c>
      <c r="AK370" s="132">
        <f t="shared" si="737"/>
        <v>-1000</v>
      </c>
      <c r="AL370" s="132">
        <f t="shared" si="737"/>
        <v>-1000</v>
      </c>
      <c r="AM370" s="132">
        <f t="shared" si="737"/>
        <v>-1000</v>
      </c>
      <c r="AN370" s="132">
        <f t="shared" si="737"/>
        <v>-1000</v>
      </c>
      <c r="AO370" s="132">
        <f t="shared" si="737"/>
        <v>-1000</v>
      </c>
      <c r="AP370" s="132">
        <f t="shared" si="737"/>
        <v>-1000</v>
      </c>
      <c r="AQ370" s="132">
        <f t="shared" si="737"/>
        <v>-1000</v>
      </c>
      <c r="AR370" s="132">
        <f t="shared" si="737"/>
        <v>-1000</v>
      </c>
      <c r="AS370" s="132">
        <f t="shared" si="737"/>
        <v>-1000</v>
      </c>
    </row>
    <row r="371">
      <c r="A371" s="132" t="s">
        <v>3873</v>
      </c>
      <c r="B371" s="132">
        <v>100.0</v>
      </c>
      <c r="C371" s="132">
        <v>0.0</v>
      </c>
      <c r="D371" s="132">
        <v>0.0</v>
      </c>
      <c r="E371" s="132">
        <v>0.0</v>
      </c>
      <c r="F371" s="132">
        <v>100.0</v>
      </c>
      <c r="G371" s="132">
        <v>0.0</v>
      </c>
      <c r="H371" s="132">
        <v>0.0</v>
      </c>
      <c r="I371" s="132">
        <v>0.0</v>
      </c>
      <c r="J371" s="132">
        <v>0.0</v>
      </c>
      <c r="K371" s="132">
        <v>0.0</v>
      </c>
      <c r="L371" s="132">
        <v>0.0</v>
      </c>
      <c r="M371" s="132">
        <v>0.0</v>
      </c>
      <c r="N371" s="132">
        <v>0.0</v>
      </c>
      <c r="O371" s="132">
        <v>0.0</v>
      </c>
      <c r="P371" s="132">
        <v>0.0</v>
      </c>
      <c r="Q371" s="132">
        <v>0.0</v>
      </c>
      <c r="R371" s="132">
        <v>0.0</v>
      </c>
      <c r="S371" s="132">
        <v>0.0</v>
      </c>
      <c r="T371" s="132">
        <v>0.0</v>
      </c>
      <c r="U371" s="132">
        <v>0.0</v>
      </c>
      <c r="V371" s="132">
        <v>0.0</v>
      </c>
      <c r="W371" s="132">
        <v>0.0</v>
      </c>
      <c r="Y371" s="132" t="s">
        <v>3873</v>
      </c>
      <c r="Z371" s="132">
        <f t="shared" ref="Z371:AC371" si="738">C371-1000</f>
        <v>-1000</v>
      </c>
      <c r="AA371" s="132">
        <f t="shared" si="738"/>
        <v>-1000</v>
      </c>
      <c r="AB371" s="132">
        <f t="shared" si="738"/>
        <v>-1000</v>
      </c>
      <c r="AC371" s="132">
        <f t="shared" si="738"/>
        <v>-900</v>
      </c>
      <c r="AD371" s="132">
        <f t="shared" si="4"/>
        <v>-10000</v>
      </c>
      <c r="AE371" s="132">
        <f t="shared" ref="AE371:AS371" si="739">H371-1000</f>
        <v>-1000</v>
      </c>
      <c r="AF371" s="132">
        <f t="shared" si="739"/>
        <v>-1000</v>
      </c>
      <c r="AG371" s="132">
        <f t="shared" si="739"/>
        <v>-1000</v>
      </c>
      <c r="AH371" s="132">
        <f t="shared" si="739"/>
        <v>-1000</v>
      </c>
      <c r="AI371" s="132">
        <f t="shared" si="739"/>
        <v>-1000</v>
      </c>
      <c r="AJ371" s="132">
        <f t="shared" si="739"/>
        <v>-1000</v>
      </c>
      <c r="AK371" s="132">
        <f t="shared" si="739"/>
        <v>-1000</v>
      </c>
      <c r="AL371" s="132">
        <f t="shared" si="739"/>
        <v>-1000</v>
      </c>
      <c r="AM371" s="132">
        <f t="shared" si="739"/>
        <v>-1000</v>
      </c>
      <c r="AN371" s="132">
        <f t="shared" si="739"/>
        <v>-1000</v>
      </c>
      <c r="AO371" s="132">
        <f t="shared" si="739"/>
        <v>-1000</v>
      </c>
      <c r="AP371" s="132">
        <f t="shared" si="739"/>
        <v>-1000</v>
      </c>
      <c r="AQ371" s="132">
        <f t="shared" si="739"/>
        <v>-1000</v>
      </c>
      <c r="AR371" s="132">
        <f t="shared" si="739"/>
        <v>-1000</v>
      </c>
      <c r="AS371" s="132">
        <f t="shared" si="739"/>
        <v>-1000</v>
      </c>
    </row>
    <row r="372">
      <c r="A372" s="132" t="s">
        <v>3874</v>
      </c>
      <c r="B372" s="132">
        <v>500.0</v>
      </c>
      <c r="C372" s="132">
        <v>0.0</v>
      </c>
      <c r="D372" s="132">
        <v>0.0</v>
      </c>
      <c r="E372" s="132">
        <v>0.0</v>
      </c>
      <c r="F372" s="132">
        <v>500.0</v>
      </c>
      <c r="G372" s="132">
        <v>0.0</v>
      </c>
      <c r="H372" s="132">
        <v>0.0</v>
      </c>
      <c r="I372" s="132">
        <v>0.0</v>
      </c>
      <c r="J372" s="132">
        <v>0.0</v>
      </c>
      <c r="K372" s="132">
        <v>0.0</v>
      </c>
      <c r="L372" s="132">
        <v>0.0</v>
      </c>
      <c r="M372" s="132">
        <v>0.0</v>
      </c>
      <c r="N372" s="132">
        <v>0.0</v>
      </c>
      <c r="O372" s="132">
        <v>0.0</v>
      </c>
      <c r="P372" s="132">
        <v>0.0</v>
      </c>
      <c r="Q372" s="132">
        <v>0.0</v>
      </c>
      <c r="R372" s="132">
        <v>0.0</v>
      </c>
      <c r="S372" s="132">
        <v>0.0</v>
      </c>
      <c r="T372" s="132">
        <v>0.0</v>
      </c>
      <c r="U372" s="132">
        <v>0.0</v>
      </c>
      <c r="V372" s="132">
        <v>0.0</v>
      </c>
      <c r="W372" s="132">
        <v>0.0</v>
      </c>
      <c r="Y372" s="132" t="s">
        <v>3874</v>
      </c>
      <c r="Z372" s="132">
        <f t="shared" ref="Z372:AC372" si="740">C372-1000</f>
        <v>-1000</v>
      </c>
      <c r="AA372" s="132">
        <f t="shared" si="740"/>
        <v>-1000</v>
      </c>
      <c r="AB372" s="132">
        <f t="shared" si="740"/>
        <v>-1000</v>
      </c>
      <c r="AC372" s="132">
        <f t="shared" si="740"/>
        <v>-500</v>
      </c>
      <c r="AD372" s="132">
        <f t="shared" si="4"/>
        <v>-10000</v>
      </c>
      <c r="AE372" s="132">
        <f t="shared" ref="AE372:AS372" si="741">H372-1000</f>
        <v>-1000</v>
      </c>
      <c r="AF372" s="132">
        <f t="shared" si="741"/>
        <v>-1000</v>
      </c>
      <c r="AG372" s="132">
        <f t="shared" si="741"/>
        <v>-1000</v>
      </c>
      <c r="AH372" s="132">
        <f t="shared" si="741"/>
        <v>-1000</v>
      </c>
      <c r="AI372" s="132">
        <f t="shared" si="741"/>
        <v>-1000</v>
      </c>
      <c r="AJ372" s="132">
        <f t="shared" si="741"/>
        <v>-1000</v>
      </c>
      <c r="AK372" s="132">
        <f t="shared" si="741"/>
        <v>-1000</v>
      </c>
      <c r="AL372" s="132">
        <f t="shared" si="741"/>
        <v>-1000</v>
      </c>
      <c r="AM372" s="132">
        <f t="shared" si="741"/>
        <v>-1000</v>
      </c>
      <c r="AN372" s="132">
        <f t="shared" si="741"/>
        <v>-1000</v>
      </c>
      <c r="AO372" s="132">
        <f t="shared" si="741"/>
        <v>-1000</v>
      </c>
      <c r="AP372" s="132">
        <f t="shared" si="741"/>
        <v>-1000</v>
      </c>
      <c r="AQ372" s="132">
        <f t="shared" si="741"/>
        <v>-1000</v>
      </c>
      <c r="AR372" s="132">
        <f t="shared" si="741"/>
        <v>-1000</v>
      </c>
      <c r="AS372" s="132">
        <f t="shared" si="741"/>
        <v>-1000</v>
      </c>
    </row>
    <row r="373">
      <c r="A373" s="132" t="s">
        <v>3875</v>
      </c>
      <c r="B373" s="132">
        <v>250.0</v>
      </c>
      <c r="C373" s="132">
        <v>0.0</v>
      </c>
      <c r="D373" s="132">
        <v>0.0</v>
      </c>
      <c r="E373" s="132">
        <v>0.0</v>
      </c>
      <c r="F373" s="132">
        <v>250.0</v>
      </c>
      <c r="G373" s="132">
        <v>0.0</v>
      </c>
      <c r="H373" s="132">
        <v>0.0</v>
      </c>
      <c r="I373" s="132">
        <v>0.0</v>
      </c>
      <c r="J373" s="132">
        <v>0.0</v>
      </c>
      <c r="K373" s="132">
        <v>0.0</v>
      </c>
      <c r="L373" s="132">
        <v>0.0</v>
      </c>
      <c r="M373" s="132">
        <v>0.0</v>
      </c>
      <c r="N373" s="132">
        <v>0.0</v>
      </c>
      <c r="O373" s="132">
        <v>0.0</v>
      </c>
      <c r="P373" s="132">
        <v>0.0</v>
      </c>
      <c r="Q373" s="132">
        <v>0.0</v>
      </c>
      <c r="R373" s="132">
        <v>0.0</v>
      </c>
      <c r="S373" s="132">
        <v>0.0</v>
      </c>
      <c r="T373" s="132">
        <v>0.0</v>
      </c>
      <c r="U373" s="132">
        <v>0.0</v>
      </c>
      <c r="V373" s="132">
        <v>0.0</v>
      </c>
      <c r="W373" s="132">
        <v>0.0</v>
      </c>
      <c r="Y373" s="132" t="s">
        <v>3875</v>
      </c>
      <c r="Z373" s="132">
        <f t="shared" ref="Z373:AC373" si="742">C373-1000</f>
        <v>-1000</v>
      </c>
      <c r="AA373" s="132">
        <f t="shared" si="742"/>
        <v>-1000</v>
      </c>
      <c r="AB373" s="132">
        <f t="shared" si="742"/>
        <v>-1000</v>
      </c>
      <c r="AC373" s="132">
        <f t="shared" si="742"/>
        <v>-750</v>
      </c>
      <c r="AD373" s="132">
        <f t="shared" si="4"/>
        <v>-10000</v>
      </c>
      <c r="AE373" s="132">
        <f t="shared" ref="AE373:AS373" si="743">H373-1000</f>
        <v>-1000</v>
      </c>
      <c r="AF373" s="132">
        <f t="shared" si="743"/>
        <v>-1000</v>
      </c>
      <c r="AG373" s="132">
        <f t="shared" si="743"/>
        <v>-1000</v>
      </c>
      <c r="AH373" s="132">
        <f t="shared" si="743"/>
        <v>-1000</v>
      </c>
      <c r="AI373" s="132">
        <f t="shared" si="743"/>
        <v>-1000</v>
      </c>
      <c r="AJ373" s="132">
        <f t="shared" si="743"/>
        <v>-1000</v>
      </c>
      <c r="AK373" s="132">
        <f t="shared" si="743"/>
        <v>-1000</v>
      </c>
      <c r="AL373" s="132">
        <f t="shared" si="743"/>
        <v>-1000</v>
      </c>
      <c r="AM373" s="132">
        <f t="shared" si="743"/>
        <v>-1000</v>
      </c>
      <c r="AN373" s="132">
        <f t="shared" si="743"/>
        <v>-1000</v>
      </c>
      <c r="AO373" s="132">
        <f t="shared" si="743"/>
        <v>-1000</v>
      </c>
      <c r="AP373" s="132">
        <f t="shared" si="743"/>
        <v>-1000</v>
      </c>
      <c r="AQ373" s="132">
        <f t="shared" si="743"/>
        <v>-1000</v>
      </c>
      <c r="AR373" s="132">
        <f t="shared" si="743"/>
        <v>-1000</v>
      </c>
      <c r="AS373" s="132">
        <f t="shared" si="743"/>
        <v>-1000</v>
      </c>
    </row>
    <row r="374">
      <c r="A374" s="132" t="s">
        <v>3876</v>
      </c>
      <c r="B374" s="132">
        <v>500.0</v>
      </c>
      <c r="C374" s="132">
        <v>0.0</v>
      </c>
      <c r="D374" s="132">
        <v>0.0</v>
      </c>
      <c r="E374" s="132">
        <v>0.0</v>
      </c>
      <c r="F374" s="132">
        <v>500.0</v>
      </c>
      <c r="G374" s="132">
        <v>0.0</v>
      </c>
      <c r="H374" s="132">
        <v>0.0</v>
      </c>
      <c r="I374" s="132">
        <v>0.0</v>
      </c>
      <c r="J374" s="132">
        <v>0.0</v>
      </c>
      <c r="K374" s="132">
        <v>0.0</v>
      </c>
      <c r="L374" s="132">
        <v>0.0</v>
      </c>
      <c r="M374" s="132">
        <v>0.0</v>
      </c>
      <c r="N374" s="132">
        <v>0.0</v>
      </c>
      <c r="O374" s="132">
        <v>0.0</v>
      </c>
      <c r="P374" s="132">
        <v>0.0</v>
      </c>
      <c r="Q374" s="132">
        <v>0.0</v>
      </c>
      <c r="R374" s="132">
        <v>0.0</v>
      </c>
      <c r="S374" s="132">
        <v>0.0</v>
      </c>
      <c r="T374" s="132">
        <v>0.0</v>
      </c>
      <c r="U374" s="132">
        <v>0.0</v>
      </c>
      <c r="V374" s="132">
        <v>0.0</v>
      </c>
      <c r="W374" s="132">
        <v>0.0</v>
      </c>
      <c r="Y374" s="132" t="s">
        <v>3876</v>
      </c>
      <c r="Z374" s="132">
        <f t="shared" ref="Z374:AC374" si="744">C374-1000</f>
        <v>-1000</v>
      </c>
      <c r="AA374" s="132">
        <f t="shared" si="744"/>
        <v>-1000</v>
      </c>
      <c r="AB374" s="132">
        <f t="shared" si="744"/>
        <v>-1000</v>
      </c>
      <c r="AC374" s="132">
        <f t="shared" si="744"/>
        <v>-500</v>
      </c>
      <c r="AD374" s="132">
        <f t="shared" si="4"/>
        <v>-10000</v>
      </c>
      <c r="AE374" s="132">
        <f t="shared" ref="AE374:AS374" si="745">H374-1000</f>
        <v>-1000</v>
      </c>
      <c r="AF374" s="132">
        <f t="shared" si="745"/>
        <v>-1000</v>
      </c>
      <c r="AG374" s="132">
        <f t="shared" si="745"/>
        <v>-1000</v>
      </c>
      <c r="AH374" s="132">
        <f t="shared" si="745"/>
        <v>-1000</v>
      </c>
      <c r="AI374" s="132">
        <f t="shared" si="745"/>
        <v>-1000</v>
      </c>
      <c r="AJ374" s="132">
        <f t="shared" si="745"/>
        <v>-1000</v>
      </c>
      <c r="AK374" s="132">
        <f t="shared" si="745"/>
        <v>-1000</v>
      </c>
      <c r="AL374" s="132">
        <f t="shared" si="745"/>
        <v>-1000</v>
      </c>
      <c r="AM374" s="132">
        <f t="shared" si="745"/>
        <v>-1000</v>
      </c>
      <c r="AN374" s="132">
        <f t="shared" si="745"/>
        <v>-1000</v>
      </c>
      <c r="AO374" s="132">
        <f t="shared" si="745"/>
        <v>-1000</v>
      </c>
      <c r="AP374" s="132">
        <f t="shared" si="745"/>
        <v>-1000</v>
      </c>
      <c r="AQ374" s="132">
        <f t="shared" si="745"/>
        <v>-1000</v>
      </c>
      <c r="AR374" s="132">
        <f t="shared" si="745"/>
        <v>-1000</v>
      </c>
      <c r="AS374" s="132">
        <f t="shared" si="745"/>
        <v>-1000</v>
      </c>
    </row>
    <row r="375">
      <c r="A375" s="132" t="s">
        <v>3877</v>
      </c>
      <c r="B375" s="132">
        <v>500.0</v>
      </c>
      <c r="C375" s="132">
        <v>0.0</v>
      </c>
      <c r="D375" s="132">
        <v>0.0</v>
      </c>
      <c r="E375" s="132">
        <v>0.0</v>
      </c>
      <c r="F375" s="132">
        <v>500.0</v>
      </c>
      <c r="G375" s="132">
        <v>0.0</v>
      </c>
      <c r="H375" s="132">
        <v>0.0</v>
      </c>
      <c r="I375" s="132">
        <v>0.0</v>
      </c>
      <c r="J375" s="132">
        <v>0.0</v>
      </c>
      <c r="K375" s="132">
        <v>0.0</v>
      </c>
      <c r="L375" s="132">
        <v>0.0</v>
      </c>
      <c r="M375" s="132">
        <v>0.0</v>
      </c>
      <c r="N375" s="132">
        <v>0.0</v>
      </c>
      <c r="O375" s="132">
        <v>0.0</v>
      </c>
      <c r="P375" s="132">
        <v>0.0</v>
      </c>
      <c r="Q375" s="132">
        <v>0.0</v>
      </c>
      <c r="R375" s="132">
        <v>0.0</v>
      </c>
      <c r="S375" s="132">
        <v>0.0</v>
      </c>
      <c r="T375" s="132">
        <v>0.0</v>
      </c>
      <c r="U375" s="132">
        <v>0.0</v>
      </c>
      <c r="V375" s="132">
        <v>0.0</v>
      </c>
      <c r="W375" s="132">
        <v>0.0</v>
      </c>
      <c r="Y375" s="132" t="s">
        <v>3877</v>
      </c>
      <c r="Z375" s="132">
        <f t="shared" ref="Z375:AC375" si="746">C375-1000</f>
        <v>-1000</v>
      </c>
      <c r="AA375" s="132">
        <f t="shared" si="746"/>
        <v>-1000</v>
      </c>
      <c r="AB375" s="132">
        <f t="shared" si="746"/>
        <v>-1000</v>
      </c>
      <c r="AC375" s="132">
        <f t="shared" si="746"/>
        <v>-500</v>
      </c>
      <c r="AD375" s="132">
        <f t="shared" si="4"/>
        <v>-10000</v>
      </c>
      <c r="AE375" s="132">
        <f t="shared" ref="AE375:AS375" si="747">H375-1000</f>
        <v>-1000</v>
      </c>
      <c r="AF375" s="132">
        <f t="shared" si="747"/>
        <v>-1000</v>
      </c>
      <c r="AG375" s="132">
        <f t="shared" si="747"/>
        <v>-1000</v>
      </c>
      <c r="AH375" s="132">
        <f t="shared" si="747"/>
        <v>-1000</v>
      </c>
      <c r="AI375" s="132">
        <f t="shared" si="747"/>
        <v>-1000</v>
      </c>
      <c r="AJ375" s="132">
        <f t="shared" si="747"/>
        <v>-1000</v>
      </c>
      <c r="AK375" s="132">
        <f t="shared" si="747"/>
        <v>-1000</v>
      </c>
      <c r="AL375" s="132">
        <f t="shared" si="747"/>
        <v>-1000</v>
      </c>
      <c r="AM375" s="132">
        <f t="shared" si="747"/>
        <v>-1000</v>
      </c>
      <c r="AN375" s="132">
        <f t="shared" si="747"/>
        <v>-1000</v>
      </c>
      <c r="AO375" s="132">
        <f t="shared" si="747"/>
        <v>-1000</v>
      </c>
      <c r="AP375" s="132">
        <f t="shared" si="747"/>
        <v>-1000</v>
      </c>
      <c r="AQ375" s="132">
        <f t="shared" si="747"/>
        <v>-1000</v>
      </c>
      <c r="AR375" s="132">
        <f t="shared" si="747"/>
        <v>-1000</v>
      </c>
      <c r="AS375" s="132">
        <f t="shared" si="747"/>
        <v>-1000</v>
      </c>
    </row>
    <row r="376">
      <c r="A376" s="132" t="s">
        <v>3878</v>
      </c>
      <c r="B376" s="132">
        <v>100.0</v>
      </c>
      <c r="C376" s="132">
        <v>0.0</v>
      </c>
      <c r="D376" s="132">
        <v>0.0</v>
      </c>
      <c r="E376" s="132">
        <v>0.0</v>
      </c>
      <c r="F376" s="132">
        <v>100.0</v>
      </c>
      <c r="G376" s="132">
        <v>0.0</v>
      </c>
      <c r="H376" s="132">
        <v>0.0</v>
      </c>
      <c r="I376" s="132">
        <v>0.0</v>
      </c>
      <c r="J376" s="132">
        <v>0.0</v>
      </c>
      <c r="K376" s="132">
        <v>0.0</v>
      </c>
      <c r="L376" s="132">
        <v>0.0</v>
      </c>
      <c r="M376" s="132">
        <v>0.0</v>
      </c>
      <c r="N376" s="132">
        <v>0.0</v>
      </c>
      <c r="O376" s="132">
        <v>0.0</v>
      </c>
      <c r="P376" s="132">
        <v>0.0</v>
      </c>
      <c r="Q376" s="132">
        <v>0.0</v>
      </c>
      <c r="R376" s="132">
        <v>0.0</v>
      </c>
      <c r="S376" s="132">
        <v>0.0</v>
      </c>
      <c r="T376" s="132">
        <v>0.0</v>
      </c>
      <c r="U376" s="132">
        <v>0.0</v>
      </c>
      <c r="V376" s="132">
        <v>0.0</v>
      </c>
      <c r="W376" s="132">
        <v>0.0</v>
      </c>
      <c r="Y376" s="132" t="s">
        <v>3878</v>
      </c>
      <c r="Z376" s="132">
        <f t="shared" ref="Z376:AC376" si="748">C376-1000</f>
        <v>-1000</v>
      </c>
      <c r="AA376" s="132">
        <f t="shared" si="748"/>
        <v>-1000</v>
      </c>
      <c r="AB376" s="132">
        <f t="shared" si="748"/>
        <v>-1000</v>
      </c>
      <c r="AC376" s="132">
        <f t="shared" si="748"/>
        <v>-900</v>
      </c>
      <c r="AD376" s="132">
        <f t="shared" si="4"/>
        <v>-10000</v>
      </c>
      <c r="AE376" s="132">
        <f t="shared" ref="AE376:AS376" si="749">H376-1000</f>
        <v>-1000</v>
      </c>
      <c r="AF376" s="132">
        <f t="shared" si="749"/>
        <v>-1000</v>
      </c>
      <c r="AG376" s="132">
        <f t="shared" si="749"/>
        <v>-1000</v>
      </c>
      <c r="AH376" s="132">
        <f t="shared" si="749"/>
        <v>-1000</v>
      </c>
      <c r="AI376" s="132">
        <f t="shared" si="749"/>
        <v>-1000</v>
      </c>
      <c r="AJ376" s="132">
        <f t="shared" si="749"/>
        <v>-1000</v>
      </c>
      <c r="AK376" s="132">
        <f t="shared" si="749"/>
        <v>-1000</v>
      </c>
      <c r="AL376" s="132">
        <f t="shared" si="749"/>
        <v>-1000</v>
      </c>
      <c r="AM376" s="132">
        <f t="shared" si="749"/>
        <v>-1000</v>
      </c>
      <c r="AN376" s="132">
        <f t="shared" si="749"/>
        <v>-1000</v>
      </c>
      <c r="AO376" s="132">
        <f t="shared" si="749"/>
        <v>-1000</v>
      </c>
      <c r="AP376" s="132">
        <f t="shared" si="749"/>
        <v>-1000</v>
      </c>
      <c r="AQ376" s="132">
        <f t="shared" si="749"/>
        <v>-1000</v>
      </c>
      <c r="AR376" s="132">
        <f t="shared" si="749"/>
        <v>-1000</v>
      </c>
      <c r="AS376" s="132">
        <f t="shared" si="749"/>
        <v>-1000</v>
      </c>
    </row>
    <row r="377">
      <c r="A377" s="132" t="s">
        <v>3879</v>
      </c>
      <c r="B377" s="132">
        <v>250.0</v>
      </c>
      <c r="C377" s="132">
        <v>0.0</v>
      </c>
      <c r="D377" s="132">
        <v>0.0</v>
      </c>
      <c r="E377" s="132">
        <v>0.0</v>
      </c>
      <c r="F377" s="132">
        <v>250.0</v>
      </c>
      <c r="G377" s="132">
        <v>0.0</v>
      </c>
      <c r="H377" s="132">
        <v>0.0</v>
      </c>
      <c r="I377" s="132">
        <v>0.0</v>
      </c>
      <c r="J377" s="132">
        <v>0.0</v>
      </c>
      <c r="K377" s="132">
        <v>0.0</v>
      </c>
      <c r="L377" s="132">
        <v>0.0</v>
      </c>
      <c r="M377" s="132">
        <v>0.0</v>
      </c>
      <c r="N377" s="132">
        <v>0.0</v>
      </c>
      <c r="O377" s="132">
        <v>0.0</v>
      </c>
      <c r="P377" s="132">
        <v>0.0</v>
      </c>
      <c r="Q377" s="132">
        <v>0.0</v>
      </c>
      <c r="R377" s="132">
        <v>0.0</v>
      </c>
      <c r="S377" s="132">
        <v>0.0</v>
      </c>
      <c r="T377" s="132">
        <v>0.0</v>
      </c>
      <c r="U377" s="132">
        <v>0.0</v>
      </c>
      <c r="V377" s="132">
        <v>0.0</v>
      </c>
      <c r="W377" s="132">
        <v>0.0</v>
      </c>
      <c r="Y377" s="132" t="s">
        <v>3879</v>
      </c>
      <c r="Z377" s="132">
        <f t="shared" ref="Z377:AC377" si="750">C377-1000</f>
        <v>-1000</v>
      </c>
      <c r="AA377" s="132">
        <f t="shared" si="750"/>
        <v>-1000</v>
      </c>
      <c r="AB377" s="132">
        <f t="shared" si="750"/>
        <v>-1000</v>
      </c>
      <c r="AC377" s="132">
        <f t="shared" si="750"/>
        <v>-750</v>
      </c>
      <c r="AD377" s="132">
        <f t="shared" si="4"/>
        <v>-10000</v>
      </c>
      <c r="AE377" s="132">
        <f t="shared" ref="AE377:AS377" si="751">H377-1000</f>
        <v>-1000</v>
      </c>
      <c r="AF377" s="132">
        <f t="shared" si="751"/>
        <v>-1000</v>
      </c>
      <c r="AG377" s="132">
        <f t="shared" si="751"/>
        <v>-1000</v>
      </c>
      <c r="AH377" s="132">
        <f t="shared" si="751"/>
        <v>-1000</v>
      </c>
      <c r="AI377" s="132">
        <f t="shared" si="751"/>
        <v>-1000</v>
      </c>
      <c r="AJ377" s="132">
        <f t="shared" si="751"/>
        <v>-1000</v>
      </c>
      <c r="AK377" s="132">
        <f t="shared" si="751"/>
        <v>-1000</v>
      </c>
      <c r="AL377" s="132">
        <f t="shared" si="751"/>
        <v>-1000</v>
      </c>
      <c r="AM377" s="132">
        <f t="shared" si="751"/>
        <v>-1000</v>
      </c>
      <c r="AN377" s="132">
        <f t="shared" si="751"/>
        <v>-1000</v>
      </c>
      <c r="AO377" s="132">
        <f t="shared" si="751"/>
        <v>-1000</v>
      </c>
      <c r="AP377" s="132">
        <f t="shared" si="751"/>
        <v>-1000</v>
      </c>
      <c r="AQ377" s="132">
        <f t="shared" si="751"/>
        <v>-1000</v>
      </c>
      <c r="AR377" s="132">
        <f t="shared" si="751"/>
        <v>-1000</v>
      </c>
      <c r="AS377" s="132">
        <f t="shared" si="751"/>
        <v>-1000</v>
      </c>
    </row>
    <row r="378">
      <c r="A378" s="132" t="s">
        <v>3880</v>
      </c>
      <c r="B378" s="132">
        <v>100.0</v>
      </c>
      <c r="C378" s="132">
        <v>0.0</v>
      </c>
      <c r="D378" s="132">
        <v>0.0</v>
      </c>
      <c r="E378" s="132">
        <v>0.0</v>
      </c>
      <c r="F378" s="132">
        <v>100.0</v>
      </c>
      <c r="G378" s="132">
        <v>0.0</v>
      </c>
      <c r="H378" s="132">
        <v>0.0</v>
      </c>
      <c r="I378" s="132">
        <v>0.0</v>
      </c>
      <c r="J378" s="132">
        <v>0.0</v>
      </c>
      <c r="K378" s="132">
        <v>0.0</v>
      </c>
      <c r="L378" s="132">
        <v>0.0</v>
      </c>
      <c r="M378" s="132">
        <v>0.0</v>
      </c>
      <c r="N378" s="132">
        <v>0.0</v>
      </c>
      <c r="O378" s="132">
        <v>0.0</v>
      </c>
      <c r="P378" s="132">
        <v>0.0</v>
      </c>
      <c r="Q378" s="132">
        <v>0.0</v>
      </c>
      <c r="R378" s="132">
        <v>0.0</v>
      </c>
      <c r="S378" s="132">
        <v>0.0</v>
      </c>
      <c r="T378" s="132">
        <v>0.0</v>
      </c>
      <c r="U378" s="132">
        <v>0.0</v>
      </c>
      <c r="V378" s="132">
        <v>0.0</v>
      </c>
      <c r="W378" s="132">
        <v>0.0</v>
      </c>
      <c r="Y378" s="132" t="s">
        <v>3880</v>
      </c>
      <c r="Z378" s="132">
        <f t="shared" ref="Z378:AC378" si="752">C378-1000</f>
        <v>-1000</v>
      </c>
      <c r="AA378" s="132">
        <f t="shared" si="752"/>
        <v>-1000</v>
      </c>
      <c r="AB378" s="132">
        <f t="shared" si="752"/>
        <v>-1000</v>
      </c>
      <c r="AC378" s="132">
        <f t="shared" si="752"/>
        <v>-900</v>
      </c>
      <c r="AD378" s="132">
        <f t="shared" si="4"/>
        <v>-10000</v>
      </c>
      <c r="AE378" s="132">
        <f t="shared" ref="AE378:AS378" si="753">H378-1000</f>
        <v>-1000</v>
      </c>
      <c r="AF378" s="132">
        <f t="shared" si="753"/>
        <v>-1000</v>
      </c>
      <c r="AG378" s="132">
        <f t="shared" si="753"/>
        <v>-1000</v>
      </c>
      <c r="AH378" s="132">
        <f t="shared" si="753"/>
        <v>-1000</v>
      </c>
      <c r="AI378" s="132">
        <f t="shared" si="753"/>
        <v>-1000</v>
      </c>
      <c r="AJ378" s="132">
        <f t="shared" si="753"/>
        <v>-1000</v>
      </c>
      <c r="AK378" s="132">
        <f t="shared" si="753"/>
        <v>-1000</v>
      </c>
      <c r="AL378" s="132">
        <f t="shared" si="753"/>
        <v>-1000</v>
      </c>
      <c r="AM378" s="132">
        <f t="shared" si="753"/>
        <v>-1000</v>
      </c>
      <c r="AN378" s="132">
        <f t="shared" si="753"/>
        <v>-1000</v>
      </c>
      <c r="AO378" s="132">
        <f t="shared" si="753"/>
        <v>-1000</v>
      </c>
      <c r="AP378" s="132">
        <f t="shared" si="753"/>
        <v>-1000</v>
      </c>
      <c r="AQ378" s="132">
        <f t="shared" si="753"/>
        <v>-1000</v>
      </c>
      <c r="AR378" s="132">
        <f t="shared" si="753"/>
        <v>-1000</v>
      </c>
      <c r="AS378" s="132">
        <f t="shared" si="753"/>
        <v>-1000</v>
      </c>
    </row>
    <row r="379">
      <c r="A379" s="132" t="s">
        <v>3881</v>
      </c>
      <c r="B379" s="132">
        <v>350.0</v>
      </c>
      <c r="C379" s="132">
        <v>0.0</v>
      </c>
      <c r="D379" s="132">
        <v>0.0</v>
      </c>
      <c r="E379" s="132">
        <v>0.0</v>
      </c>
      <c r="F379" s="132">
        <v>250.0</v>
      </c>
      <c r="G379" s="132">
        <v>0.0</v>
      </c>
      <c r="H379" s="132">
        <v>0.0</v>
      </c>
      <c r="I379" s="132">
        <v>0.0</v>
      </c>
      <c r="J379" s="132">
        <v>0.0</v>
      </c>
      <c r="K379" s="132">
        <v>0.0</v>
      </c>
      <c r="L379" s="132">
        <v>0.0</v>
      </c>
      <c r="M379" s="132">
        <v>0.0</v>
      </c>
      <c r="N379" s="132">
        <v>0.0</v>
      </c>
      <c r="O379" s="132">
        <v>100.0</v>
      </c>
      <c r="P379" s="132">
        <v>0.0</v>
      </c>
      <c r="Q379" s="132">
        <v>0.0</v>
      </c>
      <c r="R379" s="132">
        <v>0.0</v>
      </c>
      <c r="S379" s="132">
        <v>0.0</v>
      </c>
      <c r="T379" s="132">
        <v>0.0</v>
      </c>
      <c r="U379" s="132">
        <v>0.0</v>
      </c>
      <c r="V379" s="132">
        <v>0.0</v>
      </c>
      <c r="W379" s="132">
        <v>0.0</v>
      </c>
      <c r="Y379" s="132" t="s">
        <v>3881</v>
      </c>
      <c r="Z379" s="132">
        <f t="shared" ref="Z379:AC379" si="754">C379-1000</f>
        <v>-1000</v>
      </c>
      <c r="AA379" s="132">
        <f t="shared" si="754"/>
        <v>-1000</v>
      </c>
      <c r="AB379" s="132">
        <f t="shared" si="754"/>
        <v>-1000</v>
      </c>
      <c r="AC379" s="132">
        <f t="shared" si="754"/>
        <v>-750</v>
      </c>
      <c r="AD379" s="132">
        <f t="shared" si="4"/>
        <v>-10000</v>
      </c>
      <c r="AE379" s="132">
        <f t="shared" ref="AE379:AS379" si="755">H379-1000</f>
        <v>-1000</v>
      </c>
      <c r="AF379" s="132">
        <f t="shared" si="755"/>
        <v>-1000</v>
      </c>
      <c r="AG379" s="132">
        <f t="shared" si="755"/>
        <v>-1000</v>
      </c>
      <c r="AH379" s="132">
        <f t="shared" si="755"/>
        <v>-1000</v>
      </c>
      <c r="AI379" s="132">
        <f t="shared" si="755"/>
        <v>-1000</v>
      </c>
      <c r="AJ379" s="132">
        <f t="shared" si="755"/>
        <v>-1000</v>
      </c>
      <c r="AK379" s="132">
        <f t="shared" si="755"/>
        <v>-1000</v>
      </c>
      <c r="AL379" s="132">
        <f t="shared" si="755"/>
        <v>-900</v>
      </c>
      <c r="AM379" s="132">
        <f t="shared" si="755"/>
        <v>-1000</v>
      </c>
      <c r="AN379" s="132">
        <f t="shared" si="755"/>
        <v>-1000</v>
      </c>
      <c r="AO379" s="132">
        <f t="shared" si="755"/>
        <v>-1000</v>
      </c>
      <c r="AP379" s="132">
        <f t="shared" si="755"/>
        <v>-1000</v>
      </c>
      <c r="AQ379" s="132">
        <f t="shared" si="755"/>
        <v>-1000</v>
      </c>
      <c r="AR379" s="132">
        <f t="shared" si="755"/>
        <v>-1000</v>
      </c>
      <c r="AS379" s="132">
        <f t="shared" si="755"/>
        <v>-1000</v>
      </c>
    </row>
    <row r="380">
      <c r="A380" s="132" t="s">
        <v>3882</v>
      </c>
      <c r="B380" s="132">
        <v>100.0</v>
      </c>
      <c r="C380" s="132">
        <v>0.0</v>
      </c>
      <c r="D380" s="132">
        <v>0.0</v>
      </c>
      <c r="E380" s="132">
        <v>0.0</v>
      </c>
      <c r="F380" s="132">
        <v>100.0</v>
      </c>
      <c r="G380" s="132">
        <v>0.0</v>
      </c>
      <c r="H380" s="132">
        <v>0.0</v>
      </c>
      <c r="I380" s="132">
        <v>0.0</v>
      </c>
      <c r="J380" s="132">
        <v>0.0</v>
      </c>
      <c r="K380" s="132">
        <v>0.0</v>
      </c>
      <c r="L380" s="132">
        <v>0.0</v>
      </c>
      <c r="M380" s="132">
        <v>0.0</v>
      </c>
      <c r="N380" s="132">
        <v>0.0</v>
      </c>
      <c r="O380" s="132">
        <v>0.0</v>
      </c>
      <c r="P380" s="132">
        <v>0.0</v>
      </c>
      <c r="Q380" s="132">
        <v>0.0</v>
      </c>
      <c r="R380" s="132">
        <v>0.0</v>
      </c>
      <c r="S380" s="132">
        <v>0.0</v>
      </c>
      <c r="T380" s="132">
        <v>0.0</v>
      </c>
      <c r="U380" s="132">
        <v>0.0</v>
      </c>
      <c r="V380" s="132">
        <v>0.0</v>
      </c>
      <c r="W380" s="132">
        <v>0.0</v>
      </c>
      <c r="Y380" s="132" t="s">
        <v>3882</v>
      </c>
      <c r="Z380" s="132">
        <f t="shared" ref="Z380:AC380" si="756">C380-1000</f>
        <v>-1000</v>
      </c>
      <c r="AA380" s="132">
        <f t="shared" si="756"/>
        <v>-1000</v>
      </c>
      <c r="AB380" s="132">
        <f t="shared" si="756"/>
        <v>-1000</v>
      </c>
      <c r="AC380" s="132">
        <f t="shared" si="756"/>
        <v>-900</v>
      </c>
      <c r="AD380" s="132">
        <f t="shared" si="4"/>
        <v>-10000</v>
      </c>
      <c r="AE380" s="132">
        <f t="shared" ref="AE380:AS380" si="757">H380-1000</f>
        <v>-1000</v>
      </c>
      <c r="AF380" s="132">
        <f t="shared" si="757"/>
        <v>-1000</v>
      </c>
      <c r="AG380" s="132">
        <f t="shared" si="757"/>
        <v>-1000</v>
      </c>
      <c r="AH380" s="132">
        <f t="shared" si="757"/>
        <v>-1000</v>
      </c>
      <c r="AI380" s="132">
        <f t="shared" si="757"/>
        <v>-1000</v>
      </c>
      <c r="AJ380" s="132">
        <f t="shared" si="757"/>
        <v>-1000</v>
      </c>
      <c r="AK380" s="132">
        <f t="shared" si="757"/>
        <v>-1000</v>
      </c>
      <c r="AL380" s="132">
        <f t="shared" si="757"/>
        <v>-1000</v>
      </c>
      <c r="AM380" s="132">
        <f t="shared" si="757"/>
        <v>-1000</v>
      </c>
      <c r="AN380" s="132">
        <f t="shared" si="757"/>
        <v>-1000</v>
      </c>
      <c r="AO380" s="132">
        <f t="shared" si="757"/>
        <v>-1000</v>
      </c>
      <c r="AP380" s="132">
        <f t="shared" si="757"/>
        <v>-1000</v>
      </c>
      <c r="AQ380" s="132">
        <f t="shared" si="757"/>
        <v>-1000</v>
      </c>
      <c r="AR380" s="132">
        <f t="shared" si="757"/>
        <v>-1000</v>
      </c>
      <c r="AS380" s="132">
        <f t="shared" si="757"/>
        <v>-1000</v>
      </c>
    </row>
    <row r="381">
      <c r="A381" s="132" t="s">
        <v>3883</v>
      </c>
      <c r="B381" s="132">
        <v>450.0</v>
      </c>
      <c r="C381" s="132">
        <v>0.0</v>
      </c>
      <c r="D381" s="132">
        <v>0.0</v>
      </c>
      <c r="E381" s="132">
        <v>0.0</v>
      </c>
      <c r="F381" s="132">
        <v>450.0</v>
      </c>
      <c r="G381" s="132">
        <v>0.0</v>
      </c>
      <c r="H381" s="132">
        <v>0.0</v>
      </c>
      <c r="I381" s="132">
        <v>0.0</v>
      </c>
      <c r="J381" s="132">
        <v>0.0</v>
      </c>
      <c r="K381" s="132">
        <v>0.0</v>
      </c>
      <c r="L381" s="132">
        <v>0.0</v>
      </c>
      <c r="M381" s="132">
        <v>0.0</v>
      </c>
      <c r="N381" s="132">
        <v>0.0</v>
      </c>
      <c r="O381" s="132">
        <v>0.0</v>
      </c>
      <c r="P381" s="132">
        <v>0.0</v>
      </c>
      <c r="Q381" s="132">
        <v>0.0</v>
      </c>
      <c r="R381" s="132">
        <v>0.0</v>
      </c>
      <c r="S381" s="132">
        <v>0.0</v>
      </c>
      <c r="T381" s="132">
        <v>0.0</v>
      </c>
      <c r="U381" s="132">
        <v>0.0</v>
      </c>
      <c r="V381" s="132">
        <v>0.0</v>
      </c>
      <c r="W381" s="132">
        <v>1.0</v>
      </c>
      <c r="Y381" s="132" t="s">
        <v>3883</v>
      </c>
      <c r="Z381" s="132">
        <f t="shared" ref="Z381:AC381" si="758">C381-1000</f>
        <v>-1000</v>
      </c>
      <c r="AA381" s="132">
        <f t="shared" si="758"/>
        <v>-1000</v>
      </c>
      <c r="AB381" s="132">
        <f t="shared" si="758"/>
        <v>-1000</v>
      </c>
      <c r="AC381" s="132">
        <f t="shared" si="758"/>
        <v>-550</v>
      </c>
      <c r="AD381" s="132">
        <f t="shared" si="4"/>
        <v>-10000</v>
      </c>
      <c r="AE381" s="132">
        <f t="shared" ref="AE381:AS381" si="759">H381-1000</f>
        <v>-1000</v>
      </c>
      <c r="AF381" s="132">
        <f t="shared" si="759"/>
        <v>-1000</v>
      </c>
      <c r="AG381" s="132">
        <f t="shared" si="759"/>
        <v>-1000</v>
      </c>
      <c r="AH381" s="132">
        <f t="shared" si="759"/>
        <v>-1000</v>
      </c>
      <c r="AI381" s="132">
        <f t="shared" si="759"/>
        <v>-1000</v>
      </c>
      <c r="AJ381" s="132">
        <f t="shared" si="759"/>
        <v>-1000</v>
      </c>
      <c r="AK381" s="132">
        <f t="shared" si="759"/>
        <v>-1000</v>
      </c>
      <c r="AL381" s="132">
        <f t="shared" si="759"/>
        <v>-1000</v>
      </c>
      <c r="AM381" s="132">
        <f t="shared" si="759"/>
        <v>-1000</v>
      </c>
      <c r="AN381" s="132">
        <f t="shared" si="759"/>
        <v>-1000</v>
      </c>
      <c r="AO381" s="132">
        <f t="shared" si="759"/>
        <v>-1000</v>
      </c>
      <c r="AP381" s="132">
        <f t="shared" si="759"/>
        <v>-1000</v>
      </c>
      <c r="AQ381" s="132">
        <f t="shared" si="759"/>
        <v>-1000</v>
      </c>
      <c r="AR381" s="132">
        <f t="shared" si="759"/>
        <v>-1000</v>
      </c>
      <c r="AS381" s="132">
        <f t="shared" si="759"/>
        <v>-1000</v>
      </c>
    </row>
    <row r="382">
      <c r="A382" s="132" t="s">
        <v>3884</v>
      </c>
      <c r="B382" s="132">
        <v>100.0</v>
      </c>
      <c r="C382" s="132">
        <v>0.0</v>
      </c>
      <c r="D382" s="132">
        <v>0.0</v>
      </c>
      <c r="E382" s="132">
        <v>0.0</v>
      </c>
      <c r="F382" s="132">
        <v>100.0</v>
      </c>
      <c r="G382" s="132">
        <v>0.0</v>
      </c>
      <c r="H382" s="132">
        <v>0.0</v>
      </c>
      <c r="I382" s="132">
        <v>0.0</v>
      </c>
      <c r="J382" s="132">
        <v>0.0</v>
      </c>
      <c r="K382" s="132">
        <v>0.0</v>
      </c>
      <c r="L382" s="132">
        <v>0.0</v>
      </c>
      <c r="M382" s="132">
        <v>0.0</v>
      </c>
      <c r="N382" s="132">
        <v>0.0</v>
      </c>
      <c r="O382" s="132">
        <v>0.0</v>
      </c>
      <c r="P382" s="132">
        <v>0.0</v>
      </c>
      <c r="Q382" s="132">
        <v>0.0</v>
      </c>
      <c r="R382" s="132">
        <v>0.0</v>
      </c>
      <c r="S382" s="132">
        <v>0.0</v>
      </c>
      <c r="T382" s="132">
        <v>0.0</v>
      </c>
      <c r="U382" s="132">
        <v>0.0</v>
      </c>
      <c r="V382" s="132">
        <v>0.0</v>
      </c>
      <c r="W382" s="132">
        <v>0.0</v>
      </c>
      <c r="Y382" s="132" t="s">
        <v>3884</v>
      </c>
      <c r="Z382" s="132">
        <f t="shared" ref="Z382:AC382" si="760">C382-1000</f>
        <v>-1000</v>
      </c>
      <c r="AA382" s="132">
        <f t="shared" si="760"/>
        <v>-1000</v>
      </c>
      <c r="AB382" s="132">
        <f t="shared" si="760"/>
        <v>-1000</v>
      </c>
      <c r="AC382" s="132">
        <f t="shared" si="760"/>
        <v>-900</v>
      </c>
      <c r="AD382" s="132">
        <f t="shared" si="4"/>
        <v>-10000</v>
      </c>
      <c r="AE382" s="132">
        <f t="shared" ref="AE382:AS382" si="761">H382-1000</f>
        <v>-1000</v>
      </c>
      <c r="AF382" s="132">
        <f t="shared" si="761"/>
        <v>-1000</v>
      </c>
      <c r="AG382" s="132">
        <f t="shared" si="761"/>
        <v>-1000</v>
      </c>
      <c r="AH382" s="132">
        <f t="shared" si="761"/>
        <v>-1000</v>
      </c>
      <c r="AI382" s="132">
        <f t="shared" si="761"/>
        <v>-1000</v>
      </c>
      <c r="AJ382" s="132">
        <f t="shared" si="761"/>
        <v>-1000</v>
      </c>
      <c r="AK382" s="132">
        <f t="shared" si="761"/>
        <v>-1000</v>
      </c>
      <c r="AL382" s="132">
        <f t="shared" si="761"/>
        <v>-1000</v>
      </c>
      <c r="AM382" s="132">
        <f t="shared" si="761"/>
        <v>-1000</v>
      </c>
      <c r="AN382" s="132">
        <f t="shared" si="761"/>
        <v>-1000</v>
      </c>
      <c r="AO382" s="132">
        <f t="shared" si="761"/>
        <v>-1000</v>
      </c>
      <c r="AP382" s="132">
        <f t="shared" si="761"/>
        <v>-1000</v>
      </c>
      <c r="AQ382" s="132">
        <f t="shared" si="761"/>
        <v>-1000</v>
      </c>
      <c r="AR382" s="132">
        <f t="shared" si="761"/>
        <v>-1000</v>
      </c>
      <c r="AS382" s="132">
        <f t="shared" si="761"/>
        <v>-1000</v>
      </c>
    </row>
    <row r="383">
      <c r="A383" s="132" t="s">
        <v>3885</v>
      </c>
      <c r="B383" s="132">
        <v>100.0</v>
      </c>
      <c r="C383" s="132">
        <v>0.0</v>
      </c>
      <c r="D383" s="132">
        <v>0.0</v>
      </c>
      <c r="E383" s="132">
        <v>0.0</v>
      </c>
      <c r="F383" s="132">
        <v>100.0</v>
      </c>
      <c r="G383" s="132">
        <v>0.0</v>
      </c>
      <c r="H383" s="132">
        <v>0.0</v>
      </c>
      <c r="I383" s="132">
        <v>0.0</v>
      </c>
      <c r="J383" s="132">
        <v>0.0</v>
      </c>
      <c r="K383" s="132">
        <v>0.0</v>
      </c>
      <c r="L383" s="132">
        <v>0.0</v>
      </c>
      <c r="M383" s="132">
        <v>0.0</v>
      </c>
      <c r="N383" s="132">
        <v>0.0</v>
      </c>
      <c r="O383" s="132">
        <v>0.0</v>
      </c>
      <c r="P383" s="132">
        <v>0.0</v>
      </c>
      <c r="Q383" s="132">
        <v>0.0</v>
      </c>
      <c r="R383" s="132">
        <v>0.0</v>
      </c>
      <c r="S383" s="132">
        <v>0.0</v>
      </c>
      <c r="T383" s="132">
        <v>0.0</v>
      </c>
      <c r="U383" s="132">
        <v>0.0</v>
      </c>
      <c r="V383" s="132">
        <v>0.0</v>
      </c>
      <c r="W383" s="132">
        <v>0.0</v>
      </c>
      <c r="Y383" s="132" t="s">
        <v>3885</v>
      </c>
      <c r="Z383" s="132">
        <f t="shared" ref="Z383:AC383" si="762">C383-1000</f>
        <v>-1000</v>
      </c>
      <c r="AA383" s="132">
        <f t="shared" si="762"/>
        <v>-1000</v>
      </c>
      <c r="AB383" s="132">
        <f t="shared" si="762"/>
        <v>-1000</v>
      </c>
      <c r="AC383" s="132">
        <f t="shared" si="762"/>
        <v>-900</v>
      </c>
      <c r="AD383" s="132">
        <f t="shared" si="4"/>
        <v>-10000</v>
      </c>
      <c r="AE383" s="132">
        <f t="shared" ref="AE383:AS383" si="763">H383-1000</f>
        <v>-1000</v>
      </c>
      <c r="AF383" s="132">
        <f t="shared" si="763"/>
        <v>-1000</v>
      </c>
      <c r="AG383" s="132">
        <f t="shared" si="763"/>
        <v>-1000</v>
      </c>
      <c r="AH383" s="132">
        <f t="shared" si="763"/>
        <v>-1000</v>
      </c>
      <c r="AI383" s="132">
        <f t="shared" si="763"/>
        <v>-1000</v>
      </c>
      <c r="AJ383" s="132">
        <f t="shared" si="763"/>
        <v>-1000</v>
      </c>
      <c r="AK383" s="132">
        <f t="shared" si="763"/>
        <v>-1000</v>
      </c>
      <c r="AL383" s="132">
        <f t="shared" si="763"/>
        <v>-1000</v>
      </c>
      <c r="AM383" s="132">
        <f t="shared" si="763"/>
        <v>-1000</v>
      </c>
      <c r="AN383" s="132">
        <f t="shared" si="763"/>
        <v>-1000</v>
      </c>
      <c r="AO383" s="132">
        <f t="shared" si="763"/>
        <v>-1000</v>
      </c>
      <c r="AP383" s="132">
        <f t="shared" si="763"/>
        <v>-1000</v>
      </c>
      <c r="AQ383" s="132">
        <f t="shared" si="763"/>
        <v>-1000</v>
      </c>
      <c r="AR383" s="132">
        <f t="shared" si="763"/>
        <v>-1000</v>
      </c>
      <c r="AS383" s="132">
        <f t="shared" si="763"/>
        <v>-1000</v>
      </c>
    </row>
    <row r="384">
      <c r="A384" s="132" t="s">
        <v>3886</v>
      </c>
      <c r="B384" s="132">
        <v>100.0</v>
      </c>
      <c r="C384" s="132">
        <v>0.0</v>
      </c>
      <c r="D384" s="132">
        <v>0.0</v>
      </c>
      <c r="E384" s="132">
        <v>0.0</v>
      </c>
      <c r="F384" s="132">
        <v>100.0</v>
      </c>
      <c r="G384" s="132">
        <v>0.0</v>
      </c>
      <c r="H384" s="132">
        <v>0.0</v>
      </c>
      <c r="I384" s="132">
        <v>0.0</v>
      </c>
      <c r="J384" s="132">
        <v>0.0</v>
      </c>
      <c r="K384" s="132">
        <v>0.0</v>
      </c>
      <c r="L384" s="132">
        <v>0.0</v>
      </c>
      <c r="M384" s="132">
        <v>0.0</v>
      </c>
      <c r="N384" s="132">
        <v>0.0</v>
      </c>
      <c r="O384" s="132">
        <v>0.0</v>
      </c>
      <c r="P384" s="132">
        <v>0.0</v>
      </c>
      <c r="Q384" s="132">
        <v>0.0</v>
      </c>
      <c r="R384" s="132">
        <v>0.0</v>
      </c>
      <c r="S384" s="132">
        <v>0.0</v>
      </c>
      <c r="T384" s="132">
        <v>0.0</v>
      </c>
      <c r="U384" s="132">
        <v>0.0</v>
      </c>
      <c r="V384" s="132">
        <v>0.0</v>
      </c>
      <c r="W384" s="132">
        <v>0.0</v>
      </c>
      <c r="Y384" s="132" t="s">
        <v>3886</v>
      </c>
      <c r="Z384" s="132">
        <f t="shared" ref="Z384:AC384" si="764">C384-1000</f>
        <v>-1000</v>
      </c>
      <c r="AA384" s="132">
        <f t="shared" si="764"/>
        <v>-1000</v>
      </c>
      <c r="AB384" s="132">
        <f t="shared" si="764"/>
        <v>-1000</v>
      </c>
      <c r="AC384" s="132">
        <f t="shared" si="764"/>
        <v>-900</v>
      </c>
      <c r="AD384" s="132">
        <f t="shared" si="4"/>
        <v>-10000</v>
      </c>
      <c r="AE384" s="132">
        <f t="shared" ref="AE384:AS384" si="765">H384-1000</f>
        <v>-1000</v>
      </c>
      <c r="AF384" s="132">
        <f t="shared" si="765"/>
        <v>-1000</v>
      </c>
      <c r="AG384" s="132">
        <f t="shared" si="765"/>
        <v>-1000</v>
      </c>
      <c r="AH384" s="132">
        <f t="shared" si="765"/>
        <v>-1000</v>
      </c>
      <c r="AI384" s="132">
        <f t="shared" si="765"/>
        <v>-1000</v>
      </c>
      <c r="AJ384" s="132">
        <f t="shared" si="765"/>
        <v>-1000</v>
      </c>
      <c r="AK384" s="132">
        <f t="shared" si="765"/>
        <v>-1000</v>
      </c>
      <c r="AL384" s="132">
        <f t="shared" si="765"/>
        <v>-1000</v>
      </c>
      <c r="AM384" s="132">
        <f t="shared" si="765"/>
        <v>-1000</v>
      </c>
      <c r="AN384" s="132">
        <f t="shared" si="765"/>
        <v>-1000</v>
      </c>
      <c r="AO384" s="132">
        <f t="shared" si="765"/>
        <v>-1000</v>
      </c>
      <c r="AP384" s="132">
        <f t="shared" si="765"/>
        <v>-1000</v>
      </c>
      <c r="AQ384" s="132">
        <f t="shared" si="765"/>
        <v>-1000</v>
      </c>
      <c r="AR384" s="132">
        <f t="shared" si="765"/>
        <v>-1000</v>
      </c>
      <c r="AS384" s="132">
        <f t="shared" si="765"/>
        <v>-1000</v>
      </c>
    </row>
    <row r="385">
      <c r="A385" s="132" t="s">
        <v>3887</v>
      </c>
      <c r="B385" s="132">
        <v>100.0</v>
      </c>
      <c r="C385" s="132">
        <v>0.0</v>
      </c>
      <c r="D385" s="132">
        <v>0.0</v>
      </c>
      <c r="E385" s="132">
        <v>0.0</v>
      </c>
      <c r="F385" s="132">
        <v>100.0</v>
      </c>
      <c r="G385" s="132">
        <v>0.0</v>
      </c>
      <c r="H385" s="132">
        <v>0.0</v>
      </c>
      <c r="I385" s="132">
        <v>0.0</v>
      </c>
      <c r="J385" s="132">
        <v>0.0</v>
      </c>
      <c r="K385" s="132">
        <v>0.0</v>
      </c>
      <c r="L385" s="132">
        <v>0.0</v>
      </c>
      <c r="M385" s="132">
        <v>0.0</v>
      </c>
      <c r="N385" s="132">
        <v>0.0</v>
      </c>
      <c r="O385" s="132">
        <v>0.0</v>
      </c>
      <c r="P385" s="132">
        <v>0.0</v>
      </c>
      <c r="Q385" s="132">
        <v>0.0</v>
      </c>
      <c r="R385" s="132">
        <v>0.0</v>
      </c>
      <c r="S385" s="132">
        <v>0.0</v>
      </c>
      <c r="T385" s="132">
        <v>0.0</v>
      </c>
      <c r="U385" s="132">
        <v>0.0</v>
      </c>
      <c r="V385" s="132">
        <v>0.0</v>
      </c>
      <c r="W385" s="132">
        <v>0.0</v>
      </c>
      <c r="Y385" s="132" t="s">
        <v>3887</v>
      </c>
      <c r="Z385" s="132">
        <f t="shared" ref="Z385:AC385" si="766">C385-1000</f>
        <v>-1000</v>
      </c>
      <c r="AA385" s="132">
        <f t="shared" si="766"/>
        <v>-1000</v>
      </c>
      <c r="AB385" s="132">
        <f t="shared" si="766"/>
        <v>-1000</v>
      </c>
      <c r="AC385" s="132">
        <f t="shared" si="766"/>
        <v>-900</v>
      </c>
      <c r="AD385" s="132">
        <f t="shared" si="4"/>
        <v>-10000</v>
      </c>
      <c r="AE385" s="132">
        <f t="shared" ref="AE385:AS385" si="767">H385-1000</f>
        <v>-1000</v>
      </c>
      <c r="AF385" s="132">
        <f t="shared" si="767"/>
        <v>-1000</v>
      </c>
      <c r="AG385" s="132">
        <f t="shared" si="767"/>
        <v>-1000</v>
      </c>
      <c r="AH385" s="132">
        <f t="shared" si="767"/>
        <v>-1000</v>
      </c>
      <c r="AI385" s="132">
        <f t="shared" si="767"/>
        <v>-1000</v>
      </c>
      <c r="AJ385" s="132">
        <f t="shared" si="767"/>
        <v>-1000</v>
      </c>
      <c r="AK385" s="132">
        <f t="shared" si="767"/>
        <v>-1000</v>
      </c>
      <c r="AL385" s="132">
        <f t="shared" si="767"/>
        <v>-1000</v>
      </c>
      <c r="AM385" s="132">
        <f t="shared" si="767"/>
        <v>-1000</v>
      </c>
      <c r="AN385" s="132">
        <f t="shared" si="767"/>
        <v>-1000</v>
      </c>
      <c r="AO385" s="132">
        <f t="shared" si="767"/>
        <v>-1000</v>
      </c>
      <c r="AP385" s="132">
        <f t="shared" si="767"/>
        <v>-1000</v>
      </c>
      <c r="AQ385" s="132">
        <f t="shared" si="767"/>
        <v>-1000</v>
      </c>
      <c r="AR385" s="132">
        <f t="shared" si="767"/>
        <v>-1000</v>
      </c>
      <c r="AS385" s="132">
        <f t="shared" si="767"/>
        <v>-1000</v>
      </c>
    </row>
    <row r="386">
      <c r="A386" s="132" t="s">
        <v>3888</v>
      </c>
      <c r="B386" s="132">
        <v>120.0</v>
      </c>
      <c r="C386" s="132">
        <v>0.0</v>
      </c>
      <c r="D386" s="132">
        <v>0.0</v>
      </c>
      <c r="E386" s="132">
        <v>0.0</v>
      </c>
      <c r="F386" s="132">
        <v>120.0</v>
      </c>
      <c r="G386" s="132">
        <v>0.0</v>
      </c>
      <c r="H386" s="132">
        <v>0.0</v>
      </c>
      <c r="I386" s="132">
        <v>0.0</v>
      </c>
      <c r="J386" s="132">
        <v>0.0</v>
      </c>
      <c r="K386" s="132">
        <v>0.0</v>
      </c>
      <c r="L386" s="132">
        <v>0.0</v>
      </c>
      <c r="M386" s="132">
        <v>0.0</v>
      </c>
      <c r="N386" s="132">
        <v>0.0</v>
      </c>
      <c r="O386" s="132">
        <v>0.0</v>
      </c>
      <c r="P386" s="132">
        <v>0.0</v>
      </c>
      <c r="Q386" s="132">
        <v>0.0</v>
      </c>
      <c r="R386" s="132">
        <v>0.0</v>
      </c>
      <c r="S386" s="132">
        <v>0.0</v>
      </c>
      <c r="T386" s="132">
        <v>0.0</v>
      </c>
      <c r="U386" s="132">
        <v>0.0</v>
      </c>
      <c r="V386" s="132">
        <v>0.0</v>
      </c>
      <c r="W386" s="132">
        <v>0.0</v>
      </c>
      <c r="Y386" s="132" t="s">
        <v>3888</v>
      </c>
      <c r="Z386" s="132">
        <f t="shared" ref="Z386:AC386" si="768">C386-1000</f>
        <v>-1000</v>
      </c>
      <c r="AA386" s="132">
        <f t="shared" si="768"/>
        <v>-1000</v>
      </c>
      <c r="AB386" s="132">
        <f t="shared" si="768"/>
        <v>-1000</v>
      </c>
      <c r="AC386" s="132">
        <f t="shared" si="768"/>
        <v>-880</v>
      </c>
      <c r="AD386" s="132">
        <f t="shared" si="4"/>
        <v>-10000</v>
      </c>
      <c r="AE386" s="132">
        <f t="shared" ref="AE386:AS386" si="769">H386-1000</f>
        <v>-1000</v>
      </c>
      <c r="AF386" s="132">
        <f t="shared" si="769"/>
        <v>-1000</v>
      </c>
      <c r="AG386" s="132">
        <f t="shared" si="769"/>
        <v>-1000</v>
      </c>
      <c r="AH386" s="132">
        <f t="shared" si="769"/>
        <v>-1000</v>
      </c>
      <c r="AI386" s="132">
        <f t="shared" si="769"/>
        <v>-1000</v>
      </c>
      <c r="AJ386" s="132">
        <f t="shared" si="769"/>
        <v>-1000</v>
      </c>
      <c r="AK386" s="132">
        <f t="shared" si="769"/>
        <v>-1000</v>
      </c>
      <c r="AL386" s="132">
        <f t="shared" si="769"/>
        <v>-1000</v>
      </c>
      <c r="AM386" s="132">
        <f t="shared" si="769"/>
        <v>-1000</v>
      </c>
      <c r="AN386" s="132">
        <f t="shared" si="769"/>
        <v>-1000</v>
      </c>
      <c r="AO386" s="132">
        <f t="shared" si="769"/>
        <v>-1000</v>
      </c>
      <c r="AP386" s="132">
        <f t="shared" si="769"/>
        <v>-1000</v>
      </c>
      <c r="AQ386" s="132">
        <f t="shared" si="769"/>
        <v>-1000</v>
      </c>
      <c r="AR386" s="132">
        <f t="shared" si="769"/>
        <v>-1000</v>
      </c>
      <c r="AS386" s="132">
        <f t="shared" si="769"/>
        <v>-1000</v>
      </c>
    </row>
    <row r="387">
      <c r="A387" s="132" t="s">
        <v>3889</v>
      </c>
      <c r="B387" s="132">
        <v>250.0</v>
      </c>
      <c r="C387" s="132">
        <v>0.0</v>
      </c>
      <c r="D387" s="132">
        <v>0.0</v>
      </c>
      <c r="E387" s="132">
        <v>0.0</v>
      </c>
      <c r="F387" s="132">
        <v>250.0</v>
      </c>
      <c r="G387" s="132">
        <v>0.0</v>
      </c>
      <c r="H387" s="132">
        <v>0.0</v>
      </c>
      <c r="I387" s="132">
        <v>0.0</v>
      </c>
      <c r="J387" s="132">
        <v>0.0</v>
      </c>
      <c r="K387" s="132">
        <v>0.0</v>
      </c>
      <c r="L387" s="132">
        <v>0.0</v>
      </c>
      <c r="M387" s="132">
        <v>0.0</v>
      </c>
      <c r="N387" s="132">
        <v>0.0</v>
      </c>
      <c r="O387" s="132">
        <v>0.0</v>
      </c>
      <c r="P387" s="132">
        <v>0.0</v>
      </c>
      <c r="Q387" s="132">
        <v>0.0</v>
      </c>
      <c r="R387" s="132">
        <v>0.0</v>
      </c>
      <c r="S387" s="132">
        <v>0.0</v>
      </c>
      <c r="T387" s="132">
        <v>0.0</v>
      </c>
      <c r="U387" s="132">
        <v>0.0</v>
      </c>
      <c r="V387" s="132">
        <v>0.0</v>
      </c>
      <c r="W387" s="132">
        <v>0.0</v>
      </c>
      <c r="Y387" s="132" t="s">
        <v>3889</v>
      </c>
      <c r="Z387" s="132">
        <f t="shared" ref="Z387:AC387" si="770">C387-1000</f>
        <v>-1000</v>
      </c>
      <c r="AA387" s="132">
        <f t="shared" si="770"/>
        <v>-1000</v>
      </c>
      <c r="AB387" s="132">
        <f t="shared" si="770"/>
        <v>-1000</v>
      </c>
      <c r="AC387" s="132">
        <f t="shared" si="770"/>
        <v>-750</v>
      </c>
      <c r="AD387" s="132">
        <f t="shared" si="4"/>
        <v>-10000</v>
      </c>
      <c r="AE387" s="132">
        <f t="shared" ref="AE387:AS387" si="771">H387-1000</f>
        <v>-1000</v>
      </c>
      <c r="AF387" s="132">
        <f t="shared" si="771"/>
        <v>-1000</v>
      </c>
      <c r="AG387" s="132">
        <f t="shared" si="771"/>
        <v>-1000</v>
      </c>
      <c r="AH387" s="132">
        <f t="shared" si="771"/>
        <v>-1000</v>
      </c>
      <c r="AI387" s="132">
        <f t="shared" si="771"/>
        <v>-1000</v>
      </c>
      <c r="AJ387" s="132">
        <f t="shared" si="771"/>
        <v>-1000</v>
      </c>
      <c r="AK387" s="132">
        <f t="shared" si="771"/>
        <v>-1000</v>
      </c>
      <c r="AL387" s="132">
        <f t="shared" si="771"/>
        <v>-1000</v>
      </c>
      <c r="AM387" s="132">
        <f t="shared" si="771"/>
        <v>-1000</v>
      </c>
      <c r="AN387" s="132">
        <f t="shared" si="771"/>
        <v>-1000</v>
      </c>
      <c r="AO387" s="132">
        <f t="shared" si="771"/>
        <v>-1000</v>
      </c>
      <c r="AP387" s="132">
        <f t="shared" si="771"/>
        <v>-1000</v>
      </c>
      <c r="AQ387" s="132">
        <f t="shared" si="771"/>
        <v>-1000</v>
      </c>
      <c r="AR387" s="132">
        <f t="shared" si="771"/>
        <v>-1000</v>
      </c>
      <c r="AS387" s="132">
        <f t="shared" si="771"/>
        <v>-1000</v>
      </c>
    </row>
    <row r="388">
      <c r="A388" s="132" t="s">
        <v>3890</v>
      </c>
      <c r="B388" s="132">
        <v>450.0</v>
      </c>
      <c r="C388" s="132">
        <v>0.0</v>
      </c>
      <c r="D388" s="132">
        <v>0.0</v>
      </c>
      <c r="E388" s="132">
        <v>0.0</v>
      </c>
      <c r="F388" s="132">
        <v>450.0</v>
      </c>
      <c r="G388" s="132">
        <v>0.0</v>
      </c>
      <c r="H388" s="132">
        <v>0.0</v>
      </c>
      <c r="I388" s="132">
        <v>0.0</v>
      </c>
      <c r="J388" s="132">
        <v>0.0</v>
      </c>
      <c r="K388" s="132">
        <v>0.0</v>
      </c>
      <c r="L388" s="132">
        <v>0.0</v>
      </c>
      <c r="M388" s="132">
        <v>0.0</v>
      </c>
      <c r="N388" s="132">
        <v>0.0</v>
      </c>
      <c r="O388" s="132">
        <v>0.0</v>
      </c>
      <c r="P388" s="132">
        <v>0.0</v>
      </c>
      <c r="Q388" s="132">
        <v>0.0</v>
      </c>
      <c r="R388" s="132">
        <v>0.0</v>
      </c>
      <c r="S388" s="132">
        <v>0.0</v>
      </c>
      <c r="T388" s="132">
        <v>0.0</v>
      </c>
      <c r="U388" s="132">
        <v>0.0</v>
      </c>
      <c r="V388" s="132">
        <v>0.0</v>
      </c>
      <c r="W388" s="132">
        <v>1.0</v>
      </c>
      <c r="Y388" s="132" t="s">
        <v>3890</v>
      </c>
      <c r="Z388" s="132">
        <f t="shared" ref="Z388:AC388" si="772">C388-1000</f>
        <v>-1000</v>
      </c>
      <c r="AA388" s="132">
        <f t="shared" si="772"/>
        <v>-1000</v>
      </c>
      <c r="AB388" s="132">
        <f t="shared" si="772"/>
        <v>-1000</v>
      </c>
      <c r="AC388" s="132">
        <f t="shared" si="772"/>
        <v>-550</v>
      </c>
      <c r="AD388" s="132">
        <f t="shared" si="4"/>
        <v>-10000</v>
      </c>
      <c r="AE388" s="132">
        <f t="shared" ref="AE388:AS388" si="773">H388-1000</f>
        <v>-1000</v>
      </c>
      <c r="AF388" s="132">
        <f t="shared" si="773"/>
        <v>-1000</v>
      </c>
      <c r="AG388" s="132">
        <f t="shared" si="773"/>
        <v>-1000</v>
      </c>
      <c r="AH388" s="132">
        <f t="shared" si="773"/>
        <v>-1000</v>
      </c>
      <c r="AI388" s="132">
        <f t="shared" si="773"/>
        <v>-1000</v>
      </c>
      <c r="AJ388" s="132">
        <f t="shared" si="773"/>
        <v>-1000</v>
      </c>
      <c r="AK388" s="132">
        <f t="shared" si="773"/>
        <v>-1000</v>
      </c>
      <c r="AL388" s="132">
        <f t="shared" si="773"/>
        <v>-1000</v>
      </c>
      <c r="AM388" s="132">
        <f t="shared" si="773"/>
        <v>-1000</v>
      </c>
      <c r="AN388" s="132">
        <f t="shared" si="773"/>
        <v>-1000</v>
      </c>
      <c r="AO388" s="132">
        <f t="shared" si="773"/>
        <v>-1000</v>
      </c>
      <c r="AP388" s="132">
        <f t="shared" si="773"/>
        <v>-1000</v>
      </c>
      <c r="AQ388" s="132">
        <f t="shared" si="773"/>
        <v>-1000</v>
      </c>
      <c r="AR388" s="132">
        <f t="shared" si="773"/>
        <v>-1000</v>
      </c>
      <c r="AS388" s="132">
        <f t="shared" si="773"/>
        <v>-1000</v>
      </c>
    </row>
    <row r="389">
      <c r="A389" s="132" t="s">
        <v>3891</v>
      </c>
      <c r="B389" s="132">
        <v>1500.0</v>
      </c>
      <c r="C389" s="132">
        <v>0.0</v>
      </c>
      <c r="D389" s="132">
        <v>0.0</v>
      </c>
      <c r="E389" s="132">
        <v>0.0</v>
      </c>
      <c r="F389" s="132">
        <v>1500.0</v>
      </c>
      <c r="G389" s="132">
        <v>0.0</v>
      </c>
      <c r="H389" s="132">
        <v>0.0</v>
      </c>
      <c r="I389" s="132">
        <v>0.0</v>
      </c>
      <c r="J389" s="132">
        <v>0.0</v>
      </c>
      <c r="K389" s="132">
        <v>0.0</v>
      </c>
      <c r="L389" s="132">
        <v>0.0</v>
      </c>
      <c r="M389" s="132">
        <v>0.0</v>
      </c>
      <c r="N389" s="132">
        <v>0.0</v>
      </c>
      <c r="O389" s="132">
        <v>0.0</v>
      </c>
      <c r="P389" s="132">
        <v>0.0</v>
      </c>
      <c r="Q389" s="132">
        <v>0.0</v>
      </c>
      <c r="R389" s="132">
        <v>0.0</v>
      </c>
      <c r="S389" s="132">
        <v>0.0</v>
      </c>
      <c r="T389" s="132">
        <v>0.0</v>
      </c>
      <c r="U389" s="132">
        <v>0.0</v>
      </c>
      <c r="V389" s="132">
        <v>0.0</v>
      </c>
      <c r="W389" s="132">
        <v>0.0</v>
      </c>
      <c r="Y389" s="132" t="s">
        <v>3891</v>
      </c>
      <c r="Z389" s="132">
        <f t="shared" ref="Z389:AC389" si="774">C389-1000</f>
        <v>-1000</v>
      </c>
      <c r="AA389" s="132">
        <f t="shared" si="774"/>
        <v>-1000</v>
      </c>
      <c r="AB389" s="132">
        <f t="shared" si="774"/>
        <v>-1000</v>
      </c>
      <c r="AC389" s="132">
        <f t="shared" si="774"/>
        <v>500</v>
      </c>
      <c r="AD389" s="132">
        <f t="shared" si="4"/>
        <v>-10000</v>
      </c>
      <c r="AE389" s="132">
        <f t="shared" ref="AE389:AS389" si="775">H389-1000</f>
        <v>-1000</v>
      </c>
      <c r="AF389" s="132">
        <f t="shared" si="775"/>
        <v>-1000</v>
      </c>
      <c r="AG389" s="132">
        <f t="shared" si="775"/>
        <v>-1000</v>
      </c>
      <c r="AH389" s="132">
        <f t="shared" si="775"/>
        <v>-1000</v>
      </c>
      <c r="AI389" s="132">
        <f t="shared" si="775"/>
        <v>-1000</v>
      </c>
      <c r="AJ389" s="132">
        <f t="shared" si="775"/>
        <v>-1000</v>
      </c>
      <c r="AK389" s="132">
        <f t="shared" si="775"/>
        <v>-1000</v>
      </c>
      <c r="AL389" s="132">
        <f t="shared" si="775"/>
        <v>-1000</v>
      </c>
      <c r="AM389" s="132">
        <f t="shared" si="775"/>
        <v>-1000</v>
      </c>
      <c r="AN389" s="132">
        <f t="shared" si="775"/>
        <v>-1000</v>
      </c>
      <c r="AO389" s="132">
        <f t="shared" si="775"/>
        <v>-1000</v>
      </c>
      <c r="AP389" s="132">
        <f t="shared" si="775"/>
        <v>-1000</v>
      </c>
      <c r="AQ389" s="132">
        <f t="shared" si="775"/>
        <v>-1000</v>
      </c>
      <c r="AR389" s="132">
        <f t="shared" si="775"/>
        <v>-1000</v>
      </c>
      <c r="AS389" s="132">
        <f t="shared" si="775"/>
        <v>-1000</v>
      </c>
    </row>
    <row r="390">
      <c r="A390" s="132" t="s">
        <v>3892</v>
      </c>
      <c r="B390" s="132">
        <v>250.0</v>
      </c>
      <c r="C390" s="132">
        <v>0.0</v>
      </c>
      <c r="D390" s="132">
        <v>0.0</v>
      </c>
      <c r="E390" s="132">
        <v>0.0</v>
      </c>
      <c r="F390" s="132">
        <v>250.0</v>
      </c>
      <c r="G390" s="132">
        <v>0.0</v>
      </c>
      <c r="H390" s="132">
        <v>0.0</v>
      </c>
      <c r="I390" s="132">
        <v>0.0</v>
      </c>
      <c r="J390" s="132">
        <v>0.0</v>
      </c>
      <c r="K390" s="132">
        <v>0.0</v>
      </c>
      <c r="L390" s="132">
        <v>0.0</v>
      </c>
      <c r="M390" s="132">
        <v>0.0</v>
      </c>
      <c r="N390" s="132">
        <v>0.0</v>
      </c>
      <c r="O390" s="132">
        <v>0.0</v>
      </c>
      <c r="P390" s="132">
        <v>0.0</v>
      </c>
      <c r="Q390" s="132">
        <v>0.0</v>
      </c>
      <c r="R390" s="132">
        <v>0.0</v>
      </c>
      <c r="S390" s="132">
        <v>0.0</v>
      </c>
      <c r="T390" s="132">
        <v>0.0</v>
      </c>
      <c r="U390" s="132">
        <v>0.0</v>
      </c>
      <c r="V390" s="132">
        <v>0.0</v>
      </c>
      <c r="W390" s="132">
        <v>0.0</v>
      </c>
      <c r="Y390" s="132" t="s">
        <v>3892</v>
      </c>
      <c r="Z390" s="132">
        <f t="shared" ref="Z390:AC390" si="776">C390-1000</f>
        <v>-1000</v>
      </c>
      <c r="AA390" s="132">
        <f t="shared" si="776"/>
        <v>-1000</v>
      </c>
      <c r="AB390" s="132">
        <f t="shared" si="776"/>
        <v>-1000</v>
      </c>
      <c r="AC390" s="132">
        <f t="shared" si="776"/>
        <v>-750</v>
      </c>
      <c r="AD390" s="132">
        <f t="shared" si="4"/>
        <v>-10000</v>
      </c>
      <c r="AE390" s="132">
        <f t="shared" ref="AE390:AS390" si="777">H390-1000</f>
        <v>-1000</v>
      </c>
      <c r="AF390" s="132">
        <f t="shared" si="777"/>
        <v>-1000</v>
      </c>
      <c r="AG390" s="132">
        <f t="shared" si="777"/>
        <v>-1000</v>
      </c>
      <c r="AH390" s="132">
        <f t="shared" si="777"/>
        <v>-1000</v>
      </c>
      <c r="AI390" s="132">
        <f t="shared" si="777"/>
        <v>-1000</v>
      </c>
      <c r="AJ390" s="132">
        <f t="shared" si="777"/>
        <v>-1000</v>
      </c>
      <c r="AK390" s="132">
        <f t="shared" si="777"/>
        <v>-1000</v>
      </c>
      <c r="AL390" s="132">
        <f t="shared" si="777"/>
        <v>-1000</v>
      </c>
      <c r="AM390" s="132">
        <f t="shared" si="777"/>
        <v>-1000</v>
      </c>
      <c r="AN390" s="132">
        <f t="shared" si="777"/>
        <v>-1000</v>
      </c>
      <c r="AO390" s="132">
        <f t="shared" si="777"/>
        <v>-1000</v>
      </c>
      <c r="AP390" s="132">
        <f t="shared" si="777"/>
        <v>-1000</v>
      </c>
      <c r="AQ390" s="132">
        <f t="shared" si="777"/>
        <v>-1000</v>
      </c>
      <c r="AR390" s="132">
        <f t="shared" si="777"/>
        <v>-1000</v>
      </c>
      <c r="AS390" s="132">
        <f t="shared" si="777"/>
        <v>-1000</v>
      </c>
    </row>
    <row r="391">
      <c r="A391" s="132" t="s">
        <v>3893</v>
      </c>
      <c r="B391" s="132">
        <v>600.0</v>
      </c>
      <c r="C391" s="132">
        <v>500.0</v>
      </c>
      <c r="D391" s="132">
        <v>0.0</v>
      </c>
      <c r="E391" s="132">
        <v>0.0</v>
      </c>
      <c r="F391" s="132">
        <v>100.0</v>
      </c>
      <c r="G391" s="132">
        <v>0.0</v>
      </c>
      <c r="H391" s="132">
        <v>0.0</v>
      </c>
      <c r="I391" s="132">
        <v>0.0</v>
      </c>
      <c r="J391" s="132">
        <v>0.0</v>
      </c>
      <c r="K391" s="132">
        <v>0.0</v>
      </c>
      <c r="L391" s="132">
        <v>0.0</v>
      </c>
      <c r="M391" s="132">
        <v>0.0</v>
      </c>
      <c r="N391" s="132">
        <v>0.0</v>
      </c>
      <c r="O391" s="132">
        <v>0.0</v>
      </c>
      <c r="P391" s="132">
        <v>0.0</v>
      </c>
      <c r="Q391" s="132">
        <v>0.0</v>
      </c>
      <c r="R391" s="132">
        <v>0.0</v>
      </c>
      <c r="S391" s="132">
        <v>0.0</v>
      </c>
      <c r="T391" s="132">
        <v>0.0</v>
      </c>
      <c r="U391" s="132">
        <v>0.0</v>
      </c>
      <c r="V391" s="132">
        <v>0.0</v>
      </c>
      <c r="W391" s="132">
        <v>1.0</v>
      </c>
      <c r="Y391" s="132" t="s">
        <v>3893</v>
      </c>
      <c r="Z391" s="132">
        <f t="shared" ref="Z391:AC391" si="778">C391-1000</f>
        <v>-500</v>
      </c>
      <c r="AA391" s="132">
        <f t="shared" si="778"/>
        <v>-1000</v>
      </c>
      <c r="AB391" s="132">
        <f t="shared" si="778"/>
        <v>-1000</v>
      </c>
      <c r="AC391" s="132">
        <f t="shared" si="778"/>
        <v>-900</v>
      </c>
      <c r="AD391" s="132">
        <f t="shared" si="4"/>
        <v>-10000</v>
      </c>
      <c r="AE391" s="132">
        <f t="shared" ref="AE391:AS391" si="779">H391-1000</f>
        <v>-1000</v>
      </c>
      <c r="AF391" s="132">
        <f t="shared" si="779"/>
        <v>-1000</v>
      </c>
      <c r="AG391" s="132">
        <f t="shared" si="779"/>
        <v>-1000</v>
      </c>
      <c r="AH391" s="132">
        <f t="shared" si="779"/>
        <v>-1000</v>
      </c>
      <c r="AI391" s="132">
        <f t="shared" si="779"/>
        <v>-1000</v>
      </c>
      <c r="AJ391" s="132">
        <f t="shared" si="779"/>
        <v>-1000</v>
      </c>
      <c r="AK391" s="132">
        <f t="shared" si="779"/>
        <v>-1000</v>
      </c>
      <c r="AL391" s="132">
        <f t="shared" si="779"/>
        <v>-1000</v>
      </c>
      <c r="AM391" s="132">
        <f t="shared" si="779"/>
        <v>-1000</v>
      </c>
      <c r="AN391" s="132">
        <f t="shared" si="779"/>
        <v>-1000</v>
      </c>
      <c r="AO391" s="132">
        <f t="shared" si="779"/>
        <v>-1000</v>
      </c>
      <c r="AP391" s="132">
        <f t="shared" si="779"/>
        <v>-1000</v>
      </c>
      <c r="AQ391" s="132">
        <f t="shared" si="779"/>
        <v>-1000</v>
      </c>
      <c r="AR391" s="132">
        <f t="shared" si="779"/>
        <v>-1000</v>
      </c>
      <c r="AS391" s="132">
        <f t="shared" si="779"/>
        <v>-1000</v>
      </c>
    </row>
    <row r="392">
      <c r="A392" s="132" t="s">
        <v>3894</v>
      </c>
      <c r="B392" s="132">
        <v>100.0</v>
      </c>
      <c r="C392" s="132">
        <v>0.0</v>
      </c>
      <c r="D392" s="132">
        <v>0.0</v>
      </c>
      <c r="E392" s="132">
        <v>0.0</v>
      </c>
      <c r="F392" s="132">
        <v>100.0</v>
      </c>
      <c r="G392" s="132">
        <v>0.0</v>
      </c>
      <c r="H392" s="132">
        <v>0.0</v>
      </c>
      <c r="I392" s="132">
        <v>0.0</v>
      </c>
      <c r="J392" s="132">
        <v>0.0</v>
      </c>
      <c r="K392" s="132">
        <v>0.0</v>
      </c>
      <c r="L392" s="132">
        <v>0.0</v>
      </c>
      <c r="M392" s="132">
        <v>0.0</v>
      </c>
      <c r="N392" s="132">
        <v>0.0</v>
      </c>
      <c r="O392" s="132">
        <v>0.0</v>
      </c>
      <c r="P392" s="132">
        <v>0.0</v>
      </c>
      <c r="Q392" s="132">
        <v>0.0</v>
      </c>
      <c r="R392" s="132">
        <v>0.0</v>
      </c>
      <c r="S392" s="132">
        <v>0.0</v>
      </c>
      <c r="T392" s="132">
        <v>0.0</v>
      </c>
      <c r="U392" s="132">
        <v>0.0</v>
      </c>
      <c r="V392" s="132">
        <v>0.0</v>
      </c>
      <c r="W392" s="132">
        <v>0.0</v>
      </c>
      <c r="Y392" s="132" t="s">
        <v>3894</v>
      </c>
      <c r="Z392" s="132">
        <f t="shared" ref="Z392:AC392" si="780">C392-1000</f>
        <v>-1000</v>
      </c>
      <c r="AA392" s="132">
        <f t="shared" si="780"/>
        <v>-1000</v>
      </c>
      <c r="AB392" s="132">
        <f t="shared" si="780"/>
        <v>-1000</v>
      </c>
      <c r="AC392" s="132">
        <f t="shared" si="780"/>
        <v>-900</v>
      </c>
      <c r="AD392" s="132">
        <f t="shared" si="4"/>
        <v>-10000</v>
      </c>
      <c r="AE392" s="132">
        <f t="shared" ref="AE392:AS392" si="781">H392-1000</f>
        <v>-1000</v>
      </c>
      <c r="AF392" s="132">
        <f t="shared" si="781"/>
        <v>-1000</v>
      </c>
      <c r="AG392" s="132">
        <f t="shared" si="781"/>
        <v>-1000</v>
      </c>
      <c r="AH392" s="132">
        <f t="shared" si="781"/>
        <v>-1000</v>
      </c>
      <c r="AI392" s="132">
        <f t="shared" si="781"/>
        <v>-1000</v>
      </c>
      <c r="AJ392" s="132">
        <f t="shared" si="781"/>
        <v>-1000</v>
      </c>
      <c r="AK392" s="132">
        <f t="shared" si="781"/>
        <v>-1000</v>
      </c>
      <c r="AL392" s="132">
        <f t="shared" si="781"/>
        <v>-1000</v>
      </c>
      <c r="AM392" s="132">
        <f t="shared" si="781"/>
        <v>-1000</v>
      </c>
      <c r="AN392" s="132">
        <f t="shared" si="781"/>
        <v>-1000</v>
      </c>
      <c r="AO392" s="132">
        <f t="shared" si="781"/>
        <v>-1000</v>
      </c>
      <c r="AP392" s="132">
        <f t="shared" si="781"/>
        <v>-1000</v>
      </c>
      <c r="AQ392" s="132">
        <f t="shared" si="781"/>
        <v>-1000</v>
      </c>
      <c r="AR392" s="132">
        <f t="shared" si="781"/>
        <v>-1000</v>
      </c>
      <c r="AS392" s="132">
        <f t="shared" si="781"/>
        <v>-1000</v>
      </c>
    </row>
    <row r="393">
      <c r="A393" s="132" t="s">
        <v>3895</v>
      </c>
      <c r="B393" s="132">
        <v>5000.0</v>
      </c>
      <c r="C393" s="132">
        <v>0.0</v>
      </c>
      <c r="D393" s="132">
        <v>0.0</v>
      </c>
      <c r="E393" s="132">
        <v>1000.0</v>
      </c>
      <c r="F393" s="132">
        <v>1000.0</v>
      </c>
      <c r="G393" s="132">
        <v>0.0</v>
      </c>
      <c r="H393" s="132">
        <v>0.0</v>
      </c>
      <c r="I393" s="132">
        <v>1000.0</v>
      </c>
      <c r="J393" s="132">
        <v>0.0</v>
      </c>
      <c r="K393" s="132">
        <v>1000.0</v>
      </c>
      <c r="L393" s="132">
        <v>1000.0</v>
      </c>
      <c r="M393" s="132">
        <v>0.0</v>
      </c>
      <c r="N393" s="132">
        <v>0.0</v>
      </c>
      <c r="O393" s="132">
        <v>0.0</v>
      </c>
      <c r="P393" s="132">
        <v>0.0</v>
      </c>
      <c r="Q393" s="132">
        <v>0.0</v>
      </c>
      <c r="R393" s="132">
        <v>0.0</v>
      </c>
      <c r="S393" s="132">
        <v>0.0</v>
      </c>
      <c r="T393" s="132">
        <v>0.0</v>
      </c>
      <c r="U393" s="132">
        <v>0.0</v>
      </c>
      <c r="V393" s="132">
        <v>0.0</v>
      </c>
      <c r="W393" s="132">
        <v>1.0</v>
      </c>
      <c r="Y393" s="132" t="s">
        <v>3895</v>
      </c>
      <c r="Z393" s="132">
        <f t="shared" ref="Z393:AC393" si="782">C393-1000</f>
        <v>-1000</v>
      </c>
      <c r="AA393" s="132">
        <f t="shared" si="782"/>
        <v>-1000</v>
      </c>
      <c r="AB393" s="132">
        <f t="shared" si="782"/>
        <v>0</v>
      </c>
      <c r="AC393" s="132">
        <f t="shared" si="782"/>
        <v>0</v>
      </c>
      <c r="AD393" s="132">
        <f t="shared" si="4"/>
        <v>-10000</v>
      </c>
      <c r="AE393" s="132">
        <f t="shared" ref="AE393:AS393" si="783">H393-1000</f>
        <v>-1000</v>
      </c>
      <c r="AF393" s="132">
        <f t="shared" si="783"/>
        <v>0</v>
      </c>
      <c r="AG393" s="132">
        <f t="shared" si="783"/>
        <v>-1000</v>
      </c>
      <c r="AH393" s="132">
        <f t="shared" si="783"/>
        <v>0</v>
      </c>
      <c r="AI393" s="132">
        <f t="shared" si="783"/>
        <v>0</v>
      </c>
      <c r="AJ393" s="132">
        <f t="shared" si="783"/>
        <v>-1000</v>
      </c>
      <c r="AK393" s="132">
        <f t="shared" si="783"/>
        <v>-1000</v>
      </c>
      <c r="AL393" s="132">
        <f t="shared" si="783"/>
        <v>-1000</v>
      </c>
      <c r="AM393" s="132">
        <f t="shared" si="783"/>
        <v>-1000</v>
      </c>
      <c r="AN393" s="132">
        <f t="shared" si="783"/>
        <v>-1000</v>
      </c>
      <c r="AO393" s="132">
        <f t="shared" si="783"/>
        <v>-1000</v>
      </c>
      <c r="AP393" s="132">
        <f t="shared" si="783"/>
        <v>-1000</v>
      </c>
      <c r="AQ393" s="132">
        <f t="shared" si="783"/>
        <v>-1000</v>
      </c>
      <c r="AR393" s="132">
        <f t="shared" si="783"/>
        <v>-1000</v>
      </c>
      <c r="AS393" s="132">
        <f t="shared" si="783"/>
        <v>-1000</v>
      </c>
    </row>
    <row r="394">
      <c r="A394" s="132" t="s">
        <v>3896</v>
      </c>
      <c r="B394" s="132">
        <v>50.0</v>
      </c>
      <c r="C394" s="132">
        <v>0.0</v>
      </c>
      <c r="D394" s="132">
        <v>0.0</v>
      </c>
      <c r="E394" s="132">
        <v>0.0</v>
      </c>
      <c r="F394" s="132">
        <v>50.0</v>
      </c>
      <c r="G394" s="132">
        <v>0.0</v>
      </c>
      <c r="H394" s="132">
        <v>0.0</v>
      </c>
      <c r="I394" s="132">
        <v>0.0</v>
      </c>
      <c r="J394" s="132">
        <v>0.0</v>
      </c>
      <c r="K394" s="132">
        <v>0.0</v>
      </c>
      <c r="L394" s="132">
        <v>0.0</v>
      </c>
      <c r="M394" s="132">
        <v>0.0</v>
      </c>
      <c r="N394" s="132">
        <v>0.0</v>
      </c>
      <c r="O394" s="132">
        <v>0.0</v>
      </c>
      <c r="P394" s="132">
        <v>0.0</v>
      </c>
      <c r="Q394" s="132">
        <v>0.0</v>
      </c>
      <c r="R394" s="132">
        <v>0.0</v>
      </c>
      <c r="S394" s="132">
        <v>0.0</v>
      </c>
      <c r="T394" s="132">
        <v>0.0</v>
      </c>
      <c r="U394" s="132">
        <v>0.0</v>
      </c>
      <c r="V394" s="132">
        <v>0.0</v>
      </c>
      <c r="W394" s="132">
        <v>0.0</v>
      </c>
      <c r="Y394" s="132" t="s">
        <v>3896</v>
      </c>
      <c r="Z394" s="132">
        <f t="shared" ref="Z394:AC394" si="784">C394-1000</f>
        <v>-1000</v>
      </c>
      <c r="AA394" s="132">
        <f t="shared" si="784"/>
        <v>-1000</v>
      </c>
      <c r="AB394" s="132">
        <f t="shared" si="784"/>
        <v>-1000</v>
      </c>
      <c r="AC394" s="132">
        <f t="shared" si="784"/>
        <v>-950</v>
      </c>
      <c r="AD394" s="132">
        <f t="shared" si="4"/>
        <v>-10000</v>
      </c>
      <c r="AE394" s="132">
        <f t="shared" ref="AE394:AS394" si="785">H394-1000</f>
        <v>-1000</v>
      </c>
      <c r="AF394" s="132">
        <f t="shared" si="785"/>
        <v>-1000</v>
      </c>
      <c r="AG394" s="132">
        <f t="shared" si="785"/>
        <v>-1000</v>
      </c>
      <c r="AH394" s="132">
        <f t="shared" si="785"/>
        <v>-1000</v>
      </c>
      <c r="AI394" s="132">
        <f t="shared" si="785"/>
        <v>-1000</v>
      </c>
      <c r="AJ394" s="132">
        <f t="shared" si="785"/>
        <v>-1000</v>
      </c>
      <c r="AK394" s="132">
        <f t="shared" si="785"/>
        <v>-1000</v>
      </c>
      <c r="AL394" s="132">
        <f t="shared" si="785"/>
        <v>-1000</v>
      </c>
      <c r="AM394" s="132">
        <f t="shared" si="785"/>
        <v>-1000</v>
      </c>
      <c r="AN394" s="132">
        <f t="shared" si="785"/>
        <v>-1000</v>
      </c>
      <c r="AO394" s="132">
        <f t="shared" si="785"/>
        <v>-1000</v>
      </c>
      <c r="AP394" s="132">
        <f t="shared" si="785"/>
        <v>-1000</v>
      </c>
      <c r="AQ394" s="132">
        <f t="shared" si="785"/>
        <v>-1000</v>
      </c>
      <c r="AR394" s="132">
        <f t="shared" si="785"/>
        <v>-1000</v>
      </c>
      <c r="AS394" s="132">
        <f t="shared" si="785"/>
        <v>-1000</v>
      </c>
    </row>
    <row r="395">
      <c r="A395" s="132" t="s">
        <v>3897</v>
      </c>
      <c r="B395" s="132">
        <v>50.0</v>
      </c>
      <c r="C395" s="132">
        <v>0.0</v>
      </c>
      <c r="D395" s="132">
        <v>0.0</v>
      </c>
      <c r="E395" s="132">
        <v>0.0</v>
      </c>
      <c r="F395" s="132">
        <v>50.0</v>
      </c>
      <c r="G395" s="132">
        <v>0.0</v>
      </c>
      <c r="H395" s="132">
        <v>0.0</v>
      </c>
      <c r="I395" s="132">
        <v>0.0</v>
      </c>
      <c r="J395" s="132">
        <v>0.0</v>
      </c>
      <c r="K395" s="132">
        <v>0.0</v>
      </c>
      <c r="L395" s="132">
        <v>0.0</v>
      </c>
      <c r="M395" s="132">
        <v>0.0</v>
      </c>
      <c r="N395" s="132">
        <v>0.0</v>
      </c>
      <c r="O395" s="132">
        <v>0.0</v>
      </c>
      <c r="P395" s="132">
        <v>0.0</v>
      </c>
      <c r="Q395" s="132">
        <v>0.0</v>
      </c>
      <c r="R395" s="132">
        <v>0.0</v>
      </c>
      <c r="S395" s="132">
        <v>0.0</v>
      </c>
      <c r="T395" s="132">
        <v>0.0</v>
      </c>
      <c r="U395" s="132">
        <v>0.0</v>
      </c>
      <c r="V395" s="132">
        <v>0.0</v>
      </c>
      <c r="W395" s="132">
        <v>0.0</v>
      </c>
      <c r="Y395" s="132" t="s">
        <v>3897</v>
      </c>
      <c r="Z395" s="132">
        <f t="shared" ref="Z395:AC395" si="786">C395-1000</f>
        <v>-1000</v>
      </c>
      <c r="AA395" s="132">
        <f t="shared" si="786"/>
        <v>-1000</v>
      </c>
      <c r="AB395" s="132">
        <f t="shared" si="786"/>
        <v>-1000</v>
      </c>
      <c r="AC395" s="132">
        <f t="shared" si="786"/>
        <v>-950</v>
      </c>
      <c r="AD395" s="132">
        <f t="shared" si="4"/>
        <v>-10000</v>
      </c>
      <c r="AE395" s="132">
        <f t="shared" ref="AE395:AS395" si="787">H395-1000</f>
        <v>-1000</v>
      </c>
      <c r="AF395" s="132">
        <f t="shared" si="787"/>
        <v>-1000</v>
      </c>
      <c r="AG395" s="132">
        <f t="shared" si="787"/>
        <v>-1000</v>
      </c>
      <c r="AH395" s="132">
        <f t="shared" si="787"/>
        <v>-1000</v>
      </c>
      <c r="AI395" s="132">
        <f t="shared" si="787"/>
        <v>-1000</v>
      </c>
      <c r="AJ395" s="132">
        <f t="shared" si="787"/>
        <v>-1000</v>
      </c>
      <c r="AK395" s="132">
        <f t="shared" si="787"/>
        <v>-1000</v>
      </c>
      <c r="AL395" s="132">
        <f t="shared" si="787"/>
        <v>-1000</v>
      </c>
      <c r="AM395" s="132">
        <f t="shared" si="787"/>
        <v>-1000</v>
      </c>
      <c r="AN395" s="132">
        <f t="shared" si="787"/>
        <v>-1000</v>
      </c>
      <c r="AO395" s="132">
        <f t="shared" si="787"/>
        <v>-1000</v>
      </c>
      <c r="AP395" s="132">
        <f t="shared" si="787"/>
        <v>-1000</v>
      </c>
      <c r="AQ395" s="132">
        <f t="shared" si="787"/>
        <v>-1000</v>
      </c>
      <c r="AR395" s="132">
        <f t="shared" si="787"/>
        <v>-1000</v>
      </c>
      <c r="AS395" s="132">
        <f t="shared" si="787"/>
        <v>-1000</v>
      </c>
    </row>
    <row r="396">
      <c r="A396" s="132" t="s">
        <v>3898</v>
      </c>
      <c r="B396" s="132">
        <v>250.0</v>
      </c>
      <c r="C396" s="132">
        <v>0.0</v>
      </c>
      <c r="D396" s="132">
        <v>0.0</v>
      </c>
      <c r="E396" s="132">
        <v>0.0</v>
      </c>
      <c r="F396" s="132">
        <v>250.0</v>
      </c>
      <c r="G396" s="132">
        <v>0.0</v>
      </c>
      <c r="H396" s="132">
        <v>0.0</v>
      </c>
      <c r="I396" s="132">
        <v>0.0</v>
      </c>
      <c r="J396" s="132">
        <v>0.0</v>
      </c>
      <c r="K396" s="132">
        <v>0.0</v>
      </c>
      <c r="L396" s="132">
        <v>0.0</v>
      </c>
      <c r="M396" s="132">
        <v>0.0</v>
      </c>
      <c r="N396" s="132">
        <v>0.0</v>
      </c>
      <c r="O396" s="132">
        <v>0.0</v>
      </c>
      <c r="P396" s="132">
        <v>0.0</v>
      </c>
      <c r="Q396" s="132">
        <v>0.0</v>
      </c>
      <c r="R396" s="132">
        <v>0.0</v>
      </c>
      <c r="S396" s="132">
        <v>0.0</v>
      </c>
      <c r="T396" s="132">
        <v>0.0</v>
      </c>
      <c r="U396" s="132">
        <v>0.0</v>
      </c>
      <c r="V396" s="132">
        <v>0.0</v>
      </c>
      <c r="W396" s="132">
        <v>1.0</v>
      </c>
      <c r="Y396" s="132" t="s">
        <v>3898</v>
      </c>
      <c r="Z396" s="132">
        <f t="shared" ref="Z396:AC396" si="788">C396-1000</f>
        <v>-1000</v>
      </c>
      <c r="AA396" s="132">
        <f t="shared" si="788"/>
        <v>-1000</v>
      </c>
      <c r="AB396" s="132">
        <f t="shared" si="788"/>
        <v>-1000</v>
      </c>
      <c r="AC396" s="132">
        <f t="shared" si="788"/>
        <v>-750</v>
      </c>
      <c r="AD396" s="132">
        <f t="shared" si="4"/>
        <v>-10000</v>
      </c>
      <c r="AE396" s="132">
        <f t="shared" ref="AE396:AS396" si="789">H396-1000</f>
        <v>-1000</v>
      </c>
      <c r="AF396" s="132">
        <f t="shared" si="789"/>
        <v>-1000</v>
      </c>
      <c r="AG396" s="132">
        <f t="shared" si="789"/>
        <v>-1000</v>
      </c>
      <c r="AH396" s="132">
        <f t="shared" si="789"/>
        <v>-1000</v>
      </c>
      <c r="AI396" s="132">
        <f t="shared" si="789"/>
        <v>-1000</v>
      </c>
      <c r="AJ396" s="132">
        <f t="shared" si="789"/>
        <v>-1000</v>
      </c>
      <c r="AK396" s="132">
        <f t="shared" si="789"/>
        <v>-1000</v>
      </c>
      <c r="AL396" s="132">
        <f t="shared" si="789"/>
        <v>-1000</v>
      </c>
      <c r="AM396" s="132">
        <f t="shared" si="789"/>
        <v>-1000</v>
      </c>
      <c r="AN396" s="132">
        <f t="shared" si="789"/>
        <v>-1000</v>
      </c>
      <c r="AO396" s="132">
        <f t="shared" si="789"/>
        <v>-1000</v>
      </c>
      <c r="AP396" s="132">
        <f t="shared" si="789"/>
        <v>-1000</v>
      </c>
      <c r="AQ396" s="132">
        <f t="shared" si="789"/>
        <v>-1000</v>
      </c>
      <c r="AR396" s="132">
        <f t="shared" si="789"/>
        <v>-1000</v>
      </c>
      <c r="AS396" s="132">
        <f t="shared" si="789"/>
        <v>-1000</v>
      </c>
    </row>
    <row r="397">
      <c r="A397" s="132" t="s">
        <v>3899</v>
      </c>
      <c r="B397" s="132">
        <v>1000.0</v>
      </c>
      <c r="C397" s="132">
        <v>0.0</v>
      </c>
      <c r="D397" s="132">
        <v>0.0</v>
      </c>
      <c r="E397" s="132">
        <v>0.0</v>
      </c>
      <c r="F397" s="132">
        <v>1000.0</v>
      </c>
      <c r="G397" s="132">
        <v>0.0</v>
      </c>
      <c r="H397" s="132">
        <v>0.0</v>
      </c>
      <c r="I397" s="132">
        <v>0.0</v>
      </c>
      <c r="J397" s="132">
        <v>0.0</v>
      </c>
      <c r="K397" s="132">
        <v>0.0</v>
      </c>
      <c r="L397" s="132">
        <v>0.0</v>
      </c>
      <c r="M397" s="132">
        <v>0.0</v>
      </c>
      <c r="N397" s="132">
        <v>0.0</v>
      </c>
      <c r="O397" s="132">
        <v>0.0</v>
      </c>
      <c r="P397" s="132">
        <v>0.0</v>
      </c>
      <c r="Q397" s="132">
        <v>0.0</v>
      </c>
      <c r="R397" s="132">
        <v>0.0</v>
      </c>
      <c r="S397" s="132">
        <v>0.0</v>
      </c>
      <c r="T397" s="132">
        <v>0.0</v>
      </c>
      <c r="U397" s="132">
        <v>0.0</v>
      </c>
      <c r="V397" s="132">
        <v>0.0</v>
      </c>
      <c r="W397" s="132">
        <v>0.0</v>
      </c>
      <c r="Y397" s="132" t="s">
        <v>3899</v>
      </c>
      <c r="Z397" s="132">
        <f t="shared" ref="Z397:AC397" si="790">C397-1000</f>
        <v>-1000</v>
      </c>
      <c r="AA397" s="132">
        <f t="shared" si="790"/>
        <v>-1000</v>
      </c>
      <c r="AB397" s="132">
        <f t="shared" si="790"/>
        <v>-1000</v>
      </c>
      <c r="AC397" s="132">
        <f t="shared" si="790"/>
        <v>0</v>
      </c>
      <c r="AD397" s="132">
        <f t="shared" si="4"/>
        <v>-10000</v>
      </c>
      <c r="AE397" s="132">
        <f t="shared" ref="AE397:AS397" si="791">H397-1000</f>
        <v>-1000</v>
      </c>
      <c r="AF397" s="132">
        <f t="shared" si="791"/>
        <v>-1000</v>
      </c>
      <c r="AG397" s="132">
        <f t="shared" si="791"/>
        <v>-1000</v>
      </c>
      <c r="AH397" s="132">
        <f t="shared" si="791"/>
        <v>-1000</v>
      </c>
      <c r="AI397" s="132">
        <f t="shared" si="791"/>
        <v>-1000</v>
      </c>
      <c r="AJ397" s="132">
        <f t="shared" si="791"/>
        <v>-1000</v>
      </c>
      <c r="AK397" s="132">
        <f t="shared" si="791"/>
        <v>-1000</v>
      </c>
      <c r="AL397" s="132">
        <f t="shared" si="791"/>
        <v>-1000</v>
      </c>
      <c r="AM397" s="132">
        <f t="shared" si="791"/>
        <v>-1000</v>
      </c>
      <c r="AN397" s="132">
        <f t="shared" si="791"/>
        <v>-1000</v>
      </c>
      <c r="AO397" s="132">
        <f t="shared" si="791"/>
        <v>-1000</v>
      </c>
      <c r="AP397" s="132">
        <f t="shared" si="791"/>
        <v>-1000</v>
      </c>
      <c r="AQ397" s="132">
        <f t="shared" si="791"/>
        <v>-1000</v>
      </c>
      <c r="AR397" s="132">
        <f t="shared" si="791"/>
        <v>-1000</v>
      </c>
      <c r="AS397" s="132">
        <f t="shared" si="791"/>
        <v>-1000</v>
      </c>
    </row>
    <row r="398">
      <c r="A398" s="132" t="s">
        <v>3900</v>
      </c>
      <c r="B398" s="132">
        <v>50.0</v>
      </c>
      <c r="C398" s="132">
        <v>0.0</v>
      </c>
      <c r="D398" s="132">
        <v>0.0</v>
      </c>
      <c r="E398" s="132">
        <v>0.0</v>
      </c>
      <c r="F398" s="132">
        <v>50.0</v>
      </c>
      <c r="G398" s="132">
        <v>0.0</v>
      </c>
      <c r="H398" s="132">
        <v>0.0</v>
      </c>
      <c r="I398" s="132">
        <v>0.0</v>
      </c>
      <c r="J398" s="132">
        <v>0.0</v>
      </c>
      <c r="K398" s="132">
        <v>0.0</v>
      </c>
      <c r="L398" s="132">
        <v>0.0</v>
      </c>
      <c r="M398" s="132">
        <v>0.0</v>
      </c>
      <c r="N398" s="132">
        <v>0.0</v>
      </c>
      <c r="O398" s="132">
        <v>0.0</v>
      </c>
      <c r="P398" s="132">
        <v>0.0</v>
      </c>
      <c r="Q398" s="132">
        <v>0.0</v>
      </c>
      <c r="R398" s="132">
        <v>0.0</v>
      </c>
      <c r="S398" s="132">
        <v>0.0</v>
      </c>
      <c r="T398" s="132">
        <v>0.0</v>
      </c>
      <c r="U398" s="132">
        <v>0.0</v>
      </c>
      <c r="V398" s="132">
        <v>0.0</v>
      </c>
      <c r="W398" s="132">
        <v>0.0</v>
      </c>
      <c r="Y398" s="132" t="s">
        <v>3900</v>
      </c>
      <c r="Z398" s="132">
        <f t="shared" ref="Z398:AC398" si="792">C398-1000</f>
        <v>-1000</v>
      </c>
      <c r="AA398" s="132">
        <f t="shared" si="792"/>
        <v>-1000</v>
      </c>
      <c r="AB398" s="132">
        <f t="shared" si="792"/>
        <v>-1000</v>
      </c>
      <c r="AC398" s="132">
        <f t="shared" si="792"/>
        <v>-950</v>
      </c>
      <c r="AD398" s="132">
        <f t="shared" si="4"/>
        <v>-10000</v>
      </c>
      <c r="AE398" s="132">
        <f t="shared" ref="AE398:AS398" si="793">H398-1000</f>
        <v>-1000</v>
      </c>
      <c r="AF398" s="132">
        <f t="shared" si="793"/>
        <v>-1000</v>
      </c>
      <c r="AG398" s="132">
        <f t="shared" si="793"/>
        <v>-1000</v>
      </c>
      <c r="AH398" s="132">
        <f t="shared" si="793"/>
        <v>-1000</v>
      </c>
      <c r="AI398" s="132">
        <f t="shared" si="793"/>
        <v>-1000</v>
      </c>
      <c r="AJ398" s="132">
        <f t="shared" si="793"/>
        <v>-1000</v>
      </c>
      <c r="AK398" s="132">
        <f t="shared" si="793"/>
        <v>-1000</v>
      </c>
      <c r="AL398" s="132">
        <f t="shared" si="793"/>
        <v>-1000</v>
      </c>
      <c r="AM398" s="132">
        <f t="shared" si="793"/>
        <v>-1000</v>
      </c>
      <c r="AN398" s="132">
        <f t="shared" si="793"/>
        <v>-1000</v>
      </c>
      <c r="AO398" s="132">
        <f t="shared" si="793"/>
        <v>-1000</v>
      </c>
      <c r="AP398" s="132">
        <f t="shared" si="793"/>
        <v>-1000</v>
      </c>
      <c r="AQ398" s="132">
        <f t="shared" si="793"/>
        <v>-1000</v>
      </c>
      <c r="AR398" s="132">
        <f t="shared" si="793"/>
        <v>-1000</v>
      </c>
      <c r="AS398" s="132">
        <f t="shared" si="793"/>
        <v>-1000</v>
      </c>
    </row>
    <row r="399">
      <c r="A399" s="132" t="s">
        <v>3901</v>
      </c>
      <c r="B399" s="132">
        <v>350.0</v>
      </c>
      <c r="C399" s="132">
        <v>0.0</v>
      </c>
      <c r="D399" s="132">
        <v>0.0</v>
      </c>
      <c r="E399" s="132">
        <v>0.0</v>
      </c>
      <c r="F399" s="132">
        <v>350.0</v>
      </c>
      <c r="G399" s="132">
        <v>0.0</v>
      </c>
      <c r="H399" s="132">
        <v>0.0</v>
      </c>
      <c r="I399" s="132">
        <v>0.0</v>
      </c>
      <c r="J399" s="132">
        <v>0.0</v>
      </c>
      <c r="K399" s="132">
        <v>0.0</v>
      </c>
      <c r="L399" s="132">
        <v>0.0</v>
      </c>
      <c r="M399" s="132">
        <v>0.0</v>
      </c>
      <c r="N399" s="132">
        <v>0.0</v>
      </c>
      <c r="O399" s="132">
        <v>0.0</v>
      </c>
      <c r="P399" s="132">
        <v>0.0</v>
      </c>
      <c r="Q399" s="132">
        <v>0.0</v>
      </c>
      <c r="R399" s="132">
        <v>0.0</v>
      </c>
      <c r="S399" s="132">
        <v>0.0</v>
      </c>
      <c r="T399" s="132">
        <v>0.0</v>
      </c>
      <c r="U399" s="132">
        <v>0.0</v>
      </c>
      <c r="V399" s="132">
        <v>0.0</v>
      </c>
      <c r="W399" s="132">
        <v>0.0</v>
      </c>
      <c r="Y399" s="132" t="s">
        <v>3901</v>
      </c>
      <c r="Z399" s="132">
        <f t="shared" ref="Z399:AC399" si="794">C399-1000</f>
        <v>-1000</v>
      </c>
      <c r="AA399" s="132">
        <f t="shared" si="794"/>
        <v>-1000</v>
      </c>
      <c r="AB399" s="132">
        <f t="shared" si="794"/>
        <v>-1000</v>
      </c>
      <c r="AC399" s="132">
        <f t="shared" si="794"/>
        <v>-650</v>
      </c>
      <c r="AD399" s="132">
        <f t="shared" si="4"/>
        <v>-10000</v>
      </c>
      <c r="AE399" s="132">
        <f t="shared" ref="AE399:AS399" si="795">H399-1000</f>
        <v>-1000</v>
      </c>
      <c r="AF399" s="132">
        <f t="shared" si="795"/>
        <v>-1000</v>
      </c>
      <c r="AG399" s="132">
        <f t="shared" si="795"/>
        <v>-1000</v>
      </c>
      <c r="AH399" s="132">
        <f t="shared" si="795"/>
        <v>-1000</v>
      </c>
      <c r="AI399" s="132">
        <f t="shared" si="795"/>
        <v>-1000</v>
      </c>
      <c r="AJ399" s="132">
        <f t="shared" si="795"/>
        <v>-1000</v>
      </c>
      <c r="AK399" s="132">
        <f t="shared" si="795"/>
        <v>-1000</v>
      </c>
      <c r="AL399" s="132">
        <f t="shared" si="795"/>
        <v>-1000</v>
      </c>
      <c r="AM399" s="132">
        <f t="shared" si="795"/>
        <v>-1000</v>
      </c>
      <c r="AN399" s="132">
        <f t="shared" si="795"/>
        <v>-1000</v>
      </c>
      <c r="AO399" s="132">
        <f t="shared" si="795"/>
        <v>-1000</v>
      </c>
      <c r="AP399" s="132">
        <f t="shared" si="795"/>
        <v>-1000</v>
      </c>
      <c r="AQ399" s="132">
        <f t="shared" si="795"/>
        <v>-1000</v>
      </c>
      <c r="AR399" s="132">
        <f t="shared" si="795"/>
        <v>-1000</v>
      </c>
      <c r="AS399" s="132">
        <f t="shared" si="795"/>
        <v>-1000</v>
      </c>
    </row>
    <row r="400">
      <c r="A400" s="132" t="s">
        <v>3902</v>
      </c>
      <c r="B400" s="132">
        <v>250.0</v>
      </c>
      <c r="C400" s="132">
        <v>0.0</v>
      </c>
      <c r="D400" s="132">
        <v>0.0</v>
      </c>
      <c r="E400" s="132">
        <v>0.0</v>
      </c>
      <c r="F400" s="132">
        <v>250.0</v>
      </c>
      <c r="G400" s="132">
        <v>0.0</v>
      </c>
      <c r="H400" s="132">
        <v>0.0</v>
      </c>
      <c r="I400" s="132">
        <v>0.0</v>
      </c>
      <c r="J400" s="132">
        <v>0.0</v>
      </c>
      <c r="K400" s="132">
        <v>0.0</v>
      </c>
      <c r="L400" s="132">
        <v>0.0</v>
      </c>
      <c r="M400" s="132">
        <v>0.0</v>
      </c>
      <c r="N400" s="132">
        <v>0.0</v>
      </c>
      <c r="O400" s="132">
        <v>0.0</v>
      </c>
      <c r="P400" s="132">
        <v>0.0</v>
      </c>
      <c r="Q400" s="132">
        <v>0.0</v>
      </c>
      <c r="R400" s="132">
        <v>0.0</v>
      </c>
      <c r="S400" s="132">
        <v>0.0</v>
      </c>
      <c r="T400" s="132">
        <v>0.0</v>
      </c>
      <c r="U400" s="132">
        <v>0.0</v>
      </c>
      <c r="V400" s="132">
        <v>0.0</v>
      </c>
      <c r="W400" s="132">
        <v>0.0</v>
      </c>
      <c r="Y400" s="132" t="s">
        <v>3902</v>
      </c>
      <c r="Z400" s="132">
        <f t="shared" ref="Z400:AC400" si="796">C400-1000</f>
        <v>-1000</v>
      </c>
      <c r="AA400" s="132">
        <f t="shared" si="796"/>
        <v>-1000</v>
      </c>
      <c r="AB400" s="132">
        <f t="shared" si="796"/>
        <v>-1000</v>
      </c>
      <c r="AC400" s="132">
        <f t="shared" si="796"/>
        <v>-750</v>
      </c>
      <c r="AD400" s="132">
        <f t="shared" si="4"/>
        <v>-10000</v>
      </c>
      <c r="AE400" s="132">
        <f t="shared" ref="AE400:AS400" si="797">H400-1000</f>
        <v>-1000</v>
      </c>
      <c r="AF400" s="132">
        <f t="shared" si="797"/>
        <v>-1000</v>
      </c>
      <c r="AG400" s="132">
        <f t="shared" si="797"/>
        <v>-1000</v>
      </c>
      <c r="AH400" s="132">
        <f t="shared" si="797"/>
        <v>-1000</v>
      </c>
      <c r="AI400" s="132">
        <f t="shared" si="797"/>
        <v>-1000</v>
      </c>
      <c r="AJ400" s="132">
        <f t="shared" si="797"/>
        <v>-1000</v>
      </c>
      <c r="AK400" s="132">
        <f t="shared" si="797"/>
        <v>-1000</v>
      </c>
      <c r="AL400" s="132">
        <f t="shared" si="797"/>
        <v>-1000</v>
      </c>
      <c r="AM400" s="132">
        <f t="shared" si="797"/>
        <v>-1000</v>
      </c>
      <c r="AN400" s="132">
        <f t="shared" si="797"/>
        <v>-1000</v>
      </c>
      <c r="AO400" s="132">
        <f t="shared" si="797"/>
        <v>-1000</v>
      </c>
      <c r="AP400" s="132">
        <f t="shared" si="797"/>
        <v>-1000</v>
      </c>
      <c r="AQ400" s="132">
        <f t="shared" si="797"/>
        <v>-1000</v>
      </c>
      <c r="AR400" s="132">
        <f t="shared" si="797"/>
        <v>-1000</v>
      </c>
      <c r="AS400" s="132">
        <f t="shared" si="797"/>
        <v>-1000</v>
      </c>
    </row>
    <row r="401">
      <c r="A401" s="132" t="s">
        <v>3903</v>
      </c>
      <c r="B401" s="132">
        <v>100.0</v>
      </c>
      <c r="C401" s="132">
        <v>0.0</v>
      </c>
      <c r="D401" s="132">
        <v>0.0</v>
      </c>
      <c r="E401" s="132">
        <v>0.0</v>
      </c>
      <c r="F401" s="132">
        <v>100.0</v>
      </c>
      <c r="G401" s="132">
        <v>0.0</v>
      </c>
      <c r="H401" s="132">
        <v>0.0</v>
      </c>
      <c r="I401" s="132">
        <v>0.0</v>
      </c>
      <c r="J401" s="132">
        <v>0.0</v>
      </c>
      <c r="K401" s="132">
        <v>0.0</v>
      </c>
      <c r="L401" s="132">
        <v>0.0</v>
      </c>
      <c r="M401" s="132">
        <v>0.0</v>
      </c>
      <c r="N401" s="132">
        <v>0.0</v>
      </c>
      <c r="O401" s="132">
        <v>0.0</v>
      </c>
      <c r="P401" s="132">
        <v>0.0</v>
      </c>
      <c r="Q401" s="132">
        <v>0.0</v>
      </c>
      <c r="R401" s="132">
        <v>0.0</v>
      </c>
      <c r="S401" s="132">
        <v>0.0</v>
      </c>
      <c r="T401" s="132">
        <v>0.0</v>
      </c>
      <c r="U401" s="132">
        <v>0.0</v>
      </c>
      <c r="V401" s="132">
        <v>0.0</v>
      </c>
      <c r="W401" s="132">
        <v>0.0</v>
      </c>
      <c r="Y401" s="132" t="s">
        <v>3903</v>
      </c>
      <c r="Z401" s="132">
        <f t="shared" ref="Z401:AC401" si="798">C401-1000</f>
        <v>-1000</v>
      </c>
      <c r="AA401" s="132">
        <f t="shared" si="798"/>
        <v>-1000</v>
      </c>
      <c r="AB401" s="132">
        <f t="shared" si="798"/>
        <v>-1000</v>
      </c>
      <c r="AC401" s="132">
        <f t="shared" si="798"/>
        <v>-900</v>
      </c>
      <c r="AD401" s="132">
        <f t="shared" si="4"/>
        <v>-10000</v>
      </c>
      <c r="AE401" s="132">
        <f t="shared" ref="AE401:AS401" si="799">H401-1000</f>
        <v>-1000</v>
      </c>
      <c r="AF401" s="132">
        <f t="shared" si="799"/>
        <v>-1000</v>
      </c>
      <c r="AG401" s="132">
        <f t="shared" si="799"/>
        <v>-1000</v>
      </c>
      <c r="AH401" s="132">
        <f t="shared" si="799"/>
        <v>-1000</v>
      </c>
      <c r="AI401" s="132">
        <f t="shared" si="799"/>
        <v>-1000</v>
      </c>
      <c r="AJ401" s="132">
        <f t="shared" si="799"/>
        <v>-1000</v>
      </c>
      <c r="AK401" s="132">
        <f t="shared" si="799"/>
        <v>-1000</v>
      </c>
      <c r="AL401" s="132">
        <f t="shared" si="799"/>
        <v>-1000</v>
      </c>
      <c r="AM401" s="132">
        <f t="shared" si="799"/>
        <v>-1000</v>
      </c>
      <c r="AN401" s="132">
        <f t="shared" si="799"/>
        <v>-1000</v>
      </c>
      <c r="AO401" s="132">
        <f t="shared" si="799"/>
        <v>-1000</v>
      </c>
      <c r="AP401" s="132">
        <f t="shared" si="799"/>
        <v>-1000</v>
      </c>
      <c r="AQ401" s="132">
        <f t="shared" si="799"/>
        <v>-1000</v>
      </c>
      <c r="AR401" s="132">
        <f t="shared" si="799"/>
        <v>-1000</v>
      </c>
      <c r="AS401" s="132">
        <f t="shared" si="799"/>
        <v>-1000</v>
      </c>
    </row>
    <row r="402">
      <c r="A402" s="132" t="s">
        <v>3904</v>
      </c>
      <c r="B402" s="132">
        <v>642.2</v>
      </c>
      <c r="C402" s="132">
        <v>142.2</v>
      </c>
      <c r="D402" s="132">
        <v>0.0</v>
      </c>
      <c r="E402" s="132">
        <v>0.0</v>
      </c>
      <c r="F402" s="132">
        <v>350.0</v>
      </c>
      <c r="G402" s="132">
        <v>0.0</v>
      </c>
      <c r="H402" s="132">
        <v>0.0</v>
      </c>
      <c r="I402" s="132">
        <v>0.0</v>
      </c>
      <c r="J402" s="132">
        <v>0.0</v>
      </c>
      <c r="K402" s="132">
        <v>0.0</v>
      </c>
      <c r="L402" s="132">
        <v>150.0</v>
      </c>
      <c r="M402" s="132">
        <v>0.0</v>
      </c>
      <c r="N402" s="132">
        <v>0.0</v>
      </c>
      <c r="O402" s="132">
        <v>0.0</v>
      </c>
      <c r="P402" s="132">
        <v>0.0</v>
      </c>
      <c r="Q402" s="132">
        <v>0.0</v>
      </c>
      <c r="R402" s="132">
        <v>0.0</v>
      </c>
      <c r="S402" s="132">
        <v>0.0</v>
      </c>
      <c r="T402" s="132">
        <v>0.0</v>
      </c>
      <c r="U402" s="132">
        <v>0.0</v>
      </c>
      <c r="V402" s="132">
        <v>0.0</v>
      </c>
      <c r="W402" s="132">
        <v>1.0</v>
      </c>
      <c r="Y402" s="132" t="s">
        <v>3904</v>
      </c>
      <c r="Z402" s="132">
        <f t="shared" ref="Z402:AC402" si="800">C402-1000</f>
        <v>-857.8</v>
      </c>
      <c r="AA402" s="132">
        <f t="shared" si="800"/>
        <v>-1000</v>
      </c>
      <c r="AB402" s="132">
        <f t="shared" si="800"/>
        <v>-1000</v>
      </c>
      <c r="AC402" s="132">
        <f t="shared" si="800"/>
        <v>-650</v>
      </c>
      <c r="AD402" s="132">
        <f t="shared" si="4"/>
        <v>-10000</v>
      </c>
      <c r="AE402" s="132">
        <f t="shared" ref="AE402:AS402" si="801">H402-1000</f>
        <v>-1000</v>
      </c>
      <c r="AF402" s="132">
        <f t="shared" si="801"/>
        <v>-1000</v>
      </c>
      <c r="AG402" s="132">
        <f t="shared" si="801"/>
        <v>-1000</v>
      </c>
      <c r="AH402" s="132">
        <f t="shared" si="801"/>
        <v>-1000</v>
      </c>
      <c r="AI402" s="132">
        <f t="shared" si="801"/>
        <v>-850</v>
      </c>
      <c r="AJ402" s="132">
        <f t="shared" si="801"/>
        <v>-1000</v>
      </c>
      <c r="AK402" s="132">
        <f t="shared" si="801"/>
        <v>-1000</v>
      </c>
      <c r="AL402" s="132">
        <f t="shared" si="801"/>
        <v>-1000</v>
      </c>
      <c r="AM402" s="132">
        <f t="shared" si="801"/>
        <v>-1000</v>
      </c>
      <c r="AN402" s="132">
        <f t="shared" si="801"/>
        <v>-1000</v>
      </c>
      <c r="AO402" s="132">
        <f t="shared" si="801"/>
        <v>-1000</v>
      </c>
      <c r="AP402" s="132">
        <f t="shared" si="801"/>
        <v>-1000</v>
      </c>
      <c r="AQ402" s="132">
        <f t="shared" si="801"/>
        <v>-1000</v>
      </c>
      <c r="AR402" s="132">
        <f t="shared" si="801"/>
        <v>-1000</v>
      </c>
      <c r="AS402" s="132">
        <f t="shared" si="801"/>
        <v>-1000</v>
      </c>
    </row>
    <row r="403">
      <c r="A403" s="132" t="s">
        <v>3905</v>
      </c>
      <c r="B403" s="132">
        <v>100.0</v>
      </c>
      <c r="C403" s="132">
        <v>0.0</v>
      </c>
      <c r="D403" s="132">
        <v>0.0</v>
      </c>
      <c r="E403" s="132">
        <v>0.0</v>
      </c>
      <c r="F403" s="132">
        <v>100.0</v>
      </c>
      <c r="G403" s="132">
        <v>0.0</v>
      </c>
      <c r="H403" s="132">
        <v>0.0</v>
      </c>
      <c r="I403" s="132">
        <v>0.0</v>
      </c>
      <c r="J403" s="132">
        <v>0.0</v>
      </c>
      <c r="K403" s="132">
        <v>0.0</v>
      </c>
      <c r="L403" s="132">
        <v>0.0</v>
      </c>
      <c r="M403" s="132">
        <v>0.0</v>
      </c>
      <c r="N403" s="132">
        <v>0.0</v>
      </c>
      <c r="O403" s="132">
        <v>0.0</v>
      </c>
      <c r="P403" s="132">
        <v>0.0</v>
      </c>
      <c r="Q403" s="132">
        <v>0.0</v>
      </c>
      <c r="R403" s="132">
        <v>0.0</v>
      </c>
      <c r="S403" s="132">
        <v>0.0</v>
      </c>
      <c r="T403" s="132">
        <v>0.0</v>
      </c>
      <c r="U403" s="132">
        <v>0.0</v>
      </c>
      <c r="V403" s="132">
        <v>0.0</v>
      </c>
      <c r="W403" s="132">
        <v>0.0</v>
      </c>
      <c r="Y403" s="132" t="s">
        <v>3905</v>
      </c>
      <c r="Z403" s="132">
        <f t="shared" ref="Z403:AC403" si="802">C403-1000</f>
        <v>-1000</v>
      </c>
      <c r="AA403" s="132">
        <f t="shared" si="802"/>
        <v>-1000</v>
      </c>
      <c r="AB403" s="132">
        <f t="shared" si="802"/>
        <v>-1000</v>
      </c>
      <c r="AC403" s="132">
        <f t="shared" si="802"/>
        <v>-900</v>
      </c>
      <c r="AD403" s="132">
        <f t="shared" si="4"/>
        <v>-10000</v>
      </c>
      <c r="AE403" s="132">
        <f t="shared" ref="AE403:AS403" si="803">H403-1000</f>
        <v>-1000</v>
      </c>
      <c r="AF403" s="132">
        <f t="shared" si="803"/>
        <v>-1000</v>
      </c>
      <c r="AG403" s="132">
        <f t="shared" si="803"/>
        <v>-1000</v>
      </c>
      <c r="AH403" s="132">
        <f t="shared" si="803"/>
        <v>-1000</v>
      </c>
      <c r="AI403" s="132">
        <f t="shared" si="803"/>
        <v>-1000</v>
      </c>
      <c r="AJ403" s="132">
        <f t="shared" si="803"/>
        <v>-1000</v>
      </c>
      <c r="AK403" s="132">
        <f t="shared" si="803"/>
        <v>-1000</v>
      </c>
      <c r="AL403" s="132">
        <f t="shared" si="803"/>
        <v>-1000</v>
      </c>
      <c r="AM403" s="132">
        <f t="shared" si="803"/>
        <v>-1000</v>
      </c>
      <c r="AN403" s="132">
        <f t="shared" si="803"/>
        <v>-1000</v>
      </c>
      <c r="AO403" s="132">
        <f t="shared" si="803"/>
        <v>-1000</v>
      </c>
      <c r="AP403" s="132">
        <f t="shared" si="803"/>
        <v>-1000</v>
      </c>
      <c r="AQ403" s="132">
        <f t="shared" si="803"/>
        <v>-1000</v>
      </c>
      <c r="AR403" s="132">
        <f t="shared" si="803"/>
        <v>-1000</v>
      </c>
      <c r="AS403" s="132">
        <f t="shared" si="803"/>
        <v>-1000</v>
      </c>
    </row>
    <row r="404">
      <c r="A404" s="132" t="s">
        <v>3906</v>
      </c>
      <c r="B404" s="132">
        <v>100.0</v>
      </c>
      <c r="C404" s="132">
        <v>0.0</v>
      </c>
      <c r="D404" s="132">
        <v>0.0</v>
      </c>
      <c r="E404" s="132">
        <v>0.0</v>
      </c>
      <c r="F404" s="132">
        <v>100.0</v>
      </c>
      <c r="G404" s="132">
        <v>0.0</v>
      </c>
      <c r="H404" s="132">
        <v>0.0</v>
      </c>
      <c r="I404" s="132">
        <v>0.0</v>
      </c>
      <c r="J404" s="132">
        <v>0.0</v>
      </c>
      <c r="K404" s="132">
        <v>0.0</v>
      </c>
      <c r="L404" s="132">
        <v>0.0</v>
      </c>
      <c r="M404" s="132">
        <v>0.0</v>
      </c>
      <c r="N404" s="132">
        <v>0.0</v>
      </c>
      <c r="O404" s="132">
        <v>0.0</v>
      </c>
      <c r="P404" s="132">
        <v>0.0</v>
      </c>
      <c r="Q404" s="132">
        <v>0.0</v>
      </c>
      <c r="R404" s="132">
        <v>0.0</v>
      </c>
      <c r="S404" s="132">
        <v>0.0</v>
      </c>
      <c r="T404" s="132">
        <v>0.0</v>
      </c>
      <c r="U404" s="132">
        <v>0.0</v>
      </c>
      <c r="V404" s="132">
        <v>0.0</v>
      </c>
      <c r="W404" s="132">
        <v>0.0</v>
      </c>
      <c r="Y404" s="132" t="s">
        <v>3906</v>
      </c>
      <c r="Z404" s="132">
        <f t="shared" ref="Z404:AC404" si="804">C404-1000</f>
        <v>-1000</v>
      </c>
      <c r="AA404" s="132">
        <f t="shared" si="804"/>
        <v>-1000</v>
      </c>
      <c r="AB404" s="132">
        <f t="shared" si="804"/>
        <v>-1000</v>
      </c>
      <c r="AC404" s="132">
        <f t="shared" si="804"/>
        <v>-900</v>
      </c>
      <c r="AD404" s="132">
        <f t="shared" si="4"/>
        <v>-10000</v>
      </c>
      <c r="AE404" s="132">
        <f t="shared" ref="AE404:AS404" si="805">H404-1000</f>
        <v>-1000</v>
      </c>
      <c r="AF404" s="132">
        <f t="shared" si="805"/>
        <v>-1000</v>
      </c>
      <c r="AG404" s="132">
        <f t="shared" si="805"/>
        <v>-1000</v>
      </c>
      <c r="AH404" s="132">
        <f t="shared" si="805"/>
        <v>-1000</v>
      </c>
      <c r="AI404" s="132">
        <f t="shared" si="805"/>
        <v>-1000</v>
      </c>
      <c r="AJ404" s="132">
        <f t="shared" si="805"/>
        <v>-1000</v>
      </c>
      <c r="AK404" s="132">
        <f t="shared" si="805"/>
        <v>-1000</v>
      </c>
      <c r="AL404" s="132">
        <f t="shared" si="805"/>
        <v>-1000</v>
      </c>
      <c r="AM404" s="132">
        <f t="shared" si="805"/>
        <v>-1000</v>
      </c>
      <c r="AN404" s="132">
        <f t="shared" si="805"/>
        <v>-1000</v>
      </c>
      <c r="AO404" s="132">
        <f t="shared" si="805"/>
        <v>-1000</v>
      </c>
      <c r="AP404" s="132">
        <f t="shared" si="805"/>
        <v>-1000</v>
      </c>
      <c r="AQ404" s="132">
        <f t="shared" si="805"/>
        <v>-1000</v>
      </c>
      <c r="AR404" s="132">
        <f t="shared" si="805"/>
        <v>-1000</v>
      </c>
      <c r="AS404" s="132">
        <f t="shared" si="805"/>
        <v>-1000</v>
      </c>
    </row>
    <row r="405">
      <c r="A405" s="132" t="s">
        <v>3907</v>
      </c>
      <c r="B405" s="132">
        <v>100.0</v>
      </c>
      <c r="C405" s="132">
        <v>0.0</v>
      </c>
      <c r="D405" s="132">
        <v>0.0</v>
      </c>
      <c r="E405" s="132">
        <v>0.0</v>
      </c>
      <c r="F405" s="132">
        <v>100.0</v>
      </c>
      <c r="G405" s="132">
        <v>0.0</v>
      </c>
      <c r="H405" s="132">
        <v>0.0</v>
      </c>
      <c r="I405" s="132">
        <v>0.0</v>
      </c>
      <c r="J405" s="132">
        <v>0.0</v>
      </c>
      <c r="K405" s="132">
        <v>0.0</v>
      </c>
      <c r="L405" s="132">
        <v>0.0</v>
      </c>
      <c r="M405" s="132">
        <v>0.0</v>
      </c>
      <c r="N405" s="132">
        <v>0.0</v>
      </c>
      <c r="O405" s="132">
        <v>0.0</v>
      </c>
      <c r="P405" s="132">
        <v>0.0</v>
      </c>
      <c r="Q405" s="132">
        <v>0.0</v>
      </c>
      <c r="R405" s="132">
        <v>0.0</v>
      </c>
      <c r="S405" s="132">
        <v>0.0</v>
      </c>
      <c r="T405" s="132">
        <v>0.0</v>
      </c>
      <c r="U405" s="132">
        <v>0.0</v>
      </c>
      <c r="V405" s="132">
        <v>0.0</v>
      </c>
      <c r="W405" s="132">
        <v>0.0</v>
      </c>
      <c r="Y405" s="132" t="s">
        <v>3907</v>
      </c>
      <c r="Z405" s="132">
        <f t="shared" ref="Z405:AC405" si="806">C405-1000</f>
        <v>-1000</v>
      </c>
      <c r="AA405" s="132">
        <f t="shared" si="806"/>
        <v>-1000</v>
      </c>
      <c r="AB405" s="132">
        <f t="shared" si="806"/>
        <v>-1000</v>
      </c>
      <c r="AC405" s="132">
        <f t="shared" si="806"/>
        <v>-900</v>
      </c>
      <c r="AD405" s="132">
        <f t="shared" si="4"/>
        <v>-10000</v>
      </c>
      <c r="AE405" s="132">
        <f t="shared" ref="AE405:AS405" si="807">H405-1000</f>
        <v>-1000</v>
      </c>
      <c r="AF405" s="132">
        <f t="shared" si="807"/>
        <v>-1000</v>
      </c>
      <c r="AG405" s="132">
        <f t="shared" si="807"/>
        <v>-1000</v>
      </c>
      <c r="AH405" s="132">
        <f t="shared" si="807"/>
        <v>-1000</v>
      </c>
      <c r="AI405" s="132">
        <f t="shared" si="807"/>
        <v>-1000</v>
      </c>
      <c r="AJ405" s="132">
        <f t="shared" si="807"/>
        <v>-1000</v>
      </c>
      <c r="AK405" s="132">
        <f t="shared" si="807"/>
        <v>-1000</v>
      </c>
      <c r="AL405" s="132">
        <f t="shared" si="807"/>
        <v>-1000</v>
      </c>
      <c r="AM405" s="132">
        <f t="shared" si="807"/>
        <v>-1000</v>
      </c>
      <c r="AN405" s="132">
        <f t="shared" si="807"/>
        <v>-1000</v>
      </c>
      <c r="AO405" s="132">
        <f t="shared" si="807"/>
        <v>-1000</v>
      </c>
      <c r="AP405" s="132">
        <f t="shared" si="807"/>
        <v>-1000</v>
      </c>
      <c r="AQ405" s="132">
        <f t="shared" si="807"/>
        <v>-1000</v>
      </c>
      <c r="AR405" s="132">
        <f t="shared" si="807"/>
        <v>-1000</v>
      </c>
      <c r="AS405" s="132">
        <f t="shared" si="807"/>
        <v>-1000</v>
      </c>
    </row>
    <row r="406">
      <c r="A406" s="132" t="s">
        <v>3908</v>
      </c>
      <c r="B406" s="132">
        <v>250.0</v>
      </c>
      <c r="C406" s="132">
        <v>0.0</v>
      </c>
      <c r="D406" s="132">
        <v>0.0</v>
      </c>
      <c r="E406" s="132">
        <v>0.0</v>
      </c>
      <c r="F406" s="132">
        <v>250.0</v>
      </c>
      <c r="G406" s="132">
        <v>0.0</v>
      </c>
      <c r="H406" s="132">
        <v>0.0</v>
      </c>
      <c r="I406" s="132">
        <v>0.0</v>
      </c>
      <c r="J406" s="132">
        <v>0.0</v>
      </c>
      <c r="K406" s="132">
        <v>0.0</v>
      </c>
      <c r="L406" s="132">
        <v>0.0</v>
      </c>
      <c r="M406" s="132">
        <v>0.0</v>
      </c>
      <c r="N406" s="132">
        <v>0.0</v>
      </c>
      <c r="O406" s="132">
        <v>0.0</v>
      </c>
      <c r="P406" s="132">
        <v>0.0</v>
      </c>
      <c r="Q406" s="132">
        <v>0.0</v>
      </c>
      <c r="R406" s="132">
        <v>0.0</v>
      </c>
      <c r="S406" s="132">
        <v>0.0</v>
      </c>
      <c r="T406" s="132">
        <v>0.0</v>
      </c>
      <c r="U406" s="132">
        <v>0.0</v>
      </c>
      <c r="V406" s="132">
        <v>0.0</v>
      </c>
      <c r="W406" s="132">
        <v>0.0</v>
      </c>
      <c r="Y406" s="132" t="s">
        <v>3908</v>
      </c>
      <c r="Z406" s="132">
        <f t="shared" ref="Z406:AC406" si="808">C406-1000</f>
        <v>-1000</v>
      </c>
      <c r="AA406" s="132">
        <f t="shared" si="808"/>
        <v>-1000</v>
      </c>
      <c r="AB406" s="132">
        <f t="shared" si="808"/>
        <v>-1000</v>
      </c>
      <c r="AC406" s="132">
        <f t="shared" si="808"/>
        <v>-750</v>
      </c>
      <c r="AD406" s="132">
        <f t="shared" si="4"/>
        <v>-10000</v>
      </c>
      <c r="AE406" s="132">
        <f t="shared" ref="AE406:AS406" si="809">H406-1000</f>
        <v>-1000</v>
      </c>
      <c r="AF406" s="132">
        <f t="shared" si="809"/>
        <v>-1000</v>
      </c>
      <c r="AG406" s="132">
        <f t="shared" si="809"/>
        <v>-1000</v>
      </c>
      <c r="AH406" s="132">
        <f t="shared" si="809"/>
        <v>-1000</v>
      </c>
      <c r="AI406" s="132">
        <f t="shared" si="809"/>
        <v>-1000</v>
      </c>
      <c r="AJ406" s="132">
        <f t="shared" si="809"/>
        <v>-1000</v>
      </c>
      <c r="AK406" s="132">
        <f t="shared" si="809"/>
        <v>-1000</v>
      </c>
      <c r="AL406" s="132">
        <f t="shared" si="809"/>
        <v>-1000</v>
      </c>
      <c r="AM406" s="132">
        <f t="shared" si="809"/>
        <v>-1000</v>
      </c>
      <c r="AN406" s="132">
        <f t="shared" si="809"/>
        <v>-1000</v>
      </c>
      <c r="AO406" s="132">
        <f t="shared" si="809"/>
        <v>-1000</v>
      </c>
      <c r="AP406" s="132">
        <f t="shared" si="809"/>
        <v>-1000</v>
      </c>
      <c r="AQ406" s="132">
        <f t="shared" si="809"/>
        <v>-1000</v>
      </c>
      <c r="AR406" s="132">
        <f t="shared" si="809"/>
        <v>-1000</v>
      </c>
      <c r="AS406" s="132">
        <f t="shared" si="809"/>
        <v>-1000</v>
      </c>
    </row>
    <row r="407">
      <c r="A407" s="132" t="s">
        <v>3909</v>
      </c>
      <c r="B407" s="132">
        <v>850.0</v>
      </c>
      <c r="C407" s="132">
        <v>0.0</v>
      </c>
      <c r="D407" s="132">
        <v>0.0</v>
      </c>
      <c r="E407" s="132">
        <v>0.0</v>
      </c>
      <c r="F407" s="132">
        <v>100.0</v>
      </c>
      <c r="G407" s="132">
        <v>0.0</v>
      </c>
      <c r="H407" s="132">
        <v>0.0</v>
      </c>
      <c r="I407" s="132">
        <v>0.0</v>
      </c>
      <c r="J407" s="132">
        <v>0.0</v>
      </c>
      <c r="K407" s="132">
        <v>750.0</v>
      </c>
      <c r="L407" s="132">
        <v>0.0</v>
      </c>
      <c r="M407" s="132">
        <v>0.0</v>
      </c>
      <c r="N407" s="132">
        <v>0.0</v>
      </c>
      <c r="O407" s="132">
        <v>0.0</v>
      </c>
      <c r="P407" s="132">
        <v>0.0</v>
      </c>
      <c r="Q407" s="132">
        <v>0.0</v>
      </c>
      <c r="R407" s="132">
        <v>0.0</v>
      </c>
      <c r="S407" s="132">
        <v>0.0</v>
      </c>
      <c r="T407" s="132">
        <v>0.0</v>
      </c>
      <c r="U407" s="132">
        <v>0.0</v>
      </c>
      <c r="V407" s="132">
        <v>0.0</v>
      </c>
      <c r="W407" s="132">
        <v>1.0</v>
      </c>
      <c r="Y407" s="132" t="s">
        <v>3909</v>
      </c>
      <c r="Z407" s="132">
        <f t="shared" ref="Z407:AC407" si="810">C407-1000</f>
        <v>-1000</v>
      </c>
      <c r="AA407" s="132">
        <f t="shared" si="810"/>
        <v>-1000</v>
      </c>
      <c r="AB407" s="132">
        <f t="shared" si="810"/>
        <v>-1000</v>
      </c>
      <c r="AC407" s="132">
        <f t="shared" si="810"/>
        <v>-900</v>
      </c>
      <c r="AD407" s="132">
        <f t="shared" si="4"/>
        <v>-10000</v>
      </c>
      <c r="AE407" s="132">
        <f t="shared" ref="AE407:AS407" si="811">H407-1000</f>
        <v>-1000</v>
      </c>
      <c r="AF407" s="132">
        <f t="shared" si="811"/>
        <v>-1000</v>
      </c>
      <c r="AG407" s="132">
        <f t="shared" si="811"/>
        <v>-1000</v>
      </c>
      <c r="AH407" s="132">
        <f t="shared" si="811"/>
        <v>-250</v>
      </c>
      <c r="AI407" s="132">
        <f t="shared" si="811"/>
        <v>-1000</v>
      </c>
      <c r="AJ407" s="132">
        <f t="shared" si="811"/>
        <v>-1000</v>
      </c>
      <c r="AK407" s="132">
        <f t="shared" si="811"/>
        <v>-1000</v>
      </c>
      <c r="AL407" s="132">
        <f t="shared" si="811"/>
        <v>-1000</v>
      </c>
      <c r="AM407" s="132">
        <f t="shared" si="811"/>
        <v>-1000</v>
      </c>
      <c r="AN407" s="132">
        <f t="shared" si="811"/>
        <v>-1000</v>
      </c>
      <c r="AO407" s="132">
        <f t="shared" si="811"/>
        <v>-1000</v>
      </c>
      <c r="AP407" s="132">
        <f t="shared" si="811"/>
        <v>-1000</v>
      </c>
      <c r="AQ407" s="132">
        <f t="shared" si="811"/>
        <v>-1000</v>
      </c>
      <c r="AR407" s="132">
        <f t="shared" si="811"/>
        <v>-1000</v>
      </c>
      <c r="AS407" s="132">
        <f t="shared" si="811"/>
        <v>-1000</v>
      </c>
    </row>
    <row r="408">
      <c r="A408" s="132" t="s">
        <v>3910</v>
      </c>
      <c r="B408" s="132">
        <v>1000.0</v>
      </c>
      <c r="C408" s="132">
        <v>0.0</v>
      </c>
      <c r="D408" s="132">
        <v>0.0</v>
      </c>
      <c r="E408" s="132">
        <v>0.0</v>
      </c>
      <c r="F408" s="132">
        <v>1000.0</v>
      </c>
      <c r="G408" s="132">
        <v>0.0</v>
      </c>
      <c r="H408" s="132">
        <v>0.0</v>
      </c>
      <c r="I408" s="132">
        <v>0.0</v>
      </c>
      <c r="J408" s="132">
        <v>0.0</v>
      </c>
      <c r="K408" s="132">
        <v>0.0</v>
      </c>
      <c r="L408" s="132">
        <v>0.0</v>
      </c>
      <c r="M408" s="132">
        <v>0.0</v>
      </c>
      <c r="N408" s="132">
        <v>0.0</v>
      </c>
      <c r="O408" s="132">
        <v>0.0</v>
      </c>
      <c r="P408" s="132">
        <v>0.0</v>
      </c>
      <c r="Q408" s="132">
        <v>0.0</v>
      </c>
      <c r="R408" s="132">
        <v>0.0</v>
      </c>
      <c r="S408" s="132">
        <v>0.0</v>
      </c>
      <c r="T408" s="132">
        <v>0.0</v>
      </c>
      <c r="U408" s="132">
        <v>0.0</v>
      </c>
      <c r="V408" s="132">
        <v>0.0</v>
      </c>
      <c r="W408" s="132">
        <v>0.0</v>
      </c>
      <c r="Y408" s="132" t="s">
        <v>3910</v>
      </c>
      <c r="Z408" s="132">
        <f t="shared" ref="Z408:AC408" si="812">C408-1000</f>
        <v>-1000</v>
      </c>
      <c r="AA408" s="132">
        <f t="shared" si="812"/>
        <v>-1000</v>
      </c>
      <c r="AB408" s="132">
        <f t="shared" si="812"/>
        <v>-1000</v>
      </c>
      <c r="AC408" s="132">
        <f t="shared" si="812"/>
        <v>0</v>
      </c>
      <c r="AD408" s="132">
        <f t="shared" si="4"/>
        <v>-10000</v>
      </c>
      <c r="AE408" s="132">
        <f t="shared" ref="AE408:AS408" si="813">H408-1000</f>
        <v>-1000</v>
      </c>
      <c r="AF408" s="132">
        <f t="shared" si="813"/>
        <v>-1000</v>
      </c>
      <c r="AG408" s="132">
        <f t="shared" si="813"/>
        <v>-1000</v>
      </c>
      <c r="AH408" s="132">
        <f t="shared" si="813"/>
        <v>-1000</v>
      </c>
      <c r="AI408" s="132">
        <f t="shared" si="813"/>
        <v>-1000</v>
      </c>
      <c r="AJ408" s="132">
        <f t="shared" si="813"/>
        <v>-1000</v>
      </c>
      <c r="AK408" s="132">
        <f t="shared" si="813"/>
        <v>-1000</v>
      </c>
      <c r="AL408" s="132">
        <f t="shared" si="813"/>
        <v>-1000</v>
      </c>
      <c r="AM408" s="132">
        <f t="shared" si="813"/>
        <v>-1000</v>
      </c>
      <c r="AN408" s="132">
        <f t="shared" si="813"/>
        <v>-1000</v>
      </c>
      <c r="AO408" s="132">
        <f t="shared" si="813"/>
        <v>-1000</v>
      </c>
      <c r="AP408" s="132">
        <f t="shared" si="813"/>
        <v>-1000</v>
      </c>
      <c r="AQ408" s="132">
        <f t="shared" si="813"/>
        <v>-1000</v>
      </c>
      <c r="AR408" s="132">
        <f t="shared" si="813"/>
        <v>-1000</v>
      </c>
      <c r="AS408" s="132">
        <f t="shared" si="813"/>
        <v>-1000</v>
      </c>
    </row>
    <row r="409">
      <c r="A409" s="132" t="s">
        <v>3911</v>
      </c>
      <c r="B409" s="132">
        <v>151.99</v>
      </c>
      <c r="C409" s="132">
        <v>0.0</v>
      </c>
      <c r="D409" s="132">
        <v>0.0</v>
      </c>
      <c r="E409" s="132">
        <v>0.0</v>
      </c>
      <c r="F409" s="132">
        <v>100.0</v>
      </c>
      <c r="G409" s="132">
        <v>0.0</v>
      </c>
      <c r="H409" s="132">
        <v>0.0</v>
      </c>
      <c r="I409" s="132">
        <v>0.0</v>
      </c>
      <c r="J409" s="132">
        <v>0.0</v>
      </c>
      <c r="K409" s="132">
        <v>0.0</v>
      </c>
      <c r="L409" s="132">
        <v>0.0</v>
      </c>
      <c r="M409" s="132">
        <v>0.0</v>
      </c>
      <c r="N409" s="132">
        <v>0.0</v>
      </c>
      <c r="O409" s="132">
        <v>0.0</v>
      </c>
      <c r="P409" s="132">
        <v>51.99</v>
      </c>
      <c r="Q409" s="132">
        <v>0.0</v>
      </c>
      <c r="R409" s="132">
        <v>0.0</v>
      </c>
      <c r="S409" s="132">
        <v>0.0</v>
      </c>
      <c r="T409" s="132">
        <v>0.0</v>
      </c>
      <c r="U409" s="132">
        <v>0.0</v>
      </c>
      <c r="V409" s="132">
        <v>0.0</v>
      </c>
      <c r="W409" s="132">
        <v>0.0</v>
      </c>
      <c r="Y409" s="132" t="s">
        <v>3911</v>
      </c>
      <c r="Z409" s="132">
        <f t="shared" ref="Z409:AC409" si="814">C409-1000</f>
        <v>-1000</v>
      </c>
      <c r="AA409" s="132">
        <f t="shared" si="814"/>
        <v>-1000</v>
      </c>
      <c r="AB409" s="132">
        <f t="shared" si="814"/>
        <v>-1000</v>
      </c>
      <c r="AC409" s="132">
        <f t="shared" si="814"/>
        <v>-900</v>
      </c>
      <c r="AD409" s="132">
        <f t="shared" si="4"/>
        <v>-10000</v>
      </c>
      <c r="AE409" s="132">
        <f t="shared" ref="AE409:AS409" si="815">H409-1000</f>
        <v>-1000</v>
      </c>
      <c r="AF409" s="132">
        <f t="shared" si="815"/>
        <v>-1000</v>
      </c>
      <c r="AG409" s="132">
        <f t="shared" si="815"/>
        <v>-1000</v>
      </c>
      <c r="AH409" s="132">
        <f t="shared" si="815"/>
        <v>-1000</v>
      </c>
      <c r="AI409" s="132">
        <f t="shared" si="815"/>
        <v>-1000</v>
      </c>
      <c r="AJ409" s="132">
        <f t="shared" si="815"/>
        <v>-1000</v>
      </c>
      <c r="AK409" s="132">
        <f t="shared" si="815"/>
        <v>-1000</v>
      </c>
      <c r="AL409" s="132">
        <f t="shared" si="815"/>
        <v>-1000</v>
      </c>
      <c r="AM409" s="132">
        <f t="shared" si="815"/>
        <v>-948.01</v>
      </c>
      <c r="AN409" s="132">
        <f t="shared" si="815"/>
        <v>-1000</v>
      </c>
      <c r="AO409" s="132">
        <f t="shared" si="815"/>
        <v>-1000</v>
      </c>
      <c r="AP409" s="132">
        <f t="shared" si="815"/>
        <v>-1000</v>
      </c>
      <c r="AQ409" s="132">
        <f t="shared" si="815"/>
        <v>-1000</v>
      </c>
      <c r="AR409" s="132">
        <f t="shared" si="815"/>
        <v>-1000</v>
      </c>
      <c r="AS409" s="132">
        <f t="shared" si="815"/>
        <v>-1000</v>
      </c>
    </row>
    <row r="410">
      <c r="A410" s="132" t="s">
        <v>3912</v>
      </c>
      <c r="B410" s="132">
        <v>1000.0</v>
      </c>
      <c r="C410" s="132">
        <v>0.0</v>
      </c>
      <c r="D410" s="132">
        <v>0.0</v>
      </c>
      <c r="E410" s="132">
        <v>0.0</v>
      </c>
      <c r="F410" s="132">
        <v>1000.0</v>
      </c>
      <c r="G410" s="132">
        <v>0.0</v>
      </c>
      <c r="H410" s="132">
        <v>0.0</v>
      </c>
      <c r="I410" s="132">
        <v>0.0</v>
      </c>
      <c r="J410" s="132">
        <v>0.0</v>
      </c>
      <c r="K410" s="132">
        <v>0.0</v>
      </c>
      <c r="L410" s="132">
        <v>0.0</v>
      </c>
      <c r="M410" s="132">
        <v>0.0</v>
      </c>
      <c r="N410" s="132">
        <v>0.0</v>
      </c>
      <c r="O410" s="132">
        <v>0.0</v>
      </c>
      <c r="P410" s="132">
        <v>0.0</v>
      </c>
      <c r="Q410" s="132">
        <v>0.0</v>
      </c>
      <c r="R410" s="132">
        <v>0.0</v>
      </c>
      <c r="S410" s="132">
        <v>0.0</v>
      </c>
      <c r="T410" s="132">
        <v>0.0</v>
      </c>
      <c r="U410" s="132">
        <v>0.0</v>
      </c>
      <c r="V410" s="132">
        <v>0.0</v>
      </c>
      <c r="W410" s="132">
        <v>0.0</v>
      </c>
      <c r="Y410" s="132" t="s">
        <v>3912</v>
      </c>
      <c r="Z410" s="132">
        <f t="shared" ref="Z410:AC410" si="816">C410-1000</f>
        <v>-1000</v>
      </c>
      <c r="AA410" s="132">
        <f t="shared" si="816"/>
        <v>-1000</v>
      </c>
      <c r="AB410" s="132">
        <f t="shared" si="816"/>
        <v>-1000</v>
      </c>
      <c r="AC410" s="132">
        <f t="shared" si="816"/>
        <v>0</v>
      </c>
      <c r="AD410" s="132">
        <f t="shared" si="4"/>
        <v>-10000</v>
      </c>
      <c r="AE410" s="132">
        <f t="shared" ref="AE410:AS410" si="817">H410-1000</f>
        <v>-1000</v>
      </c>
      <c r="AF410" s="132">
        <f t="shared" si="817"/>
        <v>-1000</v>
      </c>
      <c r="AG410" s="132">
        <f t="shared" si="817"/>
        <v>-1000</v>
      </c>
      <c r="AH410" s="132">
        <f t="shared" si="817"/>
        <v>-1000</v>
      </c>
      <c r="AI410" s="132">
        <f t="shared" si="817"/>
        <v>-1000</v>
      </c>
      <c r="AJ410" s="132">
        <f t="shared" si="817"/>
        <v>-1000</v>
      </c>
      <c r="AK410" s="132">
        <f t="shared" si="817"/>
        <v>-1000</v>
      </c>
      <c r="AL410" s="132">
        <f t="shared" si="817"/>
        <v>-1000</v>
      </c>
      <c r="AM410" s="132">
        <f t="shared" si="817"/>
        <v>-1000</v>
      </c>
      <c r="AN410" s="132">
        <f t="shared" si="817"/>
        <v>-1000</v>
      </c>
      <c r="AO410" s="132">
        <f t="shared" si="817"/>
        <v>-1000</v>
      </c>
      <c r="AP410" s="132">
        <f t="shared" si="817"/>
        <v>-1000</v>
      </c>
      <c r="AQ410" s="132">
        <f t="shared" si="817"/>
        <v>-1000</v>
      </c>
      <c r="AR410" s="132">
        <f t="shared" si="817"/>
        <v>-1000</v>
      </c>
      <c r="AS410" s="132">
        <f t="shared" si="817"/>
        <v>-1000</v>
      </c>
    </row>
    <row r="411">
      <c r="A411" s="132" t="s">
        <v>3913</v>
      </c>
      <c r="B411" s="132">
        <v>300.0</v>
      </c>
      <c r="C411" s="132">
        <v>0.0</v>
      </c>
      <c r="D411" s="132">
        <v>0.0</v>
      </c>
      <c r="E411" s="132">
        <v>0.0</v>
      </c>
      <c r="F411" s="132">
        <v>100.0</v>
      </c>
      <c r="G411" s="132">
        <v>150.0</v>
      </c>
      <c r="H411" s="132">
        <v>0.0</v>
      </c>
      <c r="I411" s="132">
        <v>0.0</v>
      </c>
      <c r="J411" s="132">
        <v>0.0</v>
      </c>
      <c r="K411" s="132">
        <v>0.0</v>
      </c>
      <c r="L411" s="132">
        <v>50.0</v>
      </c>
      <c r="M411" s="132">
        <v>0.0</v>
      </c>
      <c r="N411" s="132">
        <v>0.0</v>
      </c>
      <c r="O411" s="132">
        <v>0.0</v>
      </c>
      <c r="P411" s="132">
        <v>0.0</v>
      </c>
      <c r="Q411" s="132">
        <v>0.0</v>
      </c>
      <c r="R411" s="132">
        <v>0.0</v>
      </c>
      <c r="S411" s="132">
        <v>0.0</v>
      </c>
      <c r="T411" s="132">
        <v>0.0</v>
      </c>
      <c r="U411" s="132">
        <v>0.0</v>
      </c>
      <c r="V411" s="132">
        <v>0.0</v>
      </c>
      <c r="W411" s="132">
        <v>1.0</v>
      </c>
      <c r="Y411" s="132" t="s">
        <v>3913</v>
      </c>
      <c r="Z411" s="132">
        <f t="shared" ref="Z411:AC411" si="818">C411-1000</f>
        <v>-1000</v>
      </c>
      <c r="AA411" s="132">
        <f t="shared" si="818"/>
        <v>-1000</v>
      </c>
      <c r="AB411" s="132">
        <f t="shared" si="818"/>
        <v>-1000</v>
      </c>
      <c r="AC411" s="132">
        <f t="shared" si="818"/>
        <v>-900</v>
      </c>
      <c r="AD411" s="132">
        <f t="shared" si="4"/>
        <v>-9850</v>
      </c>
      <c r="AE411" s="132">
        <f t="shared" ref="AE411:AS411" si="819">H411-1000</f>
        <v>-1000</v>
      </c>
      <c r="AF411" s="132">
        <f t="shared" si="819"/>
        <v>-1000</v>
      </c>
      <c r="AG411" s="132">
        <f t="shared" si="819"/>
        <v>-1000</v>
      </c>
      <c r="AH411" s="132">
        <f t="shared" si="819"/>
        <v>-1000</v>
      </c>
      <c r="AI411" s="132">
        <f t="shared" si="819"/>
        <v>-950</v>
      </c>
      <c r="AJ411" s="132">
        <f t="shared" si="819"/>
        <v>-1000</v>
      </c>
      <c r="AK411" s="132">
        <f t="shared" si="819"/>
        <v>-1000</v>
      </c>
      <c r="AL411" s="132">
        <f t="shared" si="819"/>
        <v>-1000</v>
      </c>
      <c r="AM411" s="132">
        <f t="shared" si="819"/>
        <v>-1000</v>
      </c>
      <c r="AN411" s="132">
        <f t="shared" si="819"/>
        <v>-1000</v>
      </c>
      <c r="AO411" s="132">
        <f t="shared" si="819"/>
        <v>-1000</v>
      </c>
      <c r="AP411" s="132">
        <f t="shared" si="819"/>
        <v>-1000</v>
      </c>
      <c r="AQ411" s="132">
        <f t="shared" si="819"/>
        <v>-1000</v>
      </c>
      <c r="AR411" s="132">
        <f t="shared" si="819"/>
        <v>-1000</v>
      </c>
      <c r="AS411" s="132">
        <f t="shared" si="819"/>
        <v>-1000</v>
      </c>
    </row>
    <row r="412">
      <c r="A412" s="132" t="s">
        <v>3914</v>
      </c>
      <c r="B412" s="132">
        <v>50.0</v>
      </c>
      <c r="C412" s="132">
        <v>0.0</v>
      </c>
      <c r="D412" s="132">
        <v>0.0</v>
      </c>
      <c r="E412" s="132">
        <v>0.0</v>
      </c>
      <c r="F412" s="132">
        <v>50.0</v>
      </c>
      <c r="G412" s="132">
        <v>0.0</v>
      </c>
      <c r="H412" s="132">
        <v>0.0</v>
      </c>
      <c r="I412" s="132">
        <v>0.0</v>
      </c>
      <c r="J412" s="132">
        <v>0.0</v>
      </c>
      <c r="K412" s="132">
        <v>0.0</v>
      </c>
      <c r="L412" s="132">
        <v>0.0</v>
      </c>
      <c r="M412" s="132">
        <v>0.0</v>
      </c>
      <c r="N412" s="132">
        <v>0.0</v>
      </c>
      <c r="O412" s="132">
        <v>0.0</v>
      </c>
      <c r="P412" s="132">
        <v>0.0</v>
      </c>
      <c r="Q412" s="132">
        <v>0.0</v>
      </c>
      <c r="R412" s="132">
        <v>0.0</v>
      </c>
      <c r="S412" s="132">
        <v>0.0</v>
      </c>
      <c r="T412" s="132">
        <v>0.0</v>
      </c>
      <c r="U412" s="132">
        <v>0.0</v>
      </c>
      <c r="V412" s="132">
        <v>0.0</v>
      </c>
      <c r="W412" s="132">
        <v>0.0</v>
      </c>
      <c r="Y412" s="132" t="s">
        <v>3914</v>
      </c>
      <c r="Z412" s="132">
        <f t="shared" ref="Z412:AC412" si="820">C412-1000</f>
        <v>-1000</v>
      </c>
      <c r="AA412" s="132">
        <f t="shared" si="820"/>
        <v>-1000</v>
      </c>
      <c r="AB412" s="132">
        <f t="shared" si="820"/>
        <v>-1000</v>
      </c>
      <c r="AC412" s="132">
        <f t="shared" si="820"/>
        <v>-950</v>
      </c>
      <c r="AD412" s="132">
        <f t="shared" si="4"/>
        <v>-10000</v>
      </c>
      <c r="AE412" s="132">
        <f t="shared" ref="AE412:AS412" si="821">H412-1000</f>
        <v>-1000</v>
      </c>
      <c r="AF412" s="132">
        <f t="shared" si="821"/>
        <v>-1000</v>
      </c>
      <c r="AG412" s="132">
        <f t="shared" si="821"/>
        <v>-1000</v>
      </c>
      <c r="AH412" s="132">
        <f t="shared" si="821"/>
        <v>-1000</v>
      </c>
      <c r="AI412" s="132">
        <f t="shared" si="821"/>
        <v>-1000</v>
      </c>
      <c r="AJ412" s="132">
        <f t="shared" si="821"/>
        <v>-1000</v>
      </c>
      <c r="AK412" s="132">
        <f t="shared" si="821"/>
        <v>-1000</v>
      </c>
      <c r="AL412" s="132">
        <f t="shared" si="821"/>
        <v>-1000</v>
      </c>
      <c r="AM412" s="132">
        <f t="shared" si="821"/>
        <v>-1000</v>
      </c>
      <c r="AN412" s="132">
        <f t="shared" si="821"/>
        <v>-1000</v>
      </c>
      <c r="AO412" s="132">
        <f t="shared" si="821"/>
        <v>-1000</v>
      </c>
      <c r="AP412" s="132">
        <f t="shared" si="821"/>
        <v>-1000</v>
      </c>
      <c r="AQ412" s="132">
        <f t="shared" si="821"/>
        <v>-1000</v>
      </c>
      <c r="AR412" s="132">
        <f t="shared" si="821"/>
        <v>-1000</v>
      </c>
      <c r="AS412" s="132">
        <f t="shared" si="821"/>
        <v>-1000</v>
      </c>
    </row>
    <row r="413">
      <c r="A413" s="132" t="s">
        <v>3915</v>
      </c>
      <c r="B413" s="132">
        <v>200.0</v>
      </c>
      <c r="C413" s="132">
        <v>0.0</v>
      </c>
      <c r="D413" s="132">
        <v>0.0</v>
      </c>
      <c r="E413" s="132">
        <v>0.0</v>
      </c>
      <c r="F413" s="132">
        <v>200.0</v>
      </c>
      <c r="G413" s="132">
        <v>0.0</v>
      </c>
      <c r="H413" s="132">
        <v>0.0</v>
      </c>
      <c r="I413" s="132">
        <v>0.0</v>
      </c>
      <c r="J413" s="132">
        <v>0.0</v>
      </c>
      <c r="K413" s="132">
        <v>0.0</v>
      </c>
      <c r="L413" s="132">
        <v>0.0</v>
      </c>
      <c r="M413" s="132">
        <v>0.0</v>
      </c>
      <c r="N413" s="132">
        <v>0.0</v>
      </c>
      <c r="O413" s="132">
        <v>0.0</v>
      </c>
      <c r="P413" s="132">
        <v>0.0</v>
      </c>
      <c r="Q413" s="132">
        <v>0.0</v>
      </c>
      <c r="R413" s="132">
        <v>0.0</v>
      </c>
      <c r="S413" s="132">
        <v>0.0</v>
      </c>
      <c r="T413" s="132">
        <v>0.0</v>
      </c>
      <c r="U413" s="132">
        <v>0.0</v>
      </c>
      <c r="V413" s="132">
        <v>0.0</v>
      </c>
      <c r="W413" s="132">
        <v>0.0</v>
      </c>
      <c r="Y413" s="132" t="s">
        <v>3915</v>
      </c>
      <c r="Z413" s="132">
        <f t="shared" ref="Z413:AC413" si="822">C413-1000</f>
        <v>-1000</v>
      </c>
      <c r="AA413" s="132">
        <f t="shared" si="822"/>
        <v>-1000</v>
      </c>
      <c r="AB413" s="132">
        <f t="shared" si="822"/>
        <v>-1000</v>
      </c>
      <c r="AC413" s="132">
        <f t="shared" si="822"/>
        <v>-800</v>
      </c>
      <c r="AD413" s="132">
        <f t="shared" si="4"/>
        <v>-10000</v>
      </c>
      <c r="AE413" s="132">
        <f t="shared" ref="AE413:AS413" si="823">H413-1000</f>
        <v>-1000</v>
      </c>
      <c r="AF413" s="132">
        <f t="shared" si="823"/>
        <v>-1000</v>
      </c>
      <c r="AG413" s="132">
        <f t="shared" si="823"/>
        <v>-1000</v>
      </c>
      <c r="AH413" s="132">
        <f t="shared" si="823"/>
        <v>-1000</v>
      </c>
      <c r="AI413" s="132">
        <f t="shared" si="823"/>
        <v>-1000</v>
      </c>
      <c r="AJ413" s="132">
        <f t="shared" si="823"/>
        <v>-1000</v>
      </c>
      <c r="AK413" s="132">
        <f t="shared" si="823"/>
        <v>-1000</v>
      </c>
      <c r="AL413" s="132">
        <f t="shared" si="823"/>
        <v>-1000</v>
      </c>
      <c r="AM413" s="132">
        <f t="shared" si="823"/>
        <v>-1000</v>
      </c>
      <c r="AN413" s="132">
        <f t="shared" si="823"/>
        <v>-1000</v>
      </c>
      <c r="AO413" s="132">
        <f t="shared" si="823"/>
        <v>-1000</v>
      </c>
      <c r="AP413" s="132">
        <f t="shared" si="823"/>
        <v>-1000</v>
      </c>
      <c r="AQ413" s="132">
        <f t="shared" si="823"/>
        <v>-1000</v>
      </c>
      <c r="AR413" s="132">
        <f t="shared" si="823"/>
        <v>-1000</v>
      </c>
      <c r="AS413" s="132">
        <f t="shared" si="823"/>
        <v>-1000</v>
      </c>
    </row>
    <row r="414">
      <c r="A414" s="132" t="s">
        <v>3916</v>
      </c>
      <c r="B414" s="132">
        <v>100.0</v>
      </c>
      <c r="C414" s="132">
        <v>0.0</v>
      </c>
      <c r="D414" s="132">
        <v>0.0</v>
      </c>
      <c r="E414" s="132">
        <v>0.0</v>
      </c>
      <c r="F414" s="132">
        <v>100.0</v>
      </c>
      <c r="G414" s="132">
        <v>0.0</v>
      </c>
      <c r="H414" s="132">
        <v>0.0</v>
      </c>
      <c r="I414" s="132">
        <v>0.0</v>
      </c>
      <c r="J414" s="132">
        <v>0.0</v>
      </c>
      <c r="K414" s="132">
        <v>0.0</v>
      </c>
      <c r="L414" s="132">
        <v>0.0</v>
      </c>
      <c r="M414" s="132">
        <v>0.0</v>
      </c>
      <c r="N414" s="132">
        <v>0.0</v>
      </c>
      <c r="O414" s="132">
        <v>0.0</v>
      </c>
      <c r="P414" s="132">
        <v>0.0</v>
      </c>
      <c r="Q414" s="132">
        <v>0.0</v>
      </c>
      <c r="R414" s="132">
        <v>0.0</v>
      </c>
      <c r="S414" s="132">
        <v>0.0</v>
      </c>
      <c r="T414" s="132">
        <v>0.0</v>
      </c>
      <c r="U414" s="132">
        <v>0.0</v>
      </c>
      <c r="V414" s="132">
        <v>0.0</v>
      </c>
      <c r="W414" s="132">
        <v>0.0</v>
      </c>
      <c r="Y414" s="132" t="s">
        <v>3916</v>
      </c>
      <c r="Z414" s="132">
        <f t="shared" ref="Z414:AC414" si="824">C414-1000</f>
        <v>-1000</v>
      </c>
      <c r="AA414" s="132">
        <f t="shared" si="824"/>
        <v>-1000</v>
      </c>
      <c r="AB414" s="132">
        <f t="shared" si="824"/>
        <v>-1000</v>
      </c>
      <c r="AC414" s="132">
        <f t="shared" si="824"/>
        <v>-900</v>
      </c>
      <c r="AD414" s="132">
        <f t="shared" si="4"/>
        <v>-10000</v>
      </c>
      <c r="AE414" s="132">
        <f t="shared" ref="AE414:AS414" si="825">H414-1000</f>
        <v>-1000</v>
      </c>
      <c r="AF414" s="132">
        <f t="shared" si="825"/>
        <v>-1000</v>
      </c>
      <c r="AG414" s="132">
        <f t="shared" si="825"/>
        <v>-1000</v>
      </c>
      <c r="AH414" s="132">
        <f t="shared" si="825"/>
        <v>-1000</v>
      </c>
      <c r="AI414" s="132">
        <f t="shared" si="825"/>
        <v>-1000</v>
      </c>
      <c r="AJ414" s="132">
        <f t="shared" si="825"/>
        <v>-1000</v>
      </c>
      <c r="AK414" s="132">
        <f t="shared" si="825"/>
        <v>-1000</v>
      </c>
      <c r="AL414" s="132">
        <f t="shared" si="825"/>
        <v>-1000</v>
      </c>
      <c r="AM414" s="132">
        <f t="shared" si="825"/>
        <v>-1000</v>
      </c>
      <c r="AN414" s="132">
        <f t="shared" si="825"/>
        <v>-1000</v>
      </c>
      <c r="AO414" s="132">
        <f t="shared" si="825"/>
        <v>-1000</v>
      </c>
      <c r="AP414" s="132">
        <f t="shared" si="825"/>
        <v>-1000</v>
      </c>
      <c r="AQ414" s="132">
        <f t="shared" si="825"/>
        <v>-1000</v>
      </c>
      <c r="AR414" s="132">
        <f t="shared" si="825"/>
        <v>-1000</v>
      </c>
      <c r="AS414" s="132">
        <f t="shared" si="825"/>
        <v>-1000</v>
      </c>
    </row>
    <row r="415">
      <c r="A415" s="132" t="s">
        <v>3917</v>
      </c>
      <c r="B415" s="132">
        <v>200.0</v>
      </c>
      <c r="C415" s="132">
        <v>0.0</v>
      </c>
      <c r="D415" s="132">
        <v>0.0</v>
      </c>
      <c r="E415" s="132">
        <v>0.0</v>
      </c>
      <c r="F415" s="132">
        <v>200.0</v>
      </c>
      <c r="G415" s="132">
        <v>0.0</v>
      </c>
      <c r="H415" s="132">
        <v>0.0</v>
      </c>
      <c r="I415" s="132">
        <v>0.0</v>
      </c>
      <c r="J415" s="132">
        <v>0.0</v>
      </c>
      <c r="K415" s="132">
        <v>0.0</v>
      </c>
      <c r="L415" s="132">
        <v>0.0</v>
      </c>
      <c r="M415" s="132">
        <v>0.0</v>
      </c>
      <c r="N415" s="132">
        <v>0.0</v>
      </c>
      <c r="O415" s="132">
        <v>0.0</v>
      </c>
      <c r="P415" s="132">
        <v>0.0</v>
      </c>
      <c r="Q415" s="132">
        <v>0.0</v>
      </c>
      <c r="R415" s="132">
        <v>0.0</v>
      </c>
      <c r="S415" s="132">
        <v>0.0</v>
      </c>
      <c r="T415" s="132">
        <v>0.0</v>
      </c>
      <c r="U415" s="132">
        <v>0.0</v>
      </c>
      <c r="V415" s="132">
        <v>0.0</v>
      </c>
      <c r="W415" s="132">
        <v>0.0</v>
      </c>
      <c r="Y415" s="132" t="s">
        <v>3917</v>
      </c>
      <c r="Z415" s="132">
        <f t="shared" ref="Z415:AC415" si="826">C415-1000</f>
        <v>-1000</v>
      </c>
      <c r="AA415" s="132">
        <f t="shared" si="826"/>
        <v>-1000</v>
      </c>
      <c r="AB415" s="132">
        <f t="shared" si="826"/>
        <v>-1000</v>
      </c>
      <c r="AC415" s="132">
        <f t="shared" si="826"/>
        <v>-800</v>
      </c>
      <c r="AD415" s="132">
        <f t="shared" si="4"/>
        <v>-10000</v>
      </c>
      <c r="AE415" s="132">
        <f t="shared" ref="AE415:AS415" si="827">H415-1000</f>
        <v>-1000</v>
      </c>
      <c r="AF415" s="132">
        <f t="shared" si="827"/>
        <v>-1000</v>
      </c>
      <c r="AG415" s="132">
        <f t="shared" si="827"/>
        <v>-1000</v>
      </c>
      <c r="AH415" s="132">
        <f t="shared" si="827"/>
        <v>-1000</v>
      </c>
      <c r="AI415" s="132">
        <f t="shared" si="827"/>
        <v>-1000</v>
      </c>
      <c r="AJ415" s="132">
        <f t="shared" si="827"/>
        <v>-1000</v>
      </c>
      <c r="AK415" s="132">
        <f t="shared" si="827"/>
        <v>-1000</v>
      </c>
      <c r="AL415" s="132">
        <f t="shared" si="827"/>
        <v>-1000</v>
      </c>
      <c r="AM415" s="132">
        <f t="shared" si="827"/>
        <v>-1000</v>
      </c>
      <c r="AN415" s="132">
        <f t="shared" si="827"/>
        <v>-1000</v>
      </c>
      <c r="AO415" s="132">
        <f t="shared" si="827"/>
        <v>-1000</v>
      </c>
      <c r="AP415" s="132">
        <f t="shared" si="827"/>
        <v>-1000</v>
      </c>
      <c r="AQ415" s="132">
        <f t="shared" si="827"/>
        <v>-1000</v>
      </c>
      <c r="AR415" s="132">
        <f t="shared" si="827"/>
        <v>-1000</v>
      </c>
      <c r="AS415" s="132">
        <f t="shared" si="827"/>
        <v>-1000</v>
      </c>
    </row>
    <row r="416">
      <c r="A416" s="132" t="s">
        <v>3918</v>
      </c>
      <c r="B416" s="132">
        <v>750.0</v>
      </c>
      <c r="C416" s="132">
        <v>0.0</v>
      </c>
      <c r="D416" s="132">
        <v>0.0</v>
      </c>
      <c r="E416" s="132">
        <v>250.0</v>
      </c>
      <c r="F416" s="132">
        <v>500.0</v>
      </c>
      <c r="G416" s="132">
        <v>0.0</v>
      </c>
      <c r="H416" s="132">
        <v>0.0</v>
      </c>
      <c r="I416" s="132">
        <v>0.0</v>
      </c>
      <c r="J416" s="132">
        <v>0.0</v>
      </c>
      <c r="K416" s="132">
        <v>0.0</v>
      </c>
      <c r="L416" s="132">
        <v>0.0</v>
      </c>
      <c r="M416" s="132">
        <v>0.0</v>
      </c>
      <c r="N416" s="132">
        <v>0.0</v>
      </c>
      <c r="O416" s="132">
        <v>0.0</v>
      </c>
      <c r="P416" s="132">
        <v>0.0</v>
      </c>
      <c r="Q416" s="132">
        <v>0.0</v>
      </c>
      <c r="R416" s="132">
        <v>0.0</v>
      </c>
      <c r="S416" s="132">
        <v>0.0</v>
      </c>
      <c r="T416" s="132">
        <v>0.0</v>
      </c>
      <c r="U416" s="132">
        <v>0.0</v>
      </c>
      <c r="V416" s="132">
        <v>0.0</v>
      </c>
      <c r="W416" s="132">
        <v>0.0</v>
      </c>
      <c r="Y416" s="132" t="s">
        <v>3918</v>
      </c>
      <c r="Z416" s="132">
        <f t="shared" ref="Z416:AC416" si="828">C416-1000</f>
        <v>-1000</v>
      </c>
      <c r="AA416" s="132">
        <f t="shared" si="828"/>
        <v>-1000</v>
      </c>
      <c r="AB416" s="132">
        <f t="shared" si="828"/>
        <v>-750</v>
      </c>
      <c r="AC416" s="132">
        <f t="shared" si="828"/>
        <v>-500</v>
      </c>
      <c r="AD416" s="132">
        <f t="shared" si="4"/>
        <v>-10000</v>
      </c>
      <c r="AE416" s="132">
        <f t="shared" ref="AE416:AS416" si="829">H416-1000</f>
        <v>-1000</v>
      </c>
      <c r="AF416" s="132">
        <f t="shared" si="829"/>
        <v>-1000</v>
      </c>
      <c r="AG416" s="132">
        <f t="shared" si="829"/>
        <v>-1000</v>
      </c>
      <c r="AH416" s="132">
        <f t="shared" si="829"/>
        <v>-1000</v>
      </c>
      <c r="AI416" s="132">
        <f t="shared" si="829"/>
        <v>-1000</v>
      </c>
      <c r="AJ416" s="132">
        <f t="shared" si="829"/>
        <v>-1000</v>
      </c>
      <c r="AK416" s="132">
        <f t="shared" si="829"/>
        <v>-1000</v>
      </c>
      <c r="AL416" s="132">
        <f t="shared" si="829"/>
        <v>-1000</v>
      </c>
      <c r="AM416" s="132">
        <f t="shared" si="829"/>
        <v>-1000</v>
      </c>
      <c r="AN416" s="132">
        <f t="shared" si="829"/>
        <v>-1000</v>
      </c>
      <c r="AO416" s="132">
        <f t="shared" si="829"/>
        <v>-1000</v>
      </c>
      <c r="AP416" s="132">
        <f t="shared" si="829"/>
        <v>-1000</v>
      </c>
      <c r="AQ416" s="132">
        <f t="shared" si="829"/>
        <v>-1000</v>
      </c>
      <c r="AR416" s="132">
        <f t="shared" si="829"/>
        <v>-1000</v>
      </c>
      <c r="AS416" s="132">
        <f t="shared" si="829"/>
        <v>-1000</v>
      </c>
    </row>
    <row r="417">
      <c r="A417" s="132" t="s">
        <v>3919</v>
      </c>
      <c r="B417" s="132">
        <v>200.0</v>
      </c>
      <c r="C417" s="132">
        <v>0.0</v>
      </c>
      <c r="D417" s="132">
        <v>0.0</v>
      </c>
      <c r="E417" s="132">
        <v>0.0</v>
      </c>
      <c r="F417" s="132">
        <v>200.0</v>
      </c>
      <c r="G417" s="132">
        <v>0.0</v>
      </c>
      <c r="H417" s="132">
        <v>0.0</v>
      </c>
      <c r="I417" s="132">
        <v>0.0</v>
      </c>
      <c r="J417" s="132">
        <v>0.0</v>
      </c>
      <c r="K417" s="132">
        <v>0.0</v>
      </c>
      <c r="L417" s="132">
        <v>0.0</v>
      </c>
      <c r="M417" s="132">
        <v>0.0</v>
      </c>
      <c r="N417" s="132">
        <v>0.0</v>
      </c>
      <c r="O417" s="132">
        <v>0.0</v>
      </c>
      <c r="P417" s="132">
        <v>0.0</v>
      </c>
      <c r="Q417" s="132">
        <v>0.0</v>
      </c>
      <c r="R417" s="132">
        <v>0.0</v>
      </c>
      <c r="S417" s="132">
        <v>0.0</v>
      </c>
      <c r="T417" s="132">
        <v>0.0</v>
      </c>
      <c r="U417" s="132">
        <v>0.0</v>
      </c>
      <c r="V417" s="132">
        <v>0.0</v>
      </c>
      <c r="W417" s="132">
        <v>0.0</v>
      </c>
      <c r="Y417" s="132" t="s">
        <v>3919</v>
      </c>
      <c r="Z417" s="132">
        <f t="shared" ref="Z417:AC417" si="830">C417-1000</f>
        <v>-1000</v>
      </c>
      <c r="AA417" s="132">
        <f t="shared" si="830"/>
        <v>-1000</v>
      </c>
      <c r="AB417" s="132">
        <f t="shared" si="830"/>
        <v>-1000</v>
      </c>
      <c r="AC417" s="132">
        <f t="shared" si="830"/>
        <v>-800</v>
      </c>
      <c r="AD417" s="132">
        <f t="shared" si="4"/>
        <v>-10000</v>
      </c>
      <c r="AE417" s="132">
        <f t="shared" ref="AE417:AS417" si="831">H417-1000</f>
        <v>-1000</v>
      </c>
      <c r="AF417" s="132">
        <f t="shared" si="831"/>
        <v>-1000</v>
      </c>
      <c r="AG417" s="132">
        <f t="shared" si="831"/>
        <v>-1000</v>
      </c>
      <c r="AH417" s="132">
        <f t="shared" si="831"/>
        <v>-1000</v>
      </c>
      <c r="AI417" s="132">
        <f t="shared" si="831"/>
        <v>-1000</v>
      </c>
      <c r="AJ417" s="132">
        <f t="shared" si="831"/>
        <v>-1000</v>
      </c>
      <c r="AK417" s="132">
        <f t="shared" si="831"/>
        <v>-1000</v>
      </c>
      <c r="AL417" s="132">
        <f t="shared" si="831"/>
        <v>-1000</v>
      </c>
      <c r="AM417" s="132">
        <f t="shared" si="831"/>
        <v>-1000</v>
      </c>
      <c r="AN417" s="132">
        <f t="shared" si="831"/>
        <v>-1000</v>
      </c>
      <c r="AO417" s="132">
        <f t="shared" si="831"/>
        <v>-1000</v>
      </c>
      <c r="AP417" s="132">
        <f t="shared" si="831"/>
        <v>-1000</v>
      </c>
      <c r="AQ417" s="132">
        <f t="shared" si="831"/>
        <v>-1000</v>
      </c>
      <c r="AR417" s="132">
        <f t="shared" si="831"/>
        <v>-1000</v>
      </c>
      <c r="AS417" s="132">
        <f t="shared" si="831"/>
        <v>-1000</v>
      </c>
    </row>
    <row r="418">
      <c r="A418" s="132" t="s">
        <v>3920</v>
      </c>
      <c r="B418" s="132">
        <v>100.0</v>
      </c>
      <c r="C418" s="132">
        <v>0.0</v>
      </c>
      <c r="D418" s="132">
        <v>0.0</v>
      </c>
      <c r="E418" s="132">
        <v>0.0</v>
      </c>
      <c r="F418" s="132">
        <v>100.0</v>
      </c>
      <c r="G418" s="132">
        <v>0.0</v>
      </c>
      <c r="H418" s="132">
        <v>0.0</v>
      </c>
      <c r="I418" s="132">
        <v>0.0</v>
      </c>
      <c r="J418" s="132">
        <v>0.0</v>
      </c>
      <c r="K418" s="132">
        <v>0.0</v>
      </c>
      <c r="L418" s="132">
        <v>0.0</v>
      </c>
      <c r="M418" s="132">
        <v>0.0</v>
      </c>
      <c r="N418" s="132">
        <v>0.0</v>
      </c>
      <c r="O418" s="132">
        <v>0.0</v>
      </c>
      <c r="P418" s="132">
        <v>0.0</v>
      </c>
      <c r="Q418" s="132">
        <v>0.0</v>
      </c>
      <c r="R418" s="132">
        <v>0.0</v>
      </c>
      <c r="S418" s="132">
        <v>0.0</v>
      </c>
      <c r="T418" s="132">
        <v>0.0</v>
      </c>
      <c r="U418" s="132">
        <v>0.0</v>
      </c>
      <c r="V418" s="132">
        <v>0.0</v>
      </c>
      <c r="W418" s="132">
        <v>0.0</v>
      </c>
      <c r="Y418" s="132" t="s">
        <v>3920</v>
      </c>
      <c r="Z418" s="132">
        <f t="shared" ref="Z418:AC418" si="832">C418-1000</f>
        <v>-1000</v>
      </c>
      <c r="AA418" s="132">
        <f t="shared" si="832"/>
        <v>-1000</v>
      </c>
      <c r="AB418" s="132">
        <f t="shared" si="832"/>
        <v>-1000</v>
      </c>
      <c r="AC418" s="132">
        <f t="shared" si="832"/>
        <v>-900</v>
      </c>
      <c r="AD418" s="132">
        <f t="shared" si="4"/>
        <v>-10000</v>
      </c>
      <c r="AE418" s="132">
        <f t="shared" ref="AE418:AS418" si="833">H418-1000</f>
        <v>-1000</v>
      </c>
      <c r="AF418" s="132">
        <f t="shared" si="833"/>
        <v>-1000</v>
      </c>
      <c r="AG418" s="132">
        <f t="shared" si="833"/>
        <v>-1000</v>
      </c>
      <c r="AH418" s="132">
        <f t="shared" si="833"/>
        <v>-1000</v>
      </c>
      <c r="AI418" s="132">
        <f t="shared" si="833"/>
        <v>-1000</v>
      </c>
      <c r="AJ418" s="132">
        <f t="shared" si="833"/>
        <v>-1000</v>
      </c>
      <c r="AK418" s="132">
        <f t="shared" si="833"/>
        <v>-1000</v>
      </c>
      <c r="AL418" s="132">
        <f t="shared" si="833"/>
        <v>-1000</v>
      </c>
      <c r="AM418" s="132">
        <f t="shared" si="833"/>
        <v>-1000</v>
      </c>
      <c r="AN418" s="132">
        <f t="shared" si="833"/>
        <v>-1000</v>
      </c>
      <c r="AO418" s="132">
        <f t="shared" si="833"/>
        <v>-1000</v>
      </c>
      <c r="AP418" s="132">
        <f t="shared" si="833"/>
        <v>-1000</v>
      </c>
      <c r="AQ418" s="132">
        <f t="shared" si="833"/>
        <v>-1000</v>
      </c>
      <c r="AR418" s="132">
        <f t="shared" si="833"/>
        <v>-1000</v>
      </c>
      <c r="AS418" s="132">
        <f t="shared" si="833"/>
        <v>-1000</v>
      </c>
    </row>
    <row r="419">
      <c r="A419" s="132" t="s">
        <v>3921</v>
      </c>
      <c r="B419" s="132">
        <v>500.0</v>
      </c>
      <c r="C419" s="132">
        <v>0.0</v>
      </c>
      <c r="D419" s="132">
        <v>0.0</v>
      </c>
      <c r="E419" s="132">
        <v>0.0</v>
      </c>
      <c r="F419" s="132">
        <v>500.0</v>
      </c>
      <c r="G419" s="132">
        <v>0.0</v>
      </c>
      <c r="H419" s="132">
        <v>0.0</v>
      </c>
      <c r="I419" s="132">
        <v>0.0</v>
      </c>
      <c r="J419" s="132">
        <v>0.0</v>
      </c>
      <c r="K419" s="132">
        <v>0.0</v>
      </c>
      <c r="L419" s="132">
        <v>0.0</v>
      </c>
      <c r="M419" s="132">
        <v>0.0</v>
      </c>
      <c r="N419" s="132">
        <v>0.0</v>
      </c>
      <c r="O419" s="132">
        <v>0.0</v>
      </c>
      <c r="P419" s="132">
        <v>0.0</v>
      </c>
      <c r="Q419" s="132">
        <v>0.0</v>
      </c>
      <c r="R419" s="132">
        <v>0.0</v>
      </c>
      <c r="S419" s="132">
        <v>0.0</v>
      </c>
      <c r="T419" s="132">
        <v>0.0</v>
      </c>
      <c r="U419" s="132">
        <v>0.0</v>
      </c>
      <c r="V419" s="132">
        <v>0.0</v>
      </c>
      <c r="W419" s="132">
        <v>0.0</v>
      </c>
      <c r="Y419" s="132" t="s">
        <v>3921</v>
      </c>
      <c r="Z419" s="132">
        <f t="shared" ref="Z419:AC419" si="834">C419-1000</f>
        <v>-1000</v>
      </c>
      <c r="AA419" s="132">
        <f t="shared" si="834"/>
        <v>-1000</v>
      </c>
      <c r="AB419" s="132">
        <f t="shared" si="834"/>
        <v>-1000</v>
      </c>
      <c r="AC419" s="132">
        <f t="shared" si="834"/>
        <v>-500</v>
      </c>
      <c r="AD419" s="132">
        <f t="shared" si="4"/>
        <v>-10000</v>
      </c>
      <c r="AE419" s="132">
        <f t="shared" ref="AE419:AS419" si="835">H419-1000</f>
        <v>-1000</v>
      </c>
      <c r="AF419" s="132">
        <f t="shared" si="835"/>
        <v>-1000</v>
      </c>
      <c r="AG419" s="132">
        <f t="shared" si="835"/>
        <v>-1000</v>
      </c>
      <c r="AH419" s="132">
        <f t="shared" si="835"/>
        <v>-1000</v>
      </c>
      <c r="AI419" s="132">
        <f t="shared" si="835"/>
        <v>-1000</v>
      </c>
      <c r="AJ419" s="132">
        <f t="shared" si="835"/>
        <v>-1000</v>
      </c>
      <c r="AK419" s="132">
        <f t="shared" si="835"/>
        <v>-1000</v>
      </c>
      <c r="AL419" s="132">
        <f t="shared" si="835"/>
        <v>-1000</v>
      </c>
      <c r="AM419" s="132">
        <f t="shared" si="835"/>
        <v>-1000</v>
      </c>
      <c r="AN419" s="132">
        <f t="shared" si="835"/>
        <v>-1000</v>
      </c>
      <c r="AO419" s="132">
        <f t="shared" si="835"/>
        <v>-1000</v>
      </c>
      <c r="AP419" s="132">
        <f t="shared" si="835"/>
        <v>-1000</v>
      </c>
      <c r="AQ419" s="132">
        <f t="shared" si="835"/>
        <v>-1000</v>
      </c>
      <c r="AR419" s="132">
        <f t="shared" si="835"/>
        <v>-1000</v>
      </c>
      <c r="AS419" s="132">
        <f t="shared" si="835"/>
        <v>-1000</v>
      </c>
    </row>
    <row r="420">
      <c r="A420" s="132" t="s">
        <v>3922</v>
      </c>
      <c r="B420" s="132">
        <v>100.0</v>
      </c>
      <c r="C420" s="132">
        <v>0.0</v>
      </c>
      <c r="D420" s="132">
        <v>0.0</v>
      </c>
      <c r="E420" s="132">
        <v>0.0</v>
      </c>
      <c r="F420" s="132">
        <v>100.0</v>
      </c>
      <c r="G420" s="132">
        <v>0.0</v>
      </c>
      <c r="H420" s="132">
        <v>0.0</v>
      </c>
      <c r="I420" s="132">
        <v>0.0</v>
      </c>
      <c r="J420" s="132">
        <v>0.0</v>
      </c>
      <c r="K420" s="132">
        <v>0.0</v>
      </c>
      <c r="L420" s="132">
        <v>0.0</v>
      </c>
      <c r="M420" s="132">
        <v>0.0</v>
      </c>
      <c r="N420" s="132">
        <v>0.0</v>
      </c>
      <c r="O420" s="132">
        <v>0.0</v>
      </c>
      <c r="P420" s="132">
        <v>0.0</v>
      </c>
      <c r="Q420" s="132">
        <v>0.0</v>
      </c>
      <c r="R420" s="132">
        <v>0.0</v>
      </c>
      <c r="S420" s="132">
        <v>0.0</v>
      </c>
      <c r="T420" s="132">
        <v>0.0</v>
      </c>
      <c r="U420" s="132">
        <v>0.0</v>
      </c>
      <c r="V420" s="132">
        <v>0.0</v>
      </c>
      <c r="W420" s="132">
        <v>0.0</v>
      </c>
      <c r="Y420" s="132" t="s">
        <v>3922</v>
      </c>
      <c r="Z420" s="132">
        <f t="shared" ref="Z420:AC420" si="836">C420-1000</f>
        <v>-1000</v>
      </c>
      <c r="AA420" s="132">
        <f t="shared" si="836"/>
        <v>-1000</v>
      </c>
      <c r="AB420" s="132">
        <f t="shared" si="836"/>
        <v>-1000</v>
      </c>
      <c r="AC420" s="132">
        <f t="shared" si="836"/>
        <v>-900</v>
      </c>
      <c r="AD420" s="132">
        <f t="shared" si="4"/>
        <v>-10000</v>
      </c>
      <c r="AE420" s="132">
        <f t="shared" ref="AE420:AS420" si="837">H420-1000</f>
        <v>-1000</v>
      </c>
      <c r="AF420" s="132">
        <f t="shared" si="837"/>
        <v>-1000</v>
      </c>
      <c r="AG420" s="132">
        <f t="shared" si="837"/>
        <v>-1000</v>
      </c>
      <c r="AH420" s="132">
        <f t="shared" si="837"/>
        <v>-1000</v>
      </c>
      <c r="AI420" s="132">
        <f t="shared" si="837"/>
        <v>-1000</v>
      </c>
      <c r="AJ420" s="132">
        <f t="shared" si="837"/>
        <v>-1000</v>
      </c>
      <c r="AK420" s="132">
        <f t="shared" si="837"/>
        <v>-1000</v>
      </c>
      <c r="AL420" s="132">
        <f t="shared" si="837"/>
        <v>-1000</v>
      </c>
      <c r="AM420" s="132">
        <f t="shared" si="837"/>
        <v>-1000</v>
      </c>
      <c r="AN420" s="132">
        <f t="shared" si="837"/>
        <v>-1000</v>
      </c>
      <c r="AO420" s="132">
        <f t="shared" si="837"/>
        <v>-1000</v>
      </c>
      <c r="AP420" s="132">
        <f t="shared" si="837"/>
        <v>-1000</v>
      </c>
      <c r="AQ420" s="132">
        <f t="shared" si="837"/>
        <v>-1000</v>
      </c>
      <c r="AR420" s="132">
        <f t="shared" si="837"/>
        <v>-1000</v>
      </c>
      <c r="AS420" s="132">
        <f t="shared" si="837"/>
        <v>-1000</v>
      </c>
    </row>
    <row r="421">
      <c r="A421" s="132" t="s">
        <v>3923</v>
      </c>
      <c r="B421" s="132">
        <v>100.0</v>
      </c>
      <c r="C421" s="132">
        <v>0.0</v>
      </c>
      <c r="D421" s="132">
        <v>0.0</v>
      </c>
      <c r="E421" s="132">
        <v>0.0</v>
      </c>
      <c r="F421" s="132">
        <v>100.0</v>
      </c>
      <c r="G421" s="132">
        <v>0.0</v>
      </c>
      <c r="H421" s="132">
        <v>0.0</v>
      </c>
      <c r="I421" s="132">
        <v>0.0</v>
      </c>
      <c r="J421" s="132">
        <v>0.0</v>
      </c>
      <c r="K421" s="132">
        <v>0.0</v>
      </c>
      <c r="L421" s="132">
        <v>0.0</v>
      </c>
      <c r="M421" s="132">
        <v>0.0</v>
      </c>
      <c r="N421" s="132">
        <v>0.0</v>
      </c>
      <c r="O421" s="132">
        <v>0.0</v>
      </c>
      <c r="P421" s="132">
        <v>0.0</v>
      </c>
      <c r="Q421" s="132">
        <v>0.0</v>
      </c>
      <c r="R421" s="132">
        <v>0.0</v>
      </c>
      <c r="S421" s="132">
        <v>0.0</v>
      </c>
      <c r="T421" s="132">
        <v>0.0</v>
      </c>
      <c r="U421" s="132">
        <v>0.0</v>
      </c>
      <c r="V421" s="132">
        <v>0.0</v>
      </c>
      <c r="W421" s="132">
        <v>0.0</v>
      </c>
      <c r="Y421" s="132" t="s">
        <v>3923</v>
      </c>
      <c r="Z421" s="132">
        <f t="shared" ref="Z421:AC421" si="838">C421-1000</f>
        <v>-1000</v>
      </c>
      <c r="AA421" s="132">
        <f t="shared" si="838"/>
        <v>-1000</v>
      </c>
      <c r="AB421" s="132">
        <f t="shared" si="838"/>
        <v>-1000</v>
      </c>
      <c r="AC421" s="132">
        <f t="shared" si="838"/>
        <v>-900</v>
      </c>
      <c r="AD421" s="132">
        <f t="shared" si="4"/>
        <v>-10000</v>
      </c>
      <c r="AE421" s="132">
        <f t="shared" ref="AE421:AS421" si="839">H421-1000</f>
        <v>-1000</v>
      </c>
      <c r="AF421" s="132">
        <f t="shared" si="839"/>
        <v>-1000</v>
      </c>
      <c r="AG421" s="132">
        <f t="shared" si="839"/>
        <v>-1000</v>
      </c>
      <c r="AH421" s="132">
        <f t="shared" si="839"/>
        <v>-1000</v>
      </c>
      <c r="AI421" s="132">
        <f t="shared" si="839"/>
        <v>-1000</v>
      </c>
      <c r="AJ421" s="132">
        <f t="shared" si="839"/>
        <v>-1000</v>
      </c>
      <c r="AK421" s="132">
        <f t="shared" si="839"/>
        <v>-1000</v>
      </c>
      <c r="AL421" s="132">
        <f t="shared" si="839"/>
        <v>-1000</v>
      </c>
      <c r="AM421" s="132">
        <f t="shared" si="839"/>
        <v>-1000</v>
      </c>
      <c r="AN421" s="132">
        <f t="shared" si="839"/>
        <v>-1000</v>
      </c>
      <c r="AO421" s="132">
        <f t="shared" si="839"/>
        <v>-1000</v>
      </c>
      <c r="AP421" s="132">
        <f t="shared" si="839"/>
        <v>-1000</v>
      </c>
      <c r="AQ421" s="132">
        <f t="shared" si="839"/>
        <v>-1000</v>
      </c>
      <c r="AR421" s="132">
        <f t="shared" si="839"/>
        <v>-1000</v>
      </c>
      <c r="AS421" s="132">
        <f t="shared" si="839"/>
        <v>-1000</v>
      </c>
    </row>
    <row r="422">
      <c r="A422" s="132" t="s">
        <v>3924</v>
      </c>
      <c r="B422" s="132">
        <v>250.0</v>
      </c>
      <c r="C422" s="132">
        <v>0.0</v>
      </c>
      <c r="D422" s="132">
        <v>0.0</v>
      </c>
      <c r="E422" s="132">
        <v>0.0</v>
      </c>
      <c r="F422" s="132">
        <v>250.0</v>
      </c>
      <c r="G422" s="132">
        <v>0.0</v>
      </c>
      <c r="H422" s="132">
        <v>0.0</v>
      </c>
      <c r="I422" s="132">
        <v>0.0</v>
      </c>
      <c r="J422" s="132">
        <v>0.0</v>
      </c>
      <c r="K422" s="132">
        <v>0.0</v>
      </c>
      <c r="L422" s="132">
        <v>0.0</v>
      </c>
      <c r="M422" s="132">
        <v>0.0</v>
      </c>
      <c r="N422" s="132">
        <v>0.0</v>
      </c>
      <c r="O422" s="132">
        <v>0.0</v>
      </c>
      <c r="P422" s="132">
        <v>0.0</v>
      </c>
      <c r="Q422" s="132">
        <v>0.0</v>
      </c>
      <c r="R422" s="132">
        <v>0.0</v>
      </c>
      <c r="S422" s="132">
        <v>0.0</v>
      </c>
      <c r="T422" s="132">
        <v>0.0</v>
      </c>
      <c r="U422" s="132">
        <v>0.0</v>
      </c>
      <c r="V422" s="132">
        <v>0.0</v>
      </c>
      <c r="W422" s="132">
        <v>0.0</v>
      </c>
      <c r="Y422" s="132" t="s">
        <v>3924</v>
      </c>
      <c r="Z422" s="132">
        <f t="shared" ref="Z422:AC422" si="840">C422-1000</f>
        <v>-1000</v>
      </c>
      <c r="AA422" s="132">
        <f t="shared" si="840"/>
        <v>-1000</v>
      </c>
      <c r="AB422" s="132">
        <f t="shared" si="840"/>
        <v>-1000</v>
      </c>
      <c r="AC422" s="132">
        <f t="shared" si="840"/>
        <v>-750</v>
      </c>
      <c r="AD422" s="132">
        <f t="shared" si="4"/>
        <v>-10000</v>
      </c>
      <c r="AE422" s="132">
        <f t="shared" ref="AE422:AS422" si="841">H422-1000</f>
        <v>-1000</v>
      </c>
      <c r="AF422" s="132">
        <f t="shared" si="841"/>
        <v>-1000</v>
      </c>
      <c r="AG422" s="132">
        <f t="shared" si="841"/>
        <v>-1000</v>
      </c>
      <c r="AH422" s="132">
        <f t="shared" si="841"/>
        <v>-1000</v>
      </c>
      <c r="AI422" s="132">
        <f t="shared" si="841"/>
        <v>-1000</v>
      </c>
      <c r="AJ422" s="132">
        <f t="shared" si="841"/>
        <v>-1000</v>
      </c>
      <c r="AK422" s="132">
        <f t="shared" si="841"/>
        <v>-1000</v>
      </c>
      <c r="AL422" s="132">
        <f t="shared" si="841"/>
        <v>-1000</v>
      </c>
      <c r="AM422" s="132">
        <f t="shared" si="841"/>
        <v>-1000</v>
      </c>
      <c r="AN422" s="132">
        <f t="shared" si="841"/>
        <v>-1000</v>
      </c>
      <c r="AO422" s="132">
        <f t="shared" si="841"/>
        <v>-1000</v>
      </c>
      <c r="AP422" s="132">
        <f t="shared" si="841"/>
        <v>-1000</v>
      </c>
      <c r="AQ422" s="132">
        <f t="shared" si="841"/>
        <v>-1000</v>
      </c>
      <c r="AR422" s="132">
        <f t="shared" si="841"/>
        <v>-1000</v>
      </c>
      <c r="AS422" s="132">
        <f t="shared" si="841"/>
        <v>-1000</v>
      </c>
    </row>
    <row r="423">
      <c r="A423" s="132" t="s">
        <v>3925</v>
      </c>
      <c r="B423" s="132">
        <v>1000.0</v>
      </c>
      <c r="C423" s="132">
        <v>0.0</v>
      </c>
      <c r="D423" s="132">
        <v>0.0</v>
      </c>
      <c r="E423" s="132">
        <v>0.0</v>
      </c>
      <c r="F423" s="132">
        <v>500.0</v>
      </c>
      <c r="G423" s="132">
        <v>0.0</v>
      </c>
      <c r="H423" s="132">
        <v>0.0</v>
      </c>
      <c r="I423" s="132">
        <v>0.0</v>
      </c>
      <c r="J423" s="132">
        <v>0.0</v>
      </c>
      <c r="K423" s="132">
        <v>0.0</v>
      </c>
      <c r="L423" s="132">
        <v>0.0</v>
      </c>
      <c r="M423" s="132">
        <v>0.0</v>
      </c>
      <c r="N423" s="132">
        <v>0.0</v>
      </c>
      <c r="O423" s="132">
        <v>0.0</v>
      </c>
      <c r="P423" s="132">
        <v>500.0</v>
      </c>
      <c r="Q423" s="132">
        <v>0.0</v>
      </c>
      <c r="R423" s="132">
        <v>0.0</v>
      </c>
      <c r="S423" s="132">
        <v>0.0</v>
      </c>
      <c r="T423" s="132">
        <v>0.0</v>
      </c>
      <c r="U423" s="132">
        <v>0.0</v>
      </c>
      <c r="V423" s="132">
        <v>0.0</v>
      </c>
      <c r="W423" s="132">
        <v>0.0</v>
      </c>
      <c r="Y423" s="132" t="s">
        <v>3925</v>
      </c>
      <c r="Z423" s="132">
        <f t="shared" ref="Z423:AC423" si="842">C423-1000</f>
        <v>-1000</v>
      </c>
      <c r="AA423" s="132">
        <f t="shared" si="842"/>
        <v>-1000</v>
      </c>
      <c r="AB423" s="132">
        <f t="shared" si="842"/>
        <v>-1000</v>
      </c>
      <c r="AC423" s="132">
        <f t="shared" si="842"/>
        <v>-500</v>
      </c>
      <c r="AD423" s="132">
        <f t="shared" si="4"/>
        <v>-10000</v>
      </c>
      <c r="AE423" s="132">
        <f t="shared" ref="AE423:AS423" si="843">H423-1000</f>
        <v>-1000</v>
      </c>
      <c r="AF423" s="132">
        <f t="shared" si="843"/>
        <v>-1000</v>
      </c>
      <c r="AG423" s="132">
        <f t="shared" si="843"/>
        <v>-1000</v>
      </c>
      <c r="AH423" s="132">
        <f t="shared" si="843"/>
        <v>-1000</v>
      </c>
      <c r="AI423" s="132">
        <f t="shared" si="843"/>
        <v>-1000</v>
      </c>
      <c r="AJ423" s="132">
        <f t="shared" si="843"/>
        <v>-1000</v>
      </c>
      <c r="AK423" s="132">
        <f t="shared" si="843"/>
        <v>-1000</v>
      </c>
      <c r="AL423" s="132">
        <f t="shared" si="843"/>
        <v>-1000</v>
      </c>
      <c r="AM423" s="132">
        <f t="shared" si="843"/>
        <v>-500</v>
      </c>
      <c r="AN423" s="132">
        <f t="shared" si="843"/>
        <v>-1000</v>
      </c>
      <c r="AO423" s="132">
        <f t="shared" si="843"/>
        <v>-1000</v>
      </c>
      <c r="AP423" s="132">
        <f t="shared" si="843"/>
        <v>-1000</v>
      </c>
      <c r="AQ423" s="132">
        <f t="shared" si="843"/>
        <v>-1000</v>
      </c>
      <c r="AR423" s="132">
        <f t="shared" si="843"/>
        <v>-1000</v>
      </c>
      <c r="AS423" s="132">
        <f t="shared" si="843"/>
        <v>-1000</v>
      </c>
    </row>
    <row r="424">
      <c r="A424" s="132" t="s">
        <v>3926</v>
      </c>
      <c r="B424" s="132">
        <v>50.0</v>
      </c>
      <c r="C424" s="132">
        <v>0.0</v>
      </c>
      <c r="D424" s="132">
        <v>0.0</v>
      </c>
      <c r="E424" s="132">
        <v>0.0</v>
      </c>
      <c r="F424" s="132">
        <v>50.0</v>
      </c>
      <c r="G424" s="132">
        <v>0.0</v>
      </c>
      <c r="H424" s="132">
        <v>0.0</v>
      </c>
      <c r="I424" s="132">
        <v>0.0</v>
      </c>
      <c r="J424" s="132">
        <v>0.0</v>
      </c>
      <c r="K424" s="132">
        <v>0.0</v>
      </c>
      <c r="L424" s="132">
        <v>0.0</v>
      </c>
      <c r="M424" s="132">
        <v>0.0</v>
      </c>
      <c r="N424" s="132">
        <v>0.0</v>
      </c>
      <c r="O424" s="132">
        <v>0.0</v>
      </c>
      <c r="P424" s="132">
        <v>0.0</v>
      </c>
      <c r="Q424" s="132">
        <v>0.0</v>
      </c>
      <c r="R424" s="132">
        <v>0.0</v>
      </c>
      <c r="S424" s="132">
        <v>0.0</v>
      </c>
      <c r="T424" s="132">
        <v>0.0</v>
      </c>
      <c r="U424" s="132">
        <v>0.0</v>
      </c>
      <c r="V424" s="132">
        <v>0.0</v>
      </c>
      <c r="W424" s="132">
        <v>0.0</v>
      </c>
      <c r="Y424" s="132" t="s">
        <v>3926</v>
      </c>
      <c r="Z424" s="132">
        <f t="shared" ref="Z424:AC424" si="844">C424-1000</f>
        <v>-1000</v>
      </c>
      <c r="AA424" s="132">
        <f t="shared" si="844"/>
        <v>-1000</v>
      </c>
      <c r="AB424" s="132">
        <f t="shared" si="844"/>
        <v>-1000</v>
      </c>
      <c r="AC424" s="132">
        <f t="shared" si="844"/>
        <v>-950</v>
      </c>
      <c r="AD424" s="132">
        <f t="shared" si="4"/>
        <v>-10000</v>
      </c>
      <c r="AE424" s="132">
        <f t="shared" ref="AE424:AS424" si="845">H424-1000</f>
        <v>-1000</v>
      </c>
      <c r="AF424" s="132">
        <f t="shared" si="845"/>
        <v>-1000</v>
      </c>
      <c r="AG424" s="132">
        <f t="shared" si="845"/>
        <v>-1000</v>
      </c>
      <c r="AH424" s="132">
        <f t="shared" si="845"/>
        <v>-1000</v>
      </c>
      <c r="AI424" s="132">
        <f t="shared" si="845"/>
        <v>-1000</v>
      </c>
      <c r="AJ424" s="132">
        <f t="shared" si="845"/>
        <v>-1000</v>
      </c>
      <c r="AK424" s="132">
        <f t="shared" si="845"/>
        <v>-1000</v>
      </c>
      <c r="AL424" s="132">
        <f t="shared" si="845"/>
        <v>-1000</v>
      </c>
      <c r="AM424" s="132">
        <f t="shared" si="845"/>
        <v>-1000</v>
      </c>
      <c r="AN424" s="132">
        <f t="shared" si="845"/>
        <v>-1000</v>
      </c>
      <c r="AO424" s="132">
        <f t="shared" si="845"/>
        <v>-1000</v>
      </c>
      <c r="AP424" s="132">
        <f t="shared" si="845"/>
        <v>-1000</v>
      </c>
      <c r="AQ424" s="132">
        <f t="shared" si="845"/>
        <v>-1000</v>
      </c>
      <c r="AR424" s="132">
        <f t="shared" si="845"/>
        <v>-1000</v>
      </c>
      <c r="AS424" s="132">
        <f t="shared" si="845"/>
        <v>-1000</v>
      </c>
    </row>
    <row r="425">
      <c r="A425" s="132" t="s">
        <v>3927</v>
      </c>
      <c r="B425" s="132">
        <v>1000.0</v>
      </c>
      <c r="C425" s="132">
        <v>0.0</v>
      </c>
      <c r="D425" s="132">
        <v>0.0</v>
      </c>
      <c r="E425" s="132">
        <v>0.0</v>
      </c>
      <c r="F425" s="132">
        <v>1000.0</v>
      </c>
      <c r="G425" s="132">
        <v>0.0</v>
      </c>
      <c r="H425" s="132">
        <v>0.0</v>
      </c>
      <c r="I425" s="132">
        <v>0.0</v>
      </c>
      <c r="J425" s="132">
        <v>0.0</v>
      </c>
      <c r="K425" s="132">
        <v>0.0</v>
      </c>
      <c r="L425" s="132">
        <v>0.0</v>
      </c>
      <c r="M425" s="132">
        <v>0.0</v>
      </c>
      <c r="N425" s="132">
        <v>0.0</v>
      </c>
      <c r="O425" s="132">
        <v>0.0</v>
      </c>
      <c r="P425" s="132">
        <v>0.0</v>
      </c>
      <c r="Q425" s="132">
        <v>0.0</v>
      </c>
      <c r="R425" s="132">
        <v>0.0</v>
      </c>
      <c r="S425" s="132">
        <v>0.0</v>
      </c>
      <c r="T425" s="132">
        <v>0.0</v>
      </c>
      <c r="U425" s="132">
        <v>0.0</v>
      </c>
      <c r="V425" s="132">
        <v>0.0</v>
      </c>
      <c r="W425" s="132">
        <v>0.0</v>
      </c>
      <c r="Y425" s="132" t="s">
        <v>3927</v>
      </c>
      <c r="Z425" s="132">
        <f t="shared" ref="Z425:AC425" si="846">C425-1000</f>
        <v>-1000</v>
      </c>
      <c r="AA425" s="132">
        <f t="shared" si="846"/>
        <v>-1000</v>
      </c>
      <c r="AB425" s="132">
        <f t="shared" si="846"/>
        <v>-1000</v>
      </c>
      <c r="AC425" s="132">
        <f t="shared" si="846"/>
        <v>0</v>
      </c>
      <c r="AD425" s="132">
        <f t="shared" si="4"/>
        <v>-10000</v>
      </c>
      <c r="AE425" s="132">
        <f t="shared" ref="AE425:AS425" si="847">H425-1000</f>
        <v>-1000</v>
      </c>
      <c r="AF425" s="132">
        <f t="shared" si="847"/>
        <v>-1000</v>
      </c>
      <c r="AG425" s="132">
        <f t="shared" si="847"/>
        <v>-1000</v>
      </c>
      <c r="AH425" s="132">
        <f t="shared" si="847"/>
        <v>-1000</v>
      </c>
      <c r="AI425" s="132">
        <f t="shared" si="847"/>
        <v>-1000</v>
      </c>
      <c r="AJ425" s="132">
        <f t="shared" si="847"/>
        <v>-1000</v>
      </c>
      <c r="AK425" s="132">
        <f t="shared" si="847"/>
        <v>-1000</v>
      </c>
      <c r="AL425" s="132">
        <f t="shared" si="847"/>
        <v>-1000</v>
      </c>
      <c r="AM425" s="132">
        <f t="shared" si="847"/>
        <v>-1000</v>
      </c>
      <c r="AN425" s="132">
        <f t="shared" si="847"/>
        <v>-1000</v>
      </c>
      <c r="AO425" s="132">
        <f t="shared" si="847"/>
        <v>-1000</v>
      </c>
      <c r="AP425" s="132">
        <f t="shared" si="847"/>
        <v>-1000</v>
      </c>
      <c r="AQ425" s="132">
        <f t="shared" si="847"/>
        <v>-1000</v>
      </c>
      <c r="AR425" s="132">
        <f t="shared" si="847"/>
        <v>-1000</v>
      </c>
      <c r="AS425" s="132">
        <f t="shared" si="847"/>
        <v>-1000</v>
      </c>
    </row>
    <row r="426">
      <c r="A426" s="132" t="s">
        <v>3928</v>
      </c>
      <c r="B426" s="132">
        <v>50.0</v>
      </c>
      <c r="C426" s="132">
        <v>0.0</v>
      </c>
      <c r="D426" s="132">
        <v>0.0</v>
      </c>
      <c r="E426" s="132">
        <v>0.0</v>
      </c>
      <c r="F426" s="132">
        <v>50.0</v>
      </c>
      <c r="G426" s="132">
        <v>0.0</v>
      </c>
      <c r="H426" s="132">
        <v>0.0</v>
      </c>
      <c r="I426" s="132">
        <v>0.0</v>
      </c>
      <c r="J426" s="132">
        <v>0.0</v>
      </c>
      <c r="K426" s="132">
        <v>0.0</v>
      </c>
      <c r="L426" s="132">
        <v>0.0</v>
      </c>
      <c r="M426" s="132">
        <v>0.0</v>
      </c>
      <c r="N426" s="132">
        <v>0.0</v>
      </c>
      <c r="O426" s="132">
        <v>0.0</v>
      </c>
      <c r="P426" s="132">
        <v>0.0</v>
      </c>
      <c r="Q426" s="132">
        <v>0.0</v>
      </c>
      <c r="R426" s="132">
        <v>0.0</v>
      </c>
      <c r="S426" s="132">
        <v>0.0</v>
      </c>
      <c r="T426" s="132">
        <v>0.0</v>
      </c>
      <c r="U426" s="132">
        <v>0.0</v>
      </c>
      <c r="V426" s="132">
        <v>0.0</v>
      </c>
      <c r="W426" s="132">
        <v>0.0</v>
      </c>
      <c r="Y426" s="132" t="s">
        <v>3928</v>
      </c>
      <c r="Z426" s="132">
        <f t="shared" ref="Z426:AC426" si="848">C426-1000</f>
        <v>-1000</v>
      </c>
      <c r="AA426" s="132">
        <f t="shared" si="848"/>
        <v>-1000</v>
      </c>
      <c r="AB426" s="132">
        <f t="shared" si="848"/>
        <v>-1000</v>
      </c>
      <c r="AC426" s="132">
        <f t="shared" si="848"/>
        <v>-950</v>
      </c>
      <c r="AD426" s="132">
        <f t="shared" si="4"/>
        <v>-10000</v>
      </c>
      <c r="AE426" s="132">
        <f t="shared" ref="AE426:AS426" si="849">H426-1000</f>
        <v>-1000</v>
      </c>
      <c r="AF426" s="132">
        <f t="shared" si="849"/>
        <v>-1000</v>
      </c>
      <c r="AG426" s="132">
        <f t="shared" si="849"/>
        <v>-1000</v>
      </c>
      <c r="AH426" s="132">
        <f t="shared" si="849"/>
        <v>-1000</v>
      </c>
      <c r="AI426" s="132">
        <f t="shared" si="849"/>
        <v>-1000</v>
      </c>
      <c r="AJ426" s="132">
        <f t="shared" si="849"/>
        <v>-1000</v>
      </c>
      <c r="AK426" s="132">
        <f t="shared" si="849"/>
        <v>-1000</v>
      </c>
      <c r="AL426" s="132">
        <f t="shared" si="849"/>
        <v>-1000</v>
      </c>
      <c r="AM426" s="132">
        <f t="shared" si="849"/>
        <v>-1000</v>
      </c>
      <c r="AN426" s="132">
        <f t="shared" si="849"/>
        <v>-1000</v>
      </c>
      <c r="AO426" s="132">
        <f t="shared" si="849"/>
        <v>-1000</v>
      </c>
      <c r="AP426" s="132">
        <f t="shared" si="849"/>
        <v>-1000</v>
      </c>
      <c r="AQ426" s="132">
        <f t="shared" si="849"/>
        <v>-1000</v>
      </c>
      <c r="AR426" s="132">
        <f t="shared" si="849"/>
        <v>-1000</v>
      </c>
      <c r="AS426" s="132">
        <f t="shared" si="849"/>
        <v>-1000</v>
      </c>
    </row>
    <row r="427">
      <c r="A427" s="132" t="s">
        <v>3929</v>
      </c>
      <c r="B427" s="132">
        <v>250.0</v>
      </c>
      <c r="C427" s="132">
        <v>0.0</v>
      </c>
      <c r="D427" s="132">
        <v>0.0</v>
      </c>
      <c r="E427" s="132">
        <v>0.0</v>
      </c>
      <c r="F427" s="132">
        <v>250.0</v>
      </c>
      <c r="G427" s="132">
        <v>0.0</v>
      </c>
      <c r="H427" s="132">
        <v>0.0</v>
      </c>
      <c r="I427" s="132">
        <v>0.0</v>
      </c>
      <c r="J427" s="132">
        <v>0.0</v>
      </c>
      <c r="K427" s="132">
        <v>0.0</v>
      </c>
      <c r="L427" s="132">
        <v>0.0</v>
      </c>
      <c r="M427" s="132">
        <v>0.0</v>
      </c>
      <c r="N427" s="132">
        <v>0.0</v>
      </c>
      <c r="O427" s="132">
        <v>0.0</v>
      </c>
      <c r="P427" s="132">
        <v>0.0</v>
      </c>
      <c r="Q427" s="132">
        <v>0.0</v>
      </c>
      <c r="R427" s="132">
        <v>0.0</v>
      </c>
      <c r="S427" s="132">
        <v>0.0</v>
      </c>
      <c r="T427" s="132">
        <v>0.0</v>
      </c>
      <c r="U427" s="132">
        <v>0.0</v>
      </c>
      <c r="V427" s="132">
        <v>0.0</v>
      </c>
      <c r="W427" s="132">
        <v>0.0</v>
      </c>
      <c r="Y427" s="132" t="s">
        <v>3929</v>
      </c>
      <c r="Z427" s="132">
        <f t="shared" ref="Z427:AC427" si="850">C427-1000</f>
        <v>-1000</v>
      </c>
      <c r="AA427" s="132">
        <f t="shared" si="850"/>
        <v>-1000</v>
      </c>
      <c r="AB427" s="132">
        <f t="shared" si="850"/>
        <v>-1000</v>
      </c>
      <c r="AC427" s="132">
        <f t="shared" si="850"/>
        <v>-750</v>
      </c>
      <c r="AD427" s="132">
        <f t="shared" si="4"/>
        <v>-10000</v>
      </c>
      <c r="AE427" s="132">
        <f t="shared" ref="AE427:AS427" si="851">H427-1000</f>
        <v>-1000</v>
      </c>
      <c r="AF427" s="132">
        <f t="shared" si="851"/>
        <v>-1000</v>
      </c>
      <c r="AG427" s="132">
        <f t="shared" si="851"/>
        <v>-1000</v>
      </c>
      <c r="AH427" s="132">
        <f t="shared" si="851"/>
        <v>-1000</v>
      </c>
      <c r="AI427" s="132">
        <f t="shared" si="851"/>
        <v>-1000</v>
      </c>
      <c r="AJ427" s="132">
        <f t="shared" si="851"/>
        <v>-1000</v>
      </c>
      <c r="AK427" s="132">
        <f t="shared" si="851"/>
        <v>-1000</v>
      </c>
      <c r="AL427" s="132">
        <f t="shared" si="851"/>
        <v>-1000</v>
      </c>
      <c r="AM427" s="132">
        <f t="shared" si="851"/>
        <v>-1000</v>
      </c>
      <c r="AN427" s="132">
        <f t="shared" si="851"/>
        <v>-1000</v>
      </c>
      <c r="AO427" s="132">
        <f t="shared" si="851"/>
        <v>-1000</v>
      </c>
      <c r="AP427" s="132">
        <f t="shared" si="851"/>
        <v>-1000</v>
      </c>
      <c r="AQ427" s="132">
        <f t="shared" si="851"/>
        <v>-1000</v>
      </c>
      <c r="AR427" s="132">
        <f t="shared" si="851"/>
        <v>-1000</v>
      </c>
      <c r="AS427" s="132">
        <f t="shared" si="851"/>
        <v>-1000</v>
      </c>
    </row>
    <row r="428">
      <c r="A428" s="132" t="s">
        <v>3930</v>
      </c>
      <c r="B428" s="132">
        <v>250.0</v>
      </c>
      <c r="C428" s="132">
        <v>0.0</v>
      </c>
      <c r="D428" s="132">
        <v>0.0</v>
      </c>
      <c r="E428" s="132">
        <v>0.0</v>
      </c>
      <c r="F428" s="132">
        <v>250.0</v>
      </c>
      <c r="G428" s="132">
        <v>0.0</v>
      </c>
      <c r="H428" s="132">
        <v>0.0</v>
      </c>
      <c r="I428" s="132">
        <v>0.0</v>
      </c>
      <c r="J428" s="132">
        <v>0.0</v>
      </c>
      <c r="K428" s="132">
        <v>0.0</v>
      </c>
      <c r="L428" s="132">
        <v>0.0</v>
      </c>
      <c r="M428" s="132">
        <v>0.0</v>
      </c>
      <c r="N428" s="132">
        <v>0.0</v>
      </c>
      <c r="O428" s="132">
        <v>0.0</v>
      </c>
      <c r="P428" s="132">
        <v>0.0</v>
      </c>
      <c r="Q428" s="132">
        <v>0.0</v>
      </c>
      <c r="R428" s="132">
        <v>0.0</v>
      </c>
      <c r="S428" s="132">
        <v>0.0</v>
      </c>
      <c r="T428" s="132">
        <v>0.0</v>
      </c>
      <c r="U428" s="132">
        <v>0.0</v>
      </c>
      <c r="V428" s="132">
        <v>0.0</v>
      </c>
      <c r="W428" s="132">
        <v>0.0</v>
      </c>
      <c r="Y428" s="132" t="s">
        <v>3930</v>
      </c>
      <c r="Z428" s="132">
        <f t="shared" ref="Z428:AC428" si="852">C428-1000</f>
        <v>-1000</v>
      </c>
      <c r="AA428" s="132">
        <f t="shared" si="852"/>
        <v>-1000</v>
      </c>
      <c r="AB428" s="132">
        <f t="shared" si="852"/>
        <v>-1000</v>
      </c>
      <c r="AC428" s="132">
        <f t="shared" si="852"/>
        <v>-750</v>
      </c>
      <c r="AD428" s="132">
        <f t="shared" si="4"/>
        <v>-10000</v>
      </c>
      <c r="AE428" s="132">
        <f t="shared" ref="AE428:AS428" si="853">H428-1000</f>
        <v>-1000</v>
      </c>
      <c r="AF428" s="132">
        <f t="shared" si="853"/>
        <v>-1000</v>
      </c>
      <c r="AG428" s="132">
        <f t="shared" si="853"/>
        <v>-1000</v>
      </c>
      <c r="AH428" s="132">
        <f t="shared" si="853"/>
        <v>-1000</v>
      </c>
      <c r="AI428" s="132">
        <f t="shared" si="853"/>
        <v>-1000</v>
      </c>
      <c r="AJ428" s="132">
        <f t="shared" si="853"/>
        <v>-1000</v>
      </c>
      <c r="AK428" s="132">
        <f t="shared" si="853"/>
        <v>-1000</v>
      </c>
      <c r="AL428" s="132">
        <f t="shared" si="853"/>
        <v>-1000</v>
      </c>
      <c r="AM428" s="132">
        <f t="shared" si="853"/>
        <v>-1000</v>
      </c>
      <c r="AN428" s="132">
        <f t="shared" si="853"/>
        <v>-1000</v>
      </c>
      <c r="AO428" s="132">
        <f t="shared" si="853"/>
        <v>-1000</v>
      </c>
      <c r="AP428" s="132">
        <f t="shared" si="853"/>
        <v>-1000</v>
      </c>
      <c r="AQ428" s="132">
        <f t="shared" si="853"/>
        <v>-1000</v>
      </c>
      <c r="AR428" s="132">
        <f t="shared" si="853"/>
        <v>-1000</v>
      </c>
      <c r="AS428" s="132">
        <f t="shared" si="853"/>
        <v>-1000</v>
      </c>
    </row>
    <row r="429">
      <c r="A429" s="132" t="s">
        <v>3931</v>
      </c>
      <c r="B429" s="132">
        <v>500.0</v>
      </c>
      <c r="C429" s="132">
        <v>0.0</v>
      </c>
      <c r="D429" s="132">
        <v>0.0</v>
      </c>
      <c r="E429" s="132">
        <v>0.0</v>
      </c>
      <c r="F429" s="132">
        <v>500.0</v>
      </c>
      <c r="G429" s="132">
        <v>0.0</v>
      </c>
      <c r="H429" s="132">
        <v>0.0</v>
      </c>
      <c r="I429" s="132">
        <v>0.0</v>
      </c>
      <c r="J429" s="132">
        <v>0.0</v>
      </c>
      <c r="K429" s="132">
        <v>0.0</v>
      </c>
      <c r="L429" s="132">
        <v>0.0</v>
      </c>
      <c r="M429" s="132">
        <v>0.0</v>
      </c>
      <c r="N429" s="132">
        <v>0.0</v>
      </c>
      <c r="O429" s="132">
        <v>0.0</v>
      </c>
      <c r="P429" s="132">
        <v>0.0</v>
      </c>
      <c r="Q429" s="132">
        <v>0.0</v>
      </c>
      <c r="R429" s="132">
        <v>0.0</v>
      </c>
      <c r="S429" s="132">
        <v>0.0</v>
      </c>
      <c r="T429" s="132">
        <v>0.0</v>
      </c>
      <c r="U429" s="132">
        <v>0.0</v>
      </c>
      <c r="V429" s="132">
        <v>0.0</v>
      </c>
      <c r="W429" s="132">
        <v>0.0</v>
      </c>
      <c r="Y429" s="132" t="s">
        <v>3931</v>
      </c>
      <c r="Z429" s="132">
        <f t="shared" ref="Z429:AC429" si="854">C429-1000</f>
        <v>-1000</v>
      </c>
      <c r="AA429" s="132">
        <f t="shared" si="854"/>
        <v>-1000</v>
      </c>
      <c r="AB429" s="132">
        <f t="shared" si="854"/>
        <v>-1000</v>
      </c>
      <c r="AC429" s="132">
        <f t="shared" si="854"/>
        <v>-500</v>
      </c>
      <c r="AD429" s="132">
        <f t="shared" si="4"/>
        <v>-10000</v>
      </c>
      <c r="AE429" s="132">
        <f t="shared" ref="AE429:AS429" si="855">H429-1000</f>
        <v>-1000</v>
      </c>
      <c r="AF429" s="132">
        <f t="shared" si="855"/>
        <v>-1000</v>
      </c>
      <c r="AG429" s="132">
        <f t="shared" si="855"/>
        <v>-1000</v>
      </c>
      <c r="AH429" s="132">
        <f t="shared" si="855"/>
        <v>-1000</v>
      </c>
      <c r="AI429" s="132">
        <f t="shared" si="855"/>
        <v>-1000</v>
      </c>
      <c r="AJ429" s="132">
        <f t="shared" si="855"/>
        <v>-1000</v>
      </c>
      <c r="AK429" s="132">
        <f t="shared" si="855"/>
        <v>-1000</v>
      </c>
      <c r="AL429" s="132">
        <f t="shared" si="855"/>
        <v>-1000</v>
      </c>
      <c r="AM429" s="132">
        <f t="shared" si="855"/>
        <v>-1000</v>
      </c>
      <c r="AN429" s="132">
        <f t="shared" si="855"/>
        <v>-1000</v>
      </c>
      <c r="AO429" s="132">
        <f t="shared" si="855"/>
        <v>-1000</v>
      </c>
      <c r="AP429" s="132">
        <f t="shared" si="855"/>
        <v>-1000</v>
      </c>
      <c r="AQ429" s="132">
        <f t="shared" si="855"/>
        <v>-1000</v>
      </c>
      <c r="AR429" s="132">
        <f t="shared" si="855"/>
        <v>-1000</v>
      </c>
      <c r="AS429" s="132">
        <f t="shared" si="855"/>
        <v>-1000</v>
      </c>
    </row>
    <row r="430">
      <c r="A430" s="132" t="s">
        <v>3932</v>
      </c>
      <c r="B430" s="132">
        <v>1000.0</v>
      </c>
      <c r="C430" s="132">
        <v>0.0</v>
      </c>
      <c r="D430" s="132">
        <v>0.0</v>
      </c>
      <c r="E430" s="132">
        <v>0.0</v>
      </c>
      <c r="F430" s="132">
        <v>1000.0</v>
      </c>
      <c r="G430" s="132">
        <v>0.0</v>
      </c>
      <c r="H430" s="132">
        <v>0.0</v>
      </c>
      <c r="I430" s="132">
        <v>0.0</v>
      </c>
      <c r="J430" s="132">
        <v>0.0</v>
      </c>
      <c r="K430" s="132">
        <v>0.0</v>
      </c>
      <c r="L430" s="132">
        <v>0.0</v>
      </c>
      <c r="M430" s="132">
        <v>0.0</v>
      </c>
      <c r="N430" s="132">
        <v>0.0</v>
      </c>
      <c r="O430" s="132">
        <v>0.0</v>
      </c>
      <c r="P430" s="132">
        <v>0.0</v>
      </c>
      <c r="Q430" s="132">
        <v>0.0</v>
      </c>
      <c r="R430" s="132">
        <v>0.0</v>
      </c>
      <c r="S430" s="132">
        <v>0.0</v>
      </c>
      <c r="T430" s="132">
        <v>0.0</v>
      </c>
      <c r="U430" s="132">
        <v>0.0</v>
      </c>
      <c r="V430" s="132">
        <v>0.0</v>
      </c>
      <c r="W430" s="132">
        <v>0.0</v>
      </c>
      <c r="Y430" s="132" t="s">
        <v>3932</v>
      </c>
      <c r="Z430" s="132">
        <f t="shared" ref="Z430:AC430" si="856">C430-1000</f>
        <v>-1000</v>
      </c>
      <c r="AA430" s="132">
        <f t="shared" si="856"/>
        <v>-1000</v>
      </c>
      <c r="AB430" s="132">
        <f t="shared" si="856"/>
        <v>-1000</v>
      </c>
      <c r="AC430" s="132">
        <f t="shared" si="856"/>
        <v>0</v>
      </c>
      <c r="AD430" s="132">
        <f t="shared" si="4"/>
        <v>-10000</v>
      </c>
      <c r="AE430" s="132">
        <f t="shared" ref="AE430:AS430" si="857">H430-1000</f>
        <v>-1000</v>
      </c>
      <c r="AF430" s="132">
        <f t="shared" si="857"/>
        <v>-1000</v>
      </c>
      <c r="AG430" s="132">
        <f t="shared" si="857"/>
        <v>-1000</v>
      </c>
      <c r="AH430" s="132">
        <f t="shared" si="857"/>
        <v>-1000</v>
      </c>
      <c r="AI430" s="132">
        <f t="shared" si="857"/>
        <v>-1000</v>
      </c>
      <c r="AJ430" s="132">
        <f t="shared" si="857"/>
        <v>-1000</v>
      </c>
      <c r="AK430" s="132">
        <f t="shared" si="857"/>
        <v>-1000</v>
      </c>
      <c r="AL430" s="132">
        <f t="shared" si="857"/>
        <v>-1000</v>
      </c>
      <c r="AM430" s="132">
        <f t="shared" si="857"/>
        <v>-1000</v>
      </c>
      <c r="AN430" s="132">
        <f t="shared" si="857"/>
        <v>-1000</v>
      </c>
      <c r="AO430" s="132">
        <f t="shared" si="857"/>
        <v>-1000</v>
      </c>
      <c r="AP430" s="132">
        <f t="shared" si="857"/>
        <v>-1000</v>
      </c>
      <c r="AQ430" s="132">
        <f t="shared" si="857"/>
        <v>-1000</v>
      </c>
      <c r="AR430" s="132">
        <f t="shared" si="857"/>
        <v>-1000</v>
      </c>
      <c r="AS430" s="132">
        <f t="shared" si="857"/>
        <v>-1000</v>
      </c>
    </row>
    <row r="431">
      <c r="A431" s="132" t="s">
        <v>3933</v>
      </c>
      <c r="B431" s="132">
        <v>100.0</v>
      </c>
      <c r="C431" s="132">
        <v>0.0</v>
      </c>
      <c r="D431" s="132">
        <v>0.0</v>
      </c>
      <c r="E431" s="132">
        <v>0.0</v>
      </c>
      <c r="F431" s="132">
        <v>100.0</v>
      </c>
      <c r="G431" s="132">
        <v>0.0</v>
      </c>
      <c r="H431" s="132">
        <v>0.0</v>
      </c>
      <c r="I431" s="132">
        <v>0.0</v>
      </c>
      <c r="J431" s="132">
        <v>0.0</v>
      </c>
      <c r="K431" s="132">
        <v>0.0</v>
      </c>
      <c r="L431" s="132">
        <v>0.0</v>
      </c>
      <c r="M431" s="132">
        <v>0.0</v>
      </c>
      <c r="N431" s="132">
        <v>0.0</v>
      </c>
      <c r="O431" s="132">
        <v>0.0</v>
      </c>
      <c r="P431" s="132">
        <v>0.0</v>
      </c>
      <c r="Q431" s="132">
        <v>0.0</v>
      </c>
      <c r="R431" s="132">
        <v>0.0</v>
      </c>
      <c r="S431" s="132">
        <v>0.0</v>
      </c>
      <c r="T431" s="132">
        <v>0.0</v>
      </c>
      <c r="U431" s="132">
        <v>0.0</v>
      </c>
      <c r="V431" s="132">
        <v>0.0</v>
      </c>
      <c r="W431" s="132">
        <v>0.0</v>
      </c>
      <c r="Y431" s="132" t="s">
        <v>3933</v>
      </c>
      <c r="Z431" s="132">
        <f t="shared" ref="Z431:AC431" si="858">C431-1000</f>
        <v>-1000</v>
      </c>
      <c r="AA431" s="132">
        <f t="shared" si="858"/>
        <v>-1000</v>
      </c>
      <c r="AB431" s="132">
        <f t="shared" si="858"/>
        <v>-1000</v>
      </c>
      <c r="AC431" s="132">
        <f t="shared" si="858"/>
        <v>-900</v>
      </c>
      <c r="AD431" s="132">
        <f t="shared" si="4"/>
        <v>-10000</v>
      </c>
      <c r="AE431" s="132">
        <f t="shared" ref="AE431:AS431" si="859">H431-1000</f>
        <v>-1000</v>
      </c>
      <c r="AF431" s="132">
        <f t="shared" si="859"/>
        <v>-1000</v>
      </c>
      <c r="AG431" s="132">
        <f t="shared" si="859"/>
        <v>-1000</v>
      </c>
      <c r="AH431" s="132">
        <f t="shared" si="859"/>
        <v>-1000</v>
      </c>
      <c r="AI431" s="132">
        <f t="shared" si="859"/>
        <v>-1000</v>
      </c>
      <c r="AJ431" s="132">
        <f t="shared" si="859"/>
        <v>-1000</v>
      </c>
      <c r="AK431" s="132">
        <f t="shared" si="859"/>
        <v>-1000</v>
      </c>
      <c r="AL431" s="132">
        <f t="shared" si="859"/>
        <v>-1000</v>
      </c>
      <c r="AM431" s="132">
        <f t="shared" si="859"/>
        <v>-1000</v>
      </c>
      <c r="AN431" s="132">
        <f t="shared" si="859"/>
        <v>-1000</v>
      </c>
      <c r="AO431" s="132">
        <f t="shared" si="859"/>
        <v>-1000</v>
      </c>
      <c r="AP431" s="132">
        <f t="shared" si="859"/>
        <v>-1000</v>
      </c>
      <c r="AQ431" s="132">
        <f t="shared" si="859"/>
        <v>-1000</v>
      </c>
      <c r="AR431" s="132">
        <f t="shared" si="859"/>
        <v>-1000</v>
      </c>
      <c r="AS431" s="132">
        <f t="shared" si="859"/>
        <v>-1000</v>
      </c>
    </row>
    <row r="432">
      <c r="A432" s="132" t="s">
        <v>3934</v>
      </c>
      <c r="B432" s="132">
        <v>250.0</v>
      </c>
      <c r="C432" s="132">
        <v>0.0</v>
      </c>
      <c r="D432" s="132">
        <v>0.0</v>
      </c>
      <c r="E432" s="132">
        <v>0.0</v>
      </c>
      <c r="F432" s="132">
        <v>250.0</v>
      </c>
      <c r="G432" s="132">
        <v>0.0</v>
      </c>
      <c r="H432" s="132">
        <v>0.0</v>
      </c>
      <c r="I432" s="132">
        <v>0.0</v>
      </c>
      <c r="J432" s="132">
        <v>0.0</v>
      </c>
      <c r="K432" s="132">
        <v>0.0</v>
      </c>
      <c r="L432" s="132">
        <v>0.0</v>
      </c>
      <c r="M432" s="132">
        <v>0.0</v>
      </c>
      <c r="N432" s="132">
        <v>0.0</v>
      </c>
      <c r="O432" s="132">
        <v>0.0</v>
      </c>
      <c r="P432" s="132">
        <v>0.0</v>
      </c>
      <c r="Q432" s="132">
        <v>0.0</v>
      </c>
      <c r="R432" s="132">
        <v>0.0</v>
      </c>
      <c r="S432" s="132">
        <v>0.0</v>
      </c>
      <c r="T432" s="132">
        <v>0.0</v>
      </c>
      <c r="U432" s="132">
        <v>0.0</v>
      </c>
      <c r="V432" s="132">
        <v>0.0</v>
      </c>
      <c r="W432" s="132">
        <v>0.0</v>
      </c>
      <c r="Y432" s="132" t="s">
        <v>3934</v>
      </c>
      <c r="Z432" s="132">
        <f t="shared" ref="Z432:AC432" si="860">C432-1000</f>
        <v>-1000</v>
      </c>
      <c r="AA432" s="132">
        <f t="shared" si="860"/>
        <v>-1000</v>
      </c>
      <c r="AB432" s="132">
        <f t="shared" si="860"/>
        <v>-1000</v>
      </c>
      <c r="AC432" s="132">
        <f t="shared" si="860"/>
        <v>-750</v>
      </c>
      <c r="AD432" s="132">
        <f t="shared" si="4"/>
        <v>-10000</v>
      </c>
      <c r="AE432" s="132">
        <f t="shared" ref="AE432:AS432" si="861">H432-1000</f>
        <v>-1000</v>
      </c>
      <c r="AF432" s="132">
        <f t="shared" si="861"/>
        <v>-1000</v>
      </c>
      <c r="AG432" s="132">
        <f t="shared" si="861"/>
        <v>-1000</v>
      </c>
      <c r="AH432" s="132">
        <f t="shared" si="861"/>
        <v>-1000</v>
      </c>
      <c r="AI432" s="132">
        <f t="shared" si="861"/>
        <v>-1000</v>
      </c>
      <c r="AJ432" s="132">
        <f t="shared" si="861"/>
        <v>-1000</v>
      </c>
      <c r="AK432" s="132">
        <f t="shared" si="861"/>
        <v>-1000</v>
      </c>
      <c r="AL432" s="132">
        <f t="shared" si="861"/>
        <v>-1000</v>
      </c>
      <c r="AM432" s="132">
        <f t="shared" si="861"/>
        <v>-1000</v>
      </c>
      <c r="AN432" s="132">
        <f t="shared" si="861"/>
        <v>-1000</v>
      </c>
      <c r="AO432" s="132">
        <f t="shared" si="861"/>
        <v>-1000</v>
      </c>
      <c r="AP432" s="132">
        <f t="shared" si="861"/>
        <v>-1000</v>
      </c>
      <c r="AQ432" s="132">
        <f t="shared" si="861"/>
        <v>-1000</v>
      </c>
      <c r="AR432" s="132">
        <f t="shared" si="861"/>
        <v>-1000</v>
      </c>
      <c r="AS432" s="132">
        <f t="shared" si="861"/>
        <v>-1000</v>
      </c>
    </row>
    <row r="433">
      <c r="A433" s="132" t="s">
        <v>3935</v>
      </c>
      <c r="B433" s="132">
        <v>250.0</v>
      </c>
      <c r="C433" s="132">
        <v>0.0</v>
      </c>
      <c r="D433" s="132">
        <v>0.0</v>
      </c>
      <c r="E433" s="132">
        <v>0.0</v>
      </c>
      <c r="F433" s="132">
        <v>250.0</v>
      </c>
      <c r="G433" s="132">
        <v>0.0</v>
      </c>
      <c r="H433" s="132">
        <v>0.0</v>
      </c>
      <c r="I433" s="132">
        <v>0.0</v>
      </c>
      <c r="J433" s="132">
        <v>0.0</v>
      </c>
      <c r="K433" s="132">
        <v>0.0</v>
      </c>
      <c r="L433" s="132">
        <v>0.0</v>
      </c>
      <c r="M433" s="132">
        <v>0.0</v>
      </c>
      <c r="N433" s="132">
        <v>0.0</v>
      </c>
      <c r="O433" s="132">
        <v>0.0</v>
      </c>
      <c r="P433" s="132">
        <v>0.0</v>
      </c>
      <c r="Q433" s="132">
        <v>0.0</v>
      </c>
      <c r="R433" s="132">
        <v>0.0</v>
      </c>
      <c r="S433" s="132">
        <v>0.0</v>
      </c>
      <c r="T433" s="132">
        <v>0.0</v>
      </c>
      <c r="U433" s="132">
        <v>0.0</v>
      </c>
      <c r="V433" s="132">
        <v>0.0</v>
      </c>
      <c r="W433" s="132">
        <v>0.0</v>
      </c>
      <c r="Y433" s="132" t="s">
        <v>3935</v>
      </c>
      <c r="Z433" s="132">
        <f t="shared" ref="Z433:AC433" si="862">C433-1000</f>
        <v>-1000</v>
      </c>
      <c r="AA433" s="132">
        <f t="shared" si="862"/>
        <v>-1000</v>
      </c>
      <c r="AB433" s="132">
        <f t="shared" si="862"/>
        <v>-1000</v>
      </c>
      <c r="AC433" s="132">
        <f t="shared" si="862"/>
        <v>-750</v>
      </c>
      <c r="AD433" s="132">
        <f t="shared" si="4"/>
        <v>-10000</v>
      </c>
      <c r="AE433" s="132">
        <f t="shared" ref="AE433:AS433" si="863">H433-1000</f>
        <v>-1000</v>
      </c>
      <c r="AF433" s="132">
        <f t="shared" si="863"/>
        <v>-1000</v>
      </c>
      <c r="AG433" s="132">
        <f t="shared" si="863"/>
        <v>-1000</v>
      </c>
      <c r="AH433" s="132">
        <f t="shared" si="863"/>
        <v>-1000</v>
      </c>
      <c r="AI433" s="132">
        <f t="shared" si="863"/>
        <v>-1000</v>
      </c>
      <c r="AJ433" s="132">
        <f t="shared" si="863"/>
        <v>-1000</v>
      </c>
      <c r="AK433" s="132">
        <f t="shared" si="863"/>
        <v>-1000</v>
      </c>
      <c r="AL433" s="132">
        <f t="shared" si="863"/>
        <v>-1000</v>
      </c>
      <c r="AM433" s="132">
        <f t="shared" si="863"/>
        <v>-1000</v>
      </c>
      <c r="AN433" s="132">
        <f t="shared" si="863"/>
        <v>-1000</v>
      </c>
      <c r="AO433" s="132">
        <f t="shared" si="863"/>
        <v>-1000</v>
      </c>
      <c r="AP433" s="132">
        <f t="shared" si="863"/>
        <v>-1000</v>
      </c>
      <c r="AQ433" s="132">
        <f t="shared" si="863"/>
        <v>-1000</v>
      </c>
      <c r="AR433" s="132">
        <f t="shared" si="863"/>
        <v>-1000</v>
      </c>
      <c r="AS433" s="132">
        <f t="shared" si="863"/>
        <v>-1000</v>
      </c>
    </row>
    <row r="434">
      <c r="A434" s="132" t="s">
        <v>3936</v>
      </c>
      <c r="B434" s="132">
        <v>100.0</v>
      </c>
      <c r="C434" s="132">
        <v>0.0</v>
      </c>
      <c r="D434" s="132">
        <v>0.0</v>
      </c>
      <c r="E434" s="132">
        <v>0.0</v>
      </c>
      <c r="F434" s="132">
        <v>100.0</v>
      </c>
      <c r="G434" s="132">
        <v>0.0</v>
      </c>
      <c r="H434" s="132">
        <v>0.0</v>
      </c>
      <c r="I434" s="132">
        <v>0.0</v>
      </c>
      <c r="J434" s="132">
        <v>0.0</v>
      </c>
      <c r="K434" s="132">
        <v>0.0</v>
      </c>
      <c r="L434" s="132">
        <v>0.0</v>
      </c>
      <c r="M434" s="132">
        <v>0.0</v>
      </c>
      <c r="N434" s="132">
        <v>0.0</v>
      </c>
      <c r="O434" s="132">
        <v>0.0</v>
      </c>
      <c r="P434" s="132">
        <v>0.0</v>
      </c>
      <c r="Q434" s="132">
        <v>0.0</v>
      </c>
      <c r="R434" s="132">
        <v>0.0</v>
      </c>
      <c r="S434" s="132">
        <v>0.0</v>
      </c>
      <c r="T434" s="132">
        <v>0.0</v>
      </c>
      <c r="U434" s="132">
        <v>0.0</v>
      </c>
      <c r="V434" s="132">
        <v>0.0</v>
      </c>
      <c r="W434" s="132">
        <v>0.0</v>
      </c>
      <c r="Y434" s="132" t="s">
        <v>3936</v>
      </c>
      <c r="Z434" s="132">
        <f t="shared" ref="Z434:AC434" si="864">C434-1000</f>
        <v>-1000</v>
      </c>
      <c r="AA434" s="132">
        <f t="shared" si="864"/>
        <v>-1000</v>
      </c>
      <c r="AB434" s="132">
        <f t="shared" si="864"/>
        <v>-1000</v>
      </c>
      <c r="AC434" s="132">
        <f t="shared" si="864"/>
        <v>-900</v>
      </c>
      <c r="AD434" s="132">
        <f t="shared" si="4"/>
        <v>-10000</v>
      </c>
      <c r="AE434" s="132">
        <f t="shared" ref="AE434:AS434" si="865">H434-1000</f>
        <v>-1000</v>
      </c>
      <c r="AF434" s="132">
        <f t="shared" si="865"/>
        <v>-1000</v>
      </c>
      <c r="AG434" s="132">
        <f t="shared" si="865"/>
        <v>-1000</v>
      </c>
      <c r="AH434" s="132">
        <f t="shared" si="865"/>
        <v>-1000</v>
      </c>
      <c r="AI434" s="132">
        <f t="shared" si="865"/>
        <v>-1000</v>
      </c>
      <c r="AJ434" s="132">
        <f t="shared" si="865"/>
        <v>-1000</v>
      </c>
      <c r="AK434" s="132">
        <f t="shared" si="865"/>
        <v>-1000</v>
      </c>
      <c r="AL434" s="132">
        <f t="shared" si="865"/>
        <v>-1000</v>
      </c>
      <c r="AM434" s="132">
        <f t="shared" si="865"/>
        <v>-1000</v>
      </c>
      <c r="AN434" s="132">
        <f t="shared" si="865"/>
        <v>-1000</v>
      </c>
      <c r="AO434" s="132">
        <f t="shared" si="865"/>
        <v>-1000</v>
      </c>
      <c r="AP434" s="132">
        <f t="shared" si="865"/>
        <v>-1000</v>
      </c>
      <c r="AQ434" s="132">
        <f t="shared" si="865"/>
        <v>-1000</v>
      </c>
      <c r="AR434" s="132">
        <f t="shared" si="865"/>
        <v>-1000</v>
      </c>
      <c r="AS434" s="132">
        <f t="shared" si="865"/>
        <v>-1000</v>
      </c>
    </row>
    <row r="435">
      <c r="A435" s="132" t="s">
        <v>3937</v>
      </c>
      <c r="B435" s="132">
        <v>200.0</v>
      </c>
      <c r="C435" s="132">
        <v>0.0</v>
      </c>
      <c r="D435" s="132">
        <v>0.0</v>
      </c>
      <c r="E435" s="132">
        <v>0.0</v>
      </c>
      <c r="F435" s="132">
        <v>200.0</v>
      </c>
      <c r="G435" s="132">
        <v>0.0</v>
      </c>
      <c r="H435" s="132">
        <v>0.0</v>
      </c>
      <c r="I435" s="132">
        <v>0.0</v>
      </c>
      <c r="J435" s="132">
        <v>0.0</v>
      </c>
      <c r="K435" s="132">
        <v>0.0</v>
      </c>
      <c r="L435" s="132">
        <v>0.0</v>
      </c>
      <c r="M435" s="132">
        <v>0.0</v>
      </c>
      <c r="N435" s="132">
        <v>0.0</v>
      </c>
      <c r="O435" s="132">
        <v>0.0</v>
      </c>
      <c r="P435" s="132">
        <v>0.0</v>
      </c>
      <c r="Q435" s="132">
        <v>0.0</v>
      </c>
      <c r="R435" s="132">
        <v>0.0</v>
      </c>
      <c r="S435" s="132">
        <v>0.0</v>
      </c>
      <c r="T435" s="132">
        <v>0.0</v>
      </c>
      <c r="U435" s="132">
        <v>0.0</v>
      </c>
      <c r="V435" s="132">
        <v>0.0</v>
      </c>
      <c r="W435" s="132">
        <v>0.0</v>
      </c>
      <c r="Y435" s="132" t="s">
        <v>3937</v>
      </c>
      <c r="Z435" s="132">
        <f t="shared" ref="Z435:AC435" si="866">C435-1000</f>
        <v>-1000</v>
      </c>
      <c r="AA435" s="132">
        <f t="shared" si="866"/>
        <v>-1000</v>
      </c>
      <c r="AB435" s="132">
        <f t="shared" si="866"/>
        <v>-1000</v>
      </c>
      <c r="AC435" s="132">
        <f t="shared" si="866"/>
        <v>-800</v>
      </c>
      <c r="AD435" s="132">
        <f t="shared" si="4"/>
        <v>-10000</v>
      </c>
      <c r="AE435" s="132">
        <f t="shared" ref="AE435:AS435" si="867">H435-1000</f>
        <v>-1000</v>
      </c>
      <c r="AF435" s="132">
        <f t="shared" si="867"/>
        <v>-1000</v>
      </c>
      <c r="AG435" s="132">
        <f t="shared" si="867"/>
        <v>-1000</v>
      </c>
      <c r="AH435" s="132">
        <f t="shared" si="867"/>
        <v>-1000</v>
      </c>
      <c r="AI435" s="132">
        <f t="shared" si="867"/>
        <v>-1000</v>
      </c>
      <c r="AJ435" s="132">
        <f t="shared" si="867"/>
        <v>-1000</v>
      </c>
      <c r="AK435" s="132">
        <f t="shared" si="867"/>
        <v>-1000</v>
      </c>
      <c r="AL435" s="132">
        <f t="shared" si="867"/>
        <v>-1000</v>
      </c>
      <c r="AM435" s="132">
        <f t="shared" si="867"/>
        <v>-1000</v>
      </c>
      <c r="AN435" s="132">
        <f t="shared" si="867"/>
        <v>-1000</v>
      </c>
      <c r="AO435" s="132">
        <f t="shared" si="867"/>
        <v>-1000</v>
      </c>
      <c r="AP435" s="132">
        <f t="shared" si="867"/>
        <v>-1000</v>
      </c>
      <c r="AQ435" s="132">
        <f t="shared" si="867"/>
        <v>-1000</v>
      </c>
      <c r="AR435" s="132">
        <f t="shared" si="867"/>
        <v>-1000</v>
      </c>
      <c r="AS435" s="132">
        <f t="shared" si="867"/>
        <v>-1000</v>
      </c>
    </row>
    <row r="436">
      <c r="A436" s="132" t="s">
        <v>3938</v>
      </c>
      <c r="B436" s="132">
        <v>250.0</v>
      </c>
      <c r="C436" s="132">
        <v>0.0</v>
      </c>
      <c r="D436" s="132">
        <v>0.0</v>
      </c>
      <c r="E436" s="132">
        <v>150.0</v>
      </c>
      <c r="F436" s="132">
        <v>100.0</v>
      </c>
      <c r="G436" s="132">
        <v>0.0</v>
      </c>
      <c r="H436" s="132">
        <v>0.0</v>
      </c>
      <c r="I436" s="132">
        <v>0.0</v>
      </c>
      <c r="J436" s="132">
        <v>0.0</v>
      </c>
      <c r="K436" s="132">
        <v>0.0</v>
      </c>
      <c r="L436" s="132">
        <v>0.0</v>
      </c>
      <c r="M436" s="132">
        <v>0.0</v>
      </c>
      <c r="N436" s="132">
        <v>0.0</v>
      </c>
      <c r="O436" s="132">
        <v>0.0</v>
      </c>
      <c r="P436" s="132">
        <v>0.0</v>
      </c>
      <c r="Q436" s="132">
        <v>0.0</v>
      </c>
      <c r="R436" s="132">
        <v>0.0</v>
      </c>
      <c r="S436" s="132">
        <v>0.0</v>
      </c>
      <c r="T436" s="132">
        <v>0.0</v>
      </c>
      <c r="U436" s="132">
        <v>0.0</v>
      </c>
      <c r="V436" s="132">
        <v>0.0</v>
      </c>
      <c r="W436" s="132">
        <v>1.0</v>
      </c>
      <c r="Y436" s="132" t="s">
        <v>3938</v>
      </c>
      <c r="Z436" s="132">
        <f t="shared" ref="Z436:AC436" si="868">C436-1000</f>
        <v>-1000</v>
      </c>
      <c r="AA436" s="132">
        <f t="shared" si="868"/>
        <v>-1000</v>
      </c>
      <c r="AB436" s="132">
        <f t="shared" si="868"/>
        <v>-850</v>
      </c>
      <c r="AC436" s="132">
        <f t="shared" si="868"/>
        <v>-900</v>
      </c>
      <c r="AD436" s="132">
        <f t="shared" si="4"/>
        <v>-10000</v>
      </c>
      <c r="AE436" s="132">
        <f t="shared" ref="AE436:AS436" si="869">H436-1000</f>
        <v>-1000</v>
      </c>
      <c r="AF436" s="132">
        <f t="shared" si="869"/>
        <v>-1000</v>
      </c>
      <c r="AG436" s="132">
        <f t="shared" si="869"/>
        <v>-1000</v>
      </c>
      <c r="AH436" s="132">
        <f t="shared" si="869"/>
        <v>-1000</v>
      </c>
      <c r="AI436" s="132">
        <f t="shared" si="869"/>
        <v>-1000</v>
      </c>
      <c r="AJ436" s="132">
        <f t="shared" si="869"/>
        <v>-1000</v>
      </c>
      <c r="AK436" s="132">
        <f t="shared" si="869"/>
        <v>-1000</v>
      </c>
      <c r="AL436" s="132">
        <f t="shared" si="869"/>
        <v>-1000</v>
      </c>
      <c r="AM436" s="132">
        <f t="shared" si="869"/>
        <v>-1000</v>
      </c>
      <c r="AN436" s="132">
        <f t="shared" si="869"/>
        <v>-1000</v>
      </c>
      <c r="AO436" s="132">
        <f t="shared" si="869"/>
        <v>-1000</v>
      </c>
      <c r="AP436" s="132">
        <f t="shared" si="869"/>
        <v>-1000</v>
      </c>
      <c r="AQ436" s="132">
        <f t="shared" si="869"/>
        <v>-1000</v>
      </c>
      <c r="AR436" s="132">
        <f t="shared" si="869"/>
        <v>-1000</v>
      </c>
      <c r="AS436" s="132">
        <f t="shared" si="869"/>
        <v>-1000</v>
      </c>
    </row>
    <row r="437">
      <c r="A437" s="132" t="s">
        <v>3939</v>
      </c>
      <c r="B437" s="132">
        <v>250.0</v>
      </c>
      <c r="C437" s="132">
        <v>0.0</v>
      </c>
      <c r="D437" s="132">
        <v>0.0</v>
      </c>
      <c r="E437" s="132">
        <v>0.0</v>
      </c>
      <c r="F437" s="132">
        <v>250.0</v>
      </c>
      <c r="G437" s="132">
        <v>0.0</v>
      </c>
      <c r="H437" s="132">
        <v>0.0</v>
      </c>
      <c r="I437" s="132">
        <v>0.0</v>
      </c>
      <c r="J437" s="132">
        <v>0.0</v>
      </c>
      <c r="K437" s="132">
        <v>0.0</v>
      </c>
      <c r="L437" s="132">
        <v>0.0</v>
      </c>
      <c r="M437" s="132">
        <v>0.0</v>
      </c>
      <c r="N437" s="132">
        <v>0.0</v>
      </c>
      <c r="O437" s="132">
        <v>0.0</v>
      </c>
      <c r="P437" s="132">
        <v>0.0</v>
      </c>
      <c r="Q437" s="132">
        <v>0.0</v>
      </c>
      <c r="R437" s="132">
        <v>0.0</v>
      </c>
      <c r="S437" s="132">
        <v>0.0</v>
      </c>
      <c r="T437" s="132">
        <v>0.0</v>
      </c>
      <c r="U437" s="132">
        <v>0.0</v>
      </c>
      <c r="V437" s="132">
        <v>0.0</v>
      </c>
      <c r="W437" s="132">
        <v>0.0</v>
      </c>
      <c r="Y437" s="132" t="s">
        <v>3939</v>
      </c>
      <c r="Z437" s="132">
        <f t="shared" ref="Z437:AC437" si="870">C437-1000</f>
        <v>-1000</v>
      </c>
      <c r="AA437" s="132">
        <f t="shared" si="870"/>
        <v>-1000</v>
      </c>
      <c r="AB437" s="132">
        <f t="shared" si="870"/>
        <v>-1000</v>
      </c>
      <c r="AC437" s="132">
        <f t="shared" si="870"/>
        <v>-750</v>
      </c>
      <c r="AD437" s="132">
        <f t="shared" si="4"/>
        <v>-10000</v>
      </c>
      <c r="AE437" s="132">
        <f t="shared" ref="AE437:AS437" si="871">H437-1000</f>
        <v>-1000</v>
      </c>
      <c r="AF437" s="132">
        <f t="shared" si="871"/>
        <v>-1000</v>
      </c>
      <c r="AG437" s="132">
        <f t="shared" si="871"/>
        <v>-1000</v>
      </c>
      <c r="AH437" s="132">
        <f t="shared" si="871"/>
        <v>-1000</v>
      </c>
      <c r="AI437" s="132">
        <f t="shared" si="871"/>
        <v>-1000</v>
      </c>
      <c r="AJ437" s="132">
        <f t="shared" si="871"/>
        <v>-1000</v>
      </c>
      <c r="AK437" s="132">
        <f t="shared" si="871"/>
        <v>-1000</v>
      </c>
      <c r="AL437" s="132">
        <f t="shared" si="871"/>
        <v>-1000</v>
      </c>
      <c r="AM437" s="132">
        <f t="shared" si="871"/>
        <v>-1000</v>
      </c>
      <c r="AN437" s="132">
        <f t="shared" si="871"/>
        <v>-1000</v>
      </c>
      <c r="AO437" s="132">
        <f t="shared" si="871"/>
        <v>-1000</v>
      </c>
      <c r="AP437" s="132">
        <f t="shared" si="871"/>
        <v>-1000</v>
      </c>
      <c r="AQ437" s="132">
        <f t="shared" si="871"/>
        <v>-1000</v>
      </c>
      <c r="AR437" s="132">
        <f t="shared" si="871"/>
        <v>-1000</v>
      </c>
      <c r="AS437" s="132">
        <f t="shared" si="871"/>
        <v>-1000</v>
      </c>
    </row>
    <row r="438">
      <c r="A438" s="132" t="s">
        <v>3940</v>
      </c>
      <c r="B438" s="132">
        <v>1000.0</v>
      </c>
      <c r="C438" s="132">
        <v>0.0</v>
      </c>
      <c r="D438" s="132">
        <v>0.0</v>
      </c>
      <c r="E438" s="132">
        <v>0.0</v>
      </c>
      <c r="F438" s="132">
        <v>1000.0</v>
      </c>
      <c r="G438" s="132">
        <v>0.0</v>
      </c>
      <c r="H438" s="132">
        <v>0.0</v>
      </c>
      <c r="I438" s="132">
        <v>0.0</v>
      </c>
      <c r="J438" s="132">
        <v>0.0</v>
      </c>
      <c r="K438" s="132">
        <v>0.0</v>
      </c>
      <c r="L438" s="132">
        <v>0.0</v>
      </c>
      <c r="M438" s="132">
        <v>0.0</v>
      </c>
      <c r="N438" s="132">
        <v>0.0</v>
      </c>
      <c r="O438" s="132">
        <v>0.0</v>
      </c>
      <c r="P438" s="132">
        <v>0.0</v>
      </c>
      <c r="Q438" s="132">
        <v>0.0</v>
      </c>
      <c r="R438" s="132">
        <v>0.0</v>
      </c>
      <c r="S438" s="132">
        <v>0.0</v>
      </c>
      <c r="T438" s="132">
        <v>0.0</v>
      </c>
      <c r="U438" s="132">
        <v>0.0</v>
      </c>
      <c r="V438" s="132">
        <v>0.0</v>
      </c>
      <c r="W438" s="132">
        <v>0.0</v>
      </c>
      <c r="Y438" s="132" t="s">
        <v>3940</v>
      </c>
      <c r="Z438" s="132">
        <f t="shared" ref="Z438:AC438" si="872">C438-1000</f>
        <v>-1000</v>
      </c>
      <c r="AA438" s="132">
        <f t="shared" si="872"/>
        <v>-1000</v>
      </c>
      <c r="AB438" s="132">
        <f t="shared" si="872"/>
        <v>-1000</v>
      </c>
      <c r="AC438" s="132">
        <f t="shared" si="872"/>
        <v>0</v>
      </c>
      <c r="AD438" s="132">
        <f t="shared" si="4"/>
        <v>-10000</v>
      </c>
      <c r="AE438" s="132">
        <f t="shared" ref="AE438:AS438" si="873">H438-1000</f>
        <v>-1000</v>
      </c>
      <c r="AF438" s="132">
        <f t="shared" si="873"/>
        <v>-1000</v>
      </c>
      <c r="AG438" s="132">
        <f t="shared" si="873"/>
        <v>-1000</v>
      </c>
      <c r="AH438" s="132">
        <f t="shared" si="873"/>
        <v>-1000</v>
      </c>
      <c r="AI438" s="132">
        <f t="shared" si="873"/>
        <v>-1000</v>
      </c>
      <c r="AJ438" s="132">
        <f t="shared" si="873"/>
        <v>-1000</v>
      </c>
      <c r="AK438" s="132">
        <f t="shared" si="873"/>
        <v>-1000</v>
      </c>
      <c r="AL438" s="132">
        <f t="shared" si="873"/>
        <v>-1000</v>
      </c>
      <c r="AM438" s="132">
        <f t="shared" si="873"/>
        <v>-1000</v>
      </c>
      <c r="AN438" s="132">
        <f t="shared" si="873"/>
        <v>-1000</v>
      </c>
      <c r="AO438" s="132">
        <f t="shared" si="873"/>
        <v>-1000</v>
      </c>
      <c r="AP438" s="132">
        <f t="shared" si="873"/>
        <v>-1000</v>
      </c>
      <c r="AQ438" s="132">
        <f t="shared" si="873"/>
        <v>-1000</v>
      </c>
      <c r="AR438" s="132">
        <f t="shared" si="873"/>
        <v>-1000</v>
      </c>
      <c r="AS438" s="132">
        <f t="shared" si="873"/>
        <v>-1000</v>
      </c>
    </row>
    <row r="439">
      <c r="A439" s="132" t="s">
        <v>3941</v>
      </c>
      <c r="B439" s="132">
        <v>600.0</v>
      </c>
      <c r="C439" s="132">
        <v>0.0</v>
      </c>
      <c r="D439" s="132">
        <v>0.0</v>
      </c>
      <c r="E439" s="132">
        <v>0.0</v>
      </c>
      <c r="F439" s="132">
        <v>500.0</v>
      </c>
      <c r="G439" s="132">
        <v>100.0</v>
      </c>
      <c r="H439" s="132">
        <v>0.0</v>
      </c>
      <c r="I439" s="132">
        <v>0.0</v>
      </c>
      <c r="J439" s="132">
        <v>0.0</v>
      </c>
      <c r="K439" s="132">
        <v>0.0</v>
      </c>
      <c r="L439" s="132">
        <v>0.0</v>
      </c>
      <c r="M439" s="132">
        <v>0.0</v>
      </c>
      <c r="N439" s="132">
        <v>0.0</v>
      </c>
      <c r="O439" s="132">
        <v>0.0</v>
      </c>
      <c r="P439" s="132">
        <v>0.0</v>
      </c>
      <c r="Q439" s="132">
        <v>0.0</v>
      </c>
      <c r="R439" s="132">
        <v>0.0</v>
      </c>
      <c r="S439" s="132">
        <v>0.0</v>
      </c>
      <c r="T439" s="132">
        <v>0.0</v>
      </c>
      <c r="U439" s="132">
        <v>0.0</v>
      </c>
      <c r="V439" s="132">
        <v>0.0</v>
      </c>
      <c r="W439" s="132">
        <v>1.0</v>
      </c>
      <c r="Y439" s="132" t="s">
        <v>3941</v>
      </c>
      <c r="Z439" s="132">
        <f t="shared" ref="Z439:AC439" si="874">C439-1000</f>
        <v>-1000</v>
      </c>
      <c r="AA439" s="132">
        <f t="shared" si="874"/>
        <v>-1000</v>
      </c>
      <c r="AB439" s="132">
        <f t="shared" si="874"/>
        <v>-1000</v>
      </c>
      <c r="AC439" s="132">
        <f t="shared" si="874"/>
        <v>-500</v>
      </c>
      <c r="AD439" s="132">
        <f t="shared" si="4"/>
        <v>-9900</v>
      </c>
      <c r="AE439" s="132">
        <f t="shared" ref="AE439:AS439" si="875">H439-1000</f>
        <v>-1000</v>
      </c>
      <c r="AF439" s="132">
        <f t="shared" si="875"/>
        <v>-1000</v>
      </c>
      <c r="AG439" s="132">
        <f t="shared" si="875"/>
        <v>-1000</v>
      </c>
      <c r="AH439" s="132">
        <f t="shared" si="875"/>
        <v>-1000</v>
      </c>
      <c r="AI439" s="132">
        <f t="shared" si="875"/>
        <v>-1000</v>
      </c>
      <c r="AJ439" s="132">
        <f t="shared" si="875"/>
        <v>-1000</v>
      </c>
      <c r="AK439" s="132">
        <f t="shared" si="875"/>
        <v>-1000</v>
      </c>
      <c r="AL439" s="132">
        <f t="shared" si="875"/>
        <v>-1000</v>
      </c>
      <c r="AM439" s="132">
        <f t="shared" si="875"/>
        <v>-1000</v>
      </c>
      <c r="AN439" s="132">
        <f t="shared" si="875"/>
        <v>-1000</v>
      </c>
      <c r="AO439" s="132">
        <f t="shared" si="875"/>
        <v>-1000</v>
      </c>
      <c r="AP439" s="132">
        <f t="shared" si="875"/>
        <v>-1000</v>
      </c>
      <c r="AQ439" s="132">
        <f t="shared" si="875"/>
        <v>-1000</v>
      </c>
      <c r="AR439" s="132">
        <f t="shared" si="875"/>
        <v>-1000</v>
      </c>
      <c r="AS439" s="132">
        <f t="shared" si="875"/>
        <v>-1000</v>
      </c>
    </row>
    <row r="440">
      <c r="A440" s="132" t="s">
        <v>3942</v>
      </c>
      <c r="B440" s="132">
        <v>1350.0</v>
      </c>
      <c r="C440" s="132">
        <v>0.0</v>
      </c>
      <c r="D440" s="132">
        <v>0.0</v>
      </c>
      <c r="E440" s="132">
        <v>0.0</v>
      </c>
      <c r="F440" s="132">
        <v>250.0</v>
      </c>
      <c r="G440" s="132">
        <v>100.0</v>
      </c>
      <c r="H440" s="132">
        <v>0.0</v>
      </c>
      <c r="I440" s="132">
        <v>0.0</v>
      </c>
      <c r="J440" s="132">
        <v>0.0</v>
      </c>
      <c r="K440" s="132">
        <v>1000.0</v>
      </c>
      <c r="L440" s="132">
        <v>0.0</v>
      </c>
      <c r="M440" s="132">
        <v>0.0</v>
      </c>
      <c r="N440" s="132">
        <v>0.0</v>
      </c>
      <c r="O440" s="132">
        <v>0.0</v>
      </c>
      <c r="P440" s="132">
        <v>0.0</v>
      </c>
      <c r="Q440" s="132">
        <v>0.0</v>
      </c>
      <c r="R440" s="132">
        <v>0.0</v>
      </c>
      <c r="S440" s="132">
        <v>0.0</v>
      </c>
      <c r="T440" s="132">
        <v>0.0</v>
      </c>
      <c r="U440" s="132">
        <v>0.0</v>
      </c>
      <c r="V440" s="132">
        <v>0.0</v>
      </c>
      <c r="W440" s="132">
        <v>1.0</v>
      </c>
      <c r="Y440" s="132" t="s">
        <v>3942</v>
      </c>
      <c r="Z440" s="132">
        <f t="shared" ref="Z440:AC440" si="876">C440-1000</f>
        <v>-1000</v>
      </c>
      <c r="AA440" s="132">
        <f t="shared" si="876"/>
        <v>-1000</v>
      </c>
      <c r="AB440" s="132">
        <f t="shared" si="876"/>
        <v>-1000</v>
      </c>
      <c r="AC440" s="132">
        <f t="shared" si="876"/>
        <v>-750</v>
      </c>
      <c r="AD440" s="132">
        <f t="shared" si="4"/>
        <v>-9900</v>
      </c>
      <c r="AE440" s="132">
        <f t="shared" ref="AE440:AS440" si="877">H440-1000</f>
        <v>-1000</v>
      </c>
      <c r="AF440" s="132">
        <f t="shared" si="877"/>
        <v>-1000</v>
      </c>
      <c r="AG440" s="132">
        <f t="shared" si="877"/>
        <v>-1000</v>
      </c>
      <c r="AH440" s="132">
        <f t="shared" si="877"/>
        <v>0</v>
      </c>
      <c r="AI440" s="132">
        <f t="shared" si="877"/>
        <v>-1000</v>
      </c>
      <c r="AJ440" s="132">
        <f t="shared" si="877"/>
        <v>-1000</v>
      </c>
      <c r="AK440" s="132">
        <f t="shared" si="877"/>
        <v>-1000</v>
      </c>
      <c r="AL440" s="132">
        <f t="shared" si="877"/>
        <v>-1000</v>
      </c>
      <c r="AM440" s="132">
        <f t="shared" si="877"/>
        <v>-1000</v>
      </c>
      <c r="AN440" s="132">
        <f t="shared" si="877"/>
        <v>-1000</v>
      </c>
      <c r="AO440" s="132">
        <f t="shared" si="877"/>
        <v>-1000</v>
      </c>
      <c r="AP440" s="132">
        <f t="shared" si="877"/>
        <v>-1000</v>
      </c>
      <c r="AQ440" s="132">
        <f t="shared" si="877"/>
        <v>-1000</v>
      </c>
      <c r="AR440" s="132">
        <f t="shared" si="877"/>
        <v>-1000</v>
      </c>
      <c r="AS440" s="132">
        <f t="shared" si="877"/>
        <v>-1000</v>
      </c>
    </row>
    <row r="441">
      <c r="A441" s="132" t="s">
        <v>3943</v>
      </c>
      <c r="B441" s="132">
        <v>1950.0</v>
      </c>
      <c r="C441" s="132">
        <v>0.0</v>
      </c>
      <c r="D441" s="132">
        <v>0.0</v>
      </c>
      <c r="E441" s="132">
        <v>500.0</v>
      </c>
      <c r="F441" s="132">
        <v>250.0</v>
      </c>
      <c r="G441" s="132">
        <v>600.0</v>
      </c>
      <c r="H441" s="132">
        <v>0.0</v>
      </c>
      <c r="I441" s="132">
        <v>100.0</v>
      </c>
      <c r="J441" s="132">
        <v>0.0</v>
      </c>
      <c r="K441" s="132">
        <v>0.0</v>
      </c>
      <c r="L441" s="132">
        <v>0.0</v>
      </c>
      <c r="M441" s="132">
        <v>500.0</v>
      </c>
      <c r="N441" s="132">
        <v>0.0</v>
      </c>
      <c r="O441" s="132">
        <v>0.0</v>
      </c>
      <c r="P441" s="132">
        <v>0.0</v>
      </c>
      <c r="Q441" s="132">
        <v>0.0</v>
      </c>
      <c r="R441" s="132">
        <v>0.0</v>
      </c>
      <c r="S441" s="132">
        <v>0.0</v>
      </c>
      <c r="T441" s="132">
        <v>0.0</v>
      </c>
      <c r="U441" s="132">
        <v>0.0</v>
      </c>
      <c r="V441" s="132">
        <v>0.0</v>
      </c>
      <c r="W441" s="132">
        <v>1.0</v>
      </c>
      <c r="Y441" s="132" t="s">
        <v>3943</v>
      </c>
      <c r="Z441" s="132">
        <f t="shared" ref="Z441:AC441" si="878">C441-1000</f>
        <v>-1000</v>
      </c>
      <c r="AA441" s="132">
        <f t="shared" si="878"/>
        <v>-1000</v>
      </c>
      <c r="AB441" s="132">
        <f t="shared" si="878"/>
        <v>-500</v>
      </c>
      <c r="AC441" s="132">
        <f t="shared" si="878"/>
        <v>-750</v>
      </c>
      <c r="AD441" s="132">
        <f t="shared" si="4"/>
        <v>-9400</v>
      </c>
      <c r="AE441" s="132">
        <f t="shared" ref="AE441:AS441" si="879">H441-1000</f>
        <v>-1000</v>
      </c>
      <c r="AF441" s="132">
        <f t="shared" si="879"/>
        <v>-900</v>
      </c>
      <c r="AG441" s="132">
        <f t="shared" si="879"/>
        <v>-1000</v>
      </c>
      <c r="AH441" s="132">
        <f t="shared" si="879"/>
        <v>-1000</v>
      </c>
      <c r="AI441" s="132">
        <f t="shared" si="879"/>
        <v>-1000</v>
      </c>
      <c r="AJ441" s="132">
        <f t="shared" si="879"/>
        <v>-500</v>
      </c>
      <c r="AK441" s="132">
        <f t="shared" si="879"/>
        <v>-1000</v>
      </c>
      <c r="AL441" s="132">
        <f t="shared" si="879"/>
        <v>-1000</v>
      </c>
      <c r="AM441" s="132">
        <f t="shared" si="879"/>
        <v>-1000</v>
      </c>
      <c r="AN441" s="132">
        <f t="shared" si="879"/>
        <v>-1000</v>
      </c>
      <c r="AO441" s="132">
        <f t="shared" si="879"/>
        <v>-1000</v>
      </c>
      <c r="AP441" s="132">
        <f t="shared" si="879"/>
        <v>-1000</v>
      </c>
      <c r="AQ441" s="132">
        <f t="shared" si="879"/>
        <v>-1000</v>
      </c>
      <c r="AR441" s="132">
        <f t="shared" si="879"/>
        <v>-1000</v>
      </c>
      <c r="AS441" s="132">
        <f t="shared" si="879"/>
        <v>-1000</v>
      </c>
    </row>
    <row r="442">
      <c r="A442" s="132" t="s">
        <v>3944</v>
      </c>
      <c r="B442" s="132">
        <v>60.0</v>
      </c>
      <c r="C442" s="132">
        <v>0.0</v>
      </c>
      <c r="D442" s="132">
        <v>0.0</v>
      </c>
      <c r="E442" s="132">
        <v>0.0</v>
      </c>
      <c r="F442" s="132">
        <v>60.0</v>
      </c>
      <c r="G442" s="132">
        <v>0.0</v>
      </c>
      <c r="H442" s="132">
        <v>0.0</v>
      </c>
      <c r="I442" s="132">
        <v>0.0</v>
      </c>
      <c r="J442" s="132">
        <v>0.0</v>
      </c>
      <c r="K442" s="132">
        <v>0.0</v>
      </c>
      <c r="L442" s="132">
        <v>0.0</v>
      </c>
      <c r="M442" s="132">
        <v>0.0</v>
      </c>
      <c r="N442" s="132">
        <v>0.0</v>
      </c>
      <c r="O442" s="132">
        <v>0.0</v>
      </c>
      <c r="P442" s="132">
        <v>0.0</v>
      </c>
      <c r="Q442" s="132">
        <v>0.0</v>
      </c>
      <c r="R442" s="132">
        <v>0.0</v>
      </c>
      <c r="S442" s="132">
        <v>0.0</v>
      </c>
      <c r="T442" s="132">
        <v>0.0</v>
      </c>
      <c r="U442" s="132">
        <v>0.0</v>
      </c>
      <c r="V442" s="132">
        <v>0.0</v>
      </c>
      <c r="W442" s="132">
        <v>0.0</v>
      </c>
      <c r="Y442" s="132" t="s">
        <v>3944</v>
      </c>
      <c r="Z442" s="132">
        <f t="shared" ref="Z442:AC442" si="880">C442-1000</f>
        <v>-1000</v>
      </c>
      <c r="AA442" s="132">
        <f t="shared" si="880"/>
        <v>-1000</v>
      </c>
      <c r="AB442" s="132">
        <f t="shared" si="880"/>
        <v>-1000</v>
      </c>
      <c r="AC442" s="132">
        <f t="shared" si="880"/>
        <v>-940</v>
      </c>
      <c r="AD442" s="132">
        <f t="shared" si="4"/>
        <v>-10000</v>
      </c>
      <c r="AE442" s="132">
        <f t="shared" ref="AE442:AS442" si="881">H442-1000</f>
        <v>-1000</v>
      </c>
      <c r="AF442" s="132">
        <f t="shared" si="881"/>
        <v>-1000</v>
      </c>
      <c r="AG442" s="132">
        <f t="shared" si="881"/>
        <v>-1000</v>
      </c>
      <c r="AH442" s="132">
        <f t="shared" si="881"/>
        <v>-1000</v>
      </c>
      <c r="AI442" s="132">
        <f t="shared" si="881"/>
        <v>-1000</v>
      </c>
      <c r="AJ442" s="132">
        <f t="shared" si="881"/>
        <v>-1000</v>
      </c>
      <c r="AK442" s="132">
        <f t="shared" si="881"/>
        <v>-1000</v>
      </c>
      <c r="AL442" s="132">
        <f t="shared" si="881"/>
        <v>-1000</v>
      </c>
      <c r="AM442" s="132">
        <f t="shared" si="881"/>
        <v>-1000</v>
      </c>
      <c r="AN442" s="132">
        <f t="shared" si="881"/>
        <v>-1000</v>
      </c>
      <c r="AO442" s="132">
        <f t="shared" si="881"/>
        <v>-1000</v>
      </c>
      <c r="AP442" s="132">
        <f t="shared" si="881"/>
        <v>-1000</v>
      </c>
      <c r="AQ442" s="132">
        <f t="shared" si="881"/>
        <v>-1000</v>
      </c>
      <c r="AR442" s="132">
        <f t="shared" si="881"/>
        <v>-1000</v>
      </c>
      <c r="AS442" s="132">
        <f t="shared" si="881"/>
        <v>-1000</v>
      </c>
    </row>
    <row r="443">
      <c r="A443" s="132" t="s">
        <v>3945</v>
      </c>
      <c r="B443" s="132">
        <v>1000.0</v>
      </c>
      <c r="C443" s="132">
        <v>0.0</v>
      </c>
      <c r="D443" s="132">
        <v>0.0</v>
      </c>
      <c r="E443" s="132">
        <v>0.0</v>
      </c>
      <c r="F443" s="132">
        <v>1000.0</v>
      </c>
      <c r="G443" s="132">
        <v>0.0</v>
      </c>
      <c r="H443" s="132">
        <v>0.0</v>
      </c>
      <c r="I443" s="132">
        <v>0.0</v>
      </c>
      <c r="J443" s="132">
        <v>0.0</v>
      </c>
      <c r="K443" s="132">
        <v>0.0</v>
      </c>
      <c r="L443" s="132">
        <v>0.0</v>
      </c>
      <c r="M443" s="132">
        <v>0.0</v>
      </c>
      <c r="N443" s="132">
        <v>0.0</v>
      </c>
      <c r="O443" s="132">
        <v>0.0</v>
      </c>
      <c r="P443" s="132">
        <v>0.0</v>
      </c>
      <c r="Q443" s="132">
        <v>0.0</v>
      </c>
      <c r="R443" s="132">
        <v>0.0</v>
      </c>
      <c r="S443" s="132">
        <v>0.0</v>
      </c>
      <c r="T443" s="132">
        <v>0.0</v>
      </c>
      <c r="U443" s="132">
        <v>0.0</v>
      </c>
      <c r="V443" s="132">
        <v>0.0</v>
      </c>
      <c r="W443" s="132">
        <v>0.0</v>
      </c>
      <c r="Y443" s="132" t="s">
        <v>3945</v>
      </c>
      <c r="Z443" s="132">
        <f t="shared" ref="Z443:AC443" si="882">C443-1000</f>
        <v>-1000</v>
      </c>
      <c r="AA443" s="132">
        <f t="shared" si="882"/>
        <v>-1000</v>
      </c>
      <c r="AB443" s="132">
        <f t="shared" si="882"/>
        <v>-1000</v>
      </c>
      <c r="AC443" s="132">
        <f t="shared" si="882"/>
        <v>0</v>
      </c>
      <c r="AD443" s="132">
        <f t="shared" si="4"/>
        <v>-10000</v>
      </c>
      <c r="AE443" s="132">
        <f t="shared" ref="AE443:AS443" si="883">H443-1000</f>
        <v>-1000</v>
      </c>
      <c r="AF443" s="132">
        <f t="shared" si="883"/>
        <v>-1000</v>
      </c>
      <c r="AG443" s="132">
        <f t="shared" si="883"/>
        <v>-1000</v>
      </c>
      <c r="AH443" s="132">
        <f t="shared" si="883"/>
        <v>-1000</v>
      </c>
      <c r="AI443" s="132">
        <f t="shared" si="883"/>
        <v>-1000</v>
      </c>
      <c r="AJ443" s="132">
        <f t="shared" si="883"/>
        <v>-1000</v>
      </c>
      <c r="AK443" s="132">
        <f t="shared" si="883"/>
        <v>-1000</v>
      </c>
      <c r="AL443" s="132">
        <f t="shared" si="883"/>
        <v>-1000</v>
      </c>
      <c r="AM443" s="132">
        <f t="shared" si="883"/>
        <v>-1000</v>
      </c>
      <c r="AN443" s="132">
        <f t="shared" si="883"/>
        <v>-1000</v>
      </c>
      <c r="AO443" s="132">
        <f t="shared" si="883"/>
        <v>-1000</v>
      </c>
      <c r="AP443" s="132">
        <f t="shared" si="883"/>
        <v>-1000</v>
      </c>
      <c r="AQ443" s="132">
        <f t="shared" si="883"/>
        <v>-1000</v>
      </c>
      <c r="AR443" s="132">
        <f t="shared" si="883"/>
        <v>-1000</v>
      </c>
      <c r="AS443" s="132">
        <f t="shared" si="883"/>
        <v>-1000</v>
      </c>
    </row>
    <row r="444">
      <c r="A444" s="132" t="s">
        <v>3946</v>
      </c>
      <c r="B444" s="132">
        <v>1000.0</v>
      </c>
      <c r="C444" s="132">
        <v>0.0</v>
      </c>
      <c r="D444" s="132">
        <v>0.0</v>
      </c>
      <c r="E444" s="132">
        <v>0.0</v>
      </c>
      <c r="F444" s="132">
        <v>0.0</v>
      </c>
      <c r="G444" s="132">
        <v>0.0</v>
      </c>
      <c r="H444" s="132">
        <v>0.0</v>
      </c>
      <c r="I444" s="132">
        <v>0.0</v>
      </c>
      <c r="J444" s="132">
        <v>0.0</v>
      </c>
      <c r="K444" s="132">
        <v>1000.0</v>
      </c>
      <c r="L444" s="132">
        <v>0.0</v>
      </c>
      <c r="M444" s="132">
        <v>0.0</v>
      </c>
      <c r="N444" s="132">
        <v>0.0</v>
      </c>
      <c r="O444" s="132">
        <v>0.0</v>
      </c>
      <c r="P444" s="132">
        <v>0.0</v>
      </c>
      <c r="Q444" s="132">
        <v>0.0</v>
      </c>
      <c r="R444" s="132">
        <v>0.0</v>
      </c>
      <c r="S444" s="132">
        <v>0.0</v>
      </c>
      <c r="T444" s="132">
        <v>0.0</v>
      </c>
      <c r="U444" s="132">
        <v>0.0</v>
      </c>
      <c r="V444" s="132">
        <v>0.0</v>
      </c>
      <c r="W444" s="132">
        <v>0.0</v>
      </c>
      <c r="Y444" s="132" t="s">
        <v>3946</v>
      </c>
      <c r="Z444" s="132">
        <f t="shared" ref="Z444:AC444" si="884">C444-1000</f>
        <v>-1000</v>
      </c>
      <c r="AA444" s="132">
        <f t="shared" si="884"/>
        <v>-1000</v>
      </c>
      <c r="AB444" s="132">
        <f t="shared" si="884"/>
        <v>-1000</v>
      </c>
      <c r="AC444" s="132">
        <f t="shared" si="884"/>
        <v>-1000</v>
      </c>
      <c r="AD444" s="132">
        <f t="shared" si="4"/>
        <v>-10000</v>
      </c>
      <c r="AE444" s="132">
        <f t="shared" ref="AE444:AS444" si="885">H444-1000</f>
        <v>-1000</v>
      </c>
      <c r="AF444" s="132">
        <f t="shared" si="885"/>
        <v>-1000</v>
      </c>
      <c r="AG444" s="132">
        <f t="shared" si="885"/>
        <v>-1000</v>
      </c>
      <c r="AH444" s="132">
        <f t="shared" si="885"/>
        <v>0</v>
      </c>
      <c r="AI444" s="132">
        <f t="shared" si="885"/>
        <v>-1000</v>
      </c>
      <c r="AJ444" s="132">
        <f t="shared" si="885"/>
        <v>-1000</v>
      </c>
      <c r="AK444" s="132">
        <f t="shared" si="885"/>
        <v>-1000</v>
      </c>
      <c r="AL444" s="132">
        <f t="shared" si="885"/>
        <v>-1000</v>
      </c>
      <c r="AM444" s="132">
        <f t="shared" si="885"/>
        <v>-1000</v>
      </c>
      <c r="AN444" s="132">
        <f t="shared" si="885"/>
        <v>-1000</v>
      </c>
      <c r="AO444" s="132">
        <f t="shared" si="885"/>
        <v>-1000</v>
      </c>
      <c r="AP444" s="132">
        <f t="shared" si="885"/>
        <v>-1000</v>
      </c>
      <c r="AQ444" s="132">
        <f t="shared" si="885"/>
        <v>-1000</v>
      </c>
      <c r="AR444" s="132">
        <f t="shared" si="885"/>
        <v>-1000</v>
      </c>
      <c r="AS444" s="132">
        <f t="shared" si="885"/>
        <v>-1000</v>
      </c>
    </row>
    <row r="445">
      <c r="A445" s="132" t="s">
        <v>3947</v>
      </c>
      <c r="B445" s="132">
        <v>250.0</v>
      </c>
      <c r="C445" s="132">
        <v>0.0</v>
      </c>
      <c r="D445" s="132">
        <v>0.0</v>
      </c>
      <c r="E445" s="132">
        <v>0.0</v>
      </c>
      <c r="F445" s="132">
        <v>0.0</v>
      </c>
      <c r="G445" s="132">
        <v>0.0</v>
      </c>
      <c r="H445" s="132">
        <v>0.0</v>
      </c>
      <c r="I445" s="132">
        <v>0.0</v>
      </c>
      <c r="J445" s="132">
        <v>0.0</v>
      </c>
      <c r="K445" s="132">
        <v>250.0</v>
      </c>
      <c r="L445" s="132">
        <v>0.0</v>
      </c>
      <c r="M445" s="132">
        <v>0.0</v>
      </c>
      <c r="N445" s="132">
        <v>0.0</v>
      </c>
      <c r="O445" s="132">
        <v>0.0</v>
      </c>
      <c r="P445" s="132">
        <v>0.0</v>
      </c>
      <c r="Q445" s="132">
        <v>0.0</v>
      </c>
      <c r="R445" s="132">
        <v>0.0</v>
      </c>
      <c r="S445" s="132">
        <v>0.0</v>
      </c>
      <c r="T445" s="132">
        <v>0.0</v>
      </c>
      <c r="U445" s="132">
        <v>0.0</v>
      </c>
      <c r="V445" s="132">
        <v>0.0</v>
      </c>
      <c r="W445" s="132">
        <v>0.0</v>
      </c>
      <c r="Y445" s="132" t="s">
        <v>3947</v>
      </c>
      <c r="Z445" s="132">
        <f t="shared" ref="Z445:AC445" si="886">C445-1000</f>
        <v>-1000</v>
      </c>
      <c r="AA445" s="132">
        <f t="shared" si="886"/>
        <v>-1000</v>
      </c>
      <c r="AB445" s="132">
        <f t="shared" si="886"/>
        <v>-1000</v>
      </c>
      <c r="AC445" s="132">
        <f t="shared" si="886"/>
        <v>-1000</v>
      </c>
      <c r="AD445" s="132">
        <f t="shared" si="4"/>
        <v>-10000</v>
      </c>
      <c r="AE445" s="132">
        <f t="shared" ref="AE445:AS445" si="887">H445-1000</f>
        <v>-1000</v>
      </c>
      <c r="AF445" s="132">
        <f t="shared" si="887"/>
        <v>-1000</v>
      </c>
      <c r="AG445" s="132">
        <f t="shared" si="887"/>
        <v>-1000</v>
      </c>
      <c r="AH445" s="132">
        <f t="shared" si="887"/>
        <v>-750</v>
      </c>
      <c r="AI445" s="132">
        <f t="shared" si="887"/>
        <v>-1000</v>
      </c>
      <c r="AJ445" s="132">
        <f t="shared" si="887"/>
        <v>-1000</v>
      </c>
      <c r="AK445" s="132">
        <f t="shared" si="887"/>
        <v>-1000</v>
      </c>
      <c r="AL445" s="132">
        <f t="shared" si="887"/>
        <v>-1000</v>
      </c>
      <c r="AM445" s="132">
        <f t="shared" si="887"/>
        <v>-1000</v>
      </c>
      <c r="AN445" s="132">
        <f t="shared" si="887"/>
        <v>-1000</v>
      </c>
      <c r="AO445" s="132">
        <f t="shared" si="887"/>
        <v>-1000</v>
      </c>
      <c r="AP445" s="132">
        <f t="shared" si="887"/>
        <v>-1000</v>
      </c>
      <c r="AQ445" s="132">
        <f t="shared" si="887"/>
        <v>-1000</v>
      </c>
      <c r="AR445" s="132">
        <f t="shared" si="887"/>
        <v>-1000</v>
      </c>
      <c r="AS445" s="132">
        <f t="shared" si="887"/>
        <v>-1000</v>
      </c>
    </row>
    <row r="446">
      <c r="A446" s="132" t="s">
        <v>3948</v>
      </c>
      <c r="B446" s="132">
        <v>500.0</v>
      </c>
      <c r="C446" s="132">
        <v>0.0</v>
      </c>
      <c r="D446" s="132">
        <v>0.0</v>
      </c>
      <c r="E446" s="132">
        <v>0.0</v>
      </c>
      <c r="F446" s="132">
        <v>0.0</v>
      </c>
      <c r="G446" s="132">
        <v>0.0</v>
      </c>
      <c r="H446" s="132">
        <v>0.0</v>
      </c>
      <c r="I446" s="132">
        <v>0.0</v>
      </c>
      <c r="J446" s="132">
        <v>0.0</v>
      </c>
      <c r="K446" s="132">
        <v>500.0</v>
      </c>
      <c r="L446" s="132">
        <v>0.0</v>
      </c>
      <c r="M446" s="132">
        <v>0.0</v>
      </c>
      <c r="N446" s="132">
        <v>0.0</v>
      </c>
      <c r="O446" s="132">
        <v>0.0</v>
      </c>
      <c r="P446" s="132">
        <v>0.0</v>
      </c>
      <c r="Q446" s="132">
        <v>0.0</v>
      </c>
      <c r="R446" s="132">
        <v>0.0</v>
      </c>
      <c r="S446" s="132">
        <v>0.0</v>
      </c>
      <c r="T446" s="132">
        <v>0.0</v>
      </c>
      <c r="U446" s="132">
        <v>0.0</v>
      </c>
      <c r="V446" s="132">
        <v>0.0</v>
      </c>
      <c r="W446" s="132">
        <v>0.0</v>
      </c>
      <c r="Y446" s="132" t="s">
        <v>3948</v>
      </c>
      <c r="Z446" s="132">
        <f t="shared" ref="Z446:AC446" si="888">C446-1000</f>
        <v>-1000</v>
      </c>
      <c r="AA446" s="132">
        <f t="shared" si="888"/>
        <v>-1000</v>
      </c>
      <c r="AB446" s="132">
        <f t="shared" si="888"/>
        <v>-1000</v>
      </c>
      <c r="AC446" s="132">
        <f t="shared" si="888"/>
        <v>-1000</v>
      </c>
      <c r="AD446" s="132">
        <f t="shared" si="4"/>
        <v>-10000</v>
      </c>
      <c r="AE446" s="132">
        <f t="shared" ref="AE446:AS446" si="889">H446-1000</f>
        <v>-1000</v>
      </c>
      <c r="AF446" s="132">
        <f t="shared" si="889"/>
        <v>-1000</v>
      </c>
      <c r="AG446" s="132">
        <f t="shared" si="889"/>
        <v>-1000</v>
      </c>
      <c r="AH446" s="132">
        <f t="shared" si="889"/>
        <v>-500</v>
      </c>
      <c r="AI446" s="132">
        <f t="shared" si="889"/>
        <v>-1000</v>
      </c>
      <c r="AJ446" s="132">
        <f t="shared" si="889"/>
        <v>-1000</v>
      </c>
      <c r="AK446" s="132">
        <f t="shared" si="889"/>
        <v>-1000</v>
      </c>
      <c r="AL446" s="132">
        <f t="shared" si="889"/>
        <v>-1000</v>
      </c>
      <c r="AM446" s="132">
        <f t="shared" si="889"/>
        <v>-1000</v>
      </c>
      <c r="AN446" s="132">
        <f t="shared" si="889"/>
        <v>-1000</v>
      </c>
      <c r="AO446" s="132">
        <f t="shared" si="889"/>
        <v>-1000</v>
      </c>
      <c r="AP446" s="132">
        <f t="shared" si="889"/>
        <v>-1000</v>
      </c>
      <c r="AQ446" s="132">
        <f t="shared" si="889"/>
        <v>-1000</v>
      </c>
      <c r="AR446" s="132">
        <f t="shared" si="889"/>
        <v>-1000</v>
      </c>
      <c r="AS446" s="132">
        <f t="shared" si="889"/>
        <v>-1000</v>
      </c>
    </row>
    <row r="447">
      <c r="A447" s="132" t="s">
        <v>3949</v>
      </c>
      <c r="B447" s="132">
        <v>125.0</v>
      </c>
      <c r="C447" s="132">
        <v>0.0</v>
      </c>
      <c r="D447" s="132">
        <v>0.0</v>
      </c>
      <c r="E447" s="132">
        <v>0.0</v>
      </c>
      <c r="F447" s="132">
        <v>0.0</v>
      </c>
      <c r="G447" s="132">
        <v>0.0</v>
      </c>
      <c r="H447" s="132">
        <v>0.0</v>
      </c>
      <c r="I447" s="132">
        <v>0.0</v>
      </c>
      <c r="J447" s="132">
        <v>0.0</v>
      </c>
      <c r="K447" s="132">
        <v>125.0</v>
      </c>
      <c r="L447" s="132">
        <v>0.0</v>
      </c>
      <c r="M447" s="132">
        <v>0.0</v>
      </c>
      <c r="N447" s="132">
        <v>0.0</v>
      </c>
      <c r="O447" s="132">
        <v>0.0</v>
      </c>
      <c r="P447" s="132">
        <v>0.0</v>
      </c>
      <c r="Q447" s="132">
        <v>0.0</v>
      </c>
      <c r="R447" s="132">
        <v>0.0</v>
      </c>
      <c r="S447" s="132">
        <v>0.0</v>
      </c>
      <c r="T447" s="132">
        <v>0.0</v>
      </c>
      <c r="U447" s="132">
        <v>0.0</v>
      </c>
      <c r="V447" s="132">
        <v>0.0</v>
      </c>
      <c r="W447" s="132">
        <v>0.0</v>
      </c>
      <c r="Y447" s="132" t="s">
        <v>3949</v>
      </c>
      <c r="Z447" s="132">
        <f t="shared" ref="Z447:AC447" si="890">C447-1000</f>
        <v>-1000</v>
      </c>
      <c r="AA447" s="132">
        <f t="shared" si="890"/>
        <v>-1000</v>
      </c>
      <c r="AB447" s="132">
        <f t="shared" si="890"/>
        <v>-1000</v>
      </c>
      <c r="AC447" s="132">
        <f t="shared" si="890"/>
        <v>-1000</v>
      </c>
      <c r="AD447" s="132">
        <f t="shared" si="4"/>
        <v>-10000</v>
      </c>
      <c r="AE447" s="132">
        <f t="shared" ref="AE447:AS447" si="891">H447-1000</f>
        <v>-1000</v>
      </c>
      <c r="AF447" s="132">
        <f t="shared" si="891"/>
        <v>-1000</v>
      </c>
      <c r="AG447" s="132">
        <f t="shared" si="891"/>
        <v>-1000</v>
      </c>
      <c r="AH447" s="132">
        <f t="shared" si="891"/>
        <v>-875</v>
      </c>
      <c r="AI447" s="132">
        <f t="shared" si="891"/>
        <v>-1000</v>
      </c>
      <c r="AJ447" s="132">
        <f t="shared" si="891"/>
        <v>-1000</v>
      </c>
      <c r="AK447" s="132">
        <f t="shared" si="891"/>
        <v>-1000</v>
      </c>
      <c r="AL447" s="132">
        <f t="shared" si="891"/>
        <v>-1000</v>
      </c>
      <c r="AM447" s="132">
        <f t="shared" si="891"/>
        <v>-1000</v>
      </c>
      <c r="AN447" s="132">
        <f t="shared" si="891"/>
        <v>-1000</v>
      </c>
      <c r="AO447" s="132">
        <f t="shared" si="891"/>
        <v>-1000</v>
      </c>
      <c r="AP447" s="132">
        <f t="shared" si="891"/>
        <v>-1000</v>
      </c>
      <c r="AQ447" s="132">
        <f t="shared" si="891"/>
        <v>-1000</v>
      </c>
      <c r="AR447" s="132">
        <f t="shared" si="891"/>
        <v>-1000</v>
      </c>
      <c r="AS447" s="132">
        <f t="shared" si="891"/>
        <v>-1000</v>
      </c>
    </row>
    <row r="448">
      <c r="A448" s="132" t="s">
        <v>3950</v>
      </c>
      <c r="B448" s="132">
        <v>750.0</v>
      </c>
      <c r="C448" s="132">
        <v>250.0</v>
      </c>
      <c r="D448" s="132">
        <v>0.0</v>
      </c>
      <c r="E448" s="132">
        <v>0.0</v>
      </c>
      <c r="F448" s="132">
        <v>0.0</v>
      </c>
      <c r="G448" s="132">
        <v>50.0</v>
      </c>
      <c r="H448" s="132">
        <v>0.0</v>
      </c>
      <c r="I448" s="132">
        <v>0.0</v>
      </c>
      <c r="J448" s="132">
        <v>0.0</v>
      </c>
      <c r="K448" s="132">
        <v>450.0</v>
      </c>
      <c r="L448" s="132">
        <v>0.0</v>
      </c>
      <c r="M448" s="132">
        <v>0.0</v>
      </c>
      <c r="N448" s="132">
        <v>0.0</v>
      </c>
      <c r="O448" s="132">
        <v>0.0</v>
      </c>
      <c r="P448" s="132">
        <v>0.0</v>
      </c>
      <c r="Q448" s="132">
        <v>0.0</v>
      </c>
      <c r="R448" s="132">
        <v>0.0</v>
      </c>
      <c r="S448" s="132">
        <v>0.0</v>
      </c>
      <c r="T448" s="132">
        <v>0.0</v>
      </c>
      <c r="U448" s="132">
        <v>0.0</v>
      </c>
      <c r="V448" s="132">
        <v>0.0</v>
      </c>
      <c r="W448" s="132">
        <v>1.0</v>
      </c>
      <c r="Y448" s="132" t="s">
        <v>3950</v>
      </c>
      <c r="Z448" s="132">
        <f t="shared" ref="Z448:AC448" si="892">C448-1000</f>
        <v>-750</v>
      </c>
      <c r="AA448" s="132">
        <f t="shared" si="892"/>
        <v>-1000</v>
      </c>
      <c r="AB448" s="132">
        <f t="shared" si="892"/>
        <v>-1000</v>
      </c>
      <c r="AC448" s="132">
        <f t="shared" si="892"/>
        <v>-1000</v>
      </c>
      <c r="AD448" s="132">
        <f t="shared" si="4"/>
        <v>-9950</v>
      </c>
      <c r="AE448" s="132">
        <f t="shared" ref="AE448:AS448" si="893">H448-1000</f>
        <v>-1000</v>
      </c>
      <c r="AF448" s="132">
        <f t="shared" si="893"/>
        <v>-1000</v>
      </c>
      <c r="AG448" s="132">
        <f t="shared" si="893"/>
        <v>-1000</v>
      </c>
      <c r="AH448" s="132">
        <f t="shared" si="893"/>
        <v>-550</v>
      </c>
      <c r="AI448" s="132">
        <f t="shared" si="893"/>
        <v>-1000</v>
      </c>
      <c r="AJ448" s="132">
        <f t="shared" si="893"/>
        <v>-1000</v>
      </c>
      <c r="AK448" s="132">
        <f t="shared" si="893"/>
        <v>-1000</v>
      </c>
      <c r="AL448" s="132">
        <f t="shared" si="893"/>
        <v>-1000</v>
      </c>
      <c r="AM448" s="132">
        <f t="shared" si="893"/>
        <v>-1000</v>
      </c>
      <c r="AN448" s="132">
        <f t="shared" si="893"/>
        <v>-1000</v>
      </c>
      <c r="AO448" s="132">
        <f t="shared" si="893"/>
        <v>-1000</v>
      </c>
      <c r="AP448" s="132">
        <f t="shared" si="893"/>
        <v>-1000</v>
      </c>
      <c r="AQ448" s="132">
        <f t="shared" si="893"/>
        <v>-1000</v>
      </c>
      <c r="AR448" s="132">
        <f t="shared" si="893"/>
        <v>-1000</v>
      </c>
      <c r="AS448" s="132">
        <f t="shared" si="893"/>
        <v>-1000</v>
      </c>
    </row>
    <row r="449">
      <c r="A449" s="132" t="s">
        <v>3951</v>
      </c>
      <c r="B449" s="132">
        <v>50.0</v>
      </c>
      <c r="C449" s="132">
        <v>0.0</v>
      </c>
      <c r="D449" s="132">
        <v>0.0</v>
      </c>
      <c r="E449" s="132">
        <v>0.0</v>
      </c>
      <c r="F449" s="132">
        <v>0.0</v>
      </c>
      <c r="G449" s="132">
        <v>0.0</v>
      </c>
      <c r="H449" s="132">
        <v>0.0</v>
      </c>
      <c r="I449" s="132">
        <v>0.0</v>
      </c>
      <c r="J449" s="132">
        <v>0.0</v>
      </c>
      <c r="K449" s="132">
        <v>50.0</v>
      </c>
      <c r="L449" s="132">
        <v>0.0</v>
      </c>
      <c r="M449" s="132">
        <v>0.0</v>
      </c>
      <c r="N449" s="132">
        <v>0.0</v>
      </c>
      <c r="O449" s="132">
        <v>0.0</v>
      </c>
      <c r="P449" s="132">
        <v>0.0</v>
      </c>
      <c r="Q449" s="132">
        <v>0.0</v>
      </c>
      <c r="R449" s="132">
        <v>0.0</v>
      </c>
      <c r="S449" s="132">
        <v>0.0</v>
      </c>
      <c r="T449" s="132">
        <v>0.0</v>
      </c>
      <c r="U449" s="132">
        <v>0.0</v>
      </c>
      <c r="V449" s="132">
        <v>0.0</v>
      </c>
      <c r="W449" s="132">
        <v>0.0</v>
      </c>
      <c r="Y449" s="132" t="s">
        <v>3951</v>
      </c>
      <c r="Z449" s="132">
        <f t="shared" ref="Z449:AC449" si="894">C449-1000</f>
        <v>-1000</v>
      </c>
      <c r="AA449" s="132">
        <f t="shared" si="894"/>
        <v>-1000</v>
      </c>
      <c r="AB449" s="132">
        <f t="shared" si="894"/>
        <v>-1000</v>
      </c>
      <c r="AC449" s="132">
        <f t="shared" si="894"/>
        <v>-1000</v>
      </c>
      <c r="AD449" s="132">
        <f t="shared" si="4"/>
        <v>-10000</v>
      </c>
      <c r="AE449" s="132">
        <f t="shared" ref="AE449:AS449" si="895">H449-1000</f>
        <v>-1000</v>
      </c>
      <c r="AF449" s="132">
        <f t="shared" si="895"/>
        <v>-1000</v>
      </c>
      <c r="AG449" s="132">
        <f t="shared" si="895"/>
        <v>-1000</v>
      </c>
      <c r="AH449" s="132">
        <f t="shared" si="895"/>
        <v>-950</v>
      </c>
      <c r="AI449" s="132">
        <f t="shared" si="895"/>
        <v>-1000</v>
      </c>
      <c r="AJ449" s="132">
        <f t="shared" si="895"/>
        <v>-1000</v>
      </c>
      <c r="AK449" s="132">
        <f t="shared" si="895"/>
        <v>-1000</v>
      </c>
      <c r="AL449" s="132">
        <f t="shared" si="895"/>
        <v>-1000</v>
      </c>
      <c r="AM449" s="132">
        <f t="shared" si="895"/>
        <v>-1000</v>
      </c>
      <c r="AN449" s="132">
        <f t="shared" si="895"/>
        <v>-1000</v>
      </c>
      <c r="AO449" s="132">
        <f t="shared" si="895"/>
        <v>-1000</v>
      </c>
      <c r="AP449" s="132">
        <f t="shared" si="895"/>
        <v>-1000</v>
      </c>
      <c r="AQ449" s="132">
        <f t="shared" si="895"/>
        <v>-1000</v>
      </c>
      <c r="AR449" s="132">
        <f t="shared" si="895"/>
        <v>-1000</v>
      </c>
      <c r="AS449" s="132">
        <f t="shared" si="895"/>
        <v>-1000</v>
      </c>
    </row>
    <row r="450">
      <c r="A450" s="132" t="s">
        <v>3952</v>
      </c>
      <c r="B450" s="132">
        <v>2000.0</v>
      </c>
      <c r="C450" s="132">
        <v>0.0</v>
      </c>
      <c r="D450" s="132">
        <v>0.0</v>
      </c>
      <c r="E450" s="132">
        <v>0.0</v>
      </c>
      <c r="F450" s="132">
        <v>0.0</v>
      </c>
      <c r="G450" s="132">
        <v>500.0</v>
      </c>
      <c r="H450" s="132">
        <v>0.0</v>
      </c>
      <c r="I450" s="132">
        <v>0.0</v>
      </c>
      <c r="J450" s="132">
        <v>0.0</v>
      </c>
      <c r="K450" s="132">
        <v>1000.0</v>
      </c>
      <c r="L450" s="132">
        <v>0.0</v>
      </c>
      <c r="M450" s="132">
        <v>0.0</v>
      </c>
      <c r="N450" s="132">
        <v>0.0</v>
      </c>
      <c r="O450" s="132">
        <v>0.0</v>
      </c>
      <c r="P450" s="132">
        <v>0.0</v>
      </c>
      <c r="Q450" s="132">
        <v>0.0</v>
      </c>
      <c r="R450" s="132">
        <v>0.0</v>
      </c>
      <c r="S450" s="132">
        <v>500.0</v>
      </c>
      <c r="T450" s="132">
        <v>0.0</v>
      </c>
      <c r="U450" s="132">
        <v>0.0</v>
      </c>
      <c r="V450" s="132">
        <v>0.0</v>
      </c>
      <c r="W450" s="132">
        <v>1.0</v>
      </c>
      <c r="Y450" s="132" t="s">
        <v>3952</v>
      </c>
      <c r="Z450" s="132">
        <f t="shared" ref="Z450:AC450" si="896">C450-1000</f>
        <v>-1000</v>
      </c>
      <c r="AA450" s="132">
        <f t="shared" si="896"/>
        <v>-1000</v>
      </c>
      <c r="AB450" s="132">
        <f t="shared" si="896"/>
        <v>-1000</v>
      </c>
      <c r="AC450" s="132">
        <f t="shared" si="896"/>
        <v>-1000</v>
      </c>
      <c r="AD450" s="132">
        <f t="shared" si="4"/>
        <v>-9500</v>
      </c>
      <c r="AE450" s="132">
        <f t="shared" ref="AE450:AS450" si="897">H450-1000</f>
        <v>-1000</v>
      </c>
      <c r="AF450" s="132">
        <f t="shared" si="897"/>
        <v>-1000</v>
      </c>
      <c r="AG450" s="132">
        <f t="shared" si="897"/>
        <v>-1000</v>
      </c>
      <c r="AH450" s="132">
        <f t="shared" si="897"/>
        <v>0</v>
      </c>
      <c r="AI450" s="132">
        <f t="shared" si="897"/>
        <v>-1000</v>
      </c>
      <c r="AJ450" s="132">
        <f t="shared" si="897"/>
        <v>-1000</v>
      </c>
      <c r="AK450" s="132">
        <f t="shared" si="897"/>
        <v>-1000</v>
      </c>
      <c r="AL450" s="132">
        <f t="shared" si="897"/>
        <v>-1000</v>
      </c>
      <c r="AM450" s="132">
        <f t="shared" si="897"/>
        <v>-1000</v>
      </c>
      <c r="AN450" s="132">
        <f t="shared" si="897"/>
        <v>-1000</v>
      </c>
      <c r="AO450" s="132">
        <f t="shared" si="897"/>
        <v>-1000</v>
      </c>
      <c r="AP450" s="132">
        <f t="shared" si="897"/>
        <v>-500</v>
      </c>
      <c r="AQ450" s="132">
        <f t="shared" si="897"/>
        <v>-1000</v>
      </c>
      <c r="AR450" s="132">
        <f t="shared" si="897"/>
        <v>-1000</v>
      </c>
      <c r="AS450" s="132">
        <f t="shared" si="897"/>
        <v>-1000</v>
      </c>
    </row>
    <row r="451">
      <c r="A451" s="132" t="s">
        <v>3953</v>
      </c>
      <c r="B451" s="132">
        <v>6000.0</v>
      </c>
      <c r="C451" s="132">
        <v>0.0</v>
      </c>
      <c r="D451" s="132">
        <v>0.0</v>
      </c>
      <c r="E451" s="132">
        <v>0.0</v>
      </c>
      <c r="F451" s="132">
        <v>0.0</v>
      </c>
      <c r="G451" s="132">
        <v>0.0</v>
      </c>
      <c r="H451" s="132">
        <v>0.0</v>
      </c>
      <c r="I451" s="132">
        <v>0.0</v>
      </c>
      <c r="J451" s="132">
        <v>0.0</v>
      </c>
      <c r="K451" s="132">
        <v>0.0</v>
      </c>
      <c r="L451" s="132">
        <v>0.0</v>
      </c>
      <c r="M451" s="132">
        <v>0.0</v>
      </c>
      <c r="N451" s="132">
        <v>0.0</v>
      </c>
      <c r="O451" s="132">
        <v>0.0</v>
      </c>
      <c r="P451" s="132">
        <v>0.0</v>
      </c>
      <c r="Q451" s="132">
        <v>0.0</v>
      </c>
      <c r="R451" s="132">
        <v>6000.0</v>
      </c>
      <c r="S451" s="132">
        <v>0.0</v>
      </c>
      <c r="T451" s="132">
        <v>0.0</v>
      </c>
      <c r="U451" s="132">
        <v>0.0</v>
      </c>
      <c r="V451" s="132">
        <v>0.0</v>
      </c>
      <c r="W451" s="132">
        <v>0.0</v>
      </c>
      <c r="Y451" s="132" t="s">
        <v>3953</v>
      </c>
      <c r="Z451" s="132">
        <f t="shared" ref="Z451:AC451" si="898">C451-1000</f>
        <v>-1000</v>
      </c>
      <c r="AA451" s="132">
        <f t="shared" si="898"/>
        <v>-1000</v>
      </c>
      <c r="AB451" s="132">
        <f t="shared" si="898"/>
        <v>-1000</v>
      </c>
      <c r="AC451" s="132">
        <f t="shared" si="898"/>
        <v>-1000</v>
      </c>
      <c r="AD451" s="132">
        <f t="shared" si="4"/>
        <v>-10000</v>
      </c>
      <c r="AE451" s="132">
        <f t="shared" ref="AE451:AS451" si="899">H451-1000</f>
        <v>-1000</v>
      </c>
      <c r="AF451" s="132">
        <f t="shared" si="899"/>
        <v>-1000</v>
      </c>
      <c r="AG451" s="132">
        <f t="shared" si="899"/>
        <v>-1000</v>
      </c>
      <c r="AH451" s="132">
        <f t="shared" si="899"/>
        <v>-1000</v>
      </c>
      <c r="AI451" s="132">
        <f t="shared" si="899"/>
        <v>-1000</v>
      </c>
      <c r="AJ451" s="132">
        <f t="shared" si="899"/>
        <v>-1000</v>
      </c>
      <c r="AK451" s="132">
        <f t="shared" si="899"/>
        <v>-1000</v>
      </c>
      <c r="AL451" s="132">
        <f t="shared" si="899"/>
        <v>-1000</v>
      </c>
      <c r="AM451" s="132">
        <f t="shared" si="899"/>
        <v>-1000</v>
      </c>
      <c r="AN451" s="132">
        <f t="shared" si="899"/>
        <v>-1000</v>
      </c>
      <c r="AO451" s="132">
        <f t="shared" si="899"/>
        <v>5000</v>
      </c>
      <c r="AP451" s="132">
        <f t="shared" si="899"/>
        <v>-1000</v>
      </c>
      <c r="AQ451" s="132">
        <f t="shared" si="899"/>
        <v>-1000</v>
      </c>
      <c r="AR451" s="132">
        <f t="shared" si="899"/>
        <v>-1000</v>
      </c>
      <c r="AS451" s="132">
        <f t="shared" si="899"/>
        <v>-1000</v>
      </c>
    </row>
    <row r="452">
      <c r="A452" s="132" t="s">
        <v>3954</v>
      </c>
      <c r="B452" s="132">
        <v>3350.0</v>
      </c>
      <c r="C452" s="132">
        <v>0.0</v>
      </c>
      <c r="D452" s="132">
        <v>0.0</v>
      </c>
      <c r="E452" s="132">
        <v>0.0</v>
      </c>
      <c r="F452" s="132">
        <v>0.0</v>
      </c>
      <c r="G452" s="132">
        <v>100.0</v>
      </c>
      <c r="H452" s="132">
        <v>3000.0</v>
      </c>
      <c r="I452" s="132">
        <v>0.0</v>
      </c>
      <c r="J452" s="132">
        <v>0.0</v>
      </c>
      <c r="K452" s="132">
        <v>0.0</v>
      </c>
      <c r="L452" s="132">
        <v>250.0</v>
      </c>
      <c r="M452" s="132">
        <v>0.0</v>
      </c>
      <c r="N452" s="132">
        <v>0.0</v>
      </c>
      <c r="O452" s="132">
        <v>0.0</v>
      </c>
      <c r="P452" s="132">
        <v>0.0</v>
      </c>
      <c r="Q452" s="132">
        <v>0.0</v>
      </c>
      <c r="R452" s="132">
        <v>0.0</v>
      </c>
      <c r="S452" s="132">
        <v>0.0</v>
      </c>
      <c r="T452" s="132">
        <v>0.0</v>
      </c>
      <c r="U452" s="132">
        <v>0.0</v>
      </c>
      <c r="V452" s="132">
        <v>0.0</v>
      </c>
      <c r="W452" s="132">
        <v>1.0</v>
      </c>
      <c r="Y452" s="132" t="s">
        <v>3954</v>
      </c>
      <c r="Z452" s="132">
        <f t="shared" ref="Z452:AC452" si="900">C452-1000</f>
        <v>-1000</v>
      </c>
      <c r="AA452" s="132">
        <f t="shared" si="900"/>
        <v>-1000</v>
      </c>
      <c r="AB452" s="132">
        <f t="shared" si="900"/>
        <v>-1000</v>
      </c>
      <c r="AC452" s="132">
        <f t="shared" si="900"/>
        <v>-1000</v>
      </c>
      <c r="AD452" s="132">
        <f t="shared" si="4"/>
        <v>-9900</v>
      </c>
      <c r="AE452" s="132">
        <f t="shared" ref="AE452:AS452" si="901">H452-1000</f>
        <v>2000</v>
      </c>
      <c r="AF452" s="132">
        <f t="shared" si="901"/>
        <v>-1000</v>
      </c>
      <c r="AG452" s="132">
        <f t="shared" si="901"/>
        <v>-1000</v>
      </c>
      <c r="AH452" s="132">
        <f t="shared" si="901"/>
        <v>-1000</v>
      </c>
      <c r="AI452" s="132">
        <f t="shared" si="901"/>
        <v>-750</v>
      </c>
      <c r="AJ452" s="132">
        <f t="shared" si="901"/>
        <v>-1000</v>
      </c>
      <c r="AK452" s="132">
        <f t="shared" si="901"/>
        <v>-1000</v>
      </c>
      <c r="AL452" s="132">
        <f t="shared" si="901"/>
        <v>-1000</v>
      </c>
      <c r="AM452" s="132">
        <f t="shared" si="901"/>
        <v>-1000</v>
      </c>
      <c r="AN452" s="132">
        <f t="shared" si="901"/>
        <v>-1000</v>
      </c>
      <c r="AO452" s="132">
        <f t="shared" si="901"/>
        <v>-1000</v>
      </c>
      <c r="AP452" s="132">
        <f t="shared" si="901"/>
        <v>-1000</v>
      </c>
      <c r="AQ452" s="132">
        <f t="shared" si="901"/>
        <v>-1000</v>
      </c>
      <c r="AR452" s="132">
        <f t="shared" si="901"/>
        <v>-1000</v>
      </c>
      <c r="AS452" s="132">
        <f t="shared" si="901"/>
        <v>-1000</v>
      </c>
    </row>
    <row r="453">
      <c r="A453" s="132" t="s">
        <v>3955</v>
      </c>
      <c r="B453" s="132">
        <v>3500.0</v>
      </c>
      <c r="C453" s="132">
        <v>0.0</v>
      </c>
      <c r="D453" s="132">
        <v>0.0</v>
      </c>
      <c r="E453" s="132">
        <v>0.0</v>
      </c>
      <c r="F453" s="132">
        <v>0.0</v>
      </c>
      <c r="G453" s="132">
        <v>1000.0</v>
      </c>
      <c r="H453" s="132">
        <v>1000.0</v>
      </c>
      <c r="I453" s="132">
        <v>0.0</v>
      </c>
      <c r="J453" s="132">
        <v>0.0</v>
      </c>
      <c r="K453" s="132">
        <v>0.0</v>
      </c>
      <c r="L453" s="132">
        <v>0.0</v>
      </c>
      <c r="M453" s="132">
        <v>0.0</v>
      </c>
      <c r="N453" s="132">
        <v>0.0</v>
      </c>
      <c r="O453" s="132">
        <v>0.0</v>
      </c>
      <c r="P453" s="132">
        <v>0.0</v>
      </c>
      <c r="Q453" s="132">
        <v>0.0</v>
      </c>
      <c r="R453" s="132">
        <v>0.0</v>
      </c>
      <c r="S453" s="132">
        <v>0.0</v>
      </c>
      <c r="T453" s="132">
        <v>0.0</v>
      </c>
      <c r="U453" s="132">
        <v>0.0</v>
      </c>
      <c r="V453" s="132">
        <v>1500.0</v>
      </c>
      <c r="W453" s="132">
        <v>1.0</v>
      </c>
      <c r="Y453" s="132" t="s">
        <v>3955</v>
      </c>
      <c r="Z453" s="132">
        <f t="shared" ref="Z453:AC453" si="902">C453-1000</f>
        <v>-1000</v>
      </c>
      <c r="AA453" s="132">
        <f t="shared" si="902"/>
        <v>-1000</v>
      </c>
      <c r="AB453" s="132">
        <f t="shared" si="902"/>
        <v>-1000</v>
      </c>
      <c r="AC453" s="132">
        <f t="shared" si="902"/>
        <v>-1000</v>
      </c>
      <c r="AD453" s="132">
        <f t="shared" si="4"/>
        <v>-9000</v>
      </c>
      <c r="AE453" s="132">
        <f t="shared" ref="AE453:AS453" si="903">H453-1000</f>
        <v>0</v>
      </c>
      <c r="AF453" s="132">
        <f t="shared" si="903"/>
        <v>-1000</v>
      </c>
      <c r="AG453" s="132">
        <f t="shared" si="903"/>
        <v>-1000</v>
      </c>
      <c r="AH453" s="132">
        <f t="shared" si="903"/>
        <v>-1000</v>
      </c>
      <c r="AI453" s="132">
        <f t="shared" si="903"/>
        <v>-1000</v>
      </c>
      <c r="AJ453" s="132">
        <f t="shared" si="903"/>
        <v>-1000</v>
      </c>
      <c r="AK453" s="132">
        <f t="shared" si="903"/>
        <v>-1000</v>
      </c>
      <c r="AL453" s="132">
        <f t="shared" si="903"/>
        <v>-1000</v>
      </c>
      <c r="AM453" s="132">
        <f t="shared" si="903"/>
        <v>-1000</v>
      </c>
      <c r="AN453" s="132">
        <f t="shared" si="903"/>
        <v>-1000</v>
      </c>
      <c r="AO453" s="132">
        <f t="shared" si="903"/>
        <v>-1000</v>
      </c>
      <c r="AP453" s="132">
        <f t="shared" si="903"/>
        <v>-1000</v>
      </c>
      <c r="AQ453" s="132">
        <f t="shared" si="903"/>
        <v>-1000</v>
      </c>
      <c r="AR453" s="132">
        <f t="shared" si="903"/>
        <v>-1000</v>
      </c>
      <c r="AS453" s="132">
        <f t="shared" si="903"/>
        <v>500</v>
      </c>
    </row>
    <row r="454">
      <c r="A454" s="132" t="s">
        <v>3956</v>
      </c>
      <c r="B454" s="132">
        <v>100.0</v>
      </c>
      <c r="C454" s="132">
        <v>0.0</v>
      </c>
      <c r="D454" s="132">
        <v>0.0</v>
      </c>
      <c r="E454" s="132">
        <v>0.0</v>
      </c>
      <c r="F454" s="132">
        <v>0.0</v>
      </c>
      <c r="G454" s="132">
        <v>0.0</v>
      </c>
      <c r="H454" s="132">
        <v>100.0</v>
      </c>
      <c r="I454" s="132">
        <v>0.0</v>
      </c>
      <c r="J454" s="132">
        <v>0.0</v>
      </c>
      <c r="K454" s="132">
        <v>0.0</v>
      </c>
      <c r="L454" s="132">
        <v>0.0</v>
      </c>
      <c r="M454" s="132">
        <v>0.0</v>
      </c>
      <c r="N454" s="132">
        <v>0.0</v>
      </c>
      <c r="O454" s="132">
        <v>0.0</v>
      </c>
      <c r="P454" s="132">
        <v>0.0</v>
      </c>
      <c r="Q454" s="132">
        <v>0.0</v>
      </c>
      <c r="R454" s="132">
        <v>0.0</v>
      </c>
      <c r="S454" s="132">
        <v>0.0</v>
      </c>
      <c r="T454" s="132">
        <v>0.0</v>
      </c>
      <c r="U454" s="132">
        <v>0.0</v>
      </c>
      <c r="V454" s="132">
        <v>0.0</v>
      </c>
      <c r="W454" s="132">
        <v>0.0</v>
      </c>
      <c r="Y454" s="132" t="s">
        <v>3956</v>
      </c>
      <c r="Z454" s="132">
        <f t="shared" ref="Z454:AC454" si="904">C454-1000</f>
        <v>-1000</v>
      </c>
      <c r="AA454" s="132">
        <f t="shared" si="904"/>
        <v>-1000</v>
      </c>
      <c r="AB454" s="132">
        <f t="shared" si="904"/>
        <v>-1000</v>
      </c>
      <c r="AC454" s="132">
        <f t="shared" si="904"/>
        <v>-1000</v>
      </c>
      <c r="AD454" s="132">
        <f t="shared" si="4"/>
        <v>-10000</v>
      </c>
      <c r="AE454" s="132">
        <f t="shared" ref="AE454:AS454" si="905">H454-1000</f>
        <v>-900</v>
      </c>
      <c r="AF454" s="132">
        <f t="shared" si="905"/>
        <v>-1000</v>
      </c>
      <c r="AG454" s="132">
        <f t="shared" si="905"/>
        <v>-1000</v>
      </c>
      <c r="AH454" s="132">
        <f t="shared" si="905"/>
        <v>-1000</v>
      </c>
      <c r="AI454" s="132">
        <f t="shared" si="905"/>
        <v>-1000</v>
      </c>
      <c r="AJ454" s="132">
        <f t="shared" si="905"/>
        <v>-1000</v>
      </c>
      <c r="AK454" s="132">
        <f t="shared" si="905"/>
        <v>-1000</v>
      </c>
      <c r="AL454" s="132">
        <f t="shared" si="905"/>
        <v>-1000</v>
      </c>
      <c r="AM454" s="132">
        <f t="shared" si="905"/>
        <v>-1000</v>
      </c>
      <c r="AN454" s="132">
        <f t="shared" si="905"/>
        <v>-1000</v>
      </c>
      <c r="AO454" s="132">
        <f t="shared" si="905"/>
        <v>-1000</v>
      </c>
      <c r="AP454" s="132">
        <f t="shared" si="905"/>
        <v>-1000</v>
      </c>
      <c r="AQ454" s="132">
        <f t="shared" si="905"/>
        <v>-1000</v>
      </c>
      <c r="AR454" s="132">
        <f t="shared" si="905"/>
        <v>-1000</v>
      </c>
      <c r="AS454" s="132">
        <f t="shared" si="905"/>
        <v>-1000</v>
      </c>
    </row>
    <row r="455">
      <c r="A455" s="132" t="s">
        <v>3957</v>
      </c>
      <c r="B455" s="132">
        <v>500.0</v>
      </c>
      <c r="C455" s="132">
        <v>0.0</v>
      </c>
      <c r="D455" s="132">
        <v>0.0</v>
      </c>
      <c r="E455" s="132">
        <v>0.0</v>
      </c>
      <c r="F455" s="132">
        <v>0.0</v>
      </c>
      <c r="G455" s="132">
        <v>0.0</v>
      </c>
      <c r="H455" s="132">
        <v>500.0</v>
      </c>
      <c r="I455" s="132">
        <v>0.0</v>
      </c>
      <c r="J455" s="132">
        <v>0.0</v>
      </c>
      <c r="K455" s="132">
        <v>0.0</v>
      </c>
      <c r="L455" s="132">
        <v>0.0</v>
      </c>
      <c r="M455" s="132">
        <v>0.0</v>
      </c>
      <c r="N455" s="132">
        <v>0.0</v>
      </c>
      <c r="O455" s="132">
        <v>0.0</v>
      </c>
      <c r="P455" s="132">
        <v>0.0</v>
      </c>
      <c r="Q455" s="132">
        <v>0.0</v>
      </c>
      <c r="R455" s="132">
        <v>0.0</v>
      </c>
      <c r="S455" s="132">
        <v>0.0</v>
      </c>
      <c r="T455" s="132">
        <v>0.0</v>
      </c>
      <c r="U455" s="132">
        <v>0.0</v>
      </c>
      <c r="V455" s="132">
        <v>0.0</v>
      </c>
      <c r="W455" s="132">
        <v>0.0</v>
      </c>
      <c r="Y455" s="132" t="s">
        <v>3957</v>
      </c>
      <c r="Z455" s="132">
        <f t="shared" ref="Z455:AC455" si="906">C455-1000</f>
        <v>-1000</v>
      </c>
      <c r="AA455" s="132">
        <f t="shared" si="906"/>
        <v>-1000</v>
      </c>
      <c r="AB455" s="132">
        <f t="shared" si="906"/>
        <v>-1000</v>
      </c>
      <c r="AC455" s="132">
        <f t="shared" si="906"/>
        <v>-1000</v>
      </c>
      <c r="AD455" s="132">
        <f t="shared" si="4"/>
        <v>-10000</v>
      </c>
      <c r="AE455" s="132">
        <f t="shared" ref="AE455:AS455" si="907">H455-1000</f>
        <v>-500</v>
      </c>
      <c r="AF455" s="132">
        <f t="shared" si="907"/>
        <v>-1000</v>
      </c>
      <c r="AG455" s="132">
        <f t="shared" si="907"/>
        <v>-1000</v>
      </c>
      <c r="AH455" s="132">
        <f t="shared" si="907"/>
        <v>-1000</v>
      </c>
      <c r="AI455" s="132">
        <f t="shared" si="907"/>
        <v>-1000</v>
      </c>
      <c r="AJ455" s="132">
        <f t="shared" si="907"/>
        <v>-1000</v>
      </c>
      <c r="AK455" s="132">
        <f t="shared" si="907"/>
        <v>-1000</v>
      </c>
      <c r="AL455" s="132">
        <f t="shared" si="907"/>
        <v>-1000</v>
      </c>
      <c r="AM455" s="132">
        <f t="shared" si="907"/>
        <v>-1000</v>
      </c>
      <c r="AN455" s="132">
        <f t="shared" si="907"/>
        <v>-1000</v>
      </c>
      <c r="AO455" s="132">
        <f t="shared" si="907"/>
        <v>-1000</v>
      </c>
      <c r="AP455" s="132">
        <f t="shared" si="907"/>
        <v>-1000</v>
      </c>
      <c r="AQ455" s="132">
        <f t="shared" si="907"/>
        <v>-1000</v>
      </c>
      <c r="AR455" s="132">
        <f t="shared" si="907"/>
        <v>-1000</v>
      </c>
      <c r="AS455" s="132">
        <f t="shared" si="907"/>
        <v>-1000</v>
      </c>
    </row>
    <row r="456">
      <c r="A456" s="132" t="s">
        <v>3958</v>
      </c>
      <c r="B456" s="132">
        <v>1000.0</v>
      </c>
      <c r="C456" s="132">
        <v>0.0</v>
      </c>
      <c r="D456" s="132">
        <v>0.0</v>
      </c>
      <c r="E456" s="132">
        <v>0.0</v>
      </c>
      <c r="F456" s="132">
        <v>0.0</v>
      </c>
      <c r="G456" s="132">
        <v>0.0</v>
      </c>
      <c r="H456" s="132">
        <v>1000.0</v>
      </c>
      <c r="I456" s="132">
        <v>0.0</v>
      </c>
      <c r="J456" s="132">
        <v>0.0</v>
      </c>
      <c r="K456" s="132">
        <v>0.0</v>
      </c>
      <c r="L456" s="132">
        <v>0.0</v>
      </c>
      <c r="M456" s="132">
        <v>0.0</v>
      </c>
      <c r="N456" s="132">
        <v>0.0</v>
      </c>
      <c r="O456" s="132">
        <v>0.0</v>
      </c>
      <c r="P456" s="132">
        <v>0.0</v>
      </c>
      <c r="Q456" s="132">
        <v>0.0</v>
      </c>
      <c r="R456" s="132">
        <v>0.0</v>
      </c>
      <c r="S456" s="132">
        <v>0.0</v>
      </c>
      <c r="T456" s="132">
        <v>0.0</v>
      </c>
      <c r="U456" s="132">
        <v>0.0</v>
      </c>
      <c r="V456" s="132">
        <v>0.0</v>
      </c>
      <c r="W456" s="132">
        <v>0.0</v>
      </c>
      <c r="Y456" s="132" t="s">
        <v>3958</v>
      </c>
      <c r="Z456" s="132">
        <f t="shared" ref="Z456:AC456" si="908">C456-1000</f>
        <v>-1000</v>
      </c>
      <c r="AA456" s="132">
        <f t="shared" si="908"/>
        <v>-1000</v>
      </c>
      <c r="AB456" s="132">
        <f t="shared" si="908"/>
        <v>-1000</v>
      </c>
      <c r="AC456" s="132">
        <f t="shared" si="908"/>
        <v>-1000</v>
      </c>
      <c r="AD456" s="132">
        <f t="shared" si="4"/>
        <v>-10000</v>
      </c>
      <c r="AE456" s="132">
        <f t="shared" ref="AE456:AS456" si="909">H456-1000</f>
        <v>0</v>
      </c>
      <c r="AF456" s="132">
        <f t="shared" si="909"/>
        <v>-1000</v>
      </c>
      <c r="AG456" s="132">
        <f t="shared" si="909"/>
        <v>-1000</v>
      </c>
      <c r="AH456" s="132">
        <f t="shared" si="909"/>
        <v>-1000</v>
      </c>
      <c r="AI456" s="132">
        <f t="shared" si="909"/>
        <v>-1000</v>
      </c>
      <c r="AJ456" s="132">
        <f t="shared" si="909"/>
        <v>-1000</v>
      </c>
      <c r="AK456" s="132">
        <f t="shared" si="909"/>
        <v>-1000</v>
      </c>
      <c r="AL456" s="132">
        <f t="shared" si="909"/>
        <v>-1000</v>
      </c>
      <c r="AM456" s="132">
        <f t="shared" si="909"/>
        <v>-1000</v>
      </c>
      <c r="AN456" s="132">
        <f t="shared" si="909"/>
        <v>-1000</v>
      </c>
      <c r="AO456" s="132">
        <f t="shared" si="909"/>
        <v>-1000</v>
      </c>
      <c r="AP456" s="132">
        <f t="shared" si="909"/>
        <v>-1000</v>
      </c>
      <c r="AQ456" s="132">
        <f t="shared" si="909"/>
        <v>-1000</v>
      </c>
      <c r="AR456" s="132">
        <f t="shared" si="909"/>
        <v>-1000</v>
      </c>
      <c r="AS456" s="132">
        <f t="shared" si="909"/>
        <v>-1000</v>
      </c>
    </row>
    <row r="457">
      <c r="A457" s="132" t="s">
        <v>3959</v>
      </c>
      <c r="B457" s="132">
        <v>500.0</v>
      </c>
      <c r="C457" s="132">
        <v>0.0</v>
      </c>
      <c r="D457" s="132">
        <v>0.0</v>
      </c>
      <c r="E457" s="132">
        <v>0.0</v>
      </c>
      <c r="F457" s="132">
        <v>0.0</v>
      </c>
      <c r="G457" s="132">
        <v>0.0</v>
      </c>
      <c r="H457" s="132">
        <v>500.0</v>
      </c>
      <c r="I457" s="132">
        <v>0.0</v>
      </c>
      <c r="J457" s="132">
        <v>0.0</v>
      </c>
      <c r="K457" s="132">
        <v>0.0</v>
      </c>
      <c r="L457" s="132">
        <v>0.0</v>
      </c>
      <c r="M457" s="132">
        <v>0.0</v>
      </c>
      <c r="N457" s="132">
        <v>0.0</v>
      </c>
      <c r="O457" s="132">
        <v>0.0</v>
      </c>
      <c r="P457" s="132">
        <v>0.0</v>
      </c>
      <c r="Q457" s="132">
        <v>0.0</v>
      </c>
      <c r="R457" s="132">
        <v>0.0</v>
      </c>
      <c r="S457" s="132">
        <v>0.0</v>
      </c>
      <c r="T457" s="132">
        <v>0.0</v>
      </c>
      <c r="U457" s="132">
        <v>0.0</v>
      </c>
      <c r="V457" s="132">
        <v>0.0</v>
      </c>
      <c r="W457" s="132">
        <v>0.0</v>
      </c>
      <c r="Y457" s="132" t="s">
        <v>3959</v>
      </c>
      <c r="Z457" s="132">
        <f t="shared" ref="Z457:AC457" si="910">C457-1000</f>
        <v>-1000</v>
      </c>
      <c r="AA457" s="132">
        <f t="shared" si="910"/>
        <v>-1000</v>
      </c>
      <c r="AB457" s="132">
        <f t="shared" si="910"/>
        <v>-1000</v>
      </c>
      <c r="AC457" s="132">
        <f t="shared" si="910"/>
        <v>-1000</v>
      </c>
      <c r="AD457" s="132">
        <f t="shared" si="4"/>
        <v>-10000</v>
      </c>
      <c r="AE457" s="132">
        <f t="shared" ref="AE457:AS457" si="911">H457-1000</f>
        <v>-500</v>
      </c>
      <c r="AF457" s="132">
        <f t="shared" si="911"/>
        <v>-1000</v>
      </c>
      <c r="AG457" s="132">
        <f t="shared" si="911"/>
        <v>-1000</v>
      </c>
      <c r="AH457" s="132">
        <f t="shared" si="911"/>
        <v>-1000</v>
      </c>
      <c r="AI457" s="132">
        <f t="shared" si="911"/>
        <v>-1000</v>
      </c>
      <c r="AJ457" s="132">
        <f t="shared" si="911"/>
        <v>-1000</v>
      </c>
      <c r="AK457" s="132">
        <f t="shared" si="911"/>
        <v>-1000</v>
      </c>
      <c r="AL457" s="132">
        <f t="shared" si="911"/>
        <v>-1000</v>
      </c>
      <c r="AM457" s="132">
        <f t="shared" si="911"/>
        <v>-1000</v>
      </c>
      <c r="AN457" s="132">
        <f t="shared" si="911"/>
        <v>-1000</v>
      </c>
      <c r="AO457" s="132">
        <f t="shared" si="911"/>
        <v>-1000</v>
      </c>
      <c r="AP457" s="132">
        <f t="shared" si="911"/>
        <v>-1000</v>
      </c>
      <c r="AQ457" s="132">
        <f t="shared" si="911"/>
        <v>-1000</v>
      </c>
      <c r="AR457" s="132">
        <f t="shared" si="911"/>
        <v>-1000</v>
      </c>
      <c r="AS457" s="132">
        <f t="shared" si="911"/>
        <v>-1000</v>
      </c>
    </row>
    <row r="458">
      <c r="A458" s="132" t="s">
        <v>3960</v>
      </c>
      <c r="B458" s="132">
        <v>2000.0</v>
      </c>
      <c r="C458" s="132">
        <v>0.0</v>
      </c>
      <c r="D458" s="132">
        <v>0.0</v>
      </c>
      <c r="E458" s="132">
        <v>0.0</v>
      </c>
      <c r="F458" s="132">
        <v>0.0</v>
      </c>
      <c r="G458" s="132">
        <v>0.0</v>
      </c>
      <c r="H458" s="132">
        <v>2000.0</v>
      </c>
      <c r="I458" s="132">
        <v>0.0</v>
      </c>
      <c r="J458" s="132">
        <v>0.0</v>
      </c>
      <c r="K458" s="132">
        <v>0.0</v>
      </c>
      <c r="L458" s="132">
        <v>0.0</v>
      </c>
      <c r="M458" s="132">
        <v>0.0</v>
      </c>
      <c r="N458" s="132">
        <v>0.0</v>
      </c>
      <c r="O458" s="132">
        <v>0.0</v>
      </c>
      <c r="P458" s="132">
        <v>0.0</v>
      </c>
      <c r="Q458" s="132">
        <v>0.0</v>
      </c>
      <c r="R458" s="132">
        <v>0.0</v>
      </c>
      <c r="S458" s="132">
        <v>0.0</v>
      </c>
      <c r="T458" s="132">
        <v>0.0</v>
      </c>
      <c r="U458" s="132">
        <v>0.0</v>
      </c>
      <c r="V458" s="132">
        <v>0.0</v>
      </c>
      <c r="W458" s="132">
        <v>1.0</v>
      </c>
      <c r="Y458" s="132" t="s">
        <v>3960</v>
      </c>
      <c r="Z458" s="132">
        <f t="shared" ref="Z458:AC458" si="912">C458-1000</f>
        <v>-1000</v>
      </c>
      <c r="AA458" s="132">
        <f t="shared" si="912"/>
        <v>-1000</v>
      </c>
      <c r="AB458" s="132">
        <f t="shared" si="912"/>
        <v>-1000</v>
      </c>
      <c r="AC458" s="132">
        <f t="shared" si="912"/>
        <v>-1000</v>
      </c>
      <c r="AD458" s="132">
        <f t="shared" si="4"/>
        <v>-10000</v>
      </c>
      <c r="AE458" s="132">
        <f t="shared" ref="AE458:AS458" si="913">H458-1000</f>
        <v>1000</v>
      </c>
      <c r="AF458" s="132">
        <f t="shared" si="913"/>
        <v>-1000</v>
      </c>
      <c r="AG458" s="132">
        <f t="shared" si="913"/>
        <v>-1000</v>
      </c>
      <c r="AH458" s="132">
        <f t="shared" si="913"/>
        <v>-1000</v>
      </c>
      <c r="AI458" s="132">
        <f t="shared" si="913"/>
        <v>-1000</v>
      </c>
      <c r="AJ458" s="132">
        <f t="shared" si="913"/>
        <v>-1000</v>
      </c>
      <c r="AK458" s="132">
        <f t="shared" si="913"/>
        <v>-1000</v>
      </c>
      <c r="AL458" s="132">
        <f t="shared" si="913"/>
        <v>-1000</v>
      </c>
      <c r="AM458" s="132">
        <f t="shared" si="913"/>
        <v>-1000</v>
      </c>
      <c r="AN458" s="132">
        <f t="shared" si="913"/>
        <v>-1000</v>
      </c>
      <c r="AO458" s="132">
        <f t="shared" si="913"/>
        <v>-1000</v>
      </c>
      <c r="AP458" s="132">
        <f t="shared" si="913"/>
        <v>-1000</v>
      </c>
      <c r="AQ458" s="132">
        <f t="shared" si="913"/>
        <v>-1000</v>
      </c>
      <c r="AR458" s="132">
        <f t="shared" si="913"/>
        <v>-1000</v>
      </c>
      <c r="AS458" s="132">
        <f t="shared" si="913"/>
        <v>-1000</v>
      </c>
    </row>
    <row r="459">
      <c r="A459" s="132" t="s">
        <v>3961</v>
      </c>
      <c r="B459" s="132">
        <v>500.0</v>
      </c>
      <c r="C459" s="132">
        <v>0.0</v>
      </c>
      <c r="D459" s="132">
        <v>0.0</v>
      </c>
      <c r="E459" s="132">
        <v>0.0</v>
      </c>
      <c r="F459" s="132">
        <v>0.0</v>
      </c>
      <c r="G459" s="132">
        <v>0.0</v>
      </c>
      <c r="H459" s="132">
        <v>500.0</v>
      </c>
      <c r="I459" s="132">
        <v>0.0</v>
      </c>
      <c r="J459" s="132">
        <v>0.0</v>
      </c>
      <c r="K459" s="132">
        <v>0.0</v>
      </c>
      <c r="L459" s="132">
        <v>0.0</v>
      </c>
      <c r="M459" s="132">
        <v>0.0</v>
      </c>
      <c r="N459" s="132">
        <v>0.0</v>
      </c>
      <c r="O459" s="132">
        <v>0.0</v>
      </c>
      <c r="P459" s="132">
        <v>0.0</v>
      </c>
      <c r="Q459" s="132">
        <v>0.0</v>
      </c>
      <c r="R459" s="132">
        <v>0.0</v>
      </c>
      <c r="S459" s="132">
        <v>0.0</v>
      </c>
      <c r="T459" s="132">
        <v>0.0</v>
      </c>
      <c r="U459" s="132">
        <v>0.0</v>
      </c>
      <c r="V459" s="132">
        <v>0.0</v>
      </c>
      <c r="W459" s="132">
        <v>0.0</v>
      </c>
      <c r="Y459" s="132" t="s">
        <v>3961</v>
      </c>
      <c r="Z459" s="132">
        <f t="shared" ref="Z459:AC459" si="914">C459-1000</f>
        <v>-1000</v>
      </c>
      <c r="AA459" s="132">
        <f t="shared" si="914"/>
        <v>-1000</v>
      </c>
      <c r="AB459" s="132">
        <f t="shared" si="914"/>
        <v>-1000</v>
      </c>
      <c r="AC459" s="132">
        <f t="shared" si="914"/>
        <v>-1000</v>
      </c>
      <c r="AD459" s="132">
        <f t="shared" si="4"/>
        <v>-10000</v>
      </c>
      <c r="AE459" s="132">
        <f t="shared" ref="AE459:AS459" si="915">H459-1000</f>
        <v>-500</v>
      </c>
      <c r="AF459" s="132">
        <f t="shared" si="915"/>
        <v>-1000</v>
      </c>
      <c r="AG459" s="132">
        <f t="shared" si="915"/>
        <v>-1000</v>
      </c>
      <c r="AH459" s="132">
        <f t="shared" si="915"/>
        <v>-1000</v>
      </c>
      <c r="AI459" s="132">
        <f t="shared" si="915"/>
        <v>-1000</v>
      </c>
      <c r="AJ459" s="132">
        <f t="shared" si="915"/>
        <v>-1000</v>
      </c>
      <c r="AK459" s="132">
        <f t="shared" si="915"/>
        <v>-1000</v>
      </c>
      <c r="AL459" s="132">
        <f t="shared" si="915"/>
        <v>-1000</v>
      </c>
      <c r="AM459" s="132">
        <f t="shared" si="915"/>
        <v>-1000</v>
      </c>
      <c r="AN459" s="132">
        <f t="shared" si="915"/>
        <v>-1000</v>
      </c>
      <c r="AO459" s="132">
        <f t="shared" si="915"/>
        <v>-1000</v>
      </c>
      <c r="AP459" s="132">
        <f t="shared" si="915"/>
        <v>-1000</v>
      </c>
      <c r="AQ459" s="132">
        <f t="shared" si="915"/>
        <v>-1000</v>
      </c>
      <c r="AR459" s="132">
        <f t="shared" si="915"/>
        <v>-1000</v>
      </c>
      <c r="AS459" s="132">
        <f t="shared" si="915"/>
        <v>-1000</v>
      </c>
    </row>
    <row r="460">
      <c r="A460" s="132" t="s">
        <v>3962</v>
      </c>
      <c r="B460" s="132">
        <v>100.0</v>
      </c>
      <c r="C460" s="132">
        <v>0.0</v>
      </c>
      <c r="D460" s="132">
        <v>0.0</v>
      </c>
      <c r="E460" s="132">
        <v>0.0</v>
      </c>
      <c r="F460" s="132">
        <v>0.0</v>
      </c>
      <c r="G460" s="132">
        <v>0.0</v>
      </c>
      <c r="H460" s="132">
        <v>100.0</v>
      </c>
      <c r="I460" s="132">
        <v>0.0</v>
      </c>
      <c r="J460" s="132">
        <v>0.0</v>
      </c>
      <c r="K460" s="132">
        <v>0.0</v>
      </c>
      <c r="L460" s="132">
        <v>0.0</v>
      </c>
      <c r="M460" s="132">
        <v>0.0</v>
      </c>
      <c r="N460" s="132">
        <v>0.0</v>
      </c>
      <c r="O460" s="132">
        <v>0.0</v>
      </c>
      <c r="P460" s="132">
        <v>0.0</v>
      </c>
      <c r="Q460" s="132">
        <v>0.0</v>
      </c>
      <c r="R460" s="132">
        <v>0.0</v>
      </c>
      <c r="S460" s="132">
        <v>0.0</v>
      </c>
      <c r="T460" s="132">
        <v>0.0</v>
      </c>
      <c r="U460" s="132">
        <v>0.0</v>
      </c>
      <c r="V460" s="132">
        <v>0.0</v>
      </c>
      <c r="W460" s="132">
        <v>0.0</v>
      </c>
      <c r="Y460" s="132" t="s">
        <v>3962</v>
      </c>
      <c r="Z460" s="132">
        <f t="shared" ref="Z460:AC460" si="916">C460-1000</f>
        <v>-1000</v>
      </c>
      <c r="AA460" s="132">
        <f t="shared" si="916"/>
        <v>-1000</v>
      </c>
      <c r="AB460" s="132">
        <f t="shared" si="916"/>
        <v>-1000</v>
      </c>
      <c r="AC460" s="132">
        <f t="shared" si="916"/>
        <v>-1000</v>
      </c>
      <c r="AD460" s="132">
        <f t="shared" si="4"/>
        <v>-10000</v>
      </c>
      <c r="AE460" s="132">
        <f t="shared" ref="AE460:AS460" si="917">H460-1000</f>
        <v>-900</v>
      </c>
      <c r="AF460" s="132">
        <f t="shared" si="917"/>
        <v>-1000</v>
      </c>
      <c r="AG460" s="132">
        <f t="shared" si="917"/>
        <v>-1000</v>
      </c>
      <c r="AH460" s="132">
        <f t="shared" si="917"/>
        <v>-1000</v>
      </c>
      <c r="AI460" s="132">
        <f t="shared" si="917"/>
        <v>-1000</v>
      </c>
      <c r="AJ460" s="132">
        <f t="shared" si="917"/>
        <v>-1000</v>
      </c>
      <c r="AK460" s="132">
        <f t="shared" si="917"/>
        <v>-1000</v>
      </c>
      <c r="AL460" s="132">
        <f t="shared" si="917"/>
        <v>-1000</v>
      </c>
      <c r="AM460" s="132">
        <f t="shared" si="917"/>
        <v>-1000</v>
      </c>
      <c r="AN460" s="132">
        <f t="shared" si="917"/>
        <v>-1000</v>
      </c>
      <c r="AO460" s="132">
        <f t="shared" si="917"/>
        <v>-1000</v>
      </c>
      <c r="AP460" s="132">
        <f t="shared" si="917"/>
        <v>-1000</v>
      </c>
      <c r="AQ460" s="132">
        <f t="shared" si="917"/>
        <v>-1000</v>
      </c>
      <c r="AR460" s="132">
        <f t="shared" si="917"/>
        <v>-1000</v>
      </c>
      <c r="AS460" s="132">
        <f t="shared" si="917"/>
        <v>-1000</v>
      </c>
    </row>
    <row r="461">
      <c r="A461" s="132" t="s">
        <v>3963</v>
      </c>
      <c r="B461" s="132">
        <v>250.0</v>
      </c>
      <c r="C461" s="132">
        <v>0.0</v>
      </c>
      <c r="D461" s="132">
        <v>0.0</v>
      </c>
      <c r="E461" s="132">
        <v>0.0</v>
      </c>
      <c r="F461" s="132">
        <v>0.0</v>
      </c>
      <c r="G461" s="132">
        <v>0.0</v>
      </c>
      <c r="H461" s="132">
        <v>250.0</v>
      </c>
      <c r="I461" s="132">
        <v>0.0</v>
      </c>
      <c r="J461" s="132">
        <v>0.0</v>
      </c>
      <c r="K461" s="132">
        <v>0.0</v>
      </c>
      <c r="L461" s="132">
        <v>0.0</v>
      </c>
      <c r="M461" s="132">
        <v>0.0</v>
      </c>
      <c r="N461" s="132">
        <v>0.0</v>
      </c>
      <c r="O461" s="132">
        <v>0.0</v>
      </c>
      <c r="P461" s="132">
        <v>0.0</v>
      </c>
      <c r="Q461" s="132">
        <v>0.0</v>
      </c>
      <c r="R461" s="132">
        <v>0.0</v>
      </c>
      <c r="S461" s="132">
        <v>0.0</v>
      </c>
      <c r="T461" s="132">
        <v>0.0</v>
      </c>
      <c r="U461" s="132">
        <v>0.0</v>
      </c>
      <c r="V461" s="132">
        <v>0.0</v>
      </c>
      <c r="W461" s="132">
        <v>0.0</v>
      </c>
      <c r="Y461" s="132" t="s">
        <v>3963</v>
      </c>
      <c r="Z461" s="132">
        <f t="shared" ref="Z461:AC461" si="918">C461-1000</f>
        <v>-1000</v>
      </c>
      <c r="AA461" s="132">
        <f t="shared" si="918"/>
        <v>-1000</v>
      </c>
      <c r="AB461" s="132">
        <f t="shared" si="918"/>
        <v>-1000</v>
      </c>
      <c r="AC461" s="132">
        <f t="shared" si="918"/>
        <v>-1000</v>
      </c>
      <c r="AD461" s="132">
        <f t="shared" si="4"/>
        <v>-10000</v>
      </c>
      <c r="AE461" s="132">
        <f t="shared" ref="AE461:AS461" si="919">H461-1000</f>
        <v>-750</v>
      </c>
      <c r="AF461" s="132">
        <f t="shared" si="919"/>
        <v>-1000</v>
      </c>
      <c r="AG461" s="132">
        <f t="shared" si="919"/>
        <v>-1000</v>
      </c>
      <c r="AH461" s="132">
        <f t="shared" si="919"/>
        <v>-1000</v>
      </c>
      <c r="AI461" s="132">
        <f t="shared" si="919"/>
        <v>-1000</v>
      </c>
      <c r="AJ461" s="132">
        <f t="shared" si="919"/>
        <v>-1000</v>
      </c>
      <c r="AK461" s="132">
        <f t="shared" si="919"/>
        <v>-1000</v>
      </c>
      <c r="AL461" s="132">
        <f t="shared" si="919"/>
        <v>-1000</v>
      </c>
      <c r="AM461" s="132">
        <f t="shared" si="919"/>
        <v>-1000</v>
      </c>
      <c r="AN461" s="132">
        <f t="shared" si="919"/>
        <v>-1000</v>
      </c>
      <c r="AO461" s="132">
        <f t="shared" si="919"/>
        <v>-1000</v>
      </c>
      <c r="AP461" s="132">
        <f t="shared" si="919"/>
        <v>-1000</v>
      </c>
      <c r="AQ461" s="132">
        <f t="shared" si="919"/>
        <v>-1000</v>
      </c>
      <c r="AR461" s="132">
        <f t="shared" si="919"/>
        <v>-1000</v>
      </c>
      <c r="AS461" s="132">
        <f t="shared" si="919"/>
        <v>-1000</v>
      </c>
    </row>
    <row r="462">
      <c r="A462" s="132" t="s">
        <v>3964</v>
      </c>
      <c r="B462" s="132">
        <v>100.0</v>
      </c>
      <c r="C462" s="132">
        <v>0.0</v>
      </c>
      <c r="D462" s="132">
        <v>0.0</v>
      </c>
      <c r="E462" s="132">
        <v>0.0</v>
      </c>
      <c r="F462" s="132">
        <v>0.0</v>
      </c>
      <c r="G462" s="132">
        <v>0.0</v>
      </c>
      <c r="H462" s="132">
        <v>100.0</v>
      </c>
      <c r="I462" s="132">
        <v>0.0</v>
      </c>
      <c r="J462" s="132">
        <v>0.0</v>
      </c>
      <c r="K462" s="132">
        <v>0.0</v>
      </c>
      <c r="L462" s="132">
        <v>0.0</v>
      </c>
      <c r="M462" s="132">
        <v>0.0</v>
      </c>
      <c r="N462" s="132">
        <v>0.0</v>
      </c>
      <c r="O462" s="132">
        <v>0.0</v>
      </c>
      <c r="P462" s="132">
        <v>0.0</v>
      </c>
      <c r="Q462" s="132">
        <v>0.0</v>
      </c>
      <c r="R462" s="132">
        <v>0.0</v>
      </c>
      <c r="S462" s="132">
        <v>0.0</v>
      </c>
      <c r="T462" s="132">
        <v>0.0</v>
      </c>
      <c r="U462" s="132">
        <v>0.0</v>
      </c>
      <c r="V462" s="132">
        <v>0.0</v>
      </c>
      <c r="W462" s="132">
        <v>0.0</v>
      </c>
      <c r="Y462" s="132" t="s">
        <v>3964</v>
      </c>
      <c r="Z462" s="132">
        <f t="shared" ref="Z462:AC462" si="920">C462-1000</f>
        <v>-1000</v>
      </c>
      <c r="AA462" s="132">
        <f t="shared" si="920"/>
        <v>-1000</v>
      </c>
      <c r="AB462" s="132">
        <f t="shared" si="920"/>
        <v>-1000</v>
      </c>
      <c r="AC462" s="132">
        <f t="shared" si="920"/>
        <v>-1000</v>
      </c>
      <c r="AD462" s="132">
        <f t="shared" si="4"/>
        <v>-10000</v>
      </c>
      <c r="AE462" s="132">
        <f t="shared" ref="AE462:AS462" si="921">H462-1000</f>
        <v>-900</v>
      </c>
      <c r="AF462" s="132">
        <f t="shared" si="921"/>
        <v>-1000</v>
      </c>
      <c r="AG462" s="132">
        <f t="shared" si="921"/>
        <v>-1000</v>
      </c>
      <c r="AH462" s="132">
        <f t="shared" si="921"/>
        <v>-1000</v>
      </c>
      <c r="AI462" s="132">
        <f t="shared" si="921"/>
        <v>-1000</v>
      </c>
      <c r="AJ462" s="132">
        <f t="shared" si="921"/>
        <v>-1000</v>
      </c>
      <c r="AK462" s="132">
        <f t="shared" si="921"/>
        <v>-1000</v>
      </c>
      <c r="AL462" s="132">
        <f t="shared" si="921"/>
        <v>-1000</v>
      </c>
      <c r="AM462" s="132">
        <f t="shared" si="921"/>
        <v>-1000</v>
      </c>
      <c r="AN462" s="132">
        <f t="shared" si="921"/>
        <v>-1000</v>
      </c>
      <c r="AO462" s="132">
        <f t="shared" si="921"/>
        <v>-1000</v>
      </c>
      <c r="AP462" s="132">
        <f t="shared" si="921"/>
        <v>-1000</v>
      </c>
      <c r="AQ462" s="132">
        <f t="shared" si="921"/>
        <v>-1000</v>
      </c>
      <c r="AR462" s="132">
        <f t="shared" si="921"/>
        <v>-1000</v>
      </c>
      <c r="AS462" s="132">
        <f t="shared" si="921"/>
        <v>-1000</v>
      </c>
    </row>
    <row r="463">
      <c r="A463" s="132" t="s">
        <v>3965</v>
      </c>
      <c r="B463" s="132">
        <v>200.0</v>
      </c>
      <c r="C463" s="132">
        <v>0.0</v>
      </c>
      <c r="D463" s="132">
        <v>0.0</v>
      </c>
      <c r="E463" s="132">
        <v>0.0</v>
      </c>
      <c r="F463" s="132">
        <v>0.0</v>
      </c>
      <c r="G463" s="132">
        <v>0.0</v>
      </c>
      <c r="H463" s="132">
        <v>200.0</v>
      </c>
      <c r="I463" s="132">
        <v>0.0</v>
      </c>
      <c r="J463" s="132">
        <v>0.0</v>
      </c>
      <c r="K463" s="132">
        <v>0.0</v>
      </c>
      <c r="L463" s="132">
        <v>0.0</v>
      </c>
      <c r="M463" s="132">
        <v>0.0</v>
      </c>
      <c r="N463" s="132">
        <v>0.0</v>
      </c>
      <c r="O463" s="132">
        <v>0.0</v>
      </c>
      <c r="P463" s="132">
        <v>0.0</v>
      </c>
      <c r="Q463" s="132">
        <v>0.0</v>
      </c>
      <c r="R463" s="132">
        <v>0.0</v>
      </c>
      <c r="S463" s="132">
        <v>0.0</v>
      </c>
      <c r="T463" s="132">
        <v>0.0</v>
      </c>
      <c r="U463" s="132">
        <v>0.0</v>
      </c>
      <c r="V463" s="132">
        <v>0.0</v>
      </c>
      <c r="W463" s="132">
        <v>0.0</v>
      </c>
      <c r="Y463" s="132" t="s">
        <v>3965</v>
      </c>
      <c r="Z463" s="132">
        <f t="shared" ref="Z463:AC463" si="922">C463-1000</f>
        <v>-1000</v>
      </c>
      <c r="AA463" s="132">
        <f t="shared" si="922"/>
        <v>-1000</v>
      </c>
      <c r="AB463" s="132">
        <f t="shared" si="922"/>
        <v>-1000</v>
      </c>
      <c r="AC463" s="132">
        <f t="shared" si="922"/>
        <v>-1000</v>
      </c>
      <c r="AD463" s="132">
        <f t="shared" si="4"/>
        <v>-10000</v>
      </c>
      <c r="AE463" s="132">
        <f t="shared" ref="AE463:AS463" si="923">H463-1000</f>
        <v>-800</v>
      </c>
      <c r="AF463" s="132">
        <f t="shared" si="923"/>
        <v>-1000</v>
      </c>
      <c r="AG463" s="132">
        <f t="shared" si="923"/>
        <v>-1000</v>
      </c>
      <c r="AH463" s="132">
        <f t="shared" si="923"/>
        <v>-1000</v>
      </c>
      <c r="AI463" s="132">
        <f t="shared" si="923"/>
        <v>-1000</v>
      </c>
      <c r="AJ463" s="132">
        <f t="shared" si="923"/>
        <v>-1000</v>
      </c>
      <c r="AK463" s="132">
        <f t="shared" si="923"/>
        <v>-1000</v>
      </c>
      <c r="AL463" s="132">
        <f t="shared" si="923"/>
        <v>-1000</v>
      </c>
      <c r="AM463" s="132">
        <f t="shared" si="923"/>
        <v>-1000</v>
      </c>
      <c r="AN463" s="132">
        <f t="shared" si="923"/>
        <v>-1000</v>
      </c>
      <c r="AO463" s="132">
        <f t="shared" si="923"/>
        <v>-1000</v>
      </c>
      <c r="AP463" s="132">
        <f t="shared" si="923"/>
        <v>-1000</v>
      </c>
      <c r="AQ463" s="132">
        <f t="shared" si="923"/>
        <v>-1000</v>
      </c>
      <c r="AR463" s="132">
        <f t="shared" si="923"/>
        <v>-1000</v>
      </c>
      <c r="AS463" s="132">
        <f t="shared" si="923"/>
        <v>-1000</v>
      </c>
    </row>
    <row r="464">
      <c r="A464" s="132" t="s">
        <v>3966</v>
      </c>
      <c r="B464" s="132">
        <v>100.0</v>
      </c>
      <c r="C464" s="132">
        <v>0.0</v>
      </c>
      <c r="D464" s="132">
        <v>0.0</v>
      </c>
      <c r="E464" s="132">
        <v>0.0</v>
      </c>
      <c r="F464" s="132">
        <v>0.0</v>
      </c>
      <c r="G464" s="132">
        <v>0.0</v>
      </c>
      <c r="H464" s="132">
        <v>100.0</v>
      </c>
      <c r="I464" s="132">
        <v>0.0</v>
      </c>
      <c r="J464" s="132">
        <v>0.0</v>
      </c>
      <c r="K464" s="132">
        <v>0.0</v>
      </c>
      <c r="L464" s="132">
        <v>0.0</v>
      </c>
      <c r="M464" s="132">
        <v>0.0</v>
      </c>
      <c r="N464" s="132">
        <v>0.0</v>
      </c>
      <c r="O464" s="132">
        <v>0.0</v>
      </c>
      <c r="P464" s="132">
        <v>0.0</v>
      </c>
      <c r="Q464" s="132">
        <v>0.0</v>
      </c>
      <c r="R464" s="132">
        <v>0.0</v>
      </c>
      <c r="S464" s="132">
        <v>0.0</v>
      </c>
      <c r="T464" s="132">
        <v>0.0</v>
      </c>
      <c r="U464" s="132">
        <v>0.0</v>
      </c>
      <c r="V464" s="132">
        <v>0.0</v>
      </c>
      <c r="W464" s="132">
        <v>0.0</v>
      </c>
      <c r="Y464" s="132" t="s">
        <v>3966</v>
      </c>
      <c r="Z464" s="132">
        <f t="shared" ref="Z464:AC464" si="924">C464-1000</f>
        <v>-1000</v>
      </c>
      <c r="AA464" s="132">
        <f t="shared" si="924"/>
        <v>-1000</v>
      </c>
      <c r="AB464" s="132">
        <f t="shared" si="924"/>
        <v>-1000</v>
      </c>
      <c r="AC464" s="132">
        <f t="shared" si="924"/>
        <v>-1000</v>
      </c>
      <c r="AD464" s="132">
        <f t="shared" si="4"/>
        <v>-10000</v>
      </c>
      <c r="AE464" s="132">
        <f t="shared" ref="AE464:AS464" si="925">H464-1000</f>
        <v>-900</v>
      </c>
      <c r="AF464" s="132">
        <f t="shared" si="925"/>
        <v>-1000</v>
      </c>
      <c r="AG464" s="132">
        <f t="shared" si="925"/>
        <v>-1000</v>
      </c>
      <c r="AH464" s="132">
        <f t="shared" si="925"/>
        <v>-1000</v>
      </c>
      <c r="AI464" s="132">
        <f t="shared" si="925"/>
        <v>-1000</v>
      </c>
      <c r="AJ464" s="132">
        <f t="shared" si="925"/>
        <v>-1000</v>
      </c>
      <c r="AK464" s="132">
        <f t="shared" si="925"/>
        <v>-1000</v>
      </c>
      <c r="AL464" s="132">
        <f t="shared" si="925"/>
        <v>-1000</v>
      </c>
      <c r="AM464" s="132">
        <f t="shared" si="925"/>
        <v>-1000</v>
      </c>
      <c r="AN464" s="132">
        <f t="shared" si="925"/>
        <v>-1000</v>
      </c>
      <c r="AO464" s="132">
        <f t="shared" si="925"/>
        <v>-1000</v>
      </c>
      <c r="AP464" s="132">
        <f t="shared" si="925"/>
        <v>-1000</v>
      </c>
      <c r="AQ464" s="132">
        <f t="shared" si="925"/>
        <v>-1000</v>
      </c>
      <c r="AR464" s="132">
        <f t="shared" si="925"/>
        <v>-1000</v>
      </c>
      <c r="AS464" s="132">
        <f t="shared" si="925"/>
        <v>-1000</v>
      </c>
    </row>
    <row r="465">
      <c r="A465" s="132" t="s">
        <v>3967</v>
      </c>
      <c r="B465" s="132">
        <v>100.0</v>
      </c>
      <c r="C465" s="132">
        <v>0.0</v>
      </c>
      <c r="D465" s="132">
        <v>0.0</v>
      </c>
      <c r="E465" s="132">
        <v>0.0</v>
      </c>
      <c r="F465" s="132">
        <v>0.0</v>
      </c>
      <c r="G465" s="132">
        <v>0.0</v>
      </c>
      <c r="H465" s="132">
        <v>100.0</v>
      </c>
      <c r="I465" s="132">
        <v>0.0</v>
      </c>
      <c r="J465" s="132">
        <v>0.0</v>
      </c>
      <c r="K465" s="132">
        <v>0.0</v>
      </c>
      <c r="L465" s="132">
        <v>0.0</v>
      </c>
      <c r="M465" s="132">
        <v>0.0</v>
      </c>
      <c r="N465" s="132">
        <v>0.0</v>
      </c>
      <c r="O465" s="132">
        <v>0.0</v>
      </c>
      <c r="P465" s="132">
        <v>0.0</v>
      </c>
      <c r="Q465" s="132">
        <v>0.0</v>
      </c>
      <c r="R465" s="132">
        <v>0.0</v>
      </c>
      <c r="S465" s="132">
        <v>0.0</v>
      </c>
      <c r="T465" s="132">
        <v>0.0</v>
      </c>
      <c r="U465" s="132">
        <v>0.0</v>
      </c>
      <c r="V465" s="132">
        <v>0.0</v>
      </c>
      <c r="W465" s="132">
        <v>0.0</v>
      </c>
      <c r="Y465" s="132" t="s">
        <v>3967</v>
      </c>
      <c r="Z465" s="132">
        <f t="shared" ref="Z465:AC465" si="926">C465-1000</f>
        <v>-1000</v>
      </c>
      <c r="AA465" s="132">
        <f t="shared" si="926"/>
        <v>-1000</v>
      </c>
      <c r="AB465" s="132">
        <f t="shared" si="926"/>
        <v>-1000</v>
      </c>
      <c r="AC465" s="132">
        <f t="shared" si="926"/>
        <v>-1000</v>
      </c>
      <c r="AD465" s="132">
        <f t="shared" si="4"/>
        <v>-10000</v>
      </c>
      <c r="AE465" s="132">
        <f t="shared" ref="AE465:AS465" si="927">H465-1000</f>
        <v>-900</v>
      </c>
      <c r="AF465" s="132">
        <f t="shared" si="927"/>
        <v>-1000</v>
      </c>
      <c r="AG465" s="132">
        <f t="shared" si="927"/>
        <v>-1000</v>
      </c>
      <c r="AH465" s="132">
        <f t="shared" si="927"/>
        <v>-1000</v>
      </c>
      <c r="AI465" s="132">
        <f t="shared" si="927"/>
        <v>-1000</v>
      </c>
      <c r="AJ465" s="132">
        <f t="shared" si="927"/>
        <v>-1000</v>
      </c>
      <c r="AK465" s="132">
        <f t="shared" si="927"/>
        <v>-1000</v>
      </c>
      <c r="AL465" s="132">
        <f t="shared" si="927"/>
        <v>-1000</v>
      </c>
      <c r="AM465" s="132">
        <f t="shared" si="927"/>
        <v>-1000</v>
      </c>
      <c r="AN465" s="132">
        <f t="shared" si="927"/>
        <v>-1000</v>
      </c>
      <c r="AO465" s="132">
        <f t="shared" si="927"/>
        <v>-1000</v>
      </c>
      <c r="AP465" s="132">
        <f t="shared" si="927"/>
        <v>-1000</v>
      </c>
      <c r="AQ465" s="132">
        <f t="shared" si="927"/>
        <v>-1000</v>
      </c>
      <c r="AR465" s="132">
        <f t="shared" si="927"/>
        <v>-1000</v>
      </c>
      <c r="AS465" s="132">
        <f t="shared" si="927"/>
        <v>-1000</v>
      </c>
    </row>
    <row r="466">
      <c r="A466" s="132" t="s">
        <v>3968</v>
      </c>
      <c r="B466" s="132">
        <v>50.0</v>
      </c>
      <c r="C466" s="132">
        <v>0.0</v>
      </c>
      <c r="D466" s="132">
        <v>0.0</v>
      </c>
      <c r="E466" s="132">
        <v>0.0</v>
      </c>
      <c r="F466" s="132">
        <v>0.0</v>
      </c>
      <c r="G466" s="132">
        <v>0.0</v>
      </c>
      <c r="H466" s="132">
        <v>50.0</v>
      </c>
      <c r="I466" s="132">
        <v>0.0</v>
      </c>
      <c r="J466" s="132">
        <v>0.0</v>
      </c>
      <c r="K466" s="132">
        <v>0.0</v>
      </c>
      <c r="L466" s="132">
        <v>0.0</v>
      </c>
      <c r="M466" s="132">
        <v>0.0</v>
      </c>
      <c r="N466" s="132">
        <v>0.0</v>
      </c>
      <c r="O466" s="132">
        <v>0.0</v>
      </c>
      <c r="P466" s="132">
        <v>0.0</v>
      </c>
      <c r="Q466" s="132">
        <v>0.0</v>
      </c>
      <c r="R466" s="132">
        <v>0.0</v>
      </c>
      <c r="S466" s="132">
        <v>0.0</v>
      </c>
      <c r="T466" s="132">
        <v>0.0</v>
      </c>
      <c r="U466" s="132">
        <v>0.0</v>
      </c>
      <c r="V466" s="132">
        <v>0.0</v>
      </c>
      <c r="W466" s="132">
        <v>0.0</v>
      </c>
      <c r="Y466" s="132" t="s">
        <v>3968</v>
      </c>
      <c r="Z466" s="132">
        <f t="shared" ref="Z466:AC466" si="928">C466-1000</f>
        <v>-1000</v>
      </c>
      <c r="AA466" s="132">
        <f t="shared" si="928"/>
        <v>-1000</v>
      </c>
      <c r="AB466" s="132">
        <f t="shared" si="928"/>
        <v>-1000</v>
      </c>
      <c r="AC466" s="132">
        <f t="shared" si="928"/>
        <v>-1000</v>
      </c>
      <c r="AD466" s="132">
        <f t="shared" si="4"/>
        <v>-10000</v>
      </c>
      <c r="AE466" s="132">
        <f t="shared" ref="AE466:AS466" si="929">H466-1000</f>
        <v>-950</v>
      </c>
      <c r="AF466" s="132">
        <f t="shared" si="929"/>
        <v>-1000</v>
      </c>
      <c r="AG466" s="132">
        <f t="shared" si="929"/>
        <v>-1000</v>
      </c>
      <c r="AH466" s="132">
        <f t="shared" si="929"/>
        <v>-1000</v>
      </c>
      <c r="AI466" s="132">
        <f t="shared" si="929"/>
        <v>-1000</v>
      </c>
      <c r="AJ466" s="132">
        <f t="shared" si="929"/>
        <v>-1000</v>
      </c>
      <c r="AK466" s="132">
        <f t="shared" si="929"/>
        <v>-1000</v>
      </c>
      <c r="AL466" s="132">
        <f t="shared" si="929"/>
        <v>-1000</v>
      </c>
      <c r="AM466" s="132">
        <f t="shared" si="929"/>
        <v>-1000</v>
      </c>
      <c r="AN466" s="132">
        <f t="shared" si="929"/>
        <v>-1000</v>
      </c>
      <c r="AO466" s="132">
        <f t="shared" si="929"/>
        <v>-1000</v>
      </c>
      <c r="AP466" s="132">
        <f t="shared" si="929"/>
        <v>-1000</v>
      </c>
      <c r="AQ466" s="132">
        <f t="shared" si="929"/>
        <v>-1000</v>
      </c>
      <c r="AR466" s="132">
        <f t="shared" si="929"/>
        <v>-1000</v>
      </c>
      <c r="AS466" s="132">
        <f t="shared" si="929"/>
        <v>-1000</v>
      </c>
    </row>
    <row r="467">
      <c r="A467" s="132" t="s">
        <v>3969</v>
      </c>
      <c r="B467" s="132">
        <v>100.0</v>
      </c>
      <c r="C467" s="132">
        <v>0.0</v>
      </c>
      <c r="D467" s="132">
        <v>0.0</v>
      </c>
      <c r="E467" s="132">
        <v>0.0</v>
      </c>
      <c r="F467" s="132">
        <v>0.0</v>
      </c>
      <c r="G467" s="132">
        <v>0.0</v>
      </c>
      <c r="H467" s="132">
        <v>100.0</v>
      </c>
      <c r="I467" s="132">
        <v>0.0</v>
      </c>
      <c r="J467" s="132">
        <v>0.0</v>
      </c>
      <c r="K467" s="132">
        <v>0.0</v>
      </c>
      <c r="L467" s="132">
        <v>0.0</v>
      </c>
      <c r="M467" s="132">
        <v>0.0</v>
      </c>
      <c r="N467" s="132">
        <v>0.0</v>
      </c>
      <c r="O467" s="132">
        <v>0.0</v>
      </c>
      <c r="P467" s="132">
        <v>0.0</v>
      </c>
      <c r="Q467" s="132">
        <v>0.0</v>
      </c>
      <c r="R467" s="132">
        <v>0.0</v>
      </c>
      <c r="S467" s="132">
        <v>0.0</v>
      </c>
      <c r="T467" s="132">
        <v>0.0</v>
      </c>
      <c r="U467" s="132">
        <v>0.0</v>
      </c>
      <c r="V467" s="132">
        <v>0.0</v>
      </c>
      <c r="W467" s="132">
        <v>0.0</v>
      </c>
      <c r="Y467" s="132" t="s">
        <v>3969</v>
      </c>
      <c r="Z467" s="132">
        <f t="shared" ref="Z467:AC467" si="930">C467-1000</f>
        <v>-1000</v>
      </c>
      <c r="AA467" s="132">
        <f t="shared" si="930"/>
        <v>-1000</v>
      </c>
      <c r="AB467" s="132">
        <f t="shared" si="930"/>
        <v>-1000</v>
      </c>
      <c r="AC467" s="132">
        <f t="shared" si="930"/>
        <v>-1000</v>
      </c>
      <c r="AD467" s="132">
        <f t="shared" si="4"/>
        <v>-10000</v>
      </c>
      <c r="AE467" s="132">
        <f t="shared" ref="AE467:AS467" si="931">H467-1000</f>
        <v>-900</v>
      </c>
      <c r="AF467" s="132">
        <f t="shared" si="931"/>
        <v>-1000</v>
      </c>
      <c r="AG467" s="132">
        <f t="shared" si="931"/>
        <v>-1000</v>
      </c>
      <c r="AH467" s="132">
        <f t="shared" si="931"/>
        <v>-1000</v>
      </c>
      <c r="AI467" s="132">
        <f t="shared" si="931"/>
        <v>-1000</v>
      </c>
      <c r="AJ467" s="132">
        <f t="shared" si="931"/>
        <v>-1000</v>
      </c>
      <c r="AK467" s="132">
        <f t="shared" si="931"/>
        <v>-1000</v>
      </c>
      <c r="AL467" s="132">
        <f t="shared" si="931"/>
        <v>-1000</v>
      </c>
      <c r="AM467" s="132">
        <f t="shared" si="931"/>
        <v>-1000</v>
      </c>
      <c r="AN467" s="132">
        <f t="shared" si="931"/>
        <v>-1000</v>
      </c>
      <c r="AO467" s="132">
        <f t="shared" si="931"/>
        <v>-1000</v>
      </c>
      <c r="AP467" s="132">
        <f t="shared" si="931"/>
        <v>-1000</v>
      </c>
      <c r="AQ467" s="132">
        <f t="shared" si="931"/>
        <v>-1000</v>
      </c>
      <c r="AR467" s="132">
        <f t="shared" si="931"/>
        <v>-1000</v>
      </c>
      <c r="AS467" s="132">
        <f t="shared" si="931"/>
        <v>-1000</v>
      </c>
    </row>
    <row r="468">
      <c r="A468" s="132" t="s">
        <v>3970</v>
      </c>
      <c r="B468" s="132">
        <v>100.0</v>
      </c>
      <c r="C468" s="132">
        <v>0.0</v>
      </c>
      <c r="D468" s="132">
        <v>0.0</v>
      </c>
      <c r="E468" s="132">
        <v>0.0</v>
      </c>
      <c r="F468" s="132">
        <v>0.0</v>
      </c>
      <c r="G468" s="132">
        <v>0.0</v>
      </c>
      <c r="H468" s="132">
        <v>100.0</v>
      </c>
      <c r="I468" s="132">
        <v>0.0</v>
      </c>
      <c r="J468" s="132">
        <v>0.0</v>
      </c>
      <c r="K468" s="132">
        <v>0.0</v>
      </c>
      <c r="L468" s="132">
        <v>0.0</v>
      </c>
      <c r="M468" s="132">
        <v>0.0</v>
      </c>
      <c r="N468" s="132">
        <v>0.0</v>
      </c>
      <c r="O468" s="132">
        <v>0.0</v>
      </c>
      <c r="P468" s="132">
        <v>0.0</v>
      </c>
      <c r="Q468" s="132">
        <v>0.0</v>
      </c>
      <c r="R468" s="132">
        <v>0.0</v>
      </c>
      <c r="S468" s="132">
        <v>0.0</v>
      </c>
      <c r="T468" s="132">
        <v>0.0</v>
      </c>
      <c r="U468" s="132">
        <v>0.0</v>
      </c>
      <c r="V468" s="132">
        <v>0.0</v>
      </c>
      <c r="W468" s="132">
        <v>0.0</v>
      </c>
      <c r="Y468" s="132" t="s">
        <v>3970</v>
      </c>
      <c r="Z468" s="132">
        <f t="shared" ref="Z468:AC468" si="932">C468-1000</f>
        <v>-1000</v>
      </c>
      <c r="AA468" s="132">
        <f t="shared" si="932"/>
        <v>-1000</v>
      </c>
      <c r="AB468" s="132">
        <f t="shared" si="932"/>
        <v>-1000</v>
      </c>
      <c r="AC468" s="132">
        <f t="shared" si="932"/>
        <v>-1000</v>
      </c>
      <c r="AD468" s="132">
        <f t="shared" si="4"/>
        <v>-10000</v>
      </c>
      <c r="AE468" s="132">
        <f t="shared" ref="AE468:AS468" si="933">H468-1000</f>
        <v>-900</v>
      </c>
      <c r="AF468" s="132">
        <f t="shared" si="933"/>
        <v>-1000</v>
      </c>
      <c r="AG468" s="132">
        <f t="shared" si="933"/>
        <v>-1000</v>
      </c>
      <c r="AH468" s="132">
        <f t="shared" si="933"/>
        <v>-1000</v>
      </c>
      <c r="AI468" s="132">
        <f t="shared" si="933"/>
        <v>-1000</v>
      </c>
      <c r="AJ468" s="132">
        <f t="shared" si="933"/>
        <v>-1000</v>
      </c>
      <c r="AK468" s="132">
        <f t="shared" si="933"/>
        <v>-1000</v>
      </c>
      <c r="AL468" s="132">
        <f t="shared" si="933"/>
        <v>-1000</v>
      </c>
      <c r="AM468" s="132">
        <f t="shared" si="933"/>
        <v>-1000</v>
      </c>
      <c r="AN468" s="132">
        <f t="shared" si="933"/>
        <v>-1000</v>
      </c>
      <c r="AO468" s="132">
        <f t="shared" si="933"/>
        <v>-1000</v>
      </c>
      <c r="AP468" s="132">
        <f t="shared" si="933"/>
        <v>-1000</v>
      </c>
      <c r="AQ468" s="132">
        <f t="shared" si="933"/>
        <v>-1000</v>
      </c>
      <c r="AR468" s="132">
        <f t="shared" si="933"/>
        <v>-1000</v>
      </c>
      <c r="AS468" s="132">
        <f t="shared" si="933"/>
        <v>-1000</v>
      </c>
    </row>
    <row r="469">
      <c r="A469" s="132" t="s">
        <v>3971</v>
      </c>
      <c r="B469" s="132">
        <v>100.0</v>
      </c>
      <c r="C469" s="132">
        <v>0.0</v>
      </c>
      <c r="D469" s="132">
        <v>0.0</v>
      </c>
      <c r="E469" s="132">
        <v>0.0</v>
      </c>
      <c r="F469" s="132">
        <v>0.0</v>
      </c>
      <c r="G469" s="132">
        <v>0.0</v>
      </c>
      <c r="H469" s="132">
        <v>100.0</v>
      </c>
      <c r="I469" s="132">
        <v>0.0</v>
      </c>
      <c r="J469" s="132">
        <v>0.0</v>
      </c>
      <c r="K469" s="132">
        <v>0.0</v>
      </c>
      <c r="L469" s="132">
        <v>0.0</v>
      </c>
      <c r="M469" s="132">
        <v>0.0</v>
      </c>
      <c r="N469" s="132">
        <v>0.0</v>
      </c>
      <c r="O469" s="132">
        <v>0.0</v>
      </c>
      <c r="P469" s="132">
        <v>0.0</v>
      </c>
      <c r="Q469" s="132">
        <v>0.0</v>
      </c>
      <c r="R469" s="132">
        <v>0.0</v>
      </c>
      <c r="S469" s="132">
        <v>0.0</v>
      </c>
      <c r="T469" s="132">
        <v>0.0</v>
      </c>
      <c r="U469" s="132">
        <v>0.0</v>
      </c>
      <c r="V469" s="132">
        <v>0.0</v>
      </c>
      <c r="W469" s="132">
        <v>0.0</v>
      </c>
      <c r="Y469" s="132" t="s">
        <v>3971</v>
      </c>
      <c r="Z469" s="132">
        <f t="shared" ref="Z469:AC469" si="934">C469-1000</f>
        <v>-1000</v>
      </c>
      <c r="AA469" s="132">
        <f t="shared" si="934"/>
        <v>-1000</v>
      </c>
      <c r="AB469" s="132">
        <f t="shared" si="934"/>
        <v>-1000</v>
      </c>
      <c r="AC469" s="132">
        <f t="shared" si="934"/>
        <v>-1000</v>
      </c>
      <c r="AD469" s="132">
        <f t="shared" si="4"/>
        <v>-10000</v>
      </c>
      <c r="AE469" s="132">
        <f t="shared" ref="AE469:AS469" si="935">H469-1000</f>
        <v>-900</v>
      </c>
      <c r="AF469" s="132">
        <f t="shared" si="935"/>
        <v>-1000</v>
      </c>
      <c r="AG469" s="132">
        <f t="shared" si="935"/>
        <v>-1000</v>
      </c>
      <c r="AH469" s="132">
        <f t="shared" si="935"/>
        <v>-1000</v>
      </c>
      <c r="AI469" s="132">
        <f t="shared" si="935"/>
        <v>-1000</v>
      </c>
      <c r="AJ469" s="132">
        <f t="shared" si="935"/>
        <v>-1000</v>
      </c>
      <c r="AK469" s="132">
        <f t="shared" si="935"/>
        <v>-1000</v>
      </c>
      <c r="AL469" s="132">
        <f t="shared" si="935"/>
        <v>-1000</v>
      </c>
      <c r="AM469" s="132">
        <f t="shared" si="935"/>
        <v>-1000</v>
      </c>
      <c r="AN469" s="132">
        <f t="shared" si="935"/>
        <v>-1000</v>
      </c>
      <c r="AO469" s="132">
        <f t="shared" si="935"/>
        <v>-1000</v>
      </c>
      <c r="AP469" s="132">
        <f t="shared" si="935"/>
        <v>-1000</v>
      </c>
      <c r="AQ469" s="132">
        <f t="shared" si="935"/>
        <v>-1000</v>
      </c>
      <c r="AR469" s="132">
        <f t="shared" si="935"/>
        <v>-1000</v>
      </c>
      <c r="AS469" s="132">
        <f t="shared" si="935"/>
        <v>-1000</v>
      </c>
    </row>
    <row r="470">
      <c r="A470" s="132" t="s">
        <v>3972</v>
      </c>
      <c r="B470" s="132">
        <v>1750.0</v>
      </c>
      <c r="C470" s="132">
        <v>0.0</v>
      </c>
      <c r="D470" s="132">
        <v>0.0</v>
      </c>
      <c r="E470" s="132">
        <v>0.0</v>
      </c>
      <c r="F470" s="132">
        <v>0.0</v>
      </c>
      <c r="G470" s="132">
        <v>650.0</v>
      </c>
      <c r="H470" s="132">
        <v>1000.0</v>
      </c>
      <c r="I470" s="132">
        <v>0.0</v>
      </c>
      <c r="J470" s="132">
        <v>0.0</v>
      </c>
      <c r="K470" s="132">
        <v>0.0</v>
      </c>
      <c r="L470" s="132">
        <v>0.0</v>
      </c>
      <c r="M470" s="132">
        <v>100.0</v>
      </c>
      <c r="N470" s="132">
        <v>0.0</v>
      </c>
      <c r="O470" s="132">
        <v>0.0</v>
      </c>
      <c r="P470" s="132">
        <v>0.0</v>
      </c>
      <c r="Q470" s="132">
        <v>0.0</v>
      </c>
      <c r="R470" s="132">
        <v>0.0</v>
      </c>
      <c r="S470" s="132">
        <v>0.0</v>
      </c>
      <c r="T470" s="132">
        <v>0.0</v>
      </c>
      <c r="U470" s="132">
        <v>0.0</v>
      </c>
      <c r="V470" s="132">
        <v>0.0</v>
      </c>
      <c r="W470" s="132">
        <v>1.0</v>
      </c>
      <c r="Y470" s="132" t="s">
        <v>3972</v>
      </c>
      <c r="Z470" s="132">
        <f t="shared" ref="Z470:AC470" si="936">C470-1000</f>
        <v>-1000</v>
      </c>
      <c r="AA470" s="132">
        <f t="shared" si="936"/>
        <v>-1000</v>
      </c>
      <c r="AB470" s="132">
        <f t="shared" si="936"/>
        <v>-1000</v>
      </c>
      <c r="AC470" s="132">
        <f t="shared" si="936"/>
        <v>-1000</v>
      </c>
      <c r="AD470" s="132">
        <f t="shared" si="4"/>
        <v>-9350</v>
      </c>
      <c r="AE470" s="132">
        <f t="shared" ref="AE470:AS470" si="937">H470-1000</f>
        <v>0</v>
      </c>
      <c r="AF470" s="132">
        <f t="shared" si="937"/>
        <v>-1000</v>
      </c>
      <c r="AG470" s="132">
        <f t="shared" si="937"/>
        <v>-1000</v>
      </c>
      <c r="AH470" s="132">
        <f t="shared" si="937"/>
        <v>-1000</v>
      </c>
      <c r="AI470" s="132">
        <f t="shared" si="937"/>
        <v>-1000</v>
      </c>
      <c r="AJ470" s="132">
        <f t="shared" si="937"/>
        <v>-900</v>
      </c>
      <c r="AK470" s="132">
        <f t="shared" si="937"/>
        <v>-1000</v>
      </c>
      <c r="AL470" s="132">
        <f t="shared" si="937"/>
        <v>-1000</v>
      </c>
      <c r="AM470" s="132">
        <f t="shared" si="937"/>
        <v>-1000</v>
      </c>
      <c r="AN470" s="132">
        <f t="shared" si="937"/>
        <v>-1000</v>
      </c>
      <c r="AO470" s="132">
        <f t="shared" si="937"/>
        <v>-1000</v>
      </c>
      <c r="AP470" s="132">
        <f t="shared" si="937"/>
        <v>-1000</v>
      </c>
      <c r="AQ470" s="132">
        <f t="shared" si="937"/>
        <v>-1000</v>
      </c>
      <c r="AR470" s="132">
        <f t="shared" si="937"/>
        <v>-1000</v>
      </c>
      <c r="AS470" s="132">
        <f t="shared" si="937"/>
        <v>-1000</v>
      </c>
    </row>
    <row r="471">
      <c r="A471" s="132" t="s">
        <v>3973</v>
      </c>
      <c r="B471" s="132">
        <v>100.0</v>
      </c>
      <c r="C471" s="132">
        <v>0.0</v>
      </c>
      <c r="D471" s="132">
        <v>0.0</v>
      </c>
      <c r="E471" s="132">
        <v>0.0</v>
      </c>
      <c r="F471" s="132">
        <v>0.0</v>
      </c>
      <c r="G471" s="132">
        <v>0.0</v>
      </c>
      <c r="H471" s="132">
        <v>100.0</v>
      </c>
      <c r="I471" s="132">
        <v>0.0</v>
      </c>
      <c r="J471" s="132">
        <v>0.0</v>
      </c>
      <c r="K471" s="132">
        <v>0.0</v>
      </c>
      <c r="L471" s="132">
        <v>0.0</v>
      </c>
      <c r="M471" s="132">
        <v>0.0</v>
      </c>
      <c r="N471" s="132">
        <v>0.0</v>
      </c>
      <c r="O471" s="132">
        <v>0.0</v>
      </c>
      <c r="P471" s="132">
        <v>0.0</v>
      </c>
      <c r="Q471" s="132">
        <v>0.0</v>
      </c>
      <c r="R471" s="132">
        <v>0.0</v>
      </c>
      <c r="S471" s="132">
        <v>0.0</v>
      </c>
      <c r="T471" s="132">
        <v>0.0</v>
      </c>
      <c r="U471" s="132">
        <v>0.0</v>
      </c>
      <c r="V471" s="132">
        <v>0.0</v>
      </c>
      <c r="W471" s="132">
        <v>0.0</v>
      </c>
      <c r="Y471" s="132" t="s">
        <v>3973</v>
      </c>
      <c r="Z471" s="132">
        <f t="shared" ref="Z471:AC471" si="938">C471-1000</f>
        <v>-1000</v>
      </c>
      <c r="AA471" s="132">
        <f t="shared" si="938"/>
        <v>-1000</v>
      </c>
      <c r="AB471" s="132">
        <f t="shared" si="938"/>
        <v>-1000</v>
      </c>
      <c r="AC471" s="132">
        <f t="shared" si="938"/>
        <v>-1000</v>
      </c>
      <c r="AD471" s="132">
        <f t="shared" si="4"/>
        <v>-10000</v>
      </c>
      <c r="AE471" s="132">
        <f t="shared" ref="AE471:AS471" si="939">H471-1000</f>
        <v>-900</v>
      </c>
      <c r="AF471" s="132">
        <f t="shared" si="939"/>
        <v>-1000</v>
      </c>
      <c r="AG471" s="132">
        <f t="shared" si="939"/>
        <v>-1000</v>
      </c>
      <c r="AH471" s="132">
        <f t="shared" si="939"/>
        <v>-1000</v>
      </c>
      <c r="AI471" s="132">
        <f t="shared" si="939"/>
        <v>-1000</v>
      </c>
      <c r="AJ471" s="132">
        <f t="shared" si="939"/>
        <v>-1000</v>
      </c>
      <c r="AK471" s="132">
        <f t="shared" si="939"/>
        <v>-1000</v>
      </c>
      <c r="AL471" s="132">
        <f t="shared" si="939"/>
        <v>-1000</v>
      </c>
      <c r="AM471" s="132">
        <f t="shared" si="939"/>
        <v>-1000</v>
      </c>
      <c r="AN471" s="132">
        <f t="shared" si="939"/>
        <v>-1000</v>
      </c>
      <c r="AO471" s="132">
        <f t="shared" si="939"/>
        <v>-1000</v>
      </c>
      <c r="AP471" s="132">
        <f t="shared" si="939"/>
        <v>-1000</v>
      </c>
      <c r="AQ471" s="132">
        <f t="shared" si="939"/>
        <v>-1000</v>
      </c>
      <c r="AR471" s="132">
        <f t="shared" si="939"/>
        <v>-1000</v>
      </c>
      <c r="AS471" s="132">
        <f t="shared" si="939"/>
        <v>-1000</v>
      </c>
    </row>
    <row r="472">
      <c r="A472" s="132" t="s">
        <v>3974</v>
      </c>
      <c r="B472" s="132">
        <v>100.0</v>
      </c>
      <c r="C472" s="132">
        <v>0.0</v>
      </c>
      <c r="D472" s="132">
        <v>0.0</v>
      </c>
      <c r="E472" s="132">
        <v>0.0</v>
      </c>
      <c r="F472" s="132">
        <v>0.0</v>
      </c>
      <c r="G472" s="132">
        <v>0.0</v>
      </c>
      <c r="H472" s="132">
        <v>100.0</v>
      </c>
      <c r="I472" s="132">
        <v>0.0</v>
      </c>
      <c r="J472" s="132">
        <v>0.0</v>
      </c>
      <c r="K472" s="132">
        <v>0.0</v>
      </c>
      <c r="L472" s="132">
        <v>0.0</v>
      </c>
      <c r="M472" s="132">
        <v>0.0</v>
      </c>
      <c r="N472" s="132">
        <v>0.0</v>
      </c>
      <c r="O472" s="132">
        <v>0.0</v>
      </c>
      <c r="P472" s="132">
        <v>0.0</v>
      </c>
      <c r="Q472" s="132">
        <v>0.0</v>
      </c>
      <c r="R472" s="132">
        <v>0.0</v>
      </c>
      <c r="S472" s="132">
        <v>0.0</v>
      </c>
      <c r="T472" s="132">
        <v>0.0</v>
      </c>
      <c r="U472" s="132">
        <v>0.0</v>
      </c>
      <c r="V472" s="132">
        <v>0.0</v>
      </c>
      <c r="W472" s="132">
        <v>0.0</v>
      </c>
      <c r="Y472" s="132" t="s">
        <v>3974</v>
      </c>
      <c r="Z472" s="132">
        <f t="shared" ref="Z472:AC472" si="940">C472-1000</f>
        <v>-1000</v>
      </c>
      <c r="AA472" s="132">
        <f t="shared" si="940"/>
        <v>-1000</v>
      </c>
      <c r="AB472" s="132">
        <f t="shared" si="940"/>
        <v>-1000</v>
      </c>
      <c r="AC472" s="132">
        <f t="shared" si="940"/>
        <v>-1000</v>
      </c>
      <c r="AD472" s="132">
        <f t="shared" si="4"/>
        <v>-10000</v>
      </c>
      <c r="AE472" s="132">
        <f t="shared" ref="AE472:AS472" si="941">H472-1000</f>
        <v>-900</v>
      </c>
      <c r="AF472" s="132">
        <f t="shared" si="941"/>
        <v>-1000</v>
      </c>
      <c r="AG472" s="132">
        <f t="shared" si="941"/>
        <v>-1000</v>
      </c>
      <c r="AH472" s="132">
        <f t="shared" si="941"/>
        <v>-1000</v>
      </c>
      <c r="AI472" s="132">
        <f t="shared" si="941"/>
        <v>-1000</v>
      </c>
      <c r="AJ472" s="132">
        <f t="shared" si="941"/>
        <v>-1000</v>
      </c>
      <c r="AK472" s="132">
        <f t="shared" si="941"/>
        <v>-1000</v>
      </c>
      <c r="AL472" s="132">
        <f t="shared" si="941"/>
        <v>-1000</v>
      </c>
      <c r="AM472" s="132">
        <f t="shared" si="941"/>
        <v>-1000</v>
      </c>
      <c r="AN472" s="132">
        <f t="shared" si="941"/>
        <v>-1000</v>
      </c>
      <c r="AO472" s="132">
        <f t="shared" si="941"/>
        <v>-1000</v>
      </c>
      <c r="AP472" s="132">
        <f t="shared" si="941"/>
        <v>-1000</v>
      </c>
      <c r="AQ472" s="132">
        <f t="shared" si="941"/>
        <v>-1000</v>
      </c>
      <c r="AR472" s="132">
        <f t="shared" si="941"/>
        <v>-1000</v>
      </c>
      <c r="AS472" s="132">
        <f t="shared" si="941"/>
        <v>-1000</v>
      </c>
    </row>
    <row r="473">
      <c r="A473" s="132" t="s">
        <v>3975</v>
      </c>
      <c r="B473" s="132">
        <v>200.0</v>
      </c>
      <c r="C473" s="132">
        <v>0.0</v>
      </c>
      <c r="D473" s="132">
        <v>0.0</v>
      </c>
      <c r="E473" s="132">
        <v>0.0</v>
      </c>
      <c r="F473" s="132">
        <v>0.0</v>
      </c>
      <c r="G473" s="132">
        <v>100.0</v>
      </c>
      <c r="H473" s="132">
        <v>100.0</v>
      </c>
      <c r="I473" s="132">
        <v>0.0</v>
      </c>
      <c r="J473" s="132">
        <v>0.0</v>
      </c>
      <c r="K473" s="132">
        <v>0.0</v>
      </c>
      <c r="L473" s="132">
        <v>0.0</v>
      </c>
      <c r="M473" s="132">
        <v>0.0</v>
      </c>
      <c r="N473" s="132">
        <v>0.0</v>
      </c>
      <c r="O473" s="132">
        <v>0.0</v>
      </c>
      <c r="P473" s="132">
        <v>0.0</v>
      </c>
      <c r="Q473" s="132">
        <v>0.0</v>
      </c>
      <c r="R473" s="132">
        <v>0.0</v>
      </c>
      <c r="S473" s="132">
        <v>0.0</v>
      </c>
      <c r="T473" s="132">
        <v>0.0</v>
      </c>
      <c r="U473" s="132">
        <v>0.0</v>
      </c>
      <c r="V473" s="132">
        <v>0.0</v>
      </c>
      <c r="W473" s="132">
        <v>0.0</v>
      </c>
      <c r="Y473" s="132" t="s">
        <v>3975</v>
      </c>
      <c r="Z473" s="132">
        <f t="shared" ref="Z473:AC473" si="942">C473-1000</f>
        <v>-1000</v>
      </c>
      <c r="AA473" s="132">
        <f t="shared" si="942"/>
        <v>-1000</v>
      </c>
      <c r="AB473" s="132">
        <f t="shared" si="942"/>
        <v>-1000</v>
      </c>
      <c r="AC473" s="132">
        <f t="shared" si="942"/>
        <v>-1000</v>
      </c>
      <c r="AD473" s="132">
        <f t="shared" si="4"/>
        <v>-9900</v>
      </c>
      <c r="AE473" s="132">
        <f t="shared" ref="AE473:AS473" si="943">H473-1000</f>
        <v>-900</v>
      </c>
      <c r="AF473" s="132">
        <f t="shared" si="943"/>
        <v>-1000</v>
      </c>
      <c r="AG473" s="132">
        <f t="shared" si="943"/>
        <v>-1000</v>
      </c>
      <c r="AH473" s="132">
        <f t="shared" si="943"/>
        <v>-1000</v>
      </c>
      <c r="AI473" s="132">
        <f t="shared" si="943"/>
        <v>-1000</v>
      </c>
      <c r="AJ473" s="132">
        <f t="shared" si="943"/>
        <v>-1000</v>
      </c>
      <c r="AK473" s="132">
        <f t="shared" si="943"/>
        <v>-1000</v>
      </c>
      <c r="AL473" s="132">
        <f t="shared" si="943"/>
        <v>-1000</v>
      </c>
      <c r="AM473" s="132">
        <f t="shared" si="943"/>
        <v>-1000</v>
      </c>
      <c r="AN473" s="132">
        <f t="shared" si="943"/>
        <v>-1000</v>
      </c>
      <c r="AO473" s="132">
        <f t="shared" si="943"/>
        <v>-1000</v>
      </c>
      <c r="AP473" s="132">
        <f t="shared" si="943"/>
        <v>-1000</v>
      </c>
      <c r="AQ473" s="132">
        <f t="shared" si="943"/>
        <v>-1000</v>
      </c>
      <c r="AR473" s="132">
        <f t="shared" si="943"/>
        <v>-1000</v>
      </c>
      <c r="AS473" s="132">
        <f t="shared" si="943"/>
        <v>-1000</v>
      </c>
    </row>
    <row r="474">
      <c r="A474" s="132" t="s">
        <v>3976</v>
      </c>
      <c r="B474" s="132">
        <v>700.0</v>
      </c>
      <c r="C474" s="132">
        <v>0.0</v>
      </c>
      <c r="D474" s="132">
        <v>0.0</v>
      </c>
      <c r="E474" s="132">
        <v>0.0</v>
      </c>
      <c r="F474" s="132">
        <v>0.0</v>
      </c>
      <c r="G474" s="132">
        <v>0.0</v>
      </c>
      <c r="H474" s="132">
        <v>700.0</v>
      </c>
      <c r="I474" s="132">
        <v>0.0</v>
      </c>
      <c r="J474" s="132">
        <v>0.0</v>
      </c>
      <c r="K474" s="132">
        <v>0.0</v>
      </c>
      <c r="L474" s="132">
        <v>0.0</v>
      </c>
      <c r="M474" s="132">
        <v>0.0</v>
      </c>
      <c r="N474" s="132">
        <v>0.0</v>
      </c>
      <c r="O474" s="132">
        <v>0.0</v>
      </c>
      <c r="P474" s="132">
        <v>0.0</v>
      </c>
      <c r="Q474" s="132">
        <v>0.0</v>
      </c>
      <c r="R474" s="132">
        <v>0.0</v>
      </c>
      <c r="S474" s="132">
        <v>0.0</v>
      </c>
      <c r="T474" s="132">
        <v>0.0</v>
      </c>
      <c r="U474" s="132">
        <v>0.0</v>
      </c>
      <c r="V474" s="132">
        <v>0.0</v>
      </c>
      <c r="W474" s="132">
        <v>1.0</v>
      </c>
      <c r="Y474" s="132" t="s">
        <v>3976</v>
      </c>
      <c r="Z474" s="132">
        <f t="shared" ref="Z474:AC474" si="944">C474-1000</f>
        <v>-1000</v>
      </c>
      <c r="AA474" s="132">
        <f t="shared" si="944"/>
        <v>-1000</v>
      </c>
      <c r="AB474" s="132">
        <f t="shared" si="944"/>
        <v>-1000</v>
      </c>
      <c r="AC474" s="132">
        <f t="shared" si="944"/>
        <v>-1000</v>
      </c>
      <c r="AD474" s="132">
        <f t="shared" si="4"/>
        <v>-10000</v>
      </c>
      <c r="AE474" s="132">
        <f t="shared" ref="AE474:AS474" si="945">H474-1000</f>
        <v>-300</v>
      </c>
      <c r="AF474" s="132">
        <f t="shared" si="945"/>
        <v>-1000</v>
      </c>
      <c r="AG474" s="132">
        <f t="shared" si="945"/>
        <v>-1000</v>
      </c>
      <c r="AH474" s="132">
        <f t="shared" si="945"/>
        <v>-1000</v>
      </c>
      <c r="AI474" s="132">
        <f t="shared" si="945"/>
        <v>-1000</v>
      </c>
      <c r="AJ474" s="132">
        <f t="shared" si="945"/>
        <v>-1000</v>
      </c>
      <c r="AK474" s="132">
        <f t="shared" si="945"/>
        <v>-1000</v>
      </c>
      <c r="AL474" s="132">
        <f t="shared" si="945"/>
        <v>-1000</v>
      </c>
      <c r="AM474" s="132">
        <f t="shared" si="945"/>
        <v>-1000</v>
      </c>
      <c r="AN474" s="132">
        <f t="shared" si="945"/>
        <v>-1000</v>
      </c>
      <c r="AO474" s="132">
        <f t="shared" si="945"/>
        <v>-1000</v>
      </c>
      <c r="AP474" s="132">
        <f t="shared" si="945"/>
        <v>-1000</v>
      </c>
      <c r="AQ474" s="132">
        <f t="shared" si="945"/>
        <v>-1000</v>
      </c>
      <c r="AR474" s="132">
        <f t="shared" si="945"/>
        <v>-1000</v>
      </c>
      <c r="AS474" s="132">
        <f t="shared" si="945"/>
        <v>-1000</v>
      </c>
    </row>
    <row r="475">
      <c r="A475" s="132" t="s">
        <v>3977</v>
      </c>
      <c r="B475" s="132">
        <v>100.0</v>
      </c>
      <c r="C475" s="132">
        <v>0.0</v>
      </c>
      <c r="D475" s="132">
        <v>0.0</v>
      </c>
      <c r="E475" s="132">
        <v>0.0</v>
      </c>
      <c r="F475" s="132">
        <v>0.0</v>
      </c>
      <c r="G475" s="132">
        <v>0.0</v>
      </c>
      <c r="H475" s="132">
        <v>100.0</v>
      </c>
      <c r="I475" s="132">
        <v>0.0</v>
      </c>
      <c r="J475" s="132">
        <v>0.0</v>
      </c>
      <c r="K475" s="132">
        <v>0.0</v>
      </c>
      <c r="L475" s="132">
        <v>0.0</v>
      </c>
      <c r="M475" s="132">
        <v>0.0</v>
      </c>
      <c r="N475" s="132">
        <v>0.0</v>
      </c>
      <c r="O475" s="132">
        <v>0.0</v>
      </c>
      <c r="P475" s="132">
        <v>0.0</v>
      </c>
      <c r="Q475" s="132">
        <v>0.0</v>
      </c>
      <c r="R475" s="132">
        <v>0.0</v>
      </c>
      <c r="S475" s="132">
        <v>0.0</v>
      </c>
      <c r="T475" s="132">
        <v>0.0</v>
      </c>
      <c r="U475" s="132">
        <v>0.0</v>
      </c>
      <c r="V475" s="132">
        <v>0.0</v>
      </c>
      <c r="W475" s="132">
        <v>1.0</v>
      </c>
      <c r="Y475" s="132" t="s">
        <v>3977</v>
      </c>
      <c r="Z475" s="132">
        <f t="shared" ref="Z475:AC475" si="946">C475-1000</f>
        <v>-1000</v>
      </c>
      <c r="AA475" s="132">
        <f t="shared" si="946"/>
        <v>-1000</v>
      </c>
      <c r="AB475" s="132">
        <f t="shared" si="946"/>
        <v>-1000</v>
      </c>
      <c r="AC475" s="132">
        <f t="shared" si="946"/>
        <v>-1000</v>
      </c>
      <c r="AD475" s="132">
        <f t="shared" si="4"/>
        <v>-10000</v>
      </c>
      <c r="AE475" s="132">
        <f t="shared" ref="AE475:AS475" si="947">H475-1000</f>
        <v>-900</v>
      </c>
      <c r="AF475" s="132">
        <f t="shared" si="947"/>
        <v>-1000</v>
      </c>
      <c r="AG475" s="132">
        <f t="shared" si="947"/>
        <v>-1000</v>
      </c>
      <c r="AH475" s="132">
        <f t="shared" si="947"/>
        <v>-1000</v>
      </c>
      <c r="AI475" s="132">
        <f t="shared" si="947"/>
        <v>-1000</v>
      </c>
      <c r="AJ475" s="132">
        <f t="shared" si="947"/>
        <v>-1000</v>
      </c>
      <c r="AK475" s="132">
        <f t="shared" si="947"/>
        <v>-1000</v>
      </c>
      <c r="AL475" s="132">
        <f t="shared" si="947"/>
        <v>-1000</v>
      </c>
      <c r="AM475" s="132">
        <f t="shared" si="947"/>
        <v>-1000</v>
      </c>
      <c r="AN475" s="132">
        <f t="shared" si="947"/>
        <v>-1000</v>
      </c>
      <c r="AO475" s="132">
        <f t="shared" si="947"/>
        <v>-1000</v>
      </c>
      <c r="AP475" s="132">
        <f t="shared" si="947"/>
        <v>-1000</v>
      </c>
      <c r="AQ475" s="132">
        <f t="shared" si="947"/>
        <v>-1000</v>
      </c>
      <c r="AR475" s="132">
        <f t="shared" si="947"/>
        <v>-1000</v>
      </c>
      <c r="AS475" s="132">
        <f t="shared" si="947"/>
        <v>-1000</v>
      </c>
    </row>
    <row r="476">
      <c r="A476" s="132" t="s">
        <v>3978</v>
      </c>
      <c r="B476" s="132">
        <v>275.0</v>
      </c>
      <c r="C476" s="132">
        <v>0.0</v>
      </c>
      <c r="D476" s="132">
        <v>0.0</v>
      </c>
      <c r="E476" s="132">
        <v>0.0</v>
      </c>
      <c r="F476" s="132">
        <v>0.0</v>
      </c>
      <c r="G476" s="132">
        <v>25.0</v>
      </c>
      <c r="H476" s="132">
        <v>250.0</v>
      </c>
      <c r="I476" s="132">
        <v>0.0</v>
      </c>
      <c r="J476" s="132">
        <v>0.0</v>
      </c>
      <c r="K476" s="132">
        <v>0.0</v>
      </c>
      <c r="L476" s="132">
        <v>0.0</v>
      </c>
      <c r="M476" s="132">
        <v>0.0</v>
      </c>
      <c r="N476" s="132">
        <v>0.0</v>
      </c>
      <c r="O476" s="132">
        <v>0.0</v>
      </c>
      <c r="P476" s="132">
        <v>0.0</v>
      </c>
      <c r="Q476" s="132">
        <v>0.0</v>
      </c>
      <c r="R476" s="132">
        <v>0.0</v>
      </c>
      <c r="S476" s="132">
        <v>0.0</v>
      </c>
      <c r="T476" s="132">
        <v>0.0</v>
      </c>
      <c r="U476" s="132">
        <v>0.0</v>
      </c>
      <c r="V476" s="132">
        <v>0.0</v>
      </c>
      <c r="W476" s="132">
        <v>1.0</v>
      </c>
      <c r="Y476" s="132" t="s">
        <v>3978</v>
      </c>
      <c r="Z476" s="132">
        <f t="shared" ref="Z476:AC476" si="948">C476-1000</f>
        <v>-1000</v>
      </c>
      <c r="AA476" s="132">
        <f t="shared" si="948"/>
        <v>-1000</v>
      </c>
      <c r="AB476" s="132">
        <f t="shared" si="948"/>
        <v>-1000</v>
      </c>
      <c r="AC476" s="132">
        <f t="shared" si="948"/>
        <v>-1000</v>
      </c>
      <c r="AD476" s="132">
        <f t="shared" si="4"/>
        <v>-9975</v>
      </c>
      <c r="AE476" s="132">
        <f t="shared" ref="AE476:AS476" si="949">H476-1000</f>
        <v>-750</v>
      </c>
      <c r="AF476" s="132">
        <f t="shared" si="949"/>
        <v>-1000</v>
      </c>
      <c r="AG476" s="132">
        <f t="shared" si="949"/>
        <v>-1000</v>
      </c>
      <c r="AH476" s="132">
        <f t="shared" si="949"/>
        <v>-1000</v>
      </c>
      <c r="AI476" s="132">
        <f t="shared" si="949"/>
        <v>-1000</v>
      </c>
      <c r="AJ476" s="132">
        <f t="shared" si="949"/>
        <v>-1000</v>
      </c>
      <c r="AK476" s="132">
        <f t="shared" si="949"/>
        <v>-1000</v>
      </c>
      <c r="AL476" s="132">
        <f t="shared" si="949"/>
        <v>-1000</v>
      </c>
      <c r="AM476" s="132">
        <f t="shared" si="949"/>
        <v>-1000</v>
      </c>
      <c r="AN476" s="132">
        <f t="shared" si="949"/>
        <v>-1000</v>
      </c>
      <c r="AO476" s="132">
        <f t="shared" si="949"/>
        <v>-1000</v>
      </c>
      <c r="AP476" s="132">
        <f t="shared" si="949"/>
        <v>-1000</v>
      </c>
      <c r="AQ476" s="132">
        <f t="shared" si="949"/>
        <v>-1000</v>
      </c>
      <c r="AR476" s="132">
        <f t="shared" si="949"/>
        <v>-1000</v>
      </c>
      <c r="AS476" s="132">
        <f t="shared" si="949"/>
        <v>-1000</v>
      </c>
    </row>
    <row r="477">
      <c r="A477" s="132" t="s">
        <v>3979</v>
      </c>
      <c r="B477" s="132">
        <v>500.0</v>
      </c>
      <c r="C477" s="132">
        <v>0.0</v>
      </c>
      <c r="D477" s="132">
        <v>0.0</v>
      </c>
      <c r="E477" s="132">
        <v>0.0</v>
      </c>
      <c r="F477" s="132">
        <v>0.0</v>
      </c>
      <c r="G477" s="132">
        <v>0.0</v>
      </c>
      <c r="H477" s="132">
        <v>500.0</v>
      </c>
      <c r="I477" s="132">
        <v>0.0</v>
      </c>
      <c r="J477" s="132">
        <v>0.0</v>
      </c>
      <c r="K477" s="132">
        <v>0.0</v>
      </c>
      <c r="L477" s="132">
        <v>0.0</v>
      </c>
      <c r="M477" s="132">
        <v>0.0</v>
      </c>
      <c r="N477" s="132">
        <v>0.0</v>
      </c>
      <c r="O477" s="132">
        <v>0.0</v>
      </c>
      <c r="P477" s="132">
        <v>0.0</v>
      </c>
      <c r="Q477" s="132">
        <v>0.0</v>
      </c>
      <c r="R477" s="132">
        <v>0.0</v>
      </c>
      <c r="S477" s="132">
        <v>0.0</v>
      </c>
      <c r="T477" s="132">
        <v>0.0</v>
      </c>
      <c r="U477" s="132">
        <v>0.0</v>
      </c>
      <c r="V477" s="132">
        <v>0.0</v>
      </c>
      <c r="W477" s="132">
        <v>1.0</v>
      </c>
      <c r="Y477" s="132" t="s">
        <v>3979</v>
      </c>
      <c r="Z477" s="132">
        <f t="shared" ref="Z477:AC477" si="950">C477-1000</f>
        <v>-1000</v>
      </c>
      <c r="AA477" s="132">
        <f t="shared" si="950"/>
        <v>-1000</v>
      </c>
      <c r="AB477" s="132">
        <f t="shared" si="950"/>
        <v>-1000</v>
      </c>
      <c r="AC477" s="132">
        <f t="shared" si="950"/>
        <v>-1000</v>
      </c>
      <c r="AD477" s="132">
        <f t="shared" si="4"/>
        <v>-10000</v>
      </c>
      <c r="AE477" s="132">
        <f t="shared" ref="AE477:AS477" si="951">H477-1000</f>
        <v>-500</v>
      </c>
      <c r="AF477" s="132">
        <f t="shared" si="951"/>
        <v>-1000</v>
      </c>
      <c r="AG477" s="132">
        <f t="shared" si="951"/>
        <v>-1000</v>
      </c>
      <c r="AH477" s="132">
        <f t="shared" si="951"/>
        <v>-1000</v>
      </c>
      <c r="AI477" s="132">
        <f t="shared" si="951"/>
        <v>-1000</v>
      </c>
      <c r="AJ477" s="132">
        <f t="shared" si="951"/>
        <v>-1000</v>
      </c>
      <c r="AK477" s="132">
        <f t="shared" si="951"/>
        <v>-1000</v>
      </c>
      <c r="AL477" s="132">
        <f t="shared" si="951"/>
        <v>-1000</v>
      </c>
      <c r="AM477" s="132">
        <f t="shared" si="951"/>
        <v>-1000</v>
      </c>
      <c r="AN477" s="132">
        <f t="shared" si="951"/>
        <v>-1000</v>
      </c>
      <c r="AO477" s="132">
        <f t="shared" si="951"/>
        <v>-1000</v>
      </c>
      <c r="AP477" s="132">
        <f t="shared" si="951"/>
        <v>-1000</v>
      </c>
      <c r="AQ477" s="132">
        <f t="shared" si="951"/>
        <v>-1000</v>
      </c>
      <c r="AR477" s="132">
        <f t="shared" si="951"/>
        <v>-1000</v>
      </c>
      <c r="AS477" s="132">
        <f t="shared" si="951"/>
        <v>-1000</v>
      </c>
    </row>
    <row r="478">
      <c r="A478" s="132" t="s">
        <v>3980</v>
      </c>
      <c r="B478" s="132">
        <v>2000.0</v>
      </c>
      <c r="C478" s="132">
        <v>0.0</v>
      </c>
      <c r="D478" s="132">
        <v>0.0</v>
      </c>
      <c r="E478" s="132">
        <v>0.0</v>
      </c>
      <c r="F478" s="132">
        <v>0.0</v>
      </c>
      <c r="G478" s="132">
        <v>0.0</v>
      </c>
      <c r="H478" s="132">
        <v>2000.0</v>
      </c>
      <c r="I478" s="132">
        <v>0.0</v>
      </c>
      <c r="J478" s="132">
        <v>0.0</v>
      </c>
      <c r="K478" s="132">
        <v>0.0</v>
      </c>
      <c r="L478" s="132">
        <v>0.0</v>
      </c>
      <c r="M478" s="132">
        <v>0.0</v>
      </c>
      <c r="N478" s="132">
        <v>0.0</v>
      </c>
      <c r="O478" s="132">
        <v>0.0</v>
      </c>
      <c r="P478" s="132">
        <v>0.0</v>
      </c>
      <c r="Q478" s="132">
        <v>0.0</v>
      </c>
      <c r="R478" s="132">
        <v>0.0</v>
      </c>
      <c r="S478" s="132">
        <v>0.0</v>
      </c>
      <c r="T478" s="132">
        <v>0.0</v>
      </c>
      <c r="U478" s="132">
        <v>0.0</v>
      </c>
      <c r="V478" s="132">
        <v>0.0</v>
      </c>
      <c r="W478" s="132">
        <v>1.0</v>
      </c>
      <c r="Y478" s="132" t="s">
        <v>3980</v>
      </c>
      <c r="Z478" s="132">
        <f t="shared" ref="Z478:AC478" si="952">C478-1000</f>
        <v>-1000</v>
      </c>
      <c r="AA478" s="132">
        <f t="shared" si="952"/>
        <v>-1000</v>
      </c>
      <c r="AB478" s="132">
        <f t="shared" si="952"/>
        <v>-1000</v>
      </c>
      <c r="AC478" s="132">
        <f t="shared" si="952"/>
        <v>-1000</v>
      </c>
      <c r="AD478" s="132">
        <f t="shared" si="4"/>
        <v>-10000</v>
      </c>
      <c r="AE478" s="132">
        <f t="shared" ref="AE478:AS478" si="953">H478-1000</f>
        <v>1000</v>
      </c>
      <c r="AF478" s="132">
        <f t="shared" si="953"/>
        <v>-1000</v>
      </c>
      <c r="AG478" s="132">
        <f t="shared" si="953"/>
        <v>-1000</v>
      </c>
      <c r="AH478" s="132">
        <f t="shared" si="953"/>
        <v>-1000</v>
      </c>
      <c r="AI478" s="132">
        <f t="shared" si="953"/>
        <v>-1000</v>
      </c>
      <c r="AJ478" s="132">
        <f t="shared" si="953"/>
        <v>-1000</v>
      </c>
      <c r="AK478" s="132">
        <f t="shared" si="953"/>
        <v>-1000</v>
      </c>
      <c r="AL478" s="132">
        <f t="shared" si="953"/>
        <v>-1000</v>
      </c>
      <c r="AM478" s="132">
        <f t="shared" si="953"/>
        <v>-1000</v>
      </c>
      <c r="AN478" s="132">
        <f t="shared" si="953"/>
        <v>-1000</v>
      </c>
      <c r="AO478" s="132">
        <f t="shared" si="953"/>
        <v>-1000</v>
      </c>
      <c r="AP478" s="132">
        <f t="shared" si="953"/>
        <v>-1000</v>
      </c>
      <c r="AQ478" s="132">
        <f t="shared" si="953"/>
        <v>-1000</v>
      </c>
      <c r="AR478" s="132">
        <f t="shared" si="953"/>
        <v>-1000</v>
      </c>
      <c r="AS478" s="132">
        <f t="shared" si="953"/>
        <v>-1000</v>
      </c>
    </row>
    <row r="479">
      <c r="A479" s="132" t="s">
        <v>3981</v>
      </c>
      <c r="B479" s="132">
        <v>250.0</v>
      </c>
      <c r="C479" s="132">
        <v>0.0</v>
      </c>
      <c r="D479" s="132">
        <v>0.0</v>
      </c>
      <c r="E479" s="132">
        <v>0.0</v>
      </c>
      <c r="F479" s="132">
        <v>0.0</v>
      </c>
      <c r="G479" s="132">
        <v>0.0</v>
      </c>
      <c r="H479" s="132">
        <v>250.0</v>
      </c>
      <c r="I479" s="132">
        <v>0.0</v>
      </c>
      <c r="J479" s="132">
        <v>0.0</v>
      </c>
      <c r="K479" s="132">
        <v>0.0</v>
      </c>
      <c r="L479" s="132">
        <v>0.0</v>
      </c>
      <c r="M479" s="132">
        <v>0.0</v>
      </c>
      <c r="N479" s="132">
        <v>0.0</v>
      </c>
      <c r="O479" s="132">
        <v>0.0</v>
      </c>
      <c r="P479" s="132">
        <v>0.0</v>
      </c>
      <c r="Q479" s="132">
        <v>0.0</v>
      </c>
      <c r="R479" s="132">
        <v>0.0</v>
      </c>
      <c r="S479" s="132">
        <v>0.0</v>
      </c>
      <c r="T479" s="132">
        <v>0.0</v>
      </c>
      <c r="U479" s="132">
        <v>0.0</v>
      </c>
      <c r="V479" s="132">
        <v>0.0</v>
      </c>
      <c r="W479" s="132">
        <v>0.0</v>
      </c>
      <c r="Y479" s="132" t="s">
        <v>3981</v>
      </c>
      <c r="Z479" s="132">
        <f t="shared" ref="Z479:AC479" si="954">C479-1000</f>
        <v>-1000</v>
      </c>
      <c r="AA479" s="132">
        <f t="shared" si="954"/>
        <v>-1000</v>
      </c>
      <c r="AB479" s="132">
        <f t="shared" si="954"/>
        <v>-1000</v>
      </c>
      <c r="AC479" s="132">
        <f t="shared" si="954"/>
        <v>-1000</v>
      </c>
      <c r="AD479" s="132">
        <f t="shared" si="4"/>
        <v>-10000</v>
      </c>
      <c r="AE479" s="132">
        <f t="shared" ref="AE479:AS479" si="955">H479-1000</f>
        <v>-750</v>
      </c>
      <c r="AF479" s="132">
        <f t="shared" si="955"/>
        <v>-1000</v>
      </c>
      <c r="AG479" s="132">
        <f t="shared" si="955"/>
        <v>-1000</v>
      </c>
      <c r="AH479" s="132">
        <f t="shared" si="955"/>
        <v>-1000</v>
      </c>
      <c r="AI479" s="132">
        <f t="shared" si="955"/>
        <v>-1000</v>
      </c>
      <c r="AJ479" s="132">
        <f t="shared" si="955"/>
        <v>-1000</v>
      </c>
      <c r="AK479" s="132">
        <f t="shared" si="955"/>
        <v>-1000</v>
      </c>
      <c r="AL479" s="132">
        <f t="shared" si="955"/>
        <v>-1000</v>
      </c>
      <c r="AM479" s="132">
        <f t="shared" si="955"/>
        <v>-1000</v>
      </c>
      <c r="AN479" s="132">
        <f t="shared" si="955"/>
        <v>-1000</v>
      </c>
      <c r="AO479" s="132">
        <f t="shared" si="955"/>
        <v>-1000</v>
      </c>
      <c r="AP479" s="132">
        <f t="shared" si="955"/>
        <v>-1000</v>
      </c>
      <c r="AQ479" s="132">
        <f t="shared" si="955"/>
        <v>-1000</v>
      </c>
      <c r="AR479" s="132">
        <f t="shared" si="955"/>
        <v>-1000</v>
      </c>
      <c r="AS479" s="132">
        <f t="shared" si="955"/>
        <v>-1000</v>
      </c>
    </row>
    <row r="480">
      <c r="A480" s="132" t="s">
        <v>3982</v>
      </c>
      <c r="B480" s="132">
        <v>100.0</v>
      </c>
      <c r="C480" s="132">
        <v>0.0</v>
      </c>
      <c r="D480" s="132">
        <v>0.0</v>
      </c>
      <c r="E480" s="132">
        <v>0.0</v>
      </c>
      <c r="F480" s="132">
        <v>0.0</v>
      </c>
      <c r="G480" s="132">
        <v>0.0</v>
      </c>
      <c r="H480" s="132">
        <v>100.0</v>
      </c>
      <c r="I480" s="132">
        <v>0.0</v>
      </c>
      <c r="J480" s="132">
        <v>0.0</v>
      </c>
      <c r="K480" s="132">
        <v>0.0</v>
      </c>
      <c r="L480" s="132">
        <v>0.0</v>
      </c>
      <c r="M480" s="132">
        <v>0.0</v>
      </c>
      <c r="N480" s="132">
        <v>0.0</v>
      </c>
      <c r="O480" s="132">
        <v>0.0</v>
      </c>
      <c r="P480" s="132">
        <v>0.0</v>
      </c>
      <c r="Q480" s="132">
        <v>0.0</v>
      </c>
      <c r="R480" s="132">
        <v>0.0</v>
      </c>
      <c r="S480" s="132">
        <v>0.0</v>
      </c>
      <c r="T480" s="132">
        <v>0.0</v>
      </c>
      <c r="U480" s="132">
        <v>0.0</v>
      </c>
      <c r="V480" s="132">
        <v>0.0</v>
      </c>
      <c r="W480" s="132">
        <v>0.0</v>
      </c>
      <c r="Y480" s="132" t="s">
        <v>3982</v>
      </c>
      <c r="Z480" s="132">
        <f t="shared" ref="Z480:AC480" si="956">C480-1000</f>
        <v>-1000</v>
      </c>
      <c r="AA480" s="132">
        <f t="shared" si="956"/>
        <v>-1000</v>
      </c>
      <c r="AB480" s="132">
        <f t="shared" si="956"/>
        <v>-1000</v>
      </c>
      <c r="AC480" s="132">
        <f t="shared" si="956"/>
        <v>-1000</v>
      </c>
      <c r="AD480" s="132">
        <f t="shared" si="4"/>
        <v>-10000</v>
      </c>
      <c r="AE480" s="132">
        <f t="shared" ref="AE480:AS480" si="957">H480-1000</f>
        <v>-900</v>
      </c>
      <c r="AF480" s="132">
        <f t="shared" si="957"/>
        <v>-1000</v>
      </c>
      <c r="AG480" s="132">
        <f t="shared" si="957"/>
        <v>-1000</v>
      </c>
      <c r="AH480" s="132">
        <f t="shared" si="957"/>
        <v>-1000</v>
      </c>
      <c r="AI480" s="132">
        <f t="shared" si="957"/>
        <v>-1000</v>
      </c>
      <c r="AJ480" s="132">
        <f t="shared" si="957"/>
        <v>-1000</v>
      </c>
      <c r="AK480" s="132">
        <f t="shared" si="957"/>
        <v>-1000</v>
      </c>
      <c r="AL480" s="132">
        <f t="shared" si="957"/>
        <v>-1000</v>
      </c>
      <c r="AM480" s="132">
        <f t="shared" si="957"/>
        <v>-1000</v>
      </c>
      <c r="AN480" s="132">
        <f t="shared" si="957"/>
        <v>-1000</v>
      </c>
      <c r="AO480" s="132">
        <f t="shared" si="957"/>
        <v>-1000</v>
      </c>
      <c r="AP480" s="132">
        <f t="shared" si="957"/>
        <v>-1000</v>
      </c>
      <c r="AQ480" s="132">
        <f t="shared" si="957"/>
        <v>-1000</v>
      </c>
      <c r="AR480" s="132">
        <f t="shared" si="957"/>
        <v>-1000</v>
      </c>
      <c r="AS480" s="132">
        <f t="shared" si="957"/>
        <v>-1000</v>
      </c>
    </row>
    <row r="481">
      <c r="A481" s="132" t="s">
        <v>3983</v>
      </c>
      <c r="B481" s="132">
        <v>100.0</v>
      </c>
      <c r="C481" s="132">
        <v>0.0</v>
      </c>
      <c r="D481" s="132">
        <v>0.0</v>
      </c>
      <c r="E481" s="132">
        <v>0.0</v>
      </c>
      <c r="F481" s="132">
        <v>0.0</v>
      </c>
      <c r="G481" s="132">
        <v>0.0</v>
      </c>
      <c r="H481" s="132">
        <v>100.0</v>
      </c>
      <c r="I481" s="132">
        <v>0.0</v>
      </c>
      <c r="J481" s="132">
        <v>0.0</v>
      </c>
      <c r="K481" s="132">
        <v>0.0</v>
      </c>
      <c r="L481" s="132">
        <v>0.0</v>
      </c>
      <c r="M481" s="132">
        <v>0.0</v>
      </c>
      <c r="N481" s="132">
        <v>0.0</v>
      </c>
      <c r="O481" s="132">
        <v>0.0</v>
      </c>
      <c r="P481" s="132">
        <v>0.0</v>
      </c>
      <c r="Q481" s="132">
        <v>0.0</v>
      </c>
      <c r="R481" s="132">
        <v>0.0</v>
      </c>
      <c r="S481" s="132">
        <v>0.0</v>
      </c>
      <c r="T481" s="132">
        <v>0.0</v>
      </c>
      <c r="U481" s="132">
        <v>0.0</v>
      </c>
      <c r="V481" s="132">
        <v>0.0</v>
      </c>
      <c r="W481" s="132">
        <v>0.0</v>
      </c>
      <c r="Y481" s="132" t="s">
        <v>3983</v>
      </c>
      <c r="Z481" s="132">
        <f t="shared" ref="Z481:AC481" si="958">C481-1000</f>
        <v>-1000</v>
      </c>
      <c r="AA481" s="132">
        <f t="shared" si="958"/>
        <v>-1000</v>
      </c>
      <c r="AB481" s="132">
        <f t="shared" si="958"/>
        <v>-1000</v>
      </c>
      <c r="AC481" s="132">
        <f t="shared" si="958"/>
        <v>-1000</v>
      </c>
      <c r="AD481" s="132">
        <f t="shared" si="4"/>
        <v>-10000</v>
      </c>
      <c r="AE481" s="132">
        <f t="shared" ref="AE481:AS481" si="959">H481-1000</f>
        <v>-900</v>
      </c>
      <c r="AF481" s="132">
        <f t="shared" si="959"/>
        <v>-1000</v>
      </c>
      <c r="AG481" s="132">
        <f t="shared" si="959"/>
        <v>-1000</v>
      </c>
      <c r="AH481" s="132">
        <f t="shared" si="959"/>
        <v>-1000</v>
      </c>
      <c r="AI481" s="132">
        <f t="shared" si="959"/>
        <v>-1000</v>
      </c>
      <c r="AJ481" s="132">
        <f t="shared" si="959"/>
        <v>-1000</v>
      </c>
      <c r="AK481" s="132">
        <f t="shared" si="959"/>
        <v>-1000</v>
      </c>
      <c r="AL481" s="132">
        <f t="shared" si="959"/>
        <v>-1000</v>
      </c>
      <c r="AM481" s="132">
        <f t="shared" si="959"/>
        <v>-1000</v>
      </c>
      <c r="AN481" s="132">
        <f t="shared" si="959"/>
        <v>-1000</v>
      </c>
      <c r="AO481" s="132">
        <f t="shared" si="959"/>
        <v>-1000</v>
      </c>
      <c r="AP481" s="132">
        <f t="shared" si="959"/>
        <v>-1000</v>
      </c>
      <c r="AQ481" s="132">
        <f t="shared" si="959"/>
        <v>-1000</v>
      </c>
      <c r="AR481" s="132">
        <f t="shared" si="959"/>
        <v>-1000</v>
      </c>
      <c r="AS481" s="132">
        <f t="shared" si="959"/>
        <v>-1000</v>
      </c>
    </row>
    <row r="482">
      <c r="A482" s="132" t="s">
        <v>3984</v>
      </c>
      <c r="B482" s="132">
        <v>500.0</v>
      </c>
      <c r="C482" s="132">
        <v>0.0</v>
      </c>
      <c r="D482" s="132">
        <v>0.0</v>
      </c>
      <c r="E482" s="132">
        <v>0.0</v>
      </c>
      <c r="F482" s="132">
        <v>0.0</v>
      </c>
      <c r="G482" s="132">
        <v>0.0</v>
      </c>
      <c r="H482" s="132">
        <v>500.0</v>
      </c>
      <c r="I482" s="132">
        <v>0.0</v>
      </c>
      <c r="J482" s="132">
        <v>0.0</v>
      </c>
      <c r="K482" s="132">
        <v>0.0</v>
      </c>
      <c r="L482" s="132">
        <v>0.0</v>
      </c>
      <c r="M482" s="132">
        <v>0.0</v>
      </c>
      <c r="N482" s="132">
        <v>0.0</v>
      </c>
      <c r="O482" s="132">
        <v>0.0</v>
      </c>
      <c r="P482" s="132">
        <v>0.0</v>
      </c>
      <c r="Q482" s="132">
        <v>0.0</v>
      </c>
      <c r="R482" s="132">
        <v>0.0</v>
      </c>
      <c r="S482" s="132">
        <v>0.0</v>
      </c>
      <c r="T482" s="132">
        <v>0.0</v>
      </c>
      <c r="U482" s="132">
        <v>0.0</v>
      </c>
      <c r="V482" s="132">
        <v>0.0</v>
      </c>
      <c r="W482" s="132">
        <v>0.0</v>
      </c>
      <c r="Y482" s="132" t="s">
        <v>3984</v>
      </c>
      <c r="Z482" s="132">
        <f t="shared" ref="Z482:AC482" si="960">C482-1000</f>
        <v>-1000</v>
      </c>
      <c r="AA482" s="132">
        <f t="shared" si="960"/>
        <v>-1000</v>
      </c>
      <c r="AB482" s="132">
        <f t="shared" si="960"/>
        <v>-1000</v>
      </c>
      <c r="AC482" s="132">
        <f t="shared" si="960"/>
        <v>-1000</v>
      </c>
      <c r="AD482" s="132">
        <f t="shared" si="4"/>
        <v>-10000</v>
      </c>
      <c r="AE482" s="132">
        <f t="shared" ref="AE482:AS482" si="961">H482-1000</f>
        <v>-500</v>
      </c>
      <c r="AF482" s="132">
        <f t="shared" si="961"/>
        <v>-1000</v>
      </c>
      <c r="AG482" s="132">
        <f t="shared" si="961"/>
        <v>-1000</v>
      </c>
      <c r="AH482" s="132">
        <f t="shared" si="961"/>
        <v>-1000</v>
      </c>
      <c r="AI482" s="132">
        <f t="shared" si="961"/>
        <v>-1000</v>
      </c>
      <c r="AJ482" s="132">
        <f t="shared" si="961"/>
        <v>-1000</v>
      </c>
      <c r="AK482" s="132">
        <f t="shared" si="961"/>
        <v>-1000</v>
      </c>
      <c r="AL482" s="132">
        <f t="shared" si="961"/>
        <v>-1000</v>
      </c>
      <c r="AM482" s="132">
        <f t="shared" si="961"/>
        <v>-1000</v>
      </c>
      <c r="AN482" s="132">
        <f t="shared" si="961"/>
        <v>-1000</v>
      </c>
      <c r="AO482" s="132">
        <f t="shared" si="961"/>
        <v>-1000</v>
      </c>
      <c r="AP482" s="132">
        <f t="shared" si="961"/>
        <v>-1000</v>
      </c>
      <c r="AQ482" s="132">
        <f t="shared" si="961"/>
        <v>-1000</v>
      </c>
      <c r="AR482" s="132">
        <f t="shared" si="961"/>
        <v>-1000</v>
      </c>
      <c r="AS482" s="132">
        <f t="shared" si="961"/>
        <v>-1000</v>
      </c>
    </row>
    <row r="483">
      <c r="A483" s="132" t="s">
        <v>3985</v>
      </c>
      <c r="B483" s="132">
        <v>100.0</v>
      </c>
      <c r="C483" s="132">
        <v>0.0</v>
      </c>
      <c r="D483" s="132">
        <v>0.0</v>
      </c>
      <c r="E483" s="132">
        <v>0.0</v>
      </c>
      <c r="F483" s="132">
        <v>0.0</v>
      </c>
      <c r="G483" s="132">
        <v>0.0</v>
      </c>
      <c r="H483" s="132">
        <v>100.0</v>
      </c>
      <c r="I483" s="132">
        <v>0.0</v>
      </c>
      <c r="J483" s="132">
        <v>0.0</v>
      </c>
      <c r="K483" s="132">
        <v>0.0</v>
      </c>
      <c r="L483" s="132">
        <v>0.0</v>
      </c>
      <c r="M483" s="132">
        <v>0.0</v>
      </c>
      <c r="N483" s="132">
        <v>0.0</v>
      </c>
      <c r="O483" s="132">
        <v>0.0</v>
      </c>
      <c r="P483" s="132">
        <v>0.0</v>
      </c>
      <c r="Q483" s="132">
        <v>0.0</v>
      </c>
      <c r="R483" s="132">
        <v>0.0</v>
      </c>
      <c r="S483" s="132">
        <v>0.0</v>
      </c>
      <c r="T483" s="132">
        <v>0.0</v>
      </c>
      <c r="U483" s="132">
        <v>0.0</v>
      </c>
      <c r="V483" s="132">
        <v>0.0</v>
      </c>
      <c r="W483" s="132">
        <v>0.0</v>
      </c>
      <c r="Y483" s="132" t="s">
        <v>3985</v>
      </c>
      <c r="Z483" s="132">
        <f t="shared" ref="Z483:AC483" si="962">C483-1000</f>
        <v>-1000</v>
      </c>
      <c r="AA483" s="132">
        <f t="shared" si="962"/>
        <v>-1000</v>
      </c>
      <c r="AB483" s="132">
        <f t="shared" si="962"/>
        <v>-1000</v>
      </c>
      <c r="AC483" s="132">
        <f t="shared" si="962"/>
        <v>-1000</v>
      </c>
      <c r="AD483" s="132">
        <f t="shared" si="4"/>
        <v>-10000</v>
      </c>
      <c r="AE483" s="132">
        <f t="shared" ref="AE483:AS483" si="963">H483-1000</f>
        <v>-900</v>
      </c>
      <c r="AF483" s="132">
        <f t="shared" si="963"/>
        <v>-1000</v>
      </c>
      <c r="AG483" s="132">
        <f t="shared" si="963"/>
        <v>-1000</v>
      </c>
      <c r="AH483" s="132">
        <f t="shared" si="963"/>
        <v>-1000</v>
      </c>
      <c r="AI483" s="132">
        <f t="shared" si="963"/>
        <v>-1000</v>
      </c>
      <c r="AJ483" s="132">
        <f t="shared" si="963"/>
        <v>-1000</v>
      </c>
      <c r="AK483" s="132">
        <f t="shared" si="963"/>
        <v>-1000</v>
      </c>
      <c r="AL483" s="132">
        <f t="shared" si="963"/>
        <v>-1000</v>
      </c>
      <c r="AM483" s="132">
        <f t="shared" si="963"/>
        <v>-1000</v>
      </c>
      <c r="AN483" s="132">
        <f t="shared" si="963"/>
        <v>-1000</v>
      </c>
      <c r="AO483" s="132">
        <f t="shared" si="963"/>
        <v>-1000</v>
      </c>
      <c r="AP483" s="132">
        <f t="shared" si="963"/>
        <v>-1000</v>
      </c>
      <c r="AQ483" s="132">
        <f t="shared" si="963"/>
        <v>-1000</v>
      </c>
      <c r="AR483" s="132">
        <f t="shared" si="963"/>
        <v>-1000</v>
      </c>
      <c r="AS483" s="132">
        <f t="shared" si="963"/>
        <v>-1000</v>
      </c>
    </row>
    <row r="484">
      <c r="A484" s="132" t="s">
        <v>3986</v>
      </c>
      <c r="B484" s="132">
        <v>574.7</v>
      </c>
      <c r="C484" s="132">
        <v>474.7</v>
      </c>
      <c r="D484" s="132">
        <v>0.0</v>
      </c>
      <c r="E484" s="132">
        <v>0.0</v>
      </c>
      <c r="F484" s="132">
        <v>0.0</v>
      </c>
      <c r="G484" s="132">
        <v>0.0</v>
      </c>
      <c r="H484" s="132">
        <v>100.0</v>
      </c>
      <c r="I484" s="132">
        <v>0.0</v>
      </c>
      <c r="J484" s="132">
        <v>0.0</v>
      </c>
      <c r="K484" s="132">
        <v>0.0</v>
      </c>
      <c r="L484" s="132">
        <v>0.0</v>
      </c>
      <c r="M484" s="132">
        <v>0.0</v>
      </c>
      <c r="N484" s="132">
        <v>0.0</v>
      </c>
      <c r="O484" s="132">
        <v>0.0</v>
      </c>
      <c r="P484" s="132">
        <v>0.0</v>
      </c>
      <c r="Q484" s="132">
        <v>0.0</v>
      </c>
      <c r="R484" s="132">
        <v>0.0</v>
      </c>
      <c r="S484" s="132">
        <v>0.0</v>
      </c>
      <c r="T484" s="132">
        <v>0.0</v>
      </c>
      <c r="U484" s="132">
        <v>0.0</v>
      </c>
      <c r="V484" s="132">
        <v>0.0</v>
      </c>
      <c r="W484" s="132">
        <v>1.0</v>
      </c>
      <c r="Y484" s="132" t="s">
        <v>3986</v>
      </c>
      <c r="Z484" s="132">
        <f t="shared" ref="Z484:AC484" si="964">C484-1000</f>
        <v>-525.3</v>
      </c>
      <c r="AA484" s="132">
        <f t="shared" si="964"/>
        <v>-1000</v>
      </c>
      <c r="AB484" s="132">
        <f t="shared" si="964"/>
        <v>-1000</v>
      </c>
      <c r="AC484" s="132">
        <f t="shared" si="964"/>
        <v>-1000</v>
      </c>
      <c r="AD484" s="132">
        <f t="shared" si="4"/>
        <v>-10000</v>
      </c>
      <c r="AE484" s="132">
        <f t="shared" ref="AE484:AS484" si="965">H484-1000</f>
        <v>-900</v>
      </c>
      <c r="AF484" s="132">
        <f t="shared" si="965"/>
        <v>-1000</v>
      </c>
      <c r="AG484" s="132">
        <f t="shared" si="965"/>
        <v>-1000</v>
      </c>
      <c r="AH484" s="132">
        <f t="shared" si="965"/>
        <v>-1000</v>
      </c>
      <c r="AI484" s="132">
        <f t="shared" si="965"/>
        <v>-1000</v>
      </c>
      <c r="AJ484" s="132">
        <f t="shared" si="965"/>
        <v>-1000</v>
      </c>
      <c r="AK484" s="132">
        <f t="shared" si="965"/>
        <v>-1000</v>
      </c>
      <c r="AL484" s="132">
        <f t="shared" si="965"/>
        <v>-1000</v>
      </c>
      <c r="AM484" s="132">
        <f t="shared" si="965"/>
        <v>-1000</v>
      </c>
      <c r="AN484" s="132">
        <f t="shared" si="965"/>
        <v>-1000</v>
      </c>
      <c r="AO484" s="132">
        <f t="shared" si="965"/>
        <v>-1000</v>
      </c>
      <c r="AP484" s="132">
        <f t="shared" si="965"/>
        <v>-1000</v>
      </c>
      <c r="AQ484" s="132">
        <f t="shared" si="965"/>
        <v>-1000</v>
      </c>
      <c r="AR484" s="132">
        <f t="shared" si="965"/>
        <v>-1000</v>
      </c>
      <c r="AS484" s="132">
        <f t="shared" si="965"/>
        <v>-1000</v>
      </c>
    </row>
    <row r="485">
      <c r="A485" s="132" t="s">
        <v>3987</v>
      </c>
      <c r="B485" s="132">
        <v>500.0</v>
      </c>
      <c r="C485" s="132">
        <v>0.0</v>
      </c>
      <c r="D485" s="132">
        <v>0.0</v>
      </c>
      <c r="E485" s="132">
        <v>0.0</v>
      </c>
      <c r="F485" s="132">
        <v>0.0</v>
      </c>
      <c r="G485" s="132">
        <v>0.0</v>
      </c>
      <c r="H485" s="132">
        <v>500.0</v>
      </c>
      <c r="I485" s="132">
        <v>0.0</v>
      </c>
      <c r="J485" s="132">
        <v>0.0</v>
      </c>
      <c r="K485" s="132">
        <v>0.0</v>
      </c>
      <c r="L485" s="132">
        <v>0.0</v>
      </c>
      <c r="M485" s="132">
        <v>0.0</v>
      </c>
      <c r="N485" s="132">
        <v>0.0</v>
      </c>
      <c r="O485" s="132">
        <v>0.0</v>
      </c>
      <c r="P485" s="132">
        <v>0.0</v>
      </c>
      <c r="Q485" s="132">
        <v>0.0</v>
      </c>
      <c r="R485" s="132">
        <v>0.0</v>
      </c>
      <c r="S485" s="132">
        <v>0.0</v>
      </c>
      <c r="T485" s="132">
        <v>0.0</v>
      </c>
      <c r="U485" s="132">
        <v>0.0</v>
      </c>
      <c r="V485" s="132">
        <v>0.0</v>
      </c>
      <c r="W485" s="132">
        <v>0.0</v>
      </c>
      <c r="Y485" s="132" t="s">
        <v>3987</v>
      </c>
      <c r="Z485" s="132">
        <f t="shared" ref="Z485:AC485" si="966">C485-1000</f>
        <v>-1000</v>
      </c>
      <c r="AA485" s="132">
        <f t="shared" si="966"/>
        <v>-1000</v>
      </c>
      <c r="AB485" s="132">
        <f t="shared" si="966"/>
        <v>-1000</v>
      </c>
      <c r="AC485" s="132">
        <f t="shared" si="966"/>
        <v>-1000</v>
      </c>
      <c r="AD485" s="132">
        <f t="shared" si="4"/>
        <v>-10000</v>
      </c>
      <c r="AE485" s="132">
        <f t="shared" ref="AE485:AS485" si="967">H485-1000</f>
        <v>-500</v>
      </c>
      <c r="AF485" s="132">
        <f t="shared" si="967"/>
        <v>-1000</v>
      </c>
      <c r="AG485" s="132">
        <f t="shared" si="967"/>
        <v>-1000</v>
      </c>
      <c r="AH485" s="132">
        <f t="shared" si="967"/>
        <v>-1000</v>
      </c>
      <c r="AI485" s="132">
        <f t="shared" si="967"/>
        <v>-1000</v>
      </c>
      <c r="AJ485" s="132">
        <f t="shared" si="967"/>
        <v>-1000</v>
      </c>
      <c r="AK485" s="132">
        <f t="shared" si="967"/>
        <v>-1000</v>
      </c>
      <c r="AL485" s="132">
        <f t="shared" si="967"/>
        <v>-1000</v>
      </c>
      <c r="AM485" s="132">
        <f t="shared" si="967"/>
        <v>-1000</v>
      </c>
      <c r="AN485" s="132">
        <f t="shared" si="967"/>
        <v>-1000</v>
      </c>
      <c r="AO485" s="132">
        <f t="shared" si="967"/>
        <v>-1000</v>
      </c>
      <c r="AP485" s="132">
        <f t="shared" si="967"/>
        <v>-1000</v>
      </c>
      <c r="AQ485" s="132">
        <f t="shared" si="967"/>
        <v>-1000</v>
      </c>
      <c r="AR485" s="132">
        <f t="shared" si="967"/>
        <v>-1000</v>
      </c>
      <c r="AS485" s="132">
        <f t="shared" si="967"/>
        <v>-1000</v>
      </c>
    </row>
    <row r="486">
      <c r="A486" s="132" t="s">
        <v>3988</v>
      </c>
      <c r="B486" s="132">
        <v>250.0</v>
      </c>
      <c r="C486" s="132">
        <v>0.0</v>
      </c>
      <c r="D486" s="132">
        <v>0.0</v>
      </c>
      <c r="E486" s="132">
        <v>0.0</v>
      </c>
      <c r="F486" s="132">
        <v>0.0</v>
      </c>
      <c r="G486" s="132">
        <v>0.0</v>
      </c>
      <c r="H486" s="132">
        <v>250.0</v>
      </c>
      <c r="I486" s="132">
        <v>0.0</v>
      </c>
      <c r="J486" s="132">
        <v>0.0</v>
      </c>
      <c r="K486" s="132">
        <v>0.0</v>
      </c>
      <c r="L486" s="132">
        <v>0.0</v>
      </c>
      <c r="M486" s="132">
        <v>0.0</v>
      </c>
      <c r="N486" s="132">
        <v>0.0</v>
      </c>
      <c r="O486" s="132">
        <v>0.0</v>
      </c>
      <c r="P486" s="132">
        <v>0.0</v>
      </c>
      <c r="Q486" s="132">
        <v>0.0</v>
      </c>
      <c r="R486" s="132">
        <v>0.0</v>
      </c>
      <c r="S486" s="132">
        <v>0.0</v>
      </c>
      <c r="T486" s="132">
        <v>0.0</v>
      </c>
      <c r="U486" s="132">
        <v>0.0</v>
      </c>
      <c r="V486" s="132">
        <v>0.0</v>
      </c>
      <c r="W486" s="132">
        <v>0.0</v>
      </c>
      <c r="Y486" s="132" t="s">
        <v>3988</v>
      </c>
      <c r="Z486" s="132">
        <f t="shared" ref="Z486:AC486" si="968">C486-1000</f>
        <v>-1000</v>
      </c>
      <c r="AA486" s="132">
        <f t="shared" si="968"/>
        <v>-1000</v>
      </c>
      <c r="AB486" s="132">
        <f t="shared" si="968"/>
        <v>-1000</v>
      </c>
      <c r="AC486" s="132">
        <f t="shared" si="968"/>
        <v>-1000</v>
      </c>
      <c r="AD486" s="132">
        <f t="shared" si="4"/>
        <v>-10000</v>
      </c>
      <c r="AE486" s="132">
        <f t="shared" ref="AE486:AS486" si="969">H486-1000</f>
        <v>-750</v>
      </c>
      <c r="AF486" s="132">
        <f t="shared" si="969"/>
        <v>-1000</v>
      </c>
      <c r="AG486" s="132">
        <f t="shared" si="969"/>
        <v>-1000</v>
      </c>
      <c r="AH486" s="132">
        <f t="shared" si="969"/>
        <v>-1000</v>
      </c>
      <c r="AI486" s="132">
        <f t="shared" si="969"/>
        <v>-1000</v>
      </c>
      <c r="AJ486" s="132">
        <f t="shared" si="969"/>
        <v>-1000</v>
      </c>
      <c r="AK486" s="132">
        <f t="shared" si="969"/>
        <v>-1000</v>
      </c>
      <c r="AL486" s="132">
        <f t="shared" si="969"/>
        <v>-1000</v>
      </c>
      <c r="AM486" s="132">
        <f t="shared" si="969"/>
        <v>-1000</v>
      </c>
      <c r="AN486" s="132">
        <f t="shared" si="969"/>
        <v>-1000</v>
      </c>
      <c r="AO486" s="132">
        <f t="shared" si="969"/>
        <v>-1000</v>
      </c>
      <c r="AP486" s="132">
        <f t="shared" si="969"/>
        <v>-1000</v>
      </c>
      <c r="AQ486" s="132">
        <f t="shared" si="969"/>
        <v>-1000</v>
      </c>
      <c r="AR486" s="132">
        <f t="shared" si="969"/>
        <v>-1000</v>
      </c>
      <c r="AS486" s="132">
        <f t="shared" si="969"/>
        <v>-1000</v>
      </c>
    </row>
    <row r="487">
      <c r="A487" s="132" t="s">
        <v>3989</v>
      </c>
      <c r="B487" s="132">
        <v>50.0</v>
      </c>
      <c r="C487" s="132">
        <v>0.0</v>
      </c>
      <c r="D487" s="132">
        <v>0.0</v>
      </c>
      <c r="E487" s="132">
        <v>0.0</v>
      </c>
      <c r="F487" s="132">
        <v>0.0</v>
      </c>
      <c r="G487" s="132">
        <v>0.0</v>
      </c>
      <c r="H487" s="132">
        <v>50.0</v>
      </c>
      <c r="I487" s="132">
        <v>0.0</v>
      </c>
      <c r="J487" s="132">
        <v>0.0</v>
      </c>
      <c r="K487" s="132">
        <v>0.0</v>
      </c>
      <c r="L487" s="132">
        <v>0.0</v>
      </c>
      <c r="M487" s="132">
        <v>0.0</v>
      </c>
      <c r="N487" s="132">
        <v>0.0</v>
      </c>
      <c r="O487" s="132">
        <v>0.0</v>
      </c>
      <c r="P487" s="132">
        <v>0.0</v>
      </c>
      <c r="Q487" s="132">
        <v>0.0</v>
      </c>
      <c r="R487" s="132">
        <v>0.0</v>
      </c>
      <c r="S487" s="132">
        <v>0.0</v>
      </c>
      <c r="T487" s="132">
        <v>0.0</v>
      </c>
      <c r="U487" s="132">
        <v>0.0</v>
      </c>
      <c r="V487" s="132">
        <v>0.0</v>
      </c>
      <c r="W487" s="132">
        <v>0.0</v>
      </c>
      <c r="Y487" s="132" t="s">
        <v>3989</v>
      </c>
      <c r="Z487" s="132">
        <f t="shared" ref="Z487:AC487" si="970">C487-1000</f>
        <v>-1000</v>
      </c>
      <c r="AA487" s="132">
        <f t="shared" si="970"/>
        <v>-1000</v>
      </c>
      <c r="AB487" s="132">
        <f t="shared" si="970"/>
        <v>-1000</v>
      </c>
      <c r="AC487" s="132">
        <f t="shared" si="970"/>
        <v>-1000</v>
      </c>
      <c r="AD487" s="132">
        <f t="shared" si="4"/>
        <v>-10000</v>
      </c>
      <c r="AE487" s="132">
        <f t="shared" ref="AE487:AS487" si="971">H487-1000</f>
        <v>-950</v>
      </c>
      <c r="AF487" s="132">
        <f t="shared" si="971"/>
        <v>-1000</v>
      </c>
      <c r="AG487" s="132">
        <f t="shared" si="971"/>
        <v>-1000</v>
      </c>
      <c r="AH487" s="132">
        <f t="shared" si="971"/>
        <v>-1000</v>
      </c>
      <c r="AI487" s="132">
        <f t="shared" si="971"/>
        <v>-1000</v>
      </c>
      <c r="AJ487" s="132">
        <f t="shared" si="971"/>
        <v>-1000</v>
      </c>
      <c r="AK487" s="132">
        <f t="shared" si="971"/>
        <v>-1000</v>
      </c>
      <c r="AL487" s="132">
        <f t="shared" si="971"/>
        <v>-1000</v>
      </c>
      <c r="AM487" s="132">
        <f t="shared" si="971"/>
        <v>-1000</v>
      </c>
      <c r="AN487" s="132">
        <f t="shared" si="971"/>
        <v>-1000</v>
      </c>
      <c r="AO487" s="132">
        <f t="shared" si="971"/>
        <v>-1000</v>
      </c>
      <c r="AP487" s="132">
        <f t="shared" si="971"/>
        <v>-1000</v>
      </c>
      <c r="AQ487" s="132">
        <f t="shared" si="971"/>
        <v>-1000</v>
      </c>
      <c r="AR487" s="132">
        <f t="shared" si="971"/>
        <v>-1000</v>
      </c>
      <c r="AS487" s="132">
        <f t="shared" si="971"/>
        <v>-1000</v>
      </c>
    </row>
    <row r="488">
      <c r="A488" s="132" t="s">
        <v>3990</v>
      </c>
      <c r="B488" s="132">
        <v>750.0</v>
      </c>
      <c r="C488" s="132">
        <v>0.0</v>
      </c>
      <c r="D488" s="132">
        <v>0.0</v>
      </c>
      <c r="E488" s="132">
        <v>0.0</v>
      </c>
      <c r="F488" s="132">
        <v>0.0</v>
      </c>
      <c r="G488" s="132">
        <v>0.0</v>
      </c>
      <c r="H488" s="132">
        <v>250.0</v>
      </c>
      <c r="I488" s="132">
        <v>500.0</v>
      </c>
      <c r="J488" s="132">
        <v>0.0</v>
      </c>
      <c r="K488" s="132">
        <v>0.0</v>
      </c>
      <c r="L488" s="132">
        <v>0.0</v>
      </c>
      <c r="M488" s="132">
        <v>0.0</v>
      </c>
      <c r="N488" s="132">
        <v>0.0</v>
      </c>
      <c r="O488" s="132">
        <v>0.0</v>
      </c>
      <c r="P488" s="132">
        <v>0.0</v>
      </c>
      <c r="Q488" s="132">
        <v>0.0</v>
      </c>
      <c r="R488" s="132">
        <v>0.0</v>
      </c>
      <c r="S488" s="132">
        <v>0.0</v>
      </c>
      <c r="T488" s="132">
        <v>0.0</v>
      </c>
      <c r="U488" s="132">
        <v>0.0</v>
      </c>
      <c r="V488" s="132">
        <v>0.0</v>
      </c>
      <c r="W488" s="132">
        <v>1.0</v>
      </c>
      <c r="Y488" s="132" t="s">
        <v>3990</v>
      </c>
      <c r="Z488" s="132">
        <f t="shared" ref="Z488:AC488" si="972">C488-1000</f>
        <v>-1000</v>
      </c>
      <c r="AA488" s="132">
        <f t="shared" si="972"/>
        <v>-1000</v>
      </c>
      <c r="AB488" s="132">
        <f t="shared" si="972"/>
        <v>-1000</v>
      </c>
      <c r="AC488" s="132">
        <f t="shared" si="972"/>
        <v>-1000</v>
      </c>
      <c r="AD488" s="132">
        <f t="shared" si="4"/>
        <v>-10000</v>
      </c>
      <c r="AE488" s="132">
        <f t="shared" ref="AE488:AS488" si="973">H488-1000</f>
        <v>-750</v>
      </c>
      <c r="AF488" s="132">
        <f t="shared" si="973"/>
        <v>-500</v>
      </c>
      <c r="AG488" s="132">
        <f t="shared" si="973"/>
        <v>-1000</v>
      </c>
      <c r="AH488" s="132">
        <f t="shared" si="973"/>
        <v>-1000</v>
      </c>
      <c r="AI488" s="132">
        <f t="shared" si="973"/>
        <v>-1000</v>
      </c>
      <c r="AJ488" s="132">
        <f t="shared" si="973"/>
        <v>-1000</v>
      </c>
      <c r="AK488" s="132">
        <f t="shared" si="973"/>
        <v>-1000</v>
      </c>
      <c r="AL488" s="132">
        <f t="shared" si="973"/>
        <v>-1000</v>
      </c>
      <c r="AM488" s="132">
        <f t="shared" si="973"/>
        <v>-1000</v>
      </c>
      <c r="AN488" s="132">
        <f t="shared" si="973"/>
        <v>-1000</v>
      </c>
      <c r="AO488" s="132">
        <f t="shared" si="973"/>
        <v>-1000</v>
      </c>
      <c r="AP488" s="132">
        <f t="shared" si="973"/>
        <v>-1000</v>
      </c>
      <c r="AQ488" s="132">
        <f t="shared" si="973"/>
        <v>-1000</v>
      </c>
      <c r="AR488" s="132">
        <f t="shared" si="973"/>
        <v>-1000</v>
      </c>
      <c r="AS488" s="132">
        <f t="shared" si="973"/>
        <v>-1000</v>
      </c>
    </row>
    <row r="489">
      <c r="A489" s="132" t="s">
        <v>3991</v>
      </c>
      <c r="B489" s="132">
        <v>1000.0</v>
      </c>
      <c r="C489" s="132">
        <v>0.0</v>
      </c>
      <c r="D489" s="132">
        <v>0.0</v>
      </c>
      <c r="E489" s="132">
        <v>0.0</v>
      </c>
      <c r="F489" s="132">
        <v>0.0</v>
      </c>
      <c r="G489" s="132">
        <v>0.0</v>
      </c>
      <c r="H489" s="132">
        <v>1000.0</v>
      </c>
      <c r="I489" s="132">
        <v>0.0</v>
      </c>
      <c r="J489" s="132">
        <v>0.0</v>
      </c>
      <c r="K489" s="132">
        <v>0.0</v>
      </c>
      <c r="L489" s="132">
        <v>0.0</v>
      </c>
      <c r="M489" s="132">
        <v>0.0</v>
      </c>
      <c r="N489" s="132">
        <v>0.0</v>
      </c>
      <c r="O489" s="132">
        <v>0.0</v>
      </c>
      <c r="P489" s="132">
        <v>0.0</v>
      </c>
      <c r="Q489" s="132">
        <v>0.0</v>
      </c>
      <c r="R489" s="132">
        <v>0.0</v>
      </c>
      <c r="S489" s="132">
        <v>0.0</v>
      </c>
      <c r="T489" s="132">
        <v>0.0</v>
      </c>
      <c r="U489" s="132">
        <v>0.0</v>
      </c>
      <c r="V489" s="132">
        <v>0.0</v>
      </c>
      <c r="W489" s="132">
        <v>0.0</v>
      </c>
      <c r="Y489" s="132" t="s">
        <v>3991</v>
      </c>
      <c r="Z489" s="132">
        <f t="shared" ref="Z489:AC489" si="974">C489-1000</f>
        <v>-1000</v>
      </c>
      <c r="AA489" s="132">
        <f t="shared" si="974"/>
        <v>-1000</v>
      </c>
      <c r="AB489" s="132">
        <f t="shared" si="974"/>
        <v>-1000</v>
      </c>
      <c r="AC489" s="132">
        <f t="shared" si="974"/>
        <v>-1000</v>
      </c>
      <c r="AD489" s="132">
        <f t="shared" si="4"/>
        <v>-10000</v>
      </c>
      <c r="AE489" s="132">
        <f t="shared" ref="AE489:AS489" si="975">H489-1000</f>
        <v>0</v>
      </c>
      <c r="AF489" s="132">
        <f t="shared" si="975"/>
        <v>-1000</v>
      </c>
      <c r="AG489" s="132">
        <f t="shared" si="975"/>
        <v>-1000</v>
      </c>
      <c r="AH489" s="132">
        <f t="shared" si="975"/>
        <v>-1000</v>
      </c>
      <c r="AI489" s="132">
        <f t="shared" si="975"/>
        <v>-1000</v>
      </c>
      <c r="AJ489" s="132">
        <f t="shared" si="975"/>
        <v>-1000</v>
      </c>
      <c r="AK489" s="132">
        <f t="shared" si="975"/>
        <v>-1000</v>
      </c>
      <c r="AL489" s="132">
        <f t="shared" si="975"/>
        <v>-1000</v>
      </c>
      <c r="AM489" s="132">
        <f t="shared" si="975"/>
        <v>-1000</v>
      </c>
      <c r="AN489" s="132">
        <f t="shared" si="975"/>
        <v>-1000</v>
      </c>
      <c r="AO489" s="132">
        <f t="shared" si="975"/>
        <v>-1000</v>
      </c>
      <c r="AP489" s="132">
        <f t="shared" si="975"/>
        <v>-1000</v>
      </c>
      <c r="AQ489" s="132">
        <f t="shared" si="975"/>
        <v>-1000</v>
      </c>
      <c r="AR489" s="132">
        <f t="shared" si="975"/>
        <v>-1000</v>
      </c>
      <c r="AS489" s="132">
        <f t="shared" si="975"/>
        <v>-1000</v>
      </c>
    </row>
    <row r="490">
      <c r="A490" s="132" t="s">
        <v>3992</v>
      </c>
      <c r="B490" s="132">
        <v>1000.0</v>
      </c>
      <c r="C490" s="132">
        <v>0.0</v>
      </c>
      <c r="D490" s="132">
        <v>1000.0</v>
      </c>
      <c r="E490" s="132">
        <v>0.0</v>
      </c>
      <c r="F490" s="132">
        <v>0.0</v>
      </c>
      <c r="G490" s="132">
        <v>0.0</v>
      </c>
      <c r="H490" s="132">
        <v>0.0</v>
      </c>
      <c r="I490" s="132">
        <v>0.0</v>
      </c>
      <c r="J490" s="132">
        <v>0.0</v>
      </c>
      <c r="K490" s="132">
        <v>0.0</v>
      </c>
      <c r="L490" s="132">
        <v>0.0</v>
      </c>
      <c r="M490" s="132">
        <v>0.0</v>
      </c>
      <c r="N490" s="132">
        <v>0.0</v>
      </c>
      <c r="O490" s="132">
        <v>0.0</v>
      </c>
      <c r="P490" s="132">
        <v>0.0</v>
      </c>
      <c r="Q490" s="132">
        <v>0.0</v>
      </c>
      <c r="R490" s="132">
        <v>0.0</v>
      </c>
      <c r="S490" s="132">
        <v>0.0</v>
      </c>
      <c r="T490" s="132">
        <v>0.0</v>
      </c>
      <c r="U490" s="132">
        <v>0.0</v>
      </c>
      <c r="V490" s="132">
        <v>0.0</v>
      </c>
      <c r="W490" s="132">
        <v>0.0</v>
      </c>
      <c r="Y490" s="132" t="s">
        <v>3992</v>
      </c>
      <c r="Z490" s="132">
        <f t="shared" ref="Z490:AC490" si="976">C490-1000</f>
        <v>-1000</v>
      </c>
      <c r="AA490" s="132">
        <f t="shared" si="976"/>
        <v>0</v>
      </c>
      <c r="AB490" s="132">
        <f t="shared" si="976"/>
        <v>-1000</v>
      </c>
      <c r="AC490" s="132">
        <f t="shared" si="976"/>
        <v>-1000</v>
      </c>
      <c r="AD490" s="132">
        <f t="shared" si="4"/>
        <v>-10000</v>
      </c>
      <c r="AE490" s="132">
        <f t="shared" ref="AE490:AS490" si="977">H490-1000</f>
        <v>-1000</v>
      </c>
      <c r="AF490" s="132">
        <f t="shared" si="977"/>
        <v>-1000</v>
      </c>
      <c r="AG490" s="132">
        <f t="shared" si="977"/>
        <v>-1000</v>
      </c>
      <c r="AH490" s="132">
        <f t="shared" si="977"/>
        <v>-1000</v>
      </c>
      <c r="AI490" s="132">
        <f t="shared" si="977"/>
        <v>-1000</v>
      </c>
      <c r="AJ490" s="132">
        <f t="shared" si="977"/>
        <v>-1000</v>
      </c>
      <c r="AK490" s="132">
        <f t="shared" si="977"/>
        <v>-1000</v>
      </c>
      <c r="AL490" s="132">
        <f t="shared" si="977"/>
        <v>-1000</v>
      </c>
      <c r="AM490" s="132">
        <f t="shared" si="977"/>
        <v>-1000</v>
      </c>
      <c r="AN490" s="132">
        <f t="shared" si="977"/>
        <v>-1000</v>
      </c>
      <c r="AO490" s="132">
        <f t="shared" si="977"/>
        <v>-1000</v>
      </c>
      <c r="AP490" s="132">
        <f t="shared" si="977"/>
        <v>-1000</v>
      </c>
      <c r="AQ490" s="132">
        <f t="shared" si="977"/>
        <v>-1000</v>
      </c>
      <c r="AR490" s="132">
        <f t="shared" si="977"/>
        <v>-1000</v>
      </c>
      <c r="AS490" s="132">
        <f t="shared" si="977"/>
        <v>-1000</v>
      </c>
    </row>
    <row r="491">
      <c r="A491" s="132" t="s">
        <v>3993</v>
      </c>
      <c r="B491" s="132">
        <v>1000.0</v>
      </c>
      <c r="C491" s="132">
        <v>0.0</v>
      </c>
      <c r="D491" s="132">
        <v>1000.0</v>
      </c>
      <c r="E491" s="132">
        <v>0.0</v>
      </c>
      <c r="F491" s="132">
        <v>0.0</v>
      </c>
      <c r="G491" s="132">
        <v>0.0</v>
      </c>
      <c r="H491" s="132">
        <v>0.0</v>
      </c>
      <c r="I491" s="132">
        <v>0.0</v>
      </c>
      <c r="J491" s="132">
        <v>0.0</v>
      </c>
      <c r="K491" s="132">
        <v>0.0</v>
      </c>
      <c r="L491" s="132">
        <v>0.0</v>
      </c>
      <c r="M491" s="132">
        <v>0.0</v>
      </c>
      <c r="N491" s="132">
        <v>0.0</v>
      </c>
      <c r="O491" s="132">
        <v>0.0</v>
      </c>
      <c r="P491" s="132">
        <v>0.0</v>
      </c>
      <c r="Q491" s="132">
        <v>0.0</v>
      </c>
      <c r="R491" s="132">
        <v>0.0</v>
      </c>
      <c r="S491" s="132">
        <v>0.0</v>
      </c>
      <c r="T491" s="132">
        <v>0.0</v>
      </c>
      <c r="U491" s="132">
        <v>0.0</v>
      </c>
      <c r="V491" s="132">
        <v>0.0</v>
      </c>
      <c r="W491" s="132">
        <v>0.0</v>
      </c>
      <c r="Y491" s="132" t="s">
        <v>3993</v>
      </c>
      <c r="Z491" s="132">
        <f t="shared" ref="Z491:AC491" si="978">C491-1000</f>
        <v>-1000</v>
      </c>
      <c r="AA491" s="132">
        <f t="shared" si="978"/>
        <v>0</v>
      </c>
      <c r="AB491" s="132">
        <f t="shared" si="978"/>
        <v>-1000</v>
      </c>
      <c r="AC491" s="132">
        <f t="shared" si="978"/>
        <v>-1000</v>
      </c>
      <c r="AD491" s="132">
        <f t="shared" si="4"/>
        <v>-10000</v>
      </c>
      <c r="AE491" s="132">
        <f t="shared" ref="AE491:AS491" si="979">H491-1000</f>
        <v>-1000</v>
      </c>
      <c r="AF491" s="132">
        <f t="shared" si="979"/>
        <v>-1000</v>
      </c>
      <c r="AG491" s="132">
        <f t="shared" si="979"/>
        <v>-1000</v>
      </c>
      <c r="AH491" s="132">
        <f t="shared" si="979"/>
        <v>-1000</v>
      </c>
      <c r="AI491" s="132">
        <f t="shared" si="979"/>
        <v>-1000</v>
      </c>
      <c r="AJ491" s="132">
        <f t="shared" si="979"/>
        <v>-1000</v>
      </c>
      <c r="AK491" s="132">
        <f t="shared" si="979"/>
        <v>-1000</v>
      </c>
      <c r="AL491" s="132">
        <f t="shared" si="979"/>
        <v>-1000</v>
      </c>
      <c r="AM491" s="132">
        <f t="shared" si="979"/>
        <v>-1000</v>
      </c>
      <c r="AN491" s="132">
        <f t="shared" si="979"/>
        <v>-1000</v>
      </c>
      <c r="AO491" s="132">
        <f t="shared" si="979"/>
        <v>-1000</v>
      </c>
      <c r="AP491" s="132">
        <f t="shared" si="979"/>
        <v>-1000</v>
      </c>
      <c r="AQ491" s="132">
        <f t="shared" si="979"/>
        <v>-1000</v>
      </c>
      <c r="AR491" s="132">
        <f t="shared" si="979"/>
        <v>-1000</v>
      </c>
      <c r="AS491" s="132">
        <f t="shared" si="979"/>
        <v>-1000</v>
      </c>
    </row>
    <row r="492">
      <c r="A492" s="132" t="s">
        <v>3994</v>
      </c>
      <c r="B492" s="132">
        <v>7500.0</v>
      </c>
      <c r="C492" s="132">
        <v>0.0</v>
      </c>
      <c r="D492" s="132">
        <v>1000.0</v>
      </c>
      <c r="E492" s="132">
        <v>0.0</v>
      </c>
      <c r="F492" s="132">
        <v>1500.0</v>
      </c>
      <c r="G492" s="132">
        <v>1000.0</v>
      </c>
      <c r="H492" s="132">
        <v>0.0</v>
      </c>
      <c r="I492" s="132">
        <v>1000.0</v>
      </c>
      <c r="J492" s="132">
        <v>0.0</v>
      </c>
      <c r="K492" s="132">
        <v>2000.0</v>
      </c>
      <c r="L492" s="132">
        <v>1000.0</v>
      </c>
      <c r="M492" s="132">
        <v>0.0</v>
      </c>
      <c r="N492" s="132">
        <v>0.0</v>
      </c>
      <c r="O492" s="132">
        <v>0.0</v>
      </c>
      <c r="P492" s="132">
        <v>0.0</v>
      </c>
      <c r="Q492" s="132">
        <v>0.0</v>
      </c>
      <c r="R492" s="132">
        <v>0.0</v>
      </c>
      <c r="S492" s="132">
        <v>0.0</v>
      </c>
      <c r="T492" s="132">
        <v>0.0</v>
      </c>
      <c r="U492" s="132">
        <v>0.0</v>
      </c>
      <c r="V492" s="132">
        <v>0.0</v>
      </c>
      <c r="W492" s="132">
        <v>1.0</v>
      </c>
      <c r="Y492" s="132" t="s">
        <v>3994</v>
      </c>
      <c r="Z492" s="132">
        <f t="shared" ref="Z492:AC492" si="980">C492-1000</f>
        <v>-1000</v>
      </c>
      <c r="AA492" s="132">
        <f t="shared" si="980"/>
        <v>0</v>
      </c>
      <c r="AB492" s="132">
        <f t="shared" si="980"/>
        <v>-1000</v>
      </c>
      <c r="AC492" s="132">
        <f t="shared" si="980"/>
        <v>500</v>
      </c>
      <c r="AD492" s="132">
        <f t="shared" si="4"/>
        <v>-9000</v>
      </c>
      <c r="AE492" s="132">
        <f t="shared" ref="AE492:AS492" si="981">H492-1000</f>
        <v>-1000</v>
      </c>
      <c r="AF492" s="132">
        <f t="shared" si="981"/>
        <v>0</v>
      </c>
      <c r="AG492" s="132">
        <f t="shared" si="981"/>
        <v>-1000</v>
      </c>
      <c r="AH492" s="132">
        <f t="shared" si="981"/>
        <v>1000</v>
      </c>
      <c r="AI492" s="132">
        <f t="shared" si="981"/>
        <v>0</v>
      </c>
      <c r="AJ492" s="132">
        <f t="shared" si="981"/>
        <v>-1000</v>
      </c>
      <c r="AK492" s="132">
        <f t="shared" si="981"/>
        <v>-1000</v>
      </c>
      <c r="AL492" s="132">
        <f t="shared" si="981"/>
        <v>-1000</v>
      </c>
      <c r="AM492" s="132">
        <f t="shared" si="981"/>
        <v>-1000</v>
      </c>
      <c r="AN492" s="132">
        <f t="shared" si="981"/>
        <v>-1000</v>
      </c>
      <c r="AO492" s="132">
        <f t="shared" si="981"/>
        <v>-1000</v>
      </c>
      <c r="AP492" s="132">
        <f t="shared" si="981"/>
        <v>-1000</v>
      </c>
      <c r="AQ492" s="132">
        <f t="shared" si="981"/>
        <v>-1000</v>
      </c>
      <c r="AR492" s="132">
        <f t="shared" si="981"/>
        <v>-1000</v>
      </c>
      <c r="AS492" s="132">
        <f t="shared" si="981"/>
        <v>-1000</v>
      </c>
    </row>
    <row r="493">
      <c r="A493" s="132" t="s">
        <v>3995</v>
      </c>
      <c r="B493" s="132">
        <v>1000.0</v>
      </c>
      <c r="C493" s="132">
        <v>0.0</v>
      </c>
      <c r="D493" s="132">
        <v>1000.0</v>
      </c>
      <c r="E493" s="132">
        <v>0.0</v>
      </c>
      <c r="F493" s="132">
        <v>0.0</v>
      </c>
      <c r="G493" s="132">
        <v>0.0</v>
      </c>
      <c r="H493" s="132">
        <v>0.0</v>
      </c>
      <c r="I493" s="132">
        <v>0.0</v>
      </c>
      <c r="J493" s="132">
        <v>0.0</v>
      </c>
      <c r="K493" s="132">
        <v>0.0</v>
      </c>
      <c r="L493" s="132">
        <v>0.0</v>
      </c>
      <c r="M493" s="132">
        <v>0.0</v>
      </c>
      <c r="N493" s="132">
        <v>0.0</v>
      </c>
      <c r="O493" s="132">
        <v>0.0</v>
      </c>
      <c r="P493" s="132">
        <v>0.0</v>
      </c>
      <c r="Q493" s="132">
        <v>0.0</v>
      </c>
      <c r="R493" s="132">
        <v>0.0</v>
      </c>
      <c r="S493" s="132">
        <v>0.0</v>
      </c>
      <c r="T493" s="132">
        <v>0.0</v>
      </c>
      <c r="U493" s="132">
        <v>0.0</v>
      </c>
      <c r="V493" s="132">
        <v>0.0</v>
      </c>
      <c r="W493" s="132">
        <v>0.0</v>
      </c>
      <c r="Y493" s="132" t="s">
        <v>3995</v>
      </c>
      <c r="Z493" s="132">
        <f t="shared" ref="Z493:AC493" si="982">C493-1000</f>
        <v>-1000</v>
      </c>
      <c r="AA493" s="132">
        <f t="shared" si="982"/>
        <v>0</v>
      </c>
      <c r="AB493" s="132">
        <f t="shared" si="982"/>
        <v>-1000</v>
      </c>
      <c r="AC493" s="132">
        <f t="shared" si="982"/>
        <v>-1000</v>
      </c>
      <c r="AD493" s="132">
        <f t="shared" si="4"/>
        <v>-10000</v>
      </c>
      <c r="AE493" s="132">
        <f t="shared" ref="AE493:AS493" si="983">H493-1000</f>
        <v>-1000</v>
      </c>
      <c r="AF493" s="132">
        <f t="shared" si="983"/>
        <v>-1000</v>
      </c>
      <c r="AG493" s="132">
        <f t="shared" si="983"/>
        <v>-1000</v>
      </c>
      <c r="AH493" s="132">
        <f t="shared" si="983"/>
        <v>-1000</v>
      </c>
      <c r="AI493" s="132">
        <f t="shared" si="983"/>
        <v>-1000</v>
      </c>
      <c r="AJ493" s="132">
        <f t="shared" si="983"/>
        <v>-1000</v>
      </c>
      <c r="AK493" s="132">
        <f t="shared" si="983"/>
        <v>-1000</v>
      </c>
      <c r="AL493" s="132">
        <f t="shared" si="983"/>
        <v>-1000</v>
      </c>
      <c r="AM493" s="132">
        <f t="shared" si="983"/>
        <v>-1000</v>
      </c>
      <c r="AN493" s="132">
        <f t="shared" si="983"/>
        <v>-1000</v>
      </c>
      <c r="AO493" s="132">
        <f t="shared" si="983"/>
        <v>-1000</v>
      </c>
      <c r="AP493" s="132">
        <f t="shared" si="983"/>
        <v>-1000</v>
      </c>
      <c r="AQ493" s="132">
        <f t="shared" si="983"/>
        <v>-1000</v>
      </c>
      <c r="AR493" s="132">
        <f t="shared" si="983"/>
        <v>-1000</v>
      </c>
      <c r="AS493" s="132">
        <f t="shared" si="983"/>
        <v>-1000</v>
      </c>
    </row>
    <row r="494">
      <c r="A494" s="132" t="s">
        <v>3996</v>
      </c>
      <c r="B494" s="132">
        <v>750.0</v>
      </c>
      <c r="C494" s="132">
        <v>0.0</v>
      </c>
      <c r="D494" s="132">
        <v>750.0</v>
      </c>
      <c r="E494" s="132">
        <v>0.0</v>
      </c>
      <c r="F494" s="132">
        <v>0.0</v>
      </c>
      <c r="G494" s="132">
        <v>0.0</v>
      </c>
      <c r="H494" s="132">
        <v>0.0</v>
      </c>
      <c r="I494" s="132">
        <v>0.0</v>
      </c>
      <c r="J494" s="132">
        <v>0.0</v>
      </c>
      <c r="K494" s="132">
        <v>0.0</v>
      </c>
      <c r="L494" s="132">
        <v>0.0</v>
      </c>
      <c r="M494" s="132">
        <v>0.0</v>
      </c>
      <c r="N494" s="132">
        <v>0.0</v>
      </c>
      <c r="O494" s="132">
        <v>0.0</v>
      </c>
      <c r="P494" s="132">
        <v>0.0</v>
      </c>
      <c r="Q494" s="132">
        <v>0.0</v>
      </c>
      <c r="R494" s="132">
        <v>0.0</v>
      </c>
      <c r="S494" s="132">
        <v>0.0</v>
      </c>
      <c r="T494" s="132">
        <v>0.0</v>
      </c>
      <c r="U494" s="132">
        <v>0.0</v>
      </c>
      <c r="V494" s="132">
        <v>0.0</v>
      </c>
      <c r="W494" s="132">
        <v>0.0</v>
      </c>
      <c r="Y494" s="132" t="s">
        <v>3996</v>
      </c>
      <c r="Z494" s="132">
        <f t="shared" ref="Z494:AC494" si="984">C494-1000</f>
        <v>-1000</v>
      </c>
      <c r="AA494" s="132">
        <f t="shared" si="984"/>
        <v>-250</v>
      </c>
      <c r="AB494" s="132">
        <f t="shared" si="984"/>
        <v>-1000</v>
      </c>
      <c r="AC494" s="132">
        <f t="shared" si="984"/>
        <v>-1000</v>
      </c>
      <c r="AD494" s="132">
        <f t="shared" si="4"/>
        <v>-10000</v>
      </c>
      <c r="AE494" s="132">
        <f t="shared" ref="AE494:AS494" si="985">H494-1000</f>
        <v>-1000</v>
      </c>
      <c r="AF494" s="132">
        <f t="shared" si="985"/>
        <v>-1000</v>
      </c>
      <c r="AG494" s="132">
        <f t="shared" si="985"/>
        <v>-1000</v>
      </c>
      <c r="AH494" s="132">
        <f t="shared" si="985"/>
        <v>-1000</v>
      </c>
      <c r="AI494" s="132">
        <f t="shared" si="985"/>
        <v>-1000</v>
      </c>
      <c r="AJ494" s="132">
        <f t="shared" si="985"/>
        <v>-1000</v>
      </c>
      <c r="AK494" s="132">
        <f t="shared" si="985"/>
        <v>-1000</v>
      </c>
      <c r="AL494" s="132">
        <f t="shared" si="985"/>
        <v>-1000</v>
      </c>
      <c r="AM494" s="132">
        <f t="shared" si="985"/>
        <v>-1000</v>
      </c>
      <c r="AN494" s="132">
        <f t="shared" si="985"/>
        <v>-1000</v>
      </c>
      <c r="AO494" s="132">
        <f t="shared" si="985"/>
        <v>-1000</v>
      </c>
      <c r="AP494" s="132">
        <f t="shared" si="985"/>
        <v>-1000</v>
      </c>
      <c r="AQ494" s="132">
        <f t="shared" si="985"/>
        <v>-1000</v>
      </c>
      <c r="AR494" s="132">
        <f t="shared" si="985"/>
        <v>-1000</v>
      </c>
      <c r="AS494" s="132">
        <f t="shared" si="985"/>
        <v>-1000</v>
      </c>
    </row>
    <row r="495">
      <c r="A495" s="132" t="s">
        <v>3997</v>
      </c>
      <c r="B495" s="132">
        <v>1000.0</v>
      </c>
      <c r="C495" s="132">
        <v>0.0</v>
      </c>
      <c r="D495" s="132">
        <v>1000.0</v>
      </c>
      <c r="E495" s="132">
        <v>0.0</v>
      </c>
      <c r="F495" s="132">
        <v>0.0</v>
      </c>
      <c r="G495" s="132">
        <v>0.0</v>
      </c>
      <c r="H495" s="132">
        <v>0.0</v>
      </c>
      <c r="I495" s="132">
        <v>0.0</v>
      </c>
      <c r="J495" s="132">
        <v>0.0</v>
      </c>
      <c r="K495" s="132">
        <v>0.0</v>
      </c>
      <c r="L495" s="132">
        <v>0.0</v>
      </c>
      <c r="M495" s="132">
        <v>0.0</v>
      </c>
      <c r="N495" s="132">
        <v>0.0</v>
      </c>
      <c r="O495" s="132">
        <v>0.0</v>
      </c>
      <c r="P495" s="132">
        <v>0.0</v>
      </c>
      <c r="Q495" s="132">
        <v>0.0</v>
      </c>
      <c r="R495" s="132">
        <v>0.0</v>
      </c>
      <c r="S495" s="132">
        <v>0.0</v>
      </c>
      <c r="T495" s="132">
        <v>0.0</v>
      </c>
      <c r="U495" s="132">
        <v>0.0</v>
      </c>
      <c r="V495" s="132">
        <v>0.0</v>
      </c>
      <c r="W495" s="132">
        <v>0.0</v>
      </c>
      <c r="Y495" s="132" t="s">
        <v>3997</v>
      </c>
      <c r="Z495" s="132">
        <f t="shared" ref="Z495:AC495" si="986">C495-1000</f>
        <v>-1000</v>
      </c>
      <c r="AA495" s="132">
        <f t="shared" si="986"/>
        <v>0</v>
      </c>
      <c r="AB495" s="132">
        <f t="shared" si="986"/>
        <v>-1000</v>
      </c>
      <c r="AC495" s="132">
        <f t="shared" si="986"/>
        <v>-1000</v>
      </c>
      <c r="AD495" s="132">
        <f t="shared" si="4"/>
        <v>-10000</v>
      </c>
      <c r="AE495" s="132">
        <f t="shared" ref="AE495:AS495" si="987">H495-1000</f>
        <v>-1000</v>
      </c>
      <c r="AF495" s="132">
        <f t="shared" si="987"/>
        <v>-1000</v>
      </c>
      <c r="AG495" s="132">
        <f t="shared" si="987"/>
        <v>-1000</v>
      </c>
      <c r="AH495" s="132">
        <f t="shared" si="987"/>
        <v>-1000</v>
      </c>
      <c r="AI495" s="132">
        <f t="shared" si="987"/>
        <v>-1000</v>
      </c>
      <c r="AJ495" s="132">
        <f t="shared" si="987"/>
        <v>-1000</v>
      </c>
      <c r="AK495" s="132">
        <f t="shared" si="987"/>
        <v>-1000</v>
      </c>
      <c r="AL495" s="132">
        <f t="shared" si="987"/>
        <v>-1000</v>
      </c>
      <c r="AM495" s="132">
        <f t="shared" si="987"/>
        <v>-1000</v>
      </c>
      <c r="AN495" s="132">
        <f t="shared" si="987"/>
        <v>-1000</v>
      </c>
      <c r="AO495" s="132">
        <f t="shared" si="987"/>
        <v>-1000</v>
      </c>
      <c r="AP495" s="132">
        <f t="shared" si="987"/>
        <v>-1000</v>
      </c>
      <c r="AQ495" s="132">
        <f t="shared" si="987"/>
        <v>-1000</v>
      </c>
      <c r="AR495" s="132">
        <f t="shared" si="987"/>
        <v>-1000</v>
      </c>
      <c r="AS495" s="132">
        <f t="shared" si="987"/>
        <v>-1000</v>
      </c>
    </row>
    <row r="496">
      <c r="A496" s="132" t="s">
        <v>3998</v>
      </c>
      <c r="B496" s="132">
        <v>1000.0</v>
      </c>
      <c r="C496" s="132">
        <v>0.0</v>
      </c>
      <c r="D496" s="132">
        <v>1000.0</v>
      </c>
      <c r="E496" s="132">
        <v>0.0</v>
      </c>
      <c r="F496" s="132">
        <v>0.0</v>
      </c>
      <c r="G496" s="132">
        <v>0.0</v>
      </c>
      <c r="H496" s="132">
        <v>0.0</v>
      </c>
      <c r="I496" s="132">
        <v>0.0</v>
      </c>
      <c r="J496" s="132">
        <v>0.0</v>
      </c>
      <c r="K496" s="132">
        <v>0.0</v>
      </c>
      <c r="L496" s="132">
        <v>0.0</v>
      </c>
      <c r="M496" s="132">
        <v>0.0</v>
      </c>
      <c r="N496" s="132">
        <v>0.0</v>
      </c>
      <c r="O496" s="132">
        <v>0.0</v>
      </c>
      <c r="P496" s="132">
        <v>0.0</v>
      </c>
      <c r="Q496" s="132">
        <v>0.0</v>
      </c>
      <c r="R496" s="132">
        <v>0.0</v>
      </c>
      <c r="S496" s="132">
        <v>0.0</v>
      </c>
      <c r="T496" s="132">
        <v>0.0</v>
      </c>
      <c r="U496" s="132">
        <v>0.0</v>
      </c>
      <c r="V496" s="132">
        <v>0.0</v>
      </c>
      <c r="W496" s="132">
        <v>0.0</v>
      </c>
      <c r="Y496" s="132" t="s">
        <v>3998</v>
      </c>
      <c r="Z496" s="132">
        <f t="shared" ref="Z496:AC496" si="988">C496-1000</f>
        <v>-1000</v>
      </c>
      <c r="AA496" s="132">
        <f t="shared" si="988"/>
        <v>0</v>
      </c>
      <c r="AB496" s="132">
        <f t="shared" si="988"/>
        <v>-1000</v>
      </c>
      <c r="AC496" s="132">
        <f t="shared" si="988"/>
        <v>-1000</v>
      </c>
      <c r="AD496" s="132">
        <f t="shared" si="4"/>
        <v>-10000</v>
      </c>
      <c r="AE496" s="132">
        <f t="shared" ref="AE496:AS496" si="989">H496-1000</f>
        <v>-1000</v>
      </c>
      <c r="AF496" s="132">
        <f t="shared" si="989"/>
        <v>-1000</v>
      </c>
      <c r="AG496" s="132">
        <f t="shared" si="989"/>
        <v>-1000</v>
      </c>
      <c r="AH496" s="132">
        <f t="shared" si="989"/>
        <v>-1000</v>
      </c>
      <c r="AI496" s="132">
        <f t="shared" si="989"/>
        <v>-1000</v>
      </c>
      <c r="AJ496" s="132">
        <f t="shared" si="989"/>
        <v>-1000</v>
      </c>
      <c r="AK496" s="132">
        <f t="shared" si="989"/>
        <v>-1000</v>
      </c>
      <c r="AL496" s="132">
        <f t="shared" si="989"/>
        <v>-1000</v>
      </c>
      <c r="AM496" s="132">
        <f t="shared" si="989"/>
        <v>-1000</v>
      </c>
      <c r="AN496" s="132">
        <f t="shared" si="989"/>
        <v>-1000</v>
      </c>
      <c r="AO496" s="132">
        <f t="shared" si="989"/>
        <v>-1000</v>
      </c>
      <c r="AP496" s="132">
        <f t="shared" si="989"/>
        <v>-1000</v>
      </c>
      <c r="AQ496" s="132">
        <f t="shared" si="989"/>
        <v>-1000</v>
      </c>
      <c r="AR496" s="132">
        <f t="shared" si="989"/>
        <v>-1000</v>
      </c>
      <c r="AS496" s="132">
        <f t="shared" si="989"/>
        <v>-1000</v>
      </c>
    </row>
    <row r="497">
      <c r="A497" s="132" t="s">
        <v>3999</v>
      </c>
      <c r="B497" s="132">
        <v>100.0</v>
      </c>
      <c r="C497" s="132">
        <v>0.0</v>
      </c>
      <c r="D497" s="132">
        <v>100.0</v>
      </c>
      <c r="E497" s="132">
        <v>0.0</v>
      </c>
      <c r="F497" s="132">
        <v>0.0</v>
      </c>
      <c r="G497" s="132">
        <v>0.0</v>
      </c>
      <c r="H497" s="132">
        <v>0.0</v>
      </c>
      <c r="I497" s="132">
        <v>0.0</v>
      </c>
      <c r="J497" s="132">
        <v>0.0</v>
      </c>
      <c r="K497" s="132">
        <v>0.0</v>
      </c>
      <c r="L497" s="132">
        <v>0.0</v>
      </c>
      <c r="M497" s="132">
        <v>0.0</v>
      </c>
      <c r="N497" s="132">
        <v>0.0</v>
      </c>
      <c r="O497" s="132">
        <v>0.0</v>
      </c>
      <c r="P497" s="132">
        <v>0.0</v>
      </c>
      <c r="Q497" s="132">
        <v>0.0</v>
      </c>
      <c r="R497" s="132">
        <v>0.0</v>
      </c>
      <c r="S497" s="132">
        <v>0.0</v>
      </c>
      <c r="T497" s="132">
        <v>0.0</v>
      </c>
      <c r="U497" s="132">
        <v>0.0</v>
      </c>
      <c r="V497" s="132">
        <v>0.0</v>
      </c>
      <c r="W497" s="132">
        <v>0.0</v>
      </c>
      <c r="Y497" s="132" t="s">
        <v>3999</v>
      </c>
      <c r="Z497" s="132">
        <f t="shared" ref="Z497:AC497" si="990">C497-1000</f>
        <v>-1000</v>
      </c>
      <c r="AA497" s="132">
        <f t="shared" si="990"/>
        <v>-900</v>
      </c>
      <c r="AB497" s="132">
        <f t="shared" si="990"/>
        <v>-1000</v>
      </c>
      <c r="AC497" s="132">
        <f t="shared" si="990"/>
        <v>-1000</v>
      </c>
      <c r="AD497" s="132">
        <f t="shared" si="4"/>
        <v>-10000</v>
      </c>
      <c r="AE497" s="132">
        <f t="shared" ref="AE497:AS497" si="991">H497-1000</f>
        <v>-1000</v>
      </c>
      <c r="AF497" s="132">
        <f t="shared" si="991"/>
        <v>-1000</v>
      </c>
      <c r="AG497" s="132">
        <f t="shared" si="991"/>
        <v>-1000</v>
      </c>
      <c r="AH497" s="132">
        <f t="shared" si="991"/>
        <v>-1000</v>
      </c>
      <c r="AI497" s="132">
        <f t="shared" si="991"/>
        <v>-1000</v>
      </c>
      <c r="AJ497" s="132">
        <f t="shared" si="991"/>
        <v>-1000</v>
      </c>
      <c r="AK497" s="132">
        <f t="shared" si="991"/>
        <v>-1000</v>
      </c>
      <c r="AL497" s="132">
        <f t="shared" si="991"/>
        <v>-1000</v>
      </c>
      <c r="AM497" s="132">
        <f t="shared" si="991"/>
        <v>-1000</v>
      </c>
      <c r="AN497" s="132">
        <f t="shared" si="991"/>
        <v>-1000</v>
      </c>
      <c r="AO497" s="132">
        <f t="shared" si="991"/>
        <v>-1000</v>
      </c>
      <c r="AP497" s="132">
        <f t="shared" si="991"/>
        <v>-1000</v>
      </c>
      <c r="AQ497" s="132">
        <f t="shared" si="991"/>
        <v>-1000</v>
      </c>
      <c r="AR497" s="132">
        <f t="shared" si="991"/>
        <v>-1000</v>
      </c>
      <c r="AS497" s="132">
        <f t="shared" si="991"/>
        <v>-1000</v>
      </c>
    </row>
    <row r="498">
      <c r="A498" s="132" t="s">
        <v>4000</v>
      </c>
      <c r="B498" s="132">
        <v>300.0</v>
      </c>
      <c r="C498" s="132">
        <v>0.0</v>
      </c>
      <c r="D498" s="132">
        <v>0.0</v>
      </c>
      <c r="E498" s="132">
        <v>0.0</v>
      </c>
      <c r="F498" s="132">
        <v>0.0</v>
      </c>
      <c r="G498" s="132">
        <v>0.0</v>
      </c>
      <c r="H498" s="132">
        <v>300.0</v>
      </c>
      <c r="I498" s="132">
        <v>0.0</v>
      </c>
      <c r="J498" s="132">
        <v>0.0</v>
      </c>
      <c r="K498" s="132">
        <v>0.0</v>
      </c>
      <c r="L498" s="132">
        <v>0.0</v>
      </c>
      <c r="M498" s="132">
        <v>0.0</v>
      </c>
      <c r="N498" s="132">
        <v>0.0</v>
      </c>
      <c r="O498" s="132">
        <v>0.0</v>
      </c>
      <c r="P498" s="132">
        <v>0.0</v>
      </c>
      <c r="Q498" s="132">
        <v>0.0</v>
      </c>
      <c r="R498" s="132">
        <v>0.0</v>
      </c>
      <c r="S498" s="132">
        <v>0.0</v>
      </c>
      <c r="T498" s="132">
        <v>0.0</v>
      </c>
      <c r="U498" s="132">
        <v>0.0</v>
      </c>
      <c r="V498" s="132">
        <v>0.0</v>
      </c>
      <c r="W498" s="132">
        <v>0.0</v>
      </c>
      <c r="Y498" s="132" t="s">
        <v>4000</v>
      </c>
      <c r="Z498" s="132">
        <f t="shared" ref="Z498:AC498" si="992">C498-1000</f>
        <v>-1000</v>
      </c>
      <c r="AA498" s="132">
        <f t="shared" si="992"/>
        <v>-1000</v>
      </c>
      <c r="AB498" s="132">
        <f t="shared" si="992"/>
        <v>-1000</v>
      </c>
      <c r="AC498" s="132">
        <f t="shared" si="992"/>
        <v>-1000</v>
      </c>
      <c r="AD498" s="132">
        <f t="shared" si="4"/>
        <v>-10000</v>
      </c>
      <c r="AE498" s="132">
        <f t="shared" ref="AE498:AS498" si="993">H498-1000</f>
        <v>-700</v>
      </c>
      <c r="AF498" s="132">
        <f t="shared" si="993"/>
        <v>-1000</v>
      </c>
      <c r="AG498" s="132">
        <f t="shared" si="993"/>
        <v>-1000</v>
      </c>
      <c r="AH498" s="132">
        <f t="shared" si="993"/>
        <v>-1000</v>
      </c>
      <c r="AI498" s="132">
        <f t="shared" si="993"/>
        <v>-1000</v>
      </c>
      <c r="AJ498" s="132">
        <f t="shared" si="993"/>
        <v>-1000</v>
      </c>
      <c r="AK498" s="132">
        <f t="shared" si="993"/>
        <v>-1000</v>
      </c>
      <c r="AL498" s="132">
        <f t="shared" si="993"/>
        <v>-1000</v>
      </c>
      <c r="AM498" s="132">
        <f t="shared" si="993"/>
        <v>-1000</v>
      </c>
      <c r="AN498" s="132">
        <f t="shared" si="993"/>
        <v>-1000</v>
      </c>
      <c r="AO498" s="132">
        <f t="shared" si="993"/>
        <v>-1000</v>
      </c>
      <c r="AP498" s="132">
        <f t="shared" si="993"/>
        <v>-1000</v>
      </c>
      <c r="AQ498" s="132">
        <f t="shared" si="993"/>
        <v>-1000</v>
      </c>
      <c r="AR498" s="132">
        <f t="shared" si="993"/>
        <v>-1000</v>
      </c>
      <c r="AS498" s="132">
        <f t="shared" si="993"/>
        <v>-1000</v>
      </c>
    </row>
    <row r="499">
      <c r="A499" s="132" t="s">
        <v>4001</v>
      </c>
      <c r="B499" s="132">
        <v>1000.0</v>
      </c>
      <c r="C499" s="132">
        <v>0.0</v>
      </c>
      <c r="D499" s="132">
        <v>0.0</v>
      </c>
      <c r="E499" s="132">
        <v>0.0</v>
      </c>
      <c r="F499" s="132">
        <v>0.0</v>
      </c>
      <c r="G499" s="132">
        <v>0.0</v>
      </c>
      <c r="H499" s="132">
        <v>1000.0</v>
      </c>
      <c r="I499" s="132">
        <v>0.0</v>
      </c>
      <c r="J499" s="132">
        <v>0.0</v>
      </c>
      <c r="K499" s="132">
        <v>0.0</v>
      </c>
      <c r="L499" s="132">
        <v>0.0</v>
      </c>
      <c r="M499" s="132">
        <v>0.0</v>
      </c>
      <c r="N499" s="132">
        <v>0.0</v>
      </c>
      <c r="O499" s="132">
        <v>0.0</v>
      </c>
      <c r="P499" s="132">
        <v>0.0</v>
      </c>
      <c r="Q499" s="132">
        <v>0.0</v>
      </c>
      <c r="R499" s="132">
        <v>0.0</v>
      </c>
      <c r="S499" s="132">
        <v>0.0</v>
      </c>
      <c r="T499" s="132">
        <v>0.0</v>
      </c>
      <c r="U499" s="132">
        <v>0.0</v>
      </c>
      <c r="V499" s="132">
        <v>0.0</v>
      </c>
      <c r="W499" s="132">
        <v>0.0</v>
      </c>
      <c r="Y499" s="132" t="s">
        <v>4001</v>
      </c>
      <c r="Z499" s="132">
        <f t="shared" ref="Z499:AC499" si="994">C499-1000</f>
        <v>-1000</v>
      </c>
      <c r="AA499" s="132">
        <f t="shared" si="994"/>
        <v>-1000</v>
      </c>
      <c r="AB499" s="132">
        <f t="shared" si="994"/>
        <v>-1000</v>
      </c>
      <c r="AC499" s="132">
        <f t="shared" si="994"/>
        <v>-1000</v>
      </c>
      <c r="AD499" s="132">
        <f t="shared" si="4"/>
        <v>-10000</v>
      </c>
      <c r="AE499" s="132">
        <f t="shared" ref="AE499:AS499" si="995">H499-1000</f>
        <v>0</v>
      </c>
      <c r="AF499" s="132">
        <f t="shared" si="995"/>
        <v>-1000</v>
      </c>
      <c r="AG499" s="132">
        <f t="shared" si="995"/>
        <v>-1000</v>
      </c>
      <c r="AH499" s="132">
        <f t="shared" si="995"/>
        <v>-1000</v>
      </c>
      <c r="AI499" s="132">
        <f t="shared" si="995"/>
        <v>-1000</v>
      </c>
      <c r="AJ499" s="132">
        <f t="shared" si="995"/>
        <v>-1000</v>
      </c>
      <c r="AK499" s="132">
        <f t="shared" si="995"/>
        <v>-1000</v>
      </c>
      <c r="AL499" s="132">
        <f t="shared" si="995"/>
        <v>-1000</v>
      </c>
      <c r="AM499" s="132">
        <f t="shared" si="995"/>
        <v>-1000</v>
      </c>
      <c r="AN499" s="132">
        <f t="shared" si="995"/>
        <v>-1000</v>
      </c>
      <c r="AO499" s="132">
        <f t="shared" si="995"/>
        <v>-1000</v>
      </c>
      <c r="AP499" s="132">
        <f t="shared" si="995"/>
        <v>-1000</v>
      </c>
      <c r="AQ499" s="132">
        <f t="shared" si="995"/>
        <v>-1000</v>
      </c>
      <c r="AR499" s="132">
        <f t="shared" si="995"/>
        <v>-1000</v>
      </c>
      <c r="AS499" s="132">
        <f t="shared" si="995"/>
        <v>-1000</v>
      </c>
    </row>
    <row r="500">
      <c r="A500" s="132" t="s">
        <v>4002</v>
      </c>
      <c r="B500" s="132">
        <v>500.0</v>
      </c>
      <c r="C500" s="132">
        <v>0.0</v>
      </c>
      <c r="D500" s="132">
        <v>0.0</v>
      </c>
      <c r="E500" s="132">
        <v>0.0</v>
      </c>
      <c r="F500" s="132">
        <v>0.0</v>
      </c>
      <c r="G500" s="132">
        <v>0.0</v>
      </c>
      <c r="H500" s="132">
        <v>500.0</v>
      </c>
      <c r="I500" s="132">
        <v>0.0</v>
      </c>
      <c r="J500" s="132">
        <v>0.0</v>
      </c>
      <c r="K500" s="132">
        <v>0.0</v>
      </c>
      <c r="L500" s="132">
        <v>0.0</v>
      </c>
      <c r="M500" s="132">
        <v>0.0</v>
      </c>
      <c r="N500" s="132">
        <v>0.0</v>
      </c>
      <c r="O500" s="132">
        <v>0.0</v>
      </c>
      <c r="P500" s="132">
        <v>0.0</v>
      </c>
      <c r="Q500" s="132">
        <v>0.0</v>
      </c>
      <c r="R500" s="132">
        <v>0.0</v>
      </c>
      <c r="S500" s="132">
        <v>0.0</v>
      </c>
      <c r="T500" s="132">
        <v>0.0</v>
      </c>
      <c r="U500" s="132">
        <v>0.0</v>
      </c>
      <c r="V500" s="132">
        <v>0.0</v>
      </c>
      <c r="W500" s="132">
        <v>0.0</v>
      </c>
      <c r="Y500" s="132" t="s">
        <v>4002</v>
      </c>
      <c r="Z500" s="132">
        <f t="shared" ref="Z500:AC500" si="996">C500-1000</f>
        <v>-1000</v>
      </c>
      <c r="AA500" s="132">
        <f t="shared" si="996"/>
        <v>-1000</v>
      </c>
      <c r="AB500" s="132">
        <f t="shared" si="996"/>
        <v>-1000</v>
      </c>
      <c r="AC500" s="132">
        <f t="shared" si="996"/>
        <v>-1000</v>
      </c>
      <c r="AD500" s="132">
        <f t="shared" si="4"/>
        <v>-10000</v>
      </c>
      <c r="AE500" s="132">
        <f t="shared" ref="AE500:AS500" si="997">H500-1000</f>
        <v>-500</v>
      </c>
      <c r="AF500" s="132">
        <f t="shared" si="997"/>
        <v>-1000</v>
      </c>
      <c r="AG500" s="132">
        <f t="shared" si="997"/>
        <v>-1000</v>
      </c>
      <c r="AH500" s="132">
        <f t="shared" si="997"/>
        <v>-1000</v>
      </c>
      <c r="AI500" s="132">
        <f t="shared" si="997"/>
        <v>-1000</v>
      </c>
      <c r="AJ500" s="132">
        <f t="shared" si="997"/>
        <v>-1000</v>
      </c>
      <c r="AK500" s="132">
        <f t="shared" si="997"/>
        <v>-1000</v>
      </c>
      <c r="AL500" s="132">
        <f t="shared" si="997"/>
        <v>-1000</v>
      </c>
      <c r="AM500" s="132">
        <f t="shared" si="997"/>
        <v>-1000</v>
      </c>
      <c r="AN500" s="132">
        <f t="shared" si="997"/>
        <v>-1000</v>
      </c>
      <c r="AO500" s="132">
        <f t="shared" si="997"/>
        <v>-1000</v>
      </c>
      <c r="AP500" s="132">
        <f t="shared" si="997"/>
        <v>-1000</v>
      </c>
      <c r="AQ500" s="132">
        <f t="shared" si="997"/>
        <v>-1000</v>
      </c>
      <c r="AR500" s="132">
        <f t="shared" si="997"/>
        <v>-1000</v>
      </c>
      <c r="AS500" s="132">
        <f t="shared" si="997"/>
        <v>-1000</v>
      </c>
    </row>
    <row r="501">
      <c r="A501" s="132" t="s">
        <v>4003</v>
      </c>
      <c r="B501" s="132">
        <v>400.0</v>
      </c>
      <c r="C501" s="132">
        <v>0.0</v>
      </c>
      <c r="D501" s="132">
        <v>0.0</v>
      </c>
      <c r="E501" s="132">
        <v>0.0</v>
      </c>
      <c r="F501" s="132">
        <v>0.0</v>
      </c>
      <c r="G501" s="132">
        <v>0.0</v>
      </c>
      <c r="H501" s="132">
        <v>400.0</v>
      </c>
      <c r="I501" s="132">
        <v>0.0</v>
      </c>
      <c r="J501" s="132">
        <v>0.0</v>
      </c>
      <c r="K501" s="132">
        <v>0.0</v>
      </c>
      <c r="L501" s="132">
        <v>0.0</v>
      </c>
      <c r="M501" s="132">
        <v>0.0</v>
      </c>
      <c r="N501" s="132">
        <v>0.0</v>
      </c>
      <c r="O501" s="132">
        <v>0.0</v>
      </c>
      <c r="P501" s="132">
        <v>0.0</v>
      </c>
      <c r="Q501" s="132">
        <v>0.0</v>
      </c>
      <c r="R501" s="132">
        <v>0.0</v>
      </c>
      <c r="S501" s="132">
        <v>0.0</v>
      </c>
      <c r="T501" s="132">
        <v>0.0</v>
      </c>
      <c r="U501" s="132">
        <v>0.0</v>
      </c>
      <c r="V501" s="132">
        <v>0.0</v>
      </c>
      <c r="W501" s="132">
        <v>0.0</v>
      </c>
      <c r="Y501" s="132" t="s">
        <v>4003</v>
      </c>
      <c r="Z501" s="132">
        <f t="shared" ref="Z501:AC501" si="998">C501-1000</f>
        <v>-1000</v>
      </c>
      <c r="AA501" s="132">
        <f t="shared" si="998"/>
        <v>-1000</v>
      </c>
      <c r="AB501" s="132">
        <f t="shared" si="998"/>
        <v>-1000</v>
      </c>
      <c r="AC501" s="132">
        <f t="shared" si="998"/>
        <v>-1000</v>
      </c>
      <c r="AD501" s="132">
        <f t="shared" si="4"/>
        <v>-10000</v>
      </c>
      <c r="AE501" s="132">
        <f t="shared" ref="AE501:AS501" si="999">H501-1000</f>
        <v>-600</v>
      </c>
      <c r="AF501" s="132">
        <f t="shared" si="999"/>
        <v>-1000</v>
      </c>
      <c r="AG501" s="132">
        <f t="shared" si="999"/>
        <v>-1000</v>
      </c>
      <c r="AH501" s="132">
        <f t="shared" si="999"/>
        <v>-1000</v>
      </c>
      <c r="AI501" s="132">
        <f t="shared" si="999"/>
        <v>-1000</v>
      </c>
      <c r="AJ501" s="132">
        <f t="shared" si="999"/>
        <v>-1000</v>
      </c>
      <c r="AK501" s="132">
        <f t="shared" si="999"/>
        <v>-1000</v>
      </c>
      <c r="AL501" s="132">
        <f t="shared" si="999"/>
        <v>-1000</v>
      </c>
      <c r="AM501" s="132">
        <f t="shared" si="999"/>
        <v>-1000</v>
      </c>
      <c r="AN501" s="132">
        <f t="shared" si="999"/>
        <v>-1000</v>
      </c>
      <c r="AO501" s="132">
        <f t="shared" si="999"/>
        <v>-1000</v>
      </c>
      <c r="AP501" s="132">
        <f t="shared" si="999"/>
        <v>-1000</v>
      </c>
      <c r="AQ501" s="132">
        <f t="shared" si="999"/>
        <v>-1000</v>
      </c>
      <c r="AR501" s="132">
        <f t="shared" si="999"/>
        <v>-1000</v>
      </c>
      <c r="AS501" s="132">
        <f t="shared" si="999"/>
        <v>-1000</v>
      </c>
    </row>
    <row r="502">
      <c r="A502" s="132" t="s">
        <v>4004</v>
      </c>
      <c r="B502" s="132">
        <v>100.0</v>
      </c>
      <c r="C502" s="132">
        <v>0.0</v>
      </c>
      <c r="D502" s="132">
        <v>0.0</v>
      </c>
      <c r="E502" s="132">
        <v>0.0</v>
      </c>
      <c r="F502" s="132">
        <v>0.0</v>
      </c>
      <c r="G502" s="132">
        <v>0.0</v>
      </c>
      <c r="H502" s="132">
        <v>100.0</v>
      </c>
      <c r="I502" s="132">
        <v>0.0</v>
      </c>
      <c r="J502" s="132">
        <v>0.0</v>
      </c>
      <c r="K502" s="132">
        <v>0.0</v>
      </c>
      <c r="L502" s="132">
        <v>0.0</v>
      </c>
      <c r="M502" s="132">
        <v>0.0</v>
      </c>
      <c r="N502" s="132">
        <v>0.0</v>
      </c>
      <c r="O502" s="132">
        <v>0.0</v>
      </c>
      <c r="P502" s="132">
        <v>0.0</v>
      </c>
      <c r="Q502" s="132">
        <v>0.0</v>
      </c>
      <c r="R502" s="132">
        <v>0.0</v>
      </c>
      <c r="S502" s="132">
        <v>0.0</v>
      </c>
      <c r="T502" s="132">
        <v>0.0</v>
      </c>
      <c r="U502" s="132">
        <v>0.0</v>
      </c>
      <c r="V502" s="132">
        <v>0.0</v>
      </c>
      <c r="W502" s="132">
        <v>0.0</v>
      </c>
      <c r="Y502" s="132" t="s">
        <v>4004</v>
      </c>
      <c r="Z502" s="132">
        <f t="shared" ref="Z502:AC502" si="1000">C502-1000</f>
        <v>-1000</v>
      </c>
      <c r="AA502" s="132">
        <f t="shared" si="1000"/>
        <v>-1000</v>
      </c>
      <c r="AB502" s="132">
        <f t="shared" si="1000"/>
        <v>-1000</v>
      </c>
      <c r="AC502" s="132">
        <f t="shared" si="1000"/>
        <v>-1000</v>
      </c>
      <c r="AD502" s="132">
        <f t="shared" si="4"/>
        <v>-10000</v>
      </c>
      <c r="AE502" s="132">
        <f t="shared" ref="AE502:AS502" si="1001">H502-1000</f>
        <v>-900</v>
      </c>
      <c r="AF502" s="132">
        <f t="shared" si="1001"/>
        <v>-1000</v>
      </c>
      <c r="AG502" s="132">
        <f t="shared" si="1001"/>
        <v>-1000</v>
      </c>
      <c r="AH502" s="132">
        <f t="shared" si="1001"/>
        <v>-1000</v>
      </c>
      <c r="AI502" s="132">
        <f t="shared" si="1001"/>
        <v>-1000</v>
      </c>
      <c r="AJ502" s="132">
        <f t="shared" si="1001"/>
        <v>-1000</v>
      </c>
      <c r="AK502" s="132">
        <f t="shared" si="1001"/>
        <v>-1000</v>
      </c>
      <c r="AL502" s="132">
        <f t="shared" si="1001"/>
        <v>-1000</v>
      </c>
      <c r="AM502" s="132">
        <f t="shared" si="1001"/>
        <v>-1000</v>
      </c>
      <c r="AN502" s="132">
        <f t="shared" si="1001"/>
        <v>-1000</v>
      </c>
      <c r="AO502" s="132">
        <f t="shared" si="1001"/>
        <v>-1000</v>
      </c>
      <c r="AP502" s="132">
        <f t="shared" si="1001"/>
        <v>-1000</v>
      </c>
      <c r="AQ502" s="132">
        <f t="shared" si="1001"/>
        <v>-1000</v>
      </c>
      <c r="AR502" s="132">
        <f t="shared" si="1001"/>
        <v>-1000</v>
      </c>
      <c r="AS502" s="132">
        <f t="shared" si="1001"/>
        <v>-1000</v>
      </c>
    </row>
    <row r="503">
      <c r="A503" s="132" t="s">
        <v>4005</v>
      </c>
      <c r="B503" s="132">
        <v>5000.0</v>
      </c>
      <c r="C503" s="132">
        <v>0.0</v>
      </c>
      <c r="D503" s="132">
        <v>0.0</v>
      </c>
      <c r="E503" s="132">
        <v>0.0</v>
      </c>
      <c r="F503" s="132">
        <v>0.0</v>
      </c>
      <c r="G503" s="132">
        <v>5000.0</v>
      </c>
      <c r="H503" s="132">
        <v>0.0</v>
      </c>
      <c r="I503" s="132">
        <v>0.0</v>
      </c>
      <c r="J503" s="132">
        <v>0.0</v>
      </c>
      <c r="K503" s="132">
        <v>0.0</v>
      </c>
      <c r="L503" s="132">
        <v>0.0</v>
      </c>
      <c r="M503" s="132">
        <v>0.0</v>
      </c>
      <c r="N503" s="132">
        <v>0.0</v>
      </c>
      <c r="O503" s="132">
        <v>0.0</v>
      </c>
      <c r="P503" s="132">
        <v>0.0</v>
      </c>
      <c r="Q503" s="132">
        <v>0.0</v>
      </c>
      <c r="R503" s="132">
        <v>0.0</v>
      </c>
      <c r="S503" s="132">
        <v>0.0</v>
      </c>
      <c r="T503" s="132">
        <v>0.0</v>
      </c>
      <c r="U503" s="132">
        <v>0.0</v>
      </c>
      <c r="V503" s="132">
        <v>0.0</v>
      </c>
      <c r="W503" s="132">
        <v>0.0</v>
      </c>
      <c r="Y503" s="132" t="s">
        <v>4005</v>
      </c>
      <c r="Z503" s="132">
        <f t="shared" ref="Z503:AC503" si="1002">C503-1000</f>
        <v>-1000</v>
      </c>
      <c r="AA503" s="132">
        <f t="shared" si="1002"/>
        <v>-1000</v>
      </c>
      <c r="AB503" s="132">
        <f t="shared" si="1002"/>
        <v>-1000</v>
      </c>
      <c r="AC503" s="132">
        <f t="shared" si="1002"/>
        <v>-1000</v>
      </c>
      <c r="AD503" s="132">
        <f t="shared" si="4"/>
        <v>-5000</v>
      </c>
      <c r="AE503" s="132">
        <f t="shared" ref="AE503:AS503" si="1003">H503-1000</f>
        <v>-1000</v>
      </c>
      <c r="AF503" s="132">
        <f t="shared" si="1003"/>
        <v>-1000</v>
      </c>
      <c r="AG503" s="132">
        <f t="shared" si="1003"/>
        <v>-1000</v>
      </c>
      <c r="AH503" s="132">
        <f t="shared" si="1003"/>
        <v>-1000</v>
      </c>
      <c r="AI503" s="132">
        <f t="shared" si="1003"/>
        <v>-1000</v>
      </c>
      <c r="AJ503" s="132">
        <f t="shared" si="1003"/>
        <v>-1000</v>
      </c>
      <c r="AK503" s="132">
        <f t="shared" si="1003"/>
        <v>-1000</v>
      </c>
      <c r="AL503" s="132">
        <f t="shared" si="1003"/>
        <v>-1000</v>
      </c>
      <c r="AM503" s="132">
        <f t="shared" si="1003"/>
        <v>-1000</v>
      </c>
      <c r="AN503" s="132">
        <f t="shared" si="1003"/>
        <v>-1000</v>
      </c>
      <c r="AO503" s="132">
        <f t="shared" si="1003"/>
        <v>-1000</v>
      </c>
      <c r="AP503" s="132">
        <f t="shared" si="1003"/>
        <v>-1000</v>
      </c>
      <c r="AQ503" s="132">
        <f t="shared" si="1003"/>
        <v>-1000</v>
      </c>
      <c r="AR503" s="132">
        <f t="shared" si="1003"/>
        <v>-1000</v>
      </c>
      <c r="AS503" s="132">
        <f t="shared" si="1003"/>
        <v>-1000</v>
      </c>
    </row>
    <row r="504">
      <c r="A504" s="132" t="s">
        <v>4006</v>
      </c>
      <c r="B504" s="132">
        <v>1500.0</v>
      </c>
      <c r="C504" s="132">
        <v>0.0</v>
      </c>
      <c r="D504" s="132">
        <v>0.0</v>
      </c>
      <c r="E504" s="132">
        <v>0.0</v>
      </c>
      <c r="F504" s="132">
        <v>1000.0</v>
      </c>
      <c r="G504" s="132">
        <v>500.0</v>
      </c>
      <c r="H504" s="132">
        <v>0.0</v>
      </c>
      <c r="I504" s="132">
        <v>0.0</v>
      </c>
      <c r="J504" s="132">
        <v>0.0</v>
      </c>
      <c r="K504" s="132">
        <v>0.0</v>
      </c>
      <c r="L504" s="132">
        <v>0.0</v>
      </c>
      <c r="M504" s="132">
        <v>0.0</v>
      </c>
      <c r="N504" s="132">
        <v>0.0</v>
      </c>
      <c r="O504" s="132">
        <v>0.0</v>
      </c>
      <c r="P504" s="132">
        <v>0.0</v>
      </c>
      <c r="Q504" s="132">
        <v>0.0</v>
      </c>
      <c r="R504" s="132">
        <v>0.0</v>
      </c>
      <c r="S504" s="132">
        <v>0.0</v>
      </c>
      <c r="T504" s="132">
        <v>0.0</v>
      </c>
      <c r="U504" s="132">
        <v>0.0</v>
      </c>
      <c r="V504" s="132">
        <v>0.0</v>
      </c>
      <c r="W504" s="132">
        <v>1.0</v>
      </c>
      <c r="Y504" s="132" t="s">
        <v>4006</v>
      </c>
      <c r="Z504" s="132">
        <f t="shared" ref="Z504:AC504" si="1004">C504-1000</f>
        <v>-1000</v>
      </c>
      <c r="AA504" s="132">
        <f t="shared" si="1004"/>
        <v>-1000</v>
      </c>
      <c r="AB504" s="132">
        <f t="shared" si="1004"/>
        <v>-1000</v>
      </c>
      <c r="AC504" s="132">
        <f t="shared" si="1004"/>
        <v>0</v>
      </c>
      <c r="AD504" s="132">
        <f t="shared" si="4"/>
        <v>-9500</v>
      </c>
      <c r="AE504" s="132">
        <f t="shared" ref="AE504:AS504" si="1005">H504-1000</f>
        <v>-1000</v>
      </c>
      <c r="AF504" s="132">
        <f t="shared" si="1005"/>
        <v>-1000</v>
      </c>
      <c r="AG504" s="132">
        <f t="shared" si="1005"/>
        <v>-1000</v>
      </c>
      <c r="AH504" s="132">
        <f t="shared" si="1005"/>
        <v>-1000</v>
      </c>
      <c r="AI504" s="132">
        <f t="shared" si="1005"/>
        <v>-1000</v>
      </c>
      <c r="AJ504" s="132">
        <f t="shared" si="1005"/>
        <v>-1000</v>
      </c>
      <c r="AK504" s="132">
        <f t="shared" si="1005"/>
        <v>-1000</v>
      </c>
      <c r="AL504" s="132">
        <f t="shared" si="1005"/>
        <v>-1000</v>
      </c>
      <c r="AM504" s="132">
        <f t="shared" si="1005"/>
        <v>-1000</v>
      </c>
      <c r="AN504" s="132">
        <f t="shared" si="1005"/>
        <v>-1000</v>
      </c>
      <c r="AO504" s="132">
        <f t="shared" si="1005"/>
        <v>-1000</v>
      </c>
      <c r="AP504" s="132">
        <f t="shared" si="1005"/>
        <v>-1000</v>
      </c>
      <c r="AQ504" s="132">
        <f t="shared" si="1005"/>
        <v>-1000</v>
      </c>
      <c r="AR504" s="132">
        <f t="shared" si="1005"/>
        <v>-1000</v>
      </c>
      <c r="AS504" s="132">
        <f t="shared" si="1005"/>
        <v>-1000</v>
      </c>
    </row>
    <row r="505">
      <c r="A505" s="132" t="s">
        <v>4007</v>
      </c>
      <c r="B505" s="132">
        <v>5000.0</v>
      </c>
      <c r="C505" s="132">
        <v>0.0</v>
      </c>
      <c r="D505" s="132">
        <v>0.0</v>
      </c>
      <c r="E505" s="132">
        <v>0.0</v>
      </c>
      <c r="F505" s="132">
        <v>0.0</v>
      </c>
      <c r="G505" s="132">
        <v>5000.0</v>
      </c>
      <c r="H505" s="132">
        <v>0.0</v>
      </c>
      <c r="I505" s="132">
        <v>0.0</v>
      </c>
      <c r="J505" s="132">
        <v>0.0</v>
      </c>
      <c r="K505" s="132">
        <v>0.0</v>
      </c>
      <c r="L505" s="132">
        <v>0.0</v>
      </c>
      <c r="M505" s="132">
        <v>0.0</v>
      </c>
      <c r="N505" s="132">
        <v>0.0</v>
      </c>
      <c r="O505" s="132">
        <v>0.0</v>
      </c>
      <c r="P505" s="132">
        <v>0.0</v>
      </c>
      <c r="Q505" s="132">
        <v>0.0</v>
      </c>
      <c r="R505" s="132">
        <v>0.0</v>
      </c>
      <c r="S505" s="132">
        <v>0.0</v>
      </c>
      <c r="T505" s="132">
        <v>0.0</v>
      </c>
      <c r="U505" s="132">
        <v>0.0</v>
      </c>
      <c r="V505" s="132">
        <v>0.0</v>
      </c>
      <c r="W505" s="132">
        <v>0.0</v>
      </c>
      <c r="Y505" s="132" t="s">
        <v>4007</v>
      </c>
      <c r="Z505" s="132">
        <f t="shared" ref="Z505:AC505" si="1006">C505-1000</f>
        <v>-1000</v>
      </c>
      <c r="AA505" s="132">
        <f t="shared" si="1006"/>
        <v>-1000</v>
      </c>
      <c r="AB505" s="132">
        <f t="shared" si="1006"/>
        <v>-1000</v>
      </c>
      <c r="AC505" s="132">
        <f t="shared" si="1006"/>
        <v>-1000</v>
      </c>
      <c r="AD505" s="132">
        <f t="shared" si="4"/>
        <v>-5000</v>
      </c>
      <c r="AE505" s="132">
        <f t="shared" ref="AE505:AS505" si="1007">H505-1000</f>
        <v>-1000</v>
      </c>
      <c r="AF505" s="132">
        <f t="shared" si="1007"/>
        <v>-1000</v>
      </c>
      <c r="AG505" s="132">
        <f t="shared" si="1007"/>
        <v>-1000</v>
      </c>
      <c r="AH505" s="132">
        <f t="shared" si="1007"/>
        <v>-1000</v>
      </c>
      <c r="AI505" s="132">
        <f t="shared" si="1007"/>
        <v>-1000</v>
      </c>
      <c r="AJ505" s="132">
        <f t="shared" si="1007"/>
        <v>-1000</v>
      </c>
      <c r="AK505" s="132">
        <f t="shared" si="1007"/>
        <v>-1000</v>
      </c>
      <c r="AL505" s="132">
        <f t="shared" si="1007"/>
        <v>-1000</v>
      </c>
      <c r="AM505" s="132">
        <f t="shared" si="1007"/>
        <v>-1000</v>
      </c>
      <c r="AN505" s="132">
        <f t="shared" si="1007"/>
        <v>-1000</v>
      </c>
      <c r="AO505" s="132">
        <f t="shared" si="1007"/>
        <v>-1000</v>
      </c>
      <c r="AP505" s="132">
        <f t="shared" si="1007"/>
        <v>-1000</v>
      </c>
      <c r="AQ505" s="132">
        <f t="shared" si="1007"/>
        <v>-1000</v>
      </c>
      <c r="AR505" s="132">
        <f t="shared" si="1007"/>
        <v>-1000</v>
      </c>
      <c r="AS505" s="132">
        <f t="shared" si="1007"/>
        <v>-1000</v>
      </c>
    </row>
    <row r="506">
      <c r="A506" s="132" t="s">
        <v>4008</v>
      </c>
      <c r="B506" s="132">
        <v>5000.0</v>
      </c>
      <c r="C506" s="132">
        <v>0.0</v>
      </c>
      <c r="D506" s="132">
        <v>0.0</v>
      </c>
      <c r="E506" s="132">
        <v>0.0</v>
      </c>
      <c r="F506" s="132">
        <v>0.0</v>
      </c>
      <c r="G506" s="132">
        <v>5000.0</v>
      </c>
      <c r="H506" s="132">
        <v>0.0</v>
      </c>
      <c r="I506" s="132">
        <v>0.0</v>
      </c>
      <c r="J506" s="132">
        <v>0.0</v>
      </c>
      <c r="K506" s="132">
        <v>0.0</v>
      </c>
      <c r="L506" s="132">
        <v>0.0</v>
      </c>
      <c r="M506" s="132">
        <v>0.0</v>
      </c>
      <c r="N506" s="132">
        <v>0.0</v>
      </c>
      <c r="O506" s="132">
        <v>0.0</v>
      </c>
      <c r="P506" s="132">
        <v>0.0</v>
      </c>
      <c r="Q506" s="132">
        <v>0.0</v>
      </c>
      <c r="R506" s="132">
        <v>0.0</v>
      </c>
      <c r="S506" s="132">
        <v>0.0</v>
      </c>
      <c r="T506" s="132">
        <v>0.0</v>
      </c>
      <c r="U506" s="132">
        <v>0.0</v>
      </c>
      <c r="V506" s="132">
        <v>0.0</v>
      </c>
      <c r="W506" s="132">
        <v>0.0</v>
      </c>
      <c r="Y506" s="132" t="s">
        <v>4008</v>
      </c>
      <c r="Z506" s="132">
        <f t="shared" ref="Z506:AC506" si="1008">C506-1000</f>
        <v>-1000</v>
      </c>
      <c r="AA506" s="132">
        <f t="shared" si="1008"/>
        <v>-1000</v>
      </c>
      <c r="AB506" s="132">
        <f t="shared" si="1008"/>
        <v>-1000</v>
      </c>
      <c r="AC506" s="132">
        <f t="shared" si="1008"/>
        <v>-1000</v>
      </c>
      <c r="AD506" s="132">
        <f t="shared" si="4"/>
        <v>-5000</v>
      </c>
      <c r="AE506" s="132">
        <f t="shared" ref="AE506:AS506" si="1009">H506-1000</f>
        <v>-1000</v>
      </c>
      <c r="AF506" s="132">
        <f t="shared" si="1009"/>
        <v>-1000</v>
      </c>
      <c r="AG506" s="132">
        <f t="shared" si="1009"/>
        <v>-1000</v>
      </c>
      <c r="AH506" s="132">
        <f t="shared" si="1009"/>
        <v>-1000</v>
      </c>
      <c r="AI506" s="132">
        <f t="shared" si="1009"/>
        <v>-1000</v>
      </c>
      <c r="AJ506" s="132">
        <f t="shared" si="1009"/>
        <v>-1000</v>
      </c>
      <c r="AK506" s="132">
        <f t="shared" si="1009"/>
        <v>-1000</v>
      </c>
      <c r="AL506" s="132">
        <f t="shared" si="1009"/>
        <v>-1000</v>
      </c>
      <c r="AM506" s="132">
        <f t="shared" si="1009"/>
        <v>-1000</v>
      </c>
      <c r="AN506" s="132">
        <f t="shared" si="1009"/>
        <v>-1000</v>
      </c>
      <c r="AO506" s="132">
        <f t="shared" si="1009"/>
        <v>-1000</v>
      </c>
      <c r="AP506" s="132">
        <f t="shared" si="1009"/>
        <v>-1000</v>
      </c>
      <c r="AQ506" s="132">
        <f t="shared" si="1009"/>
        <v>-1000</v>
      </c>
      <c r="AR506" s="132">
        <f t="shared" si="1009"/>
        <v>-1000</v>
      </c>
      <c r="AS506" s="132">
        <f t="shared" si="1009"/>
        <v>-1000</v>
      </c>
    </row>
    <row r="507">
      <c r="A507" s="132" t="s">
        <v>4009</v>
      </c>
      <c r="B507" s="132">
        <v>10000.0</v>
      </c>
      <c r="C507" s="132">
        <v>0.0</v>
      </c>
      <c r="D507" s="132">
        <v>0.0</v>
      </c>
      <c r="E507" s="132">
        <v>0.0</v>
      </c>
      <c r="F507" s="132">
        <v>0.0</v>
      </c>
      <c r="G507" s="132">
        <v>10000.0</v>
      </c>
      <c r="H507" s="132">
        <v>0.0</v>
      </c>
      <c r="I507" s="132">
        <v>0.0</v>
      </c>
      <c r="J507" s="132">
        <v>0.0</v>
      </c>
      <c r="K507" s="132">
        <v>0.0</v>
      </c>
      <c r="L507" s="132">
        <v>0.0</v>
      </c>
      <c r="M507" s="132">
        <v>0.0</v>
      </c>
      <c r="N507" s="132">
        <v>0.0</v>
      </c>
      <c r="O507" s="132">
        <v>0.0</v>
      </c>
      <c r="P507" s="132">
        <v>0.0</v>
      </c>
      <c r="Q507" s="132">
        <v>0.0</v>
      </c>
      <c r="R507" s="132">
        <v>0.0</v>
      </c>
      <c r="S507" s="132">
        <v>0.0</v>
      </c>
      <c r="T507" s="132">
        <v>0.0</v>
      </c>
      <c r="U507" s="132">
        <v>0.0</v>
      </c>
      <c r="V507" s="132">
        <v>0.0</v>
      </c>
      <c r="W507" s="132">
        <v>0.0</v>
      </c>
      <c r="Y507" s="132" t="s">
        <v>4009</v>
      </c>
      <c r="Z507" s="132">
        <f t="shared" ref="Z507:AC507" si="1010">C507-1000</f>
        <v>-1000</v>
      </c>
      <c r="AA507" s="132">
        <f t="shared" si="1010"/>
        <v>-1000</v>
      </c>
      <c r="AB507" s="132">
        <f t="shared" si="1010"/>
        <v>-1000</v>
      </c>
      <c r="AC507" s="132">
        <f t="shared" si="1010"/>
        <v>-1000</v>
      </c>
      <c r="AD507" s="132">
        <f t="shared" si="4"/>
        <v>0</v>
      </c>
      <c r="AE507" s="132">
        <f t="shared" ref="AE507:AS507" si="1011">H507-1000</f>
        <v>-1000</v>
      </c>
      <c r="AF507" s="132">
        <f t="shared" si="1011"/>
        <v>-1000</v>
      </c>
      <c r="AG507" s="132">
        <f t="shared" si="1011"/>
        <v>-1000</v>
      </c>
      <c r="AH507" s="132">
        <f t="shared" si="1011"/>
        <v>-1000</v>
      </c>
      <c r="AI507" s="132">
        <f t="shared" si="1011"/>
        <v>-1000</v>
      </c>
      <c r="AJ507" s="132">
        <f t="shared" si="1011"/>
        <v>-1000</v>
      </c>
      <c r="AK507" s="132">
        <f t="shared" si="1011"/>
        <v>-1000</v>
      </c>
      <c r="AL507" s="132">
        <f t="shared" si="1011"/>
        <v>-1000</v>
      </c>
      <c r="AM507" s="132">
        <f t="shared" si="1011"/>
        <v>-1000</v>
      </c>
      <c r="AN507" s="132">
        <f t="shared" si="1011"/>
        <v>-1000</v>
      </c>
      <c r="AO507" s="132">
        <f t="shared" si="1011"/>
        <v>-1000</v>
      </c>
      <c r="AP507" s="132">
        <f t="shared" si="1011"/>
        <v>-1000</v>
      </c>
      <c r="AQ507" s="132">
        <f t="shared" si="1011"/>
        <v>-1000</v>
      </c>
      <c r="AR507" s="132">
        <f t="shared" si="1011"/>
        <v>-1000</v>
      </c>
      <c r="AS507" s="132">
        <f t="shared" si="1011"/>
        <v>-1000</v>
      </c>
    </row>
    <row r="508">
      <c r="A508" s="132" t="s">
        <v>4010</v>
      </c>
      <c r="B508" s="132">
        <v>1750.0</v>
      </c>
      <c r="C508" s="132">
        <v>1000.0</v>
      </c>
      <c r="D508" s="132">
        <v>0.0</v>
      </c>
      <c r="E508" s="132">
        <v>0.0</v>
      </c>
      <c r="F508" s="132">
        <v>0.0</v>
      </c>
      <c r="G508" s="132">
        <v>750.0</v>
      </c>
      <c r="H508" s="132">
        <v>0.0</v>
      </c>
      <c r="I508" s="132">
        <v>0.0</v>
      </c>
      <c r="J508" s="132">
        <v>0.0</v>
      </c>
      <c r="K508" s="132">
        <v>0.0</v>
      </c>
      <c r="L508" s="132">
        <v>0.0</v>
      </c>
      <c r="M508" s="132">
        <v>0.0</v>
      </c>
      <c r="N508" s="132">
        <v>0.0</v>
      </c>
      <c r="O508" s="132">
        <v>0.0</v>
      </c>
      <c r="P508" s="132">
        <v>0.0</v>
      </c>
      <c r="Q508" s="132">
        <v>0.0</v>
      </c>
      <c r="R508" s="132">
        <v>0.0</v>
      </c>
      <c r="S508" s="132">
        <v>0.0</v>
      </c>
      <c r="T508" s="132">
        <v>0.0</v>
      </c>
      <c r="U508" s="132">
        <v>0.0</v>
      </c>
      <c r="V508" s="132">
        <v>0.0</v>
      </c>
      <c r="W508" s="132">
        <v>1.0</v>
      </c>
      <c r="Y508" s="132" t="s">
        <v>4010</v>
      </c>
      <c r="Z508" s="132">
        <f t="shared" ref="Z508:AC508" si="1012">C508-1000</f>
        <v>0</v>
      </c>
      <c r="AA508" s="132">
        <f t="shared" si="1012"/>
        <v>-1000</v>
      </c>
      <c r="AB508" s="132">
        <f t="shared" si="1012"/>
        <v>-1000</v>
      </c>
      <c r="AC508" s="132">
        <f t="shared" si="1012"/>
        <v>-1000</v>
      </c>
      <c r="AD508" s="132">
        <f t="shared" si="4"/>
        <v>-9250</v>
      </c>
      <c r="AE508" s="132">
        <f t="shared" ref="AE508:AS508" si="1013">H508-1000</f>
        <v>-1000</v>
      </c>
      <c r="AF508" s="132">
        <f t="shared" si="1013"/>
        <v>-1000</v>
      </c>
      <c r="AG508" s="132">
        <f t="shared" si="1013"/>
        <v>-1000</v>
      </c>
      <c r="AH508" s="132">
        <f t="shared" si="1013"/>
        <v>-1000</v>
      </c>
      <c r="AI508" s="132">
        <f t="shared" si="1013"/>
        <v>-1000</v>
      </c>
      <c r="AJ508" s="132">
        <f t="shared" si="1013"/>
        <v>-1000</v>
      </c>
      <c r="AK508" s="132">
        <f t="shared" si="1013"/>
        <v>-1000</v>
      </c>
      <c r="AL508" s="132">
        <f t="shared" si="1013"/>
        <v>-1000</v>
      </c>
      <c r="AM508" s="132">
        <f t="shared" si="1013"/>
        <v>-1000</v>
      </c>
      <c r="AN508" s="132">
        <f t="shared" si="1013"/>
        <v>-1000</v>
      </c>
      <c r="AO508" s="132">
        <f t="shared" si="1013"/>
        <v>-1000</v>
      </c>
      <c r="AP508" s="132">
        <f t="shared" si="1013"/>
        <v>-1000</v>
      </c>
      <c r="AQ508" s="132">
        <f t="shared" si="1013"/>
        <v>-1000</v>
      </c>
      <c r="AR508" s="132">
        <f t="shared" si="1013"/>
        <v>-1000</v>
      </c>
      <c r="AS508" s="132">
        <f t="shared" si="1013"/>
        <v>-1000</v>
      </c>
    </row>
    <row r="509">
      <c r="A509" s="132" t="s">
        <v>4011</v>
      </c>
      <c r="B509" s="132">
        <v>2500.0</v>
      </c>
      <c r="C509" s="132">
        <v>0.0</v>
      </c>
      <c r="D509" s="132">
        <v>0.0</v>
      </c>
      <c r="E509" s="132">
        <v>0.0</v>
      </c>
      <c r="F509" s="132">
        <v>0.0</v>
      </c>
      <c r="G509" s="132">
        <v>2500.0</v>
      </c>
      <c r="H509" s="132">
        <v>0.0</v>
      </c>
      <c r="I509" s="132">
        <v>0.0</v>
      </c>
      <c r="J509" s="132">
        <v>0.0</v>
      </c>
      <c r="K509" s="132">
        <v>0.0</v>
      </c>
      <c r="L509" s="132">
        <v>0.0</v>
      </c>
      <c r="M509" s="132">
        <v>0.0</v>
      </c>
      <c r="N509" s="132">
        <v>0.0</v>
      </c>
      <c r="O509" s="132">
        <v>0.0</v>
      </c>
      <c r="P509" s="132">
        <v>0.0</v>
      </c>
      <c r="Q509" s="132">
        <v>0.0</v>
      </c>
      <c r="R509" s="132">
        <v>0.0</v>
      </c>
      <c r="S509" s="132">
        <v>0.0</v>
      </c>
      <c r="T509" s="132">
        <v>0.0</v>
      </c>
      <c r="U509" s="132">
        <v>0.0</v>
      </c>
      <c r="V509" s="132">
        <v>0.0</v>
      </c>
      <c r="W509" s="132">
        <v>0.0</v>
      </c>
      <c r="Y509" s="132" t="s">
        <v>4011</v>
      </c>
      <c r="Z509" s="132">
        <f t="shared" ref="Z509:AC509" si="1014">C509-1000</f>
        <v>-1000</v>
      </c>
      <c r="AA509" s="132">
        <f t="shared" si="1014"/>
        <v>-1000</v>
      </c>
      <c r="AB509" s="132">
        <f t="shared" si="1014"/>
        <v>-1000</v>
      </c>
      <c r="AC509" s="132">
        <f t="shared" si="1014"/>
        <v>-1000</v>
      </c>
      <c r="AD509" s="132">
        <f t="shared" si="4"/>
        <v>-7500</v>
      </c>
      <c r="AE509" s="132">
        <f t="shared" ref="AE509:AS509" si="1015">H509-1000</f>
        <v>-1000</v>
      </c>
      <c r="AF509" s="132">
        <f t="shared" si="1015"/>
        <v>-1000</v>
      </c>
      <c r="AG509" s="132">
        <f t="shared" si="1015"/>
        <v>-1000</v>
      </c>
      <c r="AH509" s="132">
        <f t="shared" si="1015"/>
        <v>-1000</v>
      </c>
      <c r="AI509" s="132">
        <f t="shared" si="1015"/>
        <v>-1000</v>
      </c>
      <c r="AJ509" s="132">
        <f t="shared" si="1015"/>
        <v>-1000</v>
      </c>
      <c r="AK509" s="132">
        <f t="shared" si="1015"/>
        <v>-1000</v>
      </c>
      <c r="AL509" s="132">
        <f t="shared" si="1015"/>
        <v>-1000</v>
      </c>
      <c r="AM509" s="132">
        <f t="shared" si="1015"/>
        <v>-1000</v>
      </c>
      <c r="AN509" s="132">
        <f t="shared" si="1015"/>
        <v>-1000</v>
      </c>
      <c r="AO509" s="132">
        <f t="shared" si="1015"/>
        <v>-1000</v>
      </c>
      <c r="AP509" s="132">
        <f t="shared" si="1015"/>
        <v>-1000</v>
      </c>
      <c r="AQ509" s="132">
        <f t="shared" si="1015"/>
        <v>-1000</v>
      </c>
      <c r="AR509" s="132">
        <f t="shared" si="1015"/>
        <v>-1000</v>
      </c>
      <c r="AS509" s="132">
        <f t="shared" si="1015"/>
        <v>-1000</v>
      </c>
    </row>
    <row r="510">
      <c r="A510" s="132" t="s">
        <v>4012</v>
      </c>
      <c r="B510" s="132">
        <v>650.0</v>
      </c>
      <c r="C510" s="132">
        <v>0.0</v>
      </c>
      <c r="D510" s="132">
        <v>0.0</v>
      </c>
      <c r="E510" s="132">
        <v>0.0</v>
      </c>
      <c r="F510" s="132">
        <v>150.0</v>
      </c>
      <c r="G510" s="132">
        <v>500.0</v>
      </c>
      <c r="H510" s="132">
        <v>0.0</v>
      </c>
      <c r="I510" s="132">
        <v>0.0</v>
      </c>
      <c r="J510" s="132">
        <v>0.0</v>
      </c>
      <c r="K510" s="132">
        <v>0.0</v>
      </c>
      <c r="L510" s="132">
        <v>0.0</v>
      </c>
      <c r="M510" s="132">
        <v>0.0</v>
      </c>
      <c r="N510" s="132">
        <v>0.0</v>
      </c>
      <c r="O510" s="132">
        <v>0.0</v>
      </c>
      <c r="P510" s="132">
        <v>0.0</v>
      </c>
      <c r="Q510" s="132">
        <v>0.0</v>
      </c>
      <c r="R510" s="132">
        <v>0.0</v>
      </c>
      <c r="S510" s="132">
        <v>0.0</v>
      </c>
      <c r="T510" s="132">
        <v>0.0</v>
      </c>
      <c r="U510" s="132">
        <v>0.0</v>
      </c>
      <c r="V510" s="132">
        <v>0.0</v>
      </c>
      <c r="W510" s="132">
        <v>0.0</v>
      </c>
      <c r="Y510" s="132" t="s">
        <v>4012</v>
      </c>
      <c r="Z510" s="132">
        <f t="shared" ref="Z510:AC510" si="1016">C510-1000</f>
        <v>-1000</v>
      </c>
      <c r="AA510" s="132">
        <f t="shared" si="1016"/>
        <v>-1000</v>
      </c>
      <c r="AB510" s="132">
        <f t="shared" si="1016"/>
        <v>-1000</v>
      </c>
      <c r="AC510" s="132">
        <f t="shared" si="1016"/>
        <v>-850</v>
      </c>
      <c r="AD510" s="132">
        <f t="shared" si="4"/>
        <v>-9500</v>
      </c>
      <c r="AE510" s="132">
        <f t="shared" ref="AE510:AS510" si="1017">H510-1000</f>
        <v>-1000</v>
      </c>
      <c r="AF510" s="132">
        <f t="shared" si="1017"/>
        <v>-1000</v>
      </c>
      <c r="AG510" s="132">
        <f t="shared" si="1017"/>
        <v>-1000</v>
      </c>
      <c r="AH510" s="132">
        <f t="shared" si="1017"/>
        <v>-1000</v>
      </c>
      <c r="AI510" s="132">
        <f t="shared" si="1017"/>
        <v>-1000</v>
      </c>
      <c r="AJ510" s="132">
        <f t="shared" si="1017"/>
        <v>-1000</v>
      </c>
      <c r="AK510" s="132">
        <f t="shared" si="1017"/>
        <v>-1000</v>
      </c>
      <c r="AL510" s="132">
        <f t="shared" si="1017"/>
        <v>-1000</v>
      </c>
      <c r="AM510" s="132">
        <f t="shared" si="1017"/>
        <v>-1000</v>
      </c>
      <c r="AN510" s="132">
        <f t="shared" si="1017"/>
        <v>-1000</v>
      </c>
      <c r="AO510" s="132">
        <f t="shared" si="1017"/>
        <v>-1000</v>
      </c>
      <c r="AP510" s="132">
        <f t="shared" si="1017"/>
        <v>-1000</v>
      </c>
      <c r="AQ510" s="132">
        <f t="shared" si="1017"/>
        <v>-1000</v>
      </c>
      <c r="AR510" s="132">
        <f t="shared" si="1017"/>
        <v>-1000</v>
      </c>
      <c r="AS510" s="132">
        <f t="shared" si="1017"/>
        <v>-1000</v>
      </c>
    </row>
    <row r="511">
      <c r="A511" s="132" t="s">
        <v>4013</v>
      </c>
      <c r="B511" s="132">
        <v>5000.0</v>
      </c>
      <c r="C511" s="132">
        <v>0.0</v>
      </c>
      <c r="D511" s="132">
        <v>0.0</v>
      </c>
      <c r="E511" s="132">
        <v>0.0</v>
      </c>
      <c r="F511" s="132">
        <v>0.0</v>
      </c>
      <c r="G511" s="132">
        <v>5000.0</v>
      </c>
      <c r="H511" s="132">
        <v>0.0</v>
      </c>
      <c r="I511" s="132">
        <v>0.0</v>
      </c>
      <c r="J511" s="132">
        <v>0.0</v>
      </c>
      <c r="K511" s="132">
        <v>0.0</v>
      </c>
      <c r="L511" s="132">
        <v>0.0</v>
      </c>
      <c r="M511" s="132">
        <v>0.0</v>
      </c>
      <c r="N511" s="132">
        <v>0.0</v>
      </c>
      <c r="O511" s="132">
        <v>0.0</v>
      </c>
      <c r="P511" s="132">
        <v>0.0</v>
      </c>
      <c r="Q511" s="132">
        <v>0.0</v>
      </c>
      <c r="R511" s="132">
        <v>0.0</v>
      </c>
      <c r="S511" s="132">
        <v>0.0</v>
      </c>
      <c r="T511" s="132">
        <v>0.0</v>
      </c>
      <c r="U511" s="132">
        <v>0.0</v>
      </c>
      <c r="V511" s="132">
        <v>0.0</v>
      </c>
      <c r="W511" s="132">
        <v>0.0</v>
      </c>
      <c r="Y511" s="132" t="s">
        <v>4013</v>
      </c>
      <c r="Z511" s="132">
        <f t="shared" ref="Z511:AC511" si="1018">C511-1000</f>
        <v>-1000</v>
      </c>
      <c r="AA511" s="132">
        <f t="shared" si="1018"/>
        <v>-1000</v>
      </c>
      <c r="AB511" s="132">
        <f t="shared" si="1018"/>
        <v>-1000</v>
      </c>
      <c r="AC511" s="132">
        <f t="shared" si="1018"/>
        <v>-1000</v>
      </c>
      <c r="AD511" s="132">
        <f t="shared" si="4"/>
        <v>-5000</v>
      </c>
      <c r="AE511" s="132">
        <f t="shared" ref="AE511:AS511" si="1019">H511-1000</f>
        <v>-1000</v>
      </c>
      <c r="AF511" s="132">
        <f t="shared" si="1019"/>
        <v>-1000</v>
      </c>
      <c r="AG511" s="132">
        <f t="shared" si="1019"/>
        <v>-1000</v>
      </c>
      <c r="AH511" s="132">
        <f t="shared" si="1019"/>
        <v>-1000</v>
      </c>
      <c r="AI511" s="132">
        <f t="shared" si="1019"/>
        <v>-1000</v>
      </c>
      <c r="AJ511" s="132">
        <f t="shared" si="1019"/>
        <v>-1000</v>
      </c>
      <c r="AK511" s="132">
        <f t="shared" si="1019"/>
        <v>-1000</v>
      </c>
      <c r="AL511" s="132">
        <f t="shared" si="1019"/>
        <v>-1000</v>
      </c>
      <c r="AM511" s="132">
        <f t="shared" si="1019"/>
        <v>-1000</v>
      </c>
      <c r="AN511" s="132">
        <f t="shared" si="1019"/>
        <v>-1000</v>
      </c>
      <c r="AO511" s="132">
        <f t="shared" si="1019"/>
        <v>-1000</v>
      </c>
      <c r="AP511" s="132">
        <f t="shared" si="1019"/>
        <v>-1000</v>
      </c>
      <c r="AQ511" s="132">
        <f t="shared" si="1019"/>
        <v>-1000</v>
      </c>
      <c r="AR511" s="132">
        <f t="shared" si="1019"/>
        <v>-1000</v>
      </c>
      <c r="AS511" s="132">
        <f t="shared" si="1019"/>
        <v>-1000</v>
      </c>
    </row>
    <row r="512">
      <c r="A512" s="132" t="s">
        <v>4014</v>
      </c>
      <c r="B512" s="132">
        <v>2500.0</v>
      </c>
      <c r="C512" s="132">
        <v>0.0</v>
      </c>
      <c r="D512" s="132">
        <v>0.0</v>
      </c>
      <c r="E512" s="132">
        <v>0.0</v>
      </c>
      <c r="F512" s="132">
        <v>0.0</v>
      </c>
      <c r="G512" s="132">
        <v>2500.0</v>
      </c>
      <c r="H512" s="132">
        <v>0.0</v>
      </c>
      <c r="I512" s="132">
        <v>0.0</v>
      </c>
      <c r="J512" s="132">
        <v>0.0</v>
      </c>
      <c r="K512" s="132">
        <v>0.0</v>
      </c>
      <c r="L512" s="132">
        <v>0.0</v>
      </c>
      <c r="M512" s="132">
        <v>0.0</v>
      </c>
      <c r="N512" s="132">
        <v>0.0</v>
      </c>
      <c r="O512" s="132">
        <v>0.0</v>
      </c>
      <c r="P512" s="132">
        <v>0.0</v>
      </c>
      <c r="Q512" s="132">
        <v>0.0</v>
      </c>
      <c r="R512" s="132">
        <v>0.0</v>
      </c>
      <c r="S512" s="132">
        <v>0.0</v>
      </c>
      <c r="T512" s="132">
        <v>0.0</v>
      </c>
      <c r="U512" s="132">
        <v>0.0</v>
      </c>
      <c r="V512" s="132">
        <v>0.0</v>
      </c>
      <c r="W512" s="132">
        <v>0.0</v>
      </c>
      <c r="Y512" s="132" t="s">
        <v>4014</v>
      </c>
      <c r="Z512" s="132">
        <f t="shared" ref="Z512:AC512" si="1020">C512-1000</f>
        <v>-1000</v>
      </c>
      <c r="AA512" s="132">
        <f t="shared" si="1020"/>
        <v>-1000</v>
      </c>
      <c r="AB512" s="132">
        <f t="shared" si="1020"/>
        <v>-1000</v>
      </c>
      <c r="AC512" s="132">
        <f t="shared" si="1020"/>
        <v>-1000</v>
      </c>
      <c r="AD512" s="132">
        <f t="shared" si="4"/>
        <v>-7500</v>
      </c>
      <c r="AE512" s="132">
        <f t="shared" ref="AE512:AS512" si="1021">H512-1000</f>
        <v>-1000</v>
      </c>
      <c r="AF512" s="132">
        <f t="shared" si="1021"/>
        <v>-1000</v>
      </c>
      <c r="AG512" s="132">
        <f t="shared" si="1021"/>
        <v>-1000</v>
      </c>
      <c r="AH512" s="132">
        <f t="shared" si="1021"/>
        <v>-1000</v>
      </c>
      <c r="AI512" s="132">
        <f t="shared" si="1021"/>
        <v>-1000</v>
      </c>
      <c r="AJ512" s="132">
        <f t="shared" si="1021"/>
        <v>-1000</v>
      </c>
      <c r="AK512" s="132">
        <f t="shared" si="1021"/>
        <v>-1000</v>
      </c>
      <c r="AL512" s="132">
        <f t="shared" si="1021"/>
        <v>-1000</v>
      </c>
      <c r="AM512" s="132">
        <f t="shared" si="1021"/>
        <v>-1000</v>
      </c>
      <c r="AN512" s="132">
        <f t="shared" si="1021"/>
        <v>-1000</v>
      </c>
      <c r="AO512" s="132">
        <f t="shared" si="1021"/>
        <v>-1000</v>
      </c>
      <c r="AP512" s="132">
        <f t="shared" si="1021"/>
        <v>-1000</v>
      </c>
      <c r="AQ512" s="132">
        <f t="shared" si="1021"/>
        <v>-1000</v>
      </c>
      <c r="AR512" s="132">
        <f t="shared" si="1021"/>
        <v>-1000</v>
      </c>
      <c r="AS512" s="132">
        <f t="shared" si="1021"/>
        <v>-1000</v>
      </c>
    </row>
    <row r="513">
      <c r="A513" s="132" t="s">
        <v>4015</v>
      </c>
      <c r="B513" s="132">
        <v>1000.0</v>
      </c>
      <c r="C513" s="132">
        <v>0.0</v>
      </c>
      <c r="D513" s="132">
        <v>0.0</v>
      </c>
      <c r="E513" s="132">
        <v>0.0</v>
      </c>
      <c r="F513" s="132">
        <v>0.0</v>
      </c>
      <c r="G513" s="132">
        <v>1000.0</v>
      </c>
      <c r="H513" s="132">
        <v>0.0</v>
      </c>
      <c r="I513" s="132">
        <v>0.0</v>
      </c>
      <c r="J513" s="132">
        <v>0.0</v>
      </c>
      <c r="K513" s="132">
        <v>0.0</v>
      </c>
      <c r="L513" s="132">
        <v>0.0</v>
      </c>
      <c r="M513" s="132">
        <v>0.0</v>
      </c>
      <c r="N513" s="132">
        <v>0.0</v>
      </c>
      <c r="O513" s="132">
        <v>0.0</v>
      </c>
      <c r="P513" s="132">
        <v>0.0</v>
      </c>
      <c r="Q513" s="132">
        <v>0.0</v>
      </c>
      <c r="R513" s="132">
        <v>0.0</v>
      </c>
      <c r="S513" s="132">
        <v>0.0</v>
      </c>
      <c r="T513" s="132">
        <v>0.0</v>
      </c>
      <c r="U513" s="132">
        <v>0.0</v>
      </c>
      <c r="V513" s="132">
        <v>0.0</v>
      </c>
      <c r="W513" s="132">
        <v>0.0</v>
      </c>
      <c r="Y513" s="132" t="s">
        <v>4015</v>
      </c>
      <c r="Z513" s="132">
        <f t="shared" ref="Z513:AC513" si="1022">C513-1000</f>
        <v>-1000</v>
      </c>
      <c r="AA513" s="132">
        <f t="shared" si="1022"/>
        <v>-1000</v>
      </c>
      <c r="AB513" s="132">
        <f t="shared" si="1022"/>
        <v>-1000</v>
      </c>
      <c r="AC513" s="132">
        <f t="shared" si="1022"/>
        <v>-1000</v>
      </c>
      <c r="AD513" s="132">
        <f t="shared" si="4"/>
        <v>-9000</v>
      </c>
      <c r="AE513" s="132">
        <f t="shared" ref="AE513:AS513" si="1023">H513-1000</f>
        <v>-1000</v>
      </c>
      <c r="AF513" s="132">
        <f t="shared" si="1023"/>
        <v>-1000</v>
      </c>
      <c r="AG513" s="132">
        <f t="shared" si="1023"/>
        <v>-1000</v>
      </c>
      <c r="AH513" s="132">
        <f t="shared" si="1023"/>
        <v>-1000</v>
      </c>
      <c r="AI513" s="132">
        <f t="shared" si="1023"/>
        <v>-1000</v>
      </c>
      <c r="AJ513" s="132">
        <f t="shared" si="1023"/>
        <v>-1000</v>
      </c>
      <c r="AK513" s="132">
        <f t="shared" si="1023"/>
        <v>-1000</v>
      </c>
      <c r="AL513" s="132">
        <f t="shared" si="1023"/>
        <v>-1000</v>
      </c>
      <c r="AM513" s="132">
        <f t="shared" si="1023"/>
        <v>-1000</v>
      </c>
      <c r="AN513" s="132">
        <f t="shared" si="1023"/>
        <v>-1000</v>
      </c>
      <c r="AO513" s="132">
        <f t="shared" si="1023"/>
        <v>-1000</v>
      </c>
      <c r="AP513" s="132">
        <f t="shared" si="1023"/>
        <v>-1000</v>
      </c>
      <c r="AQ513" s="132">
        <f t="shared" si="1023"/>
        <v>-1000</v>
      </c>
      <c r="AR513" s="132">
        <f t="shared" si="1023"/>
        <v>-1000</v>
      </c>
      <c r="AS513" s="132">
        <f t="shared" si="1023"/>
        <v>-1000</v>
      </c>
    </row>
    <row r="514">
      <c r="A514" s="132" t="s">
        <v>4016</v>
      </c>
      <c r="B514" s="132">
        <v>7500.0</v>
      </c>
      <c r="C514" s="132">
        <v>0.0</v>
      </c>
      <c r="D514" s="132">
        <v>1000.0</v>
      </c>
      <c r="E514" s="132">
        <v>0.0</v>
      </c>
      <c r="F514" s="132">
        <v>1500.0</v>
      </c>
      <c r="G514" s="132">
        <v>1000.0</v>
      </c>
      <c r="H514" s="132">
        <v>0.0</v>
      </c>
      <c r="I514" s="132">
        <v>1000.0</v>
      </c>
      <c r="J514" s="132">
        <v>0.0</v>
      </c>
      <c r="K514" s="132">
        <v>2000.0</v>
      </c>
      <c r="L514" s="132">
        <v>1000.0</v>
      </c>
      <c r="M514" s="132">
        <v>0.0</v>
      </c>
      <c r="N514" s="132">
        <v>0.0</v>
      </c>
      <c r="O514" s="132">
        <v>0.0</v>
      </c>
      <c r="P514" s="132">
        <v>0.0</v>
      </c>
      <c r="Q514" s="132">
        <v>0.0</v>
      </c>
      <c r="R514" s="132">
        <v>0.0</v>
      </c>
      <c r="S514" s="132">
        <v>0.0</v>
      </c>
      <c r="T514" s="132">
        <v>0.0</v>
      </c>
      <c r="U514" s="132">
        <v>0.0</v>
      </c>
      <c r="V514" s="132">
        <v>0.0</v>
      </c>
      <c r="W514" s="132">
        <v>1.0</v>
      </c>
      <c r="Y514" s="132" t="s">
        <v>4016</v>
      </c>
      <c r="Z514" s="132">
        <f t="shared" ref="Z514:AC514" si="1024">C514-1000</f>
        <v>-1000</v>
      </c>
      <c r="AA514" s="132">
        <f t="shared" si="1024"/>
        <v>0</v>
      </c>
      <c r="AB514" s="132">
        <f t="shared" si="1024"/>
        <v>-1000</v>
      </c>
      <c r="AC514" s="132">
        <f t="shared" si="1024"/>
        <v>500</v>
      </c>
      <c r="AD514" s="132">
        <f t="shared" si="4"/>
        <v>-9000</v>
      </c>
      <c r="AE514" s="132">
        <f t="shared" ref="AE514:AS514" si="1025">H514-1000</f>
        <v>-1000</v>
      </c>
      <c r="AF514" s="132">
        <f t="shared" si="1025"/>
        <v>0</v>
      </c>
      <c r="AG514" s="132">
        <f t="shared" si="1025"/>
        <v>-1000</v>
      </c>
      <c r="AH514" s="132">
        <f t="shared" si="1025"/>
        <v>1000</v>
      </c>
      <c r="AI514" s="132">
        <f t="shared" si="1025"/>
        <v>0</v>
      </c>
      <c r="AJ514" s="132">
        <f t="shared" si="1025"/>
        <v>-1000</v>
      </c>
      <c r="AK514" s="132">
        <f t="shared" si="1025"/>
        <v>-1000</v>
      </c>
      <c r="AL514" s="132">
        <f t="shared" si="1025"/>
        <v>-1000</v>
      </c>
      <c r="AM514" s="132">
        <f t="shared" si="1025"/>
        <v>-1000</v>
      </c>
      <c r="AN514" s="132">
        <f t="shared" si="1025"/>
        <v>-1000</v>
      </c>
      <c r="AO514" s="132">
        <f t="shared" si="1025"/>
        <v>-1000</v>
      </c>
      <c r="AP514" s="132">
        <f t="shared" si="1025"/>
        <v>-1000</v>
      </c>
      <c r="AQ514" s="132">
        <f t="shared" si="1025"/>
        <v>-1000</v>
      </c>
      <c r="AR514" s="132">
        <f t="shared" si="1025"/>
        <v>-1000</v>
      </c>
      <c r="AS514" s="132">
        <f t="shared" si="1025"/>
        <v>-1000</v>
      </c>
    </row>
    <row r="515">
      <c r="A515" s="132" t="s">
        <v>4017</v>
      </c>
      <c r="B515" s="132">
        <v>11000.0</v>
      </c>
      <c r="C515" s="132">
        <v>0.0</v>
      </c>
      <c r="D515" s="132">
        <v>0.0</v>
      </c>
      <c r="E515" s="132">
        <v>0.0</v>
      </c>
      <c r="F515" s="132">
        <v>0.0</v>
      </c>
      <c r="G515" s="132">
        <v>11000.0</v>
      </c>
      <c r="H515" s="132">
        <v>0.0</v>
      </c>
      <c r="I515" s="132">
        <v>0.0</v>
      </c>
      <c r="J515" s="132">
        <v>0.0</v>
      </c>
      <c r="K515" s="132">
        <v>0.0</v>
      </c>
      <c r="L515" s="132">
        <v>0.0</v>
      </c>
      <c r="M515" s="132">
        <v>0.0</v>
      </c>
      <c r="N515" s="132">
        <v>0.0</v>
      </c>
      <c r="O515" s="132">
        <v>0.0</v>
      </c>
      <c r="P515" s="132">
        <v>0.0</v>
      </c>
      <c r="Q515" s="132">
        <v>0.0</v>
      </c>
      <c r="R515" s="132">
        <v>0.0</v>
      </c>
      <c r="S515" s="132">
        <v>0.0</v>
      </c>
      <c r="T515" s="132">
        <v>0.0</v>
      </c>
      <c r="U515" s="132">
        <v>0.0</v>
      </c>
      <c r="V515" s="132">
        <v>0.0</v>
      </c>
      <c r="W515" s="132">
        <v>1.0</v>
      </c>
      <c r="Y515" s="132" t="s">
        <v>4017</v>
      </c>
      <c r="Z515" s="132">
        <f t="shared" ref="Z515:AC515" si="1026">C515-1000</f>
        <v>-1000</v>
      </c>
      <c r="AA515" s="132">
        <f t="shared" si="1026"/>
        <v>-1000</v>
      </c>
      <c r="AB515" s="132">
        <f t="shared" si="1026"/>
        <v>-1000</v>
      </c>
      <c r="AC515" s="132">
        <f t="shared" si="1026"/>
        <v>-1000</v>
      </c>
      <c r="AD515" s="132">
        <f t="shared" si="4"/>
        <v>1000</v>
      </c>
      <c r="AE515" s="132">
        <f t="shared" ref="AE515:AS515" si="1027">H515-1000</f>
        <v>-1000</v>
      </c>
      <c r="AF515" s="132">
        <f t="shared" si="1027"/>
        <v>-1000</v>
      </c>
      <c r="AG515" s="132">
        <f t="shared" si="1027"/>
        <v>-1000</v>
      </c>
      <c r="AH515" s="132">
        <f t="shared" si="1027"/>
        <v>-1000</v>
      </c>
      <c r="AI515" s="132">
        <f t="shared" si="1027"/>
        <v>-1000</v>
      </c>
      <c r="AJ515" s="132">
        <f t="shared" si="1027"/>
        <v>-1000</v>
      </c>
      <c r="AK515" s="132">
        <f t="shared" si="1027"/>
        <v>-1000</v>
      </c>
      <c r="AL515" s="132">
        <f t="shared" si="1027"/>
        <v>-1000</v>
      </c>
      <c r="AM515" s="132">
        <f t="shared" si="1027"/>
        <v>-1000</v>
      </c>
      <c r="AN515" s="132">
        <f t="shared" si="1027"/>
        <v>-1000</v>
      </c>
      <c r="AO515" s="132">
        <f t="shared" si="1027"/>
        <v>-1000</v>
      </c>
      <c r="AP515" s="132">
        <f t="shared" si="1027"/>
        <v>-1000</v>
      </c>
      <c r="AQ515" s="132">
        <f t="shared" si="1027"/>
        <v>-1000</v>
      </c>
      <c r="AR515" s="132">
        <f t="shared" si="1027"/>
        <v>-1000</v>
      </c>
      <c r="AS515" s="132">
        <f t="shared" si="1027"/>
        <v>-1000</v>
      </c>
    </row>
    <row r="516">
      <c r="A516" s="132" t="s">
        <v>4018</v>
      </c>
      <c r="B516" s="132">
        <v>1000.0</v>
      </c>
      <c r="C516" s="132">
        <v>0.0</v>
      </c>
      <c r="D516" s="132">
        <v>0.0</v>
      </c>
      <c r="E516" s="132">
        <v>0.0</v>
      </c>
      <c r="F516" s="132">
        <v>0.0</v>
      </c>
      <c r="G516" s="132">
        <v>1000.0</v>
      </c>
      <c r="H516" s="132">
        <v>0.0</v>
      </c>
      <c r="I516" s="132">
        <v>0.0</v>
      </c>
      <c r="J516" s="132">
        <v>0.0</v>
      </c>
      <c r="K516" s="132">
        <v>0.0</v>
      </c>
      <c r="L516" s="132">
        <v>0.0</v>
      </c>
      <c r="M516" s="132">
        <v>0.0</v>
      </c>
      <c r="N516" s="132">
        <v>0.0</v>
      </c>
      <c r="O516" s="132">
        <v>0.0</v>
      </c>
      <c r="P516" s="132">
        <v>0.0</v>
      </c>
      <c r="Q516" s="132">
        <v>0.0</v>
      </c>
      <c r="R516" s="132">
        <v>0.0</v>
      </c>
      <c r="S516" s="132">
        <v>0.0</v>
      </c>
      <c r="T516" s="132">
        <v>0.0</v>
      </c>
      <c r="U516" s="132">
        <v>0.0</v>
      </c>
      <c r="V516" s="132">
        <v>0.0</v>
      </c>
      <c r="W516" s="132">
        <v>0.0</v>
      </c>
      <c r="Y516" s="132" t="s">
        <v>4018</v>
      </c>
      <c r="Z516" s="132">
        <f t="shared" ref="Z516:AC516" si="1028">C516-1000</f>
        <v>-1000</v>
      </c>
      <c r="AA516" s="132">
        <f t="shared" si="1028"/>
        <v>-1000</v>
      </c>
      <c r="AB516" s="132">
        <f t="shared" si="1028"/>
        <v>-1000</v>
      </c>
      <c r="AC516" s="132">
        <f t="shared" si="1028"/>
        <v>-1000</v>
      </c>
      <c r="AD516" s="132">
        <f t="shared" si="4"/>
        <v>-9000</v>
      </c>
      <c r="AE516" s="132">
        <f t="shared" ref="AE516:AS516" si="1029">H516-1000</f>
        <v>-1000</v>
      </c>
      <c r="AF516" s="132">
        <f t="shared" si="1029"/>
        <v>-1000</v>
      </c>
      <c r="AG516" s="132">
        <f t="shared" si="1029"/>
        <v>-1000</v>
      </c>
      <c r="AH516" s="132">
        <f t="shared" si="1029"/>
        <v>-1000</v>
      </c>
      <c r="AI516" s="132">
        <f t="shared" si="1029"/>
        <v>-1000</v>
      </c>
      <c r="AJ516" s="132">
        <f t="shared" si="1029"/>
        <v>-1000</v>
      </c>
      <c r="AK516" s="132">
        <f t="shared" si="1029"/>
        <v>-1000</v>
      </c>
      <c r="AL516" s="132">
        <f t="shared" si="1029"/>
        <v>-1000</v>
      </c>
      <c r="AM516" s="132">
        <f t="shared" si="1029"/>
        <v>-1000</v>
      </c>
      <c r="AN516" s="132">
        <f t="shared" si="1029"/>
        <v>-1000</v>
      </c>
      <c r="AO516" s="132">
        <f t="shared" si="1029"/>
        <v>-1000</v>
      </c>
      <c r="AP516" s="132">
        <f t="shared" si="1029"/>
        <v>-1000</v>
      </c>
      <c r="AQ516" s="132">
        <f t="shared" si="1029"/>
        <v>-1000</v>
      </c>
      <c r="AR516" s="132">
        <f t="shared" si="1029"/>
        <v>-1000</v>
      </c>
      <c r="AS516" s="132">
        <f t="shared" si="1029"/>
        <v>-1000</v>
      </c>
    </row>
    <row r="517">
      <c r="A517" s="132" t="s">
        <v>4019</v>
      </c>
      <c r="B517" s="132">
        <v>1000.0</v>
      </c>
      <c r="C517" s="132">
        <v>0.0</v>
      </c>
      <c r="D517" s="132">
        <v>0.0</v>
      </c>
      <c r="E517" s="132">
        <v>0.0</v>
      </c>
      <c r="F517" s="132">
        <v>0.0</v>
      </c>
      <c r="G517" s="132">
        <v>1000.0</v>
      </c>
      <c r="H517" s="132">
        <v>0.0</v>
      </c>
      <c r="I517" s="132">
        <v>0.0</v>
      </c>
      <c r="J517" s="132">
        <v>0.0</v>
      </c>
      <c r="K517" s="132">
        <v>0.0</v>
      </c>
      <c r="L517" s="132">
        <v>0.0</v>
      </c>
      <c r="M517" s="132">
        <v>0.0</v>
      </c>
      <c r="N517" s="132">
        <v>0.0</v>
      </c>
      <c r="O517" s="132">
        <v>0.0</v>
      </c>
      <c r="P517" s="132">
        <v>0.0</v>
      </c>
      <c r="Q517" s="132">
        <v>0.0</v>
      </c>
      <c r="R517" s="132">
        <v>0.0</v>
      </c>
      <c r="S517" s="132">
        <v>0.0</v>
      </c>
      <c r="T517" s="132">
        <v>0.0</v>
      </c>
      <c r="U517" s="132">
        <v>0.0</v>
      </c>
      <c r="V517" s="132">
        <v>0.0</v>
      </c>
      <c r="W517" s="132">
        <v>0.0</v>
      </c>
      <c r="Y517" s="132" t="s">
        <v>4019</v>
      </c>
      <c r="Z517" s="132">
        <f t="shared" ref="Z517:AC517" si="1030">C517-1000</f>
        <v>-1000</v>
      </c>
      <c r="AA517" s="132">
        <f t="shared" si="1030"/>
        <v>-1000</v>
      </c>
      <c r="AB517" s="132">
        <f t="shared" si="1030"/>
        <v>-1000</v>
      </c>
      <c r="AC517" s="132">
        <f t="shared" si="1030"/>
        <v>-1000</v>
      </c>
      <c r="AD517" s="132">
        <f t="shared" si="4"/>
        <v>-9000</v>
      </c>
      <c r="AE517" s="132">
        <f t="shared" ref="AE517:AS517" si="1031">H517-1000</f>
        <v>-1000</v>
      </c>
      <c r="AF517" s="132">
        <f t="shared" si="1031"/>
        <v>-1000</v>
      </c>
      <c r="AG517" s="132">
        <f t="shared" si="1031"/>
        <v>-1000</v>
      </c>
      <c r="AH517" s="132">
        <f t="shared" si="1031"/>
        <v>-1000</v>
      </c>
      <c r="AI517" s="132">
        <f t="shared" si="1031"/>
        <v>-1000</v>
      </c>
      <c r="AJ517" s="132">
        <f t="shared" si="1031"/>
        <v>-1000</v>
      </c>
      <c r="AK517" s="132">
        <f t="shared" si="1031"/>
        <v>-1000</v>
      </c>
      <c r="AL517" s="132">
        <f t="shared" si="1031"/>
        <v>-1000</v>
      </c>
      <c r="AM517" s="132">
        <f t="shared" si="1031"/>
        <v>-1000</v>
      </c>
      <c r="AN517" s="132">
        <f t="shared" si="1031"/>
        <v>-1000</v>
      </c>
      <c r="AO517" s="132">
        <f t="shared" si="1031"/>
        <v>-1000</v>
      </c>
      <c r="AP517" s="132">
        <f t="shared" si="1031"/>
        <v>-1000</v>
      </c>
      <c r="AQ517" s="132">
        <f t="shared" si="1031"/>
        <v>-1000</v>
      </c>
      <c r="AR517" s="132">
        <f t="shared" si="1031"/>
        <v>-1000</v>
      </c>
      <c r="AS517" s="132">
        <f t="shared" si="1031"/>
        <v>-1000</v>
      </c>
    </row>
    <row r="518">
      <c r="A518" s="132" t="s">
        <v>4020</v>
      </c>
      <c r="B518" s="132">
        <v>1000.0</v>
      </c>
      <c r="C518" s="132">
        <v>0.0</v>
      </c>
      <c r="D518" s="132">
        <v>0.0</v>
      </c>
      <c r="E518" s="132">
        <v>0.0</v>
      </c>
      <c r="F518" s="132">
        <v>0.0</v>
      </c>
      <c r="G518" s="132">
        <v>1000.0</v>
      </c>
      <c r="H518" s="132">
        <v>0.0</v>
      </c>
      <c r="I518" s="132">
        <v>0.0</v>
      </c>
      <c r="J518" s="132">
        <v>0.0</v>
      </c>
      <c r="K518" s="132">
        <v>0.0</v>
      </c>
      <c r="L518" s="132">
        <v>0.0</v>
      </c>
      <c r="M518" s="132">
        <v>0.0</v>
      </c>
      <c r="N518" s="132">
        <v>0.0</v>
      </c>
      <c r="O518" s="132">
        <v>0.0</v>
      </c>
      <c r="P518" s="132">
        <v>0.0</v>
      </c>
      <c r="Q518" s="132">
        <v>0.0</v>
      </c>
      <c r="R518" s="132">
        <v>0.0</v>
      </c>
      <c r="S518" s="132">
        <v>0.0</v>
      </c>
      <c r="T518" s="132">
        <v>0.0</v>
      </c>
      <c r="U518" s="132">
        <v>0.0</v>
      </c>
      <c r="V518" s="132">
        <v>0.0</v>
      </c>
      <c r="W518" s="132">
        <v>0.0</v>
      </c>
      <c r="Y518" s="132" t="s">
        <v>4020</v>
      </c>
      <c r="Z518" s="132">
        <f t="shared" ref="Z518:AC518" si="1032">C518-1000</f>
        <v>-1000</v>
      </c>
      <c r="AA518" s="132">
        <f t="shared" si="1032"/>
        <v>-1000</v>
      </c>
      <c r="AB518" s="132">
        <f t="shared" si="1032"/>
        <v>-1000</v>
      </c>
      <c r="AC518" s="132">
        <f t="shared" si="1032"/>
        <v>-1000</v>
      </c>
      <c r="AD518" s="132">
        <f t="shared" si="4"/>
        <v>-9000</v>
      </c>
      <c r="AE518" s="132">
        <f t="shared" ref="AE518:AS518" si="1033">H518-1000</f>
        <v>-1000</v>
      </c>
      <c r="AF518" s="132">
        <f t="shared" si="1033"/>
        <v>-1000</v>
      </c>
      <c r="AG518" s="132">
        <f t="shared" si="1033"/>
        <v>-1000</v>
      </c>
      <c r="AH518" s="132">
        <f t="shared" si="1033"/>
        <v>-1000</v>
      </c>
      <c r="AI518" s="132">
        <f t="shared" si="1033"/>
        <v>-1000</v>
      </c>
      <c r="AJ518" s="132">
        <f t="shared" si="1033"/>
        <v>-1000</v>
      </c>
      <c r="AK518" s="132">
        <f t="shared" si="1033"/>
        <v>-1000</v>
      </c>
      <c r="AL518" s="132">
        <f t="shared" si="1033"/>
        <v>-1000</v>
      </c>
      <c r="AM518" s="132">
        <f t="shared" si="1033"/>
        <v>-1000</v>
      </c>
      <c r="AN518" s="132">
        <f t="shared" si="1033"/>
        <v>-1000</v>
      </c>
      <c r="AO518" s="132">
        <f t="shared" si="1033"/>
        <v>-1000</v>
      </c>
      <c r="AP518" s="132">
        <f t="shared" si="1033"/>
        <v>-1000</v>
      </c>
      <c r="AQ518" s="132">
        <f t="shared" si="1033"/>
        <v>-1000</v>
      </c>
      <c r="AR518" s="132">
        <f t="shared" si="1033"/>
        <v>-1000</v>
      </c>
      <c r="AS518" s="132">
        <f t="shared" si="1033"/>
        <v>-1000</v>
      </c>
    </row>
    <row r="519">
      <c r="A519" s="132" t="s">
        <v>4021</v>
      </c>
      <c r="B519" s="132">
        <v>5000.0</v>
      </c>
      <c r="C519" s="132">
        <v>0.0</v>
      </c>
      <c r="D519" s="132">
        <v>0.0</v>
      </c>
      <c r="E519" s="132">
        <v>0.0</v>
      </c>
      <c r="F519" s="132">
        <v>0.0</v>
      </c>
      <c r="G519" s="132">
        <v>5000.0</v>
      </c>
      <c r="H519" s="132">
        <v>0.0</v>
      </c>
      <c r="I519" s="132">
        <v>0.0</v>
      </c>
      <c r="J519" s="132">
        <v>0.0</v>
      </c>
      <c r="K519" s="132">
        <v>0.0</v>
      </c>
      <c r="L519" s="132">
        <v>0.0</v>
      </c>
      <c r="M519" s="132">
        <v>0.0</v>
      </c>
      <c r="N519" s="132">
        <v>0.0</v>
      </c>
      <c r="O519" s="132">
        <v>0.0</v>
      </c>
      <c r="P519" s="132">
        <v>0.0</v>
      </c>
      <c r="Q519" s="132">
        <v>0.0</v>
      </c>
      <c r="R519" s="132">
        <v>0.0</v>
      </c>
      <c r="S519" s="132">
        <v>0.0</v>
      </c>
      <c r="T519" s="132">
        <v>0.0</v>
      </c>
      <c r="U519" s="132">
        <v>0.0</v>
      </c>
      <c r="V519" s="132">
        <v>0.0</v>
      </c>
      <c r="W519" s="132">
        <v>0.0</v>
      </c>
      <c r="Y519" s="132" t="s">
        <v>4021</v>
      </c>
      <c r="Z519" s="132">
        <f t="shared" ref="Z519:AC519" si="1034">C519-1000</f>
        <v>-1000</v>
      </c>
      <c r="AA519" s="132">
        <f t="shared" si="1034"/>
        <v>-1000</v>
      </c>
      <c r="AB519" s="132">
        <f t="shared" si="1034"/>
        <v>-1000</v>
      </c>
      <c r="AC519" s="132">
        <f t="shared" si="1034"/>
        <v>-1000</v>
      </c>
      <c r="AD519" s="132">
        <f t="shared" si="4"/>
        <v>-5000</v>
      </c>
      <c r="AE519" s="132">
        <f t="shared" ref="AE519:AS519" si="1035">H519-1000</f>
        <v>-1000</v>
      </c>
      <c r="AF519" s="132">
        <f t="shared" si="1035"/>
        <v>-1000</v>
      </c>
      <c r="AG519" s="132">
        <f t="shared" si="1035"/>
        <v>-1000</v>
      </c>
      <c r="AH519" s="132">
        <f t="shared" si="1035"/>
        <v>-1000</v>
      </c>
      <c r="AI519" s="132">
        <f t="shared" si="1035"/>
        <v>-1000</v>
      </c>
      <c r="AJ519" s="132">
        <f t="shared" si="1035"/>
        <v>-1000</v>
      </c>
      <c r="AK519" s="132">
        <f t="shared" si="1035"/>
        <v>-1000</v>
      </c>
      <c r="AL519" s="132">
        <f t="shared" si="1035"/>
        <v>-1000</v>
      </c>
      <c r="AM519" s="132">
        <f t="shared" si="1035"/>
        <v>-1000</v>
      </c>
      <c r="AN519" s="132">
        <f t="shared" si="1035"/>
        <v>-1000</v>
      </c>
      <c r="AO519" s="132">
        <f t="shared" si="1035"/>
        <v>-1000</v>
      </c>
      <c r="AP519" s="132">
        <f t="shared" si="1035"/>
        <v>-1000</v>
      </c>
      <c r="AQ519" s="132">
        <f t="shared" si="1035"/>
        <v>-1000</v>
      </c>
      <c r="AR519" s="132">
        <f t="shared" si="1035"/>
        <v>-1000</v>
      </c>
      <c r="AS519" s="132">
        <f t="shared" si="1035"/>
        <v>-1000</v>
      </c>
    </row>
    <row r="520">
      <c r="A520" s="132" t="s">
        <v>4022</v>
      </c>
      <c r="B520" s="132">
        <v>5000.0</v>
      </c>
      <c r="C520" s="132">
        <v>0.0</v>
      </c>
      <c r="D520" s="132">
        <v>0.0</v>
      </c>
      <c r="E520" s="132">
        <v>0.0</v>
      </c>
      <c r="F520" s="132">
        <v>0.0</v>
      </c>
      <c r="G520" s="132">
        <v>5000.0</v>
      </c>
      <c r="H520" s="132">
        <v>0.0</v>
      </c>
      <c r="I520" s="132">
        <v>0.0</v>
      </c>
      <c r="J520" s="132">
        <v>0.0</v>
      </c>
      <c r="K520" s="132">
        <v>0.0</v>
      </c>
      <c r="L520" s="132">
        <v>0.0</v>
      </c>
      <c r="M520" s="132">
        <v>0.0</v>
      </c>
      <c r="N520" s="132">
        <v>0.0</v>
      </c>
      <c r="O520" s="132">
        <v>0.0</v>
      </c>
      <c r="P520" s="132">
        <v>0.0</v>
      </c>
      <c r="Q520" s="132">
        <v>0.0</v>
      </c>
      <c r="R520" s="132">
        <v>0.0</v>
      </c>
      <c r="S520" s="132">
        <v>0.0</v>
      </c>
      <c r="T520" s="132">
        <v>0.0</v>
      </c>
      <c r="U520" s="132">
        <v>0.0</v>
      </c>
      <c r="V520" s="132">
        <v>0.0</v>
      </c>
      <c r="W520" s="132">
        <v>0.0</v>
      </c>
      <c r="Y520" s="132" t="s">
        <v>4022</v>
      </c>
      <c r="Z520" s="132">
        <f t="shared" ref="Z520:AC520" si="1036">C520-1000</f>
        <v>-1000</v>
      </c>
      <c r="AA520" s="132">
        <f t="shared" si="1036"/>
        <v>-1000</v>
      </c>
      <c r="AB520" s="132">
        <f t="shared" si="1036"/>
        <v>-1000</v>
      </c>
      <c r="AC520" s="132">
        <f t="shared" si="1036"/>
        <v>-1000</v>
      </c>
      <c r="AD520" s="132">
        <f t="shared" si="4"/>
        <v>-5000</v>
      </c>
      <c r="AE520" s="132">
        <f t="shared" ref="AE520:AS520" si="1037">H520-1000</f>
        <v>-1000</v>
      </c>
      <c r="AF520" s="132">
        <f t="shared" si="1037"/>
        <v>-1000</v>
      </c>
      <c r="AG520" s="132">
        <f t="shared" si="1037"/>
        <v>-1000</v>
      </c>
      <c r="AH520" s="132">
        <f t="shared" si="1037"/>
        <v>-1000</v>
      </c>
      <c r="AI520" s="132">
        <f t="shared" si="1037"/>
        <v>-1000</v>
      </c>
      <c r="AJ520" s="132">
        <f t="shared" si="1037"/>
        <v>-1000</v>
      </c>
      <c r="AK520" s="132">
        <f t="shared" si="1037"/>
        <v>-1000</v>
      </c>
      <c r="AL520" s="132">
        <f t="shared" si="1037"/>
        <v>-1000</v>
      </c>
      <c r="AM520" s="132">
        <f t="shared" si="1037"/>
        <v>-1000</v>
      </c>
      <c r="AN520" s="132">
        <f t="shared" si="1037"/>
        <v>-1000</v>
      </c>
      <c r="AO520" s="132">
        <f t="shared" si="1037"/>
        <v>-1000</v>
      </c>
      <c r="AP520" s="132">
        <f t="shared" si="1037"/>
        <v>-1000</v>
      </c>
      <c r="AQ520" s="132">
        <f t="shared" si="1037"/>
        <v>-1000</v>
      </c>
      <c r="AR520" s="132">
        <f t="shared" si="1037"/>
        <v>-1000</v>
      </c>
      <c r="AS520" s="132">
        <f t="shared" si="1037"/>
        <v>-1000</v>
      </c>
    </row>
    <row r="521">
      <c r="A521" s="132" t="s">
        <v>4023</v>
      </c>
      <c r="B521" s="132">
        <v>5000.0</v>
      </c>
      <c r="C521" s="132">
        <v>0.0</v>
      </c>
      <c r="D521" s="132">
        <v>0.0</v>
      </c>
      <c r="E521" s="132">
        <v>0.0</v>
      </c>
      <c r="F521" s="132">
        <v>0.0</v>
      </c>
      <c r="G521" s="132">
        <v>5000.0</v>
      </c>
      <c r="H521" s="132">
        <v>0.0</v>
      </c>
      <c r="I521" s="132">
        <v>0.0</v>
      </c>
      <c r="J521" s="132">
        <v>0.0</v>
      </c>
      <c r="K521" s="132">
        <v>0.0</v>
      </c>
      <c r="L521" s="132">
        <v>0.0</v>
      </c>
      <c r="M521" s="132">
        <v>0.0</v>
      </c>
      <c r="N521" s="132">
        <v>0.0</v>
      </c>
      <c r="O521" s="132">
        <v>0.0</v>
      </c>
      <c r="P521" s="132">
        <v>0.0</v>
      </c>
      <c r="Q521" s="132">
        <v>0.0</v>
      </c>
      <c r="R521" s="132">
        <v>0.0</v>
      </c>
      <c r="S521" s="132">
        <v>0.0</v>
      </c>
      <c r="T521" s="132">
        <v>0.0</v>
      </c>
      <c r="U521" s="132">
        <v>0.0</v>
      </c>
      <c r="V521" s="132">
        <v>0.0</v>
      </c>
      <c r="W521" s="132">
        <v>0.0</v>
      </c>
      <c r="Y521" s="132" t="s">
        <v>4023</v>
      </c>
      <c r="Z521" s="132">
        <f t="shared" ref="Z521:AC521" si="1038">C521-1000</f>
        <v>-1000</v>
      </c>
      <c r="AA521" s="132">
        <f t="shared" si="1038"/>
        <v>-1000</v>
      </c>
      <c r="AB521" s="132">
        <f t="shared" si="1038"/>
        <v>-1000</v>
      </c>
      <c r="AC521" s="132">
        <f t="shared" si="1038"/>
        <v>-1000</v>
      </c>
      <c r="AD521" s="132">
        <f t="shared" si="4"/>
        <v>-5000</v>
      </c>
      <c r="AE521" s="132">
        <f t="shared" ref="AE521:AS521" si="1039">H521-1000</f>
        <v>-1000</v>
      </c>
      <c r="AF521" s="132">
        <f t="shared" si="1039"/>
        <v>-1000</v>
      </c>
      <c r="AG521" s="132">
        <f t="shared" si="1039"/>
        <v>-1000</v>
      </c>
      <c r="AH521" s="132">
        <f t="shared" si="1039"/>
        <v>-1000</v>
      </c>
      <c r="AI521" s="132">
        <f t="shared" si="1039"/>
        <v>-1000</v>
      </c>
      <c r="AJ521" s="132">
        <f t="shared" si="1039"/>
        <v>-1000</v>
      </c>
      <c r="AK521" s="132">
        <f t="shared" si="1039"/>
        <v>-1000</v>
      </c>
      <c r="AL521" s="132">
        <f t="shared" si="1039"/>
        <v>-1000</v>
      </c>
      <c r="AM521" s="132">
        <f t="shared" si="1039"/>
        <v>-1000</v>
      </c>
      <c r="AN521" s="132">
        <f t="shared" si="1039"/>
        <v>-1000</v>
      </c>
      <c r="AO521" s="132">
        <f t="shared" si="1039"/>
        <v>-1000</v>
      </c>
      <c r="AP521" s="132">
        <f t="shared" si="1039"/>
        <v>-1000</v>
      </c>
      <c r="AQ521" s="132">
        <f t="shared" si="1039"/>
        <v>-1000</v>
      </c>
      <c r="AR521" s="132">
        <f t="shared" si="1039"/>
        <v>-1000</v>
      </c>
      <c r="AS521" s="132">
        <f t="shared" si="1039"/>
        <v>-1000</v>
      </c>
    </row>
    <row r="522">
      <c r="A522" s="132" t="s">
        <v>4024</v>
      </c>
      <c r="B522" s="132">
        <v>5000.0</v>
      </c>
      <c r="C522" s="132">
        <v>0.0</v>
      </c>
      <c r="D522" s="132">
        <v>0.0</v>
      </c>
      <c r="E522" s="132">
        <v>0.0</v>
      </c>
      <c r="F522" s="132">
        <v>0.0</v>
      </c>
      <c r="G522" s="132">
        <v>5000.0</v>
      </c>
      <c r="H522" s="132">
        <v>0.0</v>
      </c>
      <c r="I522" s="132">
        <v>0.0</v>
      </c>
      <c r="J522" s="132">
        <v>0.0</v>
      </c>
      <c r="K522" s="132">
        <v>0.0</v>
      </c>
      <c r="L522" s="132">
        <v>0.0</v>
      </c>
      <c r="M522" s="132">
        <v>0.0</v>
      </c>
      <c r="N522" s="132">
        <v>0.0</v>
      </c>
      <c r="O522" s="132">
        <v>0.0</v>
      </c>
      <c r="P522" s="132">
        <v>0.0</v>
      </c>
      <c r="Q522" s="132">
        <v>0.0</v>
      </c>
      <c r="R522" s="132">
        <v>0.0</v>
      </c>
      <c r="S522" s="132">
        <v>0.0</v>
      </c>
      <c r="T522" s="132">
        <v>0.0</v>
      </c>
      <c r="U522" s="132">
        <v>0.0</v>
      </c>
      <c r="V522" s="132">
        <v>0.0</v>
      </c>
      <c r="W522" s="132">
        <v>0.0</v>
      </c>
      <c r="Y522" s="132" t="s">
        <v>4024</v>
      </c>
      <c r="Z522" s="132">
        <f t="shared" ref="Z522:AC522" si="1040">C522-1000</f>
        <v>-1000</v>
      </c>
      <c r="AA522" s="132">
        <f t="shared" si="1040"/>
        <v>-1000</v>
      </c>
      <c r="AB522" s="132">
        <f t="shared" si="1040"/>
        <v>-1000</v>
      </c>
      <c r="AC522" s="132">
        <f t="shared" si="1040"/>
        <v>-1000</v>
      </c>
      <c r="AD522" s="132">
        <f t="shared" si="4"/>
        <v>-5000</v>
      </c>
      <c r="AE522" s="132">
        <f t="shared" ref="AE522:AS522" si="1041">H522-1000</f>
        <v>-1000</v>
      </c>
      <c r="AF522" s="132">
        <f t="shared" si="1041"/>
        <v>-1000</v>
      </c>
      <c r="AG522" s="132">
        <f t="shared" si="1041"/>
        <v>-1000</v>
      </c>
      <c r="AH522" s="132">
        <f t="shared" si="1041"/>
        <v>-1000</v>
      </c>
      <c r="AI522" s="132">
        <f t="shared" si="1041"/>
        <v>-1000</v>
      </c>
      <c r="AJ522" s="132">
        <f t="shared" si="1041"/>
        <v>-1000</v>
      </c>
      <c r="AK522" s="132">
        <f t="shared" si="1041"/>
        <v>-1000</v>
      </c>
      <c r="AL522" s="132">
        <f t="shared" si="1041"/>
        <v>-1000</v>
      </c>
      <c r="AM522" s="132">
        <f t="shared" si="1041"/>
        <v>-1000</v>
      </c>
      <c r="AN522" s="132">
        <f t="shared" si="1041"/>
        <v>-1000</v>
      </c>
      <c r="AO522" s="132">
        <f t="shared" si="1041"/>
        <v>-1000</v>
      </c>
      <c r="AP522" s="132">
        <f t="shared" si="1041"/>
        <v>-1000</v>
      </c>
      <c r="AQ522" s="132">
        <f t="shared" si="1041"/>
        <v>-1000</v>
      </c>
      <c r="AR522" s="132">
        <f t="shared" si="1041"/>
        <v>-1000</v>
      </c>
      <c r="AS522" s="132">
        <f t="shared" si="1041"/>
        <v>-1000</v>
      </c>
    </row>
    <row r="523">
      <c r="A523" s="132" t="s">
        <v>4025</v>
      </c>
      <c r="B523" s="132">
        <v>1000.0</v>
      </c>
      <c r="C523" s="132">
        <v>0.0</v>
      </c>
      <c r="D523" s="132">
        <v>0.0</v>
      </c>
      <c r="E523" s="132">
        <v>0.0</v>
      </c>
      <c r="F523" s="132">
        <v>0.0</v>
      </c>
      <c r="G523" s="132">
        <v>1000.0</v>
      </c>
      <c r="H523" s="132">
        <v>0.0</v>
      </c>
      <c r="I523" s="132">
        <v>0.0</v>
      </c>
      <c r="J523" s="132">
        <v>0.0</v>
      </c>
      <c r="K523" s="132">
        <v>0.0</v>
      </c>
      <c r="L523" s="132">
        <v>0.0</v>
      </c>
      <c r="M523" s="132">
        <v>0.0</v>
      </c>
      <c r="N523" s="132">
        <v>0.0</v>
      </c>
      <c r="O523" s="132">
        <v>0.0</v>
      </c>
      <c r="P523" s="132">
        <v>0.0</v>
      </c>
      <c r="Q523" s="132">
        <v>0.0</v>
      </c>
      <c r="R523" s="132">
        <v>0.0</v>
      </c>
      <c r="S523" s="132">
        <v>0.0</v>
      </c>
      <c r="T523" s="132">
        <v>0.0</v>
      </c>
      <c r="U523" s="132">
        <v>0.0</v>
      </c>
      <c r="V523" s="132">
        <v>0.0</v>
      </c>
      <c r="W523" s="132">
        <v>0.0</v>
      </c>
      <c r="Y523" s="132" t="s">
        <v>4025</v>
      </c>
      <c r="Z523" s="132">
        <f t="shared" ref="Z523:AC523" si="1042">C523-1000</f>
        <v>-1000</v>
      </c>
      <c r="AA523" s="132">
        <f t="shared" si="1042"/>
        <v>-1000</v>
      </c>
      <c r="AB523" s="132">
        <f t="shared" si="1042"/>
        <v>-1000</v>
      </c>
      <c r="AC523" s="132">
        <f t="shared" si="1042"/>
        <v>-1000</v>
      </c>
      <c r="AD523" s="132">
        <f t="shared" si="4"/>
        <v>-9000</v>
      </c>
      <c r="AE523" s="132">
        <f t="shared" ref="AE523:AS523" si="1043">H523-1000</f>
        <v>-1000</v>
      </c>
      <c r="AF523" s="132">
        <f t="shared" si="1043"/>
        <v>-1000</v>
      </c>
      <c r="AG523" s="132">
        <f t="shared" si="1043"/>
        <v>-1000</v>
      </c>
      <c r="AH523" s="132">
        <f t="shared" si="1043"/>
        <v>-1000</v>
      </c>
      <c r="AI523" s="132">
        <f t="shared" si="1043"/>
        <v>-1000</v>
      </c>
      <c r="AJ523" s="132">
        <f t="shared" si="1043"/>
        <v>-1000</v>
      </c>
      <c r="AK523" s="132">
        <f t="shared" si="1043"/>
        <v>-1000</v>
      </c>
      <c r="AL523" s="132">
        <f t="shared" si="1043"/>
        <v>-1000</v>
      </c>
      <c r="AM523" s="132">
        <f t="shared" si="1043"/>
        <v>-1000</v>
      </c>
      <c r="AN523" s="132">
        <f t="shared" si="1043"/>
        <v>-1000</v>
      </c>
      <c r="AO523" s="132">
        <f t="shared" si="1043"/>
        <v>-1000</v>
      </c>
      <c r="AP523" s="132">
        <f t="shared" si="1043"/>
        <v>-1000</v>
      </c>
      <c r="AQ523" s="132">
        <f t="shared" si="1043"/>
        <v>-1000</v>
      </c>
      <c r="AR523" s="132">
        <f t="shared" si="1043"/>
        <v>-1000</v>
      </c>
      <c r="AS523" s="132">
        <f t="shared" si="1043"/>
        <v>-1000</v>
      </c>
    </row>
    <row r="524">
      <c r="A524" s="132" t="s">
        <v>4026</v>
      </c>
      <c r="B524" s="132">
        <v>1000.0</v>
      </c>
      <c r="C524" s="132">
        <v>0.0</v>
      </c>
      <c r="D524" s="132">
        <v>0.0</v>
      </c>
      <c r="E524" s="132">
        <v>0.0</v>
      </c>
      <c r="F524" s="132">
        <v>0.0</v>
      </c>
      <c r="G524" s="132">
        <v>1000.0</v>
      </c>
      <c r="H524" s="132">
        <v>0.0</v>
      </c>
      <c r="I524" s="132">
        <v>0.0</v>
      </c>
      <c r="J524" s="132">
        <v>0.0</v>
      </c>
      <c r="K524" s="132">
        <v>0.0</v>
      </c>
      <c r="L524" s="132">
        <v>0.0</v>
      </c>
      <c r="M524" s="132">
        <v>0.0</v>
      </c>
      <c r="N524" s="132">
        <v>0.0</v>
      </c>
      <c r="O524" s="132">
        <v>0.0</v>
      </c>
      <c r="P524" s="132">
        <v>0.0</v>
      </c>
      <c r="Q524" s="132">
        <v>0.0</v>
      </c>
      <c r="R524" s="132">
        <v>0.0</v>
      </c>
      <c r="S524" s="132">
        <v>0.0</v>
      </c>
      <c r="T524" s="132">
        <v>0.0</v>
      </c>
      <c r="U524" s="132">
        <v>0.0</v>
      </c>
      <c r="V524" s="132">
        <v>0.0</v>
      </c>
      <c r="W524" s="132">
        <v>0.0</v>
      </c>
      <c r="Y524" s="132" t="s">
        <v>4026</v>
      </c>
      <c r="Z524" s="132">
        <f t="shared" ref="Z524:AC524" si="1044">C524-1000</f>
        <v>-1000</v>
      </c>
      <c r="AA524" s="132">
        <f t="shared" si="1044"/>
        <v>-1000</v>
      </c>
      <c r="AB524" s="132">
        <f t="shared" si="1044"/>
        <v>-1000</v>
      </c>
      <c r="AC524" s="132">
        <f t="shared" si="1044"/>
        <v>-1000</v>
      </c>
      <c r="AD524" s="132">
        <f t="shared" si="4"/>
        <v>-9000</v>
      </c>
      <c r="AE524" s="132">
        <f t="shared" ref="AE524:AS524" si="1045">H524-1000</f>
        <v>-1000</v>
      </c>
      <c r="AF524" s="132">
        <f t="shared" si="1045"/>
        <v>-1000</v>
      </c>
      <c r="AG524" s="132">
        <f t="shared" si="1045"/>
        <v>-1000</v>
      </c>
      <c r="AH524" s="132">
        <f t="shared" si="1045"/>
        <v>-1000</v>
      </c>
      <c r="AI524" s="132">
        <f t="shared" si="1045"/>
        <v>-1000</v>
      </c>
      <c r="AJ524" s="132">
        <f t="shared" si="1045"/>
        <v>-1000</v>
      </c>
      <c r="AK524" s="132">
        <f t="shared" si="1045"/>
        <v>-1000</v>
      </c>
      <c r="AL524" s="132">
        <f t="shared" si="1045"/>
        <v>-1000</v>
      </c>
      <c r="AM524" s="132">
        <f t="shared" si="1045"/>
        <v>-1000</v>
      </c>
      <c r="AN524" s="132">
        <f t="shared" si="1045"/>
        <v>-1000</v>
      </c>
      <c r="AO524" s="132">
        <f t="shared" si="1045"/>
        <v>-1000</v>
      </c>
      <c r="AP524" s="132">
        <f t="shared" si="1045"/>
        <v>-1000</v>
      </c>
      <c r="AQ524" s="132">
        <f t="shared" si="1045"/>
        <v>-1000</v>
      </c>
      <c r="AR524" s="132">
        <f t="shared" si="1045"/>
        <v>-1000</v>
      </c>
      <c r="AS524" s="132">
        <f t="shared" si="1045"/>
        <v>-1000</v>
      </c>
    </row>
    <row r="525">
      <c r="A525" s="132" t="s">
        <v>4027</v>
      </c>
      <c r="B525" s="132">
        <v>500.0</v>
      </c>
      <c r="C525" s="132">
        <v>0.0</v>
      </c>
      <c r="D525" s="132">
        <v>0.0</v>
      </c>
      <c r="E525" s="132">
        <v>0.0</v>
      </c>
      <c r="F525" s="132">
        <v>0.0</v>
      </c>
      <c r="G525" s="132">
        <v>500.0</v>
      </c>
      <c r="H525" s="132">
        <v>0.0</v>
      </c>
      <c r="I525" s="132">
        <v>0.0</v>
      </c>
      <c r="J525" s="132">
        <v>0.0</v>
      </c>
      <c r="K525" s="132">
        <v>0.0</v>
      </c>
      <c r="L525" s="132">
        <v>0.0</v>
      </c>
      <c r="M525" s="132">
        <v>0.0</v>
      </c>
      <c r="N525" s="132">
        <v>0.0</v>
      </c>
      <c r="O525" s="132">
        <v>0.0</v>
      </c>
      <c r="P525" s="132">
        <v>0.0</v>
      </c>
      <c r="Q525" s="132">
        <v>0.0</v>
      </c>
      <c r="R525" s="132">
        <v>0.0</v>
      </c>
      <c r="S525" s="132">
        <v>0.0</v>
      </c>
      <c r="T525" s="132">
        <v>0.0</v>
      </c>
      <c r="U525" s="132">
        <v>0.0</v>
      </c>
      <c r="V525" s="132">
        <v>0.0</v>
      </c>
      <c r="W525" s="132">
        <v>0.0</v>
      </c>
      <c r="Y525" s="132" t="s">
        <v>4027</v>
      </c>
      <c r="Z525" s="132">
        <f t="shared" ref="Z525:AC525" si="1046">C525-1000</f>
        <v>-1000</v>
      </c>
      <c r="AA525" s="132">
        <f t="shared" si="1046"/>
        <v>-1000</v>
      </c>
      <c r="AB525" s="132">
        <f t="shared" si="1046"/>
        <v>-1000</v>
      </c>
      <c r="AC525" s="132">
        <f t="shared" si="1046"/>
        <v>-1000</v>
      </c>
      <c r="AD525" s="132">
        <f t="shared" si="4"/>
        <v>-9500</v>
      </c>
      <c r="AE525" s="132">
        <f t="shared" ref="AE525:AS525" si="1047">H525-1000</f>
        <v>-1000</v>
      </c>
      <c r="AF525" s="132">
        <f t="shared" si="1047"/>
        <v>-1000</v>
      </c>
      <c r="AG525" s="132">
        <f t="shared" si="1047"/>
        <v>-1000</v>
      </c>
      <c r="AH525" s="132">
        <f t="shared" si="1047"/>
        <v>-1000</v>
      </c>
      <c r="AI525" s="132">
        <f t="shared" si="1047"/>
        <v>-1000</v>
      </c>
      <c r="AJ525" s="132">
        <f t="shared" si="1047"/>
        <v>-1000</v>
      </c>
      <c r="AK525" s="132">
        <f t="shared" si="1047"/>
        <v>-1000</v>
      </c>
      <c r="AL525" s="132">
        <f t="shared" si="1047"/>
        <v>-1000</v>
      </c>
      <c r="AM525" s="132">
        <f t="shared" si="1047"/>
        <v>-1000</v>
      </c>
      <c r="AN525" s="132">
        <f t="shared" si="1047"/>
        <v>-1000</v>
      </c>
      <c r="AO525" s="132">
        <f t="shared" si="1047"/>
        <v>-1000</v>
      </c>
      <c r="AP525" s="132">
        <f t="shared" si="1047"/>
        <v>-1000</v>
      </c>
      <c r="AQ525" s="132">
        <f t="shared" si="1047"/>
        <v>-1000</v>
      </c>
      <c r="AR525" s="132">
        <f t="shared" si="1047"/>
        <v>-1000</v>
      </c>
      <c r="AS525" s="132">
        <f t="shared" si="1047"/>
        <v>-1000</v>
      </c>
    </row>
    <row r="526">
      <c r="A526" s="132" t="s">
        <v>4028</v>
      </c>
      <c r="B526" s="132">
        <v>100.0</v>
      </c>
      <c r="C526" s="132">
        <v>0.0</v>
      </c>
      <c r="D526" s="132">
        <v>0.0</v>
      </c>
      <c r="E526" s="132">
        <v>0.0</v>
      </c>
      <c r="F526" s="132">
        <v>0.0</v>
      </c>
      <c r="G526" s="132">
        <v>100.0</v>
      </c>
      <c r="H526" s="132">
        <v>0.0</v>
      </c>
      <c r="I526" s="132">
        <v>0.0</v>
      </c>
      <c r="J526" s="132">
        <v>0.0</v>
      </c>
      <c r="K526" s="132">
        <v>0.0</v>
      </c>
      <c r="L526" s="132">
        <v>0.0</v>
      </c>
      <c r="M526" s="132">
        <v>0.0</v>
      </c>
      <c r="N526" s="132">
        <v>0.0</v>
      </c>
      <c r="O526" s="132">
        <v>0.0</v>
      </c>
      <c r="P526" s="132">
        <v>0.0</v>
      </c>
      <c r="Q526" s="132">
        <v>0.0</v>
      </c>
      <c r="R526" s="132">
        <v>0.0</v>
      </c>
      <c r="S526" s="132">
        <v>0.0</v>
      </c>
      <c r="T526" s="132">
        <v>0.0</v>
      </c>
      <c r="U526" s="132">
        <v>0.0</v>
      </c>
      <c r="V526" s="132">
        <v>0.0</v>
      </c>
      <c r="W526" s="132">
        <v>0.0</v>
      </c>
      <c r="Y526" s="132" t="s">
        <v>4028</v>
      </c>
      <c r="Z526" s="132">
        <f t="shared" ref="Z526:AC526" si="1048">C526-1000</f>
        <v>-1000</v>
      </c>
      <c r="AA526" s="132">
        <f t="shared" si="1048"/>
        <v>-1000</v>
      </c>
      <c r="AB526" s="132">
        <f t="shared" si="1048"/>
        <v>-1000</v>
      </c>
      <c r="AC526" s="132">
        <f t="shared" si="1048"/>
        <v>-1000</v>
      </c>
      <c r="AD526" s="132">
        <f t="shared" si="4"/>
        <v>-9900</v>
      </c>
      <c r="AE526" s="132">
        <f t="shared" ref="AE526:AS526" si="1049">H526-1000</f>
        <v>-1000</v>
      </c>
      <c r="AF526" s="132">
        <f t="shared" si="1049"/>
        <v>-1000</v>
      </c>
      <c r="AG526" s="132">
        <f t="shared" si="1049"/>
        <v>-1000</v>
      </c>
      <c r="AH526" s="132">
        <f t="shared" si="1049"/>
        <v>-1000</v>
      </c>
      <c r="AI526" s="132">
        <f t="shared" si="1049"/>
        <v>-1000</v>
      </c>
      <c r="AJ526" s="132">
        <f t="shared" si="1049"/>
        <v>-1000</v>
      </c>
      <c r="AK526" s="132">
        <f t="shared" si="1049"/>
        <v>-1000</v>
      </c>
      <c r="AL526" s="132">
        <f t="shared" si="1049"/>
        <v>-1000</v>
      </c>
      <c r="AM526" s="132">
        <f t="shared" si="1049"/>
        <v>-1000</v>
      </c>
      <c r="AN526" s="132">
        <f t="shared" si="1049"/>
        <v>-1000</v>
      </c>
      <c r="AO526" s="132">
        <f t="shared" si="1049"/>
        <v>-1000</v>
      </c>
      <c r="AP526" s="132">
        <f t="shared" si="1049"/>
        <v>-1000</v>
      </c>
      <c r="AQ526" s="132">
        <f t="shared" si="1049"/>
        <v>-1000</v>
      </c>
      <c r="AR526" s="132">
        <f t="shared" si="1049"/>
        <v>-1000</v>
      </c>
      <c r="AS526" s="132">
        <f t="shared" si="1049"/>
        <v>-1000</v>
      </c>
    </row>
    <row r="527">
      <c r="A527" s="132" t="s">
        <v>4029</v>
      </c>
      <c r="B527" s="132">
        <v>2500.0</v>
      </c>
      <c r="C527" s="132">
        <v>0.0</v>
      </c>
      <c r="D527" s="132">
        <v>0.0</v>
      </c>
      <c r="E527" s="132">
        <v>0.0</v>
      </c>
      <c r="F527" s="132">
        <v>0.0</v>
      </c>
      <c r="G527" s="132">
        <v>2500.0</v>
      </c>
      <c r="H527" s="132">
        <v>0.0</v>
      </c>
      <c r="I527" s="132">
        <v>0.0</v>
      </c>
      <c r="J527" s="132">
        <v>0.0</v>
      </c>
      <c r="K527" s="132">
        <v>0.0</v>
      </c>
      <c r="L527" s="132">
        <v>0.0</v>
      </c>
      <c r="M527" s="132">
        <v>0.0</v>
      </c>
      <c r="N527" s="132">
        <v>0.0</v>
      </c>
      <c r="O527" s="132">
        <v>0.0</v>
      </c>
      <c r="P527" s="132">
        <v>0.0</v>
      </c>
      <c r="Q527" s="132">
        <v>0.0</v>
      </c>
      <c r="R527" s="132">
        <v>0.0</v>
      </c>
      <c r="S527" s="132">
        <v>0.0</v>
      </c>
      <c r="T527" s="132">
        <v>0.0</v>
      </c>
      <c r="U527" s="132">
        <v>0.0</v>
      </c>
      <c r="V527" s="132">
        <v>0.0</v>
      </c>
      <c r="W527" s="132">
        <v>0.0</v>
      </c>
      <c r="Y527" s="132" t="s">
        <v>4029</v>
      </c>
      <c r="Z527" s="132">
        <f t="shared" ref="Z527:AC527" si="1050">C527-1000</f>
        <v>-1000</v>
      </c>
      <c r="AA527" s="132">
        <f t="shared" si="1050"/>
        <v>-1000</v>
      </c>
      <c r="AB527" s="132">
        <f t="shared" si="1050"/>
        <v>-1000</v>
      </c>
      <c r="AC527" s="132">
        <f t="shared" si="1050"/>
        <v>-1000</v>
      </c>
      <c r="AD527" s="132">
        <f t="shared" si="4"/>
        <v>-7500</v>
      </c>
      <c r="AE527" s="132">
        <f t="shared" ref="AE527:AS527" si="1051">H527-1000</f>
        <v>-1000</v>
      </c>
      <c r="AF527" s="132">
        <f t="shared" si="1051"/>
        <v>-1000</v>
      </c>
      <c r="AG527" s="132">
        <f t="shared" si="1051"/>
        <v>-1000</v>
      </c>
      <c r="AH527" s="132">
        <f t="shared" si="1051"/>
        <v>-1000</v>
      </c>
      <c r="AI527" s="132">
        <f t="shared" si="1051"/>
        <v>-1000</v>
      </c>
      <c r="AJ527" s="132">
        <f t="shared" si="1051"/>
        <v>-1000</v>
      </c>
      <c r="AK527" s="132">
        <f t="shared" si="1051"/>
        <v>-1000</v>
      </c>
      <c r="AL527" s="132">
        <f t="shared" si="1051"/>
        <v>-1000</v>
      </c>
      <c r="AM527" s="132">
        <f t="shared" si="1051"/>
        <v>-1000</v>
      </c>
      <c r="AN527" s="132">
        <f t="shared" si="1051"/>
        <v>-1000</v>
      </c>
      <c r="AO527" s="132">
        <f t="shared" si="1051"/>
        <v>-1000</v>
      </c>
      <c r="AP527" s="132">
        <f t="shared" si="1051"/>
        <v>-1000</v>
      </c>
      <c r="AQ527" s="132">
        <f t="shared" si="1051"/>
        <v>-1000</v>
      </c>
      <c r="AR527" s="132">
        <f t="shared" si="1051"/>
        <v>-1000</v>
      </c>
      <c r="AS527" s="132">
        <f t="shared" si="1051"/>
        <v>-1000</v>
      </c>
    </row>
    <row r="528">
      <c r="A528" s="132" t="s">
        <v>4030</v>
      </c>
      <c r="B528" s="132">
        <v>250.0</v>
      </c>
      <c r="C528" s="132">
        <v>0.0</v>
      </c>
      <c r="D528" s="132">
        <v>0.0</v>
      </c>
      <c r="E528" s="132">
        <v>0.0</v>
      </c>
      <c r="F528" s="132">
        <v>0.0</v>
      </c>
      <c r="G528" s="132">
        <v>250.0</v>
      </c>
      <c r="H528" s="132">
        <v>0.0</v>
      </c>
      <c r="I528" s="132">
        <v>0.0</v>
      </c>
      <c r="J528" s="132">
        <v>0.0</v>
      </c>
      <c r="K528" s="132">
        <v>0.0</v>
      </c>
      <c r="L528" s="132">
        <v>0.0</v>
      </c>
      <c r="M528" s="132">
        <v>0.0</v>
      </c>
      <c r="N528" s="132">
        <v>0.0</v>
      </c>
      <c r="O528" s="132">
        <v>0.0</v>
      </c>
      <c r="P528" s="132">
        <v>0.0</v>
      </c>
      <c r="Q528" s="132">
        <v>0.0</v>
      </c>
      <c r="R528" s="132">
        <v>0.0</v>
      </c>
      <c r="S528" s="132">
        <v>0.0</v>
      </c>
      <c r="T528" s="132">
        <v>0.0</v>
      </c>
      <c r="U528" s="132">
        <v>0.0</v>
      </c>
      <c r="V528" s="132">
        <v>0.0</v>
      </c>
      <c r="W528" s="132">
        <v>0.0</v>
      </c>
      <c r="Y528" s="132" t="s">
        <v>4030</v>
      </c>
      <c r="Z528" s="132">
        <f t="shared" ref="Z528:AC528" si="1052">C528-1000</f>
        <v>-1000</v>
      </c>
      <c r="AA528" s="132">
        <f t="shared" si="1052"/>
        <v>-1000</v>
      </c>
      <c r="AB528" s="132">
        <f t="shared" si="1052"/>
        <v>-1000</v>
      </c>
      <c r="AC528" s="132">
        <f t="shared" si="1052"/>
        <v>-1000</v>
      </c>
      <c r="AD528" s="132">
        <f t="shared" si="4"/>
        <v>-9750</v>
      </c>
      <c r="AE528" s="132">
        <f t="shared" ref="AE528:AS528" si="1053">H528-1000</f>
        <v>-1000</v>
      </c>
      <c r="AF528" s="132">
        <f t="shared" si="1053"/>
        <v>-1000</v>
      </c>
      <c r="AG528" s="132">
        <f t="shared" si="1053"/>
        <v>-1000</v>
      </c>
      <c r="AH528" s="132">
        <f t="shared" si="1053"/>
        <v>-1000</v>
      </c>
      <c r="AI528" s="132">
        <f t="shared" si="1053"/>
        <v>-1000</v>
      </c>
      <c r="AJ528" s="132">
        <f t="shared" si="1053"/>
        <v>-1000</v>
      </c>
      <c r="AK528" s="132">
        <f t="shared" si="1053"/>
        <v>-1000</v>
      </c>
      <c r="AL528" s="132">
        <f t="shared" si="1053"/>
        <v>-1000</v>
      </c>
      <c r="AM528" s="132">
        <f t="shared" si="1053"/>
        <v>-1000</v>
      </c>
      <c r="AN528" s="132">
        <f t="shared" si="1053"/>
        <v>-1000</v>
      </c>
      <c r="AO528" s="132">
        <f t="shared" si="1053"/>
        <v>-1000</v>
      </c>
      <c r="AP528" s="132">
        <f t="shared" si="1053"/>
        <v>-1000</v>
      </c>
      <c r="AQ528" s="132">
        <f t="shared" si="1053"/>
        <v>-1000</v>
      </c>
      <c r="AR528" s="132">
        <f t="shared" si="1053"/>
        <v>-1000</v>
      </c>
      <c r="AS528" s="132">
        <f t="shared" si="1053"/>
        <v>-1000</v>
      </c>
    </row>
    <row r="529">
      <c r="A529" s="132" t="s">
        <v>4031</v>
      </c>
      <c r="B529" s="132">
        <v>1000.0</v>
      </c>
      <c r="C529" s="132">
        <v>0.0</v>
      </c>
      <c r="D529" s="132">
        <v>0.0</v>
      </c>
      <c r="E529" s="132">
        <v>0.0</v>
      </c>
      <c r="F529" s="132">
        <v>0.0</v>
      </c>
      <c r="G529" s="132">
        <v>1000.0</v>
      </c>
      <c r="H529" s="132">
        <v>0.0</v>
      </c>
      <c r="I529" s="132">
        <v>0.0</v>
      </c>
      <c r="J529" s="132">
        <v>0.0</v>
      </c>
      <c r="K529" s="132">
        <v>0.0</v>
      </c>
      <c r="L529" s="132">
        <v>0.0</v>
      </c>
      <c r="M529" s="132">
        <v>0.0</v>
      </c>
      <c r="N529" s="132">
        <v>0.0</v>
      </c>
      <c r="O529" s="132">
        <v>0.0</v>
      </c>
      <c r="P529" s="132">
        <v>0.0</v>
      </c>
      <c r="Q529" s="132">
        <v>0.0</v>
      </c>
      <c r="R529" s="132">
        <v>0.0</v>
      </c>
      <c r="S529" s="132">
        <v>0.0</v>
      </c>
      <c r="T529" s="132">
        <v>0.0</v>
      </c>
      <c r="U529" s="132">
        <v>0.0</v>
      </c>
      <c r="V529" s="132">
        <v>0.0</v>
      </c>
      <c r="W529" s="132">
        <v>0.0</v>
      </c>
      <c r="Y529" s="132" t="s">
        <v>4031</v>
      </c>
      <c r="Z529" s="132">
        <f t="shared" ref="Z529:AC529" si="1054">C529-1000</f>
        <v>-1000</v>
      </c>
      <c r="AA529" s="132">
        <f t="shared" si="1054"/>
        <v>-1000</v>
      </c>
      <c r="AB529" s="132">
        <f t="shared" si="1054"/>
        <v>-1000</v>
      </c>
      <c r="AC529" s="132">
        <f t="shared" si="1054"/>
        <v>-1000</v>
      </c>
      <c r="AD529" s="132">
        <f t="shared" si="4"/>
        <v>-9000</v>
      </c>
      <c r="AE529" s="132">
        <f t="shared" ref="AE529:AS529" si="1055">H529-1000</f>
        <v>-1000</v>
      </c>
      <c r="AF529" s="132">
        <f t="shared" si="1055"/>
        <v>-1000</v>
      </c>
      <c r="AG529" s="132">
        <f t="shared" si="1055"/>
        <v>-1000</v>
      </c>
      <c r="AH529" s="132">
        <f t="shared" si="1055"/>
        <v>-1000</v>
      </c>
      <c r="AI529" s="132">
        <f t="shared" si="1055"/>
        <v>-1000</v>
      </c>
      <c r="AJ529" s="132">
        <f t="shared" si="1055"/>
        <v>-1000</v>
      </c>
      <c r="AK529" s="132">
        <f t="shared" si="1055"/>
        <v>-1000</v>
      </c>
      <c r="AL529" s="132">
        <f t="shared" si="1055"/>
        <v>-1000</v>
      </c>
      <c r="AM529" s="132">
        <f t="shared" si="1055"/>
        <v>-1000</v>
      </c>
      <c r="AN529" s="132">
        <f t="shared" si="1055"/>
        <v>-1000</v>
      </c>
      <c r="AO529" s="132">
        <f t="shared" si="1055"/>
        <v>-1000</v>
      </c>
      <c r="AP529" s="132">
        <f t="shared" si="1055"/>
        <v>-1000</v>
      </c>
      <c r="AQ529" s="132">
        <f t="shared" si="1055"/>
        <v>-1000</v>
      </c>
      <c r="AR529" s="132">
        <f t="shared" si="1055"/>
        <v>-1000</v>
      </c>
      <c r="AS529" s="132">
        <f t="shared" si="1055"/>
        <v>-1000</v>
      </c>
    </row>
    <row r="530">
      <c r="A530" s="132" t="s">
        <v>4032</v>
      </c>
      <c r="B530" s="132">
        <v>1000.0</v>
      </c>
      <c r="C530" s="132">
        <v>0.0</v>
      </c>
      <c r="D530" s="132">
        <v>0.0</v>
      </c>
      <c r="E530" s="132">
        <v>0.0</v>
      </c>
      <c r="F530" s="132">
        <v>0.0</v>
      </c>
      <c r="G530" s="132">
        <v>1000.0</v>
      </c>
      <c r="H530" s="132">
        <v>0.0</v>
      </c>
      <c r="I530" s="132">
        <v>0.0</v>
      </c>
      <c r="J530" s="132">
        <v>0.0</v>
      </c>
      <c r="K530" s="132">
        <v>0.0</v>
      </c>
      <c r="L530" s="132">
        <v>0.0</v>
      </c>
      <c r="M530" s="132">
        <v>0.0</v>
      </c>
      <c r="N530" s="132">
        <v>0.0</v>
      </c>
      <c r="O530" s="132">
        <v>0.0</v>
      </c>
      <c r="P530" s="132">
        <v>0.0</v>
      </c>
      <c r="Q530" s="132">
        <v>0.0</v>
      </c>
      <c r="R530" s="132">
        <v>0.0</v>
      </c>
      <c r="S530" s="132">
        <v>0.0</v>
      </c>
      <c r="T530" s="132">
        <v>0.0</v>
      </c>
      <c r="U530" s="132">
        <v>0.0</v>
      </c>
      <c r="V530" s="132">
        <v>0.0</v>
      </c>
      <c r="W530" s="132">
        <v>0.0</v>
      </c>
      <c r="Y530" s="132" t="s">
        <v>4032</v>
      </c>
      <c r="Z530" s="132">
        <f t="shared" ref="Z530:AC530" si="1056">C530-1000</f>
        <v>-1000</v>
      </c>
      <c r="AA530" s="132">
        <f t="shared" si="1056"/>
        <v>-1000</v>
      </c>
      <c r="AB530" s="132">
        <f t="shared" si="1056"/>
        <v>-1000</v>
      </c>
      <c r="AC530" s="132">
        <f t="shared" si="1056"/>
        <v>-1000</v>
      </c>
      <c r="AD530" s="132">
        <f t="shared" si="4"/>
        <v>-9000</v>
      </c>
      <c r="AE530" s="132">
        <f t="shared" ref="AE530:AS530" si="1057">H530-1000</f>
        <v>-1000</v>
      </c>
      <c r="AF530" s="132">
        <f t="shared" si="1057"/>
        <v>-1000</v>
      </c>
      <c r="AG530" s="132">
        <f t="shared" si="1057"/>
        <v>-1000</v>
      </c>
      <c r="AH530" s="132">
        <f t="shared" si="1057"/>
        <v>-1000</v>
      </c>
      <c r="AI530" s="132">
        <f t="shared" si="1057"/>
        <v>-1000</v>
      </c>
      <c r="AJ530" s="132">
        <f t="shared" si="1057"/>
        <v>-1000</v>
      </c>
      <c r="AK530" s="132">
        <f t="shared" si="1057"/>
        <v>-1000</v>
      </c>
      <c r="AL530" s="132">
        <f t="shared" si="1057"/>
        <v>-1000</v>
      </c>
      <c r="AM530" s="132">
        <f t="shared" si="1057"/>
        <v>-1000</v>
      </c>
      <c r="AN530" s="132">
        <f t="shared" si="1057"/>
        <v>-1000</v>
      </c>
      <c r="AO530" s="132">
        <f t="shared" si="1057"/>
        <v>-1000</v>
      </c>
      <c r="AP530" s="132">
        <f t="shared" si="1057"/>
        <v>-1000</v>
      </c>
      <c r="AQ530" s="132">
        <f t="shared" si="1057"/>
        <v>-1000</v>
      </c>
      <c r="AR530" s="132">
        <f t="shared" si="1057"/>
        <v>-1000</v>
      </c>
      <c r="AS530" s="132">
        <f t="shared" si="1057"/>
        <v>-1000</v>
      </c>
    </row>
    <row r="531">
      <c r="A531" s="132" t="s">
        <v>4033</v>
      </c>
      <c r="B531" s="132">
        <v>1000.0</v>
      </c>
      <c r="C531" s="132">
        <v>0.0</v>
      </c>
      <c r="D531" s="132">
        <v>0.0</v>
      </c>
      <c r="E531" s="132">
        <v>0.0</v>
      </c>
      <c r="F531" s="132">
        <v>0.0</v>
      </c>
      <c r="G531" s="132">
        <v>1000.0</v>
      </c>
      <c r="H531" s="132">
        <v>0.0</v>
      </c>
      <c r="I531" s="132">
        <v>0.0</v>
      </c>
      <c r="J531" s="132">
        <v>0.0</v>
      </c>
      <c r="K531" s="132">
        <v>0.0</v>
      </c>
      <c r="L531" s="132">
        <v>0.0</v>
      </c>
      <c r="M531" s="132">
        <v>0.0</v>
      </c>
      <c r="N531" s="132">
        <v>0.0</v>
      </c>
      <c r="O531" s="132">
        <v>0.0</v>
      </c>
      <c r="P531" s="132">
        <v>0.0</v>
      </c>
      <c r="Q531" s="132">
        <v>0.0</v>
      </c>
      <c r="R531" s="132">
        <v>0.0</v>
      </c>
      <c r="S531" s="132">
        <v>0.0</v>
      </c>
      <c r="T531" s="132">
        <v>0.0</v>
      </c>
      <c r="U531" s="132">
        <v>0.0</v>
      </c>
      <c r="V531" s="132">
        <v>0.0</v>
      </c>
      <c r="W531" s="132">
        <v>0.0</v>
      </c>
      <c r="Y531" s="132" t="s">
        <v>4033</v>
      </c>
      <c r="Z531" s="132">
        <f t="shared" ref="Z531:AC531" si="1058">C531-1000</f>
        <v>-1000</v>
      </c>
      <c r="AA531" s="132">
        <f t="shared" si="1058"/>
        <v>-1000</v>
      </c>
      <c r="AB531" s="132">
        <f t="shared" si="1058"/>
        <v>-1000</v>
      </c>
      <c r="AC531" s="132">
        <f t="shared" si="1058"/>
        <v>-1000</v>
      </c>
      <c r="AD531" s="132">
        <f t="shared" si="4"/>
        <v>-9000</v>
      </c>
      <c r="AE531" s="132">
        <f t="shared" ref="AE531:AS531" si="1059">H531-1000</f>
        <v>-1000</v>
      </c>
      <c r="AF531" s="132">
        <f t="shared" si="1059"/>
        <v>-1000</v>
      </c>
      <c r="AG531" s="132">
        <f t="shared" si="1059"/>
        <v>-1000</v>
      </c>
      <c r="AH531" s="132">
        <f t="shared" si="1059"/>
        <v>-1000</v>
      </c>
      <c r="AI531" s="132">
        <f t="shared" si="1059"/>
        <v>-1000</v>
      </c>
      <c r="AJ531" s="132">
        <f t="shared" si="1059"/>
        <v>-1000</v>
      </c>
      <c r="AK531" s="132">
        <f t="shared" si="1059"/>
        <v>-1000</v>
      </c>
      <c r="AL531" s="132">
        <f t="shared" si="1059"/>
        <v>-1000</v>
      </c>
      <c r="AM531" s="132">
        <f t="shared" si="1059"/>
        <v>-1000</v>
      </c>
      <c r="AN531" s="132">
        <f t="shared" si="1059"/>
        <v>-1000</v>
      </c>
      <c r="AO531" s="132">
        <f t="shared" si="1059"/>
        <v>-1000</v>
      </c>
      <c r="AP531" s="132">
        <f t="shared" si="1059"/>
        <v>-1000</v>
      </c>
      <c r="AQ531" s="132">
        <f t="shared" si="1059"/>
        <v>-1000</v>
      </c>
      <c r="AR531" s="132">
        <f t="shared" si="1059"/>
        <v>-1000</v>
      </c>
      <c r="AS531" s="132">
        <f t="shared" si="1059"/>
        <v>-1000</v>
      </c>
    </row>
    <row r="532">
      <c r="A532" s="132" t="s">
        <v>4034</v>
      </c>
      <c r="B532" s="132">
        <v>1500.0</v>
      </c>
      <c r="C532" s="132">
        <v>0.0</v>
      </c>
      <c r="D532" s="132">
        <v>0.0</v>
      </c>
      <c r="E532" s="132">
        <v>0.0</v>
      </c>
      <c r="F532" s="132">
        <v>0.0</v>
      </c>
      <c r="G532" s="132">
        <v>1500.0</v>
      </c>
      <c r="H532" s="132">
        <v>0.0</v>
      </c>
      <c r="I532" s="132">
        <v>0.0</v>
      </c>
      <c r="J532" s="132">
        <v>0.0</v>
      </c>
      <c r="K532" s="132">
        <v>0.0</v>
      </c>
      <c r="L532" s="132">
        <v>0.0</v>
      </c>
      <c r="M532" s="132">
        <v>0.0</v>
      </c>
      <c r="N532" s="132">
        <v>0.0</v>
      </c>
      <c r="O532" s="132">
        <v>0.0</v>
      </c>
      <c r="P532" s="132">
        <v>0.0</v>
      </c>
      <c r="Q532" s="132">
        <v>0.0</v>
      </c>
      <c r="R532" s="132">
        <v>0.0</v>
      </c>
      <c r="S532" s="132">
        <v>0.0</v>
      </c>
      <c r="T532" s="132">
        <v>0.0</v>
      </c>
      <c r="U532" s="132">
        <v>0.0</v>
      </c>
      <c r="V532" s="132">
        <v>0.0</v>
      </c>
      <c r="W532" s="132">
        <v>0.0</v>
      </c>
      <c r="Y532" s="132" t="s">
        <v>4034</v>
      </c>
      <c r="Z532" s="132">
        <f t="shared" ref="Z532:AC532" si="1060">C532-1000</f>
        <v>-1000</v>
      </c>
      <c r="AA532" s="132">
        <f t="shared" si="1060"/>
        <v>-1000</v>
      </c>
      <c r="AB532" s="132">
        <f t="shared" si="1060"/>
        <v>-1000</v>
      </c>
      <c r="AC532" s="132">
        <f t="shared" si="1060"/>
        <v>-1000</v>
      </c>
      <c r="AD532" s="132">
        <f t="shared" si="4"/>
        <v>-8500</v>
      </c>
      <c r="AE532" s="132">
        <f t="shared" ref="AE532:AS532" si="1061">H532-1000</f>
        <v>-1000</v>
      </c>
      <c r="AF532" s="132">
        <f t="shared" si="1061"/>
        <v>-1000</v>
      </c>
      <c r="AG532" s="132">
        <f t="shared" si="1061"/>
        <v>-1000</v>
      </c>
      <c r="AH532" s="132">
        <f t="shared" si="1061"/>
        <v>-1000</v>
      </c>
      <c r="AI532" s="132">
        <f t="shared" si="1061"/>
        <v>-1000</v>
      </c>
      <c r="AJ532" s="132">
        <f t="shared" si="1061"/>
        <v>-1000</v>
      </c>
      <c r="AK532" s="132">
        <f t="shared" si="1061"/>
        <v>-1000</v>
      </c>
      <c r="AL532" s="132">
        <f t="shared" si="1061"/>
        <v>-1000</v>
      </c>
      <c r="AM532" s="132">
        <f t="shared" si="1061"/>
        <v>-1000</v>
      </c>
      <c r="AN532" s="132">
        <f t="shared" si="1061"/>
        <v>-1000</v>
      </c>
      <c r="AO532" s="132">
        <f t="shared" si="1061"/>
        <v>-1000</v>
      </c>
      <c r="AP532" s="132">
        <f t="shared" si="1061"/>
        <v>-1000</v>
      </c>
      <c r="AQ532" s="132">
        <f t="shared" si="1061"/>
        <v>-1000</v>
      </c>
      <c r="AR532" s="132">
        <f t="shared" si="1061"/>
        <v>-1000</v>
      </c>
      <c r="AS532" s="132">
        <f t="shared" si="1061"/>
        <v>-1000</v>
      </c>
    </row>
    <row r="533">
      <c r="A533" s="132" t="s">
        <v>4035</v>
      </c>
      <c r="B533" s="132">
        <v>2500.0</v>
      </c>
      <c r="C533" s="132">
        <v>0.0</v>
      </c>
      <c r="D533" s="132">
        <v>0.0</v>
      </c>
      <c r="E533" s="132">
        <v>0.0</v>
      </c>
      <c r="F533" s="132">
        <v>0.0</v>
      </c>
      <c r="G533" s="132">
        <v>2500.0</v>
      </c>
      <c r="H533" s="132">
        <v>0.0</v>
      </c>
      <c r="I533" s="132">
        <v>0.0</v>
      </c>
      <c r="J533" s="132">
        <v>0.0</v>
      </c>
      <c r="K533" s="132">
        <v>0.0</v>
      </c>
      <c r="L533" s="132">
        <v>0.0</v>
      </c>
      <c r="M533" s="132">
        <v>0.0</v>
      </c>
      <c r="N533" s="132">
        <v>0.0</v>
      </c>
      <c r="O533" s="132">
        <v>0.0</v>
      </c>
      <c r="P533" s="132">
        <v>0.0</v>
      </c>
      <c r="Q533" s="132">
        <v>0.0</v>
      </c>
      <c r="R533" s="132">
        <v>0.0</v>
      </c>
      <c r="S533" s="132">
        <v>0.0</v>
      </c>
      <c r="T533" s="132">
        <v>0.0</v>
      </c>
      <c r="U533" s="132">
        <v>0.0</v>
      </c>
      <c r="V533" s="132">
        <v>0.0</v>
      </c>
      <c r="W533" s="132">
        <v>0.0</v>
      </c>
      <c r="Y533" s="132" t="s">
        <v>4035</v>
      </c>
      <c r="Z533" s="132">
        <f t="shared" ref="Z533:AC533" si="1062">C533-1000</f>
        <v>-1000</v>
      </c>
      <c r="AA533" s="132">
        <f t="shared" si="1062"/>
        <v>-1000</v>
      </c>
      <c r="AB533" s="132">
        <f t="shared" si="1062"/>
        <v>-1000</v>
      </c>
      <c r="AC533" s="132">
        <f t="shared" si="1062"/>
        <v>-1000</v>
      </c>
      <c r="AD533" s="132">
        <f t="shared" si="4"/>
        <v>-7500</v>
      </c>
      <c r="AE533" s="132">
        <f t="shared" ref="AE533:AS533" si="1063">H533-1000</f>
        <v>-1000</v>
      </c>
      <c r="AF533" s="132">
        <f t="shared" si="1063"/>
        <v>-1000</v>
      </c>
      <c r="AG533" s="132">
        <f t="shared" si="1063"/>
        <v>-1000</v>
      </c>
      <c r="AH533" s="132">
        <f t="shared" si="1063"/>
        <v>-1000</v>
      </c>
      <c r="AI533" s="132">
        <f t="shared" si="1063"/>
        <v>-1000</v>
      </c>
      <c r="AJ533" s="132">
        <f t="shared" si="1063"/>
        <v>-1000</v>
      </c>
      <c r="AK533" s="132">
        <f t="shared" si="1063"/>
        <v>-1000</v>
      </c>
      <c r="AL533" s="132">
        <f t="shared" si="1063"/>
        <v>-1000</v>
      </c>
      <c r="AM533" s="132">
        <f t="shared" si="1063"/>
        <v>-1000</v>
      </c>
      <c r="AN533" s="132">
        <f t="shared" si="1063"/>
        <v>-1000</v>
      </c>
      <c r="AO533" s="132">
        <f t="shared" si="1063"/>
        <v>-1000</v>
      </c>
      <c r="AP533" s="132">
        <f t="shared" si="1063"/>
        <v>-1000</v>
      </c>
      <c r="AQ533" s="132">
        <f t="shared" si="1063"/>
        <v>-1000</v>
      </c>
      <c r="AR533" s="132">
        <f t="shared" si="1063"/>
        <v>-1000</v>
      </c>
      <c r="AS533" s="132">
        <f t="shared" si="1063"/>
        <v>-1000</v>
      </c>
    </row>
    <row r="534">
      <c r="A534" s="132" t="s">
        <v>4036</v>
      </c>
      <c r="B534" s="132">
        <v>1000.0</v>
      </c>
      <c r="C534" s="132">
        <v>0.0</v>
      </c>
      <c r="D534" s="132">
        <v>0.0</v>
      </c>
      <c r="E534" s="132">
        <v>0.0</v>
      </c>
      <c r="F534" s="132">
        <v>0.0</v>
      </c>
      <c r="G534" s="132">
        <v>1000.0</v>
      </c>
      <c r="H534" s="132">
        <v>0.0</v>
      </c>
      <c r="I534" s="132">
        <v>0.0</v>
      </c>
      <c r="J534" s="132">
        <v>0.0</v>
      </c>
      <c r="K534" s="132">
        <v>0.0</v>
      </c>
      <c r="L534" s="132">
        <v>0.0</v>
      </c>
      <c r="M534" s="132">
        <v>0.0</v>
      </c>
      <c r="N534" s="132">
        <v>0.0</v>
      </c>
      <c r="O534" s="132">
        <v>0.0</v>
      </c>
      <c r="P534" s="132">
        <v>0.0</v>
      </c>
      <c r="Q534" s="132">
        <v>0.0</v>
      </c>
      <c r="R534" s="132">
        <v>0.0</v>
      </c>
      <c r="S534" s="132">
        <v>0.0</v>
      </c>
      <c r="T534" s="132">
        <v>0.0</v>
      </c>
      <c r="U534" s="132">
        <v>0.0</v>
      </c>
      <c r="V534" s="132">
        <v>0.0</v>
      </c>
      <c r="W534" s="132">
        <v>0.0</v>
      </c>
      <c r="Y534" s="132" t="s">
        <v>4036</v>
      </c>
      <c r="Z534" s="132">
        <f t="shared" ref="Z534:AC534" si="1064">C534-1000</f>
        <v>-1000</v>
      </c>
      <c r="AA534" s="132">
        <f t="shared" si="1064"/>
        <v>-1000</v>
      </c>
      <c r="AB534" s="132">
        <f t="shared" si="1064"/>
        <v>-1000</v>
      </c>
      <c r="AC534" s="132">
        <f t="shared" si="1064"/>
        <v>-1000</v>
      </c>
      <c r="AD534" s="132">
        <f t="shared" si="4"/>
        <v>-9000</v>
      </c>
      <c r="AE534" s="132">
        <f t="shared" ref="AE534:AS534" si="1065">H534-1000</f>
        <v>-1000</v>
      </c>
      <c r="AF534" s="132">
        <f t="shared" si="1065"/>
        <v>-1000</v>
      </c>
      <c r="AG534" s="132">
        <f t="shared" si="1065"/>
        <v>-1000</v>
      </c>
      <c r="AH534" s="132">
        <f t="shared" si="1065"/>
        <v>-1000</v>
      </c>
      <c r="AI534" s="132">
        <f t="shared" si="1065"/>
        <v>-1000</v>
      </c>
      <c r="AJ534" s="132">
        <f t="shared" si="1065"/>
        <v>-1000</v>
      </c>
      <c r="AK534" s="132">
        <f t="shared" si="1065"/>
        <v>-1000</v>
      </c>
      <c r="AL534" s="132">
        <f t="shared" si="1065"/>
        <v>-1000</v>
      </c>
      <c r="AM534" s="132">
        <f t="shared" si="1065"/>
        <v>-1000</v>
      </c>
      <c r="AN534" s="132">
        <f t="shared" si="1065"/>
        <v>-1000</v>
      </c>
      <c r="AO534" s="132">
        <f t="shared" si="1065"/>
        <v>-1000</v>
      </c>
      <c r="AP534" s="132">
        <f t="shared" si="1065"/>
        <v>-1000</v>
      </c>
      <c r="AQ534" s="132">
        <f t="shared" si="1065"/>
        <v>-1000</v>
      </c>
      <c r="AR534" s="132">
        <f t="shared" si="1065"/>
        <v>-1000</v>
      </c>
      <c r="AS534" s="132">
        <f t="shared" si="1065"/>
        <v>-1000</v>
      </c>
    </row>
    <row r="535">
      <c r="A535" s="132" t="s">
        <v>4037</v>
      </c>
      <c r="B535" s="132">
        <v>5000.0</v>
      </c>
      <c r="C535" s="132">
        <v>0.0</v>
      </c>
      <c r="D535" s="132">
        <v>0.0</v>
      </c>
      <c r="E535" s="132">
        <v>0.0</v>
      </c>
      <c r="F535" s="132">
        <v>0.0</v>
      </c>
      <c r="G535" s="132">
        <v>5000.0</v>
      </c>
      <c r="H535" s="132">
        <v>0.0</v>
      </c>
      <c r="I535" s="132">
        <v>0.0</v>
      </c>
      <c r="J535" s="132">
        <v>0.0</v>
      </c>
      <c r="K535" s="132">
        <v>0.0</v>
      </c>
      <c r="L535" s="132">
        <v>0.0</v>
      </c>
      <c r="M535" s="132">
        <v>0.0</v>
      </c>
      <c r="N535" s="132">
        <v>0.0</v>
      </c>
      <c r="O535" s="132">
        <v>0.0</v>
      </c>
      <c r="P535" s="132">
        <v>0.0</v>
      </c>
      <c r="Q535" s="132">
        <v>0.0</v>
      </c>
      <c r="R535" s="132">
        <v>0.0</v>
      </c>
      <c r="S535" s="132">
        <v>0.0</v>
      </c>
      <c r="T535" s="132">
        <v>0.0</v>
      </c>
      <c r="U535" s="132">
        <v>0.0</v>
      </c>
      <c r="V535" s="132">
        <v>0.0</v>
      </c>
      <c r="W535" s="132">
        <v>0.0</v>
      </c>
      <c r="Y535" s="132" t="s">
        <v>4037</v>
      </c>
      <c r="Z535" s="132">
        <f t="shared" ref="Z535:AC535" si="1066">C535-1000</f>
        <v>-1000</v>
      </c>
      <c r="AA535" s="132">
        <f t="shared" si="1066"/>
        <v>-1000</v>
      </c>
      <c r="AB535" s="132">
        <f t="shared" si="1066"/>
        <v>-1000</v>
      </c>
      <c r="AC535" s="132">
        <f t="shared" si="1066"/>
        <v>-1000</v>
      </c>
      <c r="AD535" s="132">
        <f t="shared" si="4"/>
        <v>-5000</v>
      </c>
      <c r="AE535" s="132">
        <f t="shared" ref="AE535:AS535" si="1067">H535-1000</f>
        <v>-1000</v>
      </c>
      <c r="AF535" s="132">
        <f t="shared" si="1067"/>
        <v>-1000</v>
      </c>
      <c r="AG535" s="132">
        <f t="shared" si="1067"/>
        <v>-1000</v>
      </c>
      <c r="AH535" s="132">
        <f t="shared" si="1067"/>
        <v>-1000</v>
      </c>
      <c r="AI535" s="132">
        <f t="shared" si="1067"/>
        <v>-1000</v>
      </c>
      <c r="AJ535" s="132">
        <f t="shared" si="1067"/>
        <v>-1000</v>
      </c>
      <c r="AK535" s="132">
        <f t="shared" si="1067"/>
        <v>-1000</v>
      </c>
      <c r="AL535" s="132">
        <f t="shared" si="1067"/>
        <v>-1000</v>
      </c>
      <c r="AM535" s="132">
        <f t="shared" si="1067"/>
        <v>-1000</v>
      </c>
      <c r="AN535" s="132">
        <f t="shared" si="1067"/>
        <v>-1000</v>
      </c>
      <c r="AO535" s="132">
        <f t="shared" si="1067"/>
        <v>-1000</v>
      </c>
      <c r="AP535" s="132">
        <f t="shared" si="1067"/>
        <v>-1000</v>
      </c>
      <c r="AQ535" s="132">
        <f t="shared" si="1067"/>
        <v>-1000</v>
      </c>
      <c r="AR535" s="132">
        <f t="shared" si="1067"/>
        <v>-1000</v>
      </c>
      <c r="AS535" s="132">
        <f t="shared" si="1067"/>
        <v>-1000</v>
      </c>
    </row>
    <row r="536">
      <c r="A536" s="132" t="s">
        <v>4038</v>
      </c>
      <c r="B536" s="132">
        <v>1500.0</v>
      </c>
      <c r="C536" s="132">
        <v>500.0</v>
      </c>
      <c r="D536" s="132">
        <v>0.0</v>
      </c>
      <c r="E536" s="132">
        <v>0.0</v>
      </c>
      <c r="F536" s="132">
        <v>0.0</v>
      </c>
      <c r="G536" s="132">
        <v>1000.0</v>
      </c>
      <c r="H536" s="132">
        <v>0.0</v>
      </c>
      <c r="I536" s="132">
        <v>0.0</v>
      </c>
      <c r="J536" s="132">
        <v>0.0</v>
      </c>
      <c r="K536" s="132">
        <v>0.0</v>
      </c>
      <c r="L536" s="132">
        <v>0.0</v>
      </c>
      <c r="M536" s="132">
        <v>0.0</v>
      </c>
      <c r="N536" s="132">
        <v>0.0</v>
      </c>
      <c r="O536" s="132">
        <v>0.0</v>
      </c>
      <c r="P536" s="132">
        <v>0.0</v>
      </c>
      <c r="Q536" s="132">
        <v>0.0</v>
      </c>
      <c r="R536" s="132">
        <v>0.0</v>
      </c>
      <c r="S536" s="132">
        <v>0.0</v>
      </c>
      <c r="T536" s="132">
        <v>0.0</v>
      </c>
      <c r="U536" s="132">
        <v>0.0</v>
      </c>
      <c r="V536" s="132">
        <v>0.0</v>
      </c>
      <c r="W536" s="132">
        <v>1.0</v>
      </c>
      <c r="Y536" s="132" t="s">
        <v>4038</v>
      </c>
      <c r="Z536" s="132">
        <f t="shared" ref="Z536:AC536" si="1068">C536-1000</f>
        <v>-500</v>
      </c>
      <c r="AA536" s="132">
        <f t="shared" si="1068"/>
        <v>-1000</v>
      </c>
      <c r="AB536" s="132">
        <f t="shared" si="1068"/>
        <v>-1000</v>
      </c>
      <c r="AC536" s="132">
        <f t="shared" si="1068"/>
        <v>-1000</v>
      </c>
      <c r="AD536" s="132">
        <f t="shared" si="4"/>
        <v>-9000</v>
      </c>
      <c r="AE536" s="132">
        <f t="shared" ref="AE536:AS536" si="1069">H536-1000</f>
        <v>-1000</v>
      </c>
      <c r="AF536" s="132">
        <f t="shared" si="1069"/>
        <v>-1000</v>
      </c>
      <c r="AG536" s="132">
        <f t="shared" si="1069"/>
        <v>-1000</v>
      </c>
      <c r="AH536" s="132">
        <f t="shared" si="1069"/>
        <v>-1000</v>
      </c>
      <c r="AI536" s="132">
        <f t="shared" si="1069"/>
        <v>-1000</v>
      </c>
      <c r="AJ536" s="132">
        <f t="shared" si="1069"/>
        <v>-1000</v>
      </c>
      <c r="AK536" s="132">
        <f t="shared" si="1069"/>
        <v>-1000</v>
      </c>
      <c r="AL536" s="132">
        <f t="shared" si="1069"/>
        <v>-1000</v>
      </c>
      <c r="AM536" s="132">
        <f t="shared" si="1069"/>
        <v>-1000</v>
      </c>
      <c r="AN536" s="132">
        <f t="shared" si="1069"/>
        <v>-1000</v>
      </c>
      <c r="AO536" s="132">
        <f t="shared" si="1069"/>
        <v>-1000</v>
      </c>
      <c r="AP536" s="132">
        <f t="shared" si="1069"/>
        <v>-1000</v>
      </c>
      <c r="AQ536" s="132">
        <f t="shared" si="1069"/>
        <v>-1000</v>
      </c>
      <c r="AR536" s="132">
        <f t="shared" si="1069"/>
        <v>-1000</v>
      </c>
      <c r="AS536" s="132">
        <f t="shared" si="1069"/>
        <v>-1000</v>
      </c>
    </row>
    <row r="537">
      <c r="A537" s="132" t="s">
        <v>4039</v>
      </c>
      <c r="B537" s="132">
        <v>4200.0</v>
      </c>
      <c r="C537" s="132">
        <v>0.0</v>
      </c>
      <c r="D537" s="132">
        <v>0.0</v>
      </c>
      <c r="E537" s="132">
        <v>0.0</v>
      </c>
      <c r="F537" s="132">
        <v>0.0</v>
      </c>
      <c r="G537" s="132">
        <v>4200.0</v>
      </c>
      <c r="H537" s="132">
        <v>0.0</v>
      </c>
      <c r="I537" s="132">
        <v>0.0</v>
      </c>
      <c r="J537" s="132">
        <v>0.0</v>
      </c>
      <c r="K537" s="132">
        <v>0.0</v>
      </c>
      <c r="L537" s="132">
        <v>0.0</v>
      </c>
      <c r="M537" s="132">
        <v>0.0</v>
      </c>
      <c r="N537" s="132">
        <v>0.0</v>
      </c>
      <c r="O537" s="132">
        <v>0.0</v>
      </c>
      <c r="P537" s="132">
        <v>0.0</v>
      </c>
      <c r="Q537" s="132">
        <v>0.0</v>
      </c>
      <c r="R537" s="132">
        <v>0.0</v>
      </c>
      <c r="S537" s="132">
        <v>0.0</v>
      </c>
      <c r="T537" s="132">
        <v>0.0</v>
      </c>
      <c r="U537" s="132">
        <v>0.0</v>
      </c>
      <c r="V537" s="132">
        <v>0.0</v>
      </c>
      <c r="W537" s="132">
        <v>0.0</v>
      </c>
      <c r="Y537" s="132" t="s">
        <v>4039</v>
      </c>
      <c r="Z537" s="132">
        <f t="shared" ref="Z537:AC537" si="1070">C537-1000</f>
        <v>-1000</v>
      </c>
      <c r="AA537" s="132">
        <f t="shared" si="1070"/>
        <v>-1000</v>
      </c>
      <c r="AB537" s="132">
        <f t="shared" si="1070"/>
        <v>-1000</v>
      </c>
      <c r="AC537" s="132">
        <f t="shared" si="1070"/>
        <v>-1000</v>
      </c>
      <c r="AD537" s="132">
        <f t="shared" si="4"/>
        <v>-5800</v>
      </c>
      <c r="AE537" s="132">
        <f t="shared" ref="AE537:AS537" si="1071">H537-1000</f>
        <v>-1000</v>
      </c>
      <c r="AF537" s="132">
        <f t="shared" si="1071"/>
        <v>-1000</v>
      </c>
      <c r="AG537" s="132">
        <f t="shared" si="1071"/>
        <v>-1000</v>
      </c>
      <c r="AH537" s="132">
        <f t="shared" si="1071"/>
        <v>-1000</v>
      </c>
      <c r="AI537" s="132">
        <f t="shared" si="1071"/>
        <v>-1000</v>
      </c>
      <c r="AJ537" s="132">
        <f t="shared" si="1071"/>
        <v>-1000</v>
      </c>
      <c r="AK537" s="132">
        <f t="shared" si="1071"/>
        <v>-1000</v>
      </c>
      <c r="AL537" s="132">
        <f t="shared" si="1071"/>
        <v>-1000</v>
      </c>
      <c r="AM537" s="132">
        <f t="shared" si="1071"/>
        <v>-1000</v>
      </c>
      <c r="AN537" s="132">
        <f t="shared" si="1071"/>
        <v>-1000</v>
      </c>
      <c r="AO537" s="132">
        <f t="shared" si="1071"/>
        <v>-1000</v>
      </c>
      <c r="AP537" s="132">
        <f t="shared" si="1071"/>
        <v>-1000</v>
      </c>
      <c r="AQ537" s="132">
        <f t="shared" si="1071"/>
        <v>-1000</v>
      </c>
      <c r="AR537" s="132">
        <f t="shared" si="1071"/>
        <v>-1000</v>
      </c>
      <c r="AS537" s="132">
        <f t="shared" si="1071"/>
        <v>-1000</v>
      </c>
    </row>
    <row r="538">
      <c r="A538" s="132" t="s">
        <v>4040</v>
      </c>
      <c r="B538" s="132">
        <v>500.0</v>
      </c>
      <c r="C538" s="132">
        <v>0.0</v>
      </c>
      <c r="D538" s="132">
        <v>0.0</v>
      </c>
      <c r="E538" s="132">
        <v>0.0</v>
      </c>
      <c r="F538" s="132">
        <v>0.0</v>
      </c>
      <c r="G538" s="132">
        <v>500.0</v>
      </c>
      <c r="H538" s="132">
        <v>0.0</v>
      </c>
      <c r="I538" s="132">
        <v>0.0</v>
      </c>
      <c r="J538" s="132">
        <v>0.0</v>
      </c>
      <c r="K538" s="132">
        <v>0.0</v>
      </c>
      <c r="L538" s="132">
        <v>0.0</v>
      </c>
      <c r="M538" s="132">
        <v>0.0</v>
      </c>
      <c r="N538" s="132">
        <v>0.0</v>
      </c>
      <c r="O538" s="132">
        <v>0.0</v>
      </c>
      <c r="P538" s="132">
        <v>0.0</v>
      </c>
      <c r="Q538" s="132">
        <v>0.0</v>
      </c>
      <c r="R538" s="132">
        <v>0.0</v>
      </c>
      <c r="S538" s="132">
        <v>0.0</v>
      </c>
      <c r="T538" s="132">
        <v>0.0</v>
      </c>
      <c r="U538" s="132">
        <v>0.0</v>
      </c>
      <c r="V538" s="132">
        <v>0.0</v>
      </c>
      <c r="W538" s="132">
        <v>0.0</v>
      </c>
      <c r="Y538" s="132" t="s">
        <v>4040</v>
      </c>
      <c r="Z538" s="132">
        <f t="shared" ref="Z538:AC538" si="1072">C538-1000</f>
        <v>-1000</v>
      </c>
      <c r="AA538" s="132">
        <f t="shared" si="1072"/>
        <v>-1000</v>
      </c>
      <c r="AB538" s="132">
        <f t="shared" si="1072"/>
        <v>-1000</v>
      </c>
      <c r="AC538" s="132">
        <f t="shared" si="1072"/>
        <v>-1000</v>
      </c>
      <c r="AD538" s="132">
        <f t="shared" si="4"/>
        <v>-9500</v>
      </c>
      <c r="AE538" s="132">
        <f t="shared" ref="AE538:AS538" si="1073">H538-1000</f>
        <v>-1000</v>
      </c>
      <c r="AF538" s="132">
        <f t="shared" si="1073"/>
        <v>-1000</v>
      </c>
      <c r="AG538" s="132">
        <f t="shared" si="1073"/>
        <v>-1000</v>
      </c>
      <c r="AH538" s="132">
        <f t="shared" si="1073"/>
        <v>-1000</v>
      </c>
      <c r="AI538" s="132">
        <f t="shared" si="1073"/>
        <v>-1000</v>
      </c>
      <c r="AJ538" s="132">
        <f t="shared" si="1073"/>
        <v>-1000</v>
      </c>
      <c r="AK538" s="132">
        <f t="shared" si="1073"/>
        <v>-1000</v>
      </c>
      <c r="AL538" s="132">
        <f t="shared" si="1073"/>
        <v>-1000</v>
      </c>
      <c r="AM538" s="132">
        <f t="shared" si="1073"/>
        <v>-1000</v>
      </c>
      <c r="AN538" s="132">
        <f t="shared" si="1073"/>
        <v>-1000</v>
      </c>
      <c r="AO538" s="132">
        <f t="shared" si="1073"/>
        <v>-1000</v>
      </c>
      <c r="AP538" s="132">
        <f t="shared" si="1073"/>
        <v>-1000</v>
      </c>
      <c r="AQ538" s="132">
        <f t="shared" si="1073"/>
        <v>-1000</v>
      </c>
      <c r="AR538" s="132">
        <f t="shared" si="1073"/>
        <v>-1000</v>
      </c>
      <c r="AS538" s="132">
        <f t="shared" si="1073"/>
        <v>-1000</v>
      </c>
    </row>
    <row r="539">
      <c r="A539" s="132" t="s">
        <v>4041</v>
      </c>
      <c r="B539" s="132">
        <v>1000.0</v>
      </c>
      <c r="C539" s="132">
        <v>0.0</v>
      </c>
      <c r="D539" s="132">
        <v>0.0</v>
      </c>
      <c r="E539" s="132">
        <v>0.0</v>
      </c>
      <c r="F539" s="132">
        <v>0.0</v>
      </c>
      <c r="G539" s="132">
        <v>1000.0</v>
      </c>
      <c r="H539" s="132">
        <v>0.0</v>
      </c>
      <c r="I539" s="132">
        <v>0.0</v>
      </c>
      <c r="J539" s="132">
        <v>0.0</v>
      </c>
      <c r="K539" s="132">
        <v>0.0</v>
      </c>
      <c r="L539" s="132">
        <v>0.0</v>
      </c>
      <c r="M539" s="132">
        <v>0.0</v>
      </c>
      <c r="N539" s="132">
        <v>0.0</v>
      </c>
      <c r="O539" s="132">
        <v>0.0</v>
      </c>
      <c r="P539" s="132">
        <v>0.0</v>
      </c>
      <c r="Q539" s="132">
        <v>0.0</v>
      </c>
      <c r="R539" s="132">
        <v>0.0</v>
      </c>
      <c r="S539" s="132">
        <v>0.0</v>
      </c>
      <c r="T539" s="132">
        <v>0.0</v>
      </c>
      <c r="U539" s="132">
        <v>0.0</v>
      </c>
      <c r="V539" s="132">
        <v>0.0</v>
      </c>
      <c r="W539" s="132">
        <v>0.0</v>
      </c>
      <c r="Y539" s="132" t="s">
        <v>4041</v>
      </c>
      <c r="Z539" s="132">
        <f t="shared" ref="Z539:AC539" si="1074">C539-1000</f>
        <v>-1000</v>
      </c>
      <c r="AA539" s="132">
        <f t="shared" si="1074"/>
        <v>-1000</v>
      </c>
      <c r="AB539" s="132">
        <f t="shared" si="1074"/>
        <v>-1000</v>
      </c>
      <c r="AC539" s="132">
        <f t="shared" si="1074"/>
        <v>-1000</v>
      </c>
      <c r="AD539" s="132">
        <f t="shared" si="4"/>
        <v>-9000</v>
      </c>
      <c r="AE539" s="132">
        <f t="shared" ref="AE539:AS539" si="1075">H539-1000</f>
        <v>-1000</v>
      </c>
      <c r="AF539" s="132">
        <f t="shared" si="1075"/>
        <v>-1000</v>
      </c>
      <c r="AG539" s="132">
        <f t="shared" si="1075"/>
        <v>-1000</v>
      </c>
      <c r="AH539" s="132">
        <f t="shared" si="1075"/>
        <v>-1000</v>
      </c>
      <c r="AI539" s="132">
        <f t="shared" si="1075"/>
        <v>-1000</v>
      </c>
      <c r="AJ539" s="132">
        <f t="shared" si="1075"/>
        <v>-1000</v>
      </c>
      <c r="AK539" s="132">
        <f t="shared" si="1075"/>
        <v>-1000</v>
      </c>
      <c r="AL539" s="132">
        <f t="shared" si="1075"/>
        <v>-1000</v>
      </c>
      <c r="AM539" s="132">
        <f t="shared" si="1075"/>
        <v>-1000</v>
      </c>
      <c r="AN539" s="132">
        <f t="shared" si="1075"/>
        <v>-1000</v>
      </c>
      <c r="AO539" s="132">
        <f t="shared" si="1075"/>
        <v>-1000</v>
      </c>
      <c r="AP539" s="132">
        <f t="shared" si="1075"/>
        <v>-1000</v>
      </c>
      <c r="AQ539" s="132">
        <f t="shared" si="1075"/>
        <v>-1000</v>
      </c>
      <c r="AR539" s="132">
        <f t="shared" si="1075"/>
        <v>-1000</v>
      </c>
      <c r="AS539" s="132">
        <f t="shared" si="1075"/>
        <v>-1000</v>
      </c>
    </row>
    <row r="540">
      <c r="A540" s="132" t="s">
        <v>4042</v>
      </c>
      <c r="B540" s="132">
        <v>10000.0</v>
      </c>
      <c r="C540" s="132">
        <v>0.0</v>
      </c>
      <c r="D540" s="132">
        <v>0.0</v>
      </c>
      <c r="E540" s="132">
        <v>0.0</v>
      </c>
      <c r="F540" s="132">
        <v>0.0</v>
      </c>
      <c r="G540" s="132">
        <v>10000.0</v>
      </c>
      <c r="H540" s="132">
        <v>0.0</v>
      </c>
      <c r="I540" s="132">
        <v>0.0</v>
      </c>
      <c r="J540" s="132">
        <v>0.0</v>
      </c>
      <c r="K540" s="132">
        <v>0.0</v>
      </c>
      <c r="L540" s="132">
        <v>0.0</v>
      </c>
      <c r="M540" s="132">
        <v>0.0</v>
      </c>
      <c r="N540" s="132">
        <v>0.0</v>
      </c>
      <c r="O540" s="132">
        <v>0.0</v>
      </c>
      <c r="P540" s="132">
        <v>0.0</v>
      </c>
      <c r="Q540" s="132">
        <v>0.0</v>
      </c>
      <c r="R540" s="132">
        <v>0.0</v>
      </c>
      <c r="S540" s="132">
        <v>0.0</v>
      </c>
      <c r="T540" s="132">
        <v>0.0</v>
      </c>
      <c r="U540" s="132">
        <v>0.0</v>
      </c>
      <c r="V540" s="132">
        <v>0.0</v>
      </c>
      <c r="W540" s="132">
        <v>0.0</v>
      </c>
      <c r="Y540" s="132" t="s">
        <v>4042</v>
      </c>
      <c r="Z540" s="132">
        <f t="shared" ref="Z540:AC540" si="1076">C540-1000</f>
        <v>-1000</v>
      </c>
      <c r="AA540" s="132">
        <f t="shared" si="1076"/>
        <v>-1000</v>
      </c>
      <c r="AB540" s="132">
        <f t="shared" si="1076"/>
        <v>-1000</v>
      </c>
      <c r="AC540" s="132">
        <f t="shared" si="1076"/>
        <v>-1000</v>
      </c>
      <c r="AD540" s="132">
        <f t="shared" si="4"/>
        <v>0</v>
      </c>
      <c r="AE540" s="132">
        <f t="shared" ref="AE540:AS540" si="1077">H540-1000</f>
        <v>-1000</v>
      </c>
      <c r="AF540" s="132">
        <f t="shared" si="1077"/>
        <v>-1000</v>
      </c>
      <c r="AG540" s="132">
        <f t="shared" si="1077"/>
        <v>-1000</v>
      </c>
      <c r="AH540" s="132">
        <f t="shared" si="1077"/>
        <v>-1000</v>
      </c>
      <c r="AI540" s="132">
        <f t="shared" si="1077"/>
        <v>-1000</v>
      </c>
      <c r="AJ540" s="132">
        <f t="shared" si="1077"/>
        <v>-1000</v>
      </c>
      <c r="AK540" s="132">
        <f t="shared" si="1077"/>
        <v>-1000</v>
      </c>
      <c r="AL540" s="132">
        <f t="shared" si="1077"/>
        <v>-1000</v>
      </c>
      <c r="AM540" s="132">
        <f t="shared" si="1077"/>
        <v>-1000</v>
      </c>
      <c r="AN540" s="132">
        <f t="shared" si="1077"/>
        <v>-1000</v>
      </c>
      <c r="AO540" s="132">
        <f t="shared" si="1077"/>
        <v>-1000</v>
      </c>
      <c r="AP540" s="132">
        <f t="shared" si="1077"/>
        <v>-1000</v>
      </c>
      <c r="AQ540" s="132">
        <f t="shared" si="1077"/>
        <v>-1000</v>
      </c>
      <c r="AR540" s="132">
        <f t="shared" si="1077"/>
        <v>-1000</v>
      </c>
      <c r="AS540" s="132">
        <f t="shared" si="1077"/>
        <v>-1000</v>
      </c>
    </row>
    <row r="541">
      <c r="A541" s="132" t="s">
        <v>4043</v>
      </c>
      <c r="B541" s="132">
        <v>10000.0</v>
      </c>
      <c r="C541" s="132">
        <v>0.0</v>
      </c>
      <c r="D541" s="132">
        <v>0.0</v>
      </c>
      <c r="E541" s="132">
        <v>0.0</v>
      </c>
      <c r="F541" s="132">
        <v>0.0</v>
      </c>
      <c r="G541" s="132">
        <v>10000.0</v>
      </c>
      <c r="H541" s="132">
        <v>0.0</v>
      </c>
      <c r="I541" s="132">
        <v>0.0</v>
      </c>
      <c r="J541" s="132">
        <v>0.0</v>
      </c>
      <c r="K541" s="132">
        <v>0.0</v>
      </c>
      <c r="L541" s="132">
        <v>0.0</v>
      </c>
      <c r="M541" s="132">
        <v>0.0</v>
      </c>
      <c r="N541" s="132">
        <v>0.0</v>
      </c>
      <c r="O541" s="132">
        <v>0.0</v>
      </c>
      <c r="P541" s="132">
        <v>0.0</v>
      </c>
      <c r="Q541" s="132">
        <v>0.0</v>
      </c>
      <c r="R541" s="132">
        <v>0.0</v>
      </c>
      <c r="S541" s="132">
        <v>0.0</v>
      </c>
      <c r="T541" s="132">
        <v>0.0</v>
      </c>
      <c r="U541" s="132">
        <v>0.0</v>
      </c>
      <c r="V541" s="132">
        <v>0.0</v>
      </c>
      <c r="W541" s="132">
        <v>0.0</v>
      </c>
      <c r="Y541" s="132" t="s">
        <v>4043</v>
      </c>
      <c r="Z541" s="132">
        <f t="shared" ref="Z541:AC541" si="1078">C541-1000</f>
        <v>-1000</v>
      </c>
      <c r="AA541" s="132">
        <f t="shared" si="1078"/>
        <v>-1000</v>
      </c>
      <c r="AB541" s="132">
        <f t="shared" si="1078"/>
        <v>-1000</v>
      </c>
      <c r="AC541" s="132">
        <f t="shared" si="1078"/>
        <v>-1000</v>
      </c>
      <c r="AD541" s="132">
        <f t="shared" si="4"/>
        <v>0</v>
      </c>
      <c r="AE541" s="132">
        <f t="shared" ref="AE541:AS541" si="1079">H541-1000</f>
        <v>-1000</v>
      </c>
      <c r="AF541" s="132">
        <f t="shared" si="1079"/>
        <v>-1000</v>
      </c>
      <c r="AG541" s="132">
        <f t="shared" si="1079"/>
        <v>-1000</v>
      </c>
      <c r="AH541" s="132">
        <f t="shared" si="1079"/>
        <v>-1000</v>
      </c>
      <c r="AI541" s="132">
        <f t="shared" si="1079"/>
        <v>-1000</v>
      </c>
      <c r="AJ541" s="132">
        <f t="shared" si="1079"/>
        <v>-1000</v>
      </c>
      <c r="AK541" s="132">
        <f t="shared" si="1079"/>
        <v>-1000</v>
      </c>
      <c r="AL541" s="132">
        <f t="shared" si="1079"/>
        <v>-1000</v>
      </c>
      <c r="AM541" s="132">
        <f t="shared" si="1079"/>
        <v>-1000</v>
      </c>
      <c r="AN541" s="132">
        <f t="shared" si="1079"/>
        <v>-1000</v>
      </c>
      <c r="AO541" s="132">
        <f t="shared" si="1079"/>
        <v>-1000</v>
      </c>
      <c r="AP541" s="132">
        <f t="shared" si="1079"/>
        <v>-1000</v>
      </c>
      <c r="AQ541" s="132">
        <f t="shared" si="1079"/>
        <v>-1000</v>
      </c>
      <c r="AR541" s="132">
        <f t="shared" si="1079"/>
        <v>-1000</v>
      </c>
      <c r="AS541" s="132">
        <f t="shared" si="1079"/>
        <v>-1000</v>
      </c>
    </row>
    <row r="542">
      <c r="A542" s="132" t="s">
        <v>4044</v>
      </c>
      <c r="B542" s="132">
        <v>350.0</v>
      </c>
      <c r="C542" s="132">
        <v>0.0</v>
      </c>
      <c r="D542" s="132">
        <v>0.0</v>
      </c>
      <c r="E542" s="132">
        <v>0.0</v>
      </c>
      <c r="F542" s="132">
        <v>0.0</v>
      </c>
      <c r="G542" s="132">
        <v>350.0</v>
      </c>
      <c r="H542" s="132">
        <v>0.0</v>
      </c>
      <c r="I542" s="132">
        <v>0.0</v>
      </c>
      <c r="J542" s="132">
        <v>0.0</v>
      </c>
      <c r="K542" s="132">
        <v>0.0</v>
      </c>
      <c r="L542" s="132">
        <v>0.0</v>
      </c>
      <c r="M542" s="132">
        <v>0.0</v>
      </c>
      <c r="N542" s="132">
        <v>0.0</v>
      </c>
      <c r="O542" s="132">
        <v>0.0</v>
      </c>
      <c r="P542" s="132">
        <v>0.0</v>
      </c>
      <c r="Q542" s="132">
        <v>0.0</v>
      </c>
      <c r="R542" s="132">
        <v>0.0</v>
      </c>
      <c r="S542" s="132">
        <v>0.0</v>
      </c>
      <c r="T542" s="132">
        <v>0.0</v>
      </c>
      <c r="U542" s="132">
        <v>0.0</v>
      </c>
      <c r="V542" s="132">
        <v>0.0</v>
      </c>
      <c r="W542" s="132">
        <v>0.0</v>
      </c>
      <c r="Y542" s="132" t="s">
        <v>4044</v>
      </c>
      <c r="Z542" s="132">
        <f t="shared" ref="Z542:AC542" si="1080">C542-1000</f>
        <v>-1000</v>
      </c>
      <c r="AA542" s="132">
        <f t="shared" si="1080"/>
        <v>-1000</v>
      </c>
      <c r="AB542" s="132">
        <f t="shared" si="1080"/>
        <v>-1000</v>
      </c>
      <c r="AC542" s="132">
        <f t="shared" si="1080"/>
        <v>-1000</v>
      </c>
      <c r="AD542" s="132">
        <f t="shared" si="4"/>
        <v>-9650</v>
      </c>
      <c r="AE542" s="132">
        <f t="shared" ref="AE542:AS542" si="1081">H542-1000</f>
        <v>-1000</v>
      </c>
      <c r="AF542" s="132">
        <f t="shared" si="1081"/>
        <v>-1000</v>
      </c>
      <c r="AG542" s="132">
        <f t="shared" si="1081"/>
        <v>-1000</v>
      </c>
      <c r="AH542" s="132">
        <f t="shared" si="1081"/>
        <v>-1000</v>
      </c>
      <c r="AI542" s="132">
        <f t="shared" si="1081"/>
        <v>-1000</v>
      </c>
      <c r="AJ542" s="132">
        <f t="shared" si="1081"/>
        <v>-1000</v>
      </c>
      <c r="AK542" s="132">
        <f t="shared" si="1081"/>
        <v>-1000</v>
      </c>
      <c r="AL542" s="132">
        <f t="shared" si="1081"/>
        <v>-1000</v>
      </c>
      <c r="AM542" s="132">
        <f t="shared" si="1081"/>
        <v>-1000</v>
      </c>
      <c r="AN542" s="132">
        <f t="shared" si="1081"/>
        <v>-1000</v>
      </c>
      <c r="AO542" s="132">
        <f t="shared" si="1081"/>
        <v>-1000</v>
      </c>
      <c r="AP542" s="132">
        <f t="shared" si="1081"/>
        <v>-1000</v>
      </c>
      <c r="AQ542" s="132">
        <f t="shared" si="1081"/>
        <v>-1000</v>
      </c>
      <c r="AR542" s="132">
        <f t="shared" si="1081"/>
        <v>-1000</v>
      </c>
      <c r="AS542" s="132">
        <f t="shared" si="1081"/>
        <v>-1000</v>
      </c>
    </row>
    <row r="543">
      <c r="A543" s="132" t="s">
        <v>4045</v>
      </c>
      <c r="B543" s="132">
        <v>4000.0</v>
      </c>
      <c r="C543" s="132">
        <v>0.0</v>
      </c>
      <c r="D543" s="132">
        <v>0.0</v>
      </c>
      <c r="E543" s="132">
        <v>0.0</v>
      </c>
      <c r="F543" s="132">
        <v>0.0</v>
      </c>
      <c r="G543" s="132">
        <v>4000.0</v>
      </c>
      <c r="H543" s="132">
        <v>0.0</v>
      </c>
      <c r="I543" s="132">
        <v>0.0</v>
      </c>
      <c r="J543" s="132">
        <v>0.0</v>
      </c>
      <c r="K543" s="132">
        <v>0.0</v>
      </c>
      <c r="L543" s="132">
        <v>0.0</v>
      </c>
      <c r="M543" s="132">
        <v>0.0</v>
      </c>
      <c r="N543" s="132">
        <v>0.0</v>
      </c>
      <c r="O543" s="132">
        <v>0.0</v>
      </c>
      <c r="P543" s="132">
        <v>0.0</v>
      </c>
      <c r="Q543" s="132">
        <v>0.0</v>
      </c>
      <c r="R543" s="132">
        <v>0.0</v>
      </c>
      <c r="S543" s="132">
        <v>0.0</v>
      </c>
      <c r="T543" s="132">
        <v>0.0</v>
      </c>
      <c r="U543" s="132">
        <v>0.0</v>
      </c>
      <c r="V543" s="132">
        <v>0.0</v>
      </c>
      <c r="W543" s="132">
        <v>0.0</v>
      </c>
      <c r="Y543" s="132" t="s">
        <v>4045</v>
      </c>
      <c r="Z543" s="132">
        <f t="shared" ref="Z543:AC543" si="1082">C543-1000</f>
        <v>-1000</v>
      </c>
      <c r="AA543" s="132">
        <f t="shared" si="1082"/>
        <v>-1000</v>
      </c>
      <c r="AB543" s="132">
        <f t="shared" si="1082"/>
        <v>-1000</v>
      </c>
      <c r="AC543" s="132">
        <f t="shared" si="1082"/>
        <v>-1000</v>
      </c>
      <c r="AD543" s="132">
        <f t="shared" si="4"/>
        <v>-6000</v>
      </c>
      <c r="AE543" s="132">
        <f t="shared" ref="AE543:AS543" si="1083">H543-1000</f>
        <v>-1000</v>
      </c>
      <c r="AF543" s="132">
        <f t="shared" si="1083"/>
        <v>-1000</v>
      </c>
      <c r="AG543" s="132">
        <f t="shared" si="1083"/>
        <v>-1000</v>
      </c>
      <c r="AH543" s="132">
        <f t="shared" si="1083"/>
        <v>-1000</v>
      </c>
      <c r="AI543" s="132">
        <f t="shared" si="1083"/>
        <v>-1000</v>
      </c>
      <c r="AJ543" s="132">
        <f t="shared" si="1083"/>
        <v>-1000</v>
      </c>
      <c r="AK543" s="132">
        <f t="shared" si="1083"/>
        <v>-1000</v>
      </c>
      <c r="AL543" s="132">
        <f t="shared" si="1083"/>
        <v>-1000</v>
      </c>
      <c r="AM543" s="132">
        <f t="shared" si="1083"/>
        <v>-1000</v>
      </c>
      <c r="AN543" s="132">
        <f t="shared" si="1083"/>
        <v>-1000</v>
      </c>
      <c r="AO543" s="132">
        <f t="shared" si="1083"/>
        <v>-1000</v>
      </c>
      <c r="AP543" s="132">
        <f t="shared" si="1083"/>
        <v>-1000</v>
      </c>
      <c r="AQ543" s="132">
        <f t="shared" si="1083"/>
        <v>-1000</v>
      </c>
      <c r="AR543" s="132">
        <f t="shared" si="1083"/>
        <v>-1000</v>
      </c>
      <c r="AS543" s="132">
        <f t="shared" si="1083"/>
        <v>-1000</v>
      </c>
    </row>
    <row r="544">
      <c r="A544" s="132" t="s">
        <v>4046</v>
      </c>
      <c r="B544" s="132">
        <v>10000.0</v>
      </c>
      <c r="C544" s="132">
        <v>0.0</v>
      </c>
      <c r="D544" s="132">
        <v>0.0</v>
      </c>
      <c r="E544" s="132">
        <v>0.0</v>
      </c>
      <c r="F544" s="132">
        <v>0.0</v>
      </c>
      <c r="G544" s="132">
        <v>10000.0</v>
      </c>
      <c r="H544" s="132">
        <v>0.0</v>
      </c>
      <c r="I544" s="132">
        <v>0.0</v>
      </c>
      <c r="J544" s="132">
        <v>0.0</v>
      </c>
      <c r="K544" s="132">
        <v>0.0</v>
      </c>
      <c r="L544" s="132">
        <v>0.0</v>
      </c>
      <c r="M544" s="132">
        <v>0.0</v>
      </c>
      <c r="N544" s="132">
        <v>0.0</v>
      </c>
      <c r="O544" s="132">
        <v>0.0</v>
      </c>
      <c r="P544" s="132">
        <v>0.0</v>
      </c>
      <c r="Q544" s="132">
        <v>0.0</v>
      </c>
      <c r="R544" s="132">
        <v>0.0</v>
      </c>
      <c r="S544" s="132">
        <v>0.0</v>
      </c>
      <c r="T544" s="132">
        <v>0.0</v>
      </c>
      <c r="U544" s="132">
        <v>0.0</v>
      </c>
      <c r="V544" s="132">
        <v>0.0</v>
      </c>
      <c r="W544" s="132">
        <v>0.0</v>
      </c>
      <c r="Y544" s="132" t="s">
        <v>4046</v>
      </c>
      <c r="Z544" s="132">
        <f t="shared" ref="Z544:AC544" si="1084">C544-1000</f>
        <v>-1000</v>
      </c>
      <c r="AA544" s="132">
        <f t="shared" si="1084"/>
        <v>-1000</v>
      </c>
      <c r="AB544" s="132">
        <f t="shared" si="1084"/>
        <v>-1000</v>
      </c>
      <c r="AC544" s="132">
        <f t="shared" si="1084"/>
        <v>-1000</v>
      </c>
      <c r="AD544" s="132">
        <f t="shared" si="4"/>
        <v>0</v>
      </c>
      <c r="AE544" s="132">
        <f t="shared" ref="AE544:AS544" si="1085">H544-1000</f>
        <v>-1000</v>
      </c>
      <c r="AF544" s="132">
        <f t="shared" si="1085"/>
        <v>-1000</v>
      </c>
      <c r="AG544" s="132">
        <f t="shared" si="1085"/>
        <v>-1000</v>
      </c>
      <c r="AH544" s="132">
        <f t="shared" si="1085"/>
        <v>-1000</v>
      </c>
      <c r="AI544" s="132">
        <f t="shared" si="1085"/>
        <v>-1000</v>
      </c>
      <c r="AJ544" s="132">
        <f t="shared" si="1085"/>
        <v>-1000</v>
      </c>
      <c r="AK544" s="132">
        <f t="shared" si="1085"/>
        <v>-1000</v>
      </c>
      <c r="AL544" s="132">
        <f t="shared" si="1085"/>
        <v>-1000</v>
      </c>
      <c r="AM544" s="132">
        <f t="shared" si="1085"/>
        <v>-1000</v>
      </c>
      <c r="AN544" s="132">
        <f t="shared" si="1085"/>
        <v>-1000</v>
      </c>
      <c r="AO544" s="132">
        <f t="shared" si="1085"/>
        <v>-1000</v>
      </c>
      <c r="AP544" s="132">
        <f t="shared" si="1085"/>
        <v>-1000</v>
      </c>
      <c r="AQ544" s="132">
        <f t="shared" si="1085"/>
        <v>-1000</v>
      </c>
      <c r="AR544" s="132">
        <f t="shared" si="1085"/>
        <v>-1000</v>
      </c>
      <c r="AS544" s="132">
        <f t="shared" si="1085"/>
        <v>-1000</v>
      </c>
    </row>
    <row r="545">
      <c r="A545" s="132" t="s">
        <v>4047</v>
      </c>
      <c r="B545" s="132">
        <v>25.0</v>
      </c>
      <c r="C545" s="132">
        <v>0.0</v>
      </c>
      <c r="D545" s="132">
        <v>0.0</v>
      </c>
      <c r="E545" s="132">
        <v>0.0</v>
      </c>
      <c r="F545" s="132">
        <v>0.0</v>
      </c>
      <c r="G545" s="132">
        <v>25.0</v>
      </c>
      <c r="H545" s="132">
        <v>0.0</v>
      </c>
      <c r="I545" s="132">
        <v>0.0</v>
      </c>
      <c r="J545" s="132">
        <v>0.0</v>
      </c>
      <c r="K545" s="132">
        <v>0.0</v>
      </c>
      <c r="L545" s="132">
        <v>0.0</v>
      </c>
      <c r="M545" s="132">
        <v>0.0</v>
      </c>
      <c r="N545" s="132">
        <v>0.0</v>
      </c>
      <c r="O545" s="132">
        <v>0.0</v>
      </c>
      <c r="P545" s="132">
        <v>0.0</v>
      </c>
      <c r="Q545" s="132">
        <v>0.0</v>
      </c>
      <c r="R545" s="132">
        <v>0.0</v>
      </c>
      <c r="S545" s="132">
        <v>0.0</v>
      </c>
      <c r="T545" s="132">
        <v>0.0</v>
      </c>
      <c r="U545" s="132">
        <v>0.0</v>
      </c>
      <c r="V545" s="132">
        <v>0.0</v>
      </c>
      <c r="W545" s="132">
        <v>0.0</v>
      </c>
      <c r="Y545" s="132" t="s">
        <v>4047</v>
      </c>
      <c r="Z545" s="132">
        <f t="shared" ref="Z545:AC545" si="1086">C545-1000</f>
        <v>-1000</v>
      </c>
      <c r="AA545" s="132">
        <f t="shared" si="1086"/>
        <v>-1000</v>
      </c>
      <c r="AB545" s="132">
        <f t="shared" si="1086"/>
        <v>-1000</v>
      </c>
      <c r="AC545" s="132">
        <f t="shared" si="1086"/>
        <v>-1000</v>
      </c>
      <c r="AD545" s="132">
        <f t="shared" si="4"/>
        <v>-9975</v>
      </c>
      <c r="AE545" s="132">
        <f t="shared" ref="AE545:AS545" si="1087">H545-1000</f>
        <v>-1000</v>
      </c>
      <c r="AF545" s="132">
        <f t="shared" si="1087"/>
        <v>-1000</v>
      </c>
      <c r="AG545" s="132">
        <f t="shared" si="1087"/>
        <v>-1000</v>
      </c>
      <c r="AH545" s="132">
        <f t="shared" si="1087"/>
        <v>-1000</v>
      </c>
      <c r="AI545" s="132">
        <f t="shared" si="1087"/>
        <v>-1000</v>
      </c>
      <c r="AJ545" s="132">
        <f t="shared" si="1087"/>
        <v>-1000</v>
      </c>
      <c r="AK545" s="132">
        <f t="shared" si="1087"/>
        <v>-1000</v>
      </c>
      <c r="AL545" s="132">
        <f t="shared" si="1087"/>
        <v>-1000</v>
      </c>
      <c r="AM545" s="132">
        <f t="shared" si="1087"/>
        <v>-1000</v>
      </c>
      <c r="AN545" s="132">
        <f t="shared" si="1087"/>
        <v>-1000</v>
      </c>
      <c r="AO545" s="132">
        <f t="shared" si="1087"/>
        <v>-1000</v>
      </c>
      <c r="AP545" s="132">
        <f t="shared" si="1087"/>
        <v>-1000</v>
      </c>
      <c r="AQ545" s="132">
        <f t="shared" si="1087"/>
        <v>-1000</v>
      </c>
      <c r="AR545" s="132">
        <f t="shared" si="1087"/>
        <v>-1000</v>
      </c>
      <c r="AS545" s="132">
        <f t="shared" si="1087"/>
        <v>-1000</v>
      </c>
    </row>
    <row r="546">
      <c r="A546" s="132" t="s">
        <v>4048</v>
      </c>
      <c r="B546" s="132">
        <v>50.0</v>
      </c>
      <c r="C546" s="132">
        <v>0.0</v>
      </c>
      <c r="D546" s="132">
        <v>0.0</v>
      </c>
      <c r="E546" s="132">
        <v>0.0</v>
      </c>
      <c r="F546" s="132">
        <v>0.0</v>
      </c>
      <c r="G546" s="132">
        <v>50.0</v>
      </c>
      <c r="H546" s="132">
        <v>0.0</v>
      </c>
      <c r="I546" s="132">
        <v>0.0</v>
      </c>
      <c r="J546" s="132">
        <v>0.0</v>
      </c>
      <c r="K546" s="132">
        <v>0.0</v>
      </c>
      <c r="L546" s="132">
        <v>0.0</v>
      </c>
      <c r="M546" s="132">
        <v>0.0</v>
      </c>
      <c r="N546" s="132">
        <v>0.0</v>
      </c>
      <c r="O546" s="132">
        <v>0.0</v>
      </c>
      <c r="P546" s="132">
        <v>0.0</v>
      </c>
      <c r="Q546" s="132">
        <v>0.0</v>
      </c>
      <c r="R546" s="132">
        <v>0.0</v>
      </c>
      <c r="S546" s="132">
        <v>0.0</v>
      </c>
      <c r="T546" s="132">
        <v>0.0</v>
      </c>
      <c r="U546" s="132">
        <v>0.0</v>
      </c>
      <c r="V546" s="132">
        <v>0.0</v>
      </c>
      <c r="W546" s="132">
        <v>0.0</v>
      </c>
      <c r="Y546" s="132" t="s">
        <v>4048</v>
      </c>
      <c r="Z546" s="132">
        <f t="shared" ref="Z546:AC546" si="1088">C546-1000</f>
        <v>-1000</v>
      </c>
      <c r="AA546" s="132">
        <f t="shared" si="1088"/>
        <v>-1000</v>
      </c>
      <c r="AB546" s="132">
        <f t="shared" si="1088"/>
        <v>-1000</v>
      </c>
      <c r="AC546" s="132">
        <f t="shared" si="1088"/>
        <v>-1000</v>
      </c>
      <c r="AD546" s="132">
        <f t="shared" si="4"/>
        <v>-9950</v>
      </c>
      <c r="AE546" s="132">
        <f t="shared" ref="AE546:AS546" si="1089">H546-1000</f>
        <v>-1000</v>
      </c>
      <c r="AF546" s="132">
        <f t="shared" si="1089"/>
        <v>-1000</v>
      </c>
      <c r="AG546" s="132">
        <f t="shared" si="1089"/>
        <v>-1000</v>
      </c>
      <c r="AH546" s="132">
        <f t="shared" si="1089"/>
        <v>-1000</v>
      </c>
      <c r="AI546" s="132">
        <f t="shared" si="1089"/>
        <v>-1000</v>
      </c>
      <c r="AJ546" s="132">
        <f t="shared" si="1089"/>
        <v>-1000</v>
      </c>
      <c r="AK546" s="132">
        <f t="shared" si="1089"/>
        <v>-1000</v>
      </c>
      <c r="AL546" s="132">
        <f t="shared" si="1089"/>
        <v>-1000</v>
      </c>
      <c r="AM546" s="132">
        <f t="shared" si="1089"/>
        <v>-1000</v>
      </c>
      <c r="AN546" s="132">
        <f t="shared" si="1089"/>
        <v>-1000</v>
      </c>
      <c r="AO546" s="132">
        <f t="shared" si="1089"/>
        <v>-1000</v>
      </c>
      <c r="AP546" s="132">
        <f t="shared" si="1089"/>
        <v>-1000</v>
      </c>
      <c r="AQ546" s="132">
        <f t="shared" si="1089"/>
        <v>-1000</v>
      </c>
      <c r="AR546" s="132">
        <f t="shared" si="1089"/>
        <v>-1000</v>
      </c>
      <c r="AS546" s="132">
        <f t="shared" si="1089"/>
        <v>-1000</v>
      </c>
    </row>
    <row r="547">
      <c r="A547" s="132" t="s">
        <v>4049</v>
      </c>
      <c r="B547" s="132">
        <v>2000.0</v>
      </c>
      <c r="C547" s="132">
        <v>0.0</v>
      </c>
      <c r="D547" s="132">
        <v>0.0</v>
      </c>
      <c r="E547" s="132">
        <v>0.0</v>
      </c>
      <c r="F547" s="132">
        <v>0.0</v>
      </c>
      <c r="G547" s="132">
        <v>1000.0</v>
      </c>
      <c r="H547" s="132">
        <v>0.0</v>
      </c>
      <c r="I547" s="132">
        <v>0.0</v>
      </c>
      <c r="J547" s="132">
        <v>0.0</v>
      </c>
      <c r="K547" s="132">
        <v>0.0</v>
      </c>
      <c r="L547" s="132">
        <v>0.0</v>
      </c>
      <c r="M547" s="132">
        <v>1000.0</v>
      </c>
      <c r="N547" s="132">
        <v>0.0</v>
      </c>
      <c r="O547" s="132">
        <v>0.0</v>
      </c>
      <c r="P547" s="132">
        <v>0.0</v>
      </c>
      <c r="Q547" s="132">
        <v>0.0</v>
      </c>
      <c r="R547" s="132">
        <v>0.0</v>
      </c>
      <c r="S547" s="132">
        <v>0.0</v>
      </c>
      <c r="T547" s="132">
        <v>0.0</v>
      </c>
      <c r="U547" s="132">
        <v>0.0</v>
      </c>
      <c r="V547" s="132">
        <v>0.0</v>
      </c>
      <c r="W547" s="132">
        <v>1.0</v>
      </c>
      <c r="Y547" s="132" t="s">
        <v>4049</v>
      </c>
      <c r="Z547" s="132">
        <f t="shared" ref="Z547:AC547" si="1090">C547-1000</f>
        <v>-1000</v>
      </c>
      <c r="AA547" s="132">
        <f t="shared" si="1090"/>
        <v>-1000</v>
      </c>
      <c r="AB547" s="132">
        <f t="shared" si="1090"/>
        <v>-1000</v>
      </c>
      <c r="AC547" s="132">
        <f t="shared" si="1090"/>
        <v>-1000</v>
      </c>
      <c r="AD547" s="132">
        <f t="shared" si="4"/>
        <v>-9000</v>
      </c>
      <c r="AE547" s="132">
        <f t="shared" ref="AE547:AS547" si="1091">H547-1000</f>
        <v>-1000</v>
      </c>
      <c r="AF547" s="132">
        <f t="shared" si="1091"/>
        <v>-1000</v>
      </c>
      <c r="AG547" s="132">
        <f t="shared" si="1091"/>
        <v>-1000</v>
      </c>
      <c r="AH547" s="132">
        <f t="shared" si="1091"/>
        <v>-1000</v>
      </c>
      <c r="AI547" s="132">
        <f t="shared" si="1091"/>
        <v>-1000</v>
      </c>
      <c r="AJ547" s="132">
        <f t="shared" si="1091"/>
        <v>0</v>
      </c>
      <c r="AK547" s="132">
        <f t="shared" si="1091"/>
        <v>-1000</v>
      </c>
      <c r="AL547" s="132">
        <f t="shared" si="1091"/>
        <v>-1000</v>
      </c>
      <c r="AM547" s="132">
        <f t="shared" si="1091"/>
        <v>-1000</v>
      </c>
      <c r="AN547" s="132">
        <f t="shared" si="1091"/>
        <v>-1000</v>
      </c>
      <c r="AO547" s="132">
        <f t="shared" si="1091"/>
        <v>-1000</v>
      </c>
      <c r="AP547" s="132">
        <f t="shared" si="1091"/>
        <v>-1000</v>
      </c>
      <c r="AQ547" s="132">
        <f t="shared" si="1091"/>
        <v>-1000</v>
      </c>
      <c r="AR547" s="132">
        <f t="shared" si="1091"/>
        <v>-1000</v>
      </c>
      <c r="AS547" s="132">
        <f t="shared" si="1091"/>
        <v>-1000</v>
      </c>
    </row>
    <row r="548">
      <c r="A548" s="132" t="s">
        <v>4050</v>
      </c>
      <c r="B548" s="132">
        <v>50.0</v>
      </c>
      <c r="C548" s="132">
        <v>0.0</v>
      </c>
      <c r="D548" s="132">
        <v>0.0</v>
      </c>
      <c r="E548" s="132">
        <v>0.0</v>
      </c>
      <c r="F548" s="132">
        <v>0.0</v>
      </c>
      <c r="G548" s="132">
        <v>50.0</v>
      </c>
      <c r="H548" s="132">
        <v>0.0</v>
      </c>
      <c r="I548" s="132">
        <v>0.0</v>
      </c>
      <c r="J548" s="132">
        <v>0.0</v>
      </c>
      <c r="K548" s="132">
        <v>0.0</v>
      </c>
      <c r="L548" s="132">
        <v>0.0</v>
      </c>
      <c r="M548" s="132">
        <v>0.0</v>
      </c>
      <c r="N548" s="132">
        <v>0.0</v>
      </c>
      <c r="O548" s="132">
        <v>0.0</v>
      </c>
      <c r="P548" s="132">
        <v>0.0</v>
      </c>
      <c r="Q548" s="132">
        <v>0.0</v>
      </c>
      <c r="R548" s="132">
        <v>0.0</v>
      </c>
      <c r="S548" s="132">
        <v>0.0</v>
      </c>
      <c r="T548" s="132">
        <v>0.0</v>
      </c>
      <c r="U548" s="132">
        <v>0.0</v>
      </c>
      <c r="V548" s="132">
        <v>0.0</v>
      </c>
      <c r="W548" s="132">
        <v>0.0</v>
      </c>
      <c r="Y548" s="132" t="s">
        <v>4050</v>
      </c>
      <c r="Z548" s="132">
        <f t="shared" ref="Z548:AC548" si="1092">C548-1000</f>
        <v>-1000</v>
      </c>
      <c r="AA548" s="132">
        <f t="shared" si="1092"/>
        <v>-1000</v>
      </c>
      <c r="AB548" s="132">
        <f t="shared" si="1092"/>
        <v>-1000</v>
      </c>
      <c r="AC548" s="132">
        <f t="shared" si="1092"/>
        <v>-1000</v>
      </c>
      <c r="AD548" s="132">
        <f t="shared" si="4"/>
        <v>-9950</v>
      </c>
      <c r="AE548" s="132">
        <f t="shared" ref="AE548:AS548" si="1093">H548-1000</f>
        <v>-1000</v>
      </c>
      <c r="AF548" s="132">
        <f t="shared" si="1093"/>
        <v>-1000</v>
      </c>
      <c r="AG548" s="132">
        <f t="shared" si="1093"/>
        <v>-1000</v>
      </c>
      <c r="AH548" s="132">
        <f t="shared" si="1093"/>
        <v>-1000</v>
      </c>
      <c r="AI548" s="132">
        <f t="shared" si="1093"/>
        <v>-1000</v>
      </c>
      <c r="AJ548" s="132">
        <f t="shared" si="1093"/>
        <v>-1000</v>
      </c>
      <c r="AK548" s="132">
        <f t="shared" si="1093"/>
        <v>-1000</v>
      </c>
      <c r="AL548" s="132">
        <f t="shared" si="1093"/>
        <v>-1000</v>
      </c>
      <c r="AM548" s="132">
        <f t="shared" si="1093"/>
        <v>-1000</v>
      </c>
      <c r="AN548" s="132">
        <f t="shared" si="1093"/>
        <v>-1000</v>
      </c>
      <c r="AO548" s="132">
        <f t="shared" si="1093"/>
        <v>-1000</v>
      </c>
      <c r="AP548" s="132">
        <f t="shared" si="1093"/>
        <v>-1000</v>
      </c>
      <c r="AQ548" s="132">
        <f t="shared" si="1093"/>
        <v>-1000</v>
      </c>
      <c r="AR548" s="132">
        <f t="shared" si="1093"/>
        <v>-1000</v>
      </c>
      <c r="AS548" s="132">
        <f t="shared" si="1093"/>
        <v>-1000</v>
      </c>
    </row>
    <row r="549">
      <c r="A549" s="132" t="s">
        <v>4051</v>
      </c>
      <c r="B549" s="132">
        <v>100.0</v>
      </c>
      <c r="C549" s="132">
        <v>0.0</v>
      </c>
      <c r="D549" s="132">
        <v>0.0</v>
      </c>
      <c r="E549" s="132">
        <v>0.0</v>
      </c>
      <c r="F549" s="132">
        <v>0.0</v>
      </c>
      <c r="G549" s="132">
        <v>100.0</v>
      </c>
      <c r="H549" s="132">
        <v>0.0</v>
      </c>
      <c r="I549" s="132">
        <v>0.0</v>
      </c>
      <c r="J549" s="132">
        <v>0.0</v>
      </c>
      <c r="K549" s="132">
        <v>0.0</v>
      </c>
      <c r="L549" s="132">
        <v>0.0</v>
      </c>
      <c r="M549" s="132">
        <v>0.0</v>
      </c>
      <c r="N549" s="132">
        <v>0.0</v>
      </c>
      <c r="O549" s="132">
        <v>0.0</v>
      </c>
      <c r="P549" s="132">
        <v>0.0</v>
      </c>
      <c r="Q549" s="132">
        <v>0.0</v>
      </c>
      <c r="R549" s="132">
        <v>0.0</v>
      </c>
      <c r="S549" s="132">
        <v>0.0</v>
      </c>
      <c r="T549" s="132">
        <v>0.0</v>
      </c>
      <c r="U549" s="132">
        <v>0.0</v>
      </c>
      <c r="V549" s="132">
        <v>0.0</v>
      </c>
      <c r="W549" s="132">
        <v>0.0</v>
      </c>
      <c r="Y549" s="132" t="s">
        <v>4051</v>
      </c>
      <c r="Z549" s="132">
        <f t="shared" ref="Z549:AC549" si="1094">C549-1000</f>
        <v>-1000</v>
      </c>
      <c r="AA549" s="132">
        <f t="shared" si="1094"/>
        <v>-1000</v>
      </c>
      <c r="AB549" s="132">
        <f t="shared" si="1094"/>
        <v>-1000</v>
      </c>
      <c r="AC549" s="132">
        <f t="shared" si="1094"/>
        <v>-1000</v>
      </c>
      <c r="AD549" s="132">
        <f t="shared" si="4"/>
        <v>-9900</v>
      </c>
      <c r="AE549" s="132">
        <f t="shared" ref="AE549:AS549" si="1095">H549-1000</f>
        <v>-1000</v>
      </c>
      <c r="AF549" s="132">
        <f t="shared" si="1095"/>
        <v>-1000</v>
      </c>
      <c r="AG549" s="132">
        <f t="shared" si="1095"/>
        <v>-1000</v>
      </c>
      <c r="AH549" s="132">
        <f t="shared" si="1095"/>
        <v>-1000</v>
      </c>
      <c r="AI549" s="132">
        <f t="shared" si="1095"/>
        <v>-1000</v>
      </c>
      <c r="AJ549" s="132">
        <f t="shared" si="1095"/>
        <v>-1000</v>
      </c>
      <c r="AK549" s="132">
        <f t="shared" si="1095"/>
        <v>-1000</v>
      </c>
      <c r="AL549" s="132">
        <f t="shared" si="1095"/>
        <v>-1000</v>
      </c>
      <c r="AM549" s="132">
        <f t="shared" si="1095"/>
        <v>-1000</v>
      </c>
      <c r="AN549" s="132">
        <f t="shared" si="1095"/>
        <v>-1000</v>
      </c>
      <c r="AO549" s="132">
        <f t="shared" si="1095"/>
        <v>-1000</v>
      </c>
      <c r="AP549" s="132">
        <f t="shared" si="1095"/>
        <v>-1000</v>
      </c>
      <c r="AQ549" s="132">
        <f t="shared" si="1095"/>
        <v>-1000</v>
      </c>
      <c r="AR549" s="132">
        <f t="shared" si="1095"/>
        <v>-1000</v>
      </c>
      <c r="AS549" s="132">
        <f t="shared" si="1095"/>
        <v>-1000</v>
      </c>
    </row>
    <row r="550">
      <c r="A550" s="132" t="s">
        <v>4052</v>
      </c>
      <c r="B550" s="132">
        <v>1000.0</v>
      </c>
      <c r="C550" s="132">
        <v>0.0</v>
      </c>
      <c r="D550" s="132">
        <v>0.0</v>
      </c>
      <c r="E550" s="132">
        <v>0.0</v>
      </c>
      <c r="F550" s="132">
        <v>0.0</v>
      </c>
      <c r="G550" s="132">
        <v>1000.0</v>
      </c>
      <c r="H550" s="132">
        <v>0.0</v>
      </c>
      <c r="I550" s="132">
        <v>0.0</v>
      </c>
      <c r="J550" s="132">
        <v>0.0</v>
      </c>
      <c r="K550" s="132">
        <v>0.0</v>
      </c>
      <c r="L550" s="132">
        <v>0.0</v>
      </c>
      <c r="M550" s="132">
        <v>0.0</v>
      </c>
      <c r="N550" s="132">
        <v>0.0</v>
      </c>
      <c r="O550" s="132">
        <v>0.0</v>
      </c>
      <c r="P550" s="132">
        <v>0.0</v>
      </c>
      <c r="Q550" s="132">
        <v>0.0</v>
      </c>
      <c r="R550" s="132">
        <v>0.0</v>
      </c>
      <c r="S550" s="132">
        <v>0.0</v>
      </c>
      <c r="T550" s="132">
        <v>0.0</v>
      </c>
      <c r="U550" s="132">
        <v>0.0</v>
      </c>
      <c r="V550" s="132">
        <v>0.0</v>
      </c>
      <c r="W550" s="132">
        <v>0.0</v>
      </c>
      <c r="Y550" s="132" t="s">
        <v>4052</v>
      </c>
      <c r="Z550" s="132">
        <f t="shared" ref="Z550:AC550" si="1096">C550-1000</f>
        <v>-1000</v>
      </c>
      <c r="AA550" s="132">
        <f t="shared" si="1096"/>
        <v>-1000</v>
      </c>
      <c r="AB550" s="132">
        <f t="shared" si="1096"/>
        <v>-1000</v>
      </c>
      <c r="AC550" s="132">
        <f t="shared" si="1096"/>
        <v>-1000</v>
      </c>
      <c r="AD550" s="132">
        <f t="shared" si="4"/>
        <v>-9000</v>
      </c>
      <c r="AE550" s="132">
        <f t="shared" ref="AE550:AS550" si="1097">H550-1000</f>
        <v>-1000</v>
      </c>
      <c r="AF550" s="132">
        <f t="shared" si="1097"/>
        <v>-1000</v>
      </c>
      <c r="AG550" s="132">
        <f t="shared" si="1097"/>
        <v>-1000</v>
      </c>
      <c r="AH550" s="132">
        <f t="shared" si="1097"/>
        <v>-1000</v>
      </c>
      <c r="AI550" s="132">
        <f t="shared" si="1097"/>
        <v>-1000</v>
      </c>
      <c r="AJ550" s="132">
        <f t="shared" si="1097"/>
        <v>-1000</v>
      </c>
      <c r="AK550" s="132">
        <f t="shared" si="1097"/>
        <v>-1000</v>
      </c>
      <c r="AL550" s="132">
        <f t="shared" si="1097"/>
        <v>-1000</v>
      </c>
      <c r="AM550" s="132">
        <f t="shared" si="1097"/>
        <v>-1000</v>
      </c>
      <c r="AN550" s="132">
        <f t="shared" si="1097"/>
        <v>-1000</v>
      </c>
      <c r="AO550" s="132">
        <f t="shared" si="1097"/>
        <v>-1000</v>
      </c>
      <c r="AP550" s="132">
        <f t="shared" si="1097"/>
        <v>-1000</v>
      </c>
      <c r="AQ550" s="132">
        <f t="shared" si="1097"/>
        <v>-1000</v>
      </c>
      <c r="AR550" s="132">
        <f t="shared" si="1097"/>
        <v>-1000</v>
      </c>
      <c r="AS550" s="132">
        <f t="shared" si="1097"/>
        <v>-1000</v>
      </c>
    </row>
    <row r="551">
      <c r="A551" s="132" t="s">
        <v>4053</v>
      </c>
      <c r="B551" s="132">
        <v>500.0</v>
      </c>
      <c r="C551" s="132">
        <v>0.0</v>
      </c>
      <c r="D551" s="132">
        <v>0.0</v>
      </c>
      <c r="E551" s="132">
        <v>0.0</v>
      </c>
      <c r="F551" s="132">
        <v>0.0</v>
      </c>
      <c r="G551" s="132">
        <v>500.0</v>
      </c>
      <c r="H551" s="132">
        <v>0.0</v>
      </c>
      <c r="I551" s="132">
        <v>0.0</v>
      </c>
      <c r="J551" s="132">
        <v>0.0</v>
      </c>
      <c r="K551" s="132">
        <v>0.0</v>
      </c>
      <c r="L551" s="132">
        <v>0.0</v>
      </c>
      <c r="M551" s="132">
        <v>0.0</v>
      </c>
      <c r="N551" s="132">
        <v>0.0</v>
      </c>
      <c r="O551" s="132">
        <v>0.0</v>
      </c>
      <c r="P551" s="132">
        <v>0.0</v>
      </c>
      <c r="Q551" s="132">
        <v>0.0</v>
      </c>
      <c r="R551" s="132">
        <v>0.0</v>
      </c>
      <c r="S551" s="132">
        <v>0.0</v>
      </c>
      <c r="T551" s="132">
        <v>0.0</v>
      </c>
      <c r="U551" s="132">
        <v>0.0</v>
      </c>
      <c r="V551" s="132">
        <v>0.0</v>
      </c>
      <c r="W551" s="132">
        <v>0.0</v>
      </c>
      <c r="Y551" s="132" t="s">
        <v>4053</v>
      </c>
      <c r="Z551" s="132">
        <f t="shared" ref="Z551:AC551" si="1098">C551-1000</f>
        <v>-1000</v>
      </c>
      <c r="AA551" s="132">
        <f t="shared" si="1098"/>
        <v>-1000</v>
      </c>
      <c r="AB551" s="132">
        <f t="shared" si="1098"/>
        <v>-1000</v>
      </c>
      <c r="AC551" s="132">
        <f t="shared" si="1098"/>
        <v>-1000</v>
      </c>
      <c r="AD551" s="132">
        <f t="shared" si="4"/>
        <v>-9500</v>
      </c>
      <c r="AE551" s="132">
        <f t="shared" ref="AE551:AS551" si="1099">H551-1000</f>
        <v>-1000</v>
      </c>
      <c r="AF551" s="132">
        <f t="shared" si="1099"/>
        <v>-1000</v>
      </c>
      <c r="AG551" s="132">
        <f t="shared" si="1099"/>
        <v>-1000</v>
      </c>
      <c r="AH551" s="132">
        <f t="shared" si="1099"/>
        <v>-1000</v>
      </c>
      <c r="AI551" s="132">
        <f t="shared" si="1099"/>
        <v>-1000</v>
      </c>
      <c r="AJ551" s="132">
        <f t="shared" si="1099"/>
        <v>-1000</v>
      </c>
      <c r="AK551" s="132">
        <f t="shared" si="1099"/>
        <v>-1000</v>
      </c>
      <c r="AL551" s="132">
        <f t="shared" si="1099"/>
        <v>-1000</v>
      </c>
      <c r="AM551" s="132">
        <f t="shared" si="1099"/>
        <v>-1000</v>
      </c>
      <c r="AN551" s="132">
        <f t="shared" si="1099"/>
        <v>-1000</v>
      </c>
      <c r="AO551" s="132">
        <f t="shared" si="1099"/>
        <v>-1000</v>
      </c>
      <c r="AP551" s="132">
        <f t="shared" si="1099"/>
        <v>-1000</v>
      </c>
      <c r="AQ551" s="132">
        <f t="shared" si="1099"/>
        <v>-1000</v>
      </c>
      <c r="AR551" s="132">
        <f t="shared" si="1099"/>
        <v>-1000</v>
      </c>
      <c r="AS551" s="132">
        <f t="shared" si="1099"/>
        <v>-1000</v>
      </c>
    </row>
    <row r="552">
      <c r="A552" s="132" t="s">
        <v>4054</v>
      </c>
      <c r="B552" s="132">
        <v>500.0</v>
      </c>
      <c r="C552" s="132">
        <v>0.0</v>
      </c>
      <c r="D552" s="132">
        <v>0.0</v>
      </c>
      <c r="E552" s="132">
        <v>0.0</v>
      </c>
      <c r="F552" s="132">
        <v>0.0</v>
      </c>
      <c r="G552" s="132">
        <v>500.0</v>
      </c>
      <c r="H552" s="132">
        <v>0.0</v>
      </c>
      <c r="I552" s="132">
        <v>0.0</v>
      </c>
      <c r="J552" s="132">
        <v>0.0</v>
      </c>
      <c r="K552" s="132">
        <v>0.0</v>
      </c>
      <c r="L552" s="132">
        <v>0.0</v>
      </c>
      <c r="M552" s="132">
        <v>0.0</v>
      </c>
      <c r="N552" s="132">
        <v>0.0</v>
      </c>
      <c r="O552" s="132">
        <v>0.0</v>
      </c>
      <c r="P552" s="132">
        <v>0.0</v>
      </c>
      <c r="Q552" s="132">
        <v>0.0</v>
      </c>
      <c r="R552" s="132">
        <v>0.0</v>
      </c>
      <c r="S552" s="132">
        <v>0.0</v>
      </c>
      <c r="T552" s="132">
        <v>0.0</v>
      </c>
      <c r="U552" s="132">
        <v>0.0</v>
      </c>
      <c r="V552" s="132">
        <v>0.0</v>
      </c>
      <c r="W552" s="132">
        <v>0.0</v>
      </c>
      <c r="Y552" s="132" t="s">
        <v>4054</v>
      </c>
      <c r="Z552" s="132">
        <f t="shared" ref="Z552:AC552" si="1100">C552-1000</f>
        <v>-1000</v>
      </c>
      <c r="AA552" s="132">
        <f t="shared" si="1100"/>
        <v>-1000</v>
      </c>
      <c r="AB552" s="132">
        <f t="shared" si="1100"/>
        <v>-1000</v>
      </c>
      <c r="AC552" s="132">
        <f t="shared" si="1100"/>
        <v>-1000</v>
      </c>
      <c r="AD552" s="132">
        <f t="shared" si="4"/>
        <v>-9500</v>
      </c>
      <c r="AE552" s="132">
        <f t="shared" ref="AE552:AS552" si="1101">H552-1000</f>
        <v>-1000</v>
      </c>
      <c r="AF552" s="132">
        <f t="shared" si="1101"/>
        <v>-1000</v>
      </c>
      <c r="AG552" s="132">
        <f t="shared" si="1101"/>
        <v>-1000</v>
      </c>
      <c r="AH552" s="132">
        <f t="shared" si="1101"/>
        <v>-1000</v>
      </c>
      <c r="AI552" s="132">
        <f t="shared" si="1101"/>
        <v>-1000</v>
      </c>
      <c r="AJ552" s="132">
        <f t="shared" si="1101"/>
        <v>-1000</v>
      </c>
      <c r="AK552" s="132">
        <f t="shared" si="1101"/>
        <v>-1000</v>
      </c>
      <c r="AL552" s="132">
        <f t="shared" si="1101"/>
        <v>-1000</v>
      </c>
      <c r="AM552" s="132">
        <f t="shared" si="1101"/>
        <v>-1000</v>
      </c>
      <c r="AN552" s="132">
        <f t="shared" si="1101"/>
        <v>-1000</v>
      </c>
      <c r="AO552" s="132">
        <f t="shared" si="1101"/>
        <v>-1000</v>
      </c>
      <c r="AP552" s="132">
        <f t="shared" si="1101"/>
        <v>-1000</v>
      </c>
      <c r="AQ552" s="132">
        <f t="shared" si="1101"/>
        <v>-1000</v>
      </c>
      <c r="AR552" s="132">
        <f t="shared" si="1101"/>
        <v>-1000</v>
      </c>
      <c r="AS552" s="132">
        <f t="shared" si="1101"/>
        <v>-1000</v>
      </c>
    </row>
    <row r="553">
      <c r="A553" s="132" t="s">
        <v>4055</v>
      </c>
      <c r="B553" s="132">
        <v>200.0</v>
      </c>
      <c r="C553" s="132">
        <v>0.0</v>
      </c>
      <c r="D553" s="132">
        <v>0.0</v>
      </c>
      <c r="E553" s="132">
        <v>0.0</v>
      </c>
      <c r="F553" s="132">
        <v>0.0</v>
      </c>
      <c r="G553" s="132">
        <v>200.0</v>
      </c>
      <c r="H553" s="132">
        <v>0.0</v>
      </c>
      <c r="I553" s="132">
        <v>0.0</v>
      </c>
      <c r="J553" s="132">
        <v>0.0</v>
      </c>
      <c r="K553" s="132">
        <v>0.0</v>
      </c>
      <c r="L553" s="132">
        <v>0.0</v>
      </c>
      <c r="M553" s="132">
        <v>0.0</v>
      </c>
      <c r="N553" s="132">
        <v>0.0</v>
      </c>
      <c r="O553" s="132">
        <v>0.0</v>
      </c>
      <c r="P553" s="132">
        <v>0.0</v>
      </c>
      <c r="Q553" s="132">
        <v>0.0</v>
      </c>
      <c r="R553" s="132">
        <v>0.0</v>
      </c>
      <c r="S553" s="132">
        <v>0.0</v>
      </c>
      <c r="T553" s="132">
        <v>0.0</v>
      </c>
      <c r="U553" s="132">
        <v>0.0</v>
      </c>
      <c r="V553" s="132">
        <v>0.0</v>
      </c>
      <c r="W553" s="132">
        <v>0.0</v>
      </c>
      <c r="Y553" s="132" t="s">
        <v>4055</v>
      </c>
      <c r="Z553" s="132">
        <f t="shared" ref="Z553:AC553" si="1102">C553-1000</f>
        <v>-1000</v>
      </c>
      <c r="AA553" s="132">
        <f t="shared" si="1102"/>
        <v>-1000</v>
      </c>
      <c r="AB553" s="132">
        <f t="shared" si="1102"/>
        <v>-1000</v>
      </c>
      <c r="AC553" s="132">
        <f t="shared" si="1102"/>
        <v>-1000</v>
      </c>
      <c r="AD553" s="132">
        <f t="shared" si="4"/>
        <v>-9800</v>
      </c>
      <c r="AE553" s="132">
        <f t="shared" ref="AE553:AS553" si="1103">H553-1000</f>
        <v>-1000</v>
      </c>
      <c r="AF553" s="132">
        <f t="shared" si="1103"/>
        <v>-1000</v>
      </c>
      <c r="AG553" s="132">
        <f t="shared" si="1103"/>
        <v>-1000</v>
      </c>
      <c r="AH553" s="132">
        <f t="shared" si="1103"/>
        <v>-1000</v>
      </c>
      <c r="AI553" s="132">
        <f t="shared" si="1103"/>
        <v>-1000</v>
      </c>
      <c r="AJ553" s="132">
        <f t="shared" si="1103"/>
        <v>-1000</v>
      </c>
      <c r="AK553" s="132">
        <f t="shared" si="1103"/>
        <v>-1000</v>
      </c>
      <c r="AL553" s="132">
        <f t="shared" si="1103"/>
        <v>-1000</v>
      </c>
      <c r="AM553" s="132">
        <f t="shared" si="1103"/>
        <v>-1000</v>
      </c>
      <c r="AN553" s="132">
        <f t="shared" si="1103"/>
        <v>-1000</v>
      </c>
      <c r="AO553" s="132">
        <f t="shared" si="1103"/>
        <v>-1000</v>
      </c>
      <c r="AP553" s="132">
        <f t="shared" si="1103"/>
        <v>-1000</v>
      </c>
      <c r="AQ553" s="132">
        <f t="shared" si="1103"/>
        <v>-1000</v>
      </c>
      <c r="AR553" s="132">
        <f t="shared" si="1103"/>
        <v>-1000</v>
      </c>
      <c r="AS553" s="132">
        <f t="shared" si="1103"/>
        <v>-1000</v>
      </c>
    </row>
    <row r="554">
      <c r="A554" s="132" t="s">
        <v>4056</v>
      </c>
      <c r="B554" s="132">
        <v>600.0</v>
      </c>
      <c r="C554" s="132">
        <v>0.0</v>
      </c>
      <c r="D554" s="132">
        <v>0.0</v>
      </c>
      <c r="E554" s="132">
        <v>0.0</v>
      </c>
      <c r="F554" s="132">
        <v>0.0</v>
      </c>
      <c r="G554" s="132">
        <v>600.0</v>
      </c>
      <c r="H554" s="132">
        <v>0.0</v>
      </c>
      <c r="I554" s="132">
        <v>0.0</v>
      </c>
      <c r="J554" s="132">
        <v>0.0</v>
      </c>
      <c r="K554" s="132">
        <v>0.0</v>
      </c>
      <c r="L554" s="132">
        <v>0.0</v>
      </c>
      <c r="M554" s="132">
        <v>0.0</v>
      </c>
      <c r="N554" s="132">
        <v>0.0</v>
      </c>
      <c r="O554" s="132">
        <v>0.0</v>
      </c>
      <c r="P554" s="132">
        <v>0.0</v>
      </c>
      <c r="Q554" s="132">
        <v>0.0</v>
      </c>
      <c r="R554" s="132">
        <v>0.0</v>
      </c>
      <c r="S554" s="132">
        <v>0.0</v>
      </c>
      <c r="T554" s="132">
        <v>0.0</v>
      </c>
      <c r="U554" s="132">
        <v>0.0</v>
      </c>
      <c r="V554" s="132">
        <v>0.0</v>
      </c>
      <c r="W554" s="132">
        <v>1.0</v>
      </c>
      <c r="Y554" s="132" t="s">
        <v>4056</v>
      </c>
      <c r="Z554" s="132">
        <f t="shared" ref="Z554:AC554" si="1104">C554-1000</f>
        <v>-1000</v>
      </c>
      <c r="AA554" s="132">
        <f t="shared" si="1104"/>
        <v>-1000</v>
      </c>
      <c r="AB554" s="132">
        <f t="shared" si="1104"/>
        <v>-1000</v>
      </c>
      <c r="AC554" s="132">
        <f t="shared" si="1104"/>
        <v>-1000</v>
      </c>
      <c r="AD554" s="132">
        <f t="shared" si="4"/>
        <v>-9400</v>
      </c>
      <c r="AE554" s="132">
        <f t="shared" ref="AE554:AS554" si="1105">H554-1000</f>
        <v>-1000</v>
      </c>
      <c r="AF554" s="132">
        <f t="shared" si="1105"/>
        <v>-1000</v>
      </c>
      <c r="AG554" s="132">
        <f t="shared" si="1105"/>
        <v>-1000</v>
      </c>
      <c r="AH554" s="132">
        <f t="shared" si="1105"/>
        <v>-1000</v>
      </c>
      <c r="AI554" s="132">
        <f t="shared" si="1105"/>
        <v>-1000</v>
      </c>
      <c r="AJ554" s="132">
        <f t="shared" si="1105"/>
        <v>-1000</v>
      </c>
      <c r="AK554" s="132">
        <f t="shared" si="1105"/>
        <v>-1000</v>
      </c>
      <c r="AL554" s="132">
        <f t="shared" si="1105"/>
        <v>-1000</v>
      </c>
      <c r="AM554" s="132">
        <f t="shared" si="1105"/>
        <v>-1000</v>
      </c>
      <c r="AN554" s="132">
        <f t="shared" si="1105"/>
        <v>-1000</v>
      </c>
      <c r="AO554" s="132">
        <f t="shared" si="1105"/>
        <v>-1000</v>
      </c>
      <c r="AP554" s="132">
        <f t="shared" si="1105"/>
        <v>-1000</v>
      </c>
      <c r="AQ554" s="132">
        <f t="shared" si="1105"/>
        <v>-1000</v>
      </c>
      <c r="AR554" s="132">
        <f t="shared" si="1105"/>
        <v>-1000</v>
      </c>
      <c r="AS554" s="132">
        <f t="shared" si="1105"/>
        <v>-1000</v>
      </c>
    </row>
    <row r="555">
      <c r="A555" s="132" t="s">
        <v>4057</v>
      </c>
      <c r="B555" s="132">
        <v>100.0</v>
      </c>
      <c r="C555" s="132">
        <v>0.0</v>
      </c>
      <c r="D555" s="132">
        <v>0.0</v>
      </c>
      <c r="E555" s="132">
        <v>0.0</v>
      </c>
      <c r="F555" s="132">
        <v>0.0</v>
      </c>
      <c r="G555" s="132">
        <v>100.0</v>
      </c>
      <c r="H555" s="132">
        <v>0.0</v>
      </c>
      <c r="I555" s="132">
        <v>0.0</v>
      </c>
      <c r="J555" s="132">
        <v>0.0</v>
      </c>
      <c r="K555" s="132">
        <v>0.0</v>
      </c>
      <c r="L555" s="132">
        <v>0.0</v>
      </c>
      <c r="M555" s="132">
        <v>0.0</v>
      </c>
      <c r="N555" s="132">
        <v>0.0</v>
      </c>
      <c r="O555" s="132">
        <v>0.0</v>
      </c>
      <c r="P555" s="132">
        <v>0.0</v>
      </c>
      <c r="Q555" s="132">
        <v>0.0</v>
      </c>
      <c r="R555" s="132">
        <v>0.0</v>
      </c>
      <c r="S555" s="132">
        <v>0.0</v>
      </c>
      <c r="T555" s="132">
        <v>0.0</v>
      </c>
      <c r="U555" s="132">
        <v>0.0</v>
      </c>
      <c r="V555" s="132">
        <v>0.0</v>
      </c>
      <c r="W555" s="132">
        <v>0.0</v>
      </c>
      <c r="Y555" s="132" t="s">
        <v>4057</v>
      </c>
      <c r="Z555" s="132">
        <f t="shared" ref="Z555:AC555" si="1106">C555-1000</f>
        <v>-1000</v>
      </c>
      <c r="AA555" s="132">
        <f t="shared" si="1106"/>
        <v>-1000</v>
      </c>
      <c r="AB555" s="132">
        <f t="shared" si="1106"/>
        <v>-1000</v>
      </c>
      <c r="AC555" s="132">
        <f t="shared" si="1106"/>
        <v>-1000</v>
      </c>
      <c r="AD555" s="132">
        <f t="shared" si="4"/>
        <v>-9900</v>
      </c>
      <c r="AE555" s="132">
        <f t="shared" ref="AE555:AS555" si="1107">H555-1000</f>
        <v>-1000</v>
      </c>
      <c r="AF555" s="132">
        <f t="shared" si="1107"/>
        <v>-1000</v>
      </c>
      <c r="AG555" s="132">
        <f t="shared" si="1107"/>
        <v>-1000</v>
      </c>
      <c r="AH555" s="132">
        <f t="shared" si="1107"/>
        <v>-1000</v>
      </c>
      <c r="AI555" s="132">
        <f t="shared" si="1107"/>
        <v>-1000</v>
      </c>
      <c r="AJ555" s="132">
        <f t="shared" si="1107"/>
        <v>-1000</v>
      </c>
      <c r="AK555" s="132">
        <f t="shared" si="1107"/>
        <v>-1000</v>
      </c>
      <c r="AL555" s="132">
        <f t="shared" si="1107"/>
        <v>-1000</v>
      </c>
      <c r="AM555" s="132">
        <f t="shared" si="1107"/>
        <v>-1000</v>
      </c>
      <c r="AN555" s="132">
        <f t="shared" si="1107"/>
        <v>-1000</v>
      </c>
      <c r="AO555" s="132">
        <f t="shared" si="1107"/>
        <v>-1000</v>
      </c>
      <c r="AP555" s="132">
        <f t="shared" si="1107"/>
        <v>-1000</v>
      </c>
      <c r="AQ555" s="132">
        <f t="shared" si="1107"/>
        <v>-1000</v>
      </c>
      <c r="AR555" s="132">
        <f t="shared" si="1107"/>
        <v>-1000</v>
      </c>
      <c r="AS555" s="132">
        <f t="shared" si="1107"/>
        <v>-1000</v>
      </c>
    </row>
    <row r="556">
      <c r="A556" s="132" t="s">
        <v>4058</v>
      </c>
      <c r="B556" s="132">
        <v>500.0</v>
      </c>
      <c r="C556" s="132">
        <v>0.0</v>
      </c>
      <c r="D556" s="132">
        <v>0.0</v>
      </c>
      <c r="E556" s="132">
        <v>0.0</v>
      </c>
      <c r="F556" s="132">
        <v>0.0</v>
      </c>
      <c r="G556" s="132">
        <v>500.0</v>
      </c>
      <c r="H556" s="132">
        <v>0.0</v>
      </c>
      <c r="I556" s="132">
        <v>0.0</v>
      </c>
      <c r="J556" s="132">
        <v>0.0</v>
      </c>
      <c r="K556" s="132">
        <v>0.0</v>
      </c>
      <c r="L556" s="132">
        <v>0.0</v>
      </c>
      <c r="M556" s="132">
        <v>0.0</v>
      </c>
      <c r="N556" s="132">
        <v>0.0</v>
      </c>
      <c r="O556" s="132">
        <v>0.0</v>
      </c>
      <c r="P556" s="132">
        <v>0.0</v>
      </c>
      <c r="Q556" s="132">
        <v>0.0</v>
      </c>
      <c r="R556" s="132">
        <v>0.0</v>
      </c>
      <c r="S556" s="132">
        <v>0.0</v>
      </c>
      <c r="T556" s="132">
        <v>0.0</v>
      </c>
      <c r="U556" s="132">
        <v>0.0</v>
      </c>
      <c r="V556" s="132">
        <v>0.0</v>
      </c>
      <c r="W556" s="132">
        <v>0.0</v>
      </c>
      <c r="Y556" s="132" t="s">
        <v>4058</v>
      </c>
      <c r="Z556" s="132">
        <f t="shared" ref="Z556:AC556" si="1108">C556-1000</f>
        <v>-1000</v>
      </c>
      <c r="AA556" s="132">
        <f t="shared" si="1108"/>
        <v>-1000</v>
      </c>
      <c r="AB556" s="132">
        <f t="shared" si="1108"/>
        <v>-1000</v>
      </c>
      <c r="AC556" s="132">
        <f t="shared" si="1108"/>
        <v>-1000</v>
      </c>
      <c r="AD556" s="132">
        <f t="shared" si="4"/>
        <v>-9500</v>
      </c>
      <c r="AE556" s="132">
        <f t="shared" ref="AE556:AS556" si="1109">H556-1000</f>
        <v>-1000</v>
      </c>
      <c r="AF556" s="132">
        <f t="shared" si="1109"/>
        <v>-1000</v>
      </c>
      <c r="AG556" s="132">
        <f t="shared" si="1109"/>
        <v>-1000</v>
      </c>
      <c r="AH556" s="132">
        <f t="shared" si="1109"/>
        <v>-1000</v>
      </c>
      <c r="AI556" s="132">
        <f t="shared" si="1109"/>
        <v>-1000</v>
      </c>
      <c r="AJ556" s="132">
        <f t="shared" si="1109"/>
        <v>-1000</v>
      </c>
      <c r="AK556" s="132">
        <f t="shared" si="1109"/>
        <v>-1000</v>
      </c>
      <c r="AL556" s="132">
        <f t="shared" si="1109"/>
        <v>-1000</v>
      </c>
      <c r="AM556" s="132">
        <f t="shared" si="1109"/>
        <v>-1000</v>
      </c>
      <c r="AN556" s="132">
        <f t="shared" si="1109"/>
        <v>-1000</v>
      </c>
      <c r="AO556" s="132">
        <f t="shared" si="1109"/>
        <v>-1000</v>
      </c>
      <c r="AP556" s="132">
        <f t="shared" si="1109"/>
        <v>-1000</v>
      </c>
      <c r="AQ556" s="132">
        <f t="shared" si="1109"/>
        <v>-1000</v>
      </c>
      <c r="AR556" s="132">
        <f t="shared" si="1109"/>
        <v>-1000</v>
      </c>
      <c r="AS556" s="132">
        <f t="shared" si="1109"/>
        <v>-1000</v>
      </c>
    </row>
    <row r="557">
      <c r="A557" s="132" t="s">
        <v>4059</v>
      </c>
      <c r="B557" s="132">
        <v>500.0</v>
      </c>
      <c r="C557" s="132">
        <v>0.0</v>
      </c>
      <c r="D557" s="132">
        <v>0.0</v>
      </c>
      <c r="E557" s="132">
        <v>0.0</v>
      </c>
      <c r="F557" s="132">
        <v>0.0</v>
      </c>
      <c r="G557" s="132">
        <v>500.0</v>
      </c>
      <c r="H557" s="132">
        <v>0.0</v>
      </c>
      <c r="I557" s="132">
        <v>0.0</v>
      </c>
      <c r="J557" s="132">
        <v>0.0</v>
      </c>
      <c r="K557" s="132">
        <v>0.0</v>
      </c>
      <c r="L557" s="132">
        <v>0.0</v>
      </c>
      <c r="M557" s="132">
        <v>0.0</v>
      </c>
      <c r="N557" s="132">
        <v>0.0</v>
      </c>
      <c r="O557" s="132">
        <v>0.0</v>
      </c>
      <c r="P557" s="132">
        <v>0.0</v>
      </c>
      <c r="Q557" s="132">
        <v>0.0</v>
      </c>
      <c r="R557" s="132">
        <v>0.0</v>
      </c>
      <c r="S557" s="132">
        <v>0.0</v>
      </c>
      <c r="T557" s="132">
        <v>0.0</v>
      </c>
      <c r="U557" s="132">
        <v>0.0</v>
      </c>
      <c r="V557" s="132">
        <v>0.0</v>
      </c>
      <c r="W557" s="132">
        <v>0.0</v>
      </c>
      <c r="Y557" s="132" t="s">
        <v>4059</v>
      </c>
      <c r="Z557" s="132">
        <f t="shared" ref="Z557:AC557" si="1110">C557-1000</f>
        <v>-1000</v>
      </c>
      <c r="AA557" s="132">
        <f t="shared" si="1110"/>
        <v>-1000</v>
      </c>
      <c r="AB557" s="132">
        <f t="shared" si="1110"/>
        <v>-1000</v>
      </c>
      <c r="AC557" s="132">
        <f t="shared" si="1110"/>
        <v>-1000</v>
      </c>
      <c r="AD557" s="132">
        <f t="shared" si="4"/>
        <v>-9500</v>
      </c>
      <c r="AE557" s="132">
        <f t="shared" ref="AE557:AS557" si="1111">H557-1000</f>
        <v>-1000</v>
      </c>
      <c r="AF557" s="132">
        <f t="shared" si="1111"/>
        <v>-1000</v>
      </c>
      <c r="AG557" s="132">
        <f t="shared" si="1111"/>
        <v>-1000</v>
      </c>
      <c r="AH557" s="132">
        <f t="shared" si="1111"/>
        <v>-1000</v>
      </c>
      <c r="AI557" s="132">
        <f t="shared" si="1111"/>
        <v>-1000</v>
      </c>
      <c r="AJ557" s="132">
        <f t="shared" si="1111"/>
        <v>-1000</v>
      </c>
      <c r="AK557" s="132">
        <f t="shared" si="1111"/>
        <v>-1000</v>
      </c>
      <c r="AL557" s="132">
        <f t="shared" si="1111"/>
        <v>-1000</v>
      </c>
      <c r="AM557" s="132">
        <f t="shared" si="1111"/>
        <v>-1000</v>
      </c>
      <c r="AN557" s="132">
        <f t="shared" si="1111"/>
        <v>-1000</v>
      </c>
      <c r="AO557" s="132">
        <f t="shared" si="1111"/>
        <v>-1000</v>
      </c>
      <c r="AP557" s="132">
        <f t="shared" si="1111"/>
        <v>-1000</v>
      </c>
      <c r="AQ557" s="132">
        <f t="shared" si="1111"/>
        <v>-1000</v>
      </c>
      <c r="AR557" s="132">
        <f t="shared" si="1111"/>
        <v>-1000</v>
      </c>
      <c r="AS557" s="132">
        <f t="shared" si="1111"/>
        <v>-1000</v>
      </c>
    </row>
    <row r="558">
      <c r="A558" s="132" t="s">
        <v>4060</v>
      </c>
      <c r="B558" s="132">
        <v>1000.0</v>
      </c>
      <c r="C558" s="132">
        <v>0.0</v>
      </c>
      <c r="D558" s="132">
        <v>0.0</v>
      </c>
      <c r="E558" s="132">
        <v>0.0</v>
      </c>
      <c r="F558" s="132">
        <v>0.0</v>
      </c>
      <c r="G558" s="132">
        <v>1000.0</v>
      </c>
      <c r="H558" s="132">
        <v>0.0</v>
      </c>
      <c r="I558" s="132">
        <v>0.0</v>
      </c>
      <c r="J558" s="132">
        <v>0.0</v>
      </c>
      <c r="K558" s="132">
        <v>0.0</v>
      </c>
      <c r="L558" s="132">
        <v>0.0</v>
      </c>
      <c r="M558" s="132">
        <v>0.0</v>
      </c>
      <c r="N558" s="132">
        <v>0.0</v>
      </c>
      <c r="O558" s="132">
        <v>0.0</v>
      </c>
      <c r="P558" s="132">
        <v>0.0</v>
      </c>
      <c r="Q558" s="132">
        <v>0.0</v>
      </c>
      <c r="R558" s="132">
        <v>0.0</v>
      </c>
      <c r="S558" s="132">
        <v>0.0</v>
      </c>
      <c r="T558" s="132">
        <v>0.0</v>
      </c>
      <c r="U558" s="132">
        <v>0.0</v>
      </c>
      <c r="V558" s="132">
        <v>0.0</v>
      </c>
      <c r="W558" s="132">
        <v>0.0</v>
      </c>
      <c r="Y558" s="132" t="s">
        <v>4060</v>
      </c>
      <c r="Z558" s="132">
        <f t="shared" ref="Z558:AC558" si="1112">C558-1000</f>
        <v>-1000</v>
      </c>
      <c r="AA558" s="132">
        <f t="shared" si="1112"/>
        <v>-1000</v>
      </c>
      <c r="AB558" s="132">
        <f t="shared" si="1112"/>
        <v>-1000</v>
      </c>
      <c r="AC558" s="132">
        <f t="shared" si="1112"/>
        <v>-1000</v>
      </c>
      <c r="AD558" s="132">
        <f t="shared" si="4"/>
        <v>-9000</v>
      </c>
      <c r="AE558" s="132">
        <f t="shared" ref="AE558:AS558" si="1113">H558-1000</f>
        <v>-1000</v>
      </c>
      <c r="AF558" s="132">
        <f t="shared" si="1113"/>
        <v>-1000</v>
      </c>
      <c r="AG558" s="132">
        <f t="shared" si="1113"/>
        <v>-1000</v>
      </c>
      <c r="AH558" s="132">
        <f t="shared" si="1113"/>
        <v>-1000</v>
      </c>
      <c r="AI558" s="132">
        <f t="shared" si="1113"/>
        <v>-1000</v>
      </c>
      <c r="AJ558" s="132">
        <f t="shared" si="1113"/>
        <v>-1000</v>
      </c>
      <c r="AK558" s="132">
        <f t="shared" si="1113"/>
        <v>-1000</v>
      </c>
      <c r="AL558" s="132">
        <f t="shared" si="1113"/>
        <v>-1000</v>
      </c>
      <c r="AM558" s="132">
        <f t="shared" si="1113"/>
        <v>-1000</v>
      </c>
      <c r="AN558" s="132">
        <f t="shared" si="1113"/>
        <v>-1000</v>
      </c>
      <c r="AO558" s="132">
        <f t="shared" si="1113"/>
        <v>-1000</v>
      </c>
      <c r="AP558" s="132">
        <f t="shared" si="1113"/>
        <v>-1000</v>
      </c>
      <c r="AQ558" s="132">
        <f t="shared" si="1113"/>
        <v>-1000</v>
      </c>
      <c r="AR558" s="132">
        <f t="shared" si="1113"/>
        <v>-1000</v>
      </c>
      <c r="AS558" s="132">
        <f t="shared" si="1113"/>
        <v>-1000</v>
      </c>
    </row>
    <row r="559">
      <c r="A559" s="132" t="s">
        <v>4061</v>
      </c>
      <c r="B559" s="132">
        <v>6000.0</v>
      </c>
      <c r="C559" s="132">
        <v>0.0</v>
      </c>
      <c r="D559" s="132">
        <v>0.0</v>
      </c>
      <c r="E559" s="132">
        <v>0.0</v>
      </c>
      <c r="F559" s="132">
        <v>0.0</v>
      </c>
      <c r="G559" s="132">
        <v>5000.0</v>
      </c>
      <c r="H559" s="132">
        <v>0.0</v>
      </c>
      <c r="I559" s="132">
        <v>0.0</v>
      </c>
      <c r="J559" s="132">
        <v>0.0</v>
      </c>
      <c r="K559" s="132">
        <v>0.0</v>
      </c>
      <c r="L559" s="132">
        <v>0.0</v>
      </c>
      <c r="M559" s="132">
        <v>1000.0</v>
      </c>
      <c r="N559" s="132">
        <v>0.0</v>
      </c>
      <c r="O559" s="132">
        <v>0.0</v>
      </c>
      <c r="P559" s="132">
        <v>0.0</v>
      </c>
      <c r="Q559" s="132">
        <v>0.0</v>
      </c>
      <c r="R559" s="132">
        <v>0.0</v>
      </c>
      <c r="S559" s="132">
        <v>0.0</v>
      </c>
      <c r="T559" s="132">
        <v>0.0</v>
      </c>
      <c r="U559" s="132">
        <v>0.0</v>
      </c>
      <c r="V559" s="132">
        <v>0.0</v>
      </c>
      <c r="W559" s="132">
        <v>0.0</v>
      </c>
      <c r="Y559" s="132" t="s">
        <v>4061</v>
      </c>
      <c r="Z559" s="132">
        <f t="shared" ref="Z559:AC559" si="1114">C559-1000</f>
        <v>-1000</v>
      </c>
      <c r="AA559" s="132">
        <f t="shared" si="1114"/>
        <v>-1000</v>
      </c>
      <c r="AB559" s="132">
        <f t="shared" si="1114"/>
        <v>-1000</v>
      </c>
      <c r="AC559" s="132">
        <f t="shared" si="1114"/>
        <v>-1000</v>
      </c>
      <c r="AD559" s="132">
        <f t="shared" si="4"/>
        <v>-5000</v>
      </c>
      <c r="AE559" s="132">
        <f t="shared" ref="AE559:AS559" si="1115">H559-1000</f>
        <v>-1000</v>
      </c>
      <c r="AF559" s="132">
        <f t="shared" si="1115"/>
        <v>-1000</v>
      </c>
      <c r="AG559" s="132">
        <f t="shared" si="1115"/>
        <v>-1000</v>
      </c>
      <c r="AH559" s="132">
        <f t="shared" si="1115"/>
        <v>-1000</v>
      </c>
      <c r="AI559" s="132">
        <f t="shared" si="1115"/>
        <v>-1000</v>
      </c>
      <c r="AJ559" s="132">
        <f t="shared" si="1115"/>
        <v>0</v>
      </c>
      <c r="AK559" s="132">
        <f t="shared" si="1115"/>
        <v>-1000</v>
      </c>
      <c r="AL559" s="132">
        <f t="shared" si="1115"/>
        <v>-1000</v>
      </c>
      <c r="AM559" s="132">
        <f t="shared" si="1115"/>
        <v>-1000</v>
      </c>
      <c r="AN559" s="132">
        <f t="shared" si="1115"/>
        <v>-1000</v>
      </c>
      <c r="AO559" s="132">
        <f t="shared" si="1115"/>
        <v>-1000</v>
      </c>
      <c r="AP559" s="132">
        <f t="shared" si="1115"/>
        <v>-1000</v>
      </c>
      <c r="AQ559" s="132">
        <f t="shared" si="1115"/>
        <v>-1000</v>
      </c>
      <c r="AR559" s="132">
        <f t="shared" si="1115"/>
        <v>-1000</v>
      </c>
      <c r="AS559" s="132">
        <f t="shared" si="1115"/>
        <v>-1000</v>
      </c>
    </row>
    <row r="560">
      <c r="A560" s="132" t="s">
        <v>4062</v>
      </c>
      <c r="B560" s="132">
        <v>1000.0</v>
      </c>
      <c r="C560" s="132">
        <v>0.0</v>
      </c>
      <c r="D560" s="132">
        <v>0.0</v>
      </c>
      <c r="E560" s="132">
        <v>0.0</v>
      </c>
      <c r="F560" s="132">
        <v>0.0</v>
      </c>
      <c r="G560" s="132">
        <v>1000.0</v>
      </c>
      <c r="H560" s="132">
        <v>0.0</v>
      </c>
      <c r="I560" s="132">
        <v>0.0</v>
      </c>
      <c r="J560" s="132">
        <v>0.0</v>
      </c>
      <c r="K560" s="132">
        <v>0.0</v>
      </c>
      <c r="L560" s="132">
        <v>0.0</v>
      </c>
      <c r="M560" s="132">
        <v>0.0</v>
      </c>
      <c r="N560" s="132">
        <v>0.0</v>
      </c>
      <c r="O560" s="132">
        <v>0.0</v>
      </c>
      <c r="P560" s="132">
        <v>0.0</v>
      </c>
      <c r="Q560" s="132">
        <v>0.0</v>
      </c>
      <c r="R560" s="132">
        <v>0.0</v>
      </c>
      <c r="S560" s="132">
        <v>0.0</v>
      </c>
      <c r="T560" s="132">
        <v>0.0</v>
      </c>
      <c r="U560" s="132">
        <v>0.0</v>
      </c>
      <c r="V560" s="132">
        <v>0.0</v>
      </c>
      <c r="W560" s="132">
        <v>0.0</v>
      </c>
      <c r="Y560" s="132" t="s">
        <v>4062</v>
      </c>
      <c r="Z560" s="132">
        <f t="shared" ref="Z560:AC560" si="1116">C560-1000</f>
        <v>-1000</v>
      </c>
      <c r="AA560" s="132">
        <f t="shared" si="1116"/>
        <v>-1000</v>
      </c>
      <c r="AB560" s="132">
        <f t="shared" si="1116"/>
        <v>-1000</v>
      </c>
      <c r="AC560" s="132">
        <f t="shared" si="1116"/>
        <v>-1000</v>
      </c>
      <c r="AD560" s="132">
        <f t="shared" si="4"/>
        <v>-9000</v>
      </c>
      <c r="AE560" s="132">
        <f t="shared" ref="AE560:AS560" si="1117">H560-1000</f>
        <v>-1000</v>
      </c>
      <c r="AF560" s="132">
        <f t="shared" si="1117"/>
        <v>-1000</v>
      </c>
      <c r="AG560" s="132">
        <f t="shared" si="1117"/>
        <v>-1000</v>
      </c>
      <c r="AH560" s="132">
        <f t="shared" si="1117"/>
        <v>-1000</v>
      </c>
      <c r="AI560" s="132">
        <f t="shared" si="1117"/>
        <v>-1000</v>
      </c>
      <c r="AJ560" s="132">
        <f t="shared" si="1117"/>
        <v>-1000</v>
      </c>
      <c r="AK560" s="132">
        <f t="shared" si="1117"/>
        <v>-1000</v>
      </c>
      <c r="AL560" s="132">
        <f t="shared" si="1117"/>
        <v>-1000</v>
      </c>
      <c r="AM560" s="132">
        <f t="shared" si="1117"/>
        <v>-1000</v>
      </c>
      <c r="AN560" s="132">
        <f t="shared" si="1117"/>
        <v>-1000</v>
      </c>
      <c r="AO560" s="132">
        <f t="shared" si="1117"/>
        <v>-1000</v>
      </c>
      <c r="AP560" s="132">
        <f t="shared" si="1117"/>
        <v>-1000</v>
      </c>
      <c r="AQ560" s="132">
        <f t="shared" si="1117"/>
        <v>-1000</v>
      </c>
      <c r="AR560" s="132">
        <f t="shared" si="1117"/>
        <v>-1000</v>
      </c>
      <c r="AS560" s="132">
        <f t="shared" si="1117"/>
        <v>-1000</v>
      </c>
    </row>
    <row r="561">
      <c r="A561" s="132" t="s">
        <v>4063</v>
      </c>
      <c r="B561" s="132">
        <v>100.0</v>
      </c>
      <c r="C561" s="132">
        <v>0.0</v>
      </c>
      <c r="D561" s="132">
        <v>0.0</v>
      </c>
      <c r="E561" s="132">
        <v>0.0</v>
      </c>
      <c r="F561" s="132">
        <v>0.0</v>
      </c>
      <c r="G561" s="132">
        <v>100.0</v>
      </c>
      <c r="H561" s="132">
        <v>0.0</v>
      </c>
      <c r="I561" s="132">
        <v>0.0</v>
      </c>
      <c r="J561" s="132">
        <v>0.0</v>
      </c>
      <c r="K561" s="132">
        <v>0.0</v>
      </c>
      <c r="L561" s="132">
        <v>0.0</v>
      </c>
      <c r="M561" s="132">
        <v>0.0</v>
      </c>
      <c r="N561" s="132">
        <v>0.0</v>
      </c>
      <c r="O561" s="132">
        <v>0.0</v>
      </c>
      <c r="P561" s="132">
        <v>0.0</v>
      </c>
      <c r="Q561" s="132">
        <v>0.0</v>
      </c>
      <c r="R561" s="132">
        <v>0.0</v>
      </c>
      <c r="S561" s="132">
        <v>0.0</v>
      </c>
      <c r="T561" s="132">
        <v>0.0</v>
      </c>
      <c r="U561" s="132">
        <v>0.0</v>
      </c>
      <c r="V561" s="132">
        <v>0.0</v>
      </c>
      <c r="W561" s="132">
        <v>0.0</v>
      </c>
      <c r="Y561" s="132" t="s">
        <v>4063</v>
      </c>
      <c r="Z561" s="132">
        <f t="shared" ref="Z561:AC561" si="1118">C561-1000</f>
        <v>-1000</v>
      </c>
      <c r="AA561" s="132">
        <f t="shared" si="1118"/>
        <v>-1000</v>
      </c>
      <c r="AB561" s="132">
        <f t="shared" si="1118"/>
        <v>-1000</v>
      </c>
      <c r="AC561" s="132">
        <f t="shared" si="1118"/>
        <v>-1000</v>
      </c>
      <c r="AD561" s="132">
        <f t="shared" si="4"/>
        <v>-9900</v>
      </c>
      <c r="AE561" s="132">
        <f t="shared" ref="AE561:AS561" si="1119">H561-1000</f>
        <v>-1000</v>
      </c>
      <c r="AF561" s="132">
        <f t="shared" si="1119"/>
        <v>-1000</v>
      </c>
      <c r="AG561" s="132">
        <f t="shared" si="1119"/>
        <v>-1000</v>
      </c>
      <c r="AH561" s="132">
        <f t="shared" si="1119"/>
        <v>-1000</v>
      </c>
      <c r="AI561" s="132">
        <f t="shared" si="1119"/>
        <v>-1000</v>
      </c>
      <c r="AJ561" s="132">
        <f t="shared" si="1119"/>
        <v>-1000</v>
      </c>
      <c r="AK561" s="132">
        <f t="shared" si="1119"/>
        <v>-1000</v>
      </c>
      <c r="AL561" s="132">
        <f t="shared" si="1119"/>
        <v>-1000</v>
      </c>
      <c r="AM561" s="132">
        <f t="shared" si="1119"/>
        <v>-1000</v>
      </c>
      <c r="AN561" s="132">
        <f t="shared" si="1119"/>
        <v>-1000</v>
      </c>
      <c r="AO561" s="132">
        <f t="shared" si="1119"/>
        <v>-1000</v>
      </c>
      <c r="AP561" s="132">
        <f t="shared" si="1119"/>
        <v>-1000</v>
      </c>
      <c r="AQ561" s="132">
        <f t="shared" si="1119"/>
        <v>-1000</v>
      </c>
      <c r="AR561" s="132">
        <f t="shared" si="1119"/>
        <v>-1000</v>
      </c>
      <c r="AS561" s="132">
        <f t="shared" si="1119"/>
        <v>-1000</v>
      </c>
    </row>
    <row r="562">
      <c r="A562" s="132" t="s">
        <v>4064</v>
      </c>
      <c r="B562" s="132">
        <v>100.0</v>
      </c>
      <c r="C562" s="132">
        <v>0.0</v>
      </c>
      <c r="D562" s="132">
        <v>0.0</v>
      </c>
      <c r="E562" s="132">
        <v>0.0</v>
      </c>
      <c r="F562" s="132">
        <v>0.0</v>
      </c>
      <c r="G562" s="132">
        <v>100.0</v>
      </c>
      <c r="H562" s="132">
        <v>0.0</v>
      </c>
      <c r="I562" s="132">
        <v>0.0</v>
      </c>
      <c r="J562" s="132">
        <v>0.0</v>
      </c>
      <c r="K562" s="132">
        <v>0.0</v>
      </c>
      <c r="L562" s="132">
        <v>0.0</v>
      </c>
      <c r="M562" s="132">
        <v>0.0</v>
      </c>
      <c r="N562" s="132">
        <v>0.0</v>
      </c>
      <c r="O562" s="132">
        <v>0.0</v>
      </c>
      <c r="P562" s="132">
        <v>0.0</v>
      </c>
      <c r="Q562" s="132">
        <v>0.0</v>
      </c>
      <c r="R562" s="132">
        <v>0.0</v>
      </c>
      <c r="S562" s="132">
        <v>0.0</v>
      </c>
      <c r="T562" s="132">
        <v>0.0</v>
      </c>
      <c r="U562" s="132">
        <v>0.0</v>
      </c>
      <c r="V562" s="132">
        <v>0.0</v>
      </c>
      <c r="W562" s="132">
        <v>0.0</v>
      </c>
      <c r="Y562" s="132" t="s">
        <v>4064</v>
      </c>
      <c r="Z562" s="132">
        <f t="shared" ref="Z562:AC562" si="1120">C562-1000</f>
        <v>-1000</v>
      </c>
      <c r="AA562" s="132">
        <f t="shared" si="1120"/>
        <v>-1000</v>
      </c>
      <c r="AB562" s="132">
        <f t="shared" si="1120"/>
        <v>-1000</v>
      </c>
      <c r="AC562" s="132">
        <f t="shared" si="1120"/>
        <v>-1000</v>
      </c>
      <c r="AD562" s="132">
        <f t="shared" si="4"/>
        <v>-9900</v>
      </c>
      <c r="AE562" s="132">
        <f t="shared" ref="AE562:AS562" si="1121">H562-1000</f>
        <v>-1000</v>
      </c>
      <c r="AF562" s="132">
        <f t="shared" si="1121"/>
        <v>-1000</v>
      </c>
      <c r="AG562" s="132">
        <f t="shared" si="1121"/>
        <v>-1000</v>
      </c>
      <c r="AH562" s="132">
        <f t="shared" si="1121"/>
        <v>-1000</v>
      </c>
      <c r="AI562" s="132">
        <f t="shared" si="1121"/>
        <v>-1000</v>
      </c>
      <c r="AJ562" s="132">
        <f t="shared" si="1121"/>
        <v>-1000</v>
      </c>
      <c r="AK562" s="132">
        <f t="shared" si="1121"/>
        <v>-1000</v>
      </c>
      <c r="AL562" s="132">
        <f t="shared" si="1121"/>
        <v>-1000</v>
      </c>
      <c r="AM562" s="132">
        <f t="shared" si="1121"/>
        <v>-1000</v>
      </c>
      <c r="AN562" s="132">
        <f t="shared" si="1121"/>
        <v>-1000</v>
      </c>
      <c r="AO562" s="132">
        <f t="shared" si="1121"/>
        <v>-1000</v>
      </c>
      <c r="AP562" s="132">
        <f t="shared" si="1121"/>
        <v>-1000</v>
      </c>
      <c r="AQ562" s="132">
        <f t="shared" si="1121"/>
        <v>-1000</v>
      </c>
      <c r="AR562" s="132">
        <f t="shared" si="1121"/>
        <v>-1000</v>
      </c>
      <c r="AS562" s="132">
        <f t="shared" si="1121"/>
        <v>-1000</v>
      </c>
    </row>
    <row r="563">
      <c r="A563" s="132" t="s">
        <v>4065</v>
      </c>
      <c r="B563" s="132">
        <v>1000.0</v>
      </c>
      <c r="C563" s="132">
        <v>0.0</v>
      </c>
      <c r="D563" s="132">
        <v>0.0</v>
      </c>
      <c r="E563" s="132">
        <v>0.0</v>
      </c>
      <c r="F563" s="132">
        <v>0.0</v>
      </c>
      <c r="G563" s="132">
        <v>1000.0</v>
      </c>
      <c r="H563" s="132">
        <v>0.0</v>
      </c>
      <c r="I563" s="132">
        <v>0.0</v>
      </c>
      <c r="J563" s="132">
        <v>0.0</v>
      </c>
      <c r="K563" s="132">
        <v>0.0</v>
      </c>
      <c r="L563" s="132">
        <v>0.0</v>
      </c>
      <c r="M563" s="132">
        <v>0.0</v>
      </c>
      <c r="N563" s="132">
        <v>0.0</v>
      </c>
      <c r="O563" s="132">
        <v>0.0</v>
      </c>
      <c r="P563" s="132">
        <v>0.0</v>
      </c>
      <c r="Q563" s="132">
        <v>0.0</v>
      </c>
      <c r="R563" s="132">
        <v>0.0</v>
      </c>
      <c r="S563" s="132">
        <v>0.0</v>
      </c>
      <c r="T563" s="132">
        <v>0.0</v>
      </c>
      <c r="U563" s="132">
        <v>0.0</v>
      </c>
      <c r="V563" s="132">
        <v>0.0</v>
      </c>
      <c r="W563" s="132">
        <v>0.0</v>
      </c>
      <c r="Y563" s="132" t="s">
        <v>4065</v>
      </c>
      <c r="Z563" s="132">
        <f t="shared" ref="Z563:AC563" si="1122">C563-1000</f>
        <v>-1000</v>
      </c>
      <c r="AA563" s="132">
        <f t="shared" si="1122"/>
        <v>-1000</v>
      </c>
      <c r="AB563" s="132">
        <f t="shared" si="1122"/>
        <v>-1000</v>
      </c>
      <c r="AC563" s="132">
        <f t="shared" si="1122"/>
        <v>-1000</v>
      </c>
      <c r="AD563" s="132">
        <f t="shared" si="4"/>
        <v>-9000</v>
      </c>
      <c r="AE563" s="132">
        <f t="shared" ref="AE563:AS563" si="1123">H563-1000</f>
        <v>-1000</v>
      </c>
      <c r="AF563" s="132">
        <f t="shared" si="1123"/>
        <v>-1000</v>
      </c>
      <c r="AG563" s="132">
        <f t="shared" si="1123"/>
        <v>-1000</v>
      </c>
      <c r="AH563" s="132">
        <f t="shared" si="1123"/>
        <v>-1000</v>
      </c>
      <c r="AI563" s="132">
        <f t="shared" si="1123"/>
        <v>-1000</v>
      </c>
      <c r="AJ563" s="132">
        <f t="shared" si="1123"/>
        <v>-1000</v>
      </c>
      <c r="AK563" s="132">
        <f t="shared" si="1123"/>
        <v>-1000</v>
      </c>
      <c r="AL563" s="132">
        <f t="shared" si="1123"/>
        <v>-1000</v>
      </c>
      <c r="AM563" s="132">
        <f t="shared" si="1123"/>
        <v>-1000</v>
      </c>
      <c r="AN563" s="132">
        <f t="shared" si="1123"/>
        <v>-1000</v>
      </c>
      <c r="AO563" s="132">
        <f t="shared" si="1123"/>
        <v>-1000</v>
      </c>
      <c r="AP563" s="132">
        <f t="shared" si="1123"/>
        <v>-1000</v>
      </c>
      <c r="AQ563" s="132">
        <f t="shared" si="1123"/>
        <v>-1000</v>
      </c>
      <c r="AR563" s="132">
        <f t="shared" si="1123"/>
        <v>-1000</v>
      </c>
      <c r="AS563" s="132">
        <f t="shared" si="1123"/>
        <v>-1000</v>
      </c>
    </row>
    <row r="564">
      <c r="A564" s="132" t="s">
        <v>4066</v>
      </c>
      <c r="B564" s="132">
        <v>100.0</v>
      </c>
      <c r="C564" s="132">
        <v>0.0</v>
      </c>
      <c r="D564" s="132">
        <v>0.0</v>
      </c>
      <c r="E564" s="132">
        <v>0.0</v>
      </c>
      <c r="F564" s="132">
        <v>0.0</v>
      </c>
      <c r="G564" s="132">
        <v>100.0</v>
      </c>
      <c r="H564" s="132">
        <v>0.0</v>
      </c>
      <c r="I564" s="132">
        <v>0.0</v>
      </c>
      <c r="J564" s="132">
        <v>0.0</v>
      </c>
      <c r="K564" s="132">
        <v>0.0</v>
      </c>
      <c r="L564" s="132">
        <v>0.0</v>
      </c>
      <c r="M564" s="132">
        <v>0.0</v>
      </c>
      <c r="N564" s="132">
        <v>0.0</v>
      </c>
      <c r="O564" s="132">
        <v>0.0</v>
      </c>
      <c r="P564" s="132">
        <v>0.0</v>
      </c>
      <c r="Q564" s="132">
        <v>0.0</v>
      </c>
      <c r="R564" s="132">
        <v>0.0</v>
      </c>
      <c r="S564" s="132">
        <v>0.0</v>
      </c>
      <c r="T564" s="132">
        <v>0.0</v>
      </c>
      <c r="U564" s="132">
        <v>0.0</v>
      </c>
      <c r="V564" s="132">
        <v>0.0</v>
      </c>
      <c r="W564" s="132">
        <v>0.0</v>
      </c>
      <c r="Y564" s="132" t="s">
        <v>4066</v>
      </c>
      <c r="Z564" s="132">
        <f t="shared" ref="Z564:AC564" si="1124">C564-1000</f>
        <v>-1000</v>
      </c>
      <c r="AA564" s="132">
        <f t="shared" si="1124"/>
        <v>-1000</v>
      </c>
      <c r="AB564" s="132">
        <f t="shared" si="1124"/>
        <v>-1000</v>
      </c>
      <c r="AC564" s="132">
        <f t="shared" si="1124"/>
        <v>-1000</v>
      </c>
      <c r="AD564" s="132">
        <f t="shared" si="4"/>
        <v>-9900</v>
      </c>
      <c r="AE564" s="132">
        <f t="shared" ref="AE564:AS564" si="1125">H564-1000</f>
        <v>-1000</v>
      </c>
      <c r="AF564" s="132">
        <f t="shared" si="1125"/>
        <v>-1000</v>
      </c>
      <c r="AG564" s="132">
        <f t="shared" si="1125"/>
        <v>-1000</v>
      </c>
      <c r="AH564" s="132">
        <f t="shared" si="1125"/>
        <v>-1000</v>
      </c>
      <c r="AI564" s="132">
        <f t="shared" si="1125"/>
        <v>-1000</v>
      </c>
      <c r="AJ564" s="132">
        <f t="shared" si="1125"/>
        <v>-1000</v>
      </c>
      <c r="AK564" s="132">
        <f t="shared" si="1125"/>
        <v>-1000</v>
      </c>
      <c r="AL564" s="132">
        <f t="shared" si="1125"/>
        <v>-1000</v>
      </c>
      <c r="AM564" s="132">
        <f t="shared" si="1125"/>
        <v>-1000</v>
      </c>
      <c r="AN564" s="132">
        <f t="shared" si="1125"/>
        <v>-1000</v>
      </c>
      <c r="AO564" s="132">
        <f t="shared" si="1125"/>
        <v>-1000</v>
      </c>
      <c r="AP564" s="132">
        <f t="shared" si="1125"/>
        <v>-1000</v>
      </c>
      <c r="AQ564" s="132">
        <f t="shared" si="1125"/>
        <v>-1000</v>
      </c>
      <c r="AR564" s="132">
        <f t="shared" si="1125"/>
        <v>-1000</v>
      </c>
      <c r="AS564" s="132">
        <f t="shared" si="1125"/>
        <v>-1000</v>
      </c>
    </row>
    <row r="565">
      <c r="A565" s="132" t="s">
        <v>4067</v>
      </c>
      <c r="B565" s="132">
        <v>100.0</v>
      </c>
      <c r="C565" s="132">
        <v>0.0</v>
      </c>
      <c r="D565" s="132">
        <v>0.0</v>
      </c>
      <c r="E565" s="132">
        <v>0.0</v>
      </c>
      <c r="F565" s="132">
        <v>0.0</v>
      </c>
      <c r="G565" s="132">
        <v>100.0</v>
      </c>
      <c r="H565" s="132">
        <v>0.0</v>
      </c>
      <c r="I565" s="132">
        <v>0.0</v>
      </c>
      <c r="J565" s="132">
        <v>0.0</v>
      </c>
      <c r="K565" s="132">
        <v>0.0</v>
      </c>
      <c r="L565" s="132">
        <v>0.0</v>
      </c>
      <c r="M565" s="132">
        <v>0.0</v>
      </c>
      <c r="N565" s="132">
        <v>0.0</v>
      </c>
      <c r="O565" s="132">
        <v>0.0</v>
      </c>
      <c r="P565" s="132">
        <v>0.0</v>
      </c>
      <c r="Q565" s="132">
        <v>0.0</v>
      </c>
      <c r="R565" s="132">
        <v>0.0</v>
      </c>
      <c r="S565" s="132">
        <v>0.0</v>
      </c>
      <c r="T565" s="132">
        <v>0.0</v>
      </c>
      <c r="U565" s="132">
        <v>0.0</v>
      </c>
      <c r="V565" s="132">
        <v>0.0</v>
      </c>
      <c r="W565" s="132">
        <v>0.0</v>
      </c>
      <c r="Y565" s="132" t="s">
        <v>4067</v>
      </c>
      <c r="Z565" s="132">
        <f t="shared" ref="Z565:AC565" si="1126">C565-1000</f>
        <v>-1000</v>
      </c>
      <c r="AA565" s="132">
        <f t="shared" si="1126"/>
        <v>-1000</v>
      </c>
      <c r="AB565" s="132">
        <f t="shared" si="1126"/>
        <v>-1000</v>
      </c>
      <c r="AC565" s="132">
        <f t="shared" si="1126"/>
        <v>-1000</v>
      </c>
      <c r="AD565" s="132">
        <f t="shared" si="4"/>
        <v>-9900</v>
      </c>
      <c r="AE565" s="132">
        <f t="shared" ref="AE565:AS565" si="1127">H565-1000</f>
        <v>-1000</v>
      </c>
      <c r="AF565" s="132">
        <f t="shared" si="1127"/>
        <v>-1000</v>
      </c>
      <c r="AG565" s="132">
        <f t="shared" si="1127"/>
        <v>-1000</v>
      </c>
      <c r="AH565" s="132">
        <f t="shared" si="1127"/>
        <v>-1000</v>
      </c>
      <c r="AI565" s="132">
        <f t="shared" si="1127"/>
        <v>-1000</v>
      </c>
      <c r="AJ565" s="132">
        <f t="shared" si="1127"/>
        <v>-1000</v>
      </c>
      <c r="AK565" s="132">
        <f t="shared" si="1127"/>
        <v>-1000</v>
      </c>
      <c r="AL565" s="132">
        <f t="shared" si="1127"/>
        <v>-1000</v>
      </c>
      <c r="AM565" s="132">
        <f t="shared" si="1127"/>
        <v>-1000</v>
      </c>
      <c r="AN565" s="132">
        <f t="shared" si="1127"/>
        <v>-1000</v>
      </c>
      <c r="AO565" s="132">
        <f t="shared" si="1127"/>
        <v>-1000</v>
      </c>
      <c r="AP565" s="132">
        <f t="shared" si="1127"/>
        <v>-1000</v>
      </c>
      <c r="AQ565" s="132">
        <f t="shared" si="1127"/>
        <v>-1000</v>
      </c>
      <c r="AR565" s="132">
        <f t="shared" si="1127"/>
        <v>-1000</v>
      </c>
      <c r="AS565" s="132">
        <f t="shared" si="1127"/>
        <v>-1000</v>
      </c>
    </row>
    <row r="566">
      <c r="A566" s="132" t="s">
        <v>4068</v>
      </c>
      <c r="B566" s="132">
        <v>1000.0</v>
      </c>
      <c r="C566" s="132">
        <v>0.0</v>
      </c>
      <c r="D566" s="132">
        <v>0.0</v>
      </c>
      <c r="E566" s="132">
        <v>0.0</v>
      </c>
      <c r="F566" s="132">
        <v>0.0</v>
      </c>
      <c r="G566" s="132">
        <v>1000.0</v>
      </c>
      <c r="H566" s="132">
        <v>0.0</v>
      </c>
      <c r="I566" s="132">
        <v>0.0</v>
      </c>
      <c r="J566" s="132">
        <v>0.0</v>
      </c>
      <c r="K566" s="132">
        <v>0.0</v>
      </c>
      <c r="L566" s="132">
        <v>0.0</v>
      </c>
      <c r="M566" s="132">
        <v>0.0</v>
      </c>
      <c r="N566" s="132">
        <v>0.0</v>
      </c>
      <c r="O566" s="132">
        <v>0.0</v>
      </c>
      <c r="P566" s="132">
        <v>0.0</v>
      </c>
      <c r="Q566" s="132">
        <v>0.0</v>
      </c>
      <c r="R566" s="132">
        <v>0.0</v>
      </c>
      <c r="S566" s="132">
        <v>0.0</v>
      </c>
      <c r="T566" s="132">
        <v>0.0</v>
      </c>
      <c r="U566" s="132">
        <v>0.0</v>
      </c>
      <c r="V566" s="132">
        <v>0.0</v>
      </c>
      <c r="W566" s="132">
        <v>0.0</v>
      </c>
      <c r="Y566" s="132" t="s">
        <v>4068</v>
      </c>
      <c r="Z566" s="132">
        <f t="shared" ref="Z566:AC566" si="1128">C566-1000</f>
        <v>-1000</v>
      </c>
      <c r="AA566" s="132">
        <f t="shared" si="1128"/>
        <v>-1000</v>
      </c>
      <c r="AB566" s="132">
        <f t="shared" si="1128"/>
        <v>-1000</v>
      </c>
      <c r="AC566" s="132">
        <f t="shared" si="1128"/>
        <v>-1000</v>
      </c>
      <c r="AD566" s="132">
        <f t="shared" si="4"/>
        <v>-9000</v>
      </c>
      <c r="AE566" s="132">
        <f t="shared" ref="AE566:AS566" si="1129">H566-1000</f>
        <v>-1000</v>
      </c>
      <c r="AF566" s="132">
        <f t="shared" si="1129"/>
        <v>-1000</v>
      </c>
      <c r="AG566" s="132">
        <f t="shared" si="1129"/>
        <v>-1000</v>
      </c>
      <c r="AH566" s="132">
        <f t="shared" si="1129"/>
        <v>-1000</v>
      </c>
      <c r="AI566" s="132">
        <f t="shared" si="1129"/>
        <v>-1000</v>
      </c>
      <c r="AJ566" s="132">
        <f t="shared" si="1129"/>
        <v>-1000</v>
      </c>
      <c r="AK566" s="132">
        <f t="shared" si="1129"/>
        <v>-1000</v>
      </c>
      <c r="AL566" s="132">
        <f t="shared" si="1129"/>
        <v>-1000</v>
      </c>
      <c r="AM566" s="132">
        <f t="shared" si="1129"/>
        <v>-1000</v>
      </c>
      <c r="AN566" s="132">
        <f t="shared" si="1129"/>
        <v>-1000</v>
      </c>
      <c r="AO566" s="132">
        <f t="shared" si="1129"/>
        <v>-1000</v>
      </c>
      <c r="AP566" s="132">
        <f t="shared" si="1129"/>
        <v>-1000</v>
      </c>
      <c r="AQ566" s="132">
        <f t="shared" si="1129"/>
        <v>-1000</v>
      </c>
      <c r="AR566" s="132">
        <f t="shared" si="1129"/>
        <v>-1000</v>
      </c>
      <c r="AS566" s="132">
        <f t="shared" si="1129"/>
        <v>-1000</v>
      </c>
    </row>
    <row r="567">
      <c r="A567" s="132" t="s">
        <v>4069</v>
      </c>
      <c r="B567" s="132">
        <v>2500.0</v>
      </c>
      <c r="C567" s="132">
        <v>0.0</v>
      </c>
      <c r="D567" s="132">
        <v>0.0</v>
      </c>
      <c r="E567" s="132">
        <v>0.0</v>
      </c>
      <c r="F567" s="132">
        <v>0.0</v>
      </c>
      <c r="G567" s="132">
        <v>2500.0</v>
      </c>
      <c r="H567" s="132">
        <v>0.0</v>
      </c>
      <c r="I567" s="132">
        <v>0.0</v>
      </c>
      <c r="J567" s="132">
        <v>0.0</v>
      </c>
      <c r="K567" s="132">
        <v>0.0</v>
      </c>
      <c r="L567" s="132">
        <v>0.0</v>
      </c>
      <c r="M567" s="132">
        <v>0.0</v>
      </c>
      <c r="N567" s="132">
        <v>0.0</v>
      </c>
      <c r="O567" s="132">
        <v>0.0</v>
      </c>
      <c r="P567" s="132">
        <v>0.0</v>
      </c>
      <c r="Q567" s="132">
        <v>0.0</v>
      </c>
      <c r="R567" s="132">
        <v>0.0</v>
      </c>
      <c r="S567" s="132">
        <v>0.0</v>
      </c>
      <c r="T567" s="132">
        <v>0.0</v>
      </c>
      <c r="U567" s="132">
        <v>0.0</v>
      </c>
      <c r="V567" s="132">
        <v>0.0</v>
      </c>
      <c r="W567" s="132">
        <v>0.0</v>
      </c>
      <c r="Y567" s="132" t="s">
        <v>4069</v>
      </c>
      <c r="Z567" s="132">
        <f t="shared" ref="Z567:AC567" si="1130">C567-1000</f>
        <v>-1000</v>
      </c>
      <c r="AA567" s="132">
        <f t="shared" si="1130"/>
        <v>-1000</v>
      </c>
      <c r="AB567" s="132">
        <f t="shared" si="1130"/>
        <v>-1000</v>
      </c>
      <c r="AC567" s="132">
        <f t="shared" si="1130"/>
        <v>-1000</v>
      </c>
      <c r="AD567" s="132">
        <f t="shared" si="4"/>
        <v>-7500</v>
      </c>
      <c r="AE567" s="132">
        <f t="shared" ref="AE567:AS567" si="1131">H567-1000</f>
        <v>-1000</v>
      </c>
      <c r="AF567" s="132">
        <f t="shared" si="1131"/>
        <v>-1000</v>
      </c>
      <c r="AG567" s="132">
        <f t="shared" si="1131"/>
        <v>-1000</v>
      </c>
      <c r="AH567" s="132">
        <f t="shared" si="1131"/>
        <v>-1000</v>
      </c>
      <c r="AI567" s="132">
        <f t="shared" si="1131"/>
        <v>-1000</v>
      </c>
      <c r="AJ567" s="132">
        <f t="shared" si="1131"/>
        <v>-1000</v>
      </c>
      <c r="AK567" s="132">
        <f t="shared" si="1131"/>
        <v>-1000</v>
      </c>
      <c r="AL567" s="132">
        <f t="shared" si="1131"/>
        <v>-1000</v>
      </c>
      <c r="AM567" s="132">
        <f t="shared" si="1131"/>
        <v>-1000</v>
      </c>
      <c r="AN567" s="132">
        <f t="shared" si="1131"/>
        <v>-1000</v>
      </c>
      <c r="AO567" s="132">
        <f t="shared" si="1131"/>
        <v>-1000</v>
      </c>
      <c r="AP567" s="132">
        <f t="shared" si="1131"/>
        <v>-1000</v>
      </c>
      <c r="AQ567" s="132">
        <f t="shared" si="1131"/>
        <v>-1000</v>
      </c>
      <c r="AR567" s="132">
        <f t="shared" si="1131"/>
        <v>-1000</v>
      </c>
      <c r="AS567" s="132">
        <f t="shared" si="1131"/>
        <v>-1000</v>
      </c>
    </row>
    <row r="568">
      <c r="A568" s="132" t="s">
        <v>4070</v>
      </c>
      <c r="B568" s="132">
        <v>1000.0</v>
      </c>
      <c r="C568" s="132">
        <v>0.0</v>
      </c>
      <c r="D568" s="132">
        <v>0.0</v>
      </c>
      <c r="E568" s="132">
        <v>0.0</v>
      </c>
      <c r="F568" s="132">
        <v>0.0</v>
      </c>
      <c r="G568" s="132">
        <v>1000.0</v>
      </c>
      <c r="H568" s="132">
        <v>0.0</v>
      </c>
      <c r="I568" s="132">
        <v>0.0</v>
      </c>
      <c r="J568" s="132">
        <v>0.0</v>
      </c>
      <c r="K568" s="132">
        <v>0.0</v>
      </c>
      <c r="L568" s="132">
        <v>0.0</v>
      </c>
      <c r="M568" s="132">
        <v>0.0</v>
      </c>
      <c r="N568" s="132">
        <v>0.0</v>
      </c>
      <c r="O568" s="132">
        <v>0.0</v>
      </c>
      <c r="P568" s="132">
        <v>0.0</v>
      </c>
      <c r="Q568" s="132">
        <v>0.0</v>
      </c>
      <c r="R568" s="132">
        <v>0.0</v>
      </c>
      <c r="S568" s="132">
        <v>0.0</v>
      </c>
      <c r="T568" s="132">
        <v>0.0</v>
      </c>
      <c r="U568" s="132">
        <v>0.0</v>
      </c>
      <c r="V568" s="132">
        <v>0.0</v>
      </c>
      <c r="W568" s="132">
        <v>0.0</v>
      </c>
      <c r="Y568" s="132" t="s">
        <v>4070</v>
      </c>
      <c r="Z568" s="132">
        <f t="shared" ref="Z568:AC568" si="1132">C568-1000</f>
        <v>-1000</v>
      </c>
      <c r="AA568" s="132">
        <f t="shared" si="1132"/>
        <v>-1000</v>
      </c>
      <c r="AB568" s="132">
        <f t="shared" si="1132"/>
        <v>-1000</v>
      </c>
      <c r="AC568" s="132">
        <f t="shared" si="1132"/>
        <v>-1000</v>
      </c>
      <c r="AD568" s="132">
        <f t="shared" si="4"/>
        <v>-9000</v>
      </c>
      <c r="AE568" s="132">
        <f t="shared" ref="AE568:AS568" si="1133">H568-1000</f>
        <v>-1000</v>
      </c>
      <c r="AF568" s="132">
        <f t="shared" si="1133"/>
        <v>-1000</v>
      </c>
      <c r="AG568" s="132">
        <f t="shared" si="1133"/>
        <v>-1000</v>
      </c>
      <c r="AH568" s="132">
        <f t="shared" si="1133"/>
        <v>-1000</v>
      </c>
      <c r="AI568" s="132">
        <f t="shared" si="1133"/>
        <v>-1000</v>
      </c>
      <c r="AJ568" s="132">
        <f t="shared" si="1133"/>
        <v>-1000</v>
      </c>
      <c r="AK568" s="132">
        <f t="shared" si="1133"/>
        <v>-1000</v>
      </c>
      <c r="AL568" s="132">
        <f t="shared" si="1133"/>
        <v>-1000</v>
      </c>
      <c r="AM568" s="132">
        <f t="shared" si="1133"/>
        <v>-1000</v>
      </c>
      <c r="AN568" s="132">
        <f t="shared" si="1133"/>
        <v>-1000</v>
      </c>
      <c r="AO568" s="132">
        <f t="shared" si="1133"/>
        <v>-1000</v>
      </c>
      <c r="AP568" s="132">
        <f t="shared" si="1133"/>
        <v>-1000</v>
      </c>
      <c r="AQ568" s="132">
        <f t="shared" si="1133"/>
        <v>-1000</v>
      </c>
      <c r="AR568" s="132">
        <f t="shared" si="1133"/>
        <v>-1000</v>
      </c>
      <c r="AS568" s="132">
        <f t="shared" si="1133"/>
        <v>-1000</v>
      </c>
    </row>
    <row r="569">
      <c r="A569" s="132" t="s">
        <v>4071</v>
      </c>
      <c r="B569" s="132">
        <v>50.0</v>
      </c>
      <c r="C569" s="132">
        <v>0.0</v>
      </c>
      <c r="D569" s="132">
        <v>0.0</v>
      </c>
      <c r="E569" s="132">
        <v>0.0</v>
      </c>
      <c r="F569" s="132">
        <v>0.0</v>
      </c>
      <c r="G569" s="132">
        <v>50.0</v>
      </c>
      <c r="H569" s="132">
        <v>0.0</v>
      </c>
      <c r="I569" s="132">
        <v>0.0</v>
      </c>
      <c r="J569" s="132">
        <v>0.0</v>
      </c>
      <c r="K569" s="132">
        <v>0.0</v>
      </c>
      <c r="L569" s="132">
        <v>0.0</v>
      </c>
      <c r="M569" s="132">
        <v>0.0</v>
      </c>
      <c r="N569" s="132">
        <v>0.0</v>
      </c>
      <c r="O569" s="132">
        <v>0.0</v>
      </c>
      <c r="P569" s="132">
        <v>0.0</v>
      </c>
      <c r="Q569" s="132">
        <v>0.0</v>
      </c>
      <c r="R569" s="132">
        <v>0.0</v>
      </c>
      <c r="S569" s="132">
        <v>0.0</v>
      </c>
      <c r="T569" s="132">
        <v>0.0</v>
      </c>
      <c r="U569" s="132">
        <v>0.0</v>
      </c>
      <c r="V569" s="132">
        <v>0.0</v>
      </c>
      <c r="W569" s="132">
        <v>0.0</v>
      </c>
      <c r="Y569" s="132" t="s">
        <v>4071</v>
      </c>
      <c r="Z569" s="132">
        <f t="shared" ref="Z569:AC569" si="1134">C569-1000</f>
        <v>-1000</v>
      </c>
      <c r="AA569" s="132">
        <f t="shared" si="1134"/>
        <v>-1000</v>
      </c>
      <c r="AB569" s="132">
        <f t="shared" si="1134"/>
        <v>-1000</v>
      </c>
      <c r="AC569" s="132">
        <f t="shared" si="1134"/>
        <v>-1000</v>
      </c>
      <c r="AD569" s="132">
        <f t="shared" si="4"/>
        <v>-9950</v>
      </c>
      <c r="AE569" s="132">
        <f t="shared" ref="AE569:AS569" si="1135">H569-1000</f>
        <v>-1000</v>
      </c>
      <c r="AF569" s="132">
        <f t="shared" si="1135"/>
        <v>-1000</v>
      </c>
      <c r="AG569" s="132">
        <f t="shared" si="1135"/>
        <v>-1000</v>
      </c>
      <c r="AH569" s="132">
        <f t="shared" si="1135"/>
        <v>-1000</v>
      </c>
      <c r="AI569" s="132">
        <f t="shared" si="1135"/>
        <v>-1000</v>
      </c>
      <c r="AJ569" s="132">
        <f t="shared" si="1135"/>
        <v>-1000</v>
      </c>
      <c r="AK569" s="132">
        <f t="shared" si="1135"/>
        <v>-1000</v>
      </c>
      <c r="AL569" s="132">
        <f t="shared" si="1135"/>
        <v>-1000</v>
      </c>
      <c r="AM569" s="132">
        <f t="shared" si="1135"/>
        <v>-1000</v>
      </c>
      <c r="AN569" s="132">
        <f t="shared" si="1135"/>
        <v>-1000</v>
      </c>
      <c r="AO569" s="132">
        <f t="shared" si="1135"/>
        <v>-1000</v>
      </c>
      <c r="AP569" s="132">
        <f t="shared" si="1135"/>
        <v>-1000</v>
      </c>
      <c r="AQ569" s="132">
        <f t="shared" si="1135"/>
        <v>-1000</v>
      </c>
      <c r="AR569" s="132">
        <f t="shared" si="1135"/>
        <v>-1000</v>
      </c>
      <c r="AS569" s="132">
        <f t="shared" si="1135"/>
        <v>-1000</v>
      </c>
    </row>
    <row r="570">
      <c r="A570" s="132" t="s">
        <v>4072</v>
      </c>
      <c r="B570" s="132">
        <v>100.0</v>
      </c>
      <c r="C570" s="132">
        <v>0.0</v>
      </c>
      <c r="D570" s="132">
        <v>0.0</v>
      </c>
      <c r="E570" s="132">
        <v>0.0</v>
      </c>
      <c r="F570" s="132">
        <v>0.0</v>
      </c>
      <c r="G570" s="132">
        <v>100.0</v>
      </c>
      <c r="H570" s="132">
        <v>0.0</v>
      </c>
      <c r="I570" s="132">
        <v>0.0</v>
      </c>
      <c r="J570" s="132">
        <v>0.0</v>
      </c>
      <c r="K570" s="132">
        <v>0.0</v>
      </c>
      <c r="L570" s="132">
        <v>0.0</v>
      </c>
      <c r="M570" s="132">
        <v>0.0</v>
      </c>
      <c r="N570" s="132">
        <v>0.0</v>
      </c>
      <c r="O570" s="132">
        <v>0.0</v>
      </c>
      <c r="P570" s="132">
        <v>0.0</v>
      </c>
      <c r="Q570" s="132">
        <v>0.0</v>
      </c>
      <c r="R570" s="132">
        <v>0.0</v>
      </c>
      <c r="S570" s="132">
        <v>0.0</v>
      </c>
      <c r="T570" s="132">
        <v>0.0</v>
      </c>
      <c r="U570" s="132">
        <v>0.0</v>
      </c>
      <c r="V570" s="132">
        <v>0.0</v>
      </c>
      <c r="W570" s="132">
        <v>0.0</v>
      </c>
      <c r="Y570" s="132" t="s">
        <v>4072</v>
      </c>
      <c r="Z570" s="132">
        <f t="shared" ref="Z570:AC570" si="1136">C570-1000</f>
        <v>-1000</v>
      </c>
      <c r="AA570" s="132">
        <f t="shared" si="1136"/>
        <v>-1000</v>
      </c>
      <c r="AB570" s="132">
        <f t="shared" si="1136"/>
        <v>-1000</v>
      </c>
      <c r="AC570" s="132">
        <f t="shared" si="1136"/>
        <v>-1000</v>
      </c>
      <c r="AD570" s="132">
        <f t="shared" si="4"/>
        <v>-9900</v>
      </c>
      <c r="AE570" s="132">
        <f t="shared" ref="AE570:AS570" si="1137">H570-1000</f>
        <v>-1000</v>
      </c>
      <c r="AF570" s="132">
        <f t="shared" si="1137"/>
        <v>-1000</v>
      </c>
      <c r="AG570" s="132">
        <f t="shared" si="1137"/>
        <v>-1000</v>
      </c>
      <c r="AH570" s="132">
        <f t="shared" si="1137"/>
        <v>-1000</v>
      </c>
      <c r="AI570" s="132">
        <f t="shared" si="1137"/>
        <v>-1000</v>
      </c>
      <c r="AJ570" s="132">
        <f t="shared" si="1137"/>
        <v>-1000</v>
      </c>
      <c r="AK570" s="132">
        <f t="shared" si="1137"/>
        <v>-1000</v>
      </c>
      <c r="AL570" s="132">
        <f t="shared" si="1137"/>
        <v>-1000</v>
      </c>
      <c r="AM570" s="132">
        <f t="shared" si="1137"/>
        <v>-1000</v>
      </c>
      <c r="AN570" s="132">
        <f t="shared" si="1137"/>
        <v>-1000</v>
      </c>
      <c r="AO570" s="132">
        <f t="shared" si="1137"/>
        <v>-1000</v>
      </c>
      <c r="AP570" s="132">
        <f t="shared" si="1137"/>
        <v>-1000</v>
      </c>
      <c r="AQ570" s="132">
        <f t="shared" si="1137"/>
        <v>-1000</v>
      </c>
      <c r="AR570" s="132">
        <f t="shared" si="1137"/>
        <v>-1000</v>
      </c>
      <c r="AS570" s="132">
        <f t="shared" si="1137"/>
        <v>-1000</v>
      </c>
    </row>
    <row r="571">
      <c r="A571" s="132" t="s">
        <v>4073</v>
      </c>
      <c r="B571" s="132">
        <v>100.0</v>
      </c>
      <c r="C571" s="132">
        <v>0.0</v>
      </c>
      <c r="D571" s="132">
        <v>0.0</v>
      </c>
      <c r="E571" s="132">
        <v>0.0</v>
      </c>
      <c r="F571" s="132">
        <v>0.0</v>
      </c>
      <c r="G571" s="132">
        <v>100.0</v>
      </c>
      <c r="H571" s="132">
        <v>0.0</v>
      </c>
      <c r="I571" s="132">
        <v>0.0</v>
      </c>
      <c r="J571" s="132">
        <v>0.0</v>
      </c>
      <c r="K571" s="132">
        <v>0.0</v>
      </c>
      <c r="L571" s="132">
        <v>0.0</v>
      </c>
      <c r="M571" s="132">
        <v>0.0</v>
      </c>
      <c r="N571" s="132">
        <v>0.0</v>
      </c>
      <c r="O571" s="132">
        <v>0.0</v>
      </c>
      <c r="P571" s="132">
        <v>0.0</v>
      </c>
      <c r="Q571" s="132">
        <v>0.0</v>
      </c>
      <c r="R571" s="132">
        <v>0.0</v>
      </c>
      <c r="S571" s="132">
        <v>0.0</v>
      </c>
      <c r="T571" s="132">
        <v>0.0</v>
      </c>
      <c r="U571" s="132">
        <v>0.0</v>
      </c>
      <c r="V571" s="132">
        <v>0.0</v>
      </c>
      <c r="W571" s="132">
        <v>0.0</v>
      </c>
      <c r="Y571" s="132" t="s">
        <v>4073</v>
      </c>
      <c r="Z571" s="132">
        <f t="shared" ref="Z571:AC571" si="1138">C571-1000</f>
        <v>-1000</v>
      </c>
      <c r="AA571" s="132">
        <f t="shared" si="1138"/>
        <v>-1000</v>
      </c>
      <c r="AB571" s="132">
        <f t="shared" si="1138"/>
        <v>-1000</v>
      </c>
      <c r="AC571" s="132">
        <f t="shared" si="1138"/>
        <v>-1000</v>
      </c>
      <c r="AD571" s="132">
        <f t="shared" si="4"/>
        <v>-9900</v>
      </c>
      <c r="AE571" s="132">
        <f t="shared" ref="AE571:AS571" si="1139">H571-1000</f>
        <v>-1000</v>
      </c>
      <c r="AF571" s="132">
        <f t="shared" si="1139"/>
        <v>-1000</v>
      </c>
      <c r="AG571" s="132">
        <f t="shared" si="1139"/>
        <v>-1000</v>
      </c>
      <c r="AH571" s="132">
        <f t="shared" si="1139"/>
        <v>-1000</v>
      </c>
      <c r="AI571" s="132">
        <f t="shared" si="1139"/>
        <v>-1000</v>
      </c>
      <c r="AJ571" s="132">
        <f t="shared" si="1139"/>
        <v>-1000</v>
      </c>
      <c r="AK571" s="132">
        <f t="shared" si="1139"/>
        <v>-1000</v>
      </c>
      <c r="AL571" s="132">
        <f t="shared" si="1139"/>
        <v>-1000</v>
      </c>
      <c r="AM571" s="132">
        <f t="shared" si="1139"/>
        <v>-1000</v>
      </c>
      <c r="AN571" s="132">
        <f t="shared" si="1139"/>
        <v>-1000</v>
      </c>
      <c r="AO571" s="132">
        <f t="shared" si="1139"/>
        <v>-1000</v>
      </c>
      <c r="AP571" s="132">
        <f t="shared" si="1139"/>
        <v>-1000</v>
      </c>
      <c r="AQ571" s="132">
        <f t="shared" si="1139"/>
        <v>-1000</v>
      </c>
      <c r="AR571" s="132">
        <f t="shared" si="1139"/>
        <v>-1000</v>
      </c>
      <c r="AS571" s="132">
        <f t="shared" si="1139"/>
        <v>-1000</v>
      </c>
    </row>
    <row r="572">
      <c r="A572" s="132" t="s">
        <v>4074</v>
      </c>
      <c r="B572" s="132">
        <v>100.0</v>
      </c>
      <c r="C572" s="132">
        <v>0.0</v>
      </c>
      <c r="D572" s="132">
        <v>0.0</v>
      </c>
      <c r="E572" s="132">
        <v>0.0</v>
      </c>
      <c r="F572" s="132">
        <v>0.0</v>
      </c>
      <c r="G572" s="132">
        <v>100.0</v>
      </c>
      <c r="H572" s="132">
        <v>0.0</v>
      </c>
      <c r="I572" s="132">
        <v>0.0</v>
      </c>
      <c r="J572" s="132">
        <v>0.0</v>
      </c>
      <c r="K572" s="132">
        <v>0.0</v>
      </c>
      <c r="L572" s="132">
        <v>0.0</v>
      </c>
      <c r="M572" s="132">
        <v>0.0</v>
      </c>
      <c r="N572" s="132">
        <v>0.0</v>
      </c>
      <c r="O572" s="132">
        <v>0.0</v>
      </c>
      <c r="P572" s="132">
        <v>0.0</v>
      </c>
      <c r="Q572" s="132">
        <v>0.0</v>
      </c>
      <c r="R572" s="132">
        <v>0.0</v>
      </c>
      <c r="S572" s="132">
        <v>0.0</v>
      </c>
      <c r="T572" s="132">
        <v>0.0</v>
      </c>
      <c r="U572" s="132">
        <v>0.0</v>
      </c>
      <c r="V572" s="132">
        <v>0.0</v>
      </c>
      <c r="W572" s="132">
        <v>0.0</v>
      </c>
      <c r="Y572" s="132" t="s">
        <v>4074</v>
      </c>
      <c r="Z572" s="132">
        <f t="shared" ref="Z572:AC572" si="1140">C572-1000</f>
        <v>-1000</v>
      </c>
      <c r="AA572" s="132">
        <f t="shared" si="1140"/>
        <v>-1000</v>
      </c>
      <c r="AB572" s="132">
        <f t="shared" si="1140"/>
        <v>-1000</v>
      </c>
      <c r="AC572" s="132">
        <f t="shared" si="1140"/>
        <v>-1000</v>
      </c>
      <c r="AD572" s="132">
        <f t="shared" si="4"/>
        <v>-9900</v>
      </c>
      <c r="AE572" s="132">
        <f t="shared" ref="AE572:AS572" si="1141">H572-1000</f>
        <v>-1000</v>
      </c>
      <c r="AF572" s="132">
        <f t="shared" si="1141"/>
        <v>-1000</v>
      </c>
      <c r="AG572" s="132">
        <f t="shared" si="1141"/>
        <v>-1000</v>
      </c>
      <c r="AH572" s="132">
        <f t="shared" si="1141"/>
        <v>-1000</v>
      </c>
      <c r="AI572" s="132">
        <f t="shared" si="1141"/>
        <v>-1000</v>
      </c>
      <c r="AJ572" s="132">
        <f t="shared" si="1141"/>
        <v>-1000</v>
      </c>
      <c r="AK572" s="132">
        <f t="shared" si="1141"/>
        <v>-1000</v>
      </c>
      <c r="AL572" s="132">
        <f t="shared" si="1141"/>
        <v>-1000</v>
      </c>
      <c r="AM572" s="132">
        <f t="shared" si="1141"/>
        <v>-1000</v>
      </c>
      <c r="AN572" s="132">
        <f t="shared" si="1141"/>
        <v>-1000</v>
      </c>
      <c r="AO572" s="132">
        <f t="shared" si="1141"/>
        <v>-1000</v>
      </c>
      <c r="AP572" s="132">
        <f t="shared" si="1141"/>
        <v>-1000</v>
      </c>
      <c r="AQ572" s="132">
        <f t="shared" si="1141"/>
        <v>-1000</v>
      </c>
      <c r="AR572" s="132">
        <f t="shared" si="1141"/>
        <v>-1000</v>
      </c>
      <c r="AS572" s="132">
        <f t="shared" si="1141"/>
        <v>-1000</v>
      </c>
    </row>
    <row r="573">
      <c r="A573" s="132" t="s">
        <v>4075</v>
      </c>
      <c r="B573" s="132">
        <v>500.0</v>
      </c>
      <c r="C573" s="132">
        <v>0.0</v>
      </c>
      <c r="D573" s="132">
        <v>0.0</v>
      </c>
      <c r="E573" s="132">
        <v>0.0</v>
      </c>
      <c r="F573" s="132">
        <v>0.0</v>
      </c>
      <c r="G573" s="132">
        <v>500.0</v>
      </c>
      <c r="H573" s="132">
        <v>0.0</v>
      </c>
      <c r="I573" s="132">
        <v>0.0</v>
      </c>
      <c r="J573" s="132">
        <v>0.0</v>
      </c>
      <c r="K573" s="132">
        <v>0.0</v>
      </c>
      <c r="L573" s="132">
        <v>0.0</v>
      </c>
      <c r="M573" s="132">
        <v>0.0</v>
      </c>
      <c r="N573" s="132">
        <v>0.0</v>
      </c>
      <c r="O573" s="132">
        <v>0.0</v>
      </c>
      <c r="P573" s="132">
        <v>0.0</v>
      </c>
      <c r="Q573" s="132">
        <v>0.0</v>
      </c>
      <c r="R573" s="132">
        <v>0.0</v>
      </c>
      <c r="S573" s="132">
        <v>0.0</v>
      </c>
      <c r="T573" s="132">
        <v>0.0</v>
      </c>
      <c r="U573" s="132">
        <v>0.0</v>
      </c>
      <c r="V573" s="132">
        <v>0.0</v>
      </c>
      <c r="W573" s="132">
        <v>0.0</v>
      </c>
      <c r="Y573" s="132" t="s">
        <v>4075</v>
      </c>
      <c r="Z573" s="132">
        <f t="shared" ref="Z573:AC573" si="1142">C573-1000</f>
        <v>-1000</v>
      </c>
      <c r="AA573" s="132">
        <f t="shared" si="1142"/>
        <v>-1000</v>
      </c>
      <c r="AB573" s="132">
        <f t="shared" si="1142"/>
        <v>-1000</v>
      </c>
      <c r="AC573" s="132">
        <f t="shared" si="1142"/>
        <v>-1000</v>
      </c>
      <c r="AD573" s="132">
        <f t="shared" si="4"/>
        <v>-9500</v>
      </c>
      <c r="AE573" s="132">
        <f t="shared" ref="AE573:AS573" si="1143">H573-1000</f>
        <v>-1000</v>
      </c>
      <c r="AF573" s="132">
        <f t="shared" si="1143"/>
        <v>-1000</v>
      </c>
      <c r="AG573" s="132">
        <f t="shared" si="1143"/>
        <v>-1000</v>
      </c>
      <c r="AH573" s="132">
        <f t="shared" si="1143"/>
        <v>-1000</v>
      </c>
      <c r="AI573" s="132">
        <f t="shared" si="1143"/>
        <v>-1000</v>
      </c>
      <c r="AJ573" s="132">
        <f t="shared" si="1143"/>
        <v>-1000</v>
      </c>
      <c r="AK573" s="132">
        <f t="shared" si="1143"/>
        <v>-1000</v>
      </c>
      <c r="AL573" s="132">
        <f t="shared" si="1143"/>
        <v>-1000</v>
      </c>
      <c r="AM573" s="132">
        <f t="shared" si="1143"/>
        <v>-1000</v>
      </c>
      <c r="AN573" s="132">
        <f t="shared" si="1143"/>
        <v>-1000</v>
      </c>
      <c r="AO573" s="132">
        <f t="shared" si="1143"/>
        <v>-1000</v>
      </c>
      <c r="AP573" s="132">
        <f t="shared" si="1143"/>
        <v>-1000</v>
      </c>
      <c r="AQ573" s="132">
        <f t="shared" si="1143"/>
        <v>-1000</v>
      </c>
      <c r="AR573" s="132">
        <f t="shared" si="1143"/>
        <v>-1000</v>
      </c>
      <c r="AS573" s="132">
        <f t="shared" si="1143"/>
        <v>-1000</v>
      </c>
    </row>
    <row r="574">
      <c r="A574" s="132" t="s">
        <v>4076</v>
      </c>
      <c r="B574" s="132">
        <v>1000.0</v>
      </c>
      <c r="C574" s="132">
        <v>0.0</v>
      </c>
      <c r="D574" s="132">
        <v>0.0</v>
      </c>
      <c r="E574" s="132">
        <v>0.0</v>
      </c>
      <c r="F574" s="132">
        <v>0.0</v>
      </c>
      <c r="G574" s="132">
        <v>1000.0</v>
      </c>
      <c r="H574" s="132">
        <v>0.0</v>
      </c>
      <c r="I574" s="132">
        <v>0.0</v>
      </c>
      <c r="J574" s="132">
        <v>0.0</v>
      </c>
      <c r="K574" s="132">
        <v>0.0</v>
      </c>
      <c r="L574" s="132">
        <v>0.0</v>
      </c>
      <c r="M574" s="132">
        <v>0.0</v>
      </c>
      <c r="N574" s="132">
        <v>0.0</v>
      </c>
      <c r="O574" s="132">
        <v>0.0</v>
      </c>
      <c r="P574" s="132">
        <v>0.0</v>
      </c>
      <c r="Q574" s="132">
        <v>0.0</v>
      </c>
      <c r="R574" s="132">
        <v>0.0</v>
      </c>
      <c r="S574" s="132">
        <v>0.0</v>
      </c>
      <c r="T574" s="132">
        <v>0.0</v>
      </c>
      <c r="U574" s="132">
        <v>0.0</v>
      </c>
      <c r="V574" s="132">
        <v>0.0</v>
      </c>
      <c r="W574" s="132">
        <v>0.0</v>
      </c>
      <c r="Y574" s="132" t="s">
        <v>4076</v>
      </c>
      <c r="Z574" s="132">
        <f t="shared" ref="Z574:AC574" si="1144">C574-1000</f>
        <v>-1000</v>
      </c>
      <c r="AA574" s="132">
        <f t="shared" si="1144"/>
        <v>-1000</v>
      </c>
      <c r="AB574" s="132">
        <f t="shared" si="1144"/>
        <v>-1000</v>
      </c>
      <c r="AC574" s="132">
        <f t="shared" si="1144"/>
        <v>-1000</v>
      </c>
      <c r="AD574" s="132">
        <f t="shared" si="4"/>
        <v>-9000</v>
      </c>
      <c r="AE574" s="132">
        <f t="shared" ref="AE574:AS574" si="1145">H574-1000</f>
        <v>-1000</v>
      </c>
      <c r="AF574" s="132">
        <f t="shared" si="1145"/>
        <v>-1000</v>
      </c>
      <c r="AG574" s="132">
        <f t="shared" si="1145"/>
        <v>-1000</v>
      </c>
      <c r="AH574" s="132">
        <f t="shared" si="1145"/>
        <v>-1000</v>
      </c>
      <c r="AI574" s="132">
        <f t="shared" si="1145"/>
        <v>-1000</v>
      </c>
      <c r="AJ574" s="132">
        <f t="shared" si="1145"/>
        <v>-1000</v>
      </c>
      <c r="AK574" s="132">
        <f t="shared" si="1145"/>
        <v>-1000</v>
      </c>
      <c r="AL574" s="132">
        <f t="shared" si="1145"/>
        <v>-1000</v>
      </c>
      <c r="AM574" s="132">
        <f t="shared" si="1145"/>
        <v>-1000</v>
      </c>
      <c r="AN574" s="132">
        <f t="shared" si="1145"/>
        <v>-1000</v>
      </c>
      <c r="AO574" s="132">
        <f t="shared" si="1145"/>
        <v>-1000</v>
      </c>
      <c r="AP574" s="132">
        <f t="shared" si="1145"/>
        <v>-1000</v>
      </c>
      <c r="AQ574" s="132">
        <f t="shared" si="1145"/>
        <v>-1000</v>
      </c>
      <c r="AR574" s="132">
        <f t="shared" si="1145"/>
        <v>-1000</v>
      </c>
      <c r="AS574" s="132">
        <f t="shared" si="1145"/>
        <v>-1000</v>
      </c>
    </row>
    <row r="575">
      <c r="A575" s="132" t="s">
        <v>4077</v>
      </c>
      <c r="B575" s="132">
        <v>1100.0</v>
      </c>
      <c r="C575" s="132">
        <v>1000.0</v>
      </c>
      <c r="D575" s="132">
        <v>0.0</v>
      </c>
      <c r="E575" s="132">
        <v>0.0</v>
      </c>
      <c r="F575" s="132">
        <v>0.0</v>
      </c>
      <c r="G575" s="132">
        <v>100.0</v>
      </c>
      <c r="H575" s="132">
        <v>0.0</v>
      </c>
      <c r="I575" s="132">
        <v>0.0</v>
      </c>
      <c r="J575" s="132">
        <v>0.0</v>
      </c>
      <c r="K575" s="132">
        <v>0.0</v>
      </c>
      <c r="L575" s="132">
        <v>0.0</v>
      </c>
      <c r="M575" s="132">
        <v>0.0</v>
      </c>
      <c r="N575" s="132">
        <v>0.0</v>
      </c>
      <c r="O575" s="132">
        <v>0.0</v>
      </c>
      <c r="P575" s="132">
        <v>0.0</v>
      </c>
      <c r="Q575" s="132">
        <v>0.0</v>
      </c>
      <c r="R575" s="132">
        <v>0.0</v>
      </c>
      <c r="S575" s="132">
        <v>0.0</v>
      </c>
      <c r="T575" s="132">
        <v>0.0</v>
      </c>
      <c r="U575" s="132">
        <v>0.0</v>
      </c>
      <c r="V575" s="132">
        <v>0.0</v>
      </c>
      <c r="W575" s="132">
        <v>1.0</v>
      </c>
      <c r="Y575" s="132" t="s">
        <v>4077</v>
      </c>
      <c r="Z575" s="132">
        <f t="shared" ref="Z575:AC575" si="1146">C575-1000</f>
        <v>0</v>
      </c>
      <c r="AA575" s="132">
        <f t="shared" si="1146"/>
        <v>-1000</v>
      </c>
      <c r="AB575" s="132">
        <f t="shared" si="1146"/>
        <v>-1000</v>
      </c>
      <c r="AC575" s="132">
        <f t="shared" si="1146"/>
        <v>-1000</v>
      </c>
      <c r="AD575" s="132">
        <f t="shared" si="4"/>
        <v>-9900</v>
      </c>
      <c r="AE575" s="132">
        <f t="shared" ref="AE575:AS575" si="1147">H575-1000</f>
        <v>-1000</v>
      </c>
      <c r="AF575" s="132">
        <f t="shared" si="1147"/>
        <v>-1000</v>
      </c>
      <c r="AG575" s="132">
        <f t="shared" si="1147"/>
        <v>-1000</v>
      </c>
      <c r="AH575" s="132">
        <f t="shared" si="1147"/>
        <v>-1000</v>
      </c>
      <c r="AI575" s="132">
        <f t="shared" si="1147"/>
        <v>-1000</v>
      </c>
      <c r="AJ575" s="132">
        <f t="shared" si="1147"/>
        <v>-1000</v>
      </c>
      <c r="AK575" s="132">
        <f t="shared" si="1147"/>
        <v>-1000</v>
      </c>
      <c r="AL575" s="132">
        <f t="shared" si="1147"/>
        <v>-1000</v>
      </c>
      <c r="AM575" s="132">
        <f t="shared" si="1147"/>
        <v>-1000</v>
      </c>
      <c r="AN575" s="132">
        <f t="shared" si="1147"/>
        <v>-1000</v>
      </c>
      <c r="AO575" s="132">
        <f t="shared" si="1147"/>
        <v>-1000</v>
      </c>
      <c r="AP575" s="132">
        <f t="shared" si="1147"/>
        <v>-1000</v>
      </c>
      <c r="AQ575" s="132">
        <f t="shared" si="1147"/>
        <v>-1000</v>
      </c>
      <c r="AR575" s="132">
        <f t="shared" si="1147"/>
        <v>-1000</v>
      </c>
      <c r="AS575" s="132">
        <f t="shared" si="1147"/>
        <v>-1000</v>
      </c>
    </row>
    <row r="576">
      <c r="A576" s="132" t="s">
        <v>4078</v>
      </c>
      <c r="B576" s="132">
        <v>100.0</v>
      </c>
      <c r="C576" s="132">
        <v>0.0</v>
      </c>
      <c r="D576" s="132">
        <v>0.0</v>
      </c>
      <c r="E576" s="132">
        <v>0.0</v>
      </c>
      <c r="F576" s="132">
        <v>0.0</v>
      </c>
      <c r="G576" s="132">
        <v>100.0</v>
      </c>
      <c r="H576" s="132">
        <v>0.0</v>
      </c>
      <c r="I576" s="132">
        <v>0.0</v>
      </c>
      <c r="J576" s="132">
        <v>0.0</v>
      </c>
      <c r="K576" s="132">
        <v>0.0</v>
      </c>
      <c r="L576" s="132">
        <v>0.0</v>
      </c>
      <c r="M576" s="132">
        <v>0.0</v>
      </c>
      <c r="N576" s="132">
        <v>0.0</v>
      </c>
      <c r="O576" s="132">
        <v>0.0</v>
      </c>
      <c r="P576" s="132">
        <v>0.0</v>
      </c>
      <c r="Q576" s="132">
        <v>0.0</v>
      </c>
      <c r="R576" s="132">
        <v>0.0</v>
      </c>
      <c r="S576" s="132">
        <v>0.0</v>
      </c>
      <c r="T576" s="132">
        <v>0.0</v>
      </c>
      <c r="U576" s="132">
        <v>0.0</v>
      </c>
      <c r="V576" s="132">
        <v>0.0</v>
      </c>
      <c r="W576" s="132">
        <v>0.0</v>
      </c>
      <c r="Y576" s="132" t="s">
        <v>4078</v>
      </c>
      <c r="Z576" s="132">
        <f t="shared" ref="Z576:AC576" si="1148">C576-1000</f>
        <v>-1000</v>
      </c>
      <c r="AA576" s="132">
        <f t="shared" si="1148"/>
        <v>-1000</v>
      </c>
      <c r="AB576" s="132">
        <f t="shared" si="1148"/>
        <v>-1000</v>
      </c>
      <c r="AC576" s="132">
        <f t="shared" si="1148"/>
        <v>-1000</v>
      </c>
      <c r="AD576" s="132">
        <f t="shared" si="4"/>
        <v>-9900</v>
      </c>
      <c r="AE576" s="132">
        <f t="shared" ref="AE576:AS576" si="1149">H576-1000</f>
        <v>-1000</v>
      </c>
      <c r="AF576" s="132">
        <f t="shared" si="1149"/>
        <v>-1000</v>
      </c>
      <c r="AG576" s="132">
        <f t="shared" si="1149"/>
        <v>-1000</v>
      </c>
      <c r="AH576" s="132">
        <f t="shared" si="1149"/>
        <v>-1000</v>
      </c>
      <c r="AI576" s="132">
        <f t="shared" si="1149"/>
        <v>-1000</v>
      </c>
      <c r="AJ576" s="132">
        <f t="shared" si="1149"/>
        <v>-1000</v>
      </c>
      <c r="AK576" s="132">
        <f t="shared" si="1149"/>
        <v>-1000</v>
      </c>
      <c r="AL576" s="132">
        <f t="shared" si="1149"/>
        <v>-1000</v>
      </c>
      <c r="AM576" s="132">
        <f t="shared" si="1149"/>
        <v>-1000</v>
      </c>
      <c r="AN576" s="132">
        <f t="shared" si="1149"/>
        <v>-1000</v>
      </c>
      <c r="AO576" s="132">
        <f t="shared" si="1149"/>
        <v>-1000</v>
      </c>
      <c r="AP576" s="132">
        <f t="shared" si="1149"/>
        <v>-1000</v>
      </c>
      <c r="AQ576" s="132">
        <f t="shared" si="1149"/>
        <v>-1000</v>
      </c>
      <c r="AR576" s="132">
        <f t="shared" si="1149"/>
        <v>-1000</v>
      </c>
      <c r="AS576" s="132">
        <f t="shared" si="1149"/>
        <v>-1000</v>
      </c>
    </row>
    <row r="577">
      <c r="A577" s="132" t="s">
        <v>4079</v>
      </c>
      <c r="B577" s="132">
        <v>50.0</v>
      </c>
      <c r="C577" s="132">
        <v>0.0</v>
      </c>
      <c r="D577" s="132">
        <v>0.0</v>
      </c>
      <c r="E577" s="132">
        <v>0.0</v>
      </c>
      <c r="F577" s="132">
        <v>0.0</v>
      </c>
      <c r="G577" s="132">
        <v>50.0</v>
      </c>
      <c r="H577" s="132">
        <v>0.0</v>
      </c>
      <c r="I577" s="132">
        <v>0.0</v>
      </c>
      <c r="J577" s="132">
        <v>0.0</v>
      </c>
      <c r="K577" s="132">
        <v>0.0</v>
      </c>
      <c r="L577" s="132">
        <v>0.0</v>
      </c>
      <c r="M577" s="132">
        <v>0.0</v>
      </c>
      <c r="N577" s="132">
        <v>0.0</v>
      </c>
      <c r="O577" s="132">
        <v>0.0</v>
      </c>
      <c r="P577" s="132">
        <v>0.0</v>
      </c>
      <c r="Q577" s="132">
        <v>0.0</v>
      </c>
      <c r="R577" s="132">
        <v>0.0</v>
      </c>
      <c r="S577" s="132">
        <v>0.0</v>
      </c>
      <c r="T577" s="132">
        <v>0.0</v>
      </c>
      <c r="U577" s="132">
        <v>0.0</v>
      </c>
      <c r="V577" s="132">
        <v>0.0</v>
      </c>
      <c r="W577" s="132">
        <v>0.0</v>
      </c>
      <c r="Y577" s="132" t="s">
        <v>4079</v>
      </c>
      <c r="Z577" s="132">
        <f t="shared" ref="Z577:AC577" si="1150">C577-1000</f>
        <v>-1000</v>
      </c>
      <c r="AA577" s="132">
        <f t="shared" si="1150"/>
        <v>-1000</v>
      </c>
      <c r="AB577" s="132">
        <f t="shared" si="1150"/>
        <v>-1000</v>
      </c>
      <c r="AC577" s="132">
        <f t="shared" si="1150"/>
        <v>-1000</v>
      </c>
      <c r="AD577" s="132">
        <f t="shared" si="4"/>
        <v>-9950</v>
      </c>
      <c r="AE577" s="132">
        <f t="shared" ref="AE577:AS577" si="1151">H577-1000</f>
        <v>-1000</v>
      </c>
      <c r="AF577" s="132">
        <f t="shared" si="1151"/>
        <v>-1000</v>
      </c>
      <c r="AG577" s="132">
        <f t="shared" si="1151"/>
        <v>-1000</v>
      </c>
      <c r="AH577" s="132">
        <f t="shared" si="1151"/>
        <v>-1000</v>
      </c>
      <c r="AI577" s="132">
        <f t="shared" si="1151"/>
        <v>-1000</v>
      </c>
      <c r="AJ577" s="132">
        <f t="shared" si="1151"/>
        <v>-1000</v>
      </c>
      <c r="AK577" s="132">
        <f t="shared" si="1151"/>
        <v>-1000</v>
      </c>
      <c r="AL577" s="132">
        <f t="shared" si="1151"/>
        <v>-1000</v>
      </c>
      <c r="AM577" s="132">
        <f t="shared" si="1151"/>
        <v>-1000</v>
      </c>
      <c r="AN577" s="132">
        <f t="shared" si="1151"/>
        <v>-1000</v>
      </c>
      <c r="AO577" s="132">
        <f t="shared" si="1151"/>
        <v>-1000</v>
      </c>
      <c r="AP577" s="132">
        <f t="shared" si="1151"/>
        <v>-1000</v>
      </c>
      <c r="AQ577" s="132">
        <f t="shared" si="1151"/>
        <v>-1000</v>
      </c>
      <c r="AR577" s="132">
        <f t="shared" si="1151"/>
        <v>-1000</v>
      </c>
      <c r="AS577" s="132">
        <f t="shared" si="1151"/>
        <v>-1000</v>
      </c>
    </row>
    <row r="578">
      <c r="A578" s="132" t="s">
        <v>4080</v>
      </c>
      <c r="B578" s="132">
        <v>500.0</v>
      </c>
      <c r="C578" s="132">
        <v>0.0</v>
      </c>
      <c r="D578" s="132">
        <v>0.0</v>
      </c>
      <c r="E578" s="132">
        <v>250.0</v>
      </c>
      <c r="F578" s="132">
        <v>0.0</v>
      </c>
      <c r="G578" s="132">
        <v>250.0</v>
      </c>
      <c r="H578" s="132">
        <v>0.0</v>
      </c>
      <c r="I578" s="132">
        <v>0.0</v>
      </c>
      <c r="J578" s="132">
        <v>0.0</v>
      </c>
      <c r="K578" s="132">
        <v>0.0</v>
      </c>
      <c r="L578" s="132">
        <v>0.0</v>
      </c>
      <c r="M578" s="132">
        <v>0.0</v>
      </c>
      <c r="N578" s="132">
        <v>0.0</v>
      </c>
      <c r="O578" s="132">
        <v>0.0</v>
      </c>
      <c r="P578" s="132">
        <v>0.0</v>
      </c>
      <c r="Q578" s="132">
        <v>0.0</v>
      </c>
      <c r="R578" s="132">
        <v>0.0</v>
      </c>
      <c r="S578" s="132">
        <v>0.0</v>
      </c>
      <c r="T578" s="132">
        <v>0.0</v>
      </c>
      <c r="U578" s="132">
        <v>0.0</v>
      </c>
      <c r="V578" s="132">
        <v>0.0</v>
      </c>
      <c r="W578" s="132">
        <v>0.0</v>
      </c>
      <c r="Y578" s="132" t="s">
        <v>4080</v>
      </c>
      <c r="Z578" s="132">
        <f t="shared" ref="Z578:AC578" si="1152">C578-1000</f>
        <v>-1000</v>
      </c>
      <c r="AA578" s="132">
        <f t="shared" si="1152"/>
        <v>-1000</v>
      </c>
      <c r="AB578" s="132">
        <f t="shared" si="1152"/>
        <v>-750</v>
      </c>
      <c r="AC578" s="132">
        <f t="shared" si="1152"/>
        <v>-1000</v>
      </c>
      <c r="AD578" s="132">
        <f t="shared" si="4"/>
        <v>-9750</v>
      </c>
      <c r="AE578" s="132">
        <f t="shared" ref="AE578:AS578" si="1153">H578-1000</f>
        <v>-1000</v>
      </c>
      <c r="AF578" s="132">
        <f t="shared" si="1153"/>
        <v>-1000</v>
      </c>
      <c r="AG578" s="132">
        <f t="shared" si="1153"/>
        <v>-1000</v>
      </c>
      <c r="AH578" s="132">
        <f t="shared" si="1153"/>
        <v>-1000</v>
      </c>
      <c r="AI578" s="132">
        <f t="shared" si="1153"/>
        <v>-1000</v>
      </c>
      <c r="AJ578" s="132">
        <f t="shared" si="1153"/>
        <v>-1000</v>
      </c>
      <c r="AK578" s="132">
        <f t="shared" si="1153"/>
        <v>-1000</v>
      </c>
      <c r="AL578" s="132">
        <f t="shared" si="1153"/>
        <v>-1000</v>
      </c>
      <c r="AM578" s="132">
        <f t="shared" si="1153"/>
        <v>-1000</v>
      </c>
      <c r="AN578" s="132">
        <f t="shared" si="1153"/>
        <v>-1000</v>
      </c>
      <c r="AO578" s="132">
        <f t="shared" si="1153"/>
        <v>-1000</v>
      </c>
      <c r="AP578" s="132">
        <f t="shared" si="1153"/>
        <v>-1000</v>
      </c>
      <c r="AQ578" s="132">
        <f t="shared" si="1153"/>
        <v>-1000</v>
      </c>
      <c r="AR578" s="132">
        <f t="shared" si="1153"/>
        <v>-1000</v>
      </c>
      <c r="AS578" s="132">
        <f t="shared" si="1153"/>
        <v>-1000</v>
      </c>
    </row>
    <row r="579">
      <c r="A579" s="132" t="s">
        <v>4081</v>
      </c>
      <c r="B579" s="132">
        <v>100.0</v>
      </c>
      <c r="C579" s="132">
        <v>0.0</v>
      </c>
      <c r="D579" s="132">
        <v>0.0</v>
      </c>
      <c r="E579" s="132">
        <v>0.0</v>
      </c>
      <c r="F579" s="132">
        <v>0.0</v>
      </c>
      <c r="G579" s="132">
        <v>100.0</v>
      </c>
      <c r="H579" s="132">
        <v>0.0</v>
      </c>
      <c r="I579" s="132">
        <v>0.0</v>
      </c>
      <c r="J579" s="132">
        <v>0.0</v>
      </c>
      <c r="K579" s="132">
        <v>0.0</v>
      </c>
      <c r="L579" s="132">
        <v>0.0</v>
      </c>
      <c r="M579" s="132">
        <v>0.0</v>
      </c>
      <c r="N579" s="132">
        <v>0.0</v>
      </c>
      <c r="O579" s="132">
        <v>0.0</v>
      </c>
      <c r="P579" s="132">
        <v>0.0</v>
      </c>
      <c r="Q579" s="132">
        <v>0.0</v>
      </c>
      <c r="R579" s="132">
        <v>0.0</v>
      </c>
      <c r="S579" s="132">
        <v>0.0</v>
      </c>
      <c r="T579" s="132">
        <v>0.0</v>
      </c>
      <c r="U579" s="132">
        <v>0.0</v>
      </c>
      <c r="V579" s="132">
        <v>0.0</v>
      </c>
      <c r="W579" s="132">
        <v>0.0</v>
      </c>
      <c r="Y579" s="132" t="s">
        <v>4081</v>
      </c>
      <c r="Z579" s="132">
        <f t="shared" ref="Z579:AC579" si="1154">C579-1000</f>
        <v>-1000</v>
      </c>
      <c r="AA579" s="132">
        <f t="shared" si="1154"/>
        <v>-1000</v>
      </c>
      <c r="AB579" s="132">
        <f t="shared" si="1154"/>
        <v>-1000</v>
      </c>
      <c r="AC579" s="132">
        <f t="shared" si="1154"/>
        <v>-1000</v>
      </c>
      <c r="AD579" s="132">
        <f t="shared" si="4"/>
        <v>-9900</v>
      </c>
      <c r="AE579" s="132">
        <f t="shared" ref="AE579:AS579" si="1155">H579-1000</f>
        <v>-1000</v>
      </c>
      <c r="AF579" s="132">
        <f t="shared" si="1155"/>
        <v>-1000</v>
      </c>
      <c r="AG579" s="132">
        <f t="shared" si="1155"/>
        <v>-1000</v>
      </c>
      <c r="AH579" s="132">
        <f t="shared" si="1155"/>
        <v>-1000</v>
      </c>
      <c r="AI579" s="132">
        <f t="shared" si="1155"/>
        <v>-1000</v>
      </c>
      <c r="AJ579" s="132">
        <f t="shared" si="1155"/>
        <v>-1000</v>
      </c>
      <c r="AK579" s="132">
        <f t="shared" si="1155"/>
        <v>-1000</v>
      </c>
      <c r="AL579" s="132">
        <f t="shared" si="1155"/>
        <v>-1000</v>
      </c>
      <c r="AM579" s="132">
        <f t="shared" si="1155"/>
        <v>-1000</v>
      </c>
      <c r="AN579" s="132">
        <f t="shared" si="1155"/>
        <v>-1000</v>
      </c>
      <c r="AO579" s="132">
        <f t="shared" si="1155"/>
        <v>-1000</v>
      </c>
      <c r="AP579" s="132">
        <f t="shared" si="1155"/>
        <v>-1000</v>
      </c>
      <c r="AQ579" s="132">
        <f t="shared" si="1155"/>
        <v>-1000</v>
      </c>
      <c r="AR579" s="132">
        <f t="shared" si="1155"/>
        <v>-1000</v>
      </c>
      <c r="AS579" s="132">
        <f t="shared" si="1155"/>
        <v>-1000</v>
      </c>
    </row>
    <row r="580">
      <c r="A580" s="132" t="s">
        <v>4082</v>
      </c>
      <c r="B580" s="132">
        <v>50.0</v>
      </c>
      <c r="C580" s="132">
        <v>0.0</v>
      </c>
      <c r="D580" s="132">
        <v>0.0</v>
      </c>
      <c r="E580" s="132">
        <v>0.0</v>
      </c>
      <c r="F580" s="132">
        <v>0.0</v>
      </c>
      <c r="G580" s="132">
        <v>50.0</v>
      </c>
      <c r="H580" s="132">
        <v>0.0</v>
      </c>
      <c r="I580" s="132">
        <v>0.0</v>
      </c>
      <c r="J580" s="132">
        <v>0.0</v>
      </c>
      <c r="K580" s="132">
        <v>0.0</v>
      </c>
      <c r="L580" s="132">
        <v>0.0</v>
      </c>
      <c r="M580" s="132">
        <v>0.0</v>
      </c>
      <c r="N580" s="132">
        <v>0.0</v>
      </c>
      <c r="O580" s="132">
        <v>0.0</v>
      </c>
      <c r="P580" s="132">
        <v>0.0</v>
      </c>
      <c r="Q580" s="132">
        <v>0.0</v>
      </c>
      <c r="R580" s="132">
        <v>0.0</v>
      </c>
      <c r="S580" s="132">
        <v>0.0</v>
      </c>
      <c r="T580" s="132">
        <v>0.0</v>
      </c>
      <c r="U580" s="132">
        <v>0.0</v>
      </c>
      <c r="V580" s="132">
        <v>0.0</v>
      </c>
      <c r="W580" s="132">
        <v>0.0</v>
      </c>
      <c r="Y580" s="132" t="s">
        <v>4082</v>
      </c>
      <c r="Z580" s="132">
        <f t="shared" ref="Z580:AC580" si="1156">C580-1000</f>
        <v>-1000</v>
      </c>
      <c r="AA580" s="132">
        <f t="shared" si="1156"/>
        <v>-1000</v>
      </c>
      <c r="AB580" s="132">
        <f t="shared" si="1156"/>
        <v>-1000</v>
      </c>
      <c r="AC580" s="132">
        <f t="shared" si="1156"/>
        <v>-1000</v>
      </c>
      <c r="AD580" s="132">
        <f t="shared" si="4"/>
        <v>-9950</v>
      </c>
      <c r="AE580" s="132">
        <f t="shared" ref="AE580:AS580" si="1157">H580-1000</f>
        <v>-1000</v>
      </c>
      <c r="AF580" s="132">
        <f t="shared" si="1157"/>
        <v>-1000</v>
      </c>
      <c r="AG580" s="132">
        <f t="shared" si="1157"/>
        <v>-1000</v>
      </c>
      <c r="AH580" s="132">
        <f t="shared" si="1157"/>
        <v>-1000</v>
      </c>
      <c r="AI580" s="132">
        <f t="shared" si="1157"/>
        <v>-1000</v>
      </c>
      <c r="AJ580" s="132">
        <f t="shared" si="1157"/>
        <v>-1000</v>
      </c>
      <c r="AK580" s="132">
        <f t="shared" si="1157"/>
        <v>-1000</v>
      </c>
      <c r="AL580" s="132">
        <f t="shared" si="1157"/>
        <v>-1000</v>
      </c>
      <c r="AM580" s="132">
        <f t="shared" si="1157"/>
        <v>-1000</v>
      </c>
      <c r="AN580" s="132">
        <f t="shared" si="1157"/>
        <v>-1000</v>
      </c>
      <c r="AO580" s="132">
        <f t="shared" si="1157"/>
        <v>-1000</v>
      </c>
      <c r="AP580" s="132">
        <f t="shared" si="1157"/>
        <v>-1000</v>
      </c>
      <c r="AQ580" s="132">
        <f t="shared" si="1157"/>
        <v>-1000</v>
      </c>
      <c r="AR580" s="132">
        <f t="shared" si="1157"/>
        <v>-1000</v>
      </c>
      <c r="AS580" s="132">
        <f t="shared" si="1157"/>
        <v>-1000</v>
      </c>
    </row>
    <row r="581">
      <c r="A581" s="132" t="s">
        <v>4083</v>
      </c>
      <c r="B581" s="132">
        <v>100.0</v>
      </c>
      <c r="C581" s="132">
        <v>0.0</v>
      </c>
      <c r="D581" s="132">
        <v>0.0</v>
      </c>
      <c r="E581" s="132">
        <v>0.0</v>
      </c>
      <c r="F581" s="132">
        <v>0.0</v>
      </c>
      <c r="G581" s="132">
        <v>100.0</v>
      </c>
      <c r="H581" s="132">
        <v>0.0</v>
      </c>
      <c r="I581" s="132">
        <v>0.0</v>
      </c>
      <c r="J581" s="132">
        <v>0.0</v>
      </c>
      <c r="K581" s="132">
        <v>0.0</v>
      </c>
      <c r="L581" s="132">
        <v>0.0</v>
      </c>
      <c r="M581" s="132">
        <v>0.0</v>
      </c>
      <c r="N581" s="132">
        <v>0.0</v>
      </c>
      <c r="O581" s="132">
        <v>0.0</v>
      </c>
      <c r="P581" s="132">
        <v>0.0</v>
      </c>
      <c r="Q581" s="132">
        <v>0.0</v>
      </c>
      <c r="R581" s="132">
        <v>0.0</v>
      </c>
      <c r="S581" s="132">
        <v>0.0</v>
      </c>
      <c r="T581" s="132">
        <v>0.0</v>
      </c>
      <c r="U581" s="132">
        <v>0.0</v>
      </c>
      <c r="V581" s="132">
        <v>0.0</v>
      </c>
      <c r="W581" s="132">
        <v>0.0</v>
      </c>
      <c r="Y581" s="132" t="s">
        <v>4083</v>
      </c>
      <c r="Z581" s="132">
        <f t="shared" ref="Z581:AC581" si="1158">C581-1000</f>
        <v>-1000</v>
      </c>
      <c r="AA581" s="132">
        <f t="shared" si="1158"/>
        <v>-1000</v>
      </c>
      <c r="AB581" s="132">
        <f t="shared" si="1158"/>
        <v>-1000</v>
      </c>
      <c r="AC581" s="132">
        <f t="shared" si="1158"/>
        <v>-1000</v>
      </c>
      <c r="AD581" s="132">
        <f t="shared" si="4"/>
        <v>-9900</v>
      </c>
      <c r="AE581" s="132">
        <f t="shared" ref="AE581:AS581" si="1159">H581-1000</f>
        <v>-1000</v>
      </c>
      <c r="AF581" s="132">
        <f t="shared" si="1159"/>
        <v>-1000</v>
      </c>
      <c r="AG581" s="132">
        <f t="shared" si="1159"/>
        <v>-1000</v>
      </c>
      <c r="AH581" s="132">
        <f t="shared" si="1159"/>
        <v>-1000</v>
      </c>
      <c r="AI581" s="132">
        <f t="shared" si="1159"/>
        <v>-1000</v>
      </c>
      <c r="AJ581" s="132">
        <f t="shared" si="1159"/>
        <v>-1000</v>
      </c>
      <c r="AK581" s="132">
        <f t="shared" si="1159"/>
        <v>-1000</v>
      </c>
      <c r="AL581" s="132">
        <f t="shared" si="1159"/>
        <v>-1000</v>
      </c>
      <c r="AM581" s="132">
        <f t="shared" si="1159"/>
        <v>-1000</v>
      </c>
      <c r="AN581" s="132">
        <f t="shared" si="1159"/>
        <v>-1000</v>
      </c>
      <c r="AO581" s="132">
        <f t="shared" si="1159"/>
        <v>-1000</v>
      </c>
      <c r="AP581" s="132">
        <f t="shared" si="1159"/>
        <v>-1000</v>
      </c>
      <c r="AQ581" s="132">
        <f t="shared" si="1159"/>
        <v>-1000</v>
      </c>
      <c r="AR581" s="132">
        <f t="shared" si="1159"/>
        <v>-1000</v>
      </c>
      <c r="AS581" s="132">
        <f t="shared" si="1159"/>
        <v>-1000</v>
      </c>
    </row>
    <row r="582">
      <c r="A582" s="132" t="s">
        <v>4084</v>
      </c>
      <c r="B582" s="132">
        <v>250.0</v>
      </c>
      <c r="C582" s="132">
        <v>0.0</v>
      </c>
      <c r="D582" s="132">
        <v>0.0</v>
      </c>
      <c r="E582" s="132">
        <v>0.0</v>
      </c>
      <c r="F582" s="132">
        <v>0.0</v>
      </c>
      <c r="G582" s="132">
        <v>250.0</v>
      </c>
      <c r="H582" s="132">
        <v>0.0</v>
      </c>
      <c r="I582" s="132">
        <v>0.0</v>
      </c>
      <c r="J582" s="132">
        <v>0.0</v>
      </c>
      <c r="K582" s="132">
        <v>0.0</v>
      </c>
      <c r="L582" s="132">
        <v>0.0</v>
      </c>
      <c r="M582" s="132">
        <v>0.0</v>
      </c>
      <c r="N582" s="132">
        <v>0.0</v>
      </c>
      <c r="O582" s="132">
        <v>0.0</v>
      </c>
      <c r="P582" s="132">
        <v>0.0</v>
      </c>
      <c r="Q582" s="132">
        <v>0.0</v>
      </c>
      <c r="R582" s="132">
        <v>0.0</v>
      </c>
      <c r="S582" s="132">
        <v>0.0</v>
      </c>
      <c r="T582" s="132">
        <v>0.0</v>
      </c>
      <c r="U582" s="132">
        <v>0.0</v>
      </c>
      <c r="V582" s="132">
        <v>0.0</v>
      </c>
      <c r="W582" s="132">
        <v>0.0</v>
      </c>
      <c r="Y582" s="132" t="s">
        <v>4084</v>
      </c>
      <c r="Z582" s="132">
        <f t="shared" ref="Z582:AC582" si="1160">C582-1000</f>
        <v>-1000</v>
      </c>
      <c r="AA582" s="132">
        <f t="shared" si="1160"/>
        <v>-1000</v>
      </c>
      <c r="AB582" s="132">
        <f t="shared" si="1160"/>
        <v>-1000</v>
      </c>
      <c r="AC582" s="132">
        <f t="shared" si="1160"/>
        <v>-1000</v>
      </c>
      <c r="AD582" s="132">
        <f t="shared" si="4"/>
        <v>-9750</v>
      </c>
      <c r="AE582" s="132">
        <f t="shared" ref="AE582:AS582" si="1161">H582-1000</f>
        <v>-1000</v>
      </c>
      <c r="AF582" s="132">
        <f t="shared" si="1161"/>
        <v>-1000</v>
      </c>
      <c r="AG582" s="132">
        <f t="shared" si="1161"/>
        <v>-1000</v>
      </c>
      <c r="AH582" s="132">
        <f t="shared" si="1161"/>
        <v>-1000</v>
      </c>
      <c r="AI582" s="132">
        <f t="shared" si="1161"/>
        <v>-1000</v>
      </c>
      <c r="AJ582" s="132">
        <f t="shared" si="1161"/>
        <v>-1000</v>
      </c>
      <c r="AK582" s="132">
        <f t="shared" si="1161"/>
        <v>-1000</v>
      </c>
      <c r="AL582" s="132">
        <f t="shared" si="1161"/>
        <v>-1000</v>
      </c>
      <c r="AM582" s="132">
        <f t="shared" si="1161"/>
        <v>-1000</v>
      </c>
      <c r="AN582" s="132">
        <f t="shared" si="1161"/>
        <v>-1000</v>
      </c>
      <c r="AO582" s="132">
        <f t="shared" si="1161"/>
        <v>-1000</v>
      </c>
      <c r="AP582" s="132">
        <f t="shared" si="1161"/>
        <v>-1000</v>
      </c>
      <c r="AQ582" s="132">
        <f t="shared" si="1161"/>
        <v>-1000</v>
      </c>
      <c r="AR582" s="132">
        <f t="shared" si="1161"/>
        <v>-1000</v>
      </c>
      <c r="AS582" s="132">
        <f t="shared" si="1161"/>
        <v>-1000</v>
      </c>
    </row>
    <row r="583">
      <c r="A583" s="132" t="s">
        <v>4085</v>
      </c>
      <c r="B583" s="132">
        <v>10.0</v>
      </c>
      <c r="C583" s="132">
        <v>0.0</v>
      </c>
      <c r="D583" s="132">
        <v>0.0</v>
      </c>
      <c r="E583" s="132">
        <v>0.0</v>
      </c>
      <c r="F583" s="132">
        <v>0.0</v>
      </c>
      <c r="G583" s="132">
        <v>10.0</v>
      </c>
      <c r="H583" s="132">
        <v>0.0</v>
      </c>
      <c r="I583" s="132">
        <v>0.0</v>
      </c>
      <c r="J583" s="132">
        <v>0.0</v>
      </c>
      <c r="K583" s="132">
        <v>0.0</v>
      </c>
      <c r="L583" s="132">
        <v>0.0</v>
      </c>
      <c r="M583" s="132">
        <v>0.0</v>
      </c>
      <c r="N583" s="132">
        <v>0.0</v>
      </c>
      <c r="O583" s="132">
        <v>0.0</v>
      </c>
      <c r="P583" s="132">
        <v>0.0</v>
      </c>
      <c r="Q583" s="132">
        <v>0.0</v>
      </c>
      <c r="R583" s="132">
        <v>0.0</v>
      </c>
      <c r="S583" s="132">
        <v>0.0</v>
      </c>
      <c r="T583" s="132">
        <v>0.0</v>
      </c>
      <c r="U583" s="132">
        <v>0.0</v>
      </c>
      <c r="V583" s="132">
        <v>0.0</v>
      </c>
      <c r="W583" s="132">
        <v>0.0</v>
      </c>
      <c r="Y583" s="132" t="s">
        <v>4085</v>
      </c>
      <c r="Z583" s="132">
        <f t="shared" ref="Z583:AC583" si="1162">C583-1000</f>
        <v>-1000</v>
      </c>
      <c r="AA583" s="132">
        <f t="shared" si="1162"/>
        <v>-1000</v>
      </c>
      <c r="AB583" s="132">
        <f t="shared" si="1162"/>
        <v>-1000</v>
      </c>
      <c r="AC583" s="132">
        <f t="shared" si="1162"/>
        <v>-1000</v>
      </c>
      <c r="AD583" s="132">
        <f t="shared" si="4"/>
        <v>-9990</v>
      </c>
      <c r="AE583" s="132">
        <f t="shared" ref="AE583:AS583" si="1163">H583-1000</f>
        <v>-1000</v>
      </c>
      <c r="AF583" s="132">
        <f t="shared" si="1163"/>
        <v>-1000</v>
      </c>
      <c r="AG583" s="132">
        <f t="shared" si="1163"/>
        <v>-1000</v>
      </c>
      <c r="AH583" s="132">
        <f t="shared" si="1163"/>
        <v>-1000</v>
      </c>
      <c r="AI583" s="132">
        <f t="shared" si="1163"/>
        <v>-1000</v>
      </c>
      <c r="AJ583" s="132">
        <f t="shared" si="1163"/>
        <v>-1000</v>
      </c>
      <c r="AK583" s="132">
        <f t="shared" si="1163"/>
        <v>-1000</v>
      </c>
      <c r="AL583" s="132">
        <f t="shared" si="1163"/>
        <v>-1000</v>
      </c>
      <c r="AM583" s="132">
        <f t="shared" si="1163"/>
        <v>-1000</v>
      </c>
      <c r="AN583" s="132">
        <f t="shared" si="1163"/>
        <v>-1000</v>
      </c>
      <c r="AO583" s="132">
        <f t="shared" si="1163"/>
        <v>-1000</v>
      </c>
      <c r="AP583" s="132">
        <f t="shared" si="1163"/>
        <v>-1000</v>
      </c>
      <c r="AQ583" s="132">
        <f t="shared" si="1163"/>
        <v>-1000</v>
      </c>
      <c r="AR583" s="132">
        <f t="shared" si="1163"/>
        <v>-1000</v>
      </c>
      <c r="AS583" s="132">
        <f t="shared" si="1163"/>
        <v>-1000</v>
      </c>
    </row>
    <row r="584">
      <c r="A584" s="132" t="s">
        <v>4086</v>
      </c>
      <c r="B584" s="132">
        <v>1000.0</v>
      </c>
      <c r="C584" s="132">
        <v>0.0</v>
      </c>
      <c r="D584" s="132">
        <v>0.0</v>
      </c>
      <c r="E584" s="132">
        <v>0.0</v>
      </c>
      <c r="F584" s="132">
        <v>0.0</v>
      </c>
      <c r="G584" s="132">
        <v>1000.0</v>
      </c>
      <c r="H584" s="132">
        <v>0.0</v>
      </c>
      <c r="I584" s="132">
        <v>0.0</v>
      </c>
      <c r="J584" s="132">
        <v>0.0</v>
      </c>
      <c r="K584" s="132">
        <v>0.0</v>
      </c>
      <c r="L584" s="132">
        <v>0.0</v>
      </c>
      <c r="M584" s="132">
        <v>0.0</v>
      </c>
      <c r="N584" s="132">
        <v>0.0</v>
      </c>
      <c r="O584" s="132">
        <v>0.0</v>
      </c>
      <c r="P584" s="132">
        <v>0.0</v>
      </c>
      <c r="Q584" s="132">
        <v>0.0</v>
      </c>
      <c r="R584" s="132">
        <v>0.0</v>
      </c>
      <c r="S584" s="132">
        <v>0.0</v>
      </c>
      <c r="T584" s="132">
        <v>0.0</v>
      </c>
      <c r="U584" s="132">
        <v>0.0</v>
      </c>
      <c r="V584" s="132">
        <v>0.0</v>
      </c>
      <c r="W584" s="132">
        <v>0.0</v>
      </c>
      <c r="Y584" s="132" t="s">
        <v>4086</v>
      </c>
      <c r="Z584" s="132">
        <f t="shared" ref="Z584:AC584" si="1164">C584-1000</f>
        <v>-1000</v>
      </c>
      <c r="AA584" s="132">
        <f t="shared" si="1164"/>
        <v>-1000</v>
      </c>
      <c r="AB584" s="132">
        <f t="shared" si="1164"/>
        <v>-1000</v>
      </c>
      <c r="AC584" s="132">
        <f t="shared" si="1164"/>
        <v>-1000</v>
      </c>
      <c r="AD584" s="132">
        <f t="shared" si="4"/>
        <v>-9000</v>
      </c>
      <c r="AE584" s="132">
        <f t="shared" ref="AE584:AS584" si="1165">H584-1000</f>
        <v>-1000</v>
      </c>
      <c r="AF584" s="132">
        <f t="shared" si="1165"/>
        <v>-1000</v>
      </c>
      <c r="AG584" s="132">
        <f t="shared" si="1165"/>
        <v>-1000</v>
      </c>
      <c r="AH584" s="132">
        <f t="shared" si="1165"/>
        <v>-1000</v>
      </c>
      <c r="AI584" s="132">
        <f t="shared" si="1165"/>
        <v>-1000</v>
      </c>
      <c r="AJ584" s="132">
        <f t="shared" si="1165"/>
        <v>-1000</v>
      </c>
      <c r="AK584" s="132">
        <f t="shared" si="1165"/>
        <v>-1000</v>
      </c>
      <c r="AL584" s="132">
        <f t="shared" si="1165"/>
        <v>-1000</v>
      </c>
      <c r="AM584" s="132">
        <f t="shared" si="1165"/>
        <v>-1000</v>
      </c>
      <c r="AN584" s="132">
        <f t="shared" si="1165"/>
        <v>-1000</v>
      </c>
      <c r="AO584" s="132">
        <f t="shared" si="1165"/>
        <v>-1000</v>
      </c>
      <c r="AP584" s="132">
        <f t="shared" si="1165"/>
        <v>-1000</v>
      </c>
      <c r="AQ584" s="132">
        <f t="shared" si="1165"/>
        <v>-1000</v>
      </c>
      <c r="AR584" s="132">
        <f t="shared" si="1165"/>
        <v>-1000</v>
      </c>
      <c r="AS584" s="132">
        <f t="shared" si="1165"/>
        <v>-1000</v>
      </c>
    </row>
    <row r="585">
      <c r="A585" s="132" t="s">
        <v>4087</v>
      </c>
      <c r="B585" s="132">
        <v>20.0</v>
      </c>
      <c r="C585" s="132">
        <v>0.0</v>
      </c>
      <c r="D585" s="132">
        <v>0.0</v>
      </c>
      <c r="E585" s="132">
        <v>0.0</v>
      </c>
      <c r="F585" s="132">
        <v>0.0</v>
      </c>
      <c r="G585" s="132">
        <v>20.0</v>
      </c>
      <c r="H585" s="132">
        <v>0.0</v>
      </c>
      <c r="I585" s="132">
        <v>0.0</v>
      </c>
      <c r="J585" s="132">
        <v>0.0</v>
      </c>
      <c r="K585" s="132">
        <v>0.0</v>
      </c>
      <c r="L585" s="132">
        <v>0.0</v>
      </c>
      <c r="M585" s="132">
        <v>0.0</v>
      </c>
      <c r="N585" s="132">
        <v>0.0</v>
      </c>
      <c r="O585" s="132">
        <v>0.0</v>
      </c>
      <c r="P585" s="132">
        <v>0.0</v>
      </c>
      <c r="Q585" s="132">
        <v>0.0</v>
      </c>
      <c r="R585" s="132">
        <v>0.0</v>
      </c>
      <c r="S585" s="132">
        <v>0.0</v>
      </c>
      <c r="T585" s="132">
        <v>0.0</v>
      </c>
      <c r="U585" s="132">
        <v>0.0</v>
      </c>
      <c r="V585" s="132">
        <v>0.0</v>
      </c>
      <c r="W585" s="132">
        <v>0.0</v>
      </c>
      <c r="Y585" s="132" t="s">
        <v>4087</v>
      </c>
      <c r="Z585" s="132">
        <f t="shared" ref="Z585:AC585" si="1166">C585-1000</f>
        <v>-1000</v>
      </c>
      <c r="AA585" s="132">
        <f t="shared" si="1166"/>
        <v>-1000</v>
      </c>
      <c r="AB585" s="132">
        <f t="shared" si="1166"/>
        <v>-1000</v>
      </c>
      <c r="AC585" s="132">
        <f t="shared" si="1166"/>
        <v>-1000</v>
      </c>
      <c r="AD585" s="132">
        <f t="shared" si="4"/>
        <v>-9980</v>
      </c>
      <c r="AE585" s="132">
        <f t="shared" ref="AE585:AS585" si="1167">H585-1000</f>
        <v>-1000</v>
      </c>
      <c r="AF585" s="132">
        <f t="shared" si="1167"/>
        <v>-1000</v>
      </c>
      <c r="AG585" s="132">
        <f t="shared" si="1167"/>
        <v>-1000</v>
      </c>
      <c r="AH585" s="132">
        <f t="shared" si="1167"/>
        <v>-1000</v>
      </c>
      <c r="AI585" s="132">
        <f t="shared" si="1167"/>
        <v>-1000</v>
      </c>
      <c r="AJ585" s="132">
        <f t="shared" si="1167"/>
        <v>-1000</v>
      </c>
      <c r="AK585" s="132">
        <f t="shared" si="1167"/>
        <v>-1000</v>
      </c>
      <c r="AL585" s="132">
        <f t="shared" si="1167"/>
        <v>-1000</v>
      </c>
      <c r="AM585" s="132">
        <f t="shared" si="1167"/>
        <v>-1000</v>
      </c>
      <c r="AN585" s="132">
        <f t="shared" si="1167"/>
        <v>-1000</v>
      </c>
      <c r="AO585" s="132">
        <f t="shared" si="1167"/>
        <v>-1000</v>
      </c>
      <c r="AP585" s="132">
        <f t="shared" si="1167"/>
        <v>-1000</v>
      </c>
      <c r="AQ585" s="132">
        <f t="shared" si="1167"/>
        <v>-1000</v>
      </c>
      <c r="AR585" s="132">
        <f t="shared" si="1167"/>
        <v>-1000</v>
      </c>
      <c r="AS585" s="132">
        <f t="shared" si="1167"/>
        <v>-1000</v>
      </c>
    </row>
    <row r="586">
      <c r="A586" s="132" t="s">
        <v>4088</v>
      </c>
      <c r="B586" s="132">
        <v>100.0</v>
      </c>
      <c r="C586" s="132">
        <v>0.0</v>
      </c>
      <c r="D586" s="132">
        <v>0.0</v>
      </c>
      <c r="E586" s="132">
        <v>0.0</v>
      </c>
      <c r="F586" s="132">
        <v>0.0</v>
      </c>
      <c r="G586" s="132">
        <v>100.0</v>
      </c>
      <c r="H586" s="132">
        <v>0.0</v>
      </c>
      <c r="I586" s="132">
        <v>0.0</v>
      </c>
      <c r="J586" s="132">
        <v>0.0</v>
      </c>
      <c r="K586" s="132">
        <v>0.0</v>
      </c>
      <c r="L586" s="132">
        <v>0.0</v>
      </c>
      <c r="M586" s="132">
        <v>0.0</v>
      </c>
      <c r="N586" s="132">
        <v>0.0</v>
      </c>
      <c r="O586" s="132">
        <v>0.0</v>
      </c>
      <c r="P586" s="132">
        <v>0.0</v>
      </c>
      <c r="Q586" s="132">
        <v>0.0</v>
      </c>
      <c r="R586" s="132">
        <v>0.0</v>
      </c>
      <c r="S586" s="132">
        <v>0.0</v>
      </c>
      <c r="T586" s="132">
        <v>0.0</v>
      </c>
      <c r="U586" s="132">
        <v>0.0</v>
      </c>
      <c r="V586" s="132">
        <v>0.0</v>
      </c>
      <c r="W586" s="132">
        <v>0.0</v>
      </c>
      <c r="Y586" s="132" t="s">
        <v>4088</v>
      </c>
      <c r="Z586" s="132">
        <f t="shared" ref="Z586:AC586" si="1168">C586-1000</f>
        <v>-1000</v>
      </c>
      <c r="AA586" s="132">
        <f t="shared" si="1168"/>
        <v>-1000</v>
      </c>
      <c r="AB586" s="132">
        <f t="shared" si="1168"/>
        <v>-1000</v>
      </c>
      <c r="AC586" s="132">
        <f t="shared" si="1168"/>
        <v>-1000</v>
      </c>
      <c r="AD586" s="132">
        <f t="shared" si="4"/>
        <v>-9900</v>
      </c>
      <c r="AE586" s="132">
        <f t="shared" ref="AE586:AS586" si="1169">H586-1000</f>
        <v>-1000</v>
      </c>
      <c r="AF586" s="132">
        <f t="shared" si="1169"/>
        <v>-1000</v>
      </c>
      <c r="AG586" s="132">
        <f t="shared" si="1169"/>
        <v>-1000</v>
      </c>
      <c r="AH586" s="132">
        <f t="shared" si="1169"/>
        <v>-1000</v>
      </c>
      <c r="AI586" s="132">
        <f t="shared" si="1169"/>
        <v>-1000</v>
      </c>
      <c r="AJ586" s="132">
        <f t="shared" si="1169"/>
        <v>-1000</v>
      </c>
      <c r="AK586" s="132">
        <f t="shared" si="1169"/>
        <v>-1000</v>
      </c>
      <c r="AL586" s="132">
        <f t="shared" si="1169"/>
        <v>-1000</v>
      </c>
      <c r="AM586" s="132">
        <f t="shared" si="1169"/>
        <v>-1000</v>
      </c>
      <c r="AN586" s="132">
        <f t="shared" si="1169"/>
        <v>-1000</v>
      </c>
      <c r="AO586" s="132">
        <f t="shared" si="1169"/>
        <v>-1000</v>
      </c>
      <c r="AP586" s="132">
        <f t="shared" si="1169"/>
        <v>-1000</v>
      </c>
      <c r="AQ586" s="132">
        <f t="shared" si="1169"/>
        <v>-1000</v>
      </c>
      <c r="AR586" s="132">
        <f t="shared" si="1169"/>
        <v>-1000</v>
      </c>
      <c r="AS586" s="132">
        <f t="shared" si="1169"/>
        <v>-1000</v>
      </c>
    </row>
    <row r="587">
      <c r="A587" s="132" t="s">
        <v>4089</v>
      </c>
      <c r="B587" s="132">
        <v>5000.0</v>
      </c>
      <c r="C587" s="132">
        <v>0.0</v>
      </c>
      <c r="D587" s="132">
        <v>0.0</v>
      </c>
      <c r="E587" s="132">
        <v>0.0</v>
      </c>
      <c r="F587" s="132">
        <v>0.0</v>
      </c>
      <c r="G587" s="132">
        <v>5000.0</v>
      </c>
      <c r="H587" s="132">
        <v>0.0</v>
      </c>
      <c r="I587" s="132">
        <v>0.0</v>
      </c>
      <c r="J587" s="132">
        <v>0.0</v>
      </c>
      <c r="K587" s="132">
        <v>0.0</v>
      </c>
      <c r="L587" s="132">
        <v>0.0</v>
      </c>
      <c r="M587" s="132">
        <v>0.0</v>
      </c>
      <c r="N587" s="132">
        <v>0.0</v>
      </c>
      <c r="O587" s="132">
        <v>0.0</v>
      </c>
      <c r="P587" s="132">
        <v>0.0</v>
      </c>
      <c r="Q587" s="132">
        <v>0.0</v>
      </c>
      <c r="R587" s="132">
        <v>0.0</v>
      </c>
      <c r="S587" s="132">
        <v>0.0</v>
      </c>
      <c r="T587" s="132">
        <v>0.0</v>
      </c>
      <c r="U587" s="132">
        <v>0.0</v>
      </c>
      <c r="V587" s="132">
        <v>0.0</v>
      </c>
      <c r="W587" s="132">
        <v>0.0</v>
      </c>
      <c r="Y587" s="132" t="s">
        <v>4089</v>
      </c>
      <c r="Z587" s="132">
        <f t="shared" ref="Z587:AC587" si="1170">C587-1000</f>
        <v>-1000</v>
      </c>
      <c r="AA587" s="132">
        <f t="shared" si="1170"/>
        <v>-1000</v>
      </c>
      <c r="AB587" s="132">
        <f t="shared" si="1170"/>
        <v>-1000</v>
      </c>
      <c r="AC587" s="132">
        <f t="shared" si="1170"/>
        <v>-1000</v>
      </c>
      <c r="AD587" s="132">
        <f t="shared" si="4"/>
        <v>-5000</v>
      </c>
      <c r="AE587" s="132">
        <f t="shared" ref="AE587:AS587" si="1171">H587-1000</f>
        <v>-1000</v>
      </c>
      <c r="AF587" s="132">
        <f t="shared" si="1171"/>
        <v>-1000</v>
      </c>
      <c r="AG587" s="132">
        <f t="shared" si="1171"/>
        <v>-1000</v>
      </c>
      <c r="AH587" s="132">
        <f t="shared" si="1171"/>
        <v>-1000</v>
      </c>
      <c r="AI587" s="132">
        <f t="shared" si="1171"/>
        <v>-1000</v>
      </c>
      <c r="AJ587" s="132">
        <f t="shared" si="1171"/>
        <v>-1000</v>
      </c>
      <c r="AK587" s="132">
        <f t="shared" si="1171"/>
        <v>-1000</v>
      </c>
      <c r="AL587" s="132">
        <f t="shared" si="1171"/>
        <v>-1000</v>
      </c>
      <c r="AM587" s="132">
        <f t="shared" si="1171"/>
        <v>-1000</v>
      </c>
      <c r="AN587" s="132">
        <f t="shared" si="1171"/>
        <v>-1000</v>
      </c>
      <c r="AO587" s="132">
        <f t="shared" si="1171"/>
        <v>-1000</v>
      </c>
      <c r="AP587" s="132">
        <f t="shared" si="1171"/>
        <v>-1000</v>
      </c>
      <c r="AQ587" s="132">
        <f t="shared" si="1171"/>
        <v>-1000</v>
      </c>
      <c r="AR587" s="132">
        <f t="shared" si="1171"/>
        <v>-1000</v>
      </c>
      <c r="AS587" s="132">
        <f t="shared" si="1171"/>
        <v>-1000</v>
      </c>
    </row>
    <row r="588">
      <c r="A588" s="132" t="s">
        <v>4090</v>
      </c>
      <c r="B588" s="132">
        <v>100.0</v>
      </c>
      <c r="C588" s="132">
        <v>0.0</v>
      </c>
      <c r="D588" s="132">
        <v>0.0</v>
      </c>
      <c r="E588" s="132">
        <v>0.0</v>
      </c>
      <c r="F588" s="132">
        <v>0.0</v>
      </c>
      <c r="G588" s="132">
        <v>100.0</v>
      </c>
      <c r="H588" s="132">
        <v>0.0</v>
      </c>
      <c r="I588" s="132">
        <v>0.0</v>
      </c>
      <c r="J588" s="132">
        <v>0.0</v>
      </c>
      <c r="K588" s="132">
        <v>0.0</v>
      </c>
      <c r="L588" s="132">
        <v>0.0</v>
      </c>
      <c r="M588" s="132">
        <v>0.0</v>
      </c>
      <c r="N588" s="132">
        <v>0.0</v>
      </c>
      <c r="O588" s="132">
        <v>0.0</v>
      </c>
      <c r="P588" s="132">
        <v>0.0</v>
      </c>
      <c r="Q588" s="132">
        <v>0.0</v>
      </c>
      <c r="R588" s="132">
        <v>0.0</v>
      </c>
      <c r="S588" s="132">
        <v>0.0</v>
      </c>
      <c r="T588" s="132">
        <v>0.0</v>
      </c>
      <c r="U588" s="132">
        <v>0.0</v>
      </c>
      <c r="V588" s="132">
        <v>0.0</v>
      </c>
      <c r="W588" s="132">
        <v>0.0</v>
      </c>
      <c r="Y588" s="132" t="s">
        <v>4090</v>
      </c>
      <c r="Z588" s="132">
        <f t="shared" ref="Z588:AC588" si="1172">C588-1000</f>
        <v>-1000</v>
      </c>
      <c r="AA588" s="132">
        <f t="shared" si="1172"/>
        <v>-1000</v>
      </c>
      <c r="AB588" s="132">
        <f t="shared" si="1172"/>
        <v>-1000</v>
      </c>
      <c r="AC588" s="132">
        <f t="shared" si="1172"/>
        <v>-1000</v>
      </c>
      <c r="AD588" s="132">
        <f t="shared" si="4"/>
        <v>-9900</v>
      </c>
      <c r="AE588" s="132">
        <f t="shared" ref="AE588:AS588" si="1173">H588-1000</f>
        <v>-1000</v>
      </c>
      <c r="AF588" s="132">
        <f t="shared" si="1173"/>
        <v>-1000</v>
      </c>
      <c r="AG588" s="132">
        <f t="shared" si="1173"/>
        <v>-1000</v>
      </c>
      <c r="AH588" s="132">
        <f t="shared" si="1173"/>
        <v>-1000</v>
      </c>
      <c r="AI588" s="132">
        <f t="shared" si="1173"/>
        <v>-1000</v>
      </c>
      <c r="AJ588" s="132">
        <f t="shared" si="1173"/>
        <v>-1000</v>
      </c>
      <c r="AK588" s="132">
        <f t="shared" si="1173"/>
        <v>-1000</v>
      </c>
      <c r="AL588" s="132">
        <f t="shared" si="1173"/>
        <v>-1000</v>
      </c>
      <c r="AM588" s="132">
        <f t="shared" si="1173"/>
        <v>-1000</v>
      </c>
      <c r="AN588" s="132">
        <f t="shared" si="1173"/>
        <v>-1000</v>
      </c>
      <c r="AO588" s="132">
        <f t="shared" si="1173"/>
        <v>-1000</v>
      </c>
      <c r="AP588" s="132">
        <f t="shared" si="1173"/>
        <v>-1000</v>
      </c>
      <c r="AQ588" s="132">
        <f t="shared" si="1173"/>
        <v>-1000</v>
      </c>
      <c r="AR588" s="132">
        <f t="shared" si="1173"/>
        <v>-1000</v>
      </c>
      <c r="AS588" s="132">
        <f t="shared" si="1173"/>
        <v>-1000</v>
      </c>
    </row>
    <row r="589">
      <c r="A589" s="132" t="s">
        <v>4091</v>
      </c>
      <c r="B589" s="132">
        <v>5000.0</v>
      </c>
      <c r="C589" s="132">
        <v>0.0</v>
      </c>
      <c r="D589" s="132">
        <v>0.0</v>
      </c>
      <c r="E589" s="132">
        <v>0.0</v>
      </c>
      <c r="F589" s="132">
        <v>0.0</v>
      </c>
      <c r="G589" s="132">
        <v>5000.0</v>
      </c>
      <c r="H589" s="132">
        <v>0.0</v>
      </c>
      <c r="I589" s="132">
        <v>0.0</v>
      </c>
      <c r="J589" s="132">
        <v>0.0</v>
      </c>
      <c r="K589" s="132">
        <v>0.0</v>
      </c>
      <c r="L589" s="132">
        <v>0.0</v>
      </c>
      <c r="M589" s="132">
        <v>0.0</v>
      </c>
      <c r="N589" s="132">
        <v>0.0</v>
      </c>
      <c r="O589" s="132">
        <v>0.0</v>
      </c>
      <c r="P589" s="132">
        <v>0.0</v>
      </c>
      <c r="Q589" s="132">
        <v>0.0</v>
      </c>
      <c r="R589" s="132">
        <v>0.0</v>
      </c>
      <c r="S589" s="132">
        <v>0.0</v>
      </c>
      <c r="T589" s="132">
        <v>0.0</v>
      </c>
      <c r="U589" s="132">
        <v>0.0</v>
      </c>
      <c r="V589" s="132">
        <v>0.0</v>
      </c>
      <c r="W589" s="132">
        <v>0.0</v>
      </c>
      <c r="Y589" s="132" t="s">
        <v>4091</v>
      </c>
      <c r="Z589" s="132">
        <f t="shared" ref="Z589:AC589" si="1174">C589-1000</f>
        <v>-1000</v>
      </c>
      <c r="AA589" s="132">
        <f t="shared" si="1174"/>
        <v>-1000</v>
      </c>
      <c r="AB589" s="132">
        <f t="shared" si="1174"/>
        <v>-1000</v>
      </c>
      <c r="AC589" s="132">
        <f t="shared" si="1174"/>
        <v>-1000</v>
      </c>
      <c r="AD589" s="132">
        <f t="shared" si="4"/>
        <v>-5000</v>
      </c>
      <c r="AE589" s="132">
        <f t="shared" ref="AE589:AS589" si="1175">H589-1000</f>
        <v>-1000</v>
      </c>
      <c r="AF589" s="132">
        <f t="shared" si="1175"/>
        <v>-1000</v>
      </c>
      <c r="AG589" s="132">
        <f t="shared" si="1175"/>
        <v>-1000</v>
      </c>
      <c r="AH589" s="132">
        <f t="shared" si="1175"/>
        <v>-1000</v>
      </c>
      <c r="AI589" s="132">
        <f t="shared" si="1175"/>
        <v>-1000</v>
      </c>
      <c r="AJ589" s="132">
        <f t="shared" si="1175"/>
        <v>-1000</v>
      </c>
      <c r="AK589" s="132">
        <f t="shared" si="1175"/>
        <v>-1000</v>
      </c>
      <c r="AL589" s="132">
        <f t="shared" si="1175"/>
        <v>-1000</v>
      </c>
      <c r="AM589" s="132">
        <f t="shared" si="1175"/>
        <v>-1000</v>
      </c>
      <c r="AN589" s="132">
        <f t="shared" si="1175"/>
        <v>-1000</v>
      </c>
      <c r="AO589" s="132">
        <f t="shared" si="1175"/>
        <v>-1000</v>
      </c>
      <c r="AP589" s="132">
        <f t="shared" si="1175"/>
        <v>-1000</v>
      </c>
      <c r="AQ589" s="132">
        <f t="shared" si="1175"/>
        <v>-1000</v>
      </c>
      <c r="AR589" s="132">
        <f t="shared" si="1175"/>
        <v>-1000</v>
      </c>
      <c r="AS589" s="132">
        <f t="shared" si="1175"/>
        <v>-1000</v>
      </c>
    </row>
    <row r="590">
      <c r="A590" s="132" t="s">
        <v>4092</v>
      </c>
      <c r="B590" s="132">
        <v>100.0</v>
      </c>
      <c r="C590" s="132">
        <v>0.0</v>
      </c>
      <c r="D590" s="132">
        <v>0.0</v>
      </c>
      <c r="E590" s="132">
        <v>0.0</v>
      </c>
      <c r="F590" s="132">
        <v>0.0</v>
      </c>
      <c r="G590" s="132">
        <v>100.0</v>
      </c>
      <c r="H590" s="132">
        <v>0.0</v>
      </c>
      <c r="I590" s="132">
        <v>0.0</v>
      </c>
      <c r="J590" s="132">
        <v>0.0</v>
      </c>
      <c r="K590" s="132">
        <v>0.0</v>
      </c>
      <c r="L590" s="132">
        <v>0.0</v>
      </c>
      <c r="M590" s="132">
        <v>0.0</v>
      </c>
      <c r="N590" s="132">
        <v>0.0</v>
      </c>
      <c r="O590" s="132">
        <v>0.0</v>
      </c>
      <c r="P590" s="132">
        <v>0.0</v>
      </c>
      <c r="Q590" s="132">
        <v>0.0</v>
      </c>
      <c r="R590" s="132">
        <v>0.0</v>
      </c>
      <c r="S590" s="132">
        <v>0.0</v>
      </c>
      <c r="T590" s="132">
        <v>0.0</v>
      </c>
      <c r="U590" s="132">
        <v>0.0</v>
      </c>
      <c r="V590" s="132">
        <v>0.0</v>
      </c>
      <c r="W590" s="132">
        <v>0.0</v>
      </c>
      <c r="Y590" s="132" t="s">
        <v>4092</v>
      </c>
      <c r="Z590" s="132">
        <f t="shared" ref="Z590:AC590" si="1176">C590-1000</f>
        <v>-1000</v>
      </c>
      <c r="AA590" s="132">
        <f t="shared" si="1176"/>
        <v>-1000</v>
      </c>
      <c r="AB590" s="132">
        <f t="shared" si="1176"/>
        <v>-1000</v>
      </c>
      <c r="AC590" s="132">
        <f t="shared" si="1176"/>
        <v>-1000</v>
      </c>
      <c r="AD590" s="132">
        <f t="shared" si="4"/>
        <v>-9900</v>
      </c>
      <c r="AE590" s="132">
        <f t="shared" ref="AE590:AS590" si="1177">H590-1000</f>
        <v>-1000</v>
      </c>
      <c r="AF590" s="132">
        <f t="shared" si="1177"/>
        <v>-1000</v>
      </c>
      <c r="AG590" s="132">
        <f t="shared" si="1177"/>
        <v>-1000</v>
      </c>
      <c r="AH590" s="132">
        <f t="shared" si="1177"/>
        <v>-1000</v>
      </c>
      <c r="AI590" s="132">
        <f t="shared" si="1177"/>
        <v>-1000</v>
      </c>
      <c r="AJ590" s="132">
        <f t="shared" si="1177"/>
        <v>-1000</v>
      </c>
      <c r="AK590" s="132">
        <f t="shared" si="1177"/>
        <v>-1000</v>
      </c>
      <c r="AL590" s="132">
        <f t="shared" si="1177"/>
        <v>-1000</v>
      </c>
      <c r="AM590" s="132">
        <f t="shared" si="1177"/>
        <v>-1000</v>
      </c>
      <c r="AN590" s="132">
        <f t="shared" si="1177"/>
        <v>-1000</v>
      </c>
      <c r="AO590" s="132">
        <f t="shared" si="1177"/>
        <v>-1000</v>
      </c>
      <c r="AP590" s="132">
        <f t="shared" si="1177"/>
        <v>-1000</v>
      </c>
      <c r="AQ590" s="132">
        <f t="shared" si="1177"/>
        <v>-1000</v>
      </c>
      <c r="AR590" s="132">
        <f t="shared" si="1177"/>
        <v>-1000</v>
      </c>
      <c r="AS590" s="132">
        <f t="shared" si="1177"/>
        <v>-1000</v>
      </c>
    </row>
    <row r="591">
      <c r="A591" s="132" t="s">
        <v>4093</v>
      </c>
      <c r="B591" s="132">
        <v>100.0</v>
      </c>
      <c r="C591" s="132">
        <v>0.0</v>
      </c>
      <c r="D591" s="132">
        <v>0.0</v>
      </c>
      <c r="E591" s="132">
        <v>0.0</v>
      </c>
      <c r="F591" s="132">
        <v>0.0</v>
      </c>
      <c r="G591" s="132">
        <v>100.0</v>
      </c>
      <c r="H591" s="132">
        <v>0.0</v>
      </c>
      <c r="I591" s="132">
        <v>0.0</v>
      </c>
      <c r="J591" s="132">
        <v>0.0</v>
      </c>
      <c r="K591" s="132">
        <v>0.0</v>
      </c>
      <c r="L591" s="132">
        <v>0.0</v>
      </c>
      <c r="M591" s="132">
        <v>0.0</v>
      </c>
      <c r="N591" s="132">
        <v>0.0</v>
      </c>
      <c r="O591" s="132">
        <v>0.0</v>
      </c>
      <c r="P591" s="132">
        <v>0.0</v>
      </c>
      <c r="Q591" s="132">
        <v>0.0</v>
      </c>
      <c r="R591" s="132">
        <v>0.0</v>
      </c>
      <c r="S591" s="132">
        <v>0.0</v>
      </c>
      <c r="T591" s="132">
        <v>0.0</v>
      </c>
      <c r="U591" s="132">
        <v>0.0</v>
      </c>
      <c r="V591" s="132">
        <v>0.0</v>
      </c>
      <c r="W591" s="132">
        <v>0.0</v>
      </c>
      <c r="Y591" s="132" t="s">
        <v>4093</v>
      </c>
      <c r="Z591" s="132">
        <f t="shared" ref="Z591:AC591" si="1178">C591-1000</f>
        <v>-1000</v>
      </c>
      <c r="AA591" s="132">
        <f t="shared" si="1178"/>
        <v>-1000</v>
      </c>
      <c r="AB591" s="132">
        <f t="shared" si="1178"/>
        <v>-1000</v>
      </c>
      <c r="AC591" s="132">
        <f t="shared" si="1178"/>
        <v>-1000</v>
      </c>
      <c r="AD591" s="132">
        <f t="shared" si="4"/>
        <v>-9900</v>
      </c>
      <c r="AE591" s="132">
        <f t="shared" ref="AE591:AS591" si="1179">H591-1000</f>
        <v>-1000</v>
      </c>
      <c r="AF591" s="132">
        <f t="shared" si="1179"/>
        <v>-1000</v>
      </c>
      <c r="AG591" s="132">
        <f t="shared" si="1179"/>
        <v>-1000</v>
      </c>
      <c r="AH591" s="132">
        <f t="shared" si="1179"/>
        <v>-1000</v>
      </c>
      <c r="AI591" s="132">
        <f t="shared" si="1179"/>
        <v>-1000</v>
      </c>
      <c r="AJ591" s="132">
        <f t="shared" si="1179"/>
        <v>-1000</v>
      </c>
      <c r="AK591" s="132">
        <f t="shared" si="1179"/>
        <v>-1000</v>
      </c>
      <c r="AL591" s="132">
        <f t="shared" si="1179"/>
        <v>-1000</v>
      </c>
      <c r="AM591" s="132">
        <f t="shared" si="1179"/>
        <v>-1000</v>
      </c>
      <c r="AN591" s="132">
        <f t="shared" si="1179"/>
        <v>-1000</v>
      </c>
      <c r="AO591" s="132">
        <f t="shared" si="1179"/>
        <v>-1000</v>
      </c>
      <c r="AP591" s="132">
        <f t="shared" si="1179"/>
        <v>-1000</v>
      </c>
      <c r="AQ591" s="132">
        <f t="shared" si="1179"/>
        <v>-1000</v>
      </c>
      <c r="AR591" s="132">
        <f t="shared" si="1179"/>
        <v>-1000</v>
      </c>
      <c r="AS591" s="132">
        <f t="shared" si="1179"/>
        <v>-1000</v>
      </c>
    </row>
    <row r="592">
      <c r="A592" s="132" t="s">
        <v>4094</v>
      </c>
      <c r="B592" s="132">
        <v>100.0</v>
      </c>
      <c r="C592" s="132">
        <v>0.0</v>
      </c>
      <c r="D592" s="132">
        <v>0.0</v>
      </c>
      <c r="E592" s="132">
        <v>0.0</v>
      </c>
      <c r="F592" s="132">
        <v>0.0</v>
      </c>
      <c r="G592" s="132">
        <v>100.0</v>
      </c>
      <c r="H592" s="132">
        <v>0.0</v>
      </c>
      <c r="I592" s="132">
        <v>0.0</v>
      </c>
      <c r="J592" s="132">
        <v>0.0</v>
      </c>
      <c r="K592" s="132">
        <v>0.0</v>
      </c>
      <c r="L592" s="132">
        <v>0.0</v>
      </c>
      <c r="M592" s="132">
        <v>0.0</v>
      </c>
      <c r="N592" s="132">
        <v>0.0</v>
      </c>
      <c r="O592" s="132">
        <v>0.0</v>
      </c>
      <c r="P592" s="132">
        <v>0.0</v>
      </c>
      <c r="Q592" s="132">
        <v>0.0</v>
      </c>
      <c r="R592" s="132">
        <v>0.0</v>
      </c>
      <c r="S592" s="132">
        <v>0.0</v>
      </c>
      <c r="T592" s="132">
        <v>0.0</v>
      </c>
      <c r="U592" s="132">
        <v>0.0</v>
      </c>
      <c r="V592" s="132">
        <v>0.0</v>
      </c>
      <c r="W592" s="132">
        <v>0.0</v>
      </c>
      <c r="Y592" s="132" t="s">
        <v>4094</v>
      </c>
      <c r="Z592" s="132">
        <f t="shared" ref="Z592:AC592" si="1180">C592-1000</f>
        <v>-1000</v>
      </c>
      <c r="AA592" s="132">
        <f t="shared" si="1180"/>
        <v>-1000</v>
      </c>
      <c r="AB592" s="132">
        <f t="shared" si="1180"/>
        <v>-1000</v>
      </c>
      <c r="AC592" s="132">
        <f t="shared" si="1180"/>
        <v>-1000</v>
      </c>
      <c r="AD592" s="132">
        <f t="shared" si="4"/>
        <v>-9900</v>
      </c>
      <c r="AE592" s="132">
        <f t="shared" ref="AE592:AS592" si="1181">H592-1000</f>
        <v>-1000</v>
      </c>
      <c r="AF592" s="132">
        <f t="shared" si="1181"/>
        <v>-1000</v>
      </c>
      <c r="AG592" s="132">
        <f t="shared" si="1181"/>
        <v>-1000</v>
      </c>
      <c r="AH592" s="132">
        <f t="shared" si="1181"/>
        <v>-1000</v>
      </c>
      <c r="AI592" s="132">
        <f t="shared" si="1181"/>
        <v>-1000</v>
      </c>
      <c r="AJ592" s="132">
        <f t="shared" si="1181"/>
        <v>-1000</v>
      </c>
      <c r="AK592" s="132">
        <f t="shared" si="1181"/>
        <v>-1000</v>
      </c>
      <c r="AL592" s="132">
        <f t="shared" si="1181"/>
        <v>-1000</v>
      </c>
      <c r="AM592" s="132">
        <f t="shared" si="1181"/>
        <v>-1000</v>
      </c>
      <c r="AN592" s="132">
        <f t="shared" si="1181"/>
        <v>-1000</v>
      </c>
      <c r="AO592" s="132">
        <f t="shared" si="1181"/>
        <v>-1000</v>
      </c>
      <c r="AP592" s="132">
        <f t="shared" si="1181"/>
        <v>-1000</v>
      </c>
      <c r="AQ592" s="132">
        <f t="shared" si="1181"/>
        <v>-1000</v>
      </c>
      <c r="AR592" s="132">
        <f t="shared" si="1181"/>
        <v>-1000</v>
      </c>
      <c r="AS592" s="132">
        <f t="shared" si="1181"/>
        <v>-1000</v>
      </c>
    </row>
    <row r="593">
      <c r="A593" s="132" t="s">
        <v>4095</v>
      </c>
      <c r="B593" s="132">
        <v>25.0</v>
      </c>
      <c r="C593" s="132">
        <v>0.0</v>
      </c>
      <c r="D593" s="132">
        <v>0.0</v>
      </c>
      <c r="E593" s="132">
        <v>0.0</v>
      </c>
      <c r="F593" s="132">
        <v>0.0</v>
      </c>
      <c r="G593" s="132">
        <v>25.0</v>
      </c>
      <c r="H593" s="132">
        <v>0.0</v>
      </c>
      <c r="I593" s="132">
        <v>0.0</v>
      </c>
      <c r="J593" s="132">
        <v>0.0</v>
      </c>
      <c r="K593" s="132">
        <v>0.0</v>
      </c>
      <c r="L593" s="132">
        <v>0.0</v>
      </c>
      <c r="M593" s="132">
        <v>0.0</v>
      </c>
      <c r="N593" s="132">
        <v>0.0</v>
      </c>
      <c r="O593" s="132">
        <v>0.0</v>
      </c>
      <c r="P593" s="132">
        <v>0.0</v>
      </c>
      <c r="Q593" s="132">
        <v>0.0</v>
      </c>
      <c r="R593" s="132">
        <v>0.0</v>
      </c>
      <c r="S593" s="132">
        <v>0.0</v>
      </c>
      <c r="T593" s="132">
        <v>0.0</v>
      </c>
      <c r="U593" s="132">
        <v>0.0</v>
      </c>
      <c r="V593" s="132">
        <v>0.0</v>
      </c>
      <c r="W593" s="132">
        <v>0.0</v>
      </c>
      <c r="Y593" s="132" t="s">
        <v>4095</v>
      </c>
      <c r="Z593" s="132">
        <f t="shared" ref="Z593:AC593" si="1182">C593-1000</f>
        <v>-1000</v>
      </c>
      <c r="AA593" s="132">
        <f t="shared" si="1182"/>
        <v>-1000</v>
      </c>
      <c r="AB593" s="132">
        <f t="shared" si="1182"/>
        <v>-1000</v>
      </c>
      <c r="AC593" s="132">
        <f t="shared" si="1182"/>
        <v>-1000</v>
      </c>
      <c r="AD593" s="132">
        <f t="shared" si="4"/>
        <v>-9975</v>
      </c>
      <c r="AE593" s="132">
        <f t="shared" ref="AE593:AS593" si="1183">H593-1000</f>
        <v>-1000</v>
      </c>
      <c r="AF593" s="132">
        <f t="shared" si="1183"/>
        <v>-1000</v>
      </c>
      <c r="AG593" s="132">
        <f t="shared" si="1183"/>
        <v>-1000</v>
      </c>
      <c r="AH593" s="132">
        <f t="shared" si="1183"/>
        <v>-1000</v>
      </c>
      <c r="AI593" s="132">
        <f t="shared" si="1183"/>
        <v>-1000</v>
      </c>
      <c r="AJ593" s="132">
        <f t="shared" si="1183"/>
        <v>-1000</v>
      </c>
      <c r="AK593" s="132">
        <f t="shared" si="1183"/>
        <v>-1000</v>
      </c>
      <c r="AL593" s="132">
        <f t="shared" si="1183"/>
        <v>-1000</v>
      </c>
      <c r="AM593" s="132">
        <f t="shared" si="1183"/>
        <v>-1000</v>
      </c>
      <c r="AN593" s="132">
        <f t="shared" si="1183"/>
        <v>-1000</v>
      </c>
      <c r="AO593" s="132">
        <f t="shared" si="1183"/>
        <v>-1000</v>
      </c>
      <c r="AP593" s="132">
        <f t="shared" si="1183"/>
        <v>-1000</v>
      </c>
      <c r="AQ593" s="132">
        <f t="shared" si="1183"/>
        <v>-1000</v>
      </c>
      <c r="AR593" s="132">
        <f t="shared" si="1183"/>
        <v>-1000</v>
      </c>
      <c r="AS593" s="132">
        <f t="shared" si="1183"/>
        <v>-1000</v>
      </c>
    </row>
    <row r="594">
      <c r="A594" s="132" t="s">
        <v>4096</v>
      </c>
      <c r="B594" s="132">
        <v>500.0</v>
      </c>
      <c r="C594" s="132">
        <v>0.0</v>
      </c>
      <c r="D594" s="132">
        <v>0.0</v>
      </c>
      <c r="E594" s="132">
        <v>0.0</v>
      </c>
      <c r="F594" s="132">
        <v>0.0</v>
      </c>
      <c r="G594" s="132">
        <v>500.0</v>
      </c>
      <c r="H594" s="132">
        <v>0.0</v>
      </c>
      <c r="I594" s="132">
        <v>0.0</v>
      </c>
      <c r="J594" s="132">
        <v>0.0</v>
      </c>
      <c r="K594" s="132">
        <v>0.0</v>
      </c>
      <c r="L594" s="132">
        <v>0.0</v>
      </c>
      <c r="M594" s="132">
        <v>0.0</v>
      </c>
      <c r="N594" s="132">
        <v>0.0</v>
      </c>
      <c r="O594" s="132">
        <v>0.0</v>
      </c>
      <c r="P594" s="132">
        <v>0.0</v>
      </c>
      <c r="Q594" s="132">
        <v>0.0</v>
      </c>
      <c r="R594" s="132">
        <v>0.0</v>
      </c>
      <c r="S594" s="132">
        <v>0.0</v>
      </c>
      <c r="T594" s="132">
        <v>0.0</v>
      </c>
      <c r="U594" s="132">
        <v>0.0</v>
      </c>
      <c r="V594" s="132">
        <v>0.0</v>
      </c>
      <c r="W594" s="132">
        <v>0.0</v>
      </c>
      <c r="Y594" s="132" t="s">
        <v>4096</v>
      </c>
      <c r="Z594" s="132">
        <f t="shared" ref="Z594:AC594" si="1184">C594-1000</f>
        <v>-1000</v>
      </c>
      <c r="AA594" s="132">
        <f t="shared" si="1184"/>
        <v>-1000</v>
      </c>
      <c r="AB594" s="132">
        <f t="shared" si="1184"/>
        <v>-1000</v>
      </c>
      <c r="AC594" s="132">
        <f t="shared" si="1184"/>
        <v>-1000</v>
      </c>
      <c r="AD594" s="132">
        <f t="shared" si="4"/>
        <v>-9500</v>
      </c>
      <c r="AE594" s="132">
        <f t="shared" ref="AE594:AS594" si="1185">H594-1000</f>
        <v>-1000</v>
      </c>
      <c r="AF594" s="132">
        <f t="shared" si="1185"/>
        <v>-1000</v>
      </c>
      <c r="AG594" s="132">
        <f t="shared" si="1185"/>
        <v>-1000</v>
      </c>
      <c r="AH594" s="132">
        <f t="shared" si="1185"/>
        <v>-1000</v>
      </c>
      <c r="AI594" s="132">
        <f t="shared" si="1185"/>
        <v>-1000</v>
      </c>
      <c r="AJ594" s="132">
        <f t="shared" si="1185"/>
        <v>-1000</v>
      </c>
      <c r="AK594" s="132">
        <f t="shared" si="1185"/>
        <v>-1000</v>
      </c>
      <c r="AL594" s="132">
        <f t="shared" si="1185"/>
        <v>-1000</v>
      </c>
      <c r="AM594" s="132">
        <f t="shared" si="1185"/>
        <v>-1000</v>
      </c>
      <c r="AN594" s="132">
        <f t="shared" si="1185"/>
        <v>-1000</v>
      </c>
      <c r="AO594" s="132">
        <f t="shared" si="1185"/>
        <v>-1000</v>
      </c>
      <c r="AP594" s="132">
        <f t="shared" si="1185"/>
        <v>-1000</v>
      </c>
      <c r="AQ594" s="132">
        <f t="shared" si="1185"/>
        <v>-1000</v>
      </c>
      <c r="AR594" s="132">
        <f t="shared" si="1185"/>
        <v>-1000</v>
      </c>
      <c r="AS594" s="132">
        <f t="shared" si="1185"/>
        <v>-1000</v>
      </c>
    </row>
    <row r="595">
      <c r="A595" s="132" t="s">
        <v>4097</v>
      </c>
      <c r="B595" s="132">
        <v>50.0</v>
      </c>
      <c r="C595" s="132">
        <v>0.0</v>
      </c>
      <c r="D595" s="132">
        <v>0.0</v>
      </c>
      <c r="E595" s="132">
        <v>0.0</v>
      </c>
      <c r="F595" s="132">
        <v>0.0</v>
      </c>
      <c r="G595" s="132">
        <v>50.0</v>
      </c>
      <c r="H595" s="132">
        <v>0.0</v>
      </c>
      <c r="I595" s="132">
        <v>0.0</v>
      </c>
      <c r="J595" s="132">
        <v>0.0</v>
      </c>
      <c r="K595" s="132">
        <v>0.0</v>
      </c>
      <c r="L595" s="132">
        <v>0.0</v>
      </c>
      <c r="M595" s="132">
        <v>0.0</v>
      </c>
      <c r="N595" s="132">
        <v>0.0</v>
      </c>
      <c r="O595" s="132">
        <v>0.0</v>
      </c>
      <c r="P595" s="132">
        <v>0.0</v>
      </c>
      <c r="Q595" s="132">
        <v>0.0</v>
      </c>
      <c r="R595" s="132">
        <v>0.0</v>
      </c>
      <c r="S595" s="132">
        <v>0.0</v>
      </c>
      <c r="T595" s="132">
        <v>0.0</v>
      </c>
      <c r="U595" s="132">
        <v>0.0</v>
      </c>
      <c r="V595" s="132">
        <v>0.0</v>
      </c>
      <c r="W595" s="132">
        <v>0.0</v>
      </c>
      <c r="Y595" s="132" t="s">
        <v>4097</v>
      </c>
      <c r="Z595" s="132">
        <f t="shared" ref="Z595:AC595" si="1186">C595-1000</f>
        <v>-1000</v>
      </c>
      <c r="AA595" s="132">
        <f t="shared" si="1186"/>
        <v>-1000</v>
      </c>
      <c r="AB595" s="132">
        <f t="shared" si="1186"/>
        <v>-1000</v>
      </c>
      <c r="AC595" s="132">
        <f t="shared" si="1186"/>
        <v>-1000</v>
      </c>
      <c r="AD595" s="132">
        <f t="shared" si="4"/>
        <v>-9950</v>
      </c>
      <c r="AE595" s="132">
        <f t="shared" ref="AE595:AS595" si="1187">H595-1000</f>
        <v>-1000</v>
      </c>
      <c r="AF595" s="132">
        <f t="shared" si="1187"/>
        <v>-1000</v>
      </c>
      <c r="AG595" s="132">
        <f t="shared" si="1187"/>
        <v>-1000</v>
      </c>
      <c r="AH595" s="132">
        <f t="shared" si="1187"/>
        <v>-1000</v>
      </c>
      <c r="AI595" s="132">
        <f t="shared" si="1187"/>
        <v>-1000</v>
      </c>
      <c r="AJ595" s="132">
        <f t="shared" si="1187"/>
        <v>-1000</v>
      </c>
      <c r="AK595" s="132">
        <f t="shared" si="1187"/>
        <v>-1000</v>
      </c>
      <c r="AL595" s="132">
        <f t="shared" si="1187"/>
        <v>-1000</v>
      </c>
      <c r="AM595" s="132">
        <f t="shared" si="1187"/>
        <v>-1000</v>
      </c>
      <c r="AN595" s="132">
        <f t="shared" si="1187"/>
        <v>-1000</v>
      </c>
      <c r="AO595" s="132">
        <f t="shared" si="1187"/>
        <v>-1000</v>
      </c>
      <c r="AP595" s="132">
        <f t="shared" si="1187"/>
        <v>-1000</v>
      </c>
      <c r="AQ595" s="132">
        <f t="shared" si="1187"/>
        <v>-1000</v>
      </c>
      <c r="AR595" s="132">
        <f t="shared" si="1187"/>
        <v>-1000</v>
      </c>
      <c r="AS595" s="132">
        <f t="shared" si="1187"/>
        <v>-1000</v>
      </c>
    </row>
    <row r="596">
      <c r="A596" s="132" t="s">
        <v>4098</v>
      </c>
      <c r="B596" s="132">
        <v>50.0</v>
      </c>
      <c r="C596" s="132">
        <v>0.0</v>
      </c>
      <c r="D596" s="132">
        <v>0.0</v>
      </c>
      <c r="E596" s="132">
        <v>0.0</v>
      </c>
      <c r="F596" s="132">
        <v>0.0</v>
      </c>
      <c r="G596" s="132">
        <v>50.0</v>
      </c>
      <c r="H596" s="132">
        <v>0.0</v>
      </c>
      <c r="I596" s="132">
        <v>0.0</v>
      </c>
      <c r="J596" s="132">
        <v>0.0</v>
      </c>
      <c r="K596" s="132">
        <v>0.0</v>
      </c>
      <c r="L596" s="132">
        <v>0.0</v>
      </c>
      <c r="M596" s="132">
        <v>0.0</v>
      </c>
      <c r="N596" s="132">
        <v>0.0</v>
      </c>
      <c r="O596" s="132">
        <v>0.0</v>
      </c>
      <c r="P596" s="132">
        <v>0.0</v>
      </c>
      <c r="Q596" s="132">
        <v>0.0</v>
      </c>
      <c r="R596" s="132">
        <v>0.0</v>
      </c>
      <c r="S596" s="132">
        <v>0.0</v>
      </c>
      <c r="T596" s="132">
        <v>0.0</v>
      </c>
      <c r="U596" s="132">
        <v>0.0</v>
      </c>
      <c r="V596" s="132">
        <v>0.0</v>
      </c>
      <c r="W596" s="132">
        <v>0.0</v>
      </c>
      <c r="Y596" s="132" t="s">
        <v>4098</v>
      </c>
      <c r="Z596" s="132">
        <f t="shared" ref="Z596:AC596" si="1188">C596-1000</f>
        <v>-1000</v>
      </c>
      <c r="AA596" s="132">
        <f t="shared" si="1188"/>
        <v>-1000</v>
      </c>
      <c r="AB596" s="132">
        <f t="shared" si="1188"/>
        <v>-1000</v>
      </c>
      <c r="AC596" s="132">
        <f t="shared" si="1188"/>
        <v>-1000</v>
      </c>
      <c r="AD596" s="132">
        <f t="shared" si="4"/>
        <v>-9950</v>
      </c>
      <c r="AE596" s="132">
        <f t="shared" ref="AE596:AS596" si="1189">H596-1000</f>
        <v>-1000</v>
      </c>
      <c r="AF596" s="132">
        <f t="shared" si="1189"/>
        <v>-1000</v>
      </c>
      <c r="AG596" s="132">
        <f t="shared" si="1189"/>
        <v>-1000</v>
      </c>
      <c r="AH596" s="132">
        <f t="shared" si="1189"/>
        <v>-1000</v>
      </c>
      <c r="AI596" s="132">
        <f t="shared" si="1189"/>
        <v>-1000</v>
      </c>
      <c r="AJ596" s="132">
        <f t="shared" si="1189"/>
        <v>-1000</v>
      </c>
      <c r="AK596" s="132">
        <f t="shared" si="1189"/>
        <v>-1000</v>
      </c>
      <c r="AL596" s="132">
        <f t="shared" si="1189"/>
        <v>-1000</v>
      </c>
      <c r="AM596" s="132">
        <f t="shared" si="1189"/>
        <v>-1000</v>
      </c>
      <c r="AN596" s="132">
        <f t="shared" si="1189"/>
        <v>-1000</v>
      </c>
      <c r="AO596" s="132">
        <f t="shared" si="1189"/>
        <v>-1000</v>
      </c>
      <c r="AP596" s="132">
        <f t="shared" si="1189"/>
        <v>-1000</v>
      </c>
      <c r="AQ596" s="132">
        <f t="shared" si="1189"/>
        <v>-1000</v>
      </c>
      <c r="AR596" s="132">
        <f t="shared" si="1189"/>
        <v>-1000</v>
      </c>
      <c r="AS596" s="132">
        <f t="shared" si="1189"/>
        <v>-1000</v>
      </c>
    </row>
    <row r="597">
      <c r="A597" s="132" t="s">
        <v>4099</v>
      </c>
      <c r="B597" s="132">
        <v>150.0</v>
      </c>
      <c r="C597" s="132">
        <v>0.0</v>
      </c>
      <c r="D597" s="132">
        <v>0.0</v>
      </c>
      <c r="E597" s="132">
        <v>0.0</v>
      </c>
      <c r="F597" s="132">
        <v>0.0</v>
      </c>
      <c r="G597" s="132">
        <v>150.0</v>
      </c>
      <c r="H597" s="132">
        <v>0.0</v>
      </c>
      <c r="I597" s="132">
        <v>0.0</v>
      </c>
      <c r="J597" s="132">
        <v>0.0</v>
      </c>
      <c r="K597" s="132">
        <v>0.0</v>
      </c>
      <c r="L597" s="132">
        <v>0.0</v>
      </c>
      <c r="M597" s="132">
        <v>0.0</v>
      </c>
      <c r="N597" s="132">
        <v>0.0</v>
      </c>
      <c r="O597" s="132">
        <v>0.0</v>
      </c>
      <c r="P597" s="132">
        <v>0.0</v>
      </c>
      <c r="Q597" s="132">
        <v>0.0</v>
      </c>
      <c r="R597" s="132">
        <v>0.0</v>
      </c>
      <c r="S597" s="132">
        <v>0.0</v>
      </c>
      <c r="T597" s="132">
        <v>0.0</v>
      </c>
      <c r="U597" s="132">
        <v>0.0</v>
      </c>
      <c r="V597" s="132">
        <v>0.0</v>
      </c>
      <c r="W597" s="132">
        <v>1.0</v>
      </c>
      <c r="Y597" s="132" t="s">
        <v>4099</v>
      </c>
      <c r="Z597" s="132">
        <f t="shared" ref="Z597:AC597" si="1190">C597-1000</f>
        <v>-1000</v>
      </c>
      <c r="AA597" s="132">
        <f t="shared" si="1190"/>
        <v>-1000</v>
      </c>
      <c r="AB597" s="132">
        <f t="shared" si="1190"/>
        <v>-1000</v>
      </c>
      <c r="AC597" s="132">
        <f t="shared" si="1190"/>
        <v>-1000</v>
      </c>
      <c r="AD597" s="132">
        <f t="shared" si="4"/>
        <v>-9850</v>
      </c>
      <c r="AE597" s="132">
        <f t="shared" ref="AE597:AS597" si="1191">H597-1000</f>
        <v>-1000</v>
      </c>
      <c r="AF597" s="132">
        <f t="shared" si="1191"/>
        <v>-1000</v>
      </c>
      <c r="AG597" s="132">
        <f t="shared" si="1191"/>
        <v>-1000</v>
      </c>
      <c r="AH597" s="132">
        <f t="shared" si="1191"/>
        <v>-1000</v>
      </c>
      <c r="AI597" s="132">
        <f t="shared" si="1191"/>
        <v>-1000</v>
      </c>
      <c r="AJ597" s="132">
        <f t="shared" si="1191"/>
        <v>-1000</v>
      </c>
      <c r="AK597" s="132">
        <f t="shared" si="1191"/>
        <v>-1000</v>
      </c>
      <c r="AL597" s="132">
        <f t="shared" si="1191"/>
        <v>-1000</v>
      </c>
      <c r="AM597" s="132">
        <f t="shared" si="1191"/>
        <v>-1000</v>
      </c>
      <c r="AN597" s="132">
        <f t="shared" si="1191"/>
        <v>-1000</v>
      </c>
      <c r="AO597" s="132">
        <f t="shared" si="1191"/>
        <v>-1000</v>
      </c>
      <c r="AP597" s="132">
        <f t="shared" si="1191"/>
        <v>-1000</v>
      </c>
      <c r="AQ597" s="132">
        <f t="shared" si="1191"/>
        <v>-1000</v>
      </c>
      <c r="AR597" s="132">
        <f t="shared" si="1191"/>
        <v>-1000</v>
      </c>
      <c r="AS597" s="132">
        <f t="shared" si="1191"/>
        <v>-1000</v>
      </c>
    </row>
    <row r="598">
      <c r="A598" s="132" t="s">
        <v>4100</v>
      </c>
      <c r="B598" s="132">
        <v>100.0</v>
      </c>
      <c r="C598" s="132">
        <v>0.0</v>
      </c>
      <c r="D598" s="132">
        <v>0.0</v>
      </c>
      <c r="E598" s="132">
        <v>0.0</v>
      </c>
      <c r="F598" s="132">
        <v>0.0</v>
      </c>
      <c r="G598" s="132">
        <v>50.0</v>
      </c>
      <c r="H598" s="132">
        <v>0.0</v>
      </c>
      <c r="I598" s="132">
        <v>50.0</v>
      </c>
      <c r="J598" s="132">
        <v>0.0</v>
      </c>
      <c r="K598" s="132">
        <v>0.0</v>
      </c>
      <c r="L598" s="132">
        <v>0.0</v>
      </c>
      <c r="M598" s="132">
        <v>0.0</v>
      </c>
      <c r="N598" s="132">
        <v>0.0</v>
      </c>
      <c r="O598" s="132">
        <v>0.0</v>
      </c>
      <c r="P598" s="132">
        <v>0.0</v>
      </c>
      <c r="Q598" s="132">
        <v>0.0</v>
      </c>
      <c r="R598" s="132">
        <v>0.0</v>
      </c>
      <c r="S598" s="132">
        <v>0.0</v>
      </c>
      <c r="T598" s="132">
        <v>0.0</v>
      </c>
      <c r="U598" s="132">
        <v>0.0</v>
      </c>
      <c r="V598" s="132">
        <v>0.0</v>
      </c>
      <c r="W598" s="132">
        <v>0.0</v>
      </c>
      <c r="Y598" s="132" t="s">
        <v>4100</v>
      </c>
      <c r="Z598" s="132">
        <f t="shared" ref="Z598:AC598" si="1192">C598-1000</f>
        <v>-1000</v>
      </c>
      <c r="AA598" s="132">
        <f t="shared" si="1192"/>
        <v>-1000</v>
      </c>
      <c r="AB598" s="132">
        <f t="shared" si="1192"/>
        <v>-1000</v>
      </c>
      <c r="AC598" s="132">
        <f t="shared" si="1192"/>
        <v>-1000</v>
      </c>
      <c r="AD598" s="132">
        <f t="shared" si="4"/>
        <v>-9950</v>
      </c>
      <c r="AE598" s="132">
        <f t="shared" ref="AE598:AS598" si="1193">H598-1000</f>
        <v>-1000</v>
      </c>
      <c r="AF598" s="132">
        <f t="shared" si="1193"/>
        <v>-950</v>
      </c>
      <c r="AG598" s="132">
        <f t="shared" si="1193"/>
        <v>-1000</v>
      </c>
      <c r="AH598" s="132">
        <f t="shared" si="1193"/>
        <v>-1000</v>
      </c>
      <c r="AI598" s="132">
        <f t="shared" si="1193"/>
        <v>-1000</v>
      </c>
      <c r="AJ598" s="132">
        <f t="shared" si="1193"/>
        <v>-1000</v>
      </c>
      <c r="AK598" s="132">
        <f t="shared" si="1193"/>
        <v>-1000</v>
      </c>
      <c r="AL598" s="132">
        <f t="shared" si="1193"/>
        <v>-1000</v>
      </c>
      <c r="AM598" s="132">
        <f t="shared" si="1193"/>
        <v>-1000</v>
      </c>
      <c r="AN598" s="132">
        <f t="shared" si="1193"/>
        <v>-1000</v>
      </c>
      <c r="AO598" s="132">
        <f t="shared" si="1193"/>
        <v>-1000</v>
      </c>
      <c r="AP598" s="132">
        <f t="shared" si="1193"/>
        <v>-1000</v>
      </c>
      <c r="AQ598" s="132">
        <f t="shared" si="1193"/>
        <v>-1000</v>
      </c>
      <c r="AR598" s="132">
        <f t="shared" si="1193"/>
        <v>-1000</v>
      </c>
      <c r="AS598" s="132">
        <f t="shared" si="1193"/>
        <v>-1000</v>
      </c>
    </row>
    <row r="599">
      <c r="A599" s="132" t="s">
        <v>4101</v>
      </c>
      <c r="B599" s="132">
        <v>200.0</v>
      </c>
      <c r="C599" s="132">
        <v>0.0</v>
      </c>
      <c r="D599" s="132">
        <v>0.0</v>
      </c>
      <c r="E599" s="132">
        <v>0.0</v>
      </c>
      <c r="F599" s="132">
        <v>0.0</v>
      </c>
      <c r="G599" s="132">
        <v>200.0</v>
      </c>
      <c r="H599" s="132">
        <v>0.0</v>
      </c>
      <c r="I599" s="132">
        <v>0.0</v>
      </c>
      <c r="J599" s="132">
        <v>0.0</v>
      </c>
      <c r="K599" s="132">
        <v>0.0</v>
      </c>
      <c r="L599" s="132">
        <v>0.0</v>
      </c>
      <c r="M599" s="132">
        <v>0.0</v>
      </c>
      <c r="N599" s="132">
        <v>0.0</v>
      </c>
      <c r="O599" s="132">
        <v>0.0</v>
      </c>
      <c r="P599" s="132">
        <v>0.0</v>
      </c>
      <c r="Q599" s="132">
        <v>0.0</v>
      </c>
      <c r="R599" s="132">
        <v>0.0</v>
      </c>
      <c r="S599" s="132">
        <v>0.0</v>
      </c>
      <c r="T599" s="132">
        <v>0.0</v>
      </c>
      <c r="U599" s="132">
        <v>0.0</v>
      </c>
      <c r="V599" s="132">
        <v>0.0</v>
      </c>
      <c r="W599" s="132">
        <v>0.0</v>
      </c>
      <c r="Y599" s="132" t="s">
        <v>4101</v>
      </c>
      <c r="Z599" s="132">
        <f t="shared" ref="Z599:AC599" si="1194">C599-1000</f>
        <v>-1000</v>
      </c>
      <c r="AA599" s="132">
        <f t="shared" si="1194"/>
        <v>-1000</v>
      </c>
      <c r="AB599" s="132">
        <f t="shared" si="1194"/>
        <v>-1000</v>
      </c>
      <c r="AC599" s="132">
        <f t="shared" si="1194"/>
        <v>-1000</v>
      </c>
      <c r="AD599" s="132">
        <f t="shared" si="4"/>
        <v>-9800</v>
      </c>
      <c r="AE599" s="132">
        <f t="shared" ref="AE599:AS599" si="1195">H599-1000</f>
        <v>-1000</v>
      </c>
      <c r="AF599" s="132">
        <f t="shared" si="1195"/>
        <v>-1000</v>
      </c>
      <c r="AG599" s="132">
        <f t="shared" si="1195"/>
        <v>-1000</v>
      </c>
      <c r="AH599" s="132">
        <f t="shared" si="1195"/>
        <v>-1000</v>
      </c>
      <c r="AI599" s="132">
        <f t="shared" si="1195"/>
        <v>-1000</v>
      </c>
      <c r="AJ599" s="132">
        <f t="shared" si="1195"/>
        <v>-1000</v>
      </c>
      <c r="AK599" s="132">
        <f t="shared" si="1195"/>
        <v>-1000</v>
      </c>
      <c r="AL599" s="132">
        <f t="shared" si="1195"/>
        <v>-1000</v>
      </c>
      <c r="AM599" s="132">
        <f t="shared" si="1195"/>
        <v>-1000</v>
      </c>
      <c r="AN599" s="132">
        <f t="shared" si="1195"/>
        <v>-1000</v>
      </c>
      <c r="AO599" s="132">
        <f t="shared" si="1195"/>
        <v>-1000</v>
      </c>
      <c r="AP599" s="132">
        <f t="shared" si="1195"/>
        <v>-1000</v>
      </c>
      <c r="AQ599" s="132">
        <f t="shared" si="1195"/>
        <v>-1000</v>
      </c>
      <c r="AR599" s="132">
        <f t="shared" si="1195"/>
        <v>-1000</v>
      </c>
      <c r="AS599" s="132">
        <f t="shared" si="1195"/>
        <v>-1000</v>
      </c>
    </row>
    <row r="600">
      <c r="A600" s="132" t="s">
        <v>4102</v>
      </c>
      <c r="B600" s="132">
        <v>2500.0</v>
      </c>
      <c r="C600" s="132">
        <v>0.0</v>
      </c>
      <c r="D600" s="132">
        <v>0.0</v>
      </c>
      <c r="E600" s="132">
        <v>0.0</v>
      </c>
      <c r="F600" s="132">
        <v>0.0</v>
      </c>
      <c r="G600" s="132">
        <v>2500.0</v>
      </c>
      <c r="H600" s="132">
        <v>0.0</v>
      </c>
      <c r="I600" s="132">
        <v>0.0</v>
      </c>
      <c r="J600" s="132">
        <v>0.0</v>
      </c>
      <c r="K600" s="132">
        <v>0.0</v>
      </c>
      <c r="L600" s="132">
        <v>0.0</v>
      </c>
      <c r="M600" s="132">
        <v>0.0</v>
      </c>
      <c r="N600" s="132">
        <v>0.0</v>
      </c>
      <c r="O600" s="132">
        <v>0.0</v>
      </c>
      <c r="P600" s="132">
        <v>0.0</v>
      </c>
      <c r="Q600" s="132">
        <v>0.0</v>
      </c>
      <c r="R600" s="132">
        <v>0.0</v>
      </c>
      <c r="S600" s="132">
        <v>0.0</v>
      </c>
      <c r="T600" s="132">
        <v>0.0</v>
      </c>
      <c r="U600" s="132">
        <v>0.0</v>
      </c>
      <c r="V600" s="132">
        <v>0.0</v>
      </c>
      <c r="W600" s="132">
        <v>0.0</v>
      </c>
      <c r="Y600" s="132" t="s">
        <v>4102</v>
      </c>
      <c r="Z600" s="132">
        <f t="shared" ref="Z600:AC600" si="1196">C600-1000</f>
        <v>-1000</v>
      </c>
      <c r="AA600" s="132">
        <f t="shared" si="1196"/>
        <v>-1000</v>
      </c>
      <c r="AB600" s="132">
        <f t="shared" si="1196"/>
        <v>-1000</v>
      </c>
      <c r="AC600" s="132">
        <f t="shared" si="1196"/>
        <v>-1000</v>
      </c>
      <c r="AD600" s="132">
        <f t="shared" si="4"/>
        <v>-7500</v>
      </c>
      <c r="AE600" s="132">
        <f t="shared" ref="AE600:AS600" si="1197">H600-1000</f>
        <v>-1000</v>
      </c>
      <c r="AF600" s="132">
        <f t="shared" si="1197"/>
        <v>-1000</v>
      </c>
      <c r="AG600" s="132">
        <f t="shared" si="1197"/>
        <v>-1000</v>
      </c>
      <c r="AH600" s="132">
        <f t="shared" si="1197"/>
        <v>-1000</v>
      </c>
      <c r="AI600" s="132">
        <f t="shared" si="1197"/>
        <v>-1000</v>
      </c>
      <c r="AJ600" s="132">
        <f t="shared" si="1197"/>
        <v>-1000</v>
      </c>
      <c r="AK600" s="132">
        <f t="shared" si="1197"/>
        <v>-1000</v>
      </c>
      <c r="AL600" s="132">
        <f t="shared" si="1197"/>
        <v>-1000</v>
      </c>
      <c r="AM600" s="132">
        <f t="shared" si="1197"/>
        <v>-1000</v>
      </c>
      <c r="AN600" s="132">
        <f t="shared" si="1197"/>
        <v>-1000</v>
      </c>
      <c r="AO600" s="132">
        <f t="shared" si="1197"/>
        <v>-1000</v>
      </c>
      <c r="AP600" s="132">
        <f t="shared" si="1197"/>
        <v>-1000</v>
      </c>
      <c r="AQ600" s="132">
        <f t="shared" si="1197"/>
        <v>-1000</v>
      </c>
      <c r="AR600" s="132">
        <f t="shared" si="1197"/>
        <v>-1000</v>
      </c>
      <c r="AS600" s="132">
        <f t="shared" si="1197"/>
        <v>-1000</v>
      </c>
    </row>
    <row r="601">
      <c r="A601" s="132" t="s">
        <v>4103</v>
      </c>
      <c r="B601" s="132">
        <v>1050.0</v>
      </c>
      <c r="C601" s="132">
        <v>0.0</v>
      </c>
      <c r="D601" s="132">
        <v>0.0</v>
      </c>
      <c r="E601" s="132">
        <v>0.0</v>
      </c>
      <c r="F601" s="132">
        <v>0.0</v>
      </c>
      <c r="G601" s="132">
        <v>1050.0</v>
      </c>
      <c r="H601" s="132">
        <v>0.0</v>
      </c>
      <c r="I601" s="132">
        <v>0.0</v>
      </c>
      <c r="J601" s="132">
        <v>0.0</v>
      </c>
      <c r="K601" s="132">
        <v>0.0</v>
      </c>
      <c r="L601" s="132">
        <v>0.0</v>
      </c>
      <c r="M601" s="132">
        <v>0.0</v>
      </c>
      <c r="N601" s="132">
        <v>0.0</v>
      </c>
      <c r="O601" s="132">
        <v>0.0</v>
      </c>
      <c r="P601" s="132">
        <v>0.0</v>
      </c>
      <c r="Q601" s="132">
        <v>0.0</v>
      </c>
      <c r="R601" s="132">
        <v>0.0</v>
      </c>
      <c r="S601" s="132">
        <v>0.0</v>
      </c>
      <c r="T601" s="132">
        <v>0.0</v>
      </c>
      <c r="U601" s="132">
        <v>0.0</v>
      </c>
      <c r="V601" s="132">
        <v>0.0</v>
      </c>
      <c r="W601" s="132">
        <v>1.0</v>
      </c>
      <c r="Y601" s="132" t="s">
        <v>4103</v>
      </c>
      <c r="Z601" s="132">
        <f t="shared" ref="Z601:AC601" si="1198">C601-1000</f>
        <v>-1000</v>
      </c>
      <c r="AA601" s="132">
        <f t="shared" si="1198"/>
        <v>-1000</v>
      </c>
      <c r="AB601" s="132">
        <f t="shared" si="1198"/>
        <v>-1000</v>
      </c>
      <c r="AC601" s="132">
        <f t="shared" si="1198"/>
        <v>-1000</v>
      </c>
      <c r="AD601" s="132">
        <f t="shared" si="4"/>
        <v>-8950</v>
      </c>
      <c r="AE601" s="132">
        <f t="shared" ref="AE601:AS601" si="1199">H601-1000</f>
        <v>-1000</v>
      </c>
      <c r="AF601" s="132">
        <f t="shared" si="1199"/>
        <v>-1000</v>
      </c>
      <c r="AG601" s="132">
        <f t="shared" si="1199"/>
        <v>-1000</v>
      </c>
      <c r="AH601" s="132">
        <f t="shared" si="1199"/>
        <v>-1000</v>
      </c>
      <c r="AI601" s="132">
        <f t="shared" si="1199"/>
        <v>-1000</v>
      </c>
      <c r="AJ601" s="132">
        <f t="shared" si="1199"/>
        <v>-1000</v>
      </c>
      <c r="AK601" s="132">
        <f t="shared" si="1199"/>
        <v>-1000</v>
      </c>
      <c r="AL601" s="132">
        <f t="shared" si="1199"/>
        <v>-1000</v>
      </c>
      <c r="AM601" s="132">
        <f t="shared" si="1199"/>
        <v>-1000</v>
      </c>
      <c r="AN601" s="132">
        <f t="shared" si="1199"/>
        <v>-1000</v>
      </c>
      <c r="AO601" s="132">
        <f t="shared" si="1199"/>
        <v>-1000</v>
      </c>
      <c r="AP601" s="132">
        <f t="shared" si="1199"/>
        <v>-1000</v>
      </c>
      <c r="AQ601" s="132">
        <f t="shared" si="1199"/>
        <v>-1000</v>
      </c>
      <c r="AR601" s="132">
        <f t="shared" si="1199"/>
        <v>-1000</v>
      </c>
      <c r="AS601" s="132">
        <f t="shared" si="1199"/>
        <v>-1000</v>
      </c>
    </row>
    <row r="602">
      <c r="A602" s="132" t="s">
        <v>4104</v>
      </c>
      <c r="B602" s="132">
        <v>50.0</v>
      </c>
      <c r="C602" s="132">
        <v>0.0</v>
      </c>
      <c r="D602" s="132">
        <v>0.0</v>
      </c>
      <c r="E602" s="132">
        <v>0.0</v>
      </c>
      <c r="F602" s="132">
        <v>0.0</v>
      </c>
      <c r="G602" s="132">
        <v>50.0</v>
      </c>
      <c r="H602" s="132">
        <v>0.0</v>
      </c>
      <c r="I602" s="132">
        <v>0.0</v>
      </c>
      <c r="J602" s="132">
        <v>0.0</v>
      </c>
      <c r="K602" s="132">
        <v>0.0</v>
      </c>
      <c r="L602" s="132">
        <v>0.0</v>
      </c>
      <c r="M602" s="132">
        <v>0.0</v>
      </c>
      <c r="N602" s="132">
        <v>0.0</v>
      </c>
      <c r="O602" s="132">
        <v>0.0</v>
      </c>
      <c r="P602" s="132">
        <v>0.0</v>
      </c>
      <c r="Q602" s="132">
        <v>0.0</v>
      </c>
      <c r="R602" s="132">
        <v>0.0</v>
      </c>
      <c r="S602" s="132">
        <v>0.0</v>
      </c>
      <c r="T602" s="132">
        <v>0.0</v>
      </c>
      <c r="U602" s="132">
        <v>0.0</v>
      </c>
      <c r="V602" s="132">
        <v>0.0</v>
      </c>
      <c r="W602" s="132">
        <v>0.0</v>
      </c>
      <c r="Y602" s="132" t="s">
        <v>4104</v>
      </c>
      <c r="Z602" s="132">
        <f t="shared" ref="Z602:AC602" si="1200">C602-1000</f>
        <v>-1000</v>
      </c>
      <c r="AA602" s="132">
        <f t="shared" si="1200"/>
        <v>-1000</v>
      </c>
      <c r="AB602" s="132">
        <f t="shared" si="1200"/>
        <v>-1000</v>
      </c>
      <c r="AC602" s="132">
        <f t="shared" si="1200"/>
        <v>-1000</v>
      </c>
      <c r="AD602" s="132">
        <f t="shared" si="4"/>
        <v>-9950</v>
      </c>
      <c r="AE602" s="132">
        <f t="shared" ref="AE602:AS602" si="1201">H602-1000</f>
        <v>-1000</v>
      </c>
      <c r="AF602" s="132">
        <f t="shared" si="1201"/>
        <v>-1000</v>
      </c>
      <c r="AG602" s="132">
        <f t="shared" si="1201"/>
        <v>-1000</v>
      </c>
      <c r="AH602" s="132">
        <f t="shared" si="1201"/>
        <v>-1000</v>
      </c>
      <c r="AI602" s="132">
        <f t="shared" si="1201"/>
        <v>-1000</v>
      </c>
      <c r="AJ602" s="132">
        <f t="shared" si="1201"/>
        <v>-1000</v>
      </c>
      <c r="AK602" s="132">
        <f t="shared" si="1201"/>
        <v>-1000</v>
      </c>
      <c r="AL602" s="132">
        <f t="shared" si="1201"/>
        <v>-1000</v>
      </c>
      <c r="AM602" s="132">
        <f t="shared" si="1201"/>
        <v>-1000</v>
      </c>
      <c r="AN602" s="132">
        <f t="shared" si="1201"/>
        <v>-1000</v>
      </c>
      <c r="AO602" s="132">
        <f t="shared" si="1201"/>
        <v>-1000</v>
      </c>
      <c r="AP602" s="132">
        <f t="shared" si="1201"/>
        <v>-1000</v>
      </c>
      <c r="AQ602" s="132">
        <f t="shared" si="1201"/>
        <v>-1000</v>
      </c>
      <c r="AR602" s="132">
        <f t="shared" si="1201"/>
        <v>-1000</v>
      </c>
      <c r="AS602" s="132">
        <f t="shared" si="1201"/>
        <v>-1000</v>
      </c>
    </row>
    <row r="603">
      <c r="A603" s="132" t="s">
        <v>4105</v>
      </c>
      <c r="B603" s="132">
        <v>500.0</v>
      </c>
      <c r="C603" s="132">
        <v>0.0</v>
      </c>
      <c r="D603" s="132">
        <v>0.0</v>
      </c>
      <c r="E603" s="132">
        <v>0.0</v>
      </c>
      <c r="F603" s="132">
        <v>0.0</v>
      </c>
      <c r="G603" s="132">
        <v>500.0</v>
      </c>
      <c r="H603" s="132">
        <v>0.0</v>
      </c>
      <c r="I603" s="132">
        <v>0.0</v>
      </c>
      <c r="J603" s="132">
        <v>0.0</v>
      </c>
      <c r="K603" s="132">
        <v>0.0</v>
      </c>
      <c r="L603" s="132">
        <v>0.0</v>
      </c>
      <c r="M603" s="132">
        <v>0.0</v>
      </c>
      <c r="N603" s="132">
        <v>0.0</v>
      </c>
      <c r="O603" s="132">
        <v>0.0</v>
      </c>
      <c r="P603" s="132">
        <v>0.0</v>
      </c>
      <c r="Q603" s="132">
        <v>0.0</v>
      </c>
      <c r="R603" s="132">
        <v>0.0</v>
      </c>
      <c r="S603" s="132">
        <v>0.0</v>
      </c>
      <c r="T603" s="132">
        <v>0.0</v>
      </c>
      <c r="U603" s="132">
        <v>0.0</v>
      </c>
      <c r="V603" s="132">
        <v>0.0</v>
      </c>
      <c r="W603" s="132">
        <v>0.0</v>
      </c>
      <c r="Y603" s="132" t="s">
        <v>4105</v>
      </c>
      <c r="Z603" s="132">
        <f t="shared" ref="Z603:AC603" si="1202">C603-1000</f>
        <v>-1000</v>
      </c>
      <c r="AA603" s="132">
        <f t="shared" si="1202"/>
        <v>-1000</v>
      </c>
      <c r="AB603" s="132">
        <f t="shared" si="1202"/>
        <v>-1000</v>
      </c>
      <c r="AC603" s="132">
        <f t="shared" si="1202"/>
        <v>-1000</v>
      </c>
      <c r="AD603" s="132">
        <f t="shared" si="4"/>
        <v>-9500</v>
      </c>
      <c r="AE603" s="132">
        <f t="shared" ref="AE603:AS603" si="1203">H603-1000</f>
        <v>-1000</v>
      </c>
      <c r="AF603" s="132">
        <f t="shared" si="1203"/>
        <v>-1000</v>
      </c>
      <c r="AG603" s="132">
        <f t="shared" si="1203"/>
        <v>-1000</v>
      </c>
      <c r="AH603" s="132">
        <f t="shared" si="1203"/>
        <v>-1000</v>
      </c>
      <c r="AI603" s="132">
        <f t="shared" si="1203"/>
        <v>-1000</v>
      </c>
      <c r="AJ603" s="132">
        <f t="shared" si="1203"/>
        <v>-1000</v>
      </c>
      <c r="AK603" s="132">
        <f t="shared" si="1203"/>
        <v>-1000</v>
      </c>
      <c r="AL603" s="132">
        <f t="shared" si="1203"/>
        <v>-1000</v>
      </c>
      <c r="AM603" s="132">
        <f t="shared" si="1203"/>
        <v>-1000</v>
      </c>
      <c r="AN603" s="132">
        <f t="shared" si="1203"/>
        <v>-1000</v>
      </c>
      <c r="AO603" s="132">
        <f t="shared" si="1203"/>
        <v>-1000</v>
      </c>
      <c r="AP603" s="132">
        <f t="shared" si="1203"/>
        <v>-1000</v>
      </c>
      <c r="AQ603" s="132">
        <f t="shared" si="1203"/>
        <v>-1000</v>
      </c>
      <c r="AR603" s="132">
        <f t="shared" si="1203"/>
        <v>-1000</v>
      </c>
      <c r="AS603" s="132">
        <f t="shared" si="1203"/>
        <v>-1000</v>
      </c>
    </row>
    <row r="604">
      <c r="A604" s="132" t="s">
        <v>4106</v>
      </c>
      <c r="B604" s="132">
        <v>150.0</v>
      </c>
      <c r="C604" s="132">
        <v>0.0</v>
      </c>
      <c r="D604" s="132">
        <v>0.0</v>
      </c>
      <c r="E604" s="132">
        <v>0.0</v>
      </c>
      <c r="F604" s="132">
        <v>0.0</v>
      </c>
      <c r="G604" s="132">
        <v>150.0</v>
      </c>
      <c r="H604" s="132">
        <v>0.0</v>
      </c>
      <c r="I604" s="132">
        <v>0.0</v>
      </c>
      <c r="J604" s="132">
        <v>0.0</v>
      </c>
      <c r="K604" s="132">
        <v>0.0</v>
      </c>
      <c r="L604" s="132">
        <v>0.0</v>
      </c>
      <c r="M604" s="132">
        <v>0.0</v>
      </c>
      <c r="N604" s="132">
        <v>0.0</v>
      </c>
      <c r="O604" s="132">
        <v>0.0</v>
      </c>
      <c r="P604" s="132">
        <v>0.0</v>
      </c>
      <c r="Q604" s="132">
        <v>0.0</v>
      </c>
      <c r="R604" s="132">
        <v>0.0</v>
      </c>
      <c r="S604" s="132">
        <v>0.0</v>
      </c>
      <c r="T604" s="132">
        <v>0.0</v>
      </c>
      <c r="U604" s="132">
        <v>0.0</v>
      </c>
      <c r="V604" s="132">
        <v>0.0</v>
      </c>
      <c r="W604" s="132">
        <v>0.0</v>
      </c>
      <c r="Y604" s="132" t="s">
        <v>4106</v>
      </c>
      <c r="Z604" s="132">
        <f t="shared" ref="Z604:AC604" si="1204">C604-1000</f>
        <v>-1000</v>
      </c>
      <c r="AA604" s="132">
        <f t="shared" si="1204"/>
        <v>-1000</v>
      </c>
      <c r="AB604" s="132">
        <f t="shared" si="1204"/>
        <v>-1000</v>
      </c>
      <c r="AC604" s="132">
        <f t="shared" si="1204"/>
        <v>-1000</v>
      </c>
      <c r="AD604" s="132">
        <f t="shared" si="4"/>
        <v>-9850</v>
      </c>
      <c r="AE604" s="132">
        <f t="shared" ref="AE604:AS604" si="1205">H604-1000</f>
        <v>-1000</v>
      </c>
      <c r="AF604" s="132">
        <f t="shared" si="1205"/>
        <v>-1000</v>
      </c>
      <c r="AG604" s="132">
        <f t="shared" si="1205"/>
        <v>-1000</v>
      </c>
      <c r="AH604" s="132">
        <f t="shared" si="1205"/>
        <v>-1000</v>
      </c>
      <c r="AI604" s="132">
        <f t="shared" si="1205"/>
        <v>-1000</v>
      </c>
      <c r="AJ604" s="132">
        <f t="shared" si="1205"/>
        <v>-1000</v>
      </c>
      <c r="AK604" s="132">
        <f t="shared" si="1205"/>
        <v>-1000</v>
      </c>
      <c r="AL604" s="132">
        <f t="shared" si="1205"/>
        <v>-1000</v>
      </c>
      <c r="AM604" s="132">
        <f t="shared" si="1205"/>
        <v>-1000</v>
      </c>
      <c r="AN604" s="132">
        <f t="shared" si="1205"/>
        <v>-1000</v>
      </c>
      <c r="AO604" s="132">
        <f t="shared" si="1205"/>
        <v>-1000</v>
      </c>
      <c r="AP604" s="132">
        <f t="shared" si="1205"/>
        <v>-1000</v>
      </c>
      <c r="AQ604" s="132">
        <f t="shared" si="1205"/>
        <v>-1000</v>
      </c>
      <c r="AR604" s="132">
        <f t="shared" si="1205"/>
        <v>-1000</v>
      </c>
      <c r="AS604" s="132">
        <f t="shared" si="1205"/>
        <v>-1000</v>
      </c>
    </row>
    <row r="605">
      <c r="A605" s="132" t="s">
        <v>4107</v>
      </c>
      <c r="B605" s="132">
        <v>100.0</v>
      </c>
      <c r="C605" s="132">
        <v>0.0</v>
      </c>
      <c r="D605" s="132">
        <v>0.0</v>
      </c>
      <c r="E605" s="132">
        <v>0.0</v>
      </c>
      <c r="F605" s="132">
        <v>0.0</v>
      </c>
      <c r="G605" s="132">
        <v>100.0</v>
      </c>
      <c r="H605" s="132">
        <v>0.0</v>
      </c>
      <c r="I605" s="132">
        <v>0.0</v>
      </c>
      <c r="J605" s="132">
        <v>0.0</v>
      </c>
      <c r="K605" s="132">
        <v>0.0</v>
      </c>
      <c r="L605" s="132">
        <v>0.0</v>
      </c>
      <c r="M605" s="132">
        <v>0.0</v>
      </c>
      <c r="N605" s="132">
        <v>0.0</v>
      </c>
      <c r="O605" s="132">
        <v>0.0</v>
      </c>
      <c r="P605" s="132">
        <v>0.0</v>
      </c>
      <c r="Q605" s="132">
        <v>0.0</v>
      </c>
      <c r="R605" s="132">
        <v>0.0</v>
      </c>
      <c r="S605" s="132">
        <v>0.0</v>
      </c>
      <c r="T605" s="132">
        <v>0.0</v>
      </c>
      <c r="U605" s="132">
        <v>0.0</v>
      </c>
      <c r="V605" s="132">
        <v>0.0</v>
      </c>
      <c r="W605" s="132">
        <v>0.0</v>
      </c>
      <c r="Y605" s="132" t="s">
        <v>4107</v>
      </c>
      <c r="Z605" s="132">
        <f t="shared" ref="Z605:AC605" si="1206">C605-1000</f>
        <v>-1000</v>
      </c>
      <c r="AA605" s="132">
        <f t="shared" si="1206"/>
        <v>-1000</v>
      </c>
      <c r="AB605" s="132">
        <f t="shared" si="1206"/>
        <v>-1000</v>
      </c>
      <c r="AC605" s="132">
        <f t="shared" si="1206"/>
        <v>-1000</v>
      </c>
      <c r="AD605" s="132">
        <f t="shared" si="4"/>
        <v>-9900</v>
      </c>
      <c r="AE605" s="132">
        <f t="shared" ref="AE605:AS605" si="1207">H605-1000</f>
        <v>-1000</v>
      </c>
      <c r="AF605" s="132">
        <f t="shared" si="1207"/>
        <v>-1000</v>
      </c>
      <c r="AG605" s="132">
        <f t="shared" si="1207"/>
        <v>-1000</v>
      </c>
      <c r="AH605" s="132">
        <f t="shared" si="1207"/>
        <v>-1000</v>
      </c>
      <c r="AI605" s="132">
        <f t="shared" si="1207"/>
        <v>-1000</v>
      </c>
      <c r="AJ605" s="132">
        <f t="shared" si="1207"/>
        <v>-1000</v>
      </c>
      <c r="AK605" s="132">
        <f t="shared" si="1207"/>
        <v>-1000</v>
      </c>
      <c r="AL605" s="132">
        <f t="shared" si="1207"/>
        <v>-1000</v>
      </c>
      <c r="AM605" s="132">
        <f t="shared" si="1207"/>
        <v>-1000</v>
      </c>
      <c r="AN605" s="132">
        <f t="shared" si="1207"/>
        <v>-1000</v>
      </c>
      <c r="AO605" s="132">
        <f t="shared" si="1207"/>
        <v>-1000</v>
      </c>
      <c r="AP605" s="132">
        <f t="shared" si="1207"/>
        <v>-1000</v>
      </c>
      <c r="AQ605" s="132">
        <f t="shared" si="1207"/>
        <v>-1000</v>
      </c>
      <c r="AR605" s="132">
        <f t="shared" si="1207"/>
        <v>-1000</v>
      </c>
      <c r="AS605" s="132">
        <f t="shared" si="1207"/>
        <v>-1000</v>
      </c>
    </row>
    <row r="606">
      <c r="A606" s="132" t="s">
        <v>4108</v>
      </c>
      <c r="B606" s="132">
        <v>200.0</v>
      </c>
      <c r="C606" s="132">
        <v>0.0</v>
      </c>
      <c r="D606" s="132">
        <v>0.0</v>
      </c>
      <c r="E606" s="132">
        <v>0.0</v>
      </c>
      <c r="F606" s="132">
        <v>0.0</v>
      </c>
      <c r="G606" s="132">
        <v>200.0</v>
      </c>
      <c r="H606" s="132">
        <v>0.0</v>
      </c>
      <c r="I606" s="132">
        <v>0.0</v>
      </c>
      <c r="J606" s="132">
        <v>0.0</v>
      </c>
      <c r="K606" s="132">
        <v>0.0</v>
      </c>
      <c r="L606" s="132">
        <v>0.0</v>
      </c>
      <c r="M606" s="132">
        <v>0.0</v>
      </c>
      <c r="N606" s="132">
        <v>0.0</v>
      </c>
      <c r="O606" s="132">
        <v>0.0</v>
      </c>
      <c r="P606" s="132">
        <v>0.0</v>
      </c>
      <c r="Q606" s="132">
        <v>0.0</v>
      </c>
      <c r="R606" s="132">
        <v>0.0</v>
      </c>
      <c r="S606" s="132">
        <v>0.0</v>
      </c>
      <c r="T606" s="132">
        <v>0.0</v>
      </c>
      <c r="U606" s="132">
        <v>0.0</v>
      </c>
      <c r="V606" s="132">
        <v>0.0</v>
      </c>
      <c r="W606" s="132">
        <v>0.0</v>
      </c>
      <c r="Y606" s="132" t="s">
        <v>4108</v>
      </c>
      <c r="Z606" s="132">
        <f t="shared" ref="Z606:AC606" si="1208">C606-1000</f>
        <v>-1000</v>
      </c>
      <c r="AA606" s="132">
        <f t="shared" si="1208"/>
        <v>-1000</v>
      </c>
      <c r="AB606" s="132">
        <f t="shared" si="1208"/>
        <v>-1000</v>
      </c>
      <c r="AC606" s="132">
        <f t="shared" si="1208"/>
        <v>-1000</v>
      </c>
      <c r="AD606" s="132">
        <f t="shared" si="4"/>
        <v>-9800</v>
      </c>
      <c r="AE606" s="132">
        <f t="shared" ref="AE606:AS606" si="1209">H606-1000</f>
        <v>-1000</v>
      </c>
      <c r="AF606" s="132">
        <f t="shared" si="1209"/>
        <v>-1000</v>
      </c>
      <c r="AG606" s="132">
        <f t="shared" si="1209"/>
        <v>-1000</v>
      </c>
      <c r="AH606" s="132">
        <f t="shared" si="1209"/>
        <v>-1000</v>
      </c>
      <c r="AI606" s="132">
        <f t="shared" si="1209"/>
        <v>-1000</v>
      </c>
      <c r="AJ606" s="132">
        <f t="shared" si="1209"/>
        <v>-1000</v>
      </c>
      <c r="AK606" s="132">
        <f t="shared" si="1209"/>
        <v>-1000</v>
      </c>
      <c r="AL606" s="132">
        <f t="shared" si="1209"/>
        <v>-1000</v>
      </c>
      <c r="AM606" s="132">
        <f t="shared" si="1209"/>
        <v>-1000</v>
      </c>
      <c r="AN606" s="132">
        <f t="shared" si="1209"/>
        <v>-1000</v>
      </c>
      <c r="AO606" s="132">
        <f t="shared" si="1209"/>
        <v>-1000</v>
      </c>
      <c r="AP606" s="132">
        <f t="shared" si="1209"/>
        <v>-1000</v>
      </c>
      <c r="AQ606" s="132">
        <f t="shared" si="1209"/>
        <v>-1000</v>
      </c>
      <c r="AR606" s="132">
        <f t="shared" si="1209"/>
        <v>-1000</v>
      </c>
      <c r="AS606" s="132">
        <f t="shared" si="1209"/>
        <v>-1000</v>
      </c>
    </row>
    <row r="607">
      <c r="A607" s="132" t="s">
        <v>4109</v>
      </c>
      <c r="B607" s="132">
        <v>50.0</v>
      </c>
      <c r="C607" s="132">
        <v>0.0</v>
      </c>
      <c r="D607" s="132">
        <v>0.0</v>
      </c>
      <c r="E607" s="132">
        <v>0.0</v>
      </c>
      <c r="F607" s="132">
        <v>0.0</v>
      </c>
      <c r="G607" s="132">
        <v>50.0</v>
      </c>
      <c r="H607" s="132">
        <v>0.0</v>
      </c>
      <c r="I607" s="132">
        <v>0.0</v>
      </c>
      <c r="J607" s="132">
        <v>0.0</v>
      </c>
      <c r="K607" s="132">
        <v>0.0</v>
      </c>
      <c r="L607" s="132">
        <v>0.0</v>
      </c>
      <c r="M607" s="132">
        <v>0.0</v>
      </c>
      <c r="N607" s="132">
        <v>0.0</v>
      </c>
      <c r="O607" s="132">
        <v>0.0</v>
      </c>
      <c r="P607" s="132">
        <v>0.0</v>
      </c>
      <c r="Q607" s="132">
        <v>0.0</v>
      </c>
      <c r="R607" s="132">
        <v>0.0</v>
      </c>
      <c r="S607" s="132">
        <v>0.0</v>
      </c>
      <c r="T607" s="132">
        <v>0.0</v>
      </c>
      <c r="U607" s="132">
        <v>0.0</v>
      </c>
      <c r="V607" s="132">
        <v>0.0</v>
      </c>
      <c r="W607" s="132">
        <v>0.0</v>
      </c>
      <c r="Y607" s="132" t="s">
        <v>4109</v>
      </c>
      <c r="Z607" s="132">
        <f t="shared" ref="Z607:AC607" si="1210">C607-1000</f>
        <v>-1000</v>
      </c>
      <c r="AA607" s="132">
        <f t="shared" si="1210"/>
        <v>-1000</v>
      </c>
      <c r="AB607" s="132">
        <f t="shared" si="1210"/>
        <v>-1000</v>
      </c>
      <c r="AC607" s="132">
        <f t="shared" si="1210"/>
        <v>-1000</v>
      </c>
      <c r="AD607" s="132">
        <f t="shared" si="4"/>
        <v>-9950</v>
      </c>
      <c r="AE607" s="132">
        <f t="shared" ref="AE607:AS607" si="1211">H607-1000</f>
        <v>-1000</v>
      </c>
      <c r="AF607" s="132">
        <f t="shared" si="1211"/>
        <v>-1000</v>
      </c>
      <c r="AG607" s="132">
        <f t="shared" si="1211"/>
        <v>-1000</v>
      </c>
      <c r="AH607" s="132">
        <f t="shared" si="1211"/>
        <v>-1000</v>
      </c>
      <c r="AI607" s="132">
        <f t="shared" si="1211"/>
        <v>-1000</v>
      </c>
      <c r="AJ607" s="132">
        <f t="shared" si="1211"/>
        <v>-1000</v>
      </c>
      <c r="AK607" s="132">
        <f t="shared" si="1211"/>
        <v>-1000</v>
      </c>
      <c r="AL607" s="132">
        <f t="shared" si="1211"/>
        <v>-1000</v>
      </c>
      <c r="AM607" s="132">
        <f t="shared" si="1211"/>
        <v>-1000</v>
      </c>
      <c r="AN607" s="132">
        <f t="shared" si="1211"/>
        <v>-1000</v>
      </c>
      <c r="AO607" s="132">
        <f t="shared" si="1211"/>
        <v>-1000</v>
      </c>
      <c r="AP607" s="132">
        <f t="shared" si="1211"/>
        <v>-1000</v>
      </c>
      <c r="AQ607" s="132">
        <f t="shared" si="1211"/>
        <v>-1000</v>
      </c>
      <c r="AR607" s="132">
        <f t="shared" si="1211"/>
        <v>-1000</v>
      </c>
      <c r="AS607" s="132">
        <f t="shared" si="1211"/>
        <v>-1000</v>
      </c>
    </row>
    <row r="608">
      <c r="A608" s="132" t="s">
        <v>4110</v>
      </c>
      <c r="B608" s="132">
        <v>100.0</v>
      </c>
      <c r="C608" s="132">
        <v>0.0</v>
      </c>
      <c r="D608" s="132">
        <v>0.0</v>
      </c>
      <c r="E608" s="132">
        <v>0.0</v>
      </c>
      <c r="F608" s="132">
        <v>0.0</v>
      </c>
      <c r="G608" s="132">
        <v>100.0</v>
      </c>
      <c r="H608" s="132">
        <v>0.0</v>
      </c>
      <c r="I608" s="132">
        <v>0.0</v>
      </c>
      <c r="J608" s="132">
        <v>0.0</v>
      </c>
      <c r="K608" s="132">
        <v>0.0</v>
      </c>
      <c r="L608" s="132">
        <v>0.0</v>
      </c>
      <c r="M608" s="132">
        <v>0.0</v>
      </c>
      <c r="N608" s="132">
        <v>0.0</v>
      </c>
      <c r="O608" s="132">
        <v>0.0</v>
      </c>
      <c r="P608" s="132">
        <v>0.0</v>
      </c>
      <c r="Q608" s="132">
        <v>0.0</v>
      </c>
      <c r="R608" s="132">
        <v>0.0</v>
      </c>
      <c r="S608" s="132">
        <v>0.0</v>
      </c>
      <c r="T608" s="132">
        <v>0.0</v>
      </c>
      <c r="U608" s="132">
        <v>0.0</v>
      </c>
      <c r="V608" s="132">
        <v>0.0</v>
      </c>
      <c r="W608" s="132">
        <v>0.0</v>
      </c>
      <c r="Y608" s="132" t="s">
        <v>4110</v>
      </c>
      <c r="Z608" s="132">
        <f t="shared" ref="Z608:AC608" si="1212">C608-1000</f>
        <v>-1000</v>
      </c>
      <c r="AA608" s="132">
        <f t="shared" si="1212"/>
        <v>-1000</v>
      </c>
      <c r="AB608" s="132">
        <f t="shared" si="1212"/>
        <v>-1000</v>
      </c>
      <c r="AC608" s="132">
        <f t="shared" si="1212"/>
        <v>-1000</v>
      </c>
      <c r="AD608" s="132">
        <f t="shared" si="4"/>
        <v>-9900</v>
      </c>
      <c r="AE608" s="132">
        <f t="shared" ref="AE608:AS608" si="1213">H608-1000</f>
        <v>-1000</v>
      </c>
      <c r="AF608" s="132">
        <f t="shared" si="1213"/>
        <v>-1000</v>
      </c>
      <c r="AG608" s="132">
        <f t="shared" si="1213"/>
        <v>-1000</v>
      </c>
      <c r="AH608" s="132">
        <f t="shared" si="1213"/>
        <v>-1000</v>
      </c>
      <c r="AI608" s="132">
        <f t="shared" si="1213"/>
        <v>-1000</v>
      </c>
      <c r="AJ608" s="132">
        <f t="shared" si="1213"/>
        <v>-1000</v>
      </c>
      <c r="AK608" s="132">
        <f t="shared" si="1213"/>
        <v>-1000</v>
      </c>
      <c r="AL608" s="132">
        <f t="shared" si="1213"/>
        <v>-1000</v>
      </c>
      <c r="AM608" s="132">
        <f t="shared" si="1213"/>
        <v>-1000</v>
      </c>
      <c r="AN608" s="132">
        <f t="shared" si="1213"/>
        <v>-1000</v>
      </c>
      <c r="AO608" s="132">
        <f t="shared" si="1213"/>
        <v>-1000</v>
      </c>
      <c r="AP608" s="132">
        <f t="shared" si="1213"/>
        <v>-1000</v>
      </c>
      <c r="AQ608" s="132">
        <f t="shared" si="1213"/>
        <v>-1000</v>
      </c>
      <c r="AR608" s="132">
        <f t="shared" si="1213"/>
        <v>-1000</v>
      </c>
      <c r="AS608" s="132">
        <f t="shared" si="1213"/>
        <v>-1000</v>
      </c>
    </row>
    <row r="609">
      <c r="A609" s="132" t="s">
        <v>4111</v>
      </c>
      <c r="B609" s="132">
        <v>15.0</v>
      </c>
      <c r="C609" s="132">
        <v>0.0</v>
      </c>
      <c r="D609" s="132">
        <v>0.0</v>
      </c>
      <c r="E609" s="132">
        <v>0.0</v>
      </c>
      <c r="F609" s="132">
        <v>0.0</v>
      </c>
      <c r="G609" s="132">
        <v>15.0</v>
      </c>
      <c r="H609" s="132">
        <v>0.0</v>
      </c>
      <c r="I609" s="132">
        <v>0.0</v>
      </c>
      <c r="J609" s="132">
        <v>0.0</v>
      </c>
      <c r="K609" s="132">
        <v>0.0</v>
      </c>
      <c r="L609" s="132">
        <v>0.0</v>
      </c>
      <c r="M609" s="132">
        <v>0.0</v>
      </c>
      <c r="N609" s="132">
        <v>0.0</v>
      </c>
      <c r="O609" s="132">
        <v>0.0</v>
      </c>
      <c r="P609" s="132">
        <v>0.0</v>
      </c>
      <c r="Q609" s="132">
        <v>0.0</v>
      </c>
      <c r="R609" s="132">
        <v>0.0</v>
      </c>
      <c r="S609" s="132">
        <v>0.0</v>
      </c>
      <c r="T609" s="132">
        <v>0.0</v>
      </c>
      <c r="U609" s="132">
        <v>0.0</v>
      </c>
      <c r="V609" s="132">
        <v>0.0</v>
      </c>
      <c r="W609" s="132">
        <v>0.0</v>
      </c>
      <c r="Y609" s="132" t="s">
        <v>4111</v>
      </c>
      <c r="Z609" s="132">
        <f t="shared" ref="Z609:AC609" si="1214">C609-1000</f>
        <v>-1000</v>
      </c>
      <c r="AA609" s="132">
        <f t="shared" si="1214"/>
        <v>-1000</v>
      </c>
      <c r="AB609" s="132">
        <f t="shared" si="1214"/>
        <v>-1000</v>
      </c>
      <c r="AC609" s="132">
        <f t="shared" si="1214"/>
        <v>-1000</v>
      </c>
      <c r="AD609" s="132">
        <f t="shared" si="4"/>
        <v>-9985</v>
      </c>
      <c r="AE609" s="132">
        <f t="shared" ref="AE609:AS609" si="1215">H609-1000</f>
        <v>-1000</v>
      </c>
      <c r="AF609" s="132">
        <f t="shared" si="1215"/>
        <v>-1000</v>
      </c>
      <c r="AG609" s="132">
        <f t="shared" si="1215"/>
        <v>-1000</v>
      </c>
      <c r="AH609" s="132">
        <f t="shared" si="1215"/>
        <v>-1000</v>
      </c>
      <c r="AI609" s="132">
        <f t="shared" si="1215"/>
        <v>-1000</v>
      </c>
      <c r="AJ609" s="132">
        <f t="shared" si="1215"/>
        <v>-1000</v>
      </c>
      <c r="AK609" s="132">
        <f t="shared" si="1215"/>
        <v>-1000</v>
      </c>
      <c r="AL609" s="132">
        <f t="shared" si="1215"/>
        <v>-1000</v>
      </c>
      <c r="AM609" s="132">
        <f t="shared" si="1215"/>
        <v>-1000</v>
      </c>
      <c r="AN609" s="132">
        <f t="shared" si="1215"/>
        <v>-1000</v>
      </c>
      <c r="AO609" s="132">
        <f t="shared" si="1215"/>
        <v>-1000</v>
      </c>
      <c r="AP609" s="132">
        <f t="shared" si="1215"/>
        <v>-1000</v>
      </c>
      <c r="AQ609" s="132">
        <f t="shared" si="1215"/>
        <v>-1000</v>
      </c>
      <c r="AR609" s="132">
        <f t="shared" si="1215"/>
        <v>-1000</v>
      </c>
      <c r="AS609" s="132">
        <f t="shared" si="1215"/>
        <v>-1000</v>
      </c>
    </row>
    <row r="610">
      <c r="A610" s="132" t="s">
        <v>4112</v>
      </c>
      <c r="B610" s="132">
        <v>500.0</v>
      </c>
      <c r="C610" s="132">
        <v>0.0</v>
      </c>
      <c r="D610" s="132">
        <v>0.0</v>
      </c>
      <c r="E610" s="132">
        <v>0.0</v>
      </c>
      <c r="F610" s="132">
        <v>0.0</v>
      </c>
      <c r="G610" s="132">
        <v>500.0</v>
      </c>
      <c r="H610" s="132">
        <v>0.0</v>
      </c>
      <c r="I610" s="132">
        <v>0.0</v>
      </c>
      <c r="J610" s="132">
        <v>0.0</v>
      </c>
      <c r="K610" s="132">
        <v>0.0</v>
      </c>
      <c r="L610" s="132">
        <v>0.0</v>
      </c>
      <c r="M610" s="132">
        <v>0.0</v>
      </c>
      <c r="N610" s="132">
        <v>0.0</v>
      </c>
      <c r="O610" s="132">
        <v>0.0</v>
      </c>
      <c r="P610" s="132">
        <v>0.0</v>
      </c>
      <c r="Q610" s="132">
        <v>0.0</v>
      </c>
      <c r="R610" s="132">
        <v>0.0</v>
      </c>
      <c r="S610" s="132">
        <v>0.0</v>
      </c>
      <c r="T610" s="132">
        <v>0.0</v>
      </c>
      <c r="U610" s="132">
        <v>0.0</v>
      </c>
      <c r="V610" s="132">
        <v>0.0</v>
      </c>
      <c r="W610" s="132">
        <v>0.0</v>
      </c>
      <c r="Y610" s="132" t="s">
        <v>4112</v>
      </c>
      <c r="Z610" s="132">
        <f t="shared" ref="Z610:AC610" si="1216">C610-1000</f>
        <v>-1000</v>
      </c>
      <c r="AA610" s="132">
        <f t="shared" si="1216"/>
        <v>-1000</v>
      </c>
      <c r="AB610" s="132">
        <f t="shared" si="1216"/>
        <v>-1000</v>
      </c>
      <c r="AC610" s="132">
        <f t="shared" si="1216"/>
        <v>-1000</v>
      </c>
      <c r="AD610" s="132">
        <f t="shared" si="4"/>
        <v>-9500</v>
      </c>
      <c r="AE610" s="132">
        <f t="shared" ref="AE610:AS610" si="1217">H610-1000</f>
        <v>-1000</v>
      </c>
      <c r="AF610" s="132">
        <f t="shared" si="1217"/>
        <v>-1000</v>
      </c>
      <c r="AG610" s="132">
        <f t="shared" si="1217"/>
        <v>-1000</v>
      </c>
      <c r="AH610" s="132">
        <f t="shared" si="1217"/>
        <v>-1000</v>
      </c>
      <c r="AI610" s="132">
        <f t="shared" si="1217"/>
        <v>-1000</v>
      </c>
      <c r="AJ610" s="132">
        <f t="shared" si="1217"/>
        <v>-1000</v>
      </c>
      <c r="AK610" s="132">
        <f t="shared" si="1217"/>
        <v>-1000</v>
      </c>
      <c r="AL610" s="132">
        <f t="shared" si="1217"/>
        <v>-1000</v>
      </c>
      <c r="AM610" s="132">
        <f t="shared" si="1217"/>
        <v>-1000</v>
      </c>
      <c r="AN610" s="132">
        <f t="shared" si="1217"/>
        <v>-1000</v>
      </c>
      <c r="AO610" s="132">
        <f t="shared" si="1217"/>
        <v>-1000</v>
      </c>
      <c r="AP610" s="132">
        <f t="shared" si="1217"/>
        <v>-1000</v>
      </c>
      <c r="AQ610" s="132">
        <f t="shared" si="1217"/>
        <v>-1000</v>
      </c>
      <c r="AR610" s="132">
        <f t="shared" si="1217"/>
        <v>-1000</v>
      </c>
      <c r="AS610" s="132">
        <f t="shared" si="1217"/>
        <v>-1000</v>
      </c>
    </row>
    <row r="611">
      <c r="A611" s="132" t="s">
        <v>4113</v>
      </c>
      <c r="B611" s="132">
        <v>700.0</v>
      </c>
      <c r="C611" s="132">
        <v>0.0</v>
      </c>
      <c r="D611" s="132">
        <v>0.0</v>
      </c>
      <c r="E611" s="132">
        <v>0.0</v>
      </c>
      <c r="F611" s="132">
        <v>0.0</v>
      </c>
      <c r="G611" s="132">
        <v>700.0</v>
      </c>
      <c r="H611" s="132">
        <v>0.0</v>
      </c>
      <c r="I611" s="132">
        <v>0.0</v>
      </c>
      <c r="J611" s="132">
        <v>0.0</v>
      </c>
      <c r="K611" s="132">
        <v>0.0</v>
      </c>
      <c r="L611" s="132">
        <v>0.0</v>
      </c>
      <c r="M611" s="132">
        <v>0.0</v>
      </c>
      <c r="N611" s="132">
        <v>0.0</v>
      </c>
      <c r="O611" s="132">
        <v>0.0</v>
      </c>
      <c r="P611" s="132">
        <v>0.0</v>
      </c>
      <c r="Q611" s="132">
        <v>0.0</v>
      </c>
      <c r="R611" s="132">
        <v>0.0</v>
      </c>
      <c r="S611" s="132">
        <v>0.0</v>
      </c>
      <c r="T611" s="132">
        <v>0.0</v>
      </c>
      <c r="U611" s="132">
        <v>0.0</v>
      </c>
      <c r="V611" s="132">
        <v>0.0</v>
      </c>
      <c r="W611" s="132">
        <v>0.0</v>
      </c>
      <c r="Y611" s="132" t="s">
        <v>4113</v>
      </c>
      <c r="Z611" s="132">
        <f t="shared" ref="Z611:AC611" si="1218">C611-1000</f>
        <v>-1000</v>
      </c>
      <c r="AA611" s="132">
        <f t="shared" si="1218"/>
        <v>-1000</v>
      </c>
      <c r="AB611" s="132">
        <f t="shared" si="1218"/>
        <v>-1000</v>
      </c>
      <c r="AC611" s="132">
        <f t="shared" si="1218"/>
        <v>-1000</v>
      </c>
      <c r="AD611" s="132">
        <f t="shared" si="4"/>
        <v>-9300</v>
      </c>
      <c r="AE611" s="132">
        <f t="shared" ref="AE611:AS611" si="1219">H611-1000</f>
        <v>-1000</v>
      </c>
      <c r="AF611" s="132">
        <f t="shared" si="1219"/>
        <v>-1000</v>
      </c>
      <c r="AG611" s="132">
        <f t="shared" si="1219"/>
        <v>-1000</v>
      </c>
      <c r="AH611" s="132">
        <f t="shared" si="1219"/>
        <v>-1000</v>
      </c>
      <c r="AI611" s="132">
        <f t="shared" si="1219"/>
        <v>-1000</v>
      </c>
      <c r="AJ611" s="132">
        <f t="shared" si="1219"/>
        <v>-1000</v>
      </c>
      <c r="AK611" s="132">
        <f t="shared" si="1219"/>
        <v>-1000</v>
      </c>
      <c r="AL611" s="132">
        <f t="shared" si="1219"/>
        <v>-1000</v>
      </c>
      <c r="AM611" s="132">
        <f t="shared" si="1219"/>
        <v>-1000</v>
      </c>
      <c r="AN611" s="132">
        <f t="shared" si="1219"/>
        <v>-1000</v>
      </c>
      <c r="AO611" s="132">
        <f t="shared" si="1219"/>
        <v>-1000</v>
      </c>
      <c r="AP611" s="132">
        <f t="shared" si="1219"/>
        <v>-1000</v>
      </c>
      <c r="AQ611" s="132">
        <f t="shared" si="1219"/>
        <v>-1000</v>
      </c>
      <c r="AR611" s="132">
        <f t="shared" si="1219"/>
        <v>-1000</v>
      </c>
      <c r="AS611" s="132">
        <f t="shared" si="1219"/>
        <v>-1000</v>
      </c>
    </row>
    <row r="612">
      <c r="A612" s="132" t="s">
        <v>4114</v>
      </c>
      <c r="B612" s="132">
        <v>500.0</v>
      </c>
      <c r="C612" s="132">
        <v>0.0</v>
      </c>
      <c r="D612" s="132">
        <v>0.0</v>
      </c>
      <c r="E612" s="132">
        <v>0.0</v>
      </c>
      <c r="F612" s="132">
        <v>0.0</v>
      </c>
      <c r="G612" s="132">
        <v>500.0</v>
      </c>
      <c r="H612" s="132">
        <v>0.0</v>
      </c>
      <c r="I612" s="132">
        <v>0.0</v>
      </c>
      <c r="J612" s="132">
        <v>0.0</v>
      </c>
      <c r="K612" s="132">
        <v>0.0</v>
      </c>
      <c r="L612" s="132">
        <v>0.0</v>
      </c>
      <c r="M612" s="132">
        <v>0.0</v>
      </c>
      <c r="N612" s="132">
        <v>0.0</v>
      </c>
      <c r="O612" s="132">
        <v>0.0</v>
      </c>
      <c r="P612" s="132">
        <v>0.0</v>
      </c>
      <c r="Q612" s="132">
        <v>0.0</v>
      </c>
      <c r="R612" s="132">
        <v>0.0</v>
      </c>
      <c r="S612" s="132">
        <v>0.0</v>
      </c>
      <c r="T612" s="132">
        <v>0.0</v>
      </c>
      <c r="U612" s="132">
        <v>0.0</v>
      </c>
      <c r="V612" s="132">
        <v>0.0</v>
      </c>
      <c r="W612" s="132">
        <v>0.0</v>
      </c>
      <c r="Y612" s="132" t="s">
        <v>4114</v>
      </c>
      <c r="Z612" s="132">
        <f t="shared" ref="Z612:AC612" si="1220">C612-1000</f>
        <v>-1000</v>
      </c>
      <c r="AA612" s="132">
        <f t="shared" si="1220"/>
        <v>-1000</v>
      </c>
      <c r="AB612" s="132">
        <f t="shared" si="1220"/>
        <v>-1000</v>
      </c>
      <c r="AC612" s="132">
        <f t="shared" si="1220"/>
        <v>-1000</v>
      </c>
      <c r="AD612" s="132">
        <f t="shared" si="4"/>
        <v>-9500</v>
      </c>
      <c r="AE612" s="132">
        <f t="shared" ref="AE612:AS612" si="1221">H612-1000</f>
        <v>-1000</v>
      </c>
      <c r="AF612" s="132">
        <f t="shared" si="1221"/>
        <v>-1000</v>
      </c>
      <c r="AG612" s="132">
        <f t="shared" si="1221"/>
        <v>-1000</v>
      </c>
      <c r="AH612" s="132">
        <f t="shared" si="1221"/>
        <v>-1000</v>
      </c>
      <c r="AI612" s="132">
        <f t="shared" si="1221"/>
        <v>-1000</v>
      </c>
      <c r="AJ612" s="132">
        <f t="shared" si="1221"/>
        <v>-1000</v>
      </c>
      <c r="AK612" s="132">
        <f t="shared" si="1221"/>
        <v>-1000</v>
      </c>
      <c r="AL612" s="132">
        <f t="shared" si="1221"/>
        <v>-1000</v>
      </c>
      <c r="AM612" s="132">
        <f t="shared" si="1221"/>
        <v>-1000</v>
      </c>
      <c r="AN612" s="132">
        <f t="shared" si="1221"/>
        <v>-1000</v>
      </c>
      <c r="AO612" s="132">
        <f t="shared" si="1221"/>
        <v>-1000</v>
      </c>
      <c r="AP612" s="132">
        <f t="shared" si="1221"/>
        <v>-1000</v>
      </c>
      <c r="AQ612" s="132">
        <f t="shared" si="1221"/>
        <v>-1000</v>
      </c>
      <c r="AR612" s="132">
        <f t="shared" si="1221"/>
        <v>-1000</v>
      </c>
      <c r="AS612" s="132">
        <f t="shared" si="1221"/>
        <v>-1000</v>
      </c>
    </row>
    <row r="613">
      <c r="A613" s="132" t="s">
        <v>4115</v>
      </c>
      <c r="B613" s="132">
        <v>25.0</v>
      </c>
      <c r="C613" s="132">
        <v>0.0</v>
      </c>
      <c r="D613" s="132">
        <v>0.0</v>
      </c>
      <c r="E613" s="132">
        <v>0.0</v>
      </c>
      <c r="F613" s="132">
        <v>0.0</v>
      </c>
      <c r="G613" s="132">
        <v>25.0</v>
      </c>
      <c r="H613" s="132">
        <v>0.0</v>
      </c>
      <c r="I613" s="132">
        <v>0.0</v>
      </c>
      <c r="J613" s="132">
        <v>0.0</v>
      </c>
      <c r="K613" s="132">
        <v>0.0</v>
      </c>
      <c r="L613" s="132">
        <v>0.0</v>
      </c>
      <c r="M613" s="132">
        <v>0.0</v>
      </c>
      <c r="N613" s="132">
        <v>0.0</v>
      </c>
      <c r="O613" s="132">
        <v>0.0</v>
      </c>
      <c r="P613" s="132">
        <v>0.0</v>
      </c>
      <c r="Q613" s="132">
        <v>0.0</v>
      </c>
      <c r="R613" s="132">
        <v>0.0</v>
      </c>
      <c r="S613" s="132">
        <v>0.0</v>
      </c>
      <c r="T613" s="132">
        <v>0.0</v>
      </c>
      <c r="U613" s="132">
        <v>0.0</v>
      </c>
      <c r="V613" s="132">
        <v>0.0</v>
      </c>
      <c r="W613" s="132">
        <v>0.0</v>
      </c>
      <c r="Y613" s="132" t="s">
        <v>4115</v>
      </c>
      <c r="Z613" s="132">
        <f t="shared" ref="Z613:AC613" si="1222">C613-1000</f>
        <v>-1000</v>
      </c>
      <c r="AA613" s="132">
        <f t="shared" si="1222"/>
        <v>-1000</v>
      </c>
      <c r="AB613" s="132">
        <f t="shared" si="1222"/>
        <v>-1000</v>
      </c>
      <c r="AC613" s="132">
        <f t="shared" si="1222"/>
        <v>-1000</v>
      </c>
      <c r="AD613" s="132">
        <f t="shared" si="4"/>
        <v>-9975</v>
      </c>
      <c r="AE613" s="132">
        <f t="shared" ref="AE613:AS613" si="1223">H613-1000</f>
        <v>-1000</v>
      </c>
      <c r="AF613" s="132">
        <f t="shared" si="1223"/>
        <v>-1000</v>
      </c>
      <c r="AG613" s="132">
        <f t="shared" si="1223"/>
        <v>-1000</v>
      </c>
      <c r="AH613" s="132">
        <f t="shared" si="1223"/>
        <v>-1000</v>
      </c>
      <c r="AI613" s="132">
        <f t="shared" si="1223"/>
        <v>-1000</v>
      </c>
      <c r="AJ613" s="132">
        <f t="shared" si="1223"/>
        <v>-1000</v>
      </c>
      <c r="AK613" s="132">
        <f t="shared" si="1223"/>
        <v>-1000</v>
      </c>
      <c r="AL613" s="132">
        <f t="shared" si="1223"/>
        <v>-1000</v>
      </c>
      <c r="AM613" s="132">
        <f t="shared" si="1223"/>
        <v>-1000</v>
      </c>
      <c r="AN613" s="132">
        <f t="shared" si="1223"/>
        <v>-1000</v>
      </c>
      <c r="AO613" s="132">
        <f t="shared" si="1223"/>
        <v>-1000</v>
      </c>
      <c r="AP613" s="132">
        <f t="shared" si="1223"/>
        <v>-1000</v>
      </c>
      <c r="AQ613" s="132">
        <f t="shared" si="1223"/>
        <v>-1000</v>
      </c>
      <c r="AR613" s="132">
        <f t="shared" si="1223"/>
        <v>-1000</v>
      </c>
      <c r="AS613" s="132">
        <f t="shared" si="1223"/>
        <v>-1000</v>
      </c>
    </row>
    <row r="614">
      <c r="A614" s="132" t="s">
        <v>4116</v>
      </c>
      <c r="B614" s="132">
        <v>50.0</v>
      </c>
      <c r="C614" s="132">
        <v>0.0</v>
      </c>
      <c r="D614" s="132">
        <v>0.0</v>
      </c>
      <c r="E614" s="132">
        <v>0.0</v>
      </c>
      <c r="F614" s="132">
        <v>0.0</v>
      </c>
      <c r="G614" s="132">
        <v>50.0</v>
      </c>
      <c r="H614" s="132">
        <v>0.0</v>
      </c>
      <c r="I614" s="132">
        <v>0.0</v>
      </c>
      <c r="J614" s="132">
        <v>0.0</v>
      </c>
      <c r="K614" s="132">
        <v>0.0</v>
      </c>
      <c r="L614" s="132">
        <v>0.0</v>
      </c>
      <c r="M614" s="132">
        <v>0.0</v>
      </c>
      <c r="N614" s="132">
        <v>0.0</v>
      </c>
      <c r="O614" s="132">
        <v>0.0</v>
      </c>
      <c r="P614" s="132">
        <v>0.0</v>
      </c>
      <c r="Q614" s="132">
        <v>0.0</v>
      </c>
      <c r="R614" s="132">
        <v>0.0</v>
      </c>
      <c r="S614" s="132">
        <v>0.0</v>
      </c>
      <c r="T614" s="132">
        <v>0.0</v>
      </c>
      <c r="U614" s="132">
        <v>0.0</v>
      </c>
      <c r="V614" s="132">
        <v>0.0</v>
      </c>
      <c r="W614" s="132">
        <v>0.0</v>
      </c>
      <c r="Y614" s="132" t="s">
        <v>4116</v>
      </c>
      <c r="Z614" s="132">
        <f t="shared" ref="Z614:AC614" si="1224">C614-1000</f>
        <v>-1000</v>
      </c>
      <c r="AA614" s="132">
        <f t="shared" si="1224"/>
        <v>-1000</v>
      </c>
      <c r="AB614" s="132">
        <f t="shared" si="1224"/>
        <v>-1000</v>
      </c>
      <c r="AC614" s="132">
        <f t="shared" si="1224"/>
        <v>-1000</v>
      </c>
      <c r="AD614" s="132">
        <f t="shared" si="4"/>
        <v>-9950</v>
      </c>
      <c r="AE614" s="132">
        <f t="shared" ref="AE614:AS614" si="1225">H614-1000</f>
        <v>-1000</v>
      </c>
      <c r="AF614" s="132">
        <f t="shared" si="1225"/>
        <v>-1000</v>
      </c>
      <c r="AG614" s="132">
        <f t="shared" si="1225"/>
        <v>-1000</v>
      </c>
      <c r="AH614" s="132">
        <f t="shared" si="1225"/>
        <v>-1000</v>
      </c>
      <c r="AI614" s="132">
        <f t="shared" si="1225"/>
        <v>-1000</v>
      </c>
      <c r="AJ614" s="132">
        <f t="shared" si="1225"/>
        <v>-1000</v>
      </c>
      <c r="AK614" s="132">
        <f t="shared" si="1225"/>
        <v>-1000</v>
      </c>
      <c r="AL614" s="132">
        <f t="shared" si="1225"/>
        <v>-1000</v>
      </c>
      <c r="AM614" s="132">
        <f t="shared" si="1225"/>
        <v>-1000</v>
      </c>
      <c r="AN614" s="132">
        <f t="shared" si="1225"/>
        <v>-1000</v>
      </c>
      <c r="AO614" s="132">
        <f t="shared" si="1225"/>
        <v>-1000</v>
      </c>
      <c r="AP614" s="132">
        <f t="shared" si="1225"/>
        <v>-1000</v>
      </c>
      <c r="AQ614" s="132">
        <f t="shared" si="1225"/>
        <v>-1000</v>
      </c>
      <c r="AR614" s="132">
        <f t="shared" si="1225"/>
        <v>-1000</v>
      </c>
      <c r="AS614" s="132">
        <f t="shared" si="1225"/>
        <v>-1000</v>
      </c>
    </row>
    <row r="615">
      <c r="A615" s="132" t="s">
        <v>4117</v>
      </c>
      <c r="B615" s="132">
        <v>50.0</v>
      </c>
      <c r="C615" s="132">
        <v>0.0</v>
      </c>
      <c r="D615" s="132">
        <v>0.0</v>
      </c>
      <c r="E615" s="132">
        <v>0.0</v>
      </c>
      <c r="F615" s="132">
        <v>0.0</v>
      </c>
      <c r="G615" s="132">
        <v>50.0</v>
      </c>
      <c r="H615" s="132">
        <v>0.0</v>
      </c>
      <c r="I615" s="132">
        <v>0.0</v>
      </c>
      <c r="J615" s="132">
        <v>0.0</v>
      </c>
      <c r="K615" s="132">
        <v>0.0</v>
      </c>
      <c r="L615" s="132">
        <v>0.0</v>
      </c>
      <c r="M615" s="132">
        <v>0.0</v>
      </c>
      <c r="N615" s="132">
        <v>0.0</v>
      </c>
      <c r="O615" s="132">
        <v>0.0</v>
      </c>
      <c r="P615" s="132">
        <v>0.0</v>
      </c>
      <c r="Q615" s="132">
        <v>0.0</v>
      </c>
      <c r="R615" s="132">
        <v>0.0</v>
      </c>
      <c r="S615" s="132">
        <v>0.0</v>
      </c>
      <c r="T615" s="132">
        <v>0.0</v>
      </c>
      <c r="U615" s="132">
        <v>0.0</v>
      </c>
      <c r="V615" s="132">
        <v>0.0</v>
      </c>
      <c r="W615" s="132">
        <v>0.0</v>
      </c>
      <c r="Y615" s="132" t="s">
        <v>4117</v>
      </c>
      <c r="Z615" s="132">
        <f t="shared" ref="Z615:AC615" si="1226">C615-1000</f>
        <v>-1000</v>
      </c>
      <c r="AA615" s="132">
        <f t="shared" si="1226"/>
        <v>-1000</v>
      </c>
      <c r="AB615" s="132">
        <f t="shared" si="1226"/>
        <v>-1000</v>
      </c>
      <c r="AC615" s="132">
        <f t="shared" si="1226"/>
        <v>-1000</v>
      </c>
      <c r="AD615" s="132">
        <f t="shared" si="4"/>
        <v>-9950</v>
      </c>
      <c r="AE615" s="132">
        <f t="shared" ref="AE615:AS615" si="1227">H615-1000</f>
        <v>-1000</v>
      </c>
      <c r="AF615" s="132">
        <f t="shared" si="1227"/>
        <v>-1000</v>
      </c>
      <c r="AG615" s="132">
        <f t="shared" si="1227"/>
        <v>-1000</v>
      </c>
      <c r="AH615" s="132">
        <f t="shared" si="1227"/>
        <v>-1000</v>
      </c>
      <c r="AI615" s="132">
        <f t="shared" si="1227"/>
        <v>-1000</v>
      </c>
      <c r="AJ615" s="132">
        <f t="shared" si="1227"/>
        <v>-1000</v>
      </c>
      <c r="AK615" s="132">
        <f t="shared" si="1227"/>
        <v>-1000</v>
      </c>
      <c r="AL615" s="132">
        <f t="shared" si="1227"/>
        <v>-1000</v>
      </c>
      <c r="AM615" s="132">
        <f t="shared" si="1227"/>
        <v>-1000</v>
      </c>
      <c r="AN615" s="132">
        <f t="shared" si="1227"/>
        <v>-1000</v>
      </c>
      <c r="AO615" s="132">
        <f t="shared" si="1227"/>
        <v>-1000</v>
      </c>
      <c r="AP615" s="132">
        <f t="shared" si="1227"/>
        <v>-1000</v>
      </c>
      <c r="AQ615" s="132">
        <f t="shared" si="1227"/>
        <v>-1000</v>
      </c>
      <c r="AR615" s="132">
        <f t="shared" si="1227"/>
        <v>-1000</v>
      </c>
      <c r="AS615" s="132">
        <f t="shared" si="1227"/>
        <v>-1000</v>
      </c>
    </row>
    <row r="616">
      <c r="A616" s="132" t="s">
        <v>4118</v>
      </c>
      <c r="B616" s="132">
        <v>100.0</v>
      </c>
      <c r="C616" s="132">
        <v>0.0</v>
      </c>
      <c r="D616" s="132">
        <v>0.0</v>
      </c>
      <c r="E616" s="132">
        <v>0.0</v>
      </c>
      <c r="F616" s="132">
        <v>0.0</v>
      </c>
      <c r="G616" s="132">
        <v>100.0</v>
      </c>
      <c r="H616" s="132">
        <v>0.0</v>
      </c>
      <c r="I616" s="132">
        <v>0.0</v>
      </c>
      <c r="J616" s="132">
        <v>0.0</v>
      </c>
      <c r="K616" s="132">
        <v>0.0</v>
      </c>
      <c r="L616" s="132">
        <v>0.0</v>
      </c>
      <c r="M616" s="132">
        <v>0.0</v>
      </c>
      <c r="N616" s="132">
        <v>0.0</v>
      </c>
      <c r="O616" s="132">
        <v>0.0</v>
      </c>
      <c r="P616" s="132">
        <v>0.0</v>
      </c>
      <c r="Q616" s="132">
        <v>0.0</v>
      </c>
      <c r="R616" s="132">
        <v>0.0</v>
      </c>
      <c r="S616" s="132">
        <v>0.0</v>
      </c>
      <c r="T616" s="132">
        <v>0.0</v>
      </c>
      <c r="U616" s="132">
        <v>0.0</v>
      </c>
      <c r="V616" s="132">
        <v>0.0</v>
      </c>
      <c r="W616" s="132">
        <v>0.0</v>
      </c>
      <c r="Y616" s="132" t="s">
        <v>4118</v>
      </c>
      <c r="Z616" s="132">
        <f t="shared" ref="Z616:AC616" si="1228">C616-1000</f>
        <v>-1000</v>
      </c>
      <c r="AA616" s="132">
        <f t="shared" si="1228"/>
        <v>-1000</v>
      </c>
      <c r="AB616" s="132">
        <f t="shared" si="1228"/>
        <v>-1000</v>
      </c>
      <c r="AC616" s="132">
        <f t="shared" si="1228"/>
        <v>-1000</v>
      </c>
      <c r="AD616" s="132">
        <f t="shared" si="4"/>
        <v>-9900</v>
      </c>
      <c r="AE616" s="132">
        <f t="shared" ref="AE616:AS616" si="1229">H616-1000</f>
        <v>-1000</v>
      </c>
      <c r="AF616" s="132">
        <f t="shared" si="1229"/>
        <v>-1000</v>
      </c>
      <c r="AG616" s="132">
        <f t="shared" si="1229"/>
        <v>-1000</v>
      </c>
      <c r="AH616" s="132">
        <f t="shared" si="1229"/>
        <v>-1000</v>
      </c>
      <c r="AI616" s="132">
        <f t="shared" si="1229"/>
        <v>-1000</v>
      </c>
      <c r="AJ616" s="132">
        <f t="shared" si="1229"/>
        <v>-1000</v>
      </c>
      <c r="AK616" s="132">
        <f t="shared" si="1229"/>
        <v>-1000</v>
      </c>
      <c r="AL616" s="132">
        <f t="shared" si="1229"/>
        <v>-1000</v>
      </c>
      <c r="AM616" s="132">
        <f t="shared" si="1229"/>
        <v>-1000</v>
      </c>
      <c r="AN616" s="132">
        <f t="shared" si="1229"/>
        <v>-1000</v>
      </c>
      <c r="AO616" s="132">
        <f t="shared" si="1229"/>
        <v>-1000</v>
      </c>
      <c r="AP616" s="132">
        <f t="shared" si="1229"/>
        <v>-1000</v>
      </c>
      <c r="AQ616" s="132">
        <f t="shared" si="1229"/>
        <v>-1000</v>
      </c>
      <c r="AR616" s="132">
        <f t="shared" si="1229"/>
        <v>-1000</v>
      </c>
      <c r="AS616" s="132">
        <f t="shared" si="1229"/>
        <v>-1000</v>
      </c>
    </row>
    <row r="617">
      <c r="A617" s="132" t="s">
        <v>4119</v>
      </c>
      <c r="B617" s="132">
        <v>50.0</v>
      </c>
      <c r="C617" s="132">
        <v>0.0</v>
      </c>
      <c r="D617" s="132">
        <v>0.0</v>
      </c>
      <c r="E617" s="132">
        <v>0.0</v>
      </c>
      <c r="F617" s="132">
        <v>0.0</v>
      </c>
      <c r="G617" s="132">
        <v>50.0</v>
      </c>
      <c r="H617" s="132">
        <v>0.0</v>
      </c>
      <c r="I617" s="132">
        <v>0.0</v>
      </c>
      <c r="J617" s="132">
        <v>0.0</v>
      </c>
      <c r="K617" s="132">
        <v>0.0</v>
      </c>
      <c r="L617" s="132">
        <v>0.0</v>
      </c>
      <c r="M617" s="132">
        <v>0.0</v>
      </c>
      <c r="N617" s="132">
        <v>0.0</v>
      </c>
      <c r="O617" s="132">
        <v>0.0</v>
      </c>
      <c r="P617" s="132">
        <v>0.0</v>
      </c>
      <c r="Q617" s="132">
        <v>0.0</v>
      </c>
      <c r="R617" s="132">
        <v>0.0</v>
      </c>
      <c r="S617" s="132">
        <v>0.0</v>
      </c>
      <c r="T617" s="132">
        <v>0.0</v>
      </c>
      <c r="U617" s="132">
        <v>0.0</v>
      </c>
      <c r="V617" s="132">
        <v>0.0</v>
      </c>
      <c r="W617" s="132">
        <v>0.0</v>
      </c>
      <c r="Y617" s="132" t="s">
        <v>4119</v>
      </c>
      <c r="Z617" s="132">
        <f t="shared" ref="Z617:AC617" si="1230">C617-1000</f>
        <v>-1000</v>
      </c>
      <c r="AA617" s="132">
        <f t="shared" si="1230"/>
        <v>-1000</v>
      </c>
      <c r="AB617" s="132">
        <f t="shared" si="1230"/>
        <v>-1000</v>
      </c>
      <c r="AC617" s="132">
        <f t="shared" si="1230"/>
        <v>-1000</v>
      </c>
      <c r="AD617" s="132">
        <f t="shared" si="4"/>
        <v>-9950</v>
      </c>
      <c r="AE617" s="132">
        <f t="shared" ref="AE617:AS617" si="1231">H617-1000</f>
        <v>-1000</v>
      </c>
      <c r="AF617" s="132">
        <f t="shared" si="1231"/>
        <v>-1000</v>
      </c>
      <c r="AG617" s="132">
        <f t="shared" si="1231"/>
        <v>-1000</v>
      </c>
      <c r="AH617" s="132">
        <f t="shared" si="1231"/>
        <v>-1000</v>
      </c>
      <c r="AI617" s="132">
        <f t="shared" si="1231"/>
        <v>-1000</v>
      </c>
      <c r="AJ617" s="132">
        <f t="shared" si="1231"/>
        <v>-1000</v>
      </c>
      <c r="AK617" s="132">
        <f t="shared" si="1231"/>
        <v>-1000</v>
      </c>
      <c r="AL617" s="132">
        <f t="shared" si="1231"/>
        <v>-1000</v>
      </c>
      <c r="AM617" s="132">
        <f t="shared" si="1231"/>
        <v>-1000</v>
      </c>
      <c r="AN617" s="132">
        <f t="shared" si="1231"/>
        <v>-1000</v>
      </c>
      <c r="AO617" s="132">
        <f t="shared" si="1231"/>
        <v>-1000</v>
      </c>
      <c r="AP617" s="132">
        <f t="shared" si="1231"/>
        <v>-1000</v>
      </c>
      <c r="AQ617" s="132">
        <f t="shared" si="1231"/>
        <v>-1000</v>
      </c>
      <c r="AR617" s="132">
        <f t="shared" si="1231"/>
        <v>-1000</v>
      </c>
      <c r="AS617" s="132">
        <f t="shared" si="1231"/>
        <v>-1000</v>
      </c>
    </row>
    <row r="618">
      <c r="A618" s="132" t="s">
        <v>4120</v>
      </c>
      <c r="B618" s="132">
        <v>250.0</v>
      </c>
      <c r="C618" s="132">
        <v>0.0</v>
      </c>
      <c r="D618" s="132">
        <v>0.0</v>
      </c>
      <c r="E618" s="132">
        <v>0.0</v>
      </c>
      <c r="F618" s="132">
        <v>0.0</v>
      </c>
      <c r="G618" s="132">
        <v>250.0</v>
      </c>
      <c r="H618" s="132">
        <v>0.0</v>
      </c>
      <c r="I618" s="132">
        <v>0.0</v>
      </c>
      <c r="J618" s="132">
        <v>0.0</v>
      </c>
      <c r="K618" s="132">
        <v>0.0</v>
      </c>
      <c r="L618" s="132">
        <v>0.0</v>
      </c>
      <c r="M618" s="132">
        <v>0.0</v>
      </c>
      <c r="N618" s="132">
        <v>0.0</v>
      </c>
      <c r="O618" s="132">
        <v>0.0</v>
      </c>
      <c r="P618" s="132">
        <v>0.0</v>
      </c>
      <c r="Q618" s="132">
        <v>0.0</v>
      </c>
      <c r="R618" s="132">
        <v>0.0</v>
      </c>
      <c r="S618" s="132">
        <v>0.0</v>
      </c>
      <c r="T618" s="132">
        <v>0.0</v>
      </c>
      <c r="U618" s="132">
        <v>0.0</v>
      </c>
      <c r="V618" s="132">
        <v>0.0</v>
      </c>
      <c r="W618" s="132">
        <v>0.0</v>
      </c>
      <c r="Y618" s="132" t="s">
        <v>4120</v>
      </c>
      <c r="Z618" s="132">
        <f t="shared" ref="Z618:AC618" si="1232">C618-1000</f>
        <v>-1000</v>
      </c>
      <c r="AA618" s="132">
        <f t="shared" si="1232"/>
        <v>-1000</v>
      </c>
      <c r="AB618" s="132">
        <f t="shared" si="1232"/>
        <v>-1000</v>
      </c>
      <c r="AC618" s="132">
        <f t="shared" si="1232"/>
        <v>-1000</v>
      </c>
      <c r="AD618" s="132">
        <f t="shared" si="4"/>
        <v>-9750</v>
      </c>
      <c r="AE618" s="132">
        <f t="shared" ref="AE618:AS618" si="1233">H618-1000</f>
        <v>-1000</v>
      </c>
      <c r="AF618" s="132">
        <f t="shared" si="1233"/>
        <v>-1000</v>
      </c>
      <c r="AG618" s="132">
        <f t="shared" si="1233"/>
        <v>-1000</v>
      </c>
      <c r="AH618" s="132">
        <f t="shared" si="1233"/>
        <v>-1000</v>
      </c>
      <c r="AI618" s="132">
        <f t="shared" si="1233"/>
        <v>-1000</v>
      </c>
      <c r="AJ618" s="132">
        <f t="shared" si="1233"/>
        <v>-1000</v>
      </c>
      <c r="AK618" s="132">
        <f t="shared" si="1233"/>
        <v>-1000</v>
      </c>
      <c r="AL618" s="132">
        <f t="shared" si="1233"/>
        <v>-1000</v>
      </c>
      <c r="AM618" s="132">
        <f t="shared" si="1233"/>
        <v>-1000</v>
      </c>
      <c r="AN618" s="132">
        <f t="shared" si="1233"/>
        <v>-1000</v>
      </c>
      <c r="AO618" s="132">
        <f t="shared" si="1233"/>
        <v>-1000</v>
      </c>
      <c r="AP618" s="132">
        <f t="shared" si="1233"/>
        <v>-1000</v>
      </c>
      <c r="AQ618" s="132">
        <f t="shared" si="1233"/>
        <v>-1000</v>
      </c>
      <c r="AR618" s="132">
        <f t="shared" si="1233"/>
        <v>-1000</v>
      </c>
      <c r="AS618" s="132">
        <f t="shared" si="1233"/>
        <v>-1000</v>
      </c>
    </row>
    <row r="619">
      <c r="A619" s="132" t="s">
        <v>4121</v>
      </c>
      <c r="B619" s="132">
        <v>600.0</v>
      </c>
      <c r="C619" s="132">
        <v>0.0</v>
      </c>
      <c r="D619" s="132">
        <v>0.0</v>
      </c>
      <c r="E619" s="132">
        <v>500.0</v>
      </c>
      <c r="F619" s="132">
        <v>0.0</v>
      </c>
      <c r="G619" s="132">
        <v>100.0</v>
      </c>
      <c r="H619" s="132">
        <v>0.0</v>
      </c>
      <c r="I619" s="132">
        <v>0.0</v>
      </c>
      <c r="J619" s="132">
        <v>0.0</v>
      </c>
      <c r="K619" s="132">
        <v>0.0</v>
      </c>
      <c r="L619" s="132">
        <v>0.0</v>
      </c>
      <c r="M619" s="132">
        <v>0.0</v>
      </c>
      <c r="N619" s="132">
        <v>0.0</v>
      </c>
      <c r="O619" s="132">
        <v>0.0</v>
      </c>
      <c r="P619" s="132">
        <v>0.0</v>
      </c>
      <c r="Q619" s="132">
        <v>0.0</v>
      </c>
      <c r="R619" s="132">
        <v>0.0</v>
      </c>
      <c r="S619" s="132">
        <v>0.0</v>
      </c>
      <c r="T619" s="132">
        <v>0.0</v>
      </c>
      <c r="U619" s="132">
        <v>0.0</v>
      </c>
      <c r="V619" s="132">
        <v>0.0</v>
      </c>
      <c r="W619" s="132">
        <v>1.0</v>
      </c>
      <c r="Y619" s="132" t="s">
        <v>4121</v>
      </c>
      <c r="Z619" s="132">
        <f t="shared" ref="Z619:AC619" si="1234">C619-1000</f>
        <v>-1000</v>
      </c>
      <c r="AA619" s="132">
        <f t="shared" si="1234"/>
        <v>-1000</v>
      </c>
      <c r="AB619" s="132">
        <f t="shared" si="1234"/>
        <v>-500</v>
      </c>
      <c r="AC619" s="132">
        <f t="shared" si="1234"/>
        <v>-1000</v>
      </c>
      <c r="AD619" s="132">
        <f t="shared" si="4"/>
        <v>-9900</v>
      </c>
      <c r="AE619" s="132">
        <f t="shared" ref="AE619:AS619" si="1235">H619-1000</f>
        <v>-1000</v>
      </c>
      <c r="AF619" s="132">
        <f t="shared" si="1235"/>
        <v>-1000</v>
      </c>
      <c r="AG619" s="132">
        <f t="shared" si="1235"/>
        <v>-1000</v>
      </c>
      <c r="AH619" s="132">
        <f t="shared" si="1235"/>
        <v>-1000</v>
      </c>
      <c r="AI619" s="132">
        <f t="shared" si="1235"/>
        <v>-1000</v>
      </c>
      <c r="AJ619" s="132">
        <f t="shared" si="1235"/>
        <v>-1000</v>
      </c>
      <c r="AK619" s="132">
        <f t="shared" si="1235"/>
        <v>-1000</v>
      </c>
      <c r="AL619" s="132">
        <f t="shared" si="1235"/>
        <v>-1000</v>
      </c>
      <c r="AM619" s="132">
        <f t="shared" si="1235"/>
        <v>-1000</v>
      </c>
      <c r="AN619" s="132">
        <f t="shared" si="1235"/>
        <v>-1000</v>
      </c>
      <c r="AO619" s="132">
        <f t="shared" si="1235"/>
        <v>-1000</v>
      </c>
      <c r="AP619" s="132">
        <f t="shared" si="1235"/>
        <v>-1000</v>
      </c>
      <c r="AQ619" s="132">
        <f t="shared" si="1235"/>
        <v>-1000</v>
      </c>
      <c r="AR619" s="132">
        <f t="shared" si="1235"/>
        <v>-1000</v>
      </c>
      <c r="AS619" s="132">
        <f t="shared" si="1235"/>
        <v>-1000</v>
      </c>
    </row>
    <row r="620">
      <c r="A620" s="132" t="s">
        <v>4122</v>
      </c>
      <c r="B620" s="132">
        <v>100.0</v>
      </c>
      <c r="C620" s="132">
        <v>0.0</v>
      </c>
      <c r="D620" s="132">
        <v>0.0</v>
      </c>
      <c r="E620" s="132">
        <v>0.0</v>
      </c>
      <c r="F620" s="132">
        <v>0.0</v>
      </c>
      <c r="G620" s="132">
        <v>100.0</v>
      </c>
      <c r="H620" s="132">
        <v>0.0</v>
      </c>
      <c r="I620" s="132">
        <v>0.0</v>
      </c>
      <c r="J620" s="132">
        <v>0.0</v>
      </c>
      <c r="K620" s="132">
        <v>0.0</v>
      </c>
      <c r="L620" s="132">
        <v>0.0</v>
      </c>
      <c r="M620" s="132">
        <v>0.0</v>
      </c>
      <c r="N620" s="132">
        <v>0.0</v>
      </c>
      <c r="O620" s="132">
        <v>0.0</v>
      </c>
      <c r="P620" s="132">
        <v>0.0</v>
      </c>
      <c r="Q620" s="132">
        <v>0.0</v>
      </c>
      <c r="R620" s="132">
        <v>0.0</v>
      </c>
      <c r="S620" s="132">
        <v>0.0</v>
      </c>
      <c r="T620" s="132">
        <v>0.0</v>
      </c>
      <c r="U620" s="132">
        <v>0.0</v>
      </c>
      <c r="V620" s="132">
        <v>0.0</v>
      </c>
      <c r="W620" s="132">
        <v>0.0</v>
      </c>
      <c r="Y620" s="132" t="s">
        <v>4122</v>
      </c>
      <c r="Z620" s="132">
        <f t="shared" ref="Z620:AC620" si="1236">C620-1000</f>
        <v>-1000</v>
      </c>
      <c r="AA620" s="132">
        <f t="shared" si="1236"/>
        <v>-1000</v>
      </c>
      <c r="AB620" s="132">
        <f t="shared" si="1236"/>
        <v>-1000</v>
      </c>
      <c r="AC620" s="132">
        <f t="shared" si="1236"/>
        <v>-1000</v>
      </c>
      <c r="AD620" s="132">
        <f t="shared" si="4"/>
        <v>-9900</v>
      </c>
      <c r="AE620" s="132">
        <f t="shared" ref="AE620:AS620" si="1237">H620-1000</f>
        <v>-1000</v>
      </c>
      <c r="AF620" s="132">
        <f t="shared" si="1237"/>
        <v>-1000</v>
      </c>
      <c r="AG620" s="132">
        <f t="shared" si="1237"/>
        <v>-1000</v>
      </c>
      <c r="AH620" s="132">
        <f t="shared" si="1237"/>
        <v>-1000</v>
      </c>
      <c r="AI620" s="132">
        <f t="shared" si="1237"/>
        <v>-1000</v>
      </c>
      <c r="AJ620" s="132">
        <f t="shared" si="1237"/>
        <v>-1000</v>
      </c>
      <c r="AK620" s="132">
        <f t="shared" si="1237"/>
        <v>-1000</v>
      </c>
      <c r="AL620" s="132">
        <f t="shared" si="1237"/>
        <v>-1000</v>
      </c>
      <c r="AM620" s="132">
        <f t="shared" si="1237"/>
        <v>-1000</v>
      </c>
      <c r="AN620" s="132">
        <f t="shared" si="1237"/>
        <v>-1000</v>
      </c>
      <c r="AO620" s="132">
        <f t="shared" si="1237"/>
        <v>-1000</v>
      </c>
      <c r="AP620" s="132">
        <f t="shared" si="1237"/>
        <v>-1000</v>
      </c>
      <c r="AQ620" s="132">
        <f t="shared" si="1237"/>
        <v>-1000</v>
      </c>
      <c r="AR620" s="132">
        <f t="shared" si="1237"/>
        <v>-1000</v>
      </c>
      <c r="AS620" s="132">
        <f t="shared" si="1237"/>
        <v>-1000</v>
      </c>
    </row>
    <row r="621">
      <c r="A621" s="132" t="s">
        <v>4123</v>
      </c>
      <c r="B621" s="132">
        <v>200.0</v>
      </c>
      <c r="C621" s="132">
        <v>0.0</v>
      </c>
      <c r="D621" s="132">
        <v>0.0</v>
      </c>
      <c r="E621" s="132">
        <v>0.0</v>
      </c>
      <c r="F621" s="132">
        <v>0.0</v>
      </c>
      <c r="G621" s="132">
        <v>200.0</v>
      </c>
      <c r="H621" s="132">
        <v>0.0</v>
      </c>
      <c r="I621" s="132">
        <v>0.0</v>
      </c>
      <c r="J621" s="132">
        <v>0.0</v>
      </c>
      <c r="K621" s="132">
        <v>0.0</v>
      </c>
      <c r="L621" s="132">
        <v>0.0</v>
      </c>
      <c r="M621" s="132">
        <v>0.0</v>
      </c>
      <c r="N621" s="132">
        <v>0.0</v>
      </c>
      <c r="O621" s="132">
        <v>0.0</v>
      </c>
      <c r="P621" s="132">
        <v>0.0</v>
      </c>
      <c r="Q621" s="132">
        <v>0.0</v>
      </c>
      <c r="R621" s="132">
        <v>0.0</v>
      </c>
      <c r="S621" s="132">
        <v>0.0</v>
      </c>
      <c r="T621" s="132">
        <v>0.0</v>
      </c>
      <c r="U621" s="132">
        <v>0.0</v>
      </c>
      <c r="V621" s="132">
        <v>0.0</v>
      </c>
      <c r="W621" s="132">
        <v>1.0</v>
      </c>
      <c r="Y621" s="132" t="s">
        <v>4123</v>
      </c>
      <c r="Z621" s="132">
        <f t="shared" ref="Z621:AC621" si="1238">C621-1000</f>
        <v>-1000</v>
      </c>
      <c r="AA621" s="132">
        <f t="shared" si="1238"/>
        <v>-1000</v>
      </c>
      <c r="AB621" s="132">
        <f t="shared" si="1238"/>
        <v>-1000</v>
      </c>
      <c r="AC621" s="132">
        <f t="shared" si="1238"/>
        <v>-1000</v>
      </c>
      <c r="AD621" s="132">
        <f t="shared" si="4"/>
        <v>-9800</v>
      </c>
      <c r="AE621" s="132">
        <f t="shared" ref="AE621:AS621" si="1239">H621-1000</f>
        <v>-1000</v>
      </c>
      <c r="AF621" s="132">
        <f t="shared" si="1239"/>
        <v>-1000</v>
      </c>
      <c r="AG621" s="132">
        <f t="shared" si="1239"/>
        <v>-1000</v>
      </c>
      <c r="AH621" s="132">
        <f t="shared" si="1239"/>
        <v>-1000</v>
      </c>
      <c r="AI621" s="132">
        <f t="shared" si="1239"/>
        <v>-1000</v>
      </c>
      <c r="AJ621" s="132">
        <f t="shared" si="1239"/>
        <v>-1000</v>
      </c>
      <c r="AK621" s="132">
        <f t="shared" si="1239"/>
        <v>-1000</v>
      </c>
      <c r="AL621" s="132">
        <f t="shared" si="1239"/>
        <v>-1000</v>
      </c>
      <c r="AM621" s="132">
        <f t="shared" si="1239"/>
        <v>-1000</v>
      </c>
      <c r="AN621" s="132">
        <f t="shared" si="1239"/>
        <v>-1000</v>
      </c>
      <c r="AO621" s="132">
        <f t="shared" si="1239"/>
        <v>-1000</v>
      </c>
      <c r="AP621" s="132">
        <f t="shared" si="1239"/>
        <v>-1000</v>
      </c>
      <c r="AQ621" s="132">
        <f t="shared" si="1239"/>
        <v>-1000</v>
      </c>
      <c r="AR621" s="132">
        <f t="shared" si="1239"/>
        <v>-1000</v>
      </c>
      <c r="AS621" s="132">
        <f t="shared" si="1239"/>
        <v>-1000</v>
      </c>
    </row>
    <row r="622">
      <c r="A622" s="132" t="s">
        <v>4124</v>
      </c>
      <c r="B622" s="132">
        <v>50.0</v>
      </c>
      <c r="C622" s="132">
        <v>0.0</v>
      </c>
      <c r="D622" s="132">
        <v>0.0</v>
      </c>
      <c r="E622" s="132">
        <v>0.0</v>
      </c>
      <c r="F622" s="132">
        <v>0.0</v>
      </c>
      <c r="G622" s="132">
        <v>50.0</v>
      </c>
      <c r="H622" s="132">
        <v>0.0</v>
      </c>
      <c r="I622" s="132">
        <v>0.0</v>
      </c>
      <c r="J622" s="132">
        <v>0.0</v>
      </c>
      <c r="K622" s="132">
        <v>0.0</v>
      </c>
      <c r="L622" s="132">
        <v>0.0</v>
      </c>
      <c r="M622" s="132">
        <v>0.0</v>
      </c>
      <c r="N622" s="132">
        <v>0.0</v>
      </c>
      <c r="O622" s="132">
        <v>0.0</v>
      </c>
      <c r="P622" s="132">
        <v>0.0</v>
      </c>
      <c r="Q622" s="132">
        <v>0.0</v>
      </c>
      <c r="R622" s="132">
        <v>0.0</v>
      </c>
      <c r="S622" s="132">
        <v>0.0</v>
      </c>
      <c r="T622" s="132">
        <v>0.0</v>
      </c>
      <c r="U622" s="132">
        <v>0.0</v>
      </c>
      <c r="V622" s="132">
        <v>0.0</v>
      </c>
      <c r="W622" s="132">
        <v>0.0</v>
      </c>
      <c r="Y622" s="132" t="s">
        <v>4124</v>
      </c>
      <c r="Z622" s="132">
        <f t="shared" ref="Z622:AC622" si="1240">C622-1000</f>
        <v>-1000</v>
      </c>
      <c r="AA622" s="132">
        <f t="shared" si="1240"/>
        <v>-1000</v>
      </c>
      <c r="AB622" s="132">
        <f t="shared" si="1240"/>
        <v>-1000</v>
      </c>
      <c r="AC622" s="132">
        <f t="shared" si="1240"/>
        <v>-1000</v>
      </c>
      <c r="AD622" s="132">
        <f t="shared" si="4"/>
        <v>-9950</v>
      </c>
      <c r="AE622" s="132">
        <f t="shared" ref="AE622:AS622" si="1241">H622-1000</f>
        <v>-1000</v>
      </c>
      <c r="AF622" s="132">
        <f t="shared" si="1241"/>
        <v>-1000</v>
      </c>
      <c r="AG622" s="132">
        <f t="shared" si="1241"/>
        <v>-1000</v>
      </c>
      <c r="AH622" s="132">
        <f t="shared" si="1241"/>
        <v>-1000</v>
      </c>
      <c r="AI622" s="132">
        <f t="shared" si="1241"/>
        <v>-1000</v>
      </c>
      <c r="AJ622" s="132">
        <f t="shared" si="1241"/>
        <v>-1000</v>
      </c>
      <c r="AK622" s="132">
        <f t="shared" si="1241"/>
        <v>-1000</v>
      </c>
      <c r="AL622" s="132">
        <f t="shared" si="1241"/>
        <v>-1000</v>
      </c>
      <c r="AM622" s="132">
        <f t="shared" si="1241"/>
        <v>-1000</v>
      </c>
      <c r="AN622" s="132">
        <f t="shared" si="1241"/>
        <v>-1000</v>
      </c>
      <c r="AO622" s="132">
        <f t="shared" si="1241"/>
        <v>-1000</v>
      </c>
      <c r="AP622" s="132">
        <f t="shared" si="1241"/>
        <v>-1000</v>
      </c>
      <c r="AQ622" s="132">
        <f t="shared" si="1241"/>
        <v>-1000</v>
      </c>
      <c r="AR622" s="132">
        <f t="shared" si="1241"/>
        <v>-1000</v>
      </c>
      <c r="AS622" s="132">
        <f t="shared" si="1241"/>
        <v>-1000</v>
      </c>
    </row>
    <row r="623">
      <c r="A623" s="132" t="s">
        <v>4125</v>
      </c>
      <c r="B623" s="132">
        <v>50.0</v>
      </c>
      <c r="C623" s="132">
        <v>0.0</v>
      </c>
      <c r="D623" s="132">
        <v>0.0</v>
      </c>
      <c r="E623" s="132">
        <v>0.0</v>
      </c>
      <c r="F623" s="132">
        <v>0.0</v>
      </c>
      <c r="G623" s="132">
        <v>50.0</v>
      </c>
      <c r="H623" s="132">
        <v>0.0</v>
      </c>
      <c r="I623" s="132">
        <v>0.0</v>
      </c>
      <c r="J623" s="132">
        <v>0.0</v>
      </c>
      <c r="K623" s="132">
        <v>0.0</v>
      </c>
      <c r="L623" s="132">
        <v>0.0</v>
      </c>
      <c r="M623" s="132">
        <v>0.0</v>
      </c>
      <c r="N623" s="132">
        <v>0.0</v>
      </c>
      <c r="O623" s="132">
        <v>0.0</v>
      </c>
      <c r="P623" s="132">
        <v>0.0</v>
      </c>
      <c r="Q623" s="132">
        <v>0.0</v>
      </c>
      <c r="R623" s="132">
        <v>0.0</v>
      </c>
      <c r="S623" s="132">
        <v>0.0</v>
      </c>
      <c r="T623" s="132">
        <v>0.0</v>
      </c>
      <c r="U623" s="132">
        <v>0.0</v>
      </c>
      <c r="V623" s="132">
        <v>0.0</v>
      </c>
      <c r="W623" s="132">
        <v>0.0</v>
      </c>
      <c r="Y623" s="132" t="s">
        <v>4125</v>
      </c>
      <c r="Z623" s="132">
        <f t="shared" ref="Z623:AC623" si="1242">C623-1000</f>
        <v>-1000</v>
      </c>
      <c r="AA623" s="132">
        <f t="shared" si="1242"/>
        <v>-1000</v>
      </c>
      <c r="AB623" s="132">
        <f t="shared" si="1242"/>
        <v>-1000</v>
      </c>
      <c r="AC623" s="132">
        <f t="shared" si="1242"/>
        <v>-1000</v>
      </c>
      <c r="AD623" s="132">
        <f t="shared" si="4"/>
        <v>-9950</v>
      </c>
      <c r="AE623" s="132">
        <f t="shared" ref="AE623:AS623" si="1243">H623-1000</f>
        <v>-1000</v>
      </c>
      <c r="AF623" s="132">
        <f t="shared" si="1243"/>
        <v>-1000</v>
      </c>
      <c r="AG623" s="132">
        <f t="shared" si="1243"/>
        <v>-1000</v>
      </c>
      <c r="AH623" s="132">
        <f t="shared" si="1243"/>
        <v>-1000</v>
      </c>
      <c r="AI623" s="132">
        <f t="shared" si="1243"/>
        <v>-1000</v>
      </c>
      <c r="AJ623" s="132">
        <f t="shared" si="1243"/>
        <v>-1000</v>
      </c>
      <c r="AK623" s="132">
        <f t="shared" si="1243"/>
        <v>-1000</v>
      </c>
      <c r="AL623" s="132">
        <f t="shared" si="1243"/>
        <v>-1000</v>
      </c>
      <c r="AM623" s="132">
        <f t="shared" si="1243"/>
        <v>-1000</v>
      </c>
      <c r="AN623" s="132">
        <f t="shared" si="1243"/>
        <v>-1000</v>
      </c>
      <c r="AO623" s="132">
        <f t="shared" si="1243"/>
        <v>-1000</v>
      </c>
      <c r="AP623" s="132">
        <f t="shared" si="1243"/>
        <v>-1000</v>
      </c>
      <c r="AQ623" s="132">
        <f t="shared" si="1243"/>
        <v>-1000</v>
      </c>
      <c r="AR623" s="132">
        <f t="shared" si="1243"/>
        <v>-1000</v>
      </c>
      <c r="AS623" s="132">
        <f t="shared" si="1243"/>
        <v>-1000</v>
      </c>
    </row>
    <row r="624">
      <c r="A624" s="132" t="s">
        <v>4126</v>
      </c>
      <c r="B624" s="132">
        <v>500.0</v>
      </c>
      <c r="C624" s="132">
        <v>0.0</v>
      </c>
      <c r="D624" s="132">
        <v>0.0</v>
      </c>
      <c r="E624" s="132">
        <v>0.0</v>
      </c>
      <c r="F624" s="132">
        <v>0.0</v>
      </c>
      <c r="G624" s="132">
        <v>500.0</v>
      </c>
      <c r="H624" s="132">
        <v>0.0</v>
      </c>
      <c r="I624" s="132">
        <v>0.0</v>
      </c>
      <c r="J624" s="132">
        <v>0.0</v>
      </c>
      <c r="K624" s="132">
        <v>0.0</v>
      </c>
      <c r="L624" s="132">
        <v>0.0</v>
      </c>
      <c r="M624" s="132">
        <v>0.0</v>
      </c>
      <c r="N624" s="132">
        <v>0.0</v>
      </c>
      <c r="O624" s="132">
        <v>0.0</v>
      </c>
      <c r="P624" s="132">
        <v>0.0</v>
      </c>
      <c r="Q624" s="132">
        <v>0.0</v>
      </c>
      <c r="R624" s="132">
        <v>0.0</v>
      </c>
      <c r="S624" s="132">
        <v>0.0</v>
      </c>
      <c r="T624" s="132">
        <v>0.0</v>
      </c>
      <c r="U624" s="132">
        <v>0.0</v>
      </c>
      <c r="V624" s="132">
        <v>0.0</v>
      </c>
      <c r="W624" s="132">
        <v>0.0</v>
      </c>
      <c r="Y624" s="132" t="s">
        <v>4126</v>
      </c>
      <c r="Z624" s="132">
        <f t="shared" ref="Z624:AC624" si="1244">C624-1000</f>
        <v>-1000</v>
      </c>
      <c r="AA624" s="132">
        <f t="shared" si="1244"/>
        <v>-1000</v>
      </c>
      <c r="AB624" s="132">
        <f t="shared" si="1244"/>
        <v>-1000</v>
      </c>
      <c r="AC624" s="132">
        <f t="shared" si="1244"/>
        <v>-1000</v>
      </c>
      <c r="AD624" s="132">
        <f t="shared" si="4"/>
        <v>-9500</v>
      </c>
      <c r="AE624" s="132">
        <f t="shared" ref="AE624:AS624" si="1245">H624-1000</f>
        <v>-1000</v>
      </c>
      <c r="AF624" s="132">
        <f t="shared" si="1245"/>
        <v>-1000</v>
      </c>
      <c r="AG624" s="132">
        <f t="shared" si="1245"/>
        <v>-1000</v>
      </c>
      <c r="AH624" s="132">
        <f t="shared" si="1245"/>
        <v>-1000</v>
      </c>
      <c r="AI624" s="132">
        <f t="shared" si="1245"/>
        <v>-1000</v>
      </c>
      <c r="AJ624" s="132">
        <f t="shared" si="1245"/>
        <v>-1000</v>
      </c>
      <c r="AK624" s="132">
        <f t="shared" si="1245"/>
        <v>-1000</v>
      </c>
      <c r="AL624" s="132">
        <f t="shared" si="1245"/>
        <v>-1000</v>
      </c>
      <c r="AM624" s="132">
        <f t="shared" si="1245"/>
        <v>-1000</v>
      </c>
      <c r="AN624" s="132">
        <f t="shared" si="1245"/>
        <v>-1000</v>
      </c>
      <c r="AO624" s="132">
        <f t="shared" si="1245"/>
        <v>-1000</v>
      </c>
      <c r="AP624" s="132">
        <f t="shared" si="1245"/>
        <v>-1000</v>
      </c>
      <c r="AQ624" s="132">
        <f t="shared" si="1245"/>
        <v>-1000</v>
      </c>
      <c r="AR624" s="132">
        <f t="shared" si="1245"/>
        <v>-1000</v>
      </c>
      <c r="AS624" s="132">
        <f t="shared" si="1245"/>
        <v>-1000</v>
      </c>
    </row>
    <row r="625">
      <c r="A625" s="132" t="s">
        <v>4127</v>
      </c>
      <c r="B625" s="132">
        <v>10000.0</v>
      </c>
      <c r="C625" s="132">
        <v>0.0</v>
      </c>
      <c r="D625" s="132">
        <v>0.0</v>
      </c>
      <c r="E625" s="132">
        <v>0.0</v>
      </c>
      <c r="F625" s="132">
        <v>0.0</v>
      </c>
      <c r="G625" s="132">
        <v>10000.0</v>
      </c>
      <c r="H625" s="132">
        <v>0.0</v>
      </c>
      <c r="I625" s="132">
        <v>0.0</v>
      </c>
      <c r="J625" s="132">
        <v>0.0</v>
      </c>
      <c r="K625" s="132">
        <v>0.0</v>
      </c>
      <c r="L625" s="132">
        <v>0.0</v>
      </c>
      <c r="M625" s="132">
        <v>0.0</v>
      </c>
      <c r="N625" s="132">
        <v>0.0</v>
      </c>
      <c r="O625" s="132">
        <v>0.0</v>
      </c>
      <c r="P625" s="132">
        <v>0.0</v>
      </c>
      <c r="Q625" s="132">
        <v>0.0</v>
      </c>
      <c r="R625" s="132">
        <v>0.0</v>
      </c>
      <c r="S625" s="132">
        <v>0.0</v>
      </c>
      <c r="T625" s="132">
        <v>0.0</v>
      </c>
      <c r="U625" s="132">
        <v>0.0</v>
      </c>
      <c r="V625" s="132">
        <v>0.0</v>
      </c>
      <c r="W625" s="132">
        <v>0.0</v>
      </c>
      <c r="Y625" s="132" t="s">
        <v>4127</v>
      </c>
      <c r="Z625" s="132">
        <f t="shared" ref="Z625:AC625" si="1246">C625-1000</f>
        <v>-1000</v>
      </c>
      <c r="AA625" s="132">
        <f t="shared" si="1246"/>
        <v>-1000</v>
      </c>
      <c r="AB625" s="132">
        <f t="shared" si="1246"/>
        <v>-1000</v>
      </c>
      <c r="AC625" s="132">
        <f t="shared" si="1246"/>
        <v>-1000</v>
      </c>
      <c r="AD625" s="132">
        <f t="shared" si="4"/>
        <v>0</v>
      </c>
      <c r="AE625" s="132">
        <f t="shared" ref="AE625:AS625" si="1247">H625-1000</f>
        <v>-1000</v>
      </c>
      <c r="AF625" s="132">
        <f t="shared" si="1247"/>
        <v>-1000</v>
      </c>
      <c r="AG625" s="132">
        <f t="shared" si="1247"/>
        <v>-1000</v>
      </c>
      <c r="AH625" s="132">
        <f t="shared" si="1247"/>
        <v>-1000</v>
      </c>
      <c r="AI625" s="132">
        <f t="shared" si="1247"/>
        <v>-1000</v>
      </c>
      <c r="AJ625" s="132">
        <f t="shared" si="1247"/>
        <v>-1000</v>
      </c>
      <c r="AK625" s="132">
        <f t="shared" si="1247"/>
        <v>-1000</v>
      </c>
      <c r="AL625" s="132">
        <f t="shared" si="1247"/>
        <v>-1000</v>
      </c>
      <c r="AM625" s="132">
        <f t="shared" si="1247"/>
        <v>-1000</v>
      </c>
      <c r="AN625" s="132">
        <f t="shared" si="1247"/>
        <v>-1000</v>
      </c>
      <c r="AO625" s="132">
        <f t="shared" si="1247"/>
        <v>-1000</v>
      </c>
      <c r="AP625" s="132">
        <f t="shared" si="1247"/>
        <v>-1000</v>
      </c>
      <c r="AQ625" s="132">
        <f t="shared" si="1247"/>
        <v>-1000</v>
      </c>
      <c r="AR625" s="132">
        <f t="shared" si="1247"/>
        <v>-1000</v>
      </c>
      <c r="AS625" s="132">
        <f t="shared" si="1247"/>
        <v>-1000</v>
      </c>
    </row>
    <row r="626">
      <c r="A626" s="132" t="s">
        <v>4128</v>
      </c>
      <c r="B626" s="132">
        <v>50.0</v>
      </c>
      <c r="C626" s="132">
        <v>0.0</v>
      </c>
      <c r="D626" s="132">
        <v>0.0</v>
      </c>
      <c r="E626" s="132">
        <v>0.0</v>
      </c>
      <c r="F626" s="132">
        <v>0.0</v>
      </c>
      <c r="G626" s="132">
        <v>50.0</v>
      </c>
      <c r="H626" s="132">
        <v>0.0</v>
      </c>
      <c r="I626" s="132">
        <v>0.0</v>
      </c>
      <c r="J626" s="132">
        <v>0.0</v>
      </c>
      <c r="K626" s="132">
        <v>0.0</v>
      </c>
      <c r="L626" s="132">
        <v>0.0</v>
      </c>
      <c r="M626" s="132">
        <v>0.0</v>
      </c>
      <c r="N626" s="132">
        <v>0.0</v>
      </c>
      <c r="O626" s="132">
        <v>0.0</v>
      </c>
      <c r="P626" s="132">
        <v>0.0</v>
      </c>
      <c r="Q626" s="132">
        <v>0.0</v>
      </c>
      <c r="R626" s="132">
        <v>0.0</v>
      </c>
      <c r="S626" s="132">
        <v>0.0</v>
      </c>
      <c r="T626" s="132">
        <v>0.0</v>
      </c>
      <c r="U626" s="132">
        <v>0.0</v>
      </c>
      <c r="V626" s="132">
        <v>0.0</v>
      </c>
      <c r="W626" s="132">
        <v>0.0</v>
      </c>
      <c r="Y626" s="132" t="s">
        <v>4128</v>
      </c>
      <c r="Z626" s="132">
        <f t="shared" ref="Z626:AC626" si="1248">C626-1000</f>
        <v>-1000</v>
      </c>
      <c r="AA626" s="132">
        <f t="shared" si="1248"/>
        <v>-1000</v>
      </c>
      <c r="AB626" s="132">
        <f t="shared" si="1248"/>
        <v>-1000</v>
      </c>
      <c r="AC626" s="132">
        <f t="shared" si="1248"/>
        <v>-1000</v>
      </c>
      <c r="AD626" s="132">
        <f t="shared" si="4"/>
        <v>-9950</v>
      </c>
      <c r="AE626" s="132">
        <f t="shared" ref="AE626:AS626" si="1249">H626-1000</f>
        <v>-1000</v>
      </c>
      <c r="AF626" s="132">
        <f t="shared" si="1249"/>
        <v>-1000</v>
      </c>
      <c r="AG626" s="132">
        <f t="shared" si="1249"/>
        <v>-1000</v>
      </c>
      <c r="AH626" s="132">
        <f t="shared" si="1249"/>
        <v>-1000</v>
      </c>
      <c r="AI626" s="132">
        <f t="shared" si="1249"/>
        <v>-1000</v>
      </c>
      <c r="AJ626" s="132">
        <f t="shared" si="1249"/>
        <v>-1000</v>
      </c>
      <c r="AK626" s="132">
        <f t="shared" si="1249"/>
        <v>-1000</v>
      </c>
      <c r="AL626" s="132">
        <f t="shared" si="1249"/>
        <v>-1000</v>
      </c>
      <c r="AM626" s="132">
        <f t="shared" si="1249"/>
        <v>-1000</v>
      </c>
      <c r="AN626" s="132">
        <f t="shared" si="1249"/>
        <v>-1000</v>
      </c>
      <c r="AO626" s="132">
        <f t="shared" si="1249"/>
        <v>-1000</v>
      </c>
      <c r="AP626" s="132">
        <f t="shared" si="1249"/>
        <v>-1000</v>
      </c>
      <c r="AQ626" s="132">
        <f t="shared" si="1249"/>
        <v>-1000</v>
      </c>
      <c r="AR626" s="132">
        <f t="shared" si="1249"/>
        <v>-1000</v>
      </c>
      <c r="AS626" s="132">
        <f t="shared" si="1249"/>
        <v>-1000</v>
      </c>
    </row>
    <row r="627">
      <c r="A627" s="132" t="s">
        <v>4129</v>
      </c>
      <c r="B627" s="132">
        <v>1000.0</v>
      </c>
      <c r="C627" s="132">
        <v>0.0</v>
      </c>
      <c r="D627" s="132">
        <v>0.0</v>
      </c>
      <c r="E627" s="132">
        <v>0.0</v>
      </c>
      <c r="F627" s="132">
        <v>0.0</v>
      </c>
      <c r="G627" s="132">
        <v>1000.0</v>
      </c>
      <c r="H627" s="132">
        <v>0.0</v>
      </c>
      <c r="I627" s="132">
        <v>0.0</v>
      </c>
      <c r="J627" s="132">
        <v>0.0</v>
      </c>
      <c r="K627" s="132">
        <v>0.0</v>
      </c>
      <c r="L627" s="132">
        <v>0.0</v>
      </c>
      <c r="M627" s="132">
        <v>0.0</v>
      </c>
      <c r="N627" s="132">
        <v>0.0</v>
      </c>
      <c r="O627" s="132">
        <v>0.0</v>
      </c>
      <c r="P627" s="132">
        <v>0.0</v>
      </c>
      <c r="Q627" s="132">
        <v>0.0</v>
      </c>
      <c r="R627" s="132">
        <v>0.0</v>
      </c>
      <c r="S627" s="132">
        <v>0.0</v>
      </c>
      <c r="T627" s="132">
        <v>0.0</v>
      </c>
      <c r="U627" s="132">
        <v>0.0</v>
      </c>
      <c r="V627" s="132">
        <v>0.0</v>
      </c>
      <c r="W627" s="132">
        <v>0.0</v>
      </c>
      <c r="Y627" s="132" t="s">
        <v>4129</v>
      </c>
      <c r="Z627" s="132">
        <f t="shared" ref="Z627:AC627" si="1250">C627-1000</f>
        <v>-1000</v>
      </c>
      <c r="AA627" s="132">
        <f t="shared" si="1250"/>
        <v>-1000</v>
      </c>
      <c r="AB627" s="132">
        <f t="shared" si="1250"/>
        <v>-1000</v>
      </c>
      <c r="AC627" s="132">
        <f t="shared" si="1250"/>
        <v>-1000</v>
      </c>
      <c r="AD627" s="132">
        <f t="shared" si="4"/>
        <v>-9000</v>
      </c>
      <c r="AE627" s="132">
        <f t="shared" ref="AE627:AS627" si="1251">H627-1000</f>
        <v>-1000</v>
      </c>
      <c r="AF627" s="132">
        <f t="shared" si="1251"/>
        <v>-1000</v>
      </c>
      <c r="AG627" s="132">
        <f t="shared" si="1251"/>
        <v>-1000</v>
      </c>
      <c r="AH627" s="132">
        <f t="shared" si="1251"/>
        <v>-1000</v>
      </c>
      <c r="AI627" s="132">
        <f t="shared" si="1251"/>
        <v>-1000</v>
      </c>
      <c r="AJ627" s="132">
        <f t="shared" si="1251"/>
        <v>-1000</v>
      </c>
      <c r="AK627" s="132">
        <f t="shared" si="1251"/>
        <v>-1000</v>
      </c>
      <c r="AL627" s="132">
        <f t="shared" si="1251"/>
        <v>-1000</v>
      </c>
      <c r="AM627" s="132">
        <f t="shared" si="1251"/>
        <v>-1000</v>
      </c>
      <c r="AN627" s="132">
        <f t="shared" si="1251"/>
        <v>-1000</v>
      </c>
      <c r="AO627" s="132">
        <f t="shared" si="1251"/>
        <v>-1000</v>
      </c>
      <c r="AP627" s="132">
        <f t="shared" si="1251"/>
        <v>-1000</v>
      </c>
      <c r="AQ627" s="132">
        <f t="shared" si="1251"/>
        <v>-1000</v>
      </c>
      <c r="AR627" s="132">
        <f t="shared" si="1251"/>
        <v>-1000</v>
      </c>
      <c r="AS627" s="132">
        <f t="shared" si="1251"/>
        <v>-1000</v>
      </c>
    </row>
    <row r="628">
      <c r="A628" s="132" t="s">
        <v>4130</v>
      </c>
      <c r="B628" s="132">
        <v>5000.0</v>
      </c>
      <c r="C628" s="132">
        <v>0.0</v>
      </c>
      <c r="D628" s="132">
        <v>0.0</v>
      </c>
      <c r="E628" s="132">
        <v>0.0</v>
      </c>
      <c r="F628" s="132">
        <v>0.0</v>
      </c>
      <c r="G628" s="132">
        <v>5000.0</v>
      </c>
      <c r="H628" s="132">
        <v>0.0</v>
      </c>
      <c r="I628" s="132">
        <v>0.0</v>
      </c>
      <c r="J628" s="132">
        <v>0.0</v>
      </c>
      <c r="K628" s="132">
        <v>0.0</v>
      </c>
      <c r="L628" s="132">
        <v>0.0</v>
      </c>
      <c r="M628" s="132">
        <v>0.0</v>
      </c>
      <c r="N628" s="132">
        <v>0.0</v>
      </c>
      <c r="O628" s="132">
        <v>0.0</v>
      </c>
      <c r="P628" s="132">
        <v>0.0</v>
      </c>
      <c r="Q628" s="132">
        <v>0.0</v>
      </c>
      <c r="R628" s="132">
        <v>0.0</v>
      </c>
      <c r="S628" s="132">
        <v>0.0</v>
      </c>
      <c r="T628" s="132">
        <v>0.0</v>
      </c>
      <c r="U628" s="132">
        <v>0.0</v>
      </c>
      <c r="V628" s="132">
        <v>0.0</v>
      </c>
      <c r="W628" s="132">
        <v>0.0</v>
      </c>
      <c r="Y628" s="132" t="s">
        <v>4130</v>
      </c>
      <c r="Z628" s="132">
        <f t="shared" ref="Z628:AC628" si="1252">C628-1000</f>
        <v>-1000</v>
      </c>
      <c r="AA628" s="132">
        <f t="shared" si="1252"/>
        <v>-1000</v>
      </c>
      <c r="AB628" s="132">
        <f t="shared" si="1252"/>
        <v>-1000</v>
      </c>
      <c r="AC628" s="132">
        <f t="shared" si="1252"/>
        <v>-1000</v>
      </c>
      <c r="AD628" s="132">
        <f t="shared" si="4"/>
        <v>-5000</v>
      </c>
      <c r="AE628" s="132">
        <f t="shared" ref="AE628:AS628" si="1253">H628-1000</f>
        <v>-1000</v>
      </c>
      <c r="AF628" s="132">
        <f t="shared" si="1253"/>
        <v>-1000</v>
      </c>
      <c r="AG628" s="132">
        <f t="shared" si="1253"/>
        <v>-1000</v>
      </c>
      <c r="AH628" s="132">
        <f t="shared" si="1253"/>
        <v>-1000</v>
      </c>
      <c r="AI628" s="132">
        <f t="shared" si="1253"/>
        <v>-1000</v>
      </c>
      <c r="AJ628" s="132">
        <f t="shared" si="1253"/>
        <v>-1000</v>
      </c>
      <c r="AK628" s="132">
        <f t="shared" si="1253"/>
        <v>-1000</v>
      </c>
      <c r="AL628" s="132">
        <f t="shared" si="1253"/>
        <v>-1000</v>
      </c>
      <c r="AM628" s="132">
        <f t="shared" si="1253"/>
        <v>-1000</v>
      </c>
      <c r="AN628" s="132">
        <f t="shared" si="1253"/>
        <v>-1000</v>
      </c>
      <c r="AO628" s="132">
        <f t="shared" si="1253"/>
        <v>-1000</v>
      </c>
      <c r="AP628" s="132">
        <f t="shared" si="1253"/>
        <v>-1000</v>
      </c>
      <c r="AQ628" s="132">
        <f t="shared" si="1253"/>
        <v>-1000</v>
      </c>
      <c r="AR628" s="132">
        <f t="shared" si="1253"/>
        <v>-1000</v>
      </c>
      <c r="AS628" s="132">
        <f t="shared" si="1253"/>
        <v>-1000</v>
      </c>
    </row>
    <row r="629">
      <c r="A629" s="132" t="s">
        <v>4131</v>
      </c>
      <c r="B629" s="132">
        <v>100.0</v>
      </c>
      <c r="C629" s="132">
        <v>0.0</v>
      </c>
      <c r="D629" s="132">
        <v>0.0</v>
      </c>
      <c r="E629" s="132">
        <v>0.0</v>
      </c>
      <c r="F629" s="132">
        <v>0.0</v>
      </c>
      <c r="G629" s="132">
        <v>100.0</v>
      </c>
      <c r="H629" s="132">
        <v>0.0</v>
      </c>
      <c r="I629" s="132">
        <v>0.0</v>
      </c>
      <c r="J629" s="132">
        <v>0.0</v>
      </c>
      <c r="K629" s="132">
        <v>0.0</v>
      </c>
      <c r="L629" s="132">
        <v>0.0</v>
      </c>
      <c r="M629" s="132">
        <v>0.0</v>
      </c>
      <c r="N629" s="132">
        <v>0.0</v>
      </c>
      <c r="O629" s="132">
        <v>0.0</v>
      </c>
      <c r="P629" s="132">
        <v>0.0</v>
      </c>
      <c r="Q629" s="132">
        <v>0.0</v>
      </c>
      <c r="R629" s="132">
        <v>0.0</v>
      </c>
      <c r="S629" s="132">
        <v>0.0</v>
      </c>
      <c r="T629" s="132">
        <v>0.0</v>
      </c>
      <c r="U629" s="132">
        <v>0.0</v>
      </c>
      <c r="V629" s="132">
        <v>0.0</v>
      </c>
      <c r="W629" s="132">
        <v>0.0</v>
      </c>
      <c r="Y629" s="132" t="s">
        <v>4131</v>
      </c>
      <c r="Z629" s="132">
        <f t="shared" ref="Z629:AC629" si="1254">C629-1000</f>
        <v>-1000</v>
      </c>
      <c r="AA629" s="132">
        <f t="shared" si="1254"/>
        <v>-1000</v>
      </c>
      <c r="AB629" s="132">
        <f t="shared" si="1254"/>
        <v>-1000</v>
      </c>
      <c r="AC629" s="132">
        <f t="shared" si="1254"/>
        <v>-1000</v>
      </c>
      <c r="AD629" s="132">
        <f t="shared" si="4"/>
        <v>-9900</v>
      </c>
      <c r="AE629" s="132">
        <f t="shared" ref="AE629:AS629" si="1255">H629-1000</f>
        <v>-1000</v>
      </c>
      <c r="AF629" s="132">
        <f t="shared" si="1255"/>
        <v>-1000</v>
      </c>
      <c r="AG629" s="132">
        <f t="shared" si="1255"/>
        <v>-1000</v>
      </c>
      <c r="AH629" s="132">
        <f t="shared" si="1255"/>
        <v>-1000</v>
      </c>
      <c r="AI629" s="132">
        <f t="shared" si="1255"/>
        <v>-1000</v>
      </c>
      <c r="AJ629" s="132">
        <f t="shared" si="1255"/>
        <v>-1000</v>
      </c>
      <c r="AK629" s="132">
        <f t="shared" si="1255"/>
        <v>-1000</v>
      </c>
      <c r="AL629" s="132">
        <f t="shared" si="1255"/>
        <v>-1000</v>
      </c>
      <c r="AM629" s="132">
        <f t="shared" si="1255"/>
        <v>-1000</v>
      </c>
      <c r="AN629" s="132">
        <f t="shared" si="1255"/>
        <v>-1000</v>
      </c>
      <c r="AO629" s="132">
        <f t="shared" si="1255"/>
        <v>-1000</v>
      </c>
      <c r="AP629" s="132">
        <f t="shared" si="1255"/>
        <v>-1000</v>
      </c>
      <c r="AQ629" s="132">
        <f t="shared" si="1255"/>
        <v>-1000</v>
      </c>
      <c r="AR629" s="132">
        <f t="shared" si="1255"/>
        <v>-1000</v>
      </c>
      <c r="AS629" s="132">
        <f t="shared" si="1255"/>
        <v>-1000</v>
      </c>
    </row>
    <row r="630">
      <c r="A630" s="132" t="s">
        <v>4132</v>
      </c>
      <c r="B630" s="132">
        <v>250.0</v>
      </c>
      <c r="C630" s="132">
        <v>0.0</v>
      </c>
      <c r="D630" s="132">
        <v>0.0</v>
      </c>
      <c r="E630" s="132">
        <v>0.0</v>
      </c>
      <c r="F630" s="132">
        <v>0.0</v>
      </c>
      <c r="G630" s="132">
        <v>250.0</v>
      </c>
      <c r="H630" s="132">
        <v>0.0</v>
      </c>
      <c r="I630" s="132">
        <v>0.0</v>
      </c>
      <c r="J630" s="132">
        <v>0.0</v>
      </c>
      <c r="K630" s="132">
        <v>0.0</v>
      </c>
      <c r="L630" s="132">
        <v>0.0</v>
      </c>
      <c r="M630" s="132">
        <v>0.0</v>
      </c>
      <c r="N630" s="132">
        <v>0.0</v>
      </c>
      <c r="O630" s="132">
        <v>0.0</v>
      </c>
      <c r="P630" s="132">
        <v>0.0</v>
      </c>
      <c r="Q630" s="132">
        <v>0.0</v>
      </c>
      <c r="R630" s="132">
        <v>0.0</v>
      </c>
      <c r="S630" s="132">
        <v>0.0</v>
      </c>
      <c r="T630" s="132">
        <v>0.0</v>
      </c>
      <c r="U630" s="132">
        <v>0.0</v>
      </c>
      <c r="V630" s="132">
        <v>0.0</v>
      </c>
      <c r="W630" s="132">
        <v>0.0</v>
      </c>
      <c r="Y630" s="132" t="s">
        <v>4132</v>
      </c>
      <c r="Z630" s="132">
        <f t="shared" ref="Z630:AC630" si="1256">C630-1000</f>
        <v>-1000</v>
      </c>
      <c r="AA630" s="132">
        <f t="shared" si="1256"/>
        <v>-1000</v>
      </c>
      <c r="AB630" s="132">
        <f t="shared" si="1256"/>
        <v>-1000</v>
      </c>
      <c r="AC630" s="132">
        <f t="shared" si="1256"/>
        <v>-1000</v>
      </c>
      <c r="AD630" s="132">
        <f t="shared" si="4"/>
        <v>-9750</v>
      </c>
      <c r="AE630" s="132">
        <f t="shared" ref="AE630:AS630" si="1257">H630-1000</f>
        <v>-1000</v>
      </c>
      <c r="AF630" s="132">
        <f t="shared" si="1257"/>
        <v>-1000</v>
      </c>
      <c r="AG630" s="132">
        <f t="shared" si="1257"/>
        <v>-1000</v>
      </c>
      <c r="AH630" s="132">
        <f t="shared" si="1257"/>
        <v>-1000</v>
      </c>
      <c r="AI630" s="132">
        <f t="shared" si="1257"/>
        <v>-1000</v>
      </c>
      <c r="AJ630" s="132">
        <f t="shared" si="1257"/>
        <v>-1000</v>
      </c>
      <c r="AK630" s="132">
        <f t="shared" si="1257"/>
        <v>-1000</v>
      </c>
      <c r="AL630" s="132">
        <f t="shared" si="1257"/>
        <v>-1000</v>
      </c>
      <c r="AM630" s="132">
        <f t="shared" si="1257"/>
        <v>-1000</v>
      </c>
      <c r="AN630" s="132">
        <f t="shared" si="1257"/>
        <v>-1000</v>
      </c>
      <c r="AO630" s="132">
        <f t="shared" si="1257"/>
        <v>-1000</v>
      </c>
      <c r="AP630" s="132">
        <f t="shared" si="1257"/>
        <v>-1000</v>
      </c>
      <c r="AQ630" s="132">
        <f t="shared" si="1257"/>
        <v>-1000</v>
      </c>
      <c r="AR630" s="132">
        <f t="shared" si="1257"/>
        <v>-1000</v>
      </c>
      <c r="AS630" s="132">
        <f t="shared" si="1257"/>
        <v>-1000</v>
      </c>
    </row>
    <row r="631">
      <c r="A631" s="132" t="s">
        <v>4133</v>
      </c>
      <c r="B631" s="132">
        <v>1750.0</v>
      </c>
      <c r="C631" s="132">
        <v>0.0</v>
      </c>
      <c r="D631" s="132">
        <v>0.0</v>
      </c>
      <c r="E631" s="132">
        <v>0.0</v>
      </c>
      <c r="F631" s="132">
        <v>0.0</v>
      </c>
      <c r="G631" s="132">
        <v>1500.0</v>
      </c>
      <c r="H631" s="132">
        <v>0.0</v>
      </c>
      <c r="I631" s="132">
        <v>0.0</v>
      </c>
      <c r="J631" s="132">
        <v>0.0</v>
      </c>
      <c r="K631" s="132">
        <v>0.0</v>
      </c>
      <c r="L631" s="132">
        <v>0.0</v>
      </c>
      <c r="M631" s="132">
        <v>250.0</v>
      </c>
      <c r="N631" s="132">
        <v>0.0</v>
      </c>
      <c r="O631" s="132">
        <v>0.0</v>
      </c>
      <c r="P631" s="132">
        <v>0.0</v>
      </c>
      <c r="Q631" s="132">
        <v>0.0</v>
      </c>
      <c r="R631" s="132">
        <v>0.0</v>
      </c>
      <c r="S631" s="132">
        <v>0.0</v>
      </c>
      <c r="T631" s="132">
        <v>0.0</v>
      </c>
      <c r="U631" s="132">
        <v>0.0</v>
      </c>
      <c r="V631" s="132">
        <v>0.0</v>
      </c>
      <c r="W631" s="132">
        <v>1.0</v>
      </c>
      <c r="Y631" s="132" t="s">
        <v>4133</v>
      </c>
      <c r="Z631" s="132">
        <f t="shared" ref="Z631:AC631" si="1258">C631-1000</f>
        <v>-1000</v>
      </c>
      <c r="AA631" s="132">
        <f t="shared" si="1258"/>
        <v>-1000</v>
      </c>
      <c r="AB631" s="132">
        <f t="shared" si="1258"/>
        <v>-1000</v>
      </c>
      <c r="AC631" s="132">
        <f t="shared" si="1258"/>
        <v>-1000</v>
      </c>
      <c r="AD631" s="132">
        <f t="shared" si="4"/>
        <v>-8500</v>
      </c>
      <c r="AE631" s="132">
        <f t="shared" ref="AE631:AS631" si="1259">H631-1000</f>
        <v>-1000</v>
      </c>
      <c r="AF631" s="132">
        <f t="shared" si="1259"/>
        <v>-1000</v>
      </c>
      <c r="AG631" s="132">
        <f t="shared" si="1259"/>
        <v>-1000</v>
      </c>
      <c r="AH631" s="132">
        <f t="shared" si="1259"/>
        <v>-1000</v>
      </c>
      <c r="AI631" s="132">
        <f t="shared" si="1259"/>
        <v>-1000</v>
      </c>
      <c r="AJ631" s="132">
        <f t="shared" si="1259"/>
        <v>-750</v>
      </c>
      <c r="AK631" s="132">
        <f t="shared" si="1259"/>
        <v>-1000</v>
      </c>
      <c r="AL631" s="132">
        <f t="shared" si="1259"/>
        <v>-1000</v>
      </c>
      <c r="AM631" s="132">
        <f t="shared" si="1259"/>
        <v>-1000</v>
      </c>
      <c r="AN631" s="132">
        <f t="shared" si="1259"/>
        <v>-1000</v>
      </c>
      <c r="AO631" s="132">
        <f t="shared" si="1259"/>
        <v>-1000</v>
      </c>
      <c r="AP631" s="132">
        <f t="shared" si="1259"/>
        <v>-1000</v>
      </c>
      <c r="AQ631" s="132">
        <f t="shared" si="1259"/>
        <v>-1000</v>
      </c>
      <c r="AR631" s="132">
        <f t="shared" si="1259"/>
        <v>-1000</v>
      </c>
      <c r="AS631" s="132">
        <f t="shared" si="1259"/>
        <v>-1000</v>
      </c>
    </row>
    <row r="632">
      <c r="A632" s="132" t="s">
        <v>4134</v>
      </c>
      <c r="B632" s="132">
        <v>100.0</v>
      </c>
      <c r="C632" s="132">
        <v>0.0</v>
      </c>
      <c r="D632" s="132">
        <v>0.0</v>
      </c>
      <c r="E632" s="132">
        <v>0.0</v>
      </c>
      <c r="F632" s="132">
        <v>0.0</v>
      </c>
      <c r="G632" s="132">
        <v>100.0</v>
      </c>
      <c r="H632" s="132">
        <v>0.0</v>
      </c>
      <c r="I632" s="132">
        <v>0.0</v>
      </c>
      <c r="J632" s="132">
        <v>0.0</v>
      </c>
      <c r="K632" s="132">
        <v>0.0</v>
      </c>
      <c r="L632" s="132">
        <v>0.0</v>
      </c>
      <c r="M632" s="132">
        <v>0.0</v>
      </c>
      <c r="N632" s="132">
        <v>0.0</v>
      </c>
      <c r="O632" s="132">
        <v>0.0</v>
      </c>
      <c r="P632" s="132">
        <v>0.0</v>
      </c>
      <c r="Q632" s="132">
        <v>0.0</v>
      </c>
      <c r="R632" s="132">
        <v>0.0</v>
      </c>
      <c r="S632" s="132">
        <v>0.0</v>
      </c>
      <c r="T632" s="132">
        <v>0.0</v>
      </c>
      <c r="U632" s="132">
        <v>0.0</v>
      </c>
      <c r="V632" s="132">
        <v>0.0</v>
      </c>
      <c r="W632" s="132">
        <v>0.0</v>
      </c>
      <c r="Y632" s="132" t="s">
        <v>4134</v>
      </c>
      <c r="Z632" s="132">
        <f t="shared" ref="Z632:AC632" si="1260">C632-1000</f>
        <v>-1000</v>
      </c>
      <c r="AA632" s="132">
        <f t="shared" si="1260"/>
        <v>-1000</v>
      </c>
      <c r="AB632" s="132">
        <f t="shared" si="1260"/>
        <v>-1000</v>
      </c>
      <c r="AC632" s="132">
        <f t="shared" si="1260"/>
        <v>-1000</v>
      </c>
      <c r="AD632" s="132">
        <f t="shared" si="4"/>
        <v>-9900</v>
      </c>
      <c r="AE632" s="132">
        <f t="shared" ref="AE632:AS632" si="1261">H632-1000</f>
        <v>-1000</v>
      </c>
      <c r="AF632" s="132">
        <f t="shared" si="1261"/>
        <v>-1000</v>
      </c>
      <c r="AG632" s="132">
        <f t="shared" si="1261"/>
        <v>-1000</v>
      </c>
      <c r="AH632" s="132">
        <f t="shared" si="1261"/>
        <v>-1000</v>
      </c>
      <c r="AI632" s="132">
        <f t="shared" si="1261"/>
        <v>-1000</v>
      </c>
      <c r="AJ632" s="132">
        <f t="shared" si="1261"/>
        <v>-1000</v>
      </c>
      <c r="AK632" s="132">
        <f t="shared" si="1261"/>
        <v>-1000</v>
      </c>
      <c r="AL632" s="132">
        <f t="shared" si="1261"/>
        <v>-1000</v>
      </c>
      <c r="AM632" s="132">
        <f t="shared" si="1261"/>
        <v>-1000</v>
      </c>
      <c r="AN632" s="132">
        <f t="shared" si="1261"/>
        <v>-1000</v>
      </c>
      <c r="AO632" s="132">
        <f t="shared" si="1261"/>
        <v>-1000</v>
      </c>
      <c r="AP632" s="132">
        <f t="shared" si="1261"/>
        <v>-1000</v>
      </c>
      <c r="AQ632" s="132">
        <f t="shared" si="1261"/>
        <v>-1000</v>
      </c>
      <c r="AR632" s="132">
        <f t="shared" si="1261"/>
        <v>-1000</v>
      </c>
      <c r="AS632" s="132">
        <f t="shared" si="1261"/>
        <v>-1000</v>
      </c>
    </row>
    <row r="633">
      <c r="A633" s="132" t="s">
        <v>4135</v>
      </c>
      <c r="B633" s="132">
        <v>100.0</v>
      </c>
      <c r="C633" s="132">
        <v>0.0</v>
      </c>
      <c r="D633" s="132">
        <v>0.0</v>
      </c>
      <c r="E633" s="132">
        <v>0.0</v>
      </c>
      <c r="F633" s="132">
        <v>0.0</v>
      </c>
      <c r="G633" s="132">
        <v>100.0</v>
      </c>
      <c r="H633" s="132">
        <v>0.0</v>
      </c>
      <c r="I633" s="132">
        <v>0.0</v>
      </c>
      <c r="J633" s="132">
        <v>0.0</v>
      </c>
      <c r="K633" s="132">
        <v>0.0</v>
      </c>
      <c r="L633" s="132">
        <v>0.0</v>
      </c>
      <c r="M633" s="132">
        <v>0.0</v>
      </c>
      <c r="N633" s="132">
        <v>0.0</v>
      </c>
      <c r="O633" s="132">
        <v>0.0</v>
      </c>
      <c r="P633" s="132">
        <v>0.0</v>
      </c>
      <c r="Q633" s="132">
        <v>0.0</v>
      </c>
      <c r="R633" s="132">
        <v>0.0</v>
      </c>
      <c r="S633" s="132">
        <v>0.0</v>
      </c>
      <c r="T633" s="132">
        <v>0.0</v>
      </c>
      <c r="U633" s="132">
        <v>0.0</v>
      </c>
      <c r="V633" s="132">
        <v>0.0</v>
      </c>
      <c r="W633" s="132">
        <v>0.0</v>
      </c>
      <c r="Y633" s="132" t="s">
        <v>4135</v>
      </c>
      <c r="Z633" s="132">
        <f t="shared" ref="Z633:AC633" si="1262">C633-1000</f>
        <v>-1000</v>
      </c>
      <c r="AA633" s="132">
        <f t="shared" si="1262"/>
        <v>-1000</v>
      </c>
      <c r="AB633" s="132">
        <f t="shared" si="1262"/>
        <v>-1000</v>
      </c>
      <c r="AC633" s="132">
        <f t="shared" si="1262"/>
        <v>-1000</v>
      </c>
      <c r="AD633" s="132">
        <f t="shared" si="4"/>
        <v>-9900</v>
      </c>
      <c r="AE633" s="132">
        <f t="shared" ref="AE633:AS633" si="1263">H633-1000</f>
        <v>-1000</v>
      </c>
      <c r="AF633" s="132">
        <f t="shared" si="1263"/>
        <v>-1000</v>
      </c>
      <c r="AG633" s="132">
        <f t="shared" si="1263"/>
        <v>-1000</v>
      </c>
      <c r="AH633" s="132">
        <f t="shared" si="1263"/>
        <v>-1000</v>
      </c>
      <c r="AI633" s="132">
        <f t="shared" si="1263"/>
        <v>-1000</v>
      </c>
      <c r="AJ633" s="132">
        <f t="shared" si="1263"/>
        <v>-1000</v>
      </c>
      <c r="AK633" s="132">
        <f t="shared" si="1263"/>
        <v>-1000</v>
      </c>
      <c r="AL633" s="132">
        <f t="shared" si="1263"/>
        <v>-1000</v>
      </c>
      <c r="AM633" s="132">
        <f t="shared" si="1263"/>
        <v>-1000</v>
      </c>
      <c r="AN633" s="132">
        <f t="shared" si="1263"/>
        <v>-1000</v>
      </c>
      <c r="AO633" s="132">
        <f t="shared" si="1263"/>
        <v>-1000</v>
      </c>
      <c r="AP633" s="132">
        <f t="shared" si="1263"/>
        <v>-1000</v>
      </c>
      <c r="AQ633" s="132">
        <f t="shared" si="1263"/>
        <v>-1000</v>
      </c>
      <c r="AR633" s="132">
        <f t="shared" si="1263"/>
        <v>-1000</v>
      </c>
      <c r="AS633" s="132">
        <f t="shared" si="1263"/>
        <v>-1000</v>
      </c>
    </row>
    <row r="634">
      <c r="A634" s="132" t="s">
        <v>4136</v>
      </c>
      <c r="B634" s="132">
        <v>100.0</v>
      </c>
      <c r="C634" s="132">
        <v>0.0</v>
      </c>
      <c r="D634" s="132">
        <v>0.0</v>
      </c>
      <c r="E634" s="132">
        <v>0.0</v>
      </c>
      <c r="F634" s="132">
        <v>0.0</v>
      </c>
      <c r="G634" s="132">
        <v>100.0</v>
      </c>
      <c r="H634" s="132">
        <v>0.0</v>
      </c>
      <c r="I634" s="132">
        <v>0.0</v>
      </c>
      <c r="J634" s="132">
        <v>0.0</v>
      </c>
      <c r="K634" s="132">
        <v>0.0</v>
      </c>
      <c r="L634" s="132">
        <v>0.0</v>
      </c>
      <c r="M634" s="132">
        <v>0.0</v>
      </c>
      <c r="N634" s="132">
        <v>0.0</v>
      </c>
      <c r="O634" s="132">
        <v>0.0</v>
      </c>
      <c r="P634" s="132">
        <v>0.0</v>
      </c>
      <c r="Q634" s="132">
        <v>0.0</v>
      </c>
      <c r="R634" s="132">
        <v>0.0</v>
      </c>
      <c r="S634" s="132">
        <v>0.0</v>
      </c>
      <c r="T634" s="132">
        <v>0.0</v>
      </c>
      <c r="U634" s="132">
        <v>0.0</v>
      </c>
      <c r="V634" s="132">
        <v>0.0</v>
      </c>
      <c r="W634" s="132">
        <v>0.0</v>
      </c>
      <c r="Y634" s="132" t="s">
        <v>4136</v>
      </c>
      <c r="Z634" s="132">
        <f t="shared" ref="Z634:AC634" si="1264">C634-1000</f>
        <v>-1000</v>
      </c>
      <c r="AA634" s="132">
        <f t="shared" si="1264"/>
        <v>-1000</v>
      </c>
      <c r="AB634" s="132">
        <f t="shared" si="1264"/>
        <v>-1000</v>
      </c>
      <c r="AC634" s="132">
        <f t="shared" si="1264"/>
        <v>-1000</v>
      </c>
      <c r="AD634" s="132">
        <f t="shared" si="4"/>
        <v>-9900</v>
      </c>
      <c r="AE634" s="132">
        <f t="shared" ref="AE634:AS634" si="1265">H634-1000</f>
        <v>-1000</v>
      </c>
      <c r="AF634" s="132">
        <f t="shared" si="1265"/>
        <v>-1000</v>
      </c>
      <c r="AG634" s="132">
        <f t="shared" si="1265"/>
        <v>-1000</v>
      </c>
      <c r="AH634" s="132">
        <f t="shared" si="1265"/>
        <v>-1000</v>
      </c>
      <c r="AI634" s="132">
        <f t="shared" si="1265"/>
        <v>-1000</v>
      </c>
      <c r="AJ634" s="132">
        <f t="shared" si="1265"/>
        <v>-1000</v>
      </c>
      <c r="AK634" s="132">
        <f t="shared" si="1265"/>
        <v>-1000</v>
      </c>
      <c r="AL634" s="132">
        <f t="shared" si="1265"/>
        <v>-1000</v>
      </c>
      <c r="AM634" s="132">
        <f t="shared" si="1265"/>
        <v>-1000</v>
      </c>
      <c r="AN634" s="132">
        <f t="shared" si="1265"/>
        <v>-1000</v>
      </c>
      <c r="AO634" s="132">
        <f t="shared" si="1265"/>
        <v>-1000</v>
      </c>
      <c r="AP634" s="132">
        <f t="shared" si="1265"/>
        <v>-1000</v>
      </c>
      <c r="AQ634" s="132">
        <f t="shared" si="1265"/>
        <v>-1000</v>
      </c>
      <c r="AR634" s="132">
        <f t="shared" si="1265"/>
        <v>-1000</v>
      </c>
      <c r="AS634" s="132">
        <f t="shared" si="1265"/>
        <v>-1000</v>
      </c>
    </row>
    <row r="635">
      <c r="A635" s="132" t="s">
        <v>4137</v>
      </c>
      <c r="B635" s="132">
        <v>1000.0</v>
      </c>
      <c r="C635" s="132">
        <v>0.0</v>
      </c>
      <c r="D635" s="132">
        <v>0.0</v>
      </c>
      <c r="E635" s="132">
        <v>0.0</v>
      </c>
      <c r="F635" s="132">
        <v>0.0</v>
      </c>
      <c r="G635" s="132">
        <v>1000.0</v>
      </c>
      <c r="H635" s="132">
        <v>0.0</v>
      </c>
      <c r="I635" s="132">
        <v>0.0</v>
      </c>
      <c r="J635" s="132">
        <v>0.0</v>
      </c>
      <c r="K635" s="132">
        <v>0.0</v>
      </c>
      <c r="L635" s="132">
        <v>0.0</v>
      </c>
      <c r="M635" s="132">
        <v>0.0</v>
      </c>
      <c r="N635" s="132">
        <v>0.0</v>
      </c>
      <c r="O635" s="132">
        <v>0.0</v>
      </c>
      <c r="P635" s="132">
        <v>0.0</v>
      </c>
      <c r="Q635" s="132">
        <v>0.0</v>
      </c>
      <c r="R635" s="132">
        <v>0.0</v>
      </c>
      <c r="S635" s="132">
        <v>0.0</v>
      </c>
      <c r="T635" s="132">
        <v>0.0</v>
      </c>
      <c r="U635" s="132">
        <v>0.0</v>
      </c>
      <c r="V635" s="132">
        <v>0.0</v>
      </c>
      <c r="W635" s="132">
        <v>0.0</v>
      </c>
      <c r="Y635" s="132" t="s">
        <v>4137</v>
      </c>
      <c r="Z635" s="132">
        <f t="shared" ref="Z635:AC635" si="1266">C635-1000</f>
        <v>-1000</v>
      </c>
      <c r="AA635" s="132">
        <f t="shared" si="1266"/>
        <v>-1000</v>
      </c>
      <c r="AB635" s="132">
        <f t="shared" si="1266"/>
        <v>-1000</v>
      </c>
      <c r="AC635" s="132">
        <f t="shared" si="1266"/>
        <v>-1000</v>
      </c>
      <c r="AD635" s="132">
        <f t="shared" si="4"/>
        <v>-9000</v>
      </c>
      <c r="AE635" s="132">
        <f t="shared" ref="AE635:AS635" si="1267">H635-1000</f>
        <v>-1000</v>
      </c>
      <c r="AF635" s="132">
        <f t="shared" si="1267"/>
        <v>-1000</v>
      </c>
      <c r="AG635" s="132">
        <f t="shared" si="1267"/>
        <v>-1000</v>
      </c>
      <c r="AH635" s="132">
        <f t="shared" si="1267"/>
        <v>-1000</v>
      </c>
      <c r="AI635" s="132">
        <f t="shared" si="1267"/>
        <v>-1000</v>
      </c>
      <c r="AJ635" s="132">
        <f t="shared" si="1267"/>
        <v>-1000</v>
      </c>
      <c r="AK635" s="132">
        <f t="shared" si="1267"/>
        <v>-1000</v>
      </c>
      <c r="AL635" s="132">
        <f t="shared" si="1267"/>
        <v>-1000</v>
      </c>
      <c r="AM635" s="132">
        <f t="shared" si="1267"/>
        <v>-1000</v>
      </c>
      <c r="AN635" s="132">
        <f t="shared" si="1267"/>
        <v>-1000</v>
      </c>
      <c r="AO635" s="132">
        <f t="shared" si="1267"/>
        <v>-1000</v>
      </c>
      <c r="AP635" s="132">
        <f t="shared" si="1267"/>
        <v>-1000</v>
      </c>
      <c r="AQ635" s="132">
        <f t="shared" si="1267"/>
        <v>-1000</v>
      </c>
      <c r="AR635" s="132">
        <f t="shared" si="1267"/>
        <v>-1000</v>
      </c>
      <c r="AS635" s="132">
        <f t="shared" si="1267"/>
        <v>-1000</v>
      </c>
    </row>
    <row r="636">
      <c r="A636" s="132" t="s">
        <v>4138</v>
      </c>
      <c r="B636" s="132">
        <v>50.0</v>
      </c>
      <c r="C636" s="132">
        <v>0.0</v>
      </c>
      <c r="D636" s="132">
        <v>0.0</v>
      </c>
      <c r="E636" s="132">
        <v>0.0</v>
      </c>
      <c r="F636" s="132">
        <v>0.0</v>
      </c>
      <c r="G636" s="132">
        <v>50.0</v>
      </c>
      <c r="H636" s="132">
        <v>0.0</v>
      </c>
      <c r="I636" s="132">
        <v>0.0</v>
      </c>
      <c r="J636" s="132">
        <v>0.0</v>
      </c>
      <c r="K636" s="132">
        <v>0.0</v>
      </c>
      <c r="L636" s="132">
        <v>0.0</v>
      </c>
      <c r="M636" s="132">
        <v>0.0</v>
      </c>
      <c r="N636" s="132">
        <v>0.0</v>
      </c>
      <c r="O636" s="132">
        <v>0.0</v>
      </c>
      <c r="P636" s="132">
        <v>0.0</v>
      </c>
      <c r="Q636" s="132">
        <v>0.0</v>
      </c>
      <c r="R636" s="132">
        <v>0.0</v>
      </c>
      <c r="S636" s="132">
        <v>0.0</v>
      </c>
      <c r="T636" s="132">
        <v>0.0</v>
      </c>
      <c r="U636" s="132">
        <v>0.0</v>
      </c>
      <c r="V636" s="132">
        <v>0.0</v>
      </c>
      <c r="W636" s="132">
        <v>0.0</v>
      </c>
      <c r="Y636" s="132" t="s">
        <v>4138</v>
      </c>
      <c r="Z636" s="132">
        <f t="shared" ref="Z636:AC636" si="1268">C636-1000</f>
        <v>-1000</v>
      </c>
      <c r="AA636" s="132">
        <f t="shared" si="1268"/>
        <v>-1000</v>
      </c>
      <c r="AB636" s="132">
        <f t="shared" si="1268"/>
        <v>-1000</v>
      </c>
      <c r="AC636" s="132">
        <f t="shared" si="1268"/>
        <v>-1000</v>
      </c>
      <c r="AD636" s="132">
        <f t="shared" si="4"/>
        <v>-9950</v>
      </c>
      <c r="AE636" s="132">
        <f t="shared" ref="AE636:AS636" si="1269">H636-1000</f>
        <v>-1000</v>
      </c>
      <c r="AF636" s="132">
        <f t="shared" si="1269"/>
        <v>-1000</v>
      </c>
      <c r="AG636" s="132">
        <f t="shared" si="1269"/>
        <v>-1000</v>
      </c>
      <c r="AH636" s="132">
        <f t="shared" si="1269"/>
        <v>-1000</v>
      </c>
      <c r="AI636" s="132">
        <f t="shared" si="1269"/>
        <v>-1000</v>
      </c>
      <c r="AJ636" s="132">
        <f t="shared" si="1269"/>
        <v>-1000</v>
      </c>
      <c r="AK636" s="132">
        <f t="shared" si="1269"/>
        <v>-1000</v>
      </c>
      <c r="AL636" s="132">
        <f t="shared" si="1269"/>
        <v>-1000</v>
      </c>
      <c r="AM636" s="132">
        <f t="shared" si="1269"/>
        <v>-1000</v>
      </c>
      <c r="AN636" s="132">
        <f t="shared" si="1269"/>
        <v>-1000</v>
      </c>
      <c r="AO636" s="132">
        <f t="shared" si="1269"/>
        <v>-1000</v>
      </c>
      <c r="AP636" s="132">
        <f t="shared" si="1269"/>
        <v>-1000</v>
      </c>
      <c r="AQ636" s="132">
        <f t="shared" si="1269"/>
        <v>-1000</v>
      </c>
      <c r="AR636" s="132">
        <f t="shared" si="1269"/>
        <v>-1000</v>
      </c>
      <c r="AS636" s="132">
        <f t="shared" si="1269"/>
        <v>-1000</v>
      </c>
    </row>
    <row r="637">
      <c r="A637" s="132" t="s">
        <v>4139</v>
      </c>
      <c r="B637" s="132">
        <v>5000.0</v>
      </c>
      <c r="C637" s="132">
        <v>0.0</v>
      </c>
      <c r="D637" s="132">
        <v>0.0</v>
      </c>
      <c r="E637" s="132">
        <v>0.0</v>
      </c>
      <c r="F637" s="132">
        <v>0.0</v>
      </c>
      <c r="G637" s="132">
        <v>5000.0</v>
      </c>
      <c r="H637" s="132">
        <v>0.0</v>
      </c>
      <c r="I637" s="132">
        <v>0.0</v>
      </c>
      <c r="J637" s="132">
        <v>0.0</v>
      </c>
      <c r="K637" s="132">
        <v>0.0</v>
      </c>
      <c r="L637" s="132">
        <v>0.0</v>
      </c>
      <c r="M637" s="132">
        <v>0.0</v>
      </c>
      <c r="N637" s="132">
        <v>0.0</v>
      </c>
      <c r="O637" s="132">
        <v>0.0</v>
      </c>
      <c r="P637" s="132">
        <v>0.0</v>
      </c>
      <c r="Q637" s="132">
        <v>0.0</v>
      </c>
      <c r="R637" s="132">
        <v>0.0</v>
      </c>
      <c r="S637" s="132">
        <v>0.0</v>
      </c>
      <c r="T637" s="132">
        <v>0.0</v>
      </c>
      <c r="U637" s="132">
        <v>0.0</v>
      </c>
      <c r="V637" s="132">
        <v>0.0</v>
      </c>
      <c r="W637" s="132">
        <v>0.0</v>
      </c>
      <c r="Y637" s="132" t="s">
        <v>4139</v>
      </c>
      <c r="Z637" s="132">
        <f t="shared" ref="Z637:AC637" si="1270">C637-1000</f>
        <v>-1000</v>
      </c>
      <c r="AA637" s="132">
        <f t="shared" si="1270"/>
        <v>-1000</v>
      </c>
      <c r="AB637" s="132">
        <f t="shared" si="1270"/>
        <v>-1000</v>
      </c>
      <c r="AC637" s="132">
        <f t="shared" si="1270"/>
        <v>-1000</v>
      </c>
      <c r="AD637" s="132">
        <f t="shared" si="4"/>
        <v>-5000</v>
      </c>
      <c r="AE637" s="132">
        <f t="shared" ref="AE637:AS637" si="1271">H637-1000</f>
        <v>-1000</v>
      </c>
      <c r="AF637" s="132">
        <f t="shared" si="1271"/>
        <v>-1000</v>
      </c>
      <c r="AG637" s="132">
        <f t="shared" si="1271"/>
        <v>-1000</v>
      </c>
      <c r="AH637" s="132">
        <f t="shared" si="1271"/>
        <v>-1000</v>
      </c>
      <c r="AI637" s="132">
        <f t="shared" si="1271"/>
        <v>-1000</v>
      </c>
      <c r="AJ637" s="132">
        <f t="shared" si="1271"/>
        <v>-1000</v>
      </c>
      <c r="AK637" s="132">
        <f t="shared" si="1271"/>
        <v>-1000</v>
      </c>
      <c r="AL637" s="132">
        <f t="shared" si="1271"/>
        <v>-1000</v>
      </c>
      <c r="AM637" s="132">
        <f t="shared" si="1271"/>
        <v>-1000</v>
      </c>
      <c r="AN637" s="132">
        <f t="shared" si="1271"/>
        <v>-1000</v>
      </c>
      <c r="AO637" s="132">
        <f t="shared" si="1271"/>
        <v>-1000</v>
      </c>
      <c r="AP637" s="132">
        <f t="shared" si="1271"/>
        <v>-1000</v>
      </c>
      <c r="AQ637" s="132">
        <f t="shared" si="1271"/>
        <v>-1000</v>
      </c>
      <c r="AR637" s="132">
        <f t="shared" si="1271"/>
        <v>-1000</v>
      </c>
      <c r="AS637" s="132">
        <f t="shared" si="1271"/>
        <v>-1000</v>
      </c>
    </row>
    <row r="638">
      <c r="A638" s="132" t="s">
        <v>4140</v>
      </c>
      <c r="B638" s="132">
        <v>100.0</v>
      </c>
      <c r="C638" s="132">
        <v>0.0</v>
      </c>
      <c r="D638" s="132">
        <v>0.0</v>
      </c>
      <c r="E638" s="132">
        <v>0.0</v>
      </c>
      <c r="F638" s="132">
        <v>0.0</v>
      </c>
      <c r="G638" s="132">
        <v>100.0</v>
      </c>
      <c r="H638" s="132">
        <v>0.0</v>
      </c>
      <c r="I638" s="132">
        <v>0.0</v>
      </c>
      <c r="J638" s="132">
        <v>0.0</v>
      </c>
      <c r="K638" s="132">
        <v>0.0</v>
      </c>
      <c r="L638" s="132">
        <v>0.0</v>
      </c>
      <c r="M638" s="132">
        <v>0.0</v>
      </c>
      <c r="N638" s="132">
        <v>0.0</v>
      </c>
      <c r="O638" s="132">
        <v>0.0</v>
      </c>
      <c r="P638" s="132">
        <v>0.0</v>
      </c>
      <c r="Q638" s="132">
        <v>0.0</v>
      </c>
      <c r="R638" s="132">
        <v>0.0</v>
      </c>
      <c r="S638" s="132">
        <v>0.0</v>
      </c>
      <c r="T638" s="132">
        <v>0.0</v>
      </c>
      <c r="U638" s="132">
        <v>0.0</v>
      </c>
      <c r="V638" s="132">
        <v>0.0</v>
      </c>
      <c r="W638" s="132">
        <v>0.0</v>
      </c>
      <c r="Y638" s="132" t="s">
        <v>4140</v>
      </c>
      <c r="Z638" s="132">
        <f t="shared" ref="Z638:AC638" si="1272">C638-1000</f>
        <v>-1000</v>
      </c>
      <c r="AA638" s="132">
        <f t="shared" si="1272"/>
        <v>-1000</v>
      </c>
      <c r="AB638" s="132">
        <f t="shared" si="1272"/>
        <v>-1000</v>
      </c>
      <c r="AC638" s="132">
        <f t="shared" si="1272"/>
        <v>-1000</v>
      </c>
      <c r="AD638" s="132">
        <f t="shared" si="4"/>
        <v>-9900</v>
      </c>
      <c r="AE638" s="132">
        <f t="shared" ref="AE638:AS638" si="1273">H638-1000</f>
        <v>-1000</v>
      </c>
      <c r="AF638" s="132">
        <f t="shared" si="1273"/>
        <v>-1000</v>
      </c>
      <c r="AG638" s="132">
        <f t="shared" si="1273"/>
        <v>-1000</v>
      </c>
      <c r="AH638" s="132">
        <f t="shared" si="1273"/>
        <v>-1000</v>
      </c>
      <c r="AI638" s="132">
        <f t="shared" si="1273"/>
        <v>-1000</v>
      </c>
      <c r="AJ638" s="132">
        <f t="shared" si="1273"/>
        <v>-1000</v>
      </c>
      <c r="AK638" s="132">
        <f t="shared" si="1273"/>
        <v>-1000</v>
      </c>
      <c r="AL638" s="132">
        <f t="shared" si="1273"/>
        <v>-1000</v>
      </c>
      <c r="AM638" s="132">
        <f t="shared" si="1273"/>
        <v>-1000</v>
      </c>
      <c r="AN638" s="132">
        <f t="shared" si="1273"/>
        <v>-1000</v>
      </c>
      <c r="AO638" s="132">
        <f t="shared" si="1273"/>
        <v>-1000</v>
      </c>
      <c r="AP638" s="132">
        <f t="shared" si="1273"/>
        <v>-1000</v>
      </c>
      <c r="AQ638" s="132">
        <f t="shared" si="1273"/>
        <v>-1000</v>
      </c>
      <c r="AR638" s="132">
        <f t="shared" si="1273"/>
        <v>-1000</v>
      </c>
      <c r="AS638" s="132">
        <f t="shared" si="1273"/>
        <v>-1000</v>
      </c>
    </row>
    <row r="639">
      <c r="A639" s="132" t="s">
        <v>4141</v>
      </c>
      <c r="B639" s="132">
        <v>100.0</v>
      </c>
      <c r="C639" s="132">
        <v>0.0</v>
      </c>
      <c r="D639" s="132">
        <v>0.0</v>
      </c>
      <c r="E639" s="132">
        <v>0.0</v>
      </c>
      <c r="F639" s="132">
        <v>0.0</v>
      </c>
      <c r="G639" s="132">
        <v>100.0</v>
      </c>
      <c r="H639" s="132">
        <v>0.0</v>
      </c>
      <c r="I639" s="132">
        <v>0.0</v>
      </c>
      <c r="J639" s="132">
        <v>0.0</v>
      </c>
      <c r="K639" s="132">
        <v>0.0</v>
      </c>
      <c r="L639" s="132">
        <v>0.0</v>
      </c>
      <c r="M639" s="132">
        <v>0.0</v>
      </c>
      <c r="N639" s="132">
        <v>0.0</v>
      </c>
      <c r="O639" s="132">
        <v>0.0</v>
      </c>
      <c r="P639" s="132">
        <v>0.0</v>
      </c>
      <c r="Q639" s="132">
        <v>0.0</v>
      </c>
      <c r="R639" s="132">
        <v>0.0</v>
      </c>
      <c r="S639" s="132">
        <v>0.0</v>
      </c>
      <c r="T639" s="132">
        <v>0.0</v>
      </c>
      <c r="U639" s="132">
        <v>0.0</v>
      </c>
      <c r="V639" s="132">
        <v>0.0</v>
      </c>
      <c r="W639" s="132">
        <v>0.0</v>
      </c>
      <c r="Y639" s="132" t="s">
        <v>4141</v>
      </c>
      <c r="Z639" s="132">
        <f t="shared" ref="Z639:AC639" si="1274">C639-1000</f>
        <v>-1000</v>
      </c>
      <c r="AA639" s="132">
        <f t="shared" si="1274"/>
        <v>-1000</v>
      </c>
      <c r="AB639" s="132">
        <f t="shared" si="1274"/>
        <v>-1000</v>
      </c>
      <c r="AC639" s="132">
        <f t="shared" si="1274"/>
        <v>-1000</v>
      </c>
      <c r="AD639" s="132">
        <f t="shared" si="4"/>
        <v>-9900</v>
      </c>
      <c r="AE639" s="132">
        <f t="shared" ref="AE639:AS639" si="1275">H639-1000</f>
        <v>-1000</v>
      </c>
      <c r="AF639" s="132">
        <f t="shared" si="1275"/>
        <v>-1000</v>
      </c>
      <c r="AG639" s="132">
        <f t="shared" si="1275"/>
        <v>-1000</v>
      </c>
      <c r="AH639" s="132">
        <f t="shared" si="1275"/>
        <v>-1000</v>
      </c>
      <c r="AI639" s="132">
        <f t="shared" si="1275"/>
        <v>-1000</v>
      </c>
      <c r="AJ639" s="132">
        <f t="shared" si="1275"/>
        <v>-1000</v>
      </c>
      <c r="AK639" s="132">
        <f t="shared" si="1275"/>
        <v>-1000</v>
      </c>
      <c r="AL639" s="132">
        <f t="shared" si="1275"/>
        <v>-1000</v>
      </c>
      <c r="AM639" s="132">
        <f t="shared" si="1275"/>
        <v>-1000</v>
      </c>
      <c r="AN639" s="132">
        <f t="shared" si="1275"/>
        <v>-1000</v>
      </c>
      <c r="AO639" s="132">
        <f t="shared" si="1275"/>
        <v>-1000</v>
      </c>
      <c r="AP639" s="132">
        <f t="shared" si="1275"/>
        <v>-1000</v>
      </c>
      <c r="AQ639" s="132">
        <f t="shared" si="1275"/>
        <v>-1000</v>
      </c>
      <c r="AR639" s="132">
        <f t="shared" si="1275"/>
        <v>-1000</v>
      </c>
      <c r="AS639" s="132">
        <f t="shared" si="1275"/>
        <v>-1000</v>
      </c>
    </row>
    <row r="640">
      <c r="A640" s="132" t="s">
        <v>4142</v>
      </c>
      <c r="B640" s="132">
        <v>500.0</v>
      </c>
      <c r="C640" s="132">
        <v>0.0</v>
      </c>
      <c r="D640" s="132">
        <v>0.0</v>
      </c>
      <c r="E640" s="132">
        <v>0.0</v>
      </c>
      <c r="F640" s="132">
        <v>0.0</v>
      </c>
      <c r="G640" s="132">
        <v>500.0</v>
      </c>
      <c r="H640" s="132">
        <v>0.0</v>
      </c>
      <c r="I640" s="132">
        <v>0.0</v>
      </c>
      <c r="J640" s="132">
        <v>0.0</v>
      </c>
      <c r="K640" s="132">
        <v>0.0</v>
      </c>
      <c r="L640" s="132">
        <v>0.0</v>
      </c>
      <c r="M640" s="132">
        <v>0.0</v>
      </c>
      <c r="N640" s="132">
        <v>0.0</v>
      </c>
      <c r="O640" s="132">
        <v>0.0</v>
      </c>
      <c r="P640" s="132">
        <v>0.0</v>
      </c>
      <c r="Q640" s="132">
        <v>0.0</v>
      </c>
      <c r="R640" s="132">
        <v>0.0</v>
      </c>
      <c r="S640" s="132">
        <v>0.0</v>
      </c>
      <c r="T640" s="132">
        <v>0.0</v>
      </c>
      <c r="U640" s="132">
        <v>0.0</v>
      </c>
      <c r="V640" s="132">
        <v>0.0</v>
      </c>
      <c r="W640" s="132">
        <v>0.0</v>
      </c>
      <c r="Y640" s="132" t="s">
        <v>4142</v>
      </c>
      <c r="Z640" s="132">
        <f t="shared" ref="Z640:AC640" si="1276">C640-1000</f>
        <v>-1000</v>
      </c>
      <c r="AA640" s="132">
        <f t="shared" si="1276"/>
        <v>-1000</v>
      </c>
      <c r="AB640" s="132">
        <f t="shared" si="1276"/>
        <v>-1000</v>
      </c>
      <c r="AC640" s="132">
        <f t="shared" si="1276"/>
        <v>-1000</v>
      </c>
      <c r="AD640" s="132">
        <f t="shared" si="4"/>
        <v>-9500</v>
      </c>
      <c r="AE640" s="132">
        <f t="shared" ref="AE640:AS640" si="1277">H640-1000</f>
        <v>-1000</v>
      </c>
      <c r="AF640" s="132">
        <f t="shared" si="1277"/>
        <v>-1000</v>
      </c>
      <c r="AG640" s="132">
        <f t="shared" si="1277"/>
        <v>-1000</v>
      </c>
      <c r="AH640" s="132">
        <f t="shared" si="1277"/>
        <v>-1000</v>
      </c>
      <c r="AI640" s="132">
        <f t="shared" si="1277"/>
        <v>-1000</v>
      </c>
      <c r="AJ640" s="132">
        <f t="shared" si="1277"/>
        <v>-1000</v>
      </c>
      <c r="AK640" s="132">
        <f t="shared" si="1277"/>
        <v>-1000</v>
      </c>
      <c r="AL640" s="132">
        <f t="shared" si="1277"/>
        <v>-1000</v>
      </c>
      <c r="AM640" s="132">
        <f t="shared" si="1277"/>
        <v>-1000</v>
      </c>
      <c r="AN640" s="132">
        <f t="shared" si="1277"/>
        <v>-1000</v>
      </c>
      <c r="AO640" s="132">
        <f t="shared" si="1277"/>
        <v>-1000</v>
      </c>
      <c r="AP640" s="132">
        <f t="shared" si="1277"/>
        <v>-1000</v>
      </c>
      <c r="AQ640" s="132">
        <f t="shared" si="1277"/>
        <v>-1000</v>
      </c>
      <c r="AR640" s="132">
        <f t="shared" si="1277"/>
        <v>-1000</v>
      </c>
      <c r="AS640" s="132">
        <f t="shared" si="1277"/>
        <v>-1000</v>
      </c>
    </row>
    <row r="641">
      <c r="A641" s="132" t="s">
        <v>4143</v>
      </c>
      <c r="B641" s="132">
        <v>1000.0</v>
      </c>
      <c r="C641" s="132">
        <v>0.0</v>
      </c>
      <c r="D641" s="132">
        <v>0.0</v>
      </c>
      <c r="E641" s="132">
        <v>0.0</v>
      </c>
      <c r="F641" s="132">
        <v>0.0</v>
      </c>
      <c r="G641" s="132">
        <v>1000.0</v>
      </c>
      <c r="H641" s="132">
        <v>0.0</v>
      </c>
      <c r="I641" s="132">
        <v>0.0</v>
      </c>
      <c r="J641" s="132">
        <v>0.0</v>
      </c>
      <c r="K641" s="132">
        <v>0.0</v>
      </c>
      <c r="L641" s="132">
        <v>0.0</v>
      </c>
      <c r="M641" s="132">
        <v>0.0</v>
      </c>
      <c r="N641" s="132">
        <v>0.0</v>
      </c>
      <c r="O641" s="132">
        <v>0.0</v>
      </c>
      <c r="P641" s="132">
        <v>0.0</v>
      </c>
      <c r="Q641" s="132">
        <v>0.0</v>
      </c>
      <c r="R641" s="132">
        <v>0.0</v>
      </c>
      <c r="S641" s="132">
        <v>0.0</v>
      </c>
      <c r="T641" s="132">
        <v>0.0</v>
      </c>
      <c r="U641" s="132">
        <v>0.0</v>
      </c>
      <c r="V641" s="132">
        <v>0.0</v>
      </c>
      <c r="W641" s="132">
        <v>0.0</v>
      </c>
      <c r="Y641" s="132" t="s">
        <v>4143</v>
      </c>
      <c r="Z641" s="132">
        <f t="shared" ref="Z641:AC641" si="1278">C641-1000</f>
        <v>-1000</v>
      </c>
      <c r="AA641" s="132">
        <f t="shared" si="1278"/>
        <v>-1000</v>
      </c>
      <c r="AB641" s="132">
        <f t="shared" si="1278"/>
        <v>-1000</v>
      </c>
      <c r="AC641" s="132">
        <f t="shared" si="1278"/>
        <v>-1000</v>
      </c>
      <c r="AD641" s="132">
        <f t="shared" si="4"/>
        <v>-9000</v>
      </c>
      <c r="AE641" s="132">
        <f t="shared" ref="AE641:AS641" si="1279">H641-1000</f>
        <v>-1000</v>
      </c>
      <c r="AF641" s="132">
        <f t="shared" si="1279"/>
        <v>-1000</v>
      </c>
      <c r="AG641" s="132">
        <f t="shared" si="1279"/>
        <v>-1000</v>
      </c>
      <c r="AH641" s="132">
        <f t="shared" si="1279"/>
        <v>-1000</v>
      </c>
      <c r="AI641" s="132">
        <f t="shared" si="1279"/>
        <v>-1000</v>
      </c>
      <c r="AJ641" s="132">
        <f t="shared" si="1279"/>
        <v>-1000</v>
      </c>
      <c r="AK641" s="132">
        <f t="shared" si="1279"/>
        <v>-1000</v>
      </c>
      <c r="AL641" s="132">
        <f t="shared" si="1279"/>
        <v>-1000</v>
      </c>
      <c r="AM641" s="132">
        <f t="shared" si="1279"/>
        <v>-1000</v>
      </c>
      <c r="AN641" s="132">
        <f t="shared" si="1279"/>
        <v>-1000</v>
      </c>
      <c r="AO641" s="132">
        <f t="shared" si="1279"/>
        <v>-1000</v>
      </c>
      <c r="AP641" s="132">
        <f t="shared" si="1279"/>
        <v>-1000</v>
      </c>
      <c r="AQ641" s="132">
        <f t="shared" si="1279"/>
        <v>-1000</v>
      </c>
      <c r="AR641" s="132">
        <f t="shared" si="1279"/>
        <v>-1000</v>
      </c>
      <c r="AS641" s="132">
        <f t="shared" si="1279"/>
        <v>-1000</v>
      </c>
    </row>
    <row r="642">
      <c r="A642" s="132" t="s">
        <v>4144</v>
      </c>
      <c r="B642" s="132">
        <v>50.0</v>
      </c>
      <c r="C642" s="132">
        <v>0.0</v>
      </c>
      <c r="D642" s="132">
        <v>0.0</v>
      </c>
      <c r="E642" s="132">
        <v>0.0</v>
      </c>
      <c r="F642" s="132">
        <v>0.0</v>
      </c>
      <c r="G642" s="132">
        <v>50.0</v>
      </c>
      <c r="H642" s="132">
        <v>0.0</v>
      </c>
      <c r="I642" s="132">
        <v>0.0</v>
      </c>
      <c r="J642" s="132">
        <v>0.0</v>
      </c>
      <c r="K642" s="132">
        <v>0.0</v>
      </c>
      <c r="L642" s="132">
        <v>0.0</v>
      </c>
      <c r="M642" s="132">
        <v>0.0</v>
      </c>
      <c r="N642" s="132">
        <v>0.0</v>
      </c>
      <c r="O642" s="132">
        <v>0.0</v>
      </c>
      <c r="P642" s="132">
        <v>0.0</v>
      </c>
      <c r="Q642" s="132">
        <v>0.0</v>
      </c>
      <c r="R642" s="132">
        <v>0.0</v>
      </c>
      <c r="S642" s="132">
        <v>0.0</v>
      </c>
      <c r="T642" s="132">
        <v>0.0</v>
      </c>
      <c r="U642" s="132">
        <v>0.0</v>
      </c>
      <c r="V642" s="132">
        <v>0.0</v>
      </c>
      <c r="W642" s="132">
        <v>0.0</v>
      </c>
      <c r="Y642" s="132" t="s">
        <v>4144</v>
      </c>
      <c r="Z642" s="132">
        <f t="shared" ref="Z642:AC642" si="1280">C642-1000</f>
        <v>-1000</v>
      </c>
      <c r="AA642" s="132">
        <f t="shared" si="1280"/>
        <v>-1000</v>
      </c>
      <c r="AB642" s="132">
        <f t="shared" si="1280"/>
        <v>-1000</v>
      </c>
      <c r="AC642" s="132">
        <f t="shared" si="1280"/>
        <v>-1000</v>
      </c>
      <c r="AD642" s="132">
        <f t="shared" si="4"/>
        <v>-9950</v>
      </c>
      <c r="AE642" s="132">
        <f t="shared" ref="AE642:AS642" si="1281">H642-1000</f>
        <v>-1000</v>
      </c>
      <c r="AF642" s="132">
        <f t="shared" si="1281"/>
        <v>-1000</v>
      </c>
      <c r="AG642" s="132">
        <f t="shared" si="1281"/>
        <v>-1000</v>
      </c>
      <c r="AH642" s="132">
        <f t="shared" si="1281"/>
        <v>-1000</v>
      </c>
      <c r="AI642" s="132">
        <f t="shared" si="1281"/>
        <v>-1000</v>
      </c>
      <c r="AJ642" s="132">
        <f t="shared" si="1281"/>
        <v>-1000</v>
      </c>
      <c r="AK642" s="132">
        <f t="shared" si="1281"/>
        <v>-1000</v>
      </c>
      <c r="AL642" s="132">
        <f t="shared" si="1281"/>
        <v>-1000</v>
      </c>
      <c r="AM642" s="132">
        <f t="shared" si="1281"/>
        <v>-1000</v>
      </c>
      <c r="AN642" s="132">
        <f t="shared" si="1281"/>
        <v>-1000</v>
      </c>
      <c r="AO642" s="132">
        <f t="shared" si="1281"/>
        <v>-1000</v>
      </c>
      <c r="AP642" s="132">
        <f t="shared" si="1281"/>
        <v>-1000</v>
      </c>
      <c r="AQ642" s="132">
        <f t="shared" si="1281"/>
        <v>-1000</v>
      </c>
      <c r="AR642" s="132">
        <f t="shared" si="1281"/>
        <v>-1000</v>
      </c>
      <c r="AS642" s="132">
        <f t="shared" si="1281"/>
        <v>-1000</v>
      </c>
    </row>
    <row r="643">
      <c r="A643" s="132" t="s">
        <v>4145</v>
      </c>
      <c r="B643" s="132">
        <v>5000.0</v>
      </c>
      <c r="C643" s="132">
        <v>0.0</v>
      </c>
      <c r="D643" s="132">
        <v>0.0</v>
      </c>
      <c r="E643" s="132">
        <v>0.0</v>
      </c>
      <c r="F643" s="132">
        <v>0.0</v>
      </c>
      <c r="G643" s="132">
        <v>5000.0</v>
      </c>
      <c r="H643" s="132">
        <v>0.0</v>
      </c>
      <c r="I643" s="132">
        <v>0.0</v>
      </c>
      <c r="J643" s="132">
        <v>0.0</v>
      </c>
      <c r="K643" s="132">
        <v>0.0</v>
      </c>
      <c r="L643" s="132">
        <v>0.0</v>
      </c>
      <c r="M643" s="132">
        <v>0.0</v>
      </c>
      <c r="N643" s="132">
        <v>0.0</v>
      </c>
      <c r="O643" s="132">
        <v>0.0</v>
      </c>
      <c r="P643" s="132">
        <v>0.0</v>
      </c>
      <c r="Q643" s="132">
        <v>0.0</v>
      </c>
      <c r="R643" s="132">
        <v>0.0</v>
      </c>
      <c r="S643" s="132">
        <v>0.0</v>
      </c>
      <c r="T643" s="132">
        <v>0.0</v>
      </c>
      <c r="U643" s="132">
        <v>0.0</v>
      </c>
      <c r="V643" s="132">
        <v>0.0</v>
      </c>
      <c r="W643" s="132">
        <v>0.0</v>
      </c>
      <c r="Y643" s="132" t="s">
        <v>4145</v>
      </c>
      <c r="Z643" s="132">
        <f t="shared" ref="Z643:AC643" si="1282">C643-1000</f>
        <v>-1000</v>
      </c>
      <c r="AA643" s="132">
        <f t="shared" si="1282"/>
        <v>-1000</v>
      </c>
      <c r="AB643" s="132">
        <f t="shared" si="1282"/>
        <v>-1000</v>
      </c>
      <c r="AC643" s="132">
        <f t="shared" si="1282"/>
        <v>-1000</v>
      </c>
      <c r="AD643" s="132">
        <f t="shared" si="4"/>
        <v>-5000</v>
      </c>
      <c r="AE643" s="132">
        <f t="shared" ref="AE643:AS643" si="1283">H643-1000</f>
        <v>-1000</v>
      </c>
      <c r="AF643" s="132">
        <f t="shared" si="1283"/>
        <v>-1000</v>
      </c>
      <c r="AG643" s="132">
        <f t="shared" si="1283"/>
        <v>-1000</v>
      </c>
      <c r="AH643" s="132">
        <f t="shared" si="1283"/>
        <v>-1000</v>
      </c>
      <c r="AI643" s="132">
        <f t="shared" si="1283"/>
        <v>-1000</v>
      </c>
      <c r="AJ643" s="132">
        <f t="shared" si="1283"/>
        <v>-1000</v>
      </c>
      <c r="AK643" s="132">
        <f t="shared" si="1283"/>
        <v>-1000</v>
      </c>
      <c r="AL643" s="132">
        <f t="shared" si="1283"/>
        <v>-1000</v>
      </c>
      <c r="AM643" s="132">
        <f t="shared" si="1283"/>
        <v>-1000</v>
      </c>
      <c r="AN643" s="132">
        <f t="shared" si="1283"/>
        <v>-1000</v>
      </c>
      <c r="AO643" s="132">
        <f t="shared" si="1283"/>
        <v>-1000</v>
      </c>
      <c r="AP643" s="132">
        <f t="shared" si="1283"/>
        <v>-1000</v>
      </c>
      <c r="AQ643" s="132">
        <f t="shared" si="1283"/>
        <v>-1000</v>
      </c>
      <c r="AR643" s="132">
        <f t="shared" si="1283"/>
        <v>-1000</v>
      </c>
      <c r="AS643" s="132">
        <f t="shared" si="1283"/>
        <v>-1000</v>
      </c>
    </row>
    <row r="644">
      <c r="A644" s="132" t="s">
        <v>4146</v>
      </c>
      <c r="B644" s="132">
        <v>5000.0</v>
      </c>
      <c r="C644" s="132">
        <v>0.0</v>
      </c>
      <c r="D644" s="132">
        <v>0.0</v>
      </c>
      <c r="E644" s="132">
        <v>0.0</v>
      </c>
      <c r="F644" s="132">
        <v>0.0</v>
      </c>
      <c r="G644" s="132">
        <v>5000.0</v>
      </c>
      <c r="H644" s="132">
        <v>0.0</v>
      </c>
      <c r="I644" s="132">
        <v>0.0</v>
      </c>
      <c r="J644" s="132">
        <v>0.0</v>
      </c>
      <c r="K644" s="132">
        <v>0.0</v>
      </c>
      <c r="L644" s="132">
        <v>0.0</v>
      </c>
      <c r="M644" s="132">
        <v>0.0</v>
      </c>
      <c r="N644" s="132">
        <v>0.0</v>
      </c>
      <c r="O644" s="132">
        <v>0.0</v>
      </c>
      <c r="P644" s="132">
        <v>0.0</v>
      </c>
      <c r="Q644" s="132">
        <v>0.0</v>
      </c>
      <c r="R644" s="132">
        <v>0.0</v>
      </c>
      <c r="S644" s="132">
        <v>0.0</v>
      </c>
      <c r="T644" s="132">
        <v>0.0</v>
      </c>
      <c r="U644" s="132">
        <v>0.0</v>
      </c>
      <c r="V644" s="132">
        <v>0.0</v>
      </c>
      <c r="W644" s="132">
        <v>0.0</v>
      </c>
      <c r="Y644" s="132" t="s">
        <v>4146</v>
      </c>
      <c r="Z644" s="132">
        <f t="shared" ref="Z644:AC644" si="1284">C644-1000</f>
        <v>-1000</v>
      </c>
      <c r="AA644" s="132">
        <f t="shared" si="1284"/>
        <v>-1000</v>
      </c>
      <c r="AB644" s="132">
        <f t="shared" si="1284"/>
        <v>-1000</v>
      </c>
      <c r="AC644" s="132">
        <f t="shared" si="1284"/>
        <v>-1000</v>
      </c>
      <c r="AD644" s="132">
        <f t="shared" si="4"/>
        <v>-5000</v>
      </c>
      <c r="AE644" s="132">
        <f t="shared" ref="AE644:AS644" si="1285">H644-1000</f>
        <v>-1000</v>
      </c>
      <c r="AF644" s="132">
        <f t="shared" si="1285"/>
        <v>-1000</v>
      </c>
      <c r="AG644" s="132">
        <f t="shared" si="1285"/>
        <v>-1000</v>
      </c>
      <c r="AH644" s="132">
        <f t="shared" si="1285"/>
        <v>-1000</v>
      </c>
      <c r="AI644" s="132">
        <f t="shared" si="1285"/>
        <v>-1000</v>
      </c>
      <c r="AJ644" s="132">
        <f t="shared" si="1285"/>
        <v>-1000</v>
      </c>
      <c r="AK644" s="132">
        <f t="shared" si="1285"/>
        <v>-1000</v>
      </c>
      <c r="AL644" s="132">
        <f t="shared" si="1285"/>
        <v>-1000</v>
      </c>
      <c r="AM644" s="132">
        <f t="shared" si="1285"/>
        <v>-1000</v>
      </c>
      <c r="AN644" s="132">
        <f t="shared" si="1285"/>
        <v>-1000</v>
      </c>
      <c r="AO644" s="132">
        <f t="shared" si="1285"/>
        <v>-1000</v>
      </c>
      <c r="AP644" s="132">
        <f t="shared" si="1285"/>
        <v>-1000</v>
      </c>
      <c r="AQ644" s="132">
        <f t="shared" si="1285"/>
        <v>-1000</v>
      </c>
      <c r="AR644" s="132">
        <f t="shared" si="1285"/>
        <v>-1000</v>
      </c>
      <c r="AS644" s="132">
        <f t="shared" si="1285"/>
        <v>-1000</v>
      </c>
    </row>
    <row r="645">
      <c r="A645" s="132" t="s">
        <v>4147</v>
      </c>
      <c r="B645" s="132">
        <v>1000.0</v>
      </c>
      <c r="C645" s="132">
        <v>0.0</v>
      </c>
      <c r="D645" s="132">
        <v>0.0</v>
      </c>
      <c r="E645" s="132">
        <v>0.0</v>
      </c>
      <c r="F645" s="132">
        <v>0.0</v>
      </c>
      <c r="G645" s="132">
        <v>1000.0</v>
      </c>
      <c r="H645" s="132">
        <v>0.0</v>
      </c>
      <c r="I645" s="132">
        <v>0.0</v>
      </c>
      <c r="J645" s="132">
        <v>0.0</v>
      </c>
      <c r="K645" s="132">
        <v>0.0</v>
      </c>
      <c r="L645" s="132">
        <v>0.0</v>
      </c>
      <c r="M645" s="132">
        <v>0.0</v>
      </c>
      <c r="N645" s="132">
        <v>0.0</v>
      </c>
      <c r="O645" s="132">
        <v>0.0</v>
      </c>
      <c r="P645" s="132">
        <v>0.0</v>
      </c>
      <c r="Q645" s="132">
        <v>0.0</v>
      </c>
      <c r="R645" s="132">
        <v>0.0</v>
      </c>
      <c r="S645" s="132">
        <v>0.0</v>
      </c>
      <c r="T645" s="132">
        <v>0.0</v>
      </c>
      <c r="U645" s="132">
        <v>0.0</v>
      </c>
      <c r="V645" s="132">
        <v>0.0</v>
      </c>
      <c r="W645" s="132">
        <v>0.0</v>
      </c>
      <c r="Y645" s="132" t="s">
        <v>4147</v>
      </c>
      <c r="Z645" s="132">
        <f t="shared" ref="Z645:AC645" si="1286">C645-1000</f>
        <v>-1000</v>
      </c>
      <c r="AA645" s="132">
        <f t="shared" si="1286"/>
        <v>-1000</v>
      </c>
      <c r="AB645" s="132">
        <f t="shared" si="1286"/>
        <v>-1000</v>
      </c>
      <c r="AC645" s="132">
        <f t="shared" si="1286"/>
        <v>-1000</v>
      </c>
      <c r="AD645" s="132">
        <f t="shared" si="4"/>
        <v>-9000</v>
      </c>
      <c r="AE645" s="132">
        <f t="shared" ref="AE645:AS645" si="1287">H645-1000</f>
        <v>-1000</v>
      </c>
      <c r="AF645" s="132">
        <f t="shared" si="1287"/>
        <v>-1000</v>
      </c>
      <c r="AG645" s="132">
        <f t="shared" si="1287"/>
        <v>-1000</v>
      </c>
      <c r="AH645" s="132">
        <f t="shared" si="1287"/>
        <v>-1000</v>
      </c>
      <c r="AI645" s="132">
        <f t="shared" si="1287"/>
        <v>-1000</v>
      </c>
      <c r="AJ645" s="132">
        <f t="shared" si="1287"/>
        <v>-1000</v>
      </c>
      <c r="AK645" s="132">
        <f t="shared" si="1287"/>
        <v>-1000</v>
      </c>
      <c r="AL645" s="132">
        <f t="shared" si="1287"/>
        <v>-1000</v>
      </c>
      <c r="AM645" s="132">
        <f t="shared" si="1287"/>
        <v>-1000</v>
      </c>
      <c r="AN645" s="132">
        <f t="shared" si="1287"/>
        <v>-1000</v>
      </c>
      <c r="AO645" s="132">
        <f t="shared" si="1287"/>
        <v>-1000</v>
      </c>
      <c r="AP645" s="132">
        <f t="shared" si="1287"/>
        <v>-1000</v>
      </c>
      <c r="AQ645" s="132">
        <f t="shared" si="1287"/>
        <v>-1000</v>
      </c>
      <c r="AR645" s="132">
        <f t="shared" si="1287"/>
        <v>-1000</v>
      </c>
      <c r="AS645" s="132">
        <f t="shared" si="1287"/>
        <v>-1000</v>
      </c>
    </row>
    <row r="646">
      <c r="A646" s="132" t="s">
        <v>4148</v>
      </c>
      <c r="B646" s="132">
        <v>2000.0</v>
      </c>
      <c r="C646" s="132">
        <v>0.0</v>
      </c>
      <c r="D646" s="132">
        <v>0.0</v>
      </c>
      <c r="E646" s="132">
        <v>0.0</v>
      </c>
      <c r="F646" s="132">
        <v>0.0</v>
      </c>
      <c r="G646" s="132">
        <v>2000.0</v>
      </c>
      <c r="H646" s="132">
        <v>0.0</v>
      </c>
      <c r="I646" s="132">
        <v>0.0</v>
      </c>
      <c r="J646" s="132">
        <v>0.0</v>
      </c>
      <c r="K646" s="132">
        <v>0.0</v>
      </c>
      <c r="L646" s="132">
        <v>0.0</v>
      </c>
      <c r="M646" s="132">
        <v>0.0</v>
      </c>
      <c r="N646" s="132">
        <v>0.0</v>
      </c>
      <c r="O646" s="132">
        <v>0.0</v>
      </c>
      <c r="P646" s="132">
        <v>0.0</v>
      </c>
      <c r="Q646" s="132">
        <v>0.0</v>
      </c>
      <c r="R646" s="132">
        <v>0.0</v>
      </c>
      <c r="S646" s="132">
        <v>0.0</v>
      </c>
      <c r="T646" s="132">
        <v>0.0</v>
      </c>
      <c r="U646" s="132">
        <v>0.0</v>
      </c>
      <c r="V646" s="132">
        <v>0.0</v>
      </c>
      <c r="W646" s="132">
        <v>0.0</v>
      </c>
      <c r="Y646" s="132" t="s">
        <v>4148</v>
      </c>
      <c r="Z646" s="132">
        <f t="shared" ref="Z646:AC646" si="1288">C646-1000</f>
        <v>-1000</v>
      </c>
      <c r="AA646" s="132">
        <f t="shared" si="1288"/>
        <v>-1000</v>
      </c>
      <c r="AB646" s="132">
        <f t="shared" si="1288"/>
        <v>-1000</v>
      </c>
      <c r="AC646" s="132">
        <f t="shared" si="1288"/>
        <v>-1000</v>
      </c>
      <c r="AD646" s="132">
        <f t="shared" si="4"/>
        <v>-8000</v>
      </c>
      <c r="AE646" s="132">
        <f t="shared" ref="AE646:AS646" si="1289">H646-1000</f>
        <v>-1000</v>
      </c>
      <c r="AF646" s="132">
        <f t="shared" si="1289"/>
        <v>-1000</v>
      </c>
      <c r="AG646" s="132">
        <f t="shared" si="1289"/>
        <v>-1000</v>
      </c>
      <c r="AH646" s="132">
        <f t="shared" si="1289"/>
        <v>-1000</v>
      </c>
      <c r="AI646" s="132">
        <f t="shared" si="1289"/>
        <v>-1000</v>
      </c>
      <c r="AJ646" s="132">
        <f t="shared" si="1289"/>
        <v>-1000</v>
      </c>
      <c r="AK646" s="132">
        <f t="shared" si="1289"/>
        <v>-1000</v>
      </c>
      <c r="AL646" s="132">
        <f t="shared" si="1289"/>
        <v>-1000</v>
      </c>
      <c r="AM646" s="132">
        <f t="shared" si="1289"/>
        <v>-1000</v>
      </c>
      <c r="AN646" s="132">
        <f t="shared" si="1289"/>
        <v>-1000</v>
      </c>
      <c r="AO646" s="132">
        <f t="shared" si="1289"/>
        <v>-1000</v>
      </c>
      <c r="AP646" s="132">
        <f t="shared" si="1289"/>
        <v>-1000</v>
      </c>
      <c r="AQ646" s="132">
        <f t="shared" si="1289"/>
        <v>-1000</v>
      </c>
      <c r="AR646" s="132">
        <f t="shared" si="1289"/>
        <v>-1000</v>
      </c>
      <c r="AS646" s="132">
        <f t="shared" si="1289"/>
        <v>-1000</v>
      </c>
    </row>
    <row r="647">
      <c r="A647" s="132" t="s">
        <v>4149</v>
      </c>
      <c r="B647" s="132">
        <v>5000.0</v>
      </c>
      <c r="C647" s="132">
        <v>0.0</v>
      </c>
      <c r="D647" s="132">
        <v>0.0</v>
      </c>
      <c r="E647" s="132">
        <v>0.0</v>
      </c>
      <c r="F647" s="132">
        <v>0.0</v>
      </c>
      <c r="G647" s="132">
        <v>5000.0</v>
      </c>
      <c r="H647" s="132">
        <v>0.0</v>
      </c>
      <c r="I647" s="132">
        <v>0.0</v>
      </c>
      <c r="J647" s="132">
        <v>0.0</v>
      </c>
      <c r="K647" s="132">
        <v>0.0</v>
      </c>
      <c r="L647" s="132">
        <v>0.0</v>
      </c>
      <c r="M647" s="132">
        <v>0.0</v>
      </c>
      <c r="N647" s="132">
        <v>0.0</v>
      </c>
      <c r="O647" s="132">
        <v>0.0</v>
      </c>
      <c r="P647" s="132">
        <v>0.0</v>
      </c>
      <c r="Q647" s="132">
        <v>0.0</v>
      </c>
      <c r="R647" s="132">
        <v>0.0</v>
      </c>
      <c r="S647" s="132">
        <v>0.0</v>
      </c>
      <c r="T647" s="132">
        <v>0.0</v>
      </c>
      <c r="U647" s="132">
        <v>0.0</v>
      </c>
      <c r="V647" s="132">
        <v>0.0</v>
      </c>
      <c r="W647" s="132">
        <v>0.0</v>
      </c>
      <c r="Y647" s="132" t="s">
        <v>4149</v>
      </c>
      <c r="Z647" s="132">
        <f t="shared" ref="Z647:AC647" si="1290">C647-1000</f>
        <v>-1000</v>
      </c>
      <c r="AA647" s="132">
        <f t="shared" si="1290"/>
        <v>-1000</v>
      </c>
      <c r="AB647" s="132">
        <f t="shared" si="1290"/>
        <v>-1000</v>
      </c>
      <c r="AC647" s="132">
        <f t="shared" si="1290"/>
        <v>-1000</v>
      </c>
      <c r="AD647" s="132">
        <f t="shared" si="4"/>
        <v>-5000</v>
      </c>
      <c r="AE647" s="132">
        <f t="shared" ref="AE647:AS647" si="1291">H647-1000</f>
        <v>-1000</v>
      </c>
      <c r="AF647" s="132">
        <f t="shared" si="1291"/>
        <v>-1000</v>
      </c>
      <c r="AG647" s="132">
        <f t="shared" si="1291"/>
        <v>-1000</v>
      </c>
      <c r="AH647" s="132">
        <f t="shared" si="1291"/>
        <v>-1000</v>
      </c>
      <c r="AI647" s="132">
        <f t="shared" si="1291"/>
        <v>-1000</v>
      </c>
      <c r="AJ647" s="132">
        <f t="shared" si="1291"/>
        <v>-1000</v>
      </c>
      <c r="AK647" s="132">
        <f t="shared" si="1291"/>
        <v>-1000</v>
      </c>
      <c r="AL647" s="132">
        <f t="shared" si="1291"/>
        <v>-1000</v>
      </c>
      <c r="AM647" s="132">
        <f t="shared" si="1291"/>
        <v>-1000</v>
      </c>
      <c r="AN647" s="132">
        <f t="shared" si="1291"/>
        <v>-1000</v>
      </c>
      <c r="AO647" s="132">
        <f t="shared" si="1291"/>
        <v>-1000</v>
      </c>
      <c r="AP647" s="132">
        <f t="shared" si="1291"/>
        <v>-1000</v>
      </c>
      <c r="AQ647" s="132">
        <f t="shared" si="1291"/>
        <v>-1000</v>
      </c>
      <c r="AR647" s="132">
        <f t="shared" si="1291"/>
        <v>-1000</v>
      </c>
      <c r="AS647" s="132">
        <f t="shared" si="1291"/>
        <v>-1000</v>
      </c>
    </row>
    <row r="648">
      <c r="A648" s="132" t="s">
        <v>4150</v>
      </c>
      <c r="B648" s="132">
        <v>5000.0</v>
      </c>
      <c r="C648" s="132">
        <v>0.0</v>
      </c>
      <c r="D648" s="132">
        <v>0.0</v>
      </c>
      <c r="E648" s="132">
        <v>0.0</v>
      </c>
      <c r="F648" s="132">
        <v>0.0</v>
      </c>
      <c r="G648" s="132">
        <v>5000.0</v>
      </c>
      <c r="H648" s="132">
        <v>0.0</v>
      </c>
      <c r="I648" s="132">
        <v>0.0</v>
      </c>
      <c r="J648" s="132">
        <v>0.0</v>
      </c>
      <c r="K648" s="132">
        <v>0.0</v>
      </c>
      <c r="L648" s="132">
        <v>0.0</v>
      </c>
      <c r="M648" s="132">
        <v>0.0</v>
      </c>
      <c r="N648" s="132">
        <v>0.0</v>
      </c>
      <c r="O648" s="132">
        <v>0.0</v>
      </c>
      <c r="P648" s="132">
        <v>0.0</v>
      </c>
      <c r="Q648" s="132">
        <v>0.0</v>
      </c>
      <c r="R648" s="132">
        <v>0.0</v>
      </c>
      <c r="S648" s="132">
        <v>0.0</v>
      </c>
      <c r="T648" s="132">
        <v>0.0</v>
      </c>
      <c r="U648" s="132">
        <v>0.0</v>
      </c>
      <c r="V648" s="132">
        <v>0.0</v>
      </c>
      <c r="W648" s="132">
        <v>0.0</v>
      </c>
      <c r="Y648" s="132" t="s">
        <v>4150</v>
      </c>
      <c r="Z648" s="132">
        <f t="shared" ref="Z648:AC648" si="1292">C648-1000</f>
        <v>-1000</v>
      </c>
      <c r="AA648" s="132">
        <f t="shared" si="1292"/>
        <v>-1000</v>
      </c>
      <c r="AB648" s="132">
        <f t="shared" si="1292"/>
        <v>-1000</v>
      </c>
      <c r="AC648" s="132">
        <f t="shared" si="1292"/>
        <v>-1000</v>
      </c>
      <c r="AD648" s="132">
        <f t="shared" si="4"/>
        <v>-5000</v>
      </c>
      <c r="AE648" s="132">
        <f t="shared" ref="AE648:AS648" si="1293">H648-1000</f>
        <v>-1000</v>
      </c>
      <c r="AF648" s="132">
        <f t="shared" si="1293"/>
        <v>-1000</v>
      </c>
      <c r="AG648" s="132">
        <f t="shared" si="1293"/>
        <v>-1000</v>
      </c>
      <c r="AH648" s="132">
        <f t="shared" si="1293"/>
        <v>-1000</v>
      </c>
      <c r="AI648" s="132">
        <f t="shared" si="1293"/>
        <v>-1000</v>
      </c>
      <c r="AJ648" s="132">
        <f t="shared" si="1293"/>
        <v>-1000</v>
      </c>
      <c r="AK648" s="132">
        <f t="shared" si="1293"/>
        <v>-1000</v>
      </c>
      <c r="AL648" s="132">
        <f t="shared" si="1293"/>
        <v>-1000</v>
      </c>
      <c r="AM648" s="132">
        <f t="shared" si="1293"/>
        <v>-1000</v>
      </c>
      <c r="AN648" s="132">
        <f t="shared" si="1293"/>
        <v>-1000</v>
      </c>
      <c r="AO648" s="132">
        <f t="shared" si="1293"/>
        <v>-1000</v>
      </c>
      <c r="AP648" s="132">
        <f t="shared" si="1293"/>
        <v>-1000</v>
      </c>
      <c r="AQ648" s="132">
        <f t="shared" si="1293"/>
        <v>-1000</v>
      </c>
      <c r="AR648" s="132">
        <f t="shared" si="1293"/>
        <v>-1000</v>
      </c>
      <c r="AS648" s="132">
        <f t="shared" si="1293"/>
        <v>-1000</v>
      </c>
    </row>
    <row r="649">
      <c r="A649" s="132" t="s">
        <v>4151</v>
      </c>
      <c r="B649" s="132">
        <v>2500.0</v>
      </c>
      <c r="C649" s="132">
        <v>0.0</v>
      </c>
      <c r="D649" s="132">
        <v>0.0</v>
      </c>
      <c r="E649" s="132">
        <v>0.0</v>
      </c>
      <c r="F649" s="132">
        <v>0.0</v>
      </c>
      <c r="G649" s="132">
        <v>2500.0</v>
      </c>
      <c r="H649" s="132">
        <v>0.0</v>
      </c>
      <c r="I649" s="132">
        <v>0.0</v>
      </c>
      <c r="J649" s="132">
        <v>0.0</v>
      </c>
      <c r="K649" s="132">
        <v>0.0</v>
      </c>
      <c r="L649" s="132">
        <v>0.0</v>
      </c>
      <c r="M649" s="132">
        <v>0.0</v>
      </c>
      <c r="N649" s="132">
        <v>0.0</v>
      </c>
      <c r="O649" s="132">
        <v>0.0</v>
      </c>
      <c r="P649" s="132">
        <v>0.0</v>
      </c>
      <c r="Q649" s="132">
        <v>0.0</v>
      </c>
      <c r="R649" s="132">
        <v>0.0</v>
      </c>
      <c r="S649" s="132">
        <v>0.0</v>
      </c>
      <c r="T649" s="132">
        <v>0.0</v>
      </c>
      <c r="U649" s="132">
        <v>0.0</v>
      </c>
      <c r="V649" s="132">
        <v>0.0</v>
      </c>
      <c r="W649" s="132">
        <v>0.0</v>
      </c>
      <c r="Y649" s="132" t="s">
        <v>4151</v>
      </c>
      <c r="Z649" s="132">
        <f t="shared" ref="Z649:AC649" si="1294">C649-1000</f>
        <v>-1000</v>
      </c>
      <c r="AA649" s="132">
        <f t="shared" si="1294"/>
        <v>-1000</v>
      </c>
      <c r="AB649" s="132">
        <f t="shared" si="1294"/>
        <v>-1000</v>
      </c>
      <c r="AC649" s="132">
        <f t="shared" si="1294"/>
        <v>-1000</v>
      </c>
      <c r="AD649" s="132">
        <f t="shared" si="4"/>
        <v>-7500</v>
      </c>
      <c r="AE649" s="132">
        <f t="shared" ref="AE649:AS649" si="1295">H649-1000</f>
        <v>-1000</v>
      </c>
      <c r="AF649" s="132">
        <f t="shared" si="1295"/>
        <v>-1000</v>
      </c>
      <c r="AG649" s="132">
        <f t="shared" si="1295"/>
        <v>-1000</v>
      </c>
      <c r="AH649" s="132">
        <f t="shared" si="1295"/>
        <v>-1000</v>
      </c>
      <c r="AI649" s="132">
        <f t="shared" si="1295"/>
        <v>-1000</v>
      </c>
      <c r="AJ649" s="132">
        <f t="shared" si="1295"/>
        <v>-1000</v>
      </c>
      <c r="AK649" s="132">
        <f t="shared" si="1295"/>
        <v>-1000</v>
      </c>
      <c r="AL649" s="132">
        <f t="shared" si="1295"/>
        <v>-1000</v>
      </c>
      <c r="AM649" s="132">
        <f t="shared" si="1295"/>
        <v>-1000</v>
      </c>
      <c r="AN649" s="132">
        <f t="shared" si="1295"/>
        <v>-1000</v>
      </c>
      <c r="AO649" s="132">
        <f t="shared" si="1295"/>
        <v>-1000</v>
      </c>
      <c r="AP649" s="132">
        <f t="shared" si="1295"/>
        <v>-1000</v>
      </c>
      <c r="AQ649" s="132">
        <f t="shared" si="1295"/>
        <v>-1000</v>
      </c>
      <c r="AR649" s="132">
        <f t="shared" si="1295"/>
        <v>-1000</v>
      </c>
      <c r="AS649" s="132">
        <f t="shared" si="1295"/>
        <v>-1000</v>
      </c>
    </row>
    <row r="650">
      <c r="A650" s="132" t="s">
        <v>4152</v>
      </c>
      <c r="B650" s="132">
        <v>2550.0</v>
      </c>
      <c r="C650" s="132">
        <v>50.0</v>
      </c>
      <c r="D650" s="132">
        <v>0.0</v>
      </c>
      <c r="E650" s="132">
        <v>0.0</v>
      </c>
      <c r="F650" s="132">
        <v>0.0</v>
      </c>
      <c r="G650" s="132">
        <v>2500.0</v>
      </c>
      <c r="H650" s="132">
        <v>0.0</v>
      </c>
      <c r="I650" s="132">
        <v>0.0</v>
      </c>
      <c r="J650" s="132">
        <v>0.0</v>
      </c>
      <c r="K650" s="132">
        <v>0.0</v>
      </c>
      <c r="L650" s="132">
        <v>0.0</v>
      </c>
      <c r="M650" s="132">
        <v>0.0</v>
      </c>
      <c r="N650" s="132">
        <v>0.0</v>
      </c>
      <c r="O650" s="132">
        <v>0.0</v>
      </c>
      <c r="P650" s="132">
        <v>0.0</v>
      </c>
      <c r="Q650" s="132">
        <v>0.0</v>
      </c>
      <c r="R650" s="132">
        <v>0.0</v>
      </c>
      <c r="S650" s="132">
        <v>0.0</v>
      </c>
      <c r="T650" s="132">
        <v>0.0</v>
      </c>
      <c r="U650" s="132">
        <v>0.0</v>
      </c>
      <c r="V650" s="132">
        <v>0.0</v>
      </c>
      <c r="W650" s="132">
        <v>1.0</v>
      </c>
      <c r="Y650" s="132" t="s">
        <v>4152</v>
      </c>
      <c r="Z650" s="132">
        <f t="shared" ref="Z650:AC650" si="1296">C650-1000</f>
        <v>-950</v>
      </c>
      <c r="AA650" s="132">
        <f t="shared" si="1296"/>
        <v>-1000</v>
      </c>
      <c r="AB650" s="132">
        <f t="shared" si="1296"/>
        <v>-1000</v>
      </c>
      <c r="AC650" s="132">
        <f t="shared" si="1296"/>
        <v>-1000</v>
      </c>
      <c r="AD650" s="132">
        <f t="shared" si="4"/>
        <v>-7500</v>
      </c>
      <c r="AE650" s="132">
        <f t="shared" ref="AE650:AS650" si="1297">H650-1000</f>
        <v>-1000</v>
      </c>
      <c r="AF650" s="132">
        <f t="shared" si="1297"/>
        <v>-1000</v>
      </c>
      <c r="AG650" s="132">
        <f t="shared" si="1297"/>
        <v>-1000</v>
      </c>
      <c r="AH650" s="132">
        <f t="shared" si="1297"/>
        <v>-1000</v>
      </c>
      <c r="AI650" s="132">
        <f t="shared" si="1297"/>
        <v>-1000</v>
      </c>
      <c r="AJ650" s="132">
        <f t="shared" si="1297"/>
        <v>-1000</v>
      </c>
      <c r="AK650" s="132">
        <f t="shared" si="1297"/>
        <v>-1000</v>
      </c>
      <c r="AL650" s="132">
        <f t="shared" si="1297"/>
        <v>-1000</v>
      </c>
      <c r="AM650" s="132">
        <f t="shared" si="1297"/>
        <v>-1000</v>
      </c>
      <c r="AN650" s="132">
        <f t="shared" si="1297"/>
        <v>-1000</v>
      </c>
      <c r="AO650" s="132">
        <f t="shared" si="1297"/>
        <v>-1000</v>
      </c>
      <c r="AP650" s="132">
        <f t="shared" si="1297"/>
        <v>-1000</v>
      </c>
      <c r="AQ650" s="132">
        <f t="shared" si="1297"/>
        <v>-1000</v>
      </c>
      <c r="AR650" s="132">
        <f t="shared" si="1297"/>
        <v>-1000</v>
      </c>
      <c r="AS650" s="132">
        <f t="shared" si="1297"/>
        <v>-1000</v>
      </c>
    </row>
    <row r="651">
      <c r="A651" s="132" t="s">
        <v>4153</v>
      </c>
      <c r="B651" s="132">
        <v>10000.0</v>
      </c>
      <c r="C651" s="132">
        <v>0.0</v>
      </c>
      <c r="D651" s="132">
        <v>0.0</v>
      </c>
      <c r="E651" s="132">
        <v>0.0</v>
      </c>
      <c r="F651" s="132">
        <v>0.0</v>
      </c>
      <c r="G651" s="132">
        <v>10000.0</v>
      </c>
      <c r="H651" s="132">
        <v>0.0</v>
      </c>
      <c r="I651" s="132">
        <v>0.0</v>
      </c>
      <c r="J651" s="132">
        <v>0.0</v>
      </c>
      <c r="K651" s="132">
        <v>0.0</v>
      </c>
      <c r="L651" s="132">
        <v>0.0</v>
      </c>
      <c r="M651" s="132">
        <v>0.0</v>
      </c>
      <c r="N651" s="132">
        <v>0.0</v>
      </c>
      <c r="O651" s="132">
        <v>0.0</v>
      </c>
      <c r="P651" s="132">
        <v>0.0</v>
      </c>
      <c r="Q651" s="132">
        <v>0.0</v>
      </c>
      <c r="R651" s="132">
        <v>0.0</v>
      </c>
      <c r="S651" s="132">
        <v>0.0</v>
      </c>
      <c r="T651" s="132">
        <v>0.0</v>
      </c>
      <c r="U651" s="132">
        <v>0.0</v>
      </c>
      <c r="V651" s="132">
        <v>0.0</v>
      </c>
      <c r="W651" s="132">
        <v>0.0</v>
      </c>
      <c r="Y651" s="132" t="s">
        <v>4153</v>
      </c>
      <c r="Z651" s="132">
        <f t="shared" ref="Z651:AC651" si="1298">C651-1000</f>
        <v>-1000</v>
      </c>
      <c r="AA651" s="132">
        <f t="shared" si="1298"/>
        <v>-1000</v>
      </c>
      <c r="AB651" s="132">
        <f t="shared" si="1298"/>
        <v>-1000</v>
      </c>
      <c r="AC651" s="132">
        <f t="shared" si="1298"/>
        <v>-1000</v>
      </c>
      <c r="AD651" s="132">
        <f t="shared" si="4"/>
        <v>0</v>
      </c>
      <c r="AE651" s="132">
        <f t="shared" ref="AE651:AS651" si="1299">H651-1000</f>
        <v>-1000</v>
      </c>
      <c r="AF651" s="132">
        <f t="shared" si="1299"/>
        <v>-1000</v>
      </c>
      <c r="AG651" s="132">
        <f t="shared" si="1299"/>
        <v>-1000</v>
      </c>
      <c r="AH651" s="132">
        <f t="shared" si="1299"/>
        <v>-1000</v>
      </c>
      <c r="AI651" s="132">
        <f t="shared" si="1299"/>
        <v>-1000</v>
      </c>
      <c r="AJ651" s="132">
        <f t="shared" si="1299"/>
        <v>-1000</v>
      </c>
      <c r="AK651" s="132">
        <f t="shared" si="1299"/>
        <v>-1000</v>
      </c>
      <c r="AL651" s="132">
        <f t="shared" si="1299"/>
        <v>-1000</v>
      </c>
      <c r="AM651" s="132">
        <f t="shared" si="1299"/>
        <v>-1000</v>
      </c>
      <c r="AN651" s="132">
        <f t="shared" si="1299"/>
        <v>-1000</v>
      </c>
      <c r="AO651" s="132">
        <f t="shared" si="1299"/>
        <v>-1000</v>
      </c>
      <c r="AP651" s="132">
        <f t="shared" si="1299"/>
        <v>-1000</v>
      </c>
      <c r="AQ651" s="132">
        <f t="shared" si="1299"/>
        <v>-1000</v>
      </c>
      <c r="AR651" s="132">
        <f t="shared" si="1299"/>
        <v>-1000</v>
      </c>
      <c r="AS651" s="132">
        <f t="shared" si="1299"/>
        <v>-1000</v>
      </c>
    </row>
    <row r="652">
      <c r="A652" s="132" t="s">
        <v>4154</v>
      </c>
      <c r="B652" s="132">
        <v>1000.0</v>
      </c>
      <c r="C652" s="132">
        <v>0.0</v>
      </c>
      <c r="D652" s="132">
        <v>1000.0</v>
      </c>
      <c r="E652" s="132">
        <v>0.0</v>
      </c>
      <c r="F652" s="132">
        <v>0.0</v>
      </c>
      <c r="G652" s="132">
        <v>0.0</v>
      </c>
      <c r="H652" s="132">
        <v>0.0</v>
      </c>
      <c r="I652" s="132">
        <v>0.0</v>
      </c>
      <c r="J652" s="132">
        <v>0.0</v>
      </c>
      <c r="K652" s="132">
        <v>0.0</v>
      </c>
      <c r="L652" s="132">
        <v>0.0</v>
      </c>
      <c r="M652" s="132">
        <v>0.0</v>
      </c>
      <c r="N652" s="132">
        <v>0.0</v>
      </c>
      <c r="O652" s="132">
        <v>0.0</v>
      </c>
      <c r="P652" s="132">
        <v>0.0</v>
      </c>
      <c r="Q652" s="132">
        <v>0.0</v>
      </c>
      <c r="R652" s="132">
        <v>0.0</v>
      </c>
      <c r="S652" s="132">
        <v>0.0</v>
      </c>
      <c r="T652" s="132">
        <v>0.0</v>
      </c>
      <c r="U652" s="132">
        <v>0.0</v>
      </c>
      <c r="V652" s="132">
        <v>0.0</v>
      </c>
      <c r="W652" s="132">
        <v>0.0</v>
      </c>
      <c r="Y652" s="132" t="s">
        <v>4154</v>
      </c>
      <c r="Z652" s="132">
        <f t="shared" ref="Z652:AC652" si="1300">C652-1000</f>
        <v>-1000</v>
      </c>
      <c r="AA652" s="132">
        <f t="shared" si="1300"/>
        <v>0</v>
      </c>
      <c r="AB652" s="132">
        <f t="shared" si="1300"/>
        <v>-1000</v>
      </c>
      <c r="AC652" s="132">
        <f t="shared" si="1300"/>
        <v>-1000</v>
      </c>
      <c r="AD652" s="132">
        <f t="shared" si="4"/>
        <v>-10000</v>
      </c>
      <c r="AE652" s="132">
        <f t="shared" ref="AE652:AS652" si="1301">H652-1000</f>
        <v>-1000</v>
      </c>
      <c r="AF652" s="132">
        <f t="shared" si="1301"/>
        <v>-1000</v>
      </c>
      <c r="AG652" s="132">
        <f t="shared" si="1301"/>
        <v>-1000</v>
      </c>
      <c r="AH652" s="132">
        <f t="shared" si="1301"/>
        <v>-1000</v>
      </c>
      <c r="AI652" s="132">
        <f t="shared" si="1301"/>
        <v>-1000</v>
      </c>
      <c r="AJ652" s="132">
        <f t="shared" si="1301"/>
        <v>-1000</v>
      </c>
      <c r="AK652" s="132">
        <f t="shared" si="1301"/>
        <v>-1000</v>
      </c>
      <c r="AL652" s="132">
        <f t="shared" si="1301"/>
        <v>-1000</v>
      </c>
      <c r="AM652" s="132">
        <f t="shared" si="1301"/>
        <v>-1000</v>
      </c>
      <c r="AN652" s="132">
        <f t="shared" si="1301"/>
        <v>-1000</v>
      </c>
      <c r="AO652" s="132">
        <f t="shared" si="1301"/>
        <v>-1000</v>
      </c>
      <c r="AP652" s="132">
        <f t="shared" si="1301"/>
        <v>-1000</v>
      </c>
      <c r="AQ652" s="132">
        <f t="shared" si="1301"/>
        <v>-1000</v>
      </c>
      <c r="AR652" s="132">
        <f t="shared" si="1301"/>
        <v>-1000</v>
      </c>
      <c r="AS652" s="132">
        <f t="shared" si="1301"/>
        <v>-1000</v>
      </c>
    </row>
    <row r="653">
      <c r="A653" s="132" t="s">
        <v>4155</v>
      </c>
      <c r="B653" s="132">
        <v>2000.0</v>
      </c>
      <c r="C653" s="132">
        <v>0.0</v>
      </c>
      <c r="D653" s="132">
        <v>0.0</v>
      </c>
      <c r="E653" s="132">
        <v>0.0</v>
      </c>
      <c r="F653" s="132">
        <v>0.0</v>
      </c>
      <c r="G653" s="132">
        <v>0.0</v>
      </c>
      <c r="H653" s="132">
        <v>0.0</v>
      </c>
      <c r="I653" s="132">
        <v>0.0</v>
      </c>
      <c r="J653" s="132">
        <v>2000.0</v>
      </c>
      <c r="K653" s="132">
        <v>0.0</v>
      </c>
      <c r="L653" s="132">
        <v>0.0</v>
      </c>
      <c r="M653" s="132">
        <v>0.0</v>
      </c>
      <c r="N653" s="132">
        <v>0.0</v>
      </c>
      <c r="O653" s="132">
        <v>0.0</v>
      </c>
      <c r="P653" s="132">
        <v>0.0</v>
      </c>
      <c r="Q653" s="132">
        <v>0.0</v>
      </c>
      <c r="R653" s="132">
        <v>0.0</v>
      </c>
      <c r="S653" s="132">
        <v>0.0</v>
      </c>
      <c r="T653" s="132">
        <v>0.0</v>
      </c>
      <c r="U653" s="132">
        <v>0.0</v>
      </c>
      <c r="V653" s="132">
        <v>0.0</v>
      </c>
      <c r="W653" s="132">
        <v>0.0</v>
      </c>
      <c r="Y653" s="132" t="s">
        <v>4155</v>
      </c>
      <c r="Z653" s="132">
        <f t="shared" ref="Z653:AC653" si="1302">C653-1000</f>
        <v>-1000</v>
      </c>
      <c r="AA653" s="132">
        <f t="shared" si="1302"/>
        <v>-1000</v>
      </c>
      <c r="AB653" s="132">
        <f t="shared" si="1302"/>
        <v>-1000</v>
      </c>
      <c r="AC653" s="132">
        <f t="shared" si="1302"/>
        <v>-1000</v>
      </c>
      <c r="AD653" s="132">
        <f t="shared" si="4"/>
        <v>-10000</v>
      </c>
      <c r="AE653" s="132">
        <f t="shared" ref="AE653:AS653" si="1303">H653-1000</f>
        <v>-1000</v>
      </c>
      <c r="AF653" s="132">
        <f t="shared" si="1303"/>
        <v>-1000</v>
      </c>
      <c r="AG653" s="132">
        <f t="shared" si="1303"/>
        <v>1000</v>
      </c>
      <c r="AH653" s="132">
        <f t="shared" si="1303"/>
        <v>-1000</v>
      </c>
      <c r="AI653" s="132">
        <f t="shared" si="1303"/>
        <v>-1000</v>
      </c>
      <c r="AJ653" s="132">
        <f t="shared" si="1303"/>
        <v>-1000</v>
      </c>
      <c r="AK653" s="132">
        <f t="shared" si="1303"/>
        <v>-1000</v>
      </c>
      <c r="AL653" s="132">
        <f t="shared" si="1303"/>
        <v>-1000</v>
      </c>
      <c r="AM653" s="132">
        <f t="shared" si="1303"/>
        <v>-1000</v>
      </c>
      <c r="AN653" s="132">
        <f t="shared" si="1303"/>
        <v>-1000</v>
      </c>
      <c r="AO653" s="132">
        <f t="shared" si="1303"/>
        <v>-1000</v>
      </c>
      <c r="AP653" s="132">
        <f t="shared" si="1303"/>
        <v>-1000</v>
      </c>
      <c r="AQ653" s="132">
        <f t="shared" si="1303"/>
        <v>-1000</v>
      </c>
      <c r="AR653" s="132">
        <f t="shared" si="1303"/>
        <v>-1000</v>
      </c>
      <c r="AS653" s="132">
        <f t="shared" si="1303"/>
        <v>-1000</v>
      </c>
    </row>
    <row r="654">
      <c r="A654" s="132" t="s">
        <v>4156</v>
      </c>
      <c r="B654" s="132">
        <v>2000.0</v>
      </c>
      <c r="C654" s="132">
        <v>0.0</v>
      </c>
      <c r="D654" s="132">
        <v>0.0</v>
      </c>
      <c r="E654" s="132">
        <v>0.0</v>
      </c>
      <c r="F654" s="132">
        <v>0.0</v>
      </c>
      <c r="G654" s="132">
        <v>0.0</v>
      </c>
      <c r="H654" s="132">
        <v>0.0</v>
      </c>
      <c r="I654" s="132">
        <v>0.0</v>
      </c>
      <c r="J654" s="132">
        <v>2000.0</v>
      </c>
      <c r="K654" s="132">
        <v>0.0</v>
      </c>
      <c r="L654" s="132">
        <v>0.0</v>
      </c>
      <c r="M654" s="132">
        <v>0.0</v>
      </c>
      <c r="N654" s="132">
        <v>0.0</v>
      </c>
      <c r="O654" s="132">
        <v>0.0</v>
      </c>
      <c r="P654" s="132">
        <v>0.0</v>
      </c>
      <c r="Q654" s="132">
        <v>0.0</v>
      </c>
      <c r="R654" s="132">
        <v>0.0</v>
      </c>
      <c r="S654" s="132">
        <v>0.0</v>
      </c>
      <c r="T654" s="132">
        <v>0.0</v>
      </c>
      <c r="U654" s="132">
        <v>0.0</v>
      </c>
      <c r="V654" s="132">
        <v>0.0</v>
      </c>
      <c r="W654" s="132">
        <v>0.0</v>
      </c>
      <c r="Y654" s="132" t="s">
        <v>4156</v>
      </c>
      <c r="Z654" s="132">
        <f t="shared" ref="Z654:AC654" si="1304">C654-1000</f>
        <v>-1000</v>
      </c>
      <c r="AA654" s="132">
        <f t="shared" si="1304"/>
        <v>-1000</v>
      </c>
      <c r="AB654" s="132">
        <f t="shared" si="1304"/>
        <v>-1000</v>
      </c>
      <c r="AC654" s="132">
        <f t="shared" si="1304"/>
        <v>-1000</v>
      </c>
      <c r="AD654" s="132">
        <f t="shared" si="4"/>
        <v>-10000</v>
      </c>
      <c r="AE654" s="132">
        <f t="shared" ref="AE654:AS654" si="1305">H654-1000</f>
        <v>-1000</v>
      </c>
      <c r="AF654" s="132">
        <f t="shared" si="1305"/>
        <v>-1000</v>
      </c>
      <c r="AG654" s="132">
        <f t="shared" si="1305"/>
        <v>1000</v>
      </c>
      <c r="AH654" s="132">
        <f t="shared" si="1305"/>
        <v>-1000</v>
      </c>
      <c r="AI654" s="132">
        <f t="shared" si="1305"/>
        <v>-1000</v>
      </c>
      <c r="AJ654" s="132">
        <f t="shared" si="1305"/>
        <v>-1000</v>
      </c>
      <c r="AK654" s="132">
        <f t="shared" si="1305"/>
        <v>-1000</v>
      </c>
      <c r="AL654" s="132">
        <f t="shared" si="1305"/>
        <v>-1000</v>
      </c>
      <c r="AM654" s="132">
        <f t="shared" si="1305"/>
        <v>-1000</v>
      </c>
      <c r="AN654" s="132">
        <f t="shared" si="1305"/>
        <v>-1000</v>
      </c>
      <c r="AO654" s="132">
        <f t="shared" si="1305"/>
        <v>-1000</v>
      </c>
      <c r="AP654" s="132">
        <f t="shared" si="1305"/>
        <v>-1000</v>
      </c>
      <c r="AQ654" s="132">
        <f t="shared" si="1305"/>
        <v>-1000</v>
      </c>
      <c r="AR654" s="132">
        <f t="shared" si="1305"/>
        <v>-1000</v>
      </c>
      <c r="AS654" s="132">
        <f t="shared" si="1305"/>
        <v>-1000</v>
      </c>
    </row>
    <row r="655">
      <c r="A655" s="132" t="s">
        <v>4157</v>
      </c>
      <c r="B655" s="132">
        <v>4000.0</v>
      </c>
      <c r="C655" s="132">
        <v>0.0</v>
      </c>
      <c r="D655" s="132">
        <v>0.0</v>
      </c>
      <c r="E655" s="132">
        <v>0.0</v>
      </c>
      <c r="F655" s="132">
        <v>0.0</v>
      </c>
      <c r="G655" s="132">
        <v>0.0</v>
      </c>
      <c r="H655" s="132">
        <v>0.0</v>
      </c>
      <c r="I655" s="132">
        <v>0.0</v>
      </c>
      <c r="J655" s="132">
        <v>4000.0</v>
      </c>
      <c r="K655" s="132">
        <v>0.0</v>
      </c>
      <c r="L655" s="132">
        <v>0.0</v>
      </c>
      <c r="M655" s="132">
        <v>0.0</v>
      </c>
      <c r="N655" s="132">
        <v>0.0</v>
      </c>
      <c r="O655" s="132">
        <v>0.0</v>
      </c>
      <c r="P655" s="132">
        <v>0.0</v>
      </c>
      <c r="Q655" s="132">
        <v>0.0</v>
      </c>
      <c r="R655" s="132">
        <v>0.0</v>
      </c>
      <c r="S655" s="132">
        <v>0.0</v>
      </c>
      <c r="T655" s="132">
        <v>0.0</v>
      </c>
      <c r="U655" s="132">
        <v>0.0</v>
      </c>
      <c r="V655" s="132">
        <v>0.0</v>
      </c>
      <c r="W655" s="132">
        <v>0.0</v>
      </c>
      <c r="Y655" s="132" t="s">
        <v>4157</v>
      </c>
      <c r="Z655" s="132">
        <f t="shared" ref="Z655:AC655" si="1306">C655-1000</f>
        <v>-1000</v>
      </c>
      <c r="AA655" s="132">
        <f t="shared" si="1306"/>
        <v>-1000</v>
      </c>
      <c r="AB655" s="132">
        <f t="shared" si="1306"/>
        <v>-1000</v>
      </c>
      <c r="AC655" s="132">
        <f t="shared" si="1306"/>
        <v>-1000</v>
      </c>
      <c r="AD655" s="132">
        <f t="shared" si="4"/>
        <v>-10000</v>
      </c>
      <c r="AE655" s="132">
        <f t="shared" ref="AE655:AS655" si="1307">H655-1000</f>
        <v>-1000</v>
      </c>
      <c r="AF655" s="132">
        <f t="shared" si="1307"/>
        <v>-1000</v>
      </c>
      <c r="AG655" s="132">
        <f t="shared" si="1307"/>
        <v>3000</v>
      </c>
      <c r="AH655" s="132">
        <f t="shared" si="1307"/>
        <v>-1000</v>
      </c>
      <c r="AI655" s="132">
        <f t="shared" si="1307"/>
        <v>-1000</v>
      </c>
      <c r="AJ655" s="132">
        <f t="shared" si="1307"/>
        <v>-1000</v>
      </c>
      <c r="AK655" s="132">
        <f t="shared" si="1307"/>
        <v>-1000</v>
      </c>
      <c r="AL655" s="132">
        <f t="shared" si="1307"/>
        <v>-1000</v>
      </c>
      <c r="AM655" s="132">
        <f t="shared" si="1307"/>
        <v>-1000</v>
      </c>
      <c r="AN655" s="132">
        <f t="shared" si="1307"/>
        <v>-1000</v>
      </c>
      <c r="AO655" s="132">
        <f t="shared" si="1307"/>
        <v>-1000</v>
      </c>
      <c r="AP655" s="132">
        <f t="shared" si="1307"/>
        <v>-1000</v>
      </c>
      <c r="AQ655" s="132">
        <f t="shared" si="1307"/>
        <v>-1000</v>
      </c>
      <c r="AR655" s="132">
        <f t="shared" si="1307"/>
        <v>-1000</v>
      </c>
      <c r="AS655" s="132">
        <f t="shared" si="1307"/>
        <v>-1000</v>
      </c>
    </row>
    <row r="656">
      <c r="A656" s="132" t="s">
        <v>4158</v>
      </c>
      <c r="B656" s="132">
        <v>2000.0</v>
      </c>
      <c r="C656" s="132">
        <v>0.0</v>
      </c>
      <c r="D656" s="132">
        <v>0.0</v>
      </c>
      <c r="E656" s="132">
        <v>0.0</v>
      </c>
      <c r="F656" s="132">
        <v>0.0</v>
      </c>
      <c r="G656" s="132">
        <v>0.0</v>
      </c>
      <c r="H656" s="132">
        <v>0.0</v>
      </c>
      <c r="I656" s="132">
        <v>0.0</v>
      </c>
      <c r="J656" s="132">
        <v>2000.0</v>
      </c>
      <c r="K656" s="132">
        <v>0.0</v>
      </c>
      <c r="L656" s="132">
        <v>0.0</v>
      </c>
      <c r="M656" s="132">
        <v>0.0</v>
      </c>
      <c r="N656" s="132">
        <v>0.0</v>
      </c>
      <c r="O656" s="132">
        <v>0.0</v>
      </c>
      <c r="P656" s="132">
        <v>0.0</v>
      </c>
      <c r="Q656" s="132">
        <v>0.0</v>
      </c>
      <c r="R656" s="132">
        <v>0.0</v>
      </c>
      <c r="S656" s="132">
        <v>0.0</v>
      </c>
      <c r="T656" s="132">
        <v>0.0</v>
      </c>
      <c r="U656" s="132">
        <v>0.0</v>
      </c>
      <c r="V656" s="132">
        <v>0.0</v>
      </c>
      <c r="W656" s="132">
        <v>0.0</v>
      </c>
      <c r="Y656" s="132" t="s">
        <v>4158</v>
      </c>
      <c r="Z656" s="132">
        <f t="shared" ref="Z656:AC656" si="1308">C656-1000</f>
        <v>-1000</v>
      </c>
      <c r="AA656" s="132">
        <f t="shared" si="1308"/>
        <v>-1000</v>
      </c>
      <c r="AB656" s="132">
        <f t="shared" si="1308"/>
        <v>-1000</v>
      </c>
      <c r="AC656" s="132">
        <f t="shared" si="1308"/>
        <v>-1000</v>
      </c>
      <c r="AD656" s="132">
        <f t="shared" si="4"/>
        <v>-10000</v>
      </c>
      <c r="AE656" s="132">
        <f t="shared" ref="AE656:AS656" si="1309">H656-1000</f>
        <v>-1000</v>
      </c>
      <c r="AF656" s="132">
        <f t="shared" si="1309"/>
        <v>-1000</v>
      </c>
      <c r="AG656" s="132">
        <f t="shared" si="1309"/>
        <v>1000</v>
      </c>
      <c r="AH656" s="132">
        <f t="shared" si="1309"/>
        <v>-1000</v>
      </c>
      <c r="AI656" s="132">
        <f t="shared" si="1309"/>
        <v>-1000</v>
      </c>
      <c r="AJ656" s="132">
        <f t="shared" si="1309"/>
        <v>-1000</v>
      </c>
      <c r="AK656" s="132">
        <f t="shared" si="1309"/>
        <v>-1000</v>
      </c>
      <c r="AL656" s="132">
        <f t="shared" si="1309"/>
        <v>-1000</v>
      </c>
      <c r="AM656" s="132">
        <f t="shared" si="1309"/>
        <v>-1000</v>
      </c>
      <c r="AN656" s="132">
        <f t="shared" si="1309"/>
        <v>-1000</v>
      </c>
      <c r="AO656" s="132">
        <f t="shared" si="1309"/>
        <v>-1000</v>
      </c>
      <c r="AP656" s="132">
        <f t="shared" si="1309"/>
        <v>-1000</v>
      </c>
      <c r="AQ656" s="132">
        <f t="shared" si="1309"/>
        <v>-1000</v>
      </c>
      <c r="AR656" s="132">
        <f t="shared" si="1309"/>
        <v>-1000</v>
      </c>
      <c r="AS656" s="132">
        <f t="shared" si="1309"/>
        <v>-1000</v>
      </c>
    </row>
    <row r="657">
      <c r="A657" s="132" t="s">
        <v>4159</v>
      </c>
      <c r="B657" s="132">
        <v>450.0</v>
      </c>
      <c r="C657" s="132">
        <v>0.0</v>
      </c>
      <c r="D657" s="132">
        <v>0.0</v>
      </c>
      <c r="E657" s="132">
        <v>0.0</v>
      </c>
      <c r="F657" s="132">
        <v>0.0</v>
      </c>
      <c r="G657" s="132">
        <v>0.0</v>
      </c>
      <c r="H657" s="132">
        <v>0.0</v>
      </c>
      <c r="I657" s="132">
        <v>0.0</v>
      </c>
      <c r="J657" s="132">
        <v>0.0</v>
      </c>
      <c r="K657" s="132">
        <v>0.0</v>
      </c>
      <c r="L657" s="132">
        <v>0.0</v>
      </c>
      <c r="M657" s="132">
        <v>450.0</v>
      </c>
      <c r="N657" s="132">
        <v>0.0</v>
      </c>
      <c r="O657" s="132">
        <v>0.0</v>
      </c>
      <c r="P657" s="132">
        <v>0.0</v>
      </c>
      <c r="Q657" s="132">
        <v>0.0</v>
      </c>
      <c r="R657" s="132">
        <v>0.0</v>
      </c>
      <c r="S657" s="132">
        <v>0.0</v>
      </c>
      <c r="T657" s="132">
        <v>0.0</v>
      </c>
      <c r="U657" s="132">
        <v>0.0</v>
      </c>
      <c r="V657" s="132">
        <v>0.0</v>
      </c>
      <c r="W657" s="132">
        <v>1.0</v>
      </c>
      <c r="Y657" s="132" t="s">
        <v>4159</v>
      </c>
      <c r="Z657" s="132">
        <f t="shared" ref="Z657:AC657" si="1310">C657-1000</f>
        <v>-1000</v>
      </c>
      <c r="AA657" s="132">
        <f t="shared" si="1310"/>
        <v>-1000</v>
      </c>
      <c r="AB657" s="132">
        <f t="shared" si="1310"/>
        <v>-1000</v>
      </c>
      <c r="AC657" s="132">
        <f t="shared" si="1310"/>
        <v>-1000</v>
      </c>
      <c r="AD657" s="132">
        <f t="shared" si="4"/>
        <v>-10000</v>
      </c>
      <c r="AE657" s="132">
        <f t="shared" ref="AE657:AS657" si="1311">H657-1000</f>
        <v>-1000</v>
      </c>
      <c r="AF657" s="132">
        <f t="shared" si="1311"/>
        <v>-1000</v>
      </c>
      <c r="AG657" s="132">
        <f t="shared" si="1311"/>
        <v>-1000</v>
      </c>
      <c r="AH657" s="132">
        <f t="shared" si="1311"/>
        <v>-1000</v>
      </c>
      <c r="AI657" s="132">
        <f t="shared" si="1311"/>
        <v>-1000</v>
      </c>
      <c r="AJ657" s="132">
        <f t="shared" si="1311"/>
        <v>-550</v>
      </c>
      <c r="AK657" s="132">
        <f t="shared" si="1311"/>
        <v>-1000</v>
      </c>
      <c r="AL657" s="132">
        <f t="shared" si="1311"/>
        <v>-1000</v>
      </c>
      <c r="AM657" s="132">
        <f t="shared" si="1311"/>
        <v>-1000</v>
      </c>
      <c r="AN657" s="132">
        <f t="shared" si="1311"/>
        <v>-1000</v>
      </c>
      <c r="AO657" s="132">
        <f t="shared" si="1311"/>
        <v>-1000</v>
      </c>
      <c r="AP657" s="132">
        <f t="shared" si="1311"/>
        <v>-1000</v>
      </c>
      <c r="AQ657" s="132">
        <f t="shared" si="1311"/>
        <v>-1000</v>
      </c>
      <c r="AR657" s="132">
        <f t="shared" si="1311"/>
        <v>-1000</v>
      </c>
      <c r="AS657" s="132">
        <f t="shared" si="1311"/>
        <v>-1000</v>
      </c>
    </row>
    <row r="658">
      <c r="A658" s="132" t="s">
        <v>4160</v>
      </c>
      <c r="B658" s="132">
        <v>100.0</v>
      </c>
      <c r="C658" s="132">
        <v>0.0</v>
      </c>
      <c r="D658" s="132">
        <v>0.0</v>
      </c>
      <c r="E658" s="132">
        <v>0.0</v>
      </c>
      <c r="F658" s="132">
        <v>0.0</v>
      </c>
      <c r="G658" s="132">
        <v>0.0</v>
      </c>
      <c r="H658" s="132">
        <v>0.0</v>
      </c>
      <c r="I658" s="132">
        <v>0.0</v>
      </c>
      <c r="J658" s="132">
        <v>0.0</v>
      </c>
      <c r="K658" s="132">
        <v>0.0</v>
      </c>
      <c r="L658" s="132">
        <v>0.0</v>
      </c>
      <c r="M658" s="132">
        <v>100.0</v>
      </c>
      <c r="N658" s="132">
        <v>0.0</v>
      </c>
      <c r="O658" s="132">
        <v>0.0</v>
      </c>
      <c r="P658" s="132">
        <v>0.0</v>
      </c>
      <c r="Q658" s="132">
        <v>0.0</v>
      </c>
      <c r="R658" s="132">
        <v>0.0</v>
      </c>
      <c r="S658" s="132">
        <v>0.0</v>
      </c>
      <c r="T658" s="132">
        <v>0.0</v>
      </c>
      <c r="U658" s="132">
        <v>0.0</v>
      </c>
      <c r="V658" s="132">
        <v>0.0</v>
      </c>
      <c r="W658" s="132">
        <v>0.0</v>
      </c>
      <c r="Y658" s="132" t="s">
        <v>4160</v>
      </c>
      <c r="Z658" s="132">
        <f t="shared" ref="Z658:AC658" si="1312">C658-1000</f>
        <v>-1000</v>
      </c>
      <c r="AA658" s="132">
        <f t="shared" si="1312"/>
        <v>-1000</v>
      </c>
      <c r="AB658" s="132">
        <f t="shared" si="1312"/>
        <v>-1000</v>
      </c>
      <c r="AC658" s="132">
        <f t="shared" si="1312"/>
        <v>-1000</v>
      </c>
      <c r="AD658" s="132">
        <f t="shared" si="4"/>
        <v>-10000</v>
      </c>
      <c r="AE658" s="132">
        <f t="shared" ref="AE658:AS658" si="1313">H658-1000</f>
        <v>-1000</v>
      </c>
      <c r="AF658" s="132">
        <f t="shared" si="1313"/>
        <v>-1000</v>
      </c>
      <c r="AG658" s="132">
        <f t="shared" si="1313"/>
        <v>-1000</v>
      </c>
      <c r="AH658" s="132">
        <f t="shared" si="1313"/>
        <v>-1000</v>
      </c>
      <c r="AI658" s="132">
        <f t="shared" si="1313"/>
        <v>-1000</v>
      </c>
      <c r="AJ658" s="132">
        <f t="shared" si="1313"/>
        <v>-900</v>
      </c>
      <c r="AK658" s="132">
        <f t="shared" si="1313"/>
        <v>-1000</v>
      </c>
      <c r="AL658" s="132">
        <f t="shared" si="1313"/>
        <v>-1000</v>
      </c>
      <c r="AM658" s="132">
        <f t="shared" si="1313"/>
        <v>-1000</v>
      </c>
      <c r="AN658" s="132">
        <f t="shared" si="1313"/>
        <v>-1000</v>
      </c>
      <c r="AO658" s="132">
        <f t="shared" si="1313"/>
        <v>-1000</v>
      </c>
      <c r="AP658" s="132">
        <f t="shared" si="1313"/>
        <v>-1000</v>
      </c>
      <c r="AQ658" s="132">
        <f t="shared" si="1313"/>
        <v>-1000</v>
      </c>
      <c r="AR658" s="132">
        <f t="shared" si="1313"/>
        <v>-1000</v>
      </c>
      <c r="AS658" s="132">
        <f t="shared" si="1313"/>
        <v>-1000</v>
      </c>
    </row>
    <row r="659">
      <c r="A659" s="132" t="s">
        <v>4161</v>
      </c>
      <c r="B659" s="132">
        <v>500.0</v>
      </c>
      <c r="C659" s="132">
        <v>0.0</v>
      </c>
      <c r="D659" s="132">
        <v>0.0</v>
      </c>
      <c r="E659" s="132">
        <v>0.0</v>
      </c>
      <c r="F659" s="132">
        <v>0.0</v>
      </c>
      <c r="G659" s="132">
        <v>0.0</v>
      </c>
      <c r="H659" s="132">
        <v>0.0</v>
      </c>
      <c r="I659" s="132">
        <v>0.0</v>
      </c>
      <c r="J659" s="132">
        <v>0.0</v>
      </c>
      <c r="K659" s="132">
        <v>0.0</v>
      </c>
      <c r="L659" s="132">
        <v>0.0</v>
      </c>
      <c r="M659" s="132">
        <v>500.0</v>
      </c>
      <c r="N659" s="132">
        <v>0.0</v>
      </c>
      <c r="O659" s="132">
        <v>0.0</v>
      </c>
      <c r="P659" s="132">
        <v>0.0</v>
      </c>
      <c r="Q659" s="132">
        <v>0.0</v>
      </c>
      <c r="R659" s="132">
        <v>0.0</v>
      </c>
      <c r="S659" s="132">
        <v>0.0</v>
      </c>
      <c r="T659" s="132">
        <v>0.0</v>
      </c>
      <c r="U659" s="132">
        <v>0.0</v>
      </c>
      <c r="V659" s="132">
        <v>0.0</v>
      </c>
      <c r="W659" s="132">
        <v>0.0</v>
      </c>
      <c r="Y659" s="132" t="s">
        <v>4161</v>
      </c>
      <c r="Z659" s="132">
        <f t="shared" ref="Z659:AC659" si="1314">C659-1000</f>
        <v>-1000</v>
      </c>
      <c r="AA659" s="132">
        <f t="shared" si="1314"/>
        <v>-1000</v>
      </c>
      <c r="AB659" s="132">
        <f t="shared" si="1314"/>
        <v>-1000</v>
      </c>
      <c r="AC659" s="132">
        <f t="shared" si="1314"/>
        <v>-1000</v>
      </c>
      <c r="AD659" s="132">
        <f t="shared" si="4"/>
        <v>-10000</v>
      </c>
      <c r="AE659" s="132">
        <f t="shared" ref="AE659:AS659" si="1315">H659-1000</f>
        <v>-1000</v>
      </c>
      <c r="AF659" s="132">
        <f t="shared" si="1315"/>
        <v>-1000</v>
      </c>
      <c r="AG659" s="132">
        <f t="shared" si="1315"/>
        <v>-1000</v>
      </c>
      <c r="AH659" s="132">
        <f t="shared" si="1315"/>
        <v>-1000</v>
      </c>
      <c r="AI659" s="132">
        <f t="shared" si="1315"/>
        <v>-1000</v>
      </c>
      <c r="AJ659" s="132">
        <f t="shared" si="1315"/>
        <v>-500</v>
      </c>
      <c r="AK659" s="132">
        <f t="shared" si="1315"/>
        <v>-1000</v>
      </c>
      <c r="AL659" s="132">
        <f t="shared" si="1315"/>
        <v>-1000</v>
      </c>
      <c r="AM659" s="132">
        <f t="shared" si="1315"/>
        <v>-1000</v>
      </c>
      <c r="AN659" s="132">
        <f t="shared" si="1315"/>
        <v>-1000</v>
      </c>
      <c r="AO659" s="132">
        <f t="shared" si="1315"/>
        <v>-1000</v>
      </c>
      <c r="AP659" s="132">
        <f t="shared" si="1315"/>
        <v>-1000</v>
      </c>
      <c r="AQ659" s="132">
        <f t="shared" si="1315"/>
        <v>-1000</v>
      </c>
      <c r="AR659" s="132">
        <f t="shared" si="1315"/>
        <v>-1000</v>
      </c>
      <c r="AS659" s="132">
        <f t="shared" si="1315"/>
        <v>-1000</v>
      </c>
    </row>
    <row r="660">
      <c r="A660" s="132" t="s">
        <v>4162</v>
      </c>
      <c r="B660" s="132">
        <v>50.0</v>
      </c>
      <c r="C660" s="132">
        <v>0.0</v>
      </c>
      <c r="D660" s="132">
        <v>0.0</v>
      </c>
      <c r="E660" s="132">
        <v>0.0</v>
      </c>
      <c r="F660" s="132">
        <v>0.0</v>
      </c>
      <c r="G660" s="132">
        <v>0.0</v>
      </c>
      <c r="H660" s="132">
        <v>0.0</v>
      </c>
      <c r="I660" s="132">
        <v>0.0</v>
      </c>
      <c r="J660" s="132">
        <v>0.0</v>
      </c>
      <c r="K660" s="132">
        <v>0.0</v>
      </c>
      <c r="L660" s="132">
        <v>0.0</v>
      </c>
      <c r="M660" s="132">
        <v>50.0</v>
      </c>
      <c r="N660" s="132">
        <v>0.0</v>
      </c>
      <c r="O660" s="132">
        <v>0.0</v>
      </c>
      <c r="P660" s="132">
        <v>0.0</v>
      </c>
      <c r="Q660" s="132">
        <v>0.0</v>
      </c>
      <c r="R660" s="132">
        <v>0.0</v>
      </c>
      <c r="S660" s="132">
        <v>0.0</v>
      </c>
      <c r="T660" s="132">
        <v>0.0</v>
      </c>
      <c r="U660" s="132">
        <v>0.0</v>
      </c>
      <c r="V660" s="132">
        <v>0.0</v>
      </c>
      <c r="W660" s="132">
        <v>0.0</v>
      </c>
      <c r="Y660" s="132" t="s">
        <v>4162</v>
      </c>
      <c r="Z660" s="132">
        <f t="shared" ref="Z660:AC660" si="1316">C660-1000</f>
        <v>-1000</v>
      </c>
      <c r="AA660" s="132">
        <f t="shared" si="1316"/>
        <v>-1000</v>
      </c>
      <c r="AB660" s="132">
        <f t="shared" si="1316"/>
        <v>-1000</v>
      </c>
      <c r="AC660" s="132">
        <f t="shared" si="1316"/>
        <v>-1000</v>
      </c>
      <c r="AD660" s="132">
        <f t="shared" si="4"/>
        <v>-10000</v>
      </c>
      <c r="AE660" s="132">
        <f t="shared" ref="AE660:AS660" si="1317">H660-1000</f>
        <v>-1000</v>
      </c>
      <c r="AF660" s="132">
        <f t="shared" si="1317"/>
        <v>-1000</v>
      </c>
      <c r="AG660" s="132">
        <f t="shared" si="1317"/>
        <v>-1000</v>
      </c>
      <c r="AH660" s="132">
        <f t="shared" si="1317"/>
        <v>-1000</v>
      </c>
      <c r="AI660" s="132">
        <f t="shared" si="1317"/>
        <v>-1000</v>
      </c>
      <c r="AJ660" s="132">
        <f t="shared" si="1317"/>
        <v>-950</v>
      </c>
      <c r="AK660" s="132">
        <f t="shared" si="1317"/>
        <v>-1000</v>
      </c>
      <c r="AL660" s="132">
        <f t="shared" si="1317"/>
        <v>-1000</v>
      </c>
      <c r="AM660" s="132">
        <f t="shared" si="1317"/>
        <v>-1000</v>
      </c>
      <c r="AN660" s="132">
        <f t="shared" si="1317"/>
        <v>-1000</v>
      </c>
      <c r="AO660" s="132">
        <f t="shared" si="1317"/>
        <v>-1000</v>
      </c>
      <c r="AP660" s="132">
        <f t="shared" si="1317"/>
        <v>-1000</v>
      </c>
      <c r="AQ660" s="132">
        <f t="shared" si="1317"/>
        <v>-1000</v>
      </c>
      <c r="AR660" s="132">
        <f t="shared" si="1317"/>
        <v>-1000</v>
      </c>
      <c r="AS660" s="132">
        <f t="shared" si="1317"/>
        <v>-1000</v>
      </c>
    </row>
    <row r="661">
      <c r="A661" s="132" t="s">
        <v>4163</v>
      </c>
      <c r="B661" s="132">
        <v>250.0</v>
      </c>
      <c r="C661" s="132">
        <v>0.0</v>
      </c>
      <c r="D661" s="132">
        <v>0.0</v>
      </c>
      <c r="E661" s="132">
        <v>0.0</v>
      </c>
      <c r="F661" s="132">
        <v>0.0</v>
      </c>
      <c r="G661" s="132">
        <v>0.0</v>
      </c>
      <c r="H661" s="132">
        <v>0.0</v>
      </c>
      <c r="I661" s="132">
        <v>0.0</v>
      </c>
      <c r="J661" s="132">
        <v>0.0</v>
      </c>
      <c r="K661" s="132">
        <v>0.0</v>
      </c>
      <c r="L661" s="132">
        <v>0.0</v>
      </c>
      <c r="M661" s="132">
        <v>250.0</v>
      </c>
      <c r="N661" s="132">
        <v>0.0</v>
      </c>
      <c r="O661" s="132">
        <v>0.0</v>
      </c>
      <c r="P661" s="132">
        <v>0.0</v>
      </c>
      <c r="Q661" s="132">
        <v>0.0</v>
      </c>
      <c r="R661" s="132">
        <v>0.0</v>
      </c>
      <c r="S661" s="132">
        <v>0.0</v>
      </c>
      <c r="T661" s="132">
        <v>0.0</v>
      </c>
      <c r="U661" s="132">
        <v>0.0</v>
      </c>
      <c r="V661" s="132">
        <v>0.0</v>
      </c>
      <c r="W661" s="132">
        <v>0.0</v>
      </c>
      <c r="Y661" s="132" t="s">
        <v>4163</v>
      </c>
      <c r="Z661" s="132">
        <f t="shared" ref="Z661:AC661" si="1318">C661-1000</f>
        <v>-1000</v>
      </c>
      <c r="AA661" s="132">
        <f t="shared" si="1318"/>
        <v>-1000</v>
      </c>
      <c r="AB661" s="132">
        <f t="shared" si="1318"/>
        <v>-1000</v>
      </c>
      <c r="AC661" s="132">
        <f t="shared" si="1318"/>
        <v>-1000</v>
      </c>
      <c r="AD661" s="132">
        <f t="shared" si="4"/>
        <v>-10000</v>
      </c>
      <c r="AE661" s="132">
        <f t="shared" ref="AE661:AS661" si="1319">H661-1000</f>
        <v>-1000</v>
      </c>
      <c r="AF661" s="132">
        <f t="shared" si="1319"/>
        <v>-1000</v>
      </c>
      <c r="AG661" s="132">
        <f t="shared" si="1319"/>
        <v>-1000</v>
      </c>
      <c r="AH661" s="132">
        <f t="shared" si="1319"/>
        <v>-1000</v>
      </c>
      <c r="AI661" s="132">
        <f t="shared" si="1319"/>
        <v>-1000</v>
      </c>
      <c r="AJ661" s="132">
        <f t="shared" si="1319"/>
        <v>-750</v>
      </c>
      <c r="AK661" s="132">
        <f t="shared" si="1319"/>
        <v>-1000</v>
      </c>
      <c r="AL661" s="132">
        <f t="shared" si="1319"/>
        <v>-1000</v>
      </c>
      <c r="AM661" s="132">
        <f t="shared" si="1319"/>
        <v>-1000</v>
      </c>
      <c r="AN661" s="132">
        <f t="shared" si="1319"/>
        <v>-1000</v>
      </c>
      <c r="AO661" s="132">
        <f t="shared" si="1319"/>
        <v>-1000</v>
      </c>
      <c r="AP661" s="132">
        <f t="shared" si="1319"/>
        <v>-1000</v>
      </c>
      <c r="AQ661" s="132">
        <f t="shared" si="1319"/>
        <v>-1000</v>
      </c>
      <c r="AR661" s="132">
        <f t="shared" si="1319"/>
        <v>-1000</v>
      </c>
      <c r="AS661" s="132">
        <f t="shared" si="1319"/>
        <v>-1000</v>
      </c>
    </row>
    <row r="662">
      <c r="A662" s="132" t="s">
        <v>4164</v>
      </c>
      <c r="B662" s="132">
        <v>518.0</v>
      </c>
      <c r="C662" s="132">
        <v>0.0</v>
      </c>
      <c r="D662" s="132">
        <v>0.0</v>
      </c>
      <c r="E662" s="132">
        <v>0.0</v>
      </c>
      <c r="F662" s="132">
        <v>0.0</v>
      </c>
      <c r="G662" s="132">
        <v>0.0</v>
      </c>
      <c r="H662" s="132">
        <v>0.0</v>
      </c>
      <c r="I662" s="132">
        <v>0.0</v>
      </c>
      <c r="J662" s="132">
        <v>0.0</v>
      </c>
      <c r="K662" s="132">
        <v>0.0</v>
      </c>
      <c r="L662" s="132">
        <v>0.0</v>
      </c>
      <c r="M662" s="132">
        <v>518.0</v>
      </c>
      <c r="N662" s="132">
        <v>0.0</v>
      </c>
      <c r="O662" s="132">
        <v>0.0</v>
      </c>
      <c r="P662" s="132">
        <v>0.0</v>
      </c>
      <c r="Q662" s="132">
        <v>0.0</v>
      </c>
      <c r="R662" s="132">
        <v>0.0</v>
      </c>
      <c r="S662" s="132">
        <v>0.0</v>
      </c>
      <c r="T662" s="132">
        <v>0.0</v>
      </c>
      <c r="U662" s="132">
        <v>0.0</v>
      </c>
      <c r="V662" s="132">
        <v>0.0</v>
      </c>
      <c r="W662" s="132">
        <v>1.0</v>
      </c>
      <c r="Y662" s="132" t="s">
        <v>4164</v>
      </c>
      <c r="Z662" s="132">
        <f t="shared" ref="Z662:AC662" si="1320">C662-1000</f>
        <v>-1000</v>
      </c>
      <c r="AA662" s="132">
        <f t="shared" si="1320"/>
        <v>-1000</v>
      </c>
      <c r="AB662" s="132">
        <f t="shared" si="1320"/>
        <v>-1000</v>
      </c>
      <c r="AC662" s="132">
        <f t="shared" si="1320"/>
        <v>-1000</v>
      </c>
      <c r="AD662" s="132">
        <f t="shared" si="4"/>
        <v>-10000</v>
      </c>
      <c r="AE662" s="132">
        <f t="shared" ref="AE662:AS662" si="1321">H662-1000</f>
        <v>-1000</v>
      </c>
      <c r="AF662" s="132">
        <f t="shared" si="1321"/>
        <v>-1000</v>
      </c>
      <c r="AG662" s="132">
        <f t="shared" si="1321"/>
        <v>-1000</v>
      </c>
      <c r="AH662" s="132">
        <f t="shared" si="1321"/>
        <v>-1000</v>
      </c>
      <c r="AI662" s="132">
        <f t="shared" si="1321"/>
        <v>-1000</v>
      </c>
      <c r="AJ662" s="132">
        <f t="shared" si="1321"/>
        <v>-482</v>
      </c>
      <c r="AK662" s="132">
        <f t="shared" si="1321"/>
        <v>-1000</v>
      </c>
      <c r="AL662" s="132">
        <f t="shared" si="1321"/>
        <v>-1000</v>
      </c>
      <c r="AM662" s="132">
        <f t="shared" si="1321"/>
        <v>-1000</v>
      </c>
      <c r="AN662" s="132">
        <f t="shared" si="1321"/>
        <v>-1000</v>
      </c>
      <c r="AO662" s="132">
        <f t="shared" si="1321"/>
        <v>-1000</v>
      </c>
      <c r="AP662" s="132">
        <f t="shared" si="1321"/>
        <v>-1000</v>
      </c>
      <c r="AQ662" s="132">
        <f t="shared" si="1321"/>
        <v>-1000</v>
      </c>
      <c r="AR662" s="132">
        <f t="shared" si="1321"/>
        <v>-1000</v>
      </c>
      <c r="AS662" s="132">
        <f t="shared" si="1321"/>
        <v>-1000</v>
      </c>
    </row>
    <row r="663">
      <c r="A663" s="132" t="s">
        <v>4165</v>
      </c>
      <c r="B663" s="132">
        <v>500.0</v>
      </c>
      <c r="C663" s="132">
        <v>0.0</v>
      </c>
      <c r="D663" s="132">
        <v>0.0</v>
      </c>
      <c r="E663" s="132">
        <v>0.0</v>
      </c>
      <c r="F663" s="132">
        <v>0.0</v>
      </c>
      <c r="G663" s="132">
        <v>0.0</v>
      </c>
      <c r="H663" s="132">
        <v>0.0</v>
      </c>
      <c r="I663" s="132">
        <v>0.0</v>
      </c>
      <c r="J663" s="132">
        <v>0.0</v>
      </c>
      <c r="K663" s="132">
        <v>0.0</v>
      </c>
      <c r="L663" s="132">
        <v>0.0</v>
      </c>
      <c r="M663" s="132">
        <v>500.0</v>
      </c>
      <c r="N663" s="132">
        <v>0.0</v>
      </c>
      <c r="O663" s="132">
        <v>0.0</v>
      </c>
      <c r="P663" s="132">
        <v>0.0</v>
      </c>
      <c r="Q663" s="132">
        <v>0.0</v>
      </c>
      <c r="R663" s="132">
        <v>0.0</v>
      </c>
      <c r="S663" s="132">
        <v>0.0</v>
      </c>
      <c r="T663" s="132">
        <v>0.0</v>
      </c>
      <c r="U663" s="132">
        <v>0.0</v>
      </c>
      <c r="V663" s="132">
        <v>0.0</v>
      </c>
      <c r="W663" s="132">
        <v>0.0</v>
      </c>
      <c r="Y663" s="132" t="s">
        <v>4165</v>
      </c>
      <c r="Z663" s="132">
        <f t="shared" ref="Z663:AC663" si="1322">C663-1000</f>
        <v>-1000</v>
      </c>
      <c r="AA663" s="132">
        <f t="shared" si="1322"/>
        <v>-1000</v>
      </c>
      <c r="AB663" s="132">
        <f t="shared" si="1322"/>
        <v>-1000</v>
      </c>
      <c r="AC663" s="132">
        <f t="shared" si="1322"/>
        <v>-1000</v>
      </c>
      <c r="AD663" s="132">
        <f t="shared" si="4"/>
        <v>-10000</v>
      </c>
      <c r="AE663" s="132">
        <f t="shared" ref="AE663:AS663" si="1323">H663-1000</f>
        <v>-1000</v>
      </c>
      <c r="AF663" s="132">
        <f t="shared" si="1323"/>
        <v>-1000</v>
      </c>
      <c r="AG663" s="132">
        <f t="shared" si="1323"/>
        <v>-1000</v>
      </c>
      <c r="AH663" s="132">
        <f t="shared" si="1323"/>
        <v>-1000</v>
      </c>
      <c r="AI663" s="132">
        <f t="shared" si="1323"/>
        <v>-1000</v>
      </c>
      <c r="AJ663" s="132">
        <f t="shared" si="1323"/>
        <v>-500</v>
      </c>
      <c r="AK663" s="132">
        <f t="shared" si="1323"/>
        <v>-1000</v>
      </c>
      <c r="AL663" s="132">
        <f t="shared" si="1323"/>
        <v>-1000</v>
      </c>
      <c r="AM663" s="132">
        <f t="shared" si="1323"/>
        <v>-1000</v>
      </c>
      <c r="AN663" s="132">
        <f t="shared" si="1323"/>
        <v>-1000</v>
      </c>
      <c r="AO663" s="132">
        <f t="shared" si="1323"/>
        <v>-1000</v>
      </c>
      <c r="AP663" s="132">
        <f t="shared" si="1323"/>
        <v>-1000</v>
      </c>
      <c r="AQ663" s="132">
        <f t="shared" si="1323"/>
        <v>-1000</v>
      </c>
      <c r="AR663" s="132">
        <f t="shared" si="1323"/>
        <v>-1000</v>
      </c>
      <c r="AS663" s="132">
        <f t="shared" si="1323"/>
        <v>-1000</v>
      </c>
    </row>
    <row r="664">
      <c r="A664" s="132" t="s">
        <v>4166</v>
      </c>
      <c r="B664" s="132">
        <v>500.0</v>
      </c>
      <c r="C664" s="132">
        <v>0.0</v>
      </c>
      <c r="D664" s="132">
        <v>0.0</v>
      </c>
      <c r="E664" s="132">
        <v>0.0</v>
      </c>
      <c r="F664" s="132">
        <v>0.0</v>
      </c>
      <c r="G664" s="132">
        <v>0.0</v>
      </c>
      <c r="H664" s="132">
        <v>0.0</v>
      </c>
      <c r="I664" s="132">
        <v>0.0</v>
      </c>
      <c r="J664" s="132">
        <v>0.0</v>
      </c>
      <c r="K664" s="132">
        <v>0.0</v>
      </c>
      <c r="L664" s="132">
        <v>0.0</v>
      </c>
      <c r="M664" s="132">
        <v>500.0</v>
      </c>
      <c r="N664" s="132">
        <v>0.0</v>
      </c>
      <c r="O664" s="132">
        <v>0.0</v>
      </c>
      <c r="P664" s="132">
        <v>0.0</v>
      </c>
      <c r="Q664" s="132">
        <v>0.0</v>
      </c>
      <c r="R664" s="132">
        <v>0.0</v>
      </c>
      <c r="S664" s="132">
        <v>0.0</v>
      </c>
      <c r="T664" s="132">
        <v>0.0</v>
      </c>
      <c r="U664" s="132">
        <v>0.0</v>
      </c>
      <c r="V664" s="132">
        <v>0.0</v>
      </c>
      <c r="W664" s="132">
        <v>0.0</v>
      </c>
      <c r="Y664" s="132" t="s">
        <v>4166</v>
      </c>
      <c r="Z664" s="132">
        <f t="shared" ref="Z664:AC664" si="1324">C664-1000</f>
        <v>-1000</v>
      </c>
      <c r="AA664" s="132">
        <f t="shared" si="1324"/>
        <v>-1000</v>
      </c>
      <c r="AB664" s="132">
        <f t="shared" si="1324"/>
        <v>-1000</v>
      </c>
      <c r="AC664" s="132">
        <f t="shared" si="1324"/>
        <v>-1000</v>
      </c>
      <c r="AD664" s="132">
        <f t="shared" si="4"/>
        <v>-10000</v>
      </c>
      <c r="AE664" s="132">
        <f t="shared" ref="AE664:AS664" si="1325">H664-1000</f>
        <v>-1000</v>
      </c>
      <c r="AF664" s="132">
        <f t="shared" si="1325"/>
        <v>-1000</v>
      </c>
      <c r="AG664" s="132">
        <f t="shared" si="1325"/>
        <v>-1000</v>
      </c>
      <c r="AH664" s="132">
        <f t="shared" si="1325"/>
        <v>-1000</v>
      </c>
      <c r="AI664" s="132">
        <f t="shared" si="1325"/>
        <v>-1000</v>
      </c>
      <c r="AJ664" s="132">
        <f t="shared" si="1325"/>
        <v>-500</v>
      </c>
      <c r="AK664" s="132">
        <f t="shared" si="1325"/>
        <v>-1000</v>
      </c>
      <c r="AL664" s="132">
        <f t="shared" si="1325"/>
        <v>-1000</v>
      </c>
      <c r="AM664" s="132">
        <f t="shared" si="1325"/>
        <v>-1000</v>
      </c>
      <c r="AN664" s="132">
        <f t="shared" si="1325"/>
        <v>-1000</v>
      </c>
      <c r="AO664" s="132">
        <f t="shared" si="1325"/>
        <v>-1000</v>
      </c>
      <c r="AP664" s="132">
        <f t="shared" si="1325"/>
        <v>-1000</v>
      </c>
      <c r="AQ664" s="132">
        <f t="shared" si="1325"/>
        <v>-1000</v>
      </c>
      <c r="AR664" s="132">
        <f t="shared" si="1325"/>
        <v>-1000</v>
      </c>
      <c r="AS664" s="132">
        <f t="shared" si="1325"/>
        <v>-1000</v>
      </c>
    </row>
    <row r="665">
      <c r="A665" s="132" t="s">
        <v>4167</v>
      </c>
      <c r="B665" s="132">
        <v>100.0</v>
      </c>
      <c r="C665" s="132">
        <v>0.0</v>
      </c>
      <c r="D665" s="132">
        <v>0.0</v>
      </c>
      <c r="E665" s="132">
        <v>0.0</v>
      </c>
      <c r="F665" s="132">
        <v>0.0</v>
      </c>
      <c r="G665" s="132">
        <v>0.0</v>
      </c>
      <c r="H665" s="132">
        <v>0.0</v>
      </c>
      <c r="I665" s="132">
        <v>0.0</v>
      </c>
      <c r="J665" s="132">
        <v>0.0</v>
      </c>
      <c r="K665" s="132">
        <v>0.0</v>
      </c>
      <c r="L665" s="132">
        <v>0.0</v>
      </c>
      <c r="M665" s="132">
        <v>100.0</v>
      </c>
      <c r="N665" s="132">
        <v>0.0</v>
      </c>
      <c r="O665" s="132">
        <v>0.0</v>
      </c>
      <c r="P665" s="132">
        <v>0.0</v>
      </c>
      <c r="Q665" s="132">
        <v>0.0</v>
      </c>
      <c r="R665" s="132">
        <v>0.0</v>
      </c>
      <c r="S665" s="132">
        <v>0.0</v>
      </c>
      <c r="T665" s="132">
        <v>0.0</v>
      </c>
      <c r="U665" s="132">
        <v>0.0</v>
      </c>
      <c r="V665" s="132">
        <v>0.0</v>
      </c>
      <c r="W665" s="132">
        <v>0.0</v>
      </c>
      <c r="Y665" s="132" t="s">
        <v>4167</v>
      </c>
      <c r="Z665" s="132">
        <f t="shared" ref="Z665:AC665" si="1326">C665-1000</f>
        <v>-1000</v>
      </c>
      <c r="AA665" s="132">
        <f t="shared" si="1326"/>
        <v>-1000</v>
      </c>
      <c r="AB665" s="132">
        <f t="shared" si="1326"/>
        <v>-1000</v>
      </c>
      <c r="AC665" s="132">
        <f t="shared" si="1326"/>
        <v>-1000</v>
      </c>
      <c r="AD665" s="132">
        <f t="shared" si="4"/>
        <v>-10000</v>
      </c>
      <c r="AE665" s="132">
        <f t="shared" ref="AE665:AS665" si="1327">H665-1000</f>
        <v>-1000</v>
      </c>
      <c r="AF665" s="132">
        <f t="shared" si="1327"/>
        <v>-1000</v>
      </c>
      <c r="AG665" s="132">
        <f t="shared" si="1327"/>
        <v>-1000</v>
      </c>
      <c r="AH665" s="132">
        <f t="shared" si="1327"/>
        <v>-1000</v>
      </c>
      <c r="AI665" s="132">
        <f t="shared" si="1327"/>
        <v>-1000</v>
      </c>
      <c r="AJ665" s="132">
        <f t="shared" si="1327"/>
        <v>-900</v>
      </c>
      <c r="AK665" s="132">
        <f t="shared" si="1327"/>
        <v>-1000</v>
      </c>
      <c r="AL665" s="132">
        <f t="shared" si="1327"/>
        <v>-1000</v>
      </c>
      <c r="AM665" s="132">
        <f t="shared" si="1327"/>
        <v>-1000</v>
      </c>
      <c r="AN665" s="132">
        <f t="shared" si="1327"/>
        <v>-1000</v>
      </c>
      <c r="AO665" s="132">
        <f t="shared" si="1327"/>
        <v>-1000</v>
      </c>
      <c r="AP665" s="132">
        <f t="shared" si="1327"/>
        <v>-1000</v>
      </c>
      <c r="AQ665" s="132">
        <f t="shared" si="1327"/>
        <v>-1000</v>
      </c>
      <c r="AR665" s="132">
        <f t="shared" si="1327"/>
        <v>-1000</v>
      </c>
      <c r="AS665" s="132">
        <f t="shared" si="1327"/>
        <v>-1000</v>
      </c>
    </row>
    <row r="666">
      <c r="A666" s="132" t="s">
        <v>4168</v>
      </c>
      <c r="B666" s="132">
        <v>25.0</v>
      </c>
      <c r="C666" s="132">
        <v>0.0</v>
      </c>
      <c r="D666" s="132">
        <v>0.0</v>
      </c>
      <c r="E666" s="132">
        <v>0.0</v>
      </c>
      <c r="F666" s="132">
        <v>0.0</v>
      </c>
      <c r="G666" s="132">
        <v>0.0</v>
      </c>
      <c r="H666" s="132">
        <v>0.0</v>
      </c>
      <c r="I666" s="132">
        <v>0.0</v>
      </c>
      <c r="J666" s="132">
        <v>0.0</v>
      </c>
      <c r="K666" s="132">
        <v>0.0</v>
      </c>
      <c r="L666" s="132">
        <v>0.0</v>
      </c>
      <c r="M666" s="132">
        <v>25.0</v>
      </c>
      <c r="N666" s="132">
        <v>0.0</v>
      </c>
      <c r="O666" s="132">
        <v>0.0</v>
      </c>
      <c r="P666" s="132">
        <v>0.0</v>
      </c>
      <c r="Q666" s="132">
        <v>0.0</v>
      </c>
      <c r="R666" s="132">
        <v>0.0</v>
      </c>
      <c r="S666" s="132">
        <v>0.0</v>
      </c>
      <c r="T666" s="132">
        <v>0.0</v>
      </c>
      <c r="U666" s="132">
        <v>0.0</v>
      </c>
      <c r="V666" s="132">
        <v>0.0</v>
      </c>
      <c r="W666" s="132">
        <v>0.0</v>
      </c>
      <c r="Y666" s="132" t="s">
        <v>4168</v>
      </c>
      <c r="Z666" s="132">
        <f t="shared" ref="Z666:AC666" si="1328">C666-1000</f>
        <v>-1000</v>
      </c>
      <c r="AA666" s="132">
        <f t="shared" si="1328"/>
        <v>-1000</v>
      </c>
      <c r="AB666" s="132">
        <f t="shared" si="1328"/>
        <v>-1000</v>
      </c>
      <c r="AC666" s="132">
        <f t="shared" si="1328"/>
        <v>-1000</v>
      </c>
      <c r="AD666" s="132">
        <f t="shared" si="4"/>
        <v>-10000</v>
      </c>
      <c r="AE666" s="132">
        <f t="shared" ref="AE666:AS666" si="1329">H666-1000</f>
        <v>-1000</v>
      </c>
      <c r="AF666" s="132">
        <f t="shared" si="1329"/>
        <v>-1000</v>
      </c>
      <c r="AG666" s="132">
        <f t="shared" si="1329"/>
        <v>-1000</v>
      </c>
      <c r="AH666" s="132">
        <f t="shared" si="1329"/>
        <v>-1000</v>
      </c>
      <c r="AI666" s="132">
        <f t="shared" si="1329"/>
        <v>-1000</v>
      </c>
      <c r="AJ666" s="132">
        <f t="shared" si="1329"/>
        <v>-975</v>
      </c>
      <c r="AK666" s="132">
        <f t="shared" si="1329"/>
        <v>-1000</v>
      </c>
      <c r="AL666" s="132">
        <f t="shared" si="1329"/>
        <v>-1000</v>
      </c>
      <c r="AM666" s="132">
        <f t="shared" si="1329"/>
        <v>-1000</v>
      </c>
      <c r="AN666" s="132">
        <f t="shared" si="1329"/>
        <v>-1000</v>
      </c>
      <c r="AO666" s="132">
        <f t="shared" si="1329"/>
        <v>-1000</v>
      </c>
      <c r="AP666" s="132">
        <f t="shared" si="1329"/>
        <v>-1000</v>
      </c>
      <c r="AQ666" s="132">
        <f t="shared" si="1329"/>
        <v>-1000</v>
      </c>
      <c r="AR666" s="132">
        <f t="shared" si="1329"/>
        <v>-1000</v>
      </c>
      <c r="AS666" s="132">
        <f t="shared" si="1329"/>
        <v>-1000</v>
      </c>
    </row>
    <row r="667">
      <c r="A667" s="132" t="s">
        <v>4169</v>
      </c>
      <c r="B667" s="132">
        <v>1000.0</v>
      </c>
      <c r="C667" s="132">
        <v>0.0</v>
      </c>
      <c r="D667" s="132">
        <v>0.0</v>
      </c>
      <c r="E667" s="132">
        <v>0.0</v>
      </c>
      <c r="F667" s="132">
        <v>0.0</v>
      </c>
      <c r="G667" s="132">
        <v>0.0</v>
      </c>
      <c r="H667" s="132">
        <v>0.0</v>
      </c>
      <c r="I667" s="132">
        <v>0.0</v>
      </c>
      <c r="J667" s="132">
        <v>0.0</v>
      </c>
      <c r="K667" s="132">
        <v>0.0</v>
      </c>
      <c r="L667" s="132">
        <v>0.0</v>
      </c>
      <c r="M667" s="132">
        <v>1000.0</v>
      </c>
      <c r="N667" s="132">
        <v>0.0</v>
      </c>
      <c r="O667" s="132">
        <v>0.0</v>
      </c>
      <c r="P667" s="132">
        <v>0.0</v>
      </c>
      <c r="Q667" s="132">
        <v>0.0</v>
      </c>
      <c r="R667" s="132">
        <v>0.0</v>
      </c>
      <c r="S667" s="132">
        <v>0.0</v>
      </c>
      <c r="T667" s="132">
        <v>0.0</v>
      </c>
      <c r="U667" s="132">
        <v>0.0</v>
      </c>
      <c r="V667" s="132">
        <v>0.0</v>
      </c>
      <c r="W667" s="132">
        <v>0.0</v>
      </c>
      <c r="Y667" s="132" t="s">
        <v>4169</v>
      </c>
      <c r="Z667" s="132">
        <f t="shared" ref="Z667:AC667" si="1330">C667-1000</f>
        <v>-1000</v>
      </c>
      <c r="AA667" s="132">
        <f t="shared" si="1330"/>
        <v>-1000</v>
      </c>
      <c r="AB667" s="132">
        <f t="shared" si="1330"/>
        <v>-1000</v>
      </c>
      <c r="AC667" s="132">
        <f t="shared" si="1330"/>
        <v>-1000</v>
      </c>
      <c r="AD667" s="132">
        <f t="shared" si="4"/>
        <v>-10000</v>
      </c>
      <c r="AE667" s="132">
        <f t="shared" ref="AE667:AS667" si="1331">H667-1000</f>
        <v>-1000</v>
      </c>
      <c r="AF667" s="132">
        <f t="shared" si="1331"/>
        <v>-1000</v>
      </c>
      <c r="AG667" s="132">
        <f t="shared" si="1331"/>
        <v>-1000</v>
      </c>
      <c r="AH667" s="132">
        <f t="shared" si="1331"/>
        <v>-1000</v>
      </c>
      <c r="AI667" s="132">
        <f t="shared" si="1331"/>
        <v>-1000</v>
      </c>
      <c r="AJ667" s="132">
        <f t="shared" si="1331"/>
        <v>0</v>
      </c>
      <c r="AK667" s="132">
        <f t="shared" si="1331"/>
        <v>-1000</v>
      </c>
      <c r="AL667" s="132">
        <f t="shared" si="1331"/>
        <v>-1000</v>
      </c>
      <c r="AM667" s="132">
        <f t="shared" si="1331"/>
        <v>-1000</v>
      </c>
      <c r="AN667" s="132">
        <f t="shared" si="1331"/>
        <v>-1000</v>
      </c>
      <c r="AO667" s="132">
        <f t="shared" si="1331"/>
        <v>-1000</v>
      </c>
      <c r="AP667" s="132">
        <f t="shared" si="1331"/>
        <v>-1000</v>
      </c>
      <c r="AQ667" s="132">
        <f t="shared" si="1331"/>
        <v>-1000</v>
      </c>
      <c r="AR667" s="132">
        <f t="shared" si="1331"/>
        <v>-1000</v>
      </c>
      <c r="AS667" s="132">
        <f t="shared" si="1331"/>
        <v>-1000</v>
      </c>
    </row>
    <row r="668">
      <c r="A668" s="132" t="s">
        <v>4170</v>
      </c>
      <c r="B668" s="132">
        <v>250.0</v>
      </c>
      <c r="C668" s="132">
        <v>0.0</v>
      </c>
      <c r="D668" s="132">
        <v>0.0</v>
      </c>
      <c r="E668" s="132">
        <v>0.0</v>
      </c>
      <c r="F668" s="132">
        <v>0.0</v>
      </c>
      <c r="G668" s="132">
        <v>0.0</v>
      </c>
      <c r="H668" s="132">
        <v>0.0</v>
      </c>
      <c r="I668" s="132">
        <v>0.0</v>
      </c>
      <c r="J668" s="132">
        <v>0.0</v>
      </c>
      <c r="K668" s="132">
        <v>0.0</v>
      </c>
      <c r="L668" s="132">
        <v>0.0</v>
      </c>
      <c r="M668" s="132">
        <v>250.0</v>
      </c>
      <c r="N668" s="132">
        <v>0.0</v>
      </c>
      <c r="O668" s="132">
        <v>0.0</v>
      </c>
      <c r="P668" s="132">
        <v>0.0</v>
      </c>
      <c r="Q668" s="132">
        <v>0.0</v>
      </c>
      <c r="R668" s="132">
        <v>0.0</v>
      </c>
      <c r="S668" s="132">
        <v>0.0</v>
      </c>
      <c r="T668" s="132">
        <v>0.0</v>
      </c>
      <c r="U668" s="132">
        <v>0.0</v>
      </c>
      <c r="V668" s="132">
        <v>0.0</v>
      </c>
      <c r="W668" s="132">
        <v>0.0</v>
      </c>
      <c r="Y668" s="132" t="s">
        <v>4170</v>
      </c>
      <c r="Z668" s="132">
        <f t="shared" ref="Z668:AC668" si="1332">C668-1000</f>
        <v>-1000</v>
      </c>
      <c r="AA668" s="132">
        <f t="shared" si="1332"/>
        <v>-1000</v>
      </c>
      <c r="AB668" s="132">
        <f t="shared" si="1332"/>
        <v>-1000</v>
      </c>
      <c r="AC668" s="132">
        <f t="shared" si="1332"/>
        <v>-1000</v>
      </c>
      <c r="AD668" s="132">
        <f t="shared" si="4"/>
        <v>-10000</v>
      </c>
      <c r="AE668" s="132">
        <f t="shared" ref="AE668:AS668" si="1333">H668-1000</f>
        <v>-1000</v>
      </c>
      <c r="AF668" s="132">
        <f t="shared" si="1333"/>
        <v>-1000</v>
      </c>
      <c r="AG668" s="132">
        <f t="shared" si="1333"/>
        <v>-1000</v>
      </c>
      <c r="AH668" s="132">
        <f t="shared" si="1333"/>
        <v>-1000</v>
      </c>
      <c r="AI668" s="132">
        <f t="shared" si="1333"/>
        <v>-1000</v>
      </c>
      <c r="AJ668" s="132">
        <f t="shared" si="1333"/>
        <v>-750</v>
      </c>
      <c r="AK668" s="132">
        <f t="shared" si="1333"/>
        <v>-1000</v>
      </c>
      <c r="AL668" s="132">
        <f t="shared" si="1333"/>
        <v>-1000</v>
      </c>
      <c r="AM668" s="132">
        <f t="shared" si="1333"/>
        <v>-1000</v>
      </c>
      <c r="AN668" s="132">
        <f t="shared" si="1333"/>
        <v>-1000</v>
      </c>
      <c r="AO668" s="132">
        <f t="shared" si="1333"/>
        <v>-1000</v>
      </c>
      <c r="AP668" s="132">
        <f t="shared" si="1333"/>
        <v>-1000</v>
      </c>
      <c r="AQ668" s="132">
        <f t="shared" si="1333"/>
        <v>-1000</v>
      </c>
      <c r="AR668" s="132">
        <f t="shared" si="1333"/>
        <v>-1000</v>
      </c>
      <c r="AS668" s="132">
        <f t="shared" si="1333"/>
        <v>-1000</v>
      </c>
    </row>
    <row r="669">
      <c r="A669" s="132" t="s">
        <v>4171</v>
      </c>
      <c r="B669" s="132">
        <v>50.0</v>
      </c>
      <c r="C669" s="132">
        <v>0.0</v>
      </c>
      <c r="D669" s="132">
        <v>0.0</v>
      </c>
      <c r="E669" s="132">
        <v>0.0</v>
      </c>
      <c r="F669" s="132">
        <v>0.0</v>
      </c>
      <c r="G669" s="132">
        <v>0.0</v>
      </c>
      <c r="H669" s="132">
        <v>0.0</v>
      </c>
      <c r="I669" s="132">
        <v>0.0</v>
      </c>
      <c r="J669" s="132">
        <v>0.0</v>
      </c>
      <c r="K669" s="132">
        <v>0.0</v>
      </c>
      <c r="L669" s="132">
        <v>0.0</v>
      </c>
      <c r="M669" s="132">
        <v>50.0</v>
      </c>
      <c r="N669" s="132">
        <v>0.0</v>
      </c>
      <c r="O669" s="132">
        <v>0.0</v>
      </c>
      <c r="P669" s="132">
        <v>0.0</v>
      </c>
      <c r="Q669" s="132">
        <v>0.0</v>
      </c>
      <c r="R669" s="132">
        <v>0.0</v>
      </c>
      <c r="S669" s="132">
        <v>0.0</v>
      </c>
      <c r="T669" s="132">
        <v>0.0</v>
      </c>
      <c r="U669" s="132">
        <v>0.0</v>
      </c>
      <c r="V669" s="132">
        <v>0.0</v>
      </c>
      <c r="W669" s="132">
        <v>0.0</v>
      </c>
      <c r="Y669" s="132" t="s">
        <v>4171</v>
      </c>
      <c r="Z669" s="132">
        <f t="shared" ref="Z669:AC669" si="1334">C669-1000</f>
        <v>-1000</v>
      </c>
      <c r="AA669" s="132">
        <f t="shared" si="1334"/>
        <v>-1000</v>
      </c>
      <c r="AB669" s="132">
        <f t="shared" si="1334"/>
        <v>-1000</v>
      </c>
      <c r="AC669" s="132">
        <f t="shared" si="1334"/>
        <v>-1000</v>
      </c>
      <c r="AD669" s="132">
        <f t="shared" si="4"/>
        <v>-10000</v>
      </c>
      <c r="AE669" s="132">
        <f t="shared" ref="AE669:AS669" si="1335">H669-1000</f>
        <v>-1000</v>
      </c>
      <c r="AF669" s="132">
        <f t="shared" si="1335"/>
        <v>-1000</v>
      </c>
      <c r="AG669" s="132">
        <f t="shared" si="1335"/>
        <v>-1000</v>
      </c>
      <c r="AH669" s="132">
        <f t="shared" si="1335"/>
        <v>-1000</v>
      </c>
      <c r="AI669" s="132">
        <f t="shared" si="1335"/>
        <v>-1000</v>
      </c>
      <c r="AJ669" s="132">
        <f t="shared" si="1335"/>
        <v>-950</v>
      </c>
      <c r="AK669" s="132">
        <f t="shared" si="1335"/>
        <v>-1000</v>
      </c>
      <c r="AL669" s="132">
        <f t="shared" si="1335"/>
        <v>-1000</v>
      </c>
      <c r="AM669" s="132">
        <f t="shared" si="1335"/>
        <v>-1000</v>
      </c>
      <c r="AN669" s="132">
        <f t="shared" si="1335"/>
        <v>-1000</v>
      </c>
      <c r="AO669" s="132">
        <f t="shared" si="1335"/>
        <v>-1000</v>
      </c>
      <c r="AP669" s="132">
        <f t="shared" si="1335"/>
        <v>-1000</v>
      </c>
      <c r="AQ669" s="132">
        <f t="shared" si="1335"/>
        <v>-1000</v>
      </c>
      <c r="AR669" s="132">
        <f t="shared" si="1335"/>
        <v>-1000</v>
      </c>
      <c r="AS669" s="132">
        <f t="shared" si="1335"/>
        <v>-1000</v>
      </c>
    </row>
    <row r="670">
      <c r="A670" s="132" t="s">
        <v>4172</v>
      </c>
      <c r="B670" s="132">
        <v>50.0</v>
      </c>
      <c r="C670" s="132">
        <v>0.0</v>
      </c>
      <c r="D670" s="132">
        <v>0.0</v>
      </c>
      <c r="E670" s="132">
        <v>0.0</v>
      </c>
      <c r="F670" s="132">
        <v>0.0</v>
      </c>
      <c r="G670" s="132">
        <v>0.0</v>
      </c>
      <c r="H670" s="132">
        <v>0.0</v>
      </c>
      <c r="I670" s="132">
        <v>0.0</v>
      </c>
      <c r="J670" s="132">
        <v>0.0</v>
      </c>
      <c r="K670" s="132">
        <v>0.0</v>
      </c>
      <c r="L670" s="132">
        <v>0.0</v>
      </c>
      <c r="M670" s="132">
        <v>50.0</v>
      </c>
      <c r="N670" s="132">
        <v>0.0</v>
      </c>
      <c r="O670" s="132">
        <v>0.0</v>
      </c>
      <c r="P670" s="132">
        <v>0.0</v>
      </c>
      <c r="Q670" s="132">
        <v>0.0</v>
      </c>
      <c r="R670" s="132">
        <v>0.0</v>
      </c>
      <c r="S670" s="132">
        <v>0.0</v>
      </c>
      <c r="T670" s="132">
        <v>0.0</v>
      </c>
      <c r="U670" s="132">
        <v>0.0</v>
      </c>
      <c r="V670" s="132">
        <v>0.0</v>
      </c>
      <c r="W670" s="132">
        <v>0.0</v>
      </c>
      <c r="Y670" s="132" t="s">
        <v>4172</v>
      </c>
      <c r="Z670" s="132">
        <f t="shared" ref="Z670:AC670" si="1336">C670-1000</f>
        <v>-1000</v>
      </c>
      <c r="AA670" s="132">
        <f t="shared" si="1336"/>
        <v>-1000</v>
      </c>
      <c r="AB670" s="132">
        <f t="shared" si="1336"/>
        <v>-1000</v>
      </c>
      <c r="AC670" s="132">
        <f t="shared" si="1336"/>
        <v>-1000</v>
      </c>
      <c r="AD670" s="132">
        <f t="shared" si="4"/>
        <v>-10000</v>
      </c>
      <c r="AE670" s="132">
        <f t="shared" ref="AE670:AS670" si="1337">H670-1000</f>
        <v>-1000</v>
      </c>
      <c r="AF670" s="132">
        <f t="shared" si="1337"/>
        <v>-1000</v>
      </c>
      <c r="AG670" s="132">
        <f t="shared" si="1337"/>
        <v>-1000</v>
      </c>
      <c r="AH670" s="132">
        <f t="shared" si="1337"/>
        <v>-1000</v>
      </c>
      <c r="AI670" s="132">
        <f t="shared" si="1337"/>
        <v>-1000</v>
      </c>
      <c r="AJ670" s="132">
        <f t="shared" si="1337"/>
        <v>-950</v>
      </c>
      <c r="AK670" s="132">
        <f t="shared" si="1337"/>
        <v>-1000</v>
      </c>
      <c r="AL670" s="132">
        <f t="shared" si="1337"/>
        <v>-1000</v>
      </c>
      <c r="AM670" s="132">
        <f t="shared" si="1337"/>
        <v>-1000</v>
      </c>
      <c r="AN670" s="132">
        <f t="shared" si="1337"/>
        <v>-1000</v>
      </c>
      <c r="AO670" s="132">
        <f t="shared" si="1337"/>
        <v>-1000</v>
      </c>
      <c r="AP670" s="132">
        <f t="shared" si="1337"/>
        <v>-1000</v>
      </c>
      <c r="AQ670" s="132">
        <f t="shared" si="1337"/>
        <v>-1000</v>
      </c>
      <c r="AR670" s="132">
        <f t="shared" si="1337"/>
        <v>-1000</v>
      </c>
      <c r="AS670" s="132">
        <f t="shared" si="1337"/>
        <v>-1000</v>
      </c>
    </row>
    <row r="671">
      <c r="A671" s="132" t="s">
        <v>4173</v>
      </c>
      <c r="B671" s="132">
        <v>100.0</v>
      </c>
      <c r="C671" s="132">
        <v>0.0</v>
      </c>
      <c r="D671" s="132">
        <v>0.0</v>
      </c>
      <c r="E671" s="132">
        <v>0.0</v>
      </c>
      <c r="F671" s="132">
        <v>0.0</v>
      </c>
      <c r="G671" s="132">
        <v>0.0</v>
      </c>
      <c r="H671" s="132">
        <v>0.0</v>
      </c>
      <c r="I671" s="132">
        <v>0.0</v>
      </c>
      <c r="J671" s="132">
        <v>0.0</v>
      </c>
      <c r="K671" s="132">
        <v>0.0</v>
      </c>
      <c r="L671" s="132">
        <v>0.0</v>
      </c>
      <c r="M671" s="132">
        <v>100.0</v>
      </c>
      <c r="N671" s="132">
        <v>0.0</v>
      </c>
      <c r="O671" s="132">
        <v>0.0</v>
      </c>
      <c r="P671" s="132">
        <v>0.0</v>
      </c>
      <c r="Q671" s="132">
        <v>0.0</v>
      </c>
      <c r="R671" s="132">
        <v>0.0</v>
      </c>
      <c r="S671" s="132">
        <v>0.0</v>
      </c>
      <c r="T671" s="132">
        <v>0.0</v>
      </c>
      <c r="U671" s="132">
        <v>0.0</v>
      </c>
      <c r="V671" s="132">
        <v>0.0</v>
      </c>
      <c r="W671" s="132">
        <v>0.0</v>
      </c>
      <c r="Y671" s="132" t="s">
        <v>4173</v>
      </c>
      <c r="Z671" s="132">
        <f t="shared" ref="Z671:AC671" si="1338">C671-1000</f>
        <v>-1000</v>
      </c>
      <c r="AA671" s="132">
        <f t="shared" si="1338"/>
        <v>-1000</v>
      </c>
      <c r="AB671" s="132">
        <f t="shared" si="1338"/>
        <v>-1000</v>
      </c>
      <c r="AC671" s="132">
        <f t="shared" si="1338"/>
        <v>-1000</v>
      </c>
      <c r="AD671" s="132">
        <f t="shared" si="4"/>
        <v>-10000</v>
      </c>
      <c r="AE671" s="132">
        <f t="shared" ref="AE671:AS671" si="1339">H671-1000</f>
        <v>-1000</v>
      </c>
      <c r="AF671" s="132">
        <f t="shared" si="1339"/>
        <v>-1000</v>
      </c>
      <c r="AG671" s="132">
        <f t="shared" si="1339"/>
        <v>-1000</v>
      </c>
      <c r="AH671" s="132">
        <f t="shared" si="1339"/>
        <v>-1000</v>
      </c>
      <c r="AI671" s="132">
        <f t="shared" si="1339"/>
        <v>-1000</v>
      </c>
      <c r="AJ671" s="132">
        <f t="shared" si="1339"/>
        <v>-900</v>
      </c>
      <c r="AK671" s="132">
        <f t="shared" si="1339"/>
        <v>-1000</v>
      </c>
      <c r="AL671" s="132">
        <f t="shared" si="1339"/>
        <v>-1000</v>
      </c>
      <c r="AM671" s="132">
        <f t="shared" si="1339"/>
        <v>-1000</v>
      </c>
      <c r="AN671" s="132">
        <f t="shared" si="1339"/>
        <v>-1000</v>
      </c>
      <c r="AO671" s="132">
        <f t="shared" si="1339"/>
        <v>-1000</v>
      </c>
      <c r="AP671" s="132">
        <f t="shared" si="1339"/>
        <v>-1000</v>
      </c>
      <c r="AQ671" s="132">
        <f t="shared" si="1339"/>
        <v>-1000</v>
      </c>
      <c r="AR671" s="132">
        <f t="shared" si="1339"/>
        <v>-1000</v>
      </c>
      <c r="AS671" s="132">
        <f t="shared" si="1339"/>
        <v>-1000</v>
      </c>
    </row>
    <row r="672">
      <c r="A672" s="132" t="s">
        <v>4174</v>
      </c>
      <c r="B672" s="132">
        <v>50.0</v>
      </c>
      <c r="C672" s="132">
        <v>0.0</v>
      </c>
      <c r="D672" s="132">
        <v>0.0</v>
      </c>
      <c r="E672" s="132">
        <v>0.0</v>
      </c>
      <c r="F672" s="132">
        <v>0.0</v>
      </c>
      <c r="G672" s="132">
        <v>0.0</v>
      </c>
      <c r="H672" s="132">
        <v>0.0</v>
      </c>
      <c r="I672" s="132">
        <v>0.0</v>
      </c>
      <c r="J672" s="132">
        <v>0.0</v>
      </c>
      <c r="K672" s="132">
        <v>0.0</v>
      </c>
      <c r="L672" s="132">
        <v>0.0</v>
      </c>
      <c r="M672" s="132">
        <v>50.0</v>
      </c>
      <c r="N672" s="132">
        <v>0.0</v>
      </c>
      <c r="O672" s="132">
        <v>0.0</v>
      </c>
      <c r="P672" s="132">
        <v>0.0</v>
      </c>
      <c r="Q672" s="132">
        <v>0.0</v>
      </c>
      <c r="R672" s="132">
        <v>0.0</v>
      </c>
      <c r="S672" s="132">
        <v>0.0</v>
      </c>
      <c r="T672" s="132">
        <v>0.0</v>
      </c>
      <c r="U672" s="132">
        <v>0.0</v>
      </c>
      <c r="V672" s="132">
        <v>0.0</v>
      </c>
      <c r="W672" s="132">
        <v>0.0</v>
      </c>
      <c r="Y672" s="132" t="s">
        <v>4174</v>
      </c>
      <c r="Z672" s="132">
        <f t="shared" ref="Z672:AC672" si="1340">C672-1000</f>
        <v>-1000</v>
      </c>
      <c r="AA672" s="132">
        <f t="shared" si="1340"/>
        <v>-1000</v>
      </c>
      <c r="AB672" s="132">
        <f t="shared" si="1340"/>
        <v>-1000</v>
      </c>
      <c r="AC672" s="132">
        <f t="shared" si="1340"/>
        <v>-1000</v>
      </c>
      <c r="AD672" s="132">
        <f t="shared" si="4"/>
        <v>-10000</v>
      </c>
      <c r="AE672" s="132">
        <f t="shared" ref="AE672:AS672" si="1341">H672-1000</f>
        <v>-1000</v>
      </c>
      <c r="AF672" s="132">
        <f t="shared" si="1341"/>
        <v>-1000</v>
      </c>
      <c r="AG672" s="132">
        <f t="shared" si="1341"/>
        <v>-1000</v>
      </c>
      <c r="AH672" s="132">
        <f t="shared" si="1341"/>
        <v>-1000</v>
      </c>
      <c r="AI672" s="132">
        <f t="shared" si="1341"/>
        <v>-1000</v>
      </c>
      <c r="AJ672" s="132">
        <f t="shared" si="1341"/>
        <v>-950</v>
      </c>
      <c r="AK672" s="132">
        <f t="shared" si="1341"/>
        <v>-1000</v>
      </c>
      <c r="AL672" s="132">
        <f t="shared" si="1341"/>
        <v>-1000</v>
      </c>
      <c r="AM672" s="132">
        <f t="shared" si="1341"/>
        <v>-1000</v>
      </c>
      <c r="AN672" s="132">
        <f t="shared" si="1341"/>
        <v>-1000</v>
      </c>
      <c r="AO672" s="132">
        <f t="shared" si="1341"/>
        <v>-1000</v>
      </c>
      <c r="AP672" s="132">
        <f t="shared" si="1341"/>
        <v>-1000</v>
      </c>
      <c r="AQ672" s="132">
        <f t="shared" si="1341"/>
        <v>-1000</v>
      </c>
      <c r="AR672" s="132">
        <f t="shared" si="1341"/>
        <v>-1000</v>
      </c>
      <c r="AS672" s="132">
        <f t="shared" si="1341"/>
        <v>-1000</v>
      </c>
    </row>
    <row r="673">
      <c r="A673" s="132" t="s">
        <v>4175</v>
      </c>
      <c r="B673" s="132">
        <v>500.0</v>
      </c>
      <c r="C673" s="132">
        <v>0.0</v>
      </c>
      <c r="D673" s="132">
        <v>0.0</v>
      </c>
      <c r="E673" s="132">
        <v>0.0</v>
      </c>
      <c r="F673" s="132">
        <v>0.0</v>
      </c>
      <c r="G673" s="132">
        <v>0.0</v>
      </c>
      <c r="H673" s="132">
        <v>0.0</v>
      </c>
      <c r="I673" s="132">
        <v>0.0</v>
      </c>
      <c r="J673" s="132">
        <v>0.0</v>
      </c>
      <c r="K673" s="132">
        <v>0.0</v>
      </c>
      <c r="L673" s="132">
        <v>0.0</v>
      </c>
      <c r="M673" s="132">
        <v>500.0</v>
      </c>
      <c r="N673" s="132">
        <v>0.0</v>
      </c>
      <c r="O673" s="132">
        <v>0.0</v>
      </c>
      <c r="P673" s="132">
        <v>0.0</v>
      </c>
      <c r="Q673" s="132">
        <v>0.0</v>
      </c>
      <c r="R673" s="132">
        <v>0.0</v>
      </c>
      <c r="S673" s="132">
        <v>0.0</v>
      </c>
      <c r="T673" s="132">
        <v>0.0</v>
      </c>
      <c r="U673" s="132">
        <v>0.0</v>
      </c>
      <c r="V673" s="132">
        <v>0.0</v>
      </c>
      <c r="W673" s="132">
        <v>0.0</v>
      </c>
      <c r="Y673" s="132" t="s">
        <v>4175</v>
      </c>
      <c r="Z673" s="132">
        <f t="shared" ref="Z673:AC673" si="1342">C673-1000</f>
        <v>-1000</v>
      </c>
      <c r="AA673" s="132">
        <f t="shared" si="1342"/>
        <v>-1000</v>
      </c>
      <c r="AB673" s="132">
        <f t="shared" si="1342"/>
        <v>-1000</v>
      </c>
      <c r="AC673" s="132">
        <f t="shared" si="1342"/>
        <v>-1000</v>
      </c>
      <c r="AD673" s="132">
        <f t="shared" si="4"/>
        <v>-10000</v>
      </c>
      <c r="AE673" s="132">
        <f t="shared" ref="AE673:AS673" si="1343">H673-1000</f>
        <v>-1000</v>
      </c>
      <c r="AF673" s="132">
        <f t="shared" si="1343"/>
        <v>-1000</v>
      </c>
      <c r="AG673" s="132">
        <f t="shared" si="1343"/>
        <v>-1000</v>
      </c>
      <c r="AH673" s="132">
        <f t="shared" si="1343"/>
        <v>-1000</v>
      </c>
      <c r="AI673" s="132">
        <f t="shared" si="1343"/>
        <v>-1000</v>
      </c>
      <c r="AJ673" s="132">
        <f t="shared" si="1343"/>
        <v>-500</v>
      </c>
      <c r="AK673" s="132">
        <f t="shared" si="1343"/>
        <v>-1000</v>
      </c>
      <c r="AL673" s="132">
        <f t="shared" si="1343"/>
        <v>-1000</v>
      </c>
      <c r="AM673" s="132">
        <f t="shared" si="1343"/>
        <v>-1000</v>
      </c>
      <c r="AN673" s="132">
        <f t="shared" si="1343"/>
        <v>-1000</v>
      </c>
      <c r="AO673" s="132">
        <f t="shared" si="1343"/>
        <v>-1000</v>
      </c>
      <c r="AP673" s="132">
        <f t="shared" si="1343"/>
        <v>-1000</v>
      </c>
      <c r="AQ673" s="132">
        <f t="shared" si="1343"/>
        <v>-1000</v>
      </c>
      <c r="AR673" s="132">
        <f t="shared" si="1343"/>
        <v>-1000</v>
      </c>
      <c r="AS673" s="132">
        <f t="shared" si="1343"/>
        <v>-1000</v>
      </c>
    </row>
    <row r="674">
      <c r="A674" s="132" t="s">
        <v>4176</v>
      </c>
      <c r="B674" s="132">
        <v>25.0</v>
      </c>
      <c r="C674" s="132">
        <v>0.0</v>
      </c>
      <c r="D674" s="132">
        <v>0.0</v>
      </c>
      <c r="E674" s="132">
        <v>0.0</v>
      </c>
      <c r="F674" s="132">
        <v>0.0</v>
      </c>
      <c r="G674" s="132">
        <v>0.0</v>
      </c>
      <c r="H674" s="132">
        <v>0.0</v>
      </c>
      <c r="I674" s="132">
        <v>0.0</v>
      </c>
      <c r="J674" s="132">
        <v>0.0</v>
      </c>
      <c r="K674" s="132">
        <v>0.0</v>
      </c>
      <c r="L674" s="132">
        <v>0.0</v>
      </c>
      <c r="M674" s="132">
        <v>25.0</v>
      </c>
      <c r="N674" s="132">
        <v>0.0</v>
      </c>
      <c r="O674" s="132">
        <v>0.0</v>
      </c>
      <c r="P674" s="132">
        <v>0.0</v>
      </c>
      <c r="Q674" s="132">
        <v>0.0</v>
      </c>
      <c r="R674" s="132">
        <v>0.0</v>
      </c>
      <c r="S674" s="132">
        <v>0.0</v>
      </c>
      <c r="T674" s="132">
        <v>0.0</v>
      </c>
      <c r="U674" s="132">
        <v>0.0</v>
      </c>
      <c r="V674" s="132">
        <v>0.0</v>
      </c>
      <c r="W674" s="132">
        <v>0.0</v>
      </c>
      <c r="Y674" s="132" t="s">
        <v>4176</v>
      </c>
      <c r="Z674" s="132">
        <f t="shared" ref="Z674:AC674" si="1344">C674-1000</f>
        <v>-1000</v>
      </c>
      <c r="AA674" s="132">
        <f t="shared" si="1344"/>
        <v>-1000</v>
      </c>
      <c r="AB674" s="132">
        <f t="shared" si="1344"/>
        <v>-1000</v>
      </c>
      <c r="AC674" s="132">
        <f t="shared" si="1344"/>
        <v>-1000</v>
      </c>
      <c r="AD674" s="132">
        <f t="shared" si="4"/>
        <v>-10000</v>
      </c>
      <c r="AE674" s="132">
        <f t="shared" ref="AE674:AS674" si="1345">H674-1000</f>
        <v>-1000</v>
      </c>
      <c r="AF674" s="132">
        <f t="shared" si="1345"/>
        <v>-1000</v>
      </c>
      <c r="AG674" s="132">
        <f t="shared" si="1345"/>
        <v>-1000</v>
      </c>
      <c r="AH674" s="132">
        <f t="shared" si="1345"/>
        <v>-1000</v>
      </c>
      <c r="AI674" s="132">
        <f t="shared" si="1345"/>
        <v>-1000</v>
      </c>
      <c r="AJ674" s="132">
        <f t="shared" si="1345"/>
        <v>-975</v>
      </c>
      <c r="AK674" s="132">
        <f t="shared" si="1345"/>
        <v>-1000</v>
      </c>
      <c r="AL674" s="132">
        <f t="shared" si="1345"/>
        <v>-1000</v>
      </c>
      <c r="AM674" s="132">
        <f t="shared" si="1345"/>
        <v>-1000</v>
      </c>
      <c r="AN674" s="132">
        <f t="shared" si="1345"/>
        <v>-1000</v>
      </c>
      <c r="AO674" s="132">
        <f t="shared" si="1345"/>
        <v>-1000</v>
      </c>
      <c r="AP674" s="132">
        <f t="shared" si="1345"/>
        <v>-1000</v>
      </c>
      <c r="AQ674" s="132">
        <f t="shared" si="1345"/>
        <v>-1000</v>
      </c>
      <c r="AR674" s="132">
        <f t="shared" si="1345"/>
        <v>-1000</v>
      </c>
      <c r="AS674" s="132">
        <f t="shared" si="1345"/>
        <v>-1000</v>
      </c>
    </row>
    <row r="675">
      <c r="A675" s="132" t="s">
        <v>4177</v>
      </c>
      <c r="B675" s="132">
        <v>100.0</v>
      </c>
      <c r="C675" s="132">
        <v>0.0</v>
      </c>
      <c r="D675" s="132">
        <v>0.0</v>
      </c>
      <c r="E675" s="132">
        <v>0.0</v>
      </c>
      <c r="F675" s="132">
        <v>0.0</v>
      </c>
      <c r="G675" s="132">
        <v>0.0</v>
      </c>
      <c r="H675" s="132">
        <v>0.0</v>
      </c>
      <c r="I675" s="132">
        <v>0.0</v>
      </c>
      <c r="J675" s="132">
        <v>0.0</v>
      </c>
      <c r="K675" s="132">
        <v>0.0</v>
      </c>
      <c r="L675" s="132">
        <v>0.0</v>
      </c>
      <c r="M675" s="132">
        <v>100.0</v>
      </c>
      <c r="N675" s="132">
        <v>0.0</v>
      </c>
      <c r="O675" s="132">
        <v>0.0</v>
      </c>
      <c r="P675" s="132">
        <v>0.0</v>
      </c>
      <c r="Q675" s="132">
        <v>0.0</v>
      </c>
      <c r="R675" s="132">
        <v>0.0</v>
      </c>
      <c r="S675" s="132">
        <v>0.0</v>
      </c>
      <c r="T675" s="132">
        <v>0.0</v>
      </c>
      <c r="U675" s="132">
        <v>0.0</v>
      </c>
      <c r="V675" s="132">
        <v>0.0</v>
      </c>
      <c r="W675" s="132">
        <v>0.0</v>
      </c>
      <c r="Y675" s="132" t="s">
        <v>4177</v>
      </c>
      <c r="Z675" s="132">
        <f t="shared" ref="Z675:AC675" si="1346">C675-1000</f>
        <v>-1000</v>
      </c>
      <c r="AA675" s="132">
        <f t="shared" si="1346"/>
        <v>-1000</v>
      </c>
      <c r="AB675" s="132">
        <f t="shared" si="1346"/>
        <v>-1000</v>
      </c>
      <c r="AC675" s="132">
        <f t="shared" si="1346"/>
        <v>-1000</v>
      </c>
      <c r="AD675" s="132">
        <f t="shared" si="4"/>
        <v>-10000</v>
      </c>
      <c r="AE675" s="132">
        <f t="shared" ref="AE675:AS675" si="1347">H675-1000</f>
        <v>-1000</v>
      </c>
      <c r="AF675" s="132">
        <f t="shared" si="1347"/>
        <v>-1000</v>
      </c>
      <c r="AG675" s="132">
        <f t="shared" si="1347"/>
        <v>-1000</v>
      </c>
      <c r="AH675" s="132">
        <f t="shared" si="1347"/>
        <v>-1000</v>
      </c>
      <c r="AI675" s="132">
        <f t="shared" si="1347"/>
        <v>-1000</v>
      </c>
      <c r="AJ675" s="132">
        <f t="shared" si="1347"/>
        <v>-900</v>
      </c>
      <c r="AK675" s="132">
        <f t="shared" si="1347"/>
        <v>-1000</v>
      </c>
      <c r="AL675" s="132">
        <f t="shared" si="1347"/>
        <v>-1000</v>
      </c>
      <c r="AM675" s="132">
        <f t="shared" si="1347"/>
        <v>-1000</v>
      </c>
      <c r="AN675" s="132">
        <f t="shared" si="1347"/>
        <v>-1000</v>
      </c>
      <c r="AO675" s="132">
        <f t="shared" si="1347"/>
        <v>-1000</v>
      </c>
      <c r="AP675" s="132">
        <f t="shared" si="1347"/>
        <v>-1000</v>
      </c>
      <c r="AQ675" s="132">
        <f t="shared" si="1347"/>
        <v>-1000</v>
      </c>
      <c r="AR675" s="132">
        <f t="shared" si="1347"/>
        <v>-1000</v>
      </c>
      <c r="AS675" s="132">
        <f t="shared" si="1347"/>
        <v>-1000</v>
      </c>
    </row>
    <row r="676">
      <c r="A676" s="132" t="s">
        <v>4178</v>
      </c>
      <c r="B676" s="132">
        <v>500.0</v>
      </c>
      <c r="C676" s="132">
        <v>0.0</v>
      </c>
      <c r="D676" s="132">
        <v>0.0</v>
      </c>
      <c r="E676" s="132">
        <v>0.0</v>
      </c>
      <c r="F676" s="132">
        <v>0.0</v>
      </c>
      <c r="G676" s="132">
        <v>0.0</v>
      </c>
      <c r="H676" s="132">
        <v>0.0</v>
      </c>
      <c r="I676" s="132">
        <v>0.0</v>
      </c>
      <c r="J676" s="132">
        <v>0.0</v>
      </c>
      <c r="K676" s="132">
        <v>0.0</v>
      </c>
      <c r="L676" s="132">
        <v>0.0</v>
      </c>
      <c r="M676" s="132">
        <v>500.0</v>
      </c>
      <c r="N676" s="132">
        <v>0.0</v>
      </c>
      <c r="O676" s="132">
        <v>0.0</v>
      </c>
      <c r="P676" s="132">
        <v>0.0</v>
      </c>
      <c r="Q676" s="132">
        <v>0.0</v>
      </c>
      <c r="R676" s="132">
        <v>0.0</v>
      </c>
      <c r="S676" s="132">
        <v>0.0</v>
      </c>
      <c r="T676" s="132">
        <v>0.0</v>
      </c>
      <c r="U676" s="132">
        <v>0.0</v>
      </c>
      <c r="V676" s="132">
        <v>0.0</v>
      </c>
      <c r="W676" s="132">
        <v>0.0</v>
      </c>
      <c r="Y676" s="132" t="s">
        <v>4178</v>
      </c>
      <c r="Z676" s="132">
        <f t="shared" ref="Z676:AC676" si="1348">C676-1000</f>
        <v>-1000</v>
      </c>
      <c r="AA676" s="132">
        <f t="shared" si="1348"/>
        <v>-1000</v>
      </c>
      <c r="AB676" s="132">
        <f t="shared" si="1348"/>
        <v>-1000</v>
      </c>
      <c r="AC676" s="132">
        <f t="shared" si="1348"/>
        <v>-1000</v>
      </c>
      <c r="AD676" s="132">
        <f t="shared" si="4"/>
        <v>-10000</v>
      </c>
      <c r="AE676" s="132">
        <f t="shared" ref="AE676:AS676" si="1349">H676-1000</f>
        <v>-1000</v>
      </c>
      <c r="AF676" s="132">
        <f t="shared" si="1349"/>
        <v>-1000</v>
      </c>
      <c r="AG676" s="132">
        <f t="shared" si="1349"/>
        <v>-1000</v>
      </c>
      <c r="AH676" s="132">
        <f t="shared" si="1349"/>
        <v>-1000</v>
      </c>
      <c r="AI676" s="132">
        <f t="shared" si="1349"/>
        <v>-1000</v>
      </c>
      <c r="AJ676" s="132">
        <f t="shared" si="1349"/>
        <v>-500</v>
      </c>
      <c r="AK676" s="132">
        <f t="shared" si="1349"/>
        <v>-1000</v>
      </c>
      <c r="AL676" s="132">
        <f t="shared" si="1349"/>
        <v>-1000</v>
      </c>
      <c r="AM676" s="132">
        <f t="shared" si="1349"/>
        <v>-1000</v>
      </c>
      <c r="AN676" s="132">
        <f t="shared" si="1349"/>
        <v>-1000</v>
      </c>
      <c r="AO676" s="132">
        <f t="shared" si="1349"/>
        <v>-1000</v>
      </c>
      <c r="AP676" s="132">
        <f t="shared" si="1349"/>
        <v>-1000</v>
      </c>
      <c r="AQ676" s="132">
        <f t="shared" si="1349"/>
        <v>-1000</v>
      </c>
      <c r="AR676" s="132">
        <f t="shared" si="1349"/>
        <v>-1000</v>
      </c>
      <c r="AS676" s="132">
        <f t="shared" si="1349"/>
        <v>-1000</v>
      </c>
    </row>
    <row r="677">
      <c r="A677" s="132" t="s">
        <v>4179</v>
      </c>
      <c r="B677" s="132">
        <v>300.0</v>
      </c>
      <c r="C677" s="132">
        <v>0.0</v>
      </c>
      <c r="D677" s="132">
        <v>0.0</v>
      </c>
      <c r="E677" s="132">
        <v>0.0</v>
      </c>
      <c r="F677" s="132">
        <v>0.0</v>
      </c>
      <c r="G677" s="132">
        <v>0.0</v>
      </c>
      <c r="H677" s="132">
        <v>0.0</v>
      </c>
      <c r="I677" s="132">
        <v>0.0</v>
      </c>
      <c r="J677" s="132">
        <v>0.0</v>
      </c>
      <c r="K677" s="132">
        <v>0.0</v>
      </c>
      <c r="L677" s="132">
        <v>0.0</v>
      </c>
      <c r="M677" s="132">
        <v>300.0</v>
      </c>
      <c r="N677" s="132">
        <v>0.0</v>
      </c>
      <c r="O677" s="132">
        <v>0.0</v>
      </c>
      <c r="P677" s="132">
        <v>0.0</v>
      </c>
      <c r="Q677" s="132">
        <v>0.0</v>
      </c>
      <c r="R677" s="132">
        <v>0.0</v>
      </c>
      <c r="S677" s="132">
        <v>0.0</v>
      </c>
      <c r="T677" s="132">
        <v>0.0</v>
      </c>
      <c r="U677" s="132">
        <v>0.0</v>
      </c>
      <c r="V677" s="132">
        <v>0.0</v>
      </c>
      <c r="W677" s="132">
        <v>0.0</v>
      </c>
      <c r="Y677" s="132" t="s">
        <v>4179</v>
      </c>
      <c r="Z677" s="132">
        <f t="shared" ref="Z677:AC677" si="1350">C677-1000</f>
        <v>-1000</v>
      </c>
      <c r="AA677" s="132">
        <f t="shared" si="1350"/>
        <v>-1000</v>
      </c>
      <c r="AB677" s="132">
        <f t="shared" si="1350"/>
        <v>-1000</v>
      </c>
      <c r="AC677" s="132">
        <f t="shared" si="1350"/>
        <v>-1000</v>
      </c>
      <c r="AD677" s="132">
        <f t="shared" si="4"/>
        <v>-10000</v>
      </c>
      <c r="AE677" s="132">
        <f t="shared" ref="AE677:AS677" si="1351">H677-1000</f>
        <v>-1000</v>
      </c>
      <c r="AF677" s="132">
        <f t="shared" si="1351"/>
        <v>-1000</v>
      </c>
      <c r="AG677" s="132">
        <f t="shared" si="1351"/>
        <v>-1000</v>
      </c>
      <c r="AH677" s="132">
        <f t="shared" si="1351"/>
        <v>-1000</v>
      </c>
      <c r="AI677" s="132">
        <f t="shared" si="1351"/>
        <v>-1000</v>
      </c>
      <c r="AJ677" s="132">
        <f t="shared" si="1351"/>
        <v>-700</v>
      </c>
      <c r="AK677" s="132">
        <f t="shared" si="1351"/>
        <v>-1000</v>
      </c>
      <c r="AL677" s="132">
        <f t="shared" si="1351"/>
        <v>-1000</v>
      </c>
      <c r="AM677" s="132">
        <f t="shared" si="1351"/>
        <v>-1000</v>
      </c>
      <c r="AN677" s="132">
        <f t="shared" si="1351"/>
        <v>-1000</v>
      </c>
      <c r="AO677" s="132">
        <f t="shared" si="1351"/>
        <v>-1000</v>
      </c>
      <c r="AP677" s="132">
        <f t="shared" si="1351"/>
        <v>-1000</v>
      </c>
      <c r="AQ677" s="132">
        <f t="shared" si="1351"/>
        <v>-1000</v>
      </c>
      <c r="AR677" s="132">
        <f t="shared" si="1351"/>
        <v>-1000</v>
      </c>
      <c r="AS677" s="132">
        <f t="shared" si="1351"/>
        <v>-1000</v>
      </c>
    </row>
    <row r="678">
      <c r="A678" s="132" t="s">
        <v>4180</v>
      </c>
      <c r="B678" s="132">
        <v>500.0</v>
      </c>
      <c r="C678" s="132">
        <v>0.0</v>
      </c>
      <c r="D678" s="132">
        <v>0.0</v>
      </c>
      <c r="E678" s="132">
        <v>0.0</v>
      </c>
      <c r="F678" s="132">
        <v>0.0</v>
      </c>
      <c r="G678" s="132">
        <v>0.0</v>
      </c>
      <c r="H678" s="132">
        <v>0.0</v>
      </c>
      <c r="I678" s="132">
        <v>0.0</v>
      </c>
      <c r="J678" s="132">
        <v>0.0</v>
      </c>
      <c r="K678" s="132">
        <v>0.0</v>
      </c>
      <c r="L678" s="132">
        <v>0.0</v>
      </c>
      <c r="M678" s="132">
        <v>500.0</v>
      </c>
      <c r="N678" s="132">
        <v>0.0</v>
      </c>
      <c r="O678" s="132">
        <v>0.0</v>
      </c>
      <c r="P678" s="132">
        <v>0.0</v>
      </c>
      <c r="Q678" s="132">
        <v>0.0</v>
      </c>
      <c r="R678" s="132">
        <v>0.0</v>
      </c>
      <c r="S678" s="132">
        <v>0.0</v>
      </c>
      <c r="T678" s="132">
        <v>0.0</v>
      </c>
      <c r="U678" s="132">
        <v>0.0</v>
      </c>
      <c r="V678" s="132">
        <v>0.0</v>
      </c>
      <c r="W678" s="132">
        <v>0.0</v>
      </c>
      <c r="Y678" s="132" t="s">
        <v>4180</v>
      </c>
      <c r="Z678" s="132">
        <f t="shared" ref="Z678:AC678" si="1352">C678-1000</f>
        <v>-1000</v>
      </c>
      <c r="AA678" s="132">
        <f t="shared" si="1352"/>
        <v>-1000</v>
      </c>
      <c r="AB678" s="132">
        <f t="shared" si="1352"/>
        <v>-1000</v>
      </c>
      <c r="AC678" s="132">
        <f t="shared" si="1352"/>
        <v>-1000</v>
      </c>
      <c r="AD678" s="132">
        <f t="shared" si="4"/>
        <v>-10000</v>
      </c>
      <c r="AE678" s="132">
        <f t="shared" ref="AE678:AS678" si="1353">H678-1000</f>
        <v>-1000</v>
      </c>
      <c r="AF678" s="132">
        <f t="shared" si="1353"/>
        <v>-1000</v>
      </c>
      <c r="AG678" s="132">
        <f t="shared" si="1353"/>
        <v>-1000</v>
      </c>
      <c r="AH678" s="132">
        <f t="shared" si="1353"/>
        <v>-1000</v>
      </c>
      <c r="AI678" s="132">
        <f t="shared" si="1353"/>
        <v>-1000</v>
      </c>
      <c r="AJ678" s="132">
        <f t="shared" si="1353"/>
        <v>-500</v>
      </c>
      <c r="AK678" s="132">
        <f t="shared" si="1353"/>
        <v>-1000</v>
      </c>
      <c r="AL678" s="132">
        <f t="shared" si="1353"/>
        <v>-1000</v>
      </c>
      <c r="AM678" s="132">
        <f t="shared" si="1353"/>
        <v>-1000</v>
      </c>
      <c r="AN678" s="132">
        <f t="shared" si="1353"/>
        <v>-1000</v>
      </c>
      <c r="AO678" s="132">
        <f t="shared" si="1353"/>
        <v>-1000</v>
      </c>
      <c r="AP678" s="132">
        <f t="shared" si="1353"/>
        <v>-1000</v>
      </c>
      <c r="AQ678" s="132">
        <f t="shared" si="1353"/>
        <v>-1000</v>
      </c>
      <c r="AR678" s="132">
        <f t="shared" si="1353"/>
        <v>-1000</v>
      </c>
      <c r="AS678" s="132">
        <f t="shared" si="1353"/>
        <v>-1000</v>
      </c>
    </row>
    <row r="679">
      <c r="A679" s="132" t="s">
        <v>4181</v>
      </c>
      <c r="B679" s="132">
        <v>500.0</v>
      </c>
      <c r="C679" s="132">
        <v>0.0</v>
      </c>
      <c r="D679" s="132">
        <v>0.0</v>
      </c>
      <c r="E679" s="132">
        <v>0.0</v>
      </c>
      <c r="F679" s="132">
        <v>0.0</v>
      </c>
      <c r="G679" s="132">
        <v>0.0</v>
      </c>
      <c r="H679" s="132">
        <v>0.0</v>
      </c>
      <c r="I679" s="132">
        <v>0.0</v>
      </c>
      <c r="J679" s="132">
        <v>0.0</v>
      </c>
      <c r="K679" s="132">
        <v>0.0</v>
      </c>
      <c r="L679" s="132">
        <v>0.0</v>
      </c>
      <c r="M679" s="132">
        <v>500.0</v>
      </c>
      <c r="N679" s="132">
        <v>0.0</v>
      </c>
      <c r="O679" s="132">
        <v>0.0</v>
      </c>
      <c r="P679" s="132">
        <v>0.0</v>
      </c>
      <c r="Q679" s="132">
        <v>0.0</v>
      </c>
      <c r="R679" s="132">
        <v>0.0</v>
      </c>
      <c r="S679" s="132">
        <v>0.0</v>
      </c>
      <c r="T679" s="132">
        <v>0.0</v>
      </c>
      <c r="U679" s="132">
        <v>0.0</v>
      </c>
      <c r="V679" s="132">
        <v>0.0</v>
      </c>
      <c r="W679" s="132">
        <v>0.0</v>
      </c>
      <c r="Y679" s="132" t="s">
        <v>4181</v>
      </c>
      <c r="Z679" s="132">
        <f t="shared" ref="Z679:AC679" si="1354">C679-1000</f>
        <v>-1000</v>
      </c>
      <c r="AA679" s="132">
        <f t="shared" si="1354"/>
        <v>-1000</v>
      </c>
      <c r="AB679" s="132">
        <f t="shared" si="1354"/>
        <v>-1000</v>
      </c>
      <c r="AC679" s="132">
        <f t="shared" si="1354"/>
        <v>-1000</v>
      </c>
      <c r="AD679" s="132">
        <f t="shared" si="4"/>
        <v>-10000</v>
      </c>
      <c r="AE679" s="132">
        <f t="shared" ref="AE679:AS679" si="1355">H679-1000</f>
        <v>-1000</v>
      </c>
      <c r="AF679" s="132">
        <f t="shared" si="1355"/>
        <v>-1000</v>
      </c>
      <c r="AG679" s="132">
        <f t="shared" si="1355"/>
        <v>-1000</v>
      </c>
      <c r="AH679" s="132">
        <f t="shared" si="1355"/>
        <v>-1000</v>
      </c>
      <c r="AI679" s="132">
        <f t="shared" si="1355"/>
        <v>-1000</v>
      </c>
      <c r="AJ679" s="132">
        <f t="shared" si="1355"/>
        <v>-500</v>
      </c>
      <c r="AK679" s="132">
        <f t="shared" si="1355"/>
        <v>-1000</v>
      </c>
      <c r="AL679" s="132">
        <f t="shared" si="1355"/>
        <v>-1000</v>
      </c>
      <c r="AM679" s="132">
        <f t="shared" si="1355"/>
        <v>-1000</v>
      </c>
      <c r="AN679" s="132">
        <f t="shared" si="1355"/>
        <v>-1000</v>
      </c>
      <c r="AO679" s="132">
        <f t="shared" si="1355"/>
        <v>-1000</v>
      </c>
      <c r="AP679" s="132">
        <f t="shared" si="1355"/>
        <v>-1000</v>
      </c>
      <c r="AQ679" s="132">
        <f t="shared" si="1355"/>
        <v>-1000</v>
      </c>
      <c r="AR679" s="132">
        <f t="shared" si="1355"/>
        <v>-1000</v>
      </c>
      <c r="AS679" s="132">
        <f t="shared" si="1355"/>
        <v>-1000</v>
      </c>
    </row>
    <row r="680">
      <c r="A680" s="132" t="s">
        <v>4182</v>
      </c>
      <c r="B680" s="132">
        <v>100.0</v>
      </c>
      <c r="C680" s="132">
        <v>0.0</v>
      </c>
      <c r="D680" s="132">
        <v>0.0</v>
      </c>
      <c r="E680" s="132">
        <v>0.0</v>
      </c>
      <c r="F680" s="132">
        <v>0.0</v>
      </c>
      <c r="G680" s="132">
        <v>0.0</v>
      </c>
      <c r="H680" s="132">
        <v>0.0</v>
      </c>
      <c r="I680" s="132">
        <v>0.0</v>
      </c>
      <c r="J680" s="132">
        <v>0.0</v>
      </c>
      <c r="K680" s="132">
        <v>0.0</v>
      </c>
      <c r="L680" s="132">
        <v>0.0</v>
      </c>
      <c r="M680" s="132">
        <v>100.0</v>
      </c>
      <c r="N680" s="132">
        <v>0.0</v>
      </c>
      <c r="O680" s="132">
        <v>0.0</v>
      </c>
      <c r="P680" s="132">
        <v>0.0</v>
      </c>
      <c r="Q680" s="132">
        <v>0.0</v>
      </c>
      <c r="R680" s="132">
        <v>0.0</v>
      </c>
      <c r="S680" s="132">
        <v>0.0</v>
      </c>
      <c r="T680" s="132">
        <v>0.0</v>
      </c>
      <c r="U680" s="132">
        <v>0.0</v>
      </c>
      <c r="V680" s="132">
        <v>0.0</v>
      </c>
      <c r="W680" s="132">
        <v>0.0</v>
      </c>
      <c r="Y680" s="132" t="s">
        <v>4182</v>
      </c>
      <c r="Z680" s="132">
        <f t="shared" ref="Z680:AC680" si="1356">C680-1000</f>
        <v>-1000</v>
      </c>
      <c r="AA680" s="132">
        <f t="shared" si="1356"/>
        <v>-1000</v>
      </c>
      <c r="AB680" s="132">
        <f t="shared" si="1356"/>
        <v>-1000</v>
      </c>
      <c r="AC680" s="132">
        <f t="shared" si="1356"/>
        <v>-1000</v>
      </c>
      <c r="AD680" s="132">
        <f t="shared" si="4"/>
        <v>-10000</v>
      </c>
      <c r="AE680" s="132">
        <f t="shared" ref="AE680:AS680" si="1357">H680-1000</f>
        <v>-1000</v>
      </c>
      <c r="AF680" s="132">
        <f t="shared" si="1357"/>
        <v>-1000</v>
      </c>
      <c r="AG680" s="132">
        <f t="shared" si="1357"/>
        <v>-1000</v>
      </c>
      <c r="AH680" s="132">
        <f t="shared" si="1357"/>
        <v>-1000</v>
      </c>
      <c r="AI680" s="132">
        <f t="shared" si="1357"/>
        <v>-1000</v>
      </c>
      <c r="AJ680" s="132">
        <f t="shared" si="1357"/>
        <v>-900</v>
      </c>
      <c r="AK680" s="132">
        <f t="shared" si="1357"/>
        <v>-1000</v>
      </c>
      <c r="AL680" s="132">
        <f t="shared" si="1357"/>
        <v>-1000</v>
      </c>
      <c r="AM680" s="132">
        <f t="shared" si="1357"/>
        <v>-1000</v>
      </c>
      <c r="AN680" s="132">
        <f t="shared" si="1357"/>
        <v>-1000</v>
      </c>
      <c r="AO680" s="132">
        <f t="shared" si="1357"/>
        <v>-1000</v>
      </c>
      <c r="AP680" s="132">
        <f t="shared" si="1357"/>
        <v>-1000</v>
      </c>
      <c r="AQ680" s="132">
        <f t="shared" si="1357"/>
        <v>-1000</v>
      </c>
      <c r="AR680" s="132">
        <f t="shared" si="1357"/>
        <v>-1000</v>
      </c>
      <c r="AS680" s="132">
        <f t="shared" si="1357"/>
        <v>-1000</v>
      </c>
    </row>
    <row r="681">
      <c r="A681" s="132" t="s">
        <v>4183</v>
      </c>
      <c r="B681" s="132">
        <v>1750.0</v>
      </c>
      <c r="C681" s="132">
        <v>1500.0</v>
      </c>
      <c r="D681" s="132">
        <v>0.0</v>
      </c>
      <c r="E681" s="132">
        <v>0.0</v>
      </c>
      <c r="F681" s="132">
        <v>0.0</v>
      </c>
      <c r="G681" s="132">
        <v>0.0</v>
      </c>
      <c r="H681" s="132">
        <v>0.0</v>
      </c>
      <c r="I681" s="132">
        <v>0.0</v>
      </c>
      <c r="J681" s="132">
        <v>0.0</v>
      </c>
      <c r="K681" s="132">
        <v>0.0</v>
      </c>
      <c r="L681" s="132">
        <v>0.0</v>
      </c>
      <c r="M681" s="132">
        <v>250.0</v>
      </c>
      <c r="N681" s="132">
        <v>0.0</v>
      </c>
      <c r="O681" s="132">
        <v>0.0</v>
      </c>
      <c r="P681" s="132">
        <v>0.0</v>
      </c>
      <c r="Q681" s="132">
        <v>0.0</v>
      </c>
      <c r="R681" s="132">
        <v>0.0</v>
      </c>
      <c r="S681" s="132">
        <v>0.0</v>
      </c>
      <c r="T681" s="132">
        <v>0.0</v>
      </c>
      <c r="U681" s="132">
        <v>0.0</v>
      </c>
      <c r="V681" s="132">
        <v>0.0</v>
      </c>
      <c r="W681" s="132">
        <v>1.0</v>
      </c>
      <c r="Y681" s="132" t="s">
        <v>4183</v>
      </c>
      <c r="Z681" s="132">
        <f t="shared" ref="Z681:AC681" si="1358">C681-1000</f>
        <v>500</v>
      </c>
      <c r="AA681" s="132">
        <f t="shared" si="1358"/>
        <v>-1000</v>
      </c>
      <c r="AB681" s="132">
        <f t="shared" si="1358"/>
        <v>-1000</v>
      </c>
      <c r="AC681" s="132">
        <f t="shared" si="1358"/>
        <v>-1000</v>
      </c>
      <c r="AD681" s="132">
        <f t="shared" si="4"/>
        <v>-10000</v>
      </c>
      <c r="AE681" s="132">
        <f t="shared" ref="AE681:AS681" si="1359">H681-1000</f>
        <v>-1000</v>
      </c>
      <c r="AF681" s="132">
        <f t="shared" si="1359"/>
        <v>-1000</v>
      </c>
      <c r="AG681" s="132">
        <f t="shared" si="1359"/>
        <v>-1000</v>
      </c>
      <c r="AH681" s="132">
        <f t="shared" si="1359"/>
        <v>-1000</v>
      </c>
      <c r="AI681" s="132">
        <f t="shared" si="1359"/>
        <v>-1000</v>
      </c>
      <c r="AJ681" s="132">
        <f t="shared" si="1359"/>
        <v>-750</v>
      </c>
      <c r="AK681" s="132">
        <f t="shared" si="1359"/>
        <v>-1000</v>
      </c>
      <c r="AL681" s="132">
        <f t="shared" si="1359"/>
        <v>-1000</v>
      </c>
      <c r="AM681" s="132">
        <f t="shared" si="1359"/>
        <v>-1000</v>
      </c>
      <c r="AN681" s="132">
        <f t="shared" si="1359"/>
        <v>-1000</v>
      </c>
      <c r="AO681" s="132">
        <f t="shared" si="1359"/>
        <v>-1000</v>
      </c>
      <c r="AP681" s="132">
        <f t="shared" si="1359"/>
        <v>-1000</v>
      </c>
      <c r="AQ681" s="132">
        <f t="shared" si="1359"/>
        <v>-1000</v>
      </c>
      <c r="AR681" s="132">
        <f t="shared" si="1359"/>
        <v>-1000</v>
      </c>
      <c r="AS681" s="132">
        <f t="shared" si="1359"/>
        <v>-1000</v>
      </c>
    </row>
    <row r="682">
      <c r="A682" s="132" t="s">
        <v>4184</v>
      </c>
      <c r="B682" s="132">
        <v>360.0</v>
      </c>
      <c r="C682" s="132">
        <v>0.0</v>
      </c>
      <c r="D682" s="132">
        <v>0.0</v>
      </c>
      <c r="E682" s="132">
        <v>0.0</v>
      </c>
      <c r="F682" s="132">
        <v>0.0</v>
      </c>
      <c r="G682" s="132">
        <v>0.0</v>
      </c>
      <c r="H682" s="132">
        <v>0.0</v>
      </c>
      <c r="I682" s="132">
        <v>0.0</v>
      </c>
      <c r="J682" s="132">
        <v>0.0</v>
      </c>
      <c r="K682" s="132">
        <v>0.0</v>
      </c>
      <c r="L682" s="132">
        <v>0.0</v>
      </c>
      <c r="M682" s="132">
        <v>360.0</v>
      </c>
      <c r="N682" s="132">
        <v>0.0</v>
      </c>
      <c r="O682" s="132">
        <v>0.0</v>
      </c>
      <c r="P682" s="132">
        <v>0.0</v>
      </c>
      <c r="Q682" s="132">
        <v>0.0</v>
      </c>
      <c r="R682" s="132">
        <v>0.0</v>
      </c>
      <c r="S682" s="132">
        <v>0.0</v>
      </c>
      <c r="T682" s="132">
        <v>0.0</v>
      </c>
      <c r="U682" s="132">
        <v>0.0</v>
      </c>
      <c r="V682" s="132">
        <v>0.0</v>
      </c>
      <c r="W682" s="132">
        <v>0.0</v>
      </c>
      <c r="Y682" s="132" t="s">
        <v>4184</v>
      </c>
      <c r="Z682" s="132">
        <f t="shared" ref="Z682:AC682" si="1360">C682-1000</f>
        <v>-1000</v>
      </c>
      <c r="AA682" s="132">
        <f t="shared" si="1360"/>
        <v>-1000</v>
      </c>
      <c r="AB682" s="132">
        <f t="shared" si="1360"/>
        <v>-1000</v>
      </c>
      <c r="AC682" s="132">
        <f t="shared" si="1360"/>
        <v>-1000</v>
      </c>
      <c r="AD682" s="132">
        <f t="shared" si="4"/>
        <v>-10000</v>
      </c>
      <c r="AE682" s="132">
        <f t="shared" ref="AE682:AS682" si="1361">H682-1000</f>
        <v>-1000</v>
      </c>
      <c r="AF682" s="132">
        <f t="shared" si="1361"/>
        <v>-1000</v>
      </c>
      <c r="AG682" s="132">
        <f t="shared" si="1361"/>
        <v>-1000</v>
      </c>
      <c r="AH682" s="132">
        <f t="shared" si="1361"/>
        <v>-1000</v>
      </c>
      <c r="AI682" s="132">
        <f t="shared" si="1361"/>
        <v>-1000</v>
      </c>
      <c r="AJ682" s="132">
        <f t="shared" si="1361"/>
        <v>-640</v>
      </c>
      <c r="AK682" s="132">
        <f t="shared" si="1361"/>
        <v>-1000</v>
      </c>
      <c r="AL682" s="132">
        <f t="shared" si="1361"/>
        <v>-1000</v>
      </c>
      <c r="AM682" s="132">
        <f t="shared" si="1361"/>
        <v>-1000</v>
      </c>
      <c r="AN682" s="132">
        <f t="shared" si="1361"/>
        <v>-1000</v>
      </c>
      <c r="AO682" s="132">
        <f t="shared" si="1361"/>
        <v>-1000</v>
      </c>
      <c r="AP682" s="132">
        <f t="shared" si="1361"/>
        <v>-1000</v>
      </c>
      <c r="AQ682" s="132">
        <f t="shared" si="1361"/>
        <v>-1000</v>
      </c>
      <c r="AR682" s="132">
        <f t="shared" si="1361"/>
        <v>-1000</v>
      </c>
      <c r="AS682" s="132">
        <f t="shared" si="1361"/>
        <v>-1000</v>
      </c>
    </row>
    <row r="683">
      <c r="A683" s="132" t="s">
        <v>4185</v>
      </c>
      <c r="B683" s="132">
        <v>50.0</v>
      </c>
      <c r="C683" s="132">
        <v>0.0</v>
      </c>
      <c r="D683" s="132">
        <v>0.0</v>
      </c>
      <c r="E683" s="132">
        <v>0.0</v>
      </c>
      <c r="F683" s="132">
        <v>0.0</v>
      </c>
      <c r="G683" s="132">
        <v>0.0</v>
      </c>
      <c r="H683" s="132">
        <v>0.0</v>
      </c>
      <c r="I683" s="132">
        <v>0.0</v>
      </c>
      <c r="J683" s="132">
        <v>0.0</v>
      </c>
      <c r="K683" s="132">
        <v>0.0</v>
      </c>
      <c r="L683" s="132">
        <v>0.0</v>
      </c>
      <c r="M683" s="132">
        <v>50.0</v>
      </c>
      <c r="N683" s="132">
        <v>0.0</v>
      </c>
      <c r="O683" s="132">
        <v>0.0</v>
      </c>
      <c r="P683" s="132">
        <v>0.0</v>
      </c>
      <c r="Q683" s="132">
        <v>0.0</v>
      </c>
      <c r="R683" s="132">
        <v>0.0</v>
      </c>
      <c r="S683" s="132">
        <v>0.0</v>
      </c>
      <c r="T683" s="132">
        <v>0.0</v>
      </c>
      <c r="U683" s="132">
        <v>0.0</v>
      </c>
      <c r="V683" s="132">
        <v>0.0</v>
      </c>
      <c r="W683" s="132">
        <v>0.0</v>
      </c>
      <c r="Y683" s="132" t="s">
        <v>4185</v>
      </c>
      <c r="Z683" s="132">
        <f t="shared" ref="Z683:AC683" si="1362">C683-1000</f>
        <v>-1000</v>
      </c>
      <c r="AA683" s="132">
        <f t="shared" si="1362"/>
        <v>-1000</v>
      </c>
      <c r="AB683" s="132">
        <f t="shared" si="1362"/>
        <v>-1000</v>
      </c>
      <c r="AC683" s="132">
        <f t="shared" si="1362"/>
        <v>-1000</v>
      </c>
      <c r="AD683" s="132">
        <f t="shared" si="4"/>
        <v>-10000</v>
      </c>
      <c r="AE683" s="132">
        <f t="shared" ref="AE683:AS683" si="1363">H683-1000</f>
        <v>-1000</v>
      </c>
      <c r="AF683" s="132">
        <f t="shared" si="1363"/>
        <v>-1000</v>
      </c>
      <c r="AG683" s="132">
        <f t="shared" si="1363"/>
        <v>-1000</v>
      </c>
      <c r="AH683" s="132">
        <f t="shared" si="1363"/>
        <v>-1000</v>
      </c>
      <c r="AI683" s="132">
        <f t="shared" si="1363"/>
        <v>-1000</v>
      </c>
      <c r="AJ683" s="132">
        <f t="shared" si="1363"/>
        <v>-950</v>
      </c>
      <c r="AK683" s="132">
        <f t="shared" si="1363"/>
        <v>-1000</v>
      </c>
      <c r="AL683" s="132">
        <f t="shared" si="1363"/>
        <v>-1000</v>
      </c>
      <c r="AM683" s="132">
        <f t="shared" si="1363"/>
        <v>-1000</v>
      </c>
      <c r="AN683" s="132">
        <f t="shared" si="1363"/>
        <v>-1000</v>
      </c>
      <c r="AO683" s="132">
        <f t="shared" si="1363"/>
        <v>-1000</v>
      </c>
      <c r="AP683" s="132">
        <f t="shared" si="1363"/>
        <v>-1000</v>
      </c>
      <c r="AQ683" s="132">
        <f t="shared" si="1363"/>
        <v>-1000</v>
      </c>
      <c r="AR683" s="132">
        <f t="shared" si="1363"/>
        <v>-1000</v>
      </c>
      <c r="AS683" s="132">
        <f t="shared" si="1363"/>
        <v>-1000</v>
      </c>
    </row>
    <row r="684">
      <c r="A684" s="132" t="s">
        <v>4186</v>
      </c>
      <c r="B684" s="132">
        <v>1000.0</v>
      </c>
      <c r="C684" s="132">
        <v>0.0</v>
      </c>
      <c r="D684" s="132">
        <v>0.0</v>
      </c>
      <c r="E684" s="132">
        <v>0.0</v>
      </c>
      <c r="F684" s="132">
        <v>0.0</v>
      </c>
      <c r="G684" s="132">
        <v>0.0</v>
      </c>
      <c r="H684" s="132">
        <v>0.0</v>
      </c>
      <c r="I684" s="132">
        <v>0.0</v>
      </c>
      <c r="J684" s="132">
        <v>0.0</v>
      </c>
      <c r="K684" s="132">
        <v>0.0</v>
      </c>
      <c r="L684" s="132">
        <v>0.0</v>
      </c>
      <c r="M684" s="132">
        <v>1000.0</v>
      </c>
      <c r="N684" s="132">
        <v>0.0</v>
      </c>
      <c r="O684" s="132">
        <v>0.0</v>
      </c>
      <c r="P684" s="132">
        <v>0.0</v>
      </c>
      <c r="Q684" s="132">
        <v>0.0</v>
      </c>
      <c r="R684" s="132">
        <v>0.0</v>
      </c>
      <c r="S684" s="132">
        <v>0.0</v>
      </c>
      <c r="T684" s="132">
        <v>0.0</v>
      </c>
      <c r="U684" s="132">
        <v>0.0</v>
      </c>
      <c r="V684" s="132">
        <v>0.0</v>
      </c>
      <c r="W684" s="132">
        <v>0.0</v>
      </c>
      <c r="Y684" s="132" t="s">
        <v>4186</v>
      </c>
      <c r="Z684" s="132">
        <f t="shared" ref="Z684:AC684" si="1364">C684-1000</f>
        <v>-1000</v>
      </c>
      <c r="AA684" s="132">
        <f t="shared" si="1364"/>
        <v>-1000</v>
      </c>
      <c r="AB684" s="132">
        <f t="shared" si="1364"/>
        <v>-1000</v>
      </c>
      <c r="AC684" s="132">
        <f t="shared" si="1364"/>
        <v>-1000</v>
      </c>
      <c r="AD684" s="132">
        <f t="shared" si="4"/>
        <v>-10000</v>
      </c>
      <c r="AE684" s="132">
        <f t="shared" ref="AE684:AS684" si="1365">H684-1000</f>
        <v>-1000</v>
      </c>
      <c r="AF684" s="132">
        <f t="shared" si="1365"/>
        <v>-1000</v>
      </c>
      <c r="AG684" s="132">
        <f t="shared" si="1365"/>
        <v>-1000</v>
      </c>
      <c r="AH684" s="132">
        <f t="shared" si="1365"/>
        <v>-1000</v>
      </c>
      <c r="AI684" s="132">
        <f t="shared" si="1365"/>
        <v>-1000</v>
      </c>
      <c r="AJ684" s="132">
        <f t="shared" si="1365"/>
        <v>0</v>
      </c>
      <c r="AK684" s="132">
        <f t="shared" si="1365"/>
        <v>-1000</v>
      </c>
      <c r="AL684" s="132">
        <f t="shared" si="1365"/>
        <v>-1000</v>
      </c>
      <c r="AM684" s="132">
        <f t="shared" si="1365"/>
        <v>-1000</v>
      </c>
      <c r="AN684" s="132">
        <f t="shared" si="1365"/>
        <v>-1000</v>
      </c>
      <c r="AO684" s="132">
        <f t="shared" si="1365"/>
        <v>-1000</v>
      </c>
      <c r="AP684" s="132">
        <f t="shared" si="1365"/>
        <v>-1000</v>
      </c>
      <c r="AQ684" s="132">
        <f t="shared" si="1365"/>
        <v>-1000</v>
      </c>
      <c r="AR684" s="132">
        <f t="shared" si="1365"/>
        <v>-1000</v>
      </c>
      <c r="AS684" s="132">
        <f t="shared" si="1365"/>
        <v>-1000</v>
      </c>
    </row>
    <row r="685">
      <c r="A685" s="132" t="s">
        <v>4187</v>
      </c>
      <c r="B685" s="132">
        <v>350.0</v>
      </c>
      <c r="C685" s="132">
        <v>0.0</v>
      </c>
      <c r="D685" s="132">
        <v>0.0</v>
      </c>
      <c r="E685" s="132">
        <v>0.0</v>
      </c>
      <c r="F685" s="132">
        <v>0.0</v>
      </c>
      <c r="G685" s="132">
        <v>0.0</v>
      </c>
      <c r="H685" s="132">
        <v>0.0</v>
      </c>
      <c r="I685" s="132">
        <v>0.0</v>
      </c>
      <c r="J685" s="132">
        <v>0.0</v>
      </c>
      <c r="K685" s="132">
        <v>0.0</v>
      </c>
      <c r="L685" s="132">
        <v>0.0</v>
      </c>
      <c r="M685" s="132">
        <v>350.0</v>
      </c>
      <c r="N685" s="132">
        <v>0.0</v>
      </c>
      <c r="O685" s="132">
        <v>0.0</v>
      </c>
      <c r="P685" s="132">
        <v>0.0</v>
      </c>
      <c r="Q685" s="132">
        <v>0.0</v>
      </c>
      <c r="R685" s="132">
        <v>0.0</v>
      </c>
      <c r="S685" s="132">
        <v>0.0</v>
      </c>
      <c r="T685" s="132">
        <v>0.0</v>
      </c>
      <c r="U685" s="132">
        <v>0.0</v>
      </c>
      <c r="V685" s="132">
        <v>0.0</v>
      </c>
      <c r="W685" s="132">
        <v>0.0</v>
      </c>
      <c r="Y685" s="132" t="s">
        <v>4187</v>
      </c>
      <c r="Z685" s="132">
        <f t="shared" ref="Z685:AC685" si="1366">C685-1000</f>
        <v>-1000</v>
      </c>
      <c r="AA685" s="132">
        <f t="shared" si="1366"/>
        <v>-1000</v>
      </c>
      <c r="AB685" s="132">
        <f t="shared" si="1366"/>
        <v>-1000</v>
      </c>
      <c r="AC685" s="132">
        <f t="shared" si="1366"/>
        <v>-1000</v>
      </c>
      <c r="AD685" s="132">
        <f t="shared" si="4"/>
        <v>-10000</v>
      </c>
      <c r="AE685" s="132">
        <f t="shared" ref="AE685:AS685" si="1367">H685-1000</f>
        <v>-1000</v>
      </c>
      <c r="AF685" s="132">
        <f t="shared" si="1367"/>
        <v>-1000</v>
      </c>
      <c r="AG685" s="132">
        <f t="shared" si="1367"/>
        <v>-1000</v>
      </c>
      <c r="AH685" s="132">
        <f t="shared" si="1367"/>
        <v>-1000</v>
      </c>
      <c r="AI685" s="132">
        <f t="shared" si="1367"/>
        <v>-1000</v>
      </c>
      <c r="AJ685" s="132">
        <f t="shared" si="1367"/>
        <v>-650</v>
      </c>
      <c r="AK685" s="132">
        <f t="shared" si="1367"/>
        <v>-1000</v>
      </c>
      <c r="AL685" s="132">
        <f t="shared" si="1367"/>
        <v>-1000</v>
      </c>
      <c r="AM685" s="132">
        <f t="shared" si="1367"/>
        <v>-1000</v>
      </c>
      <c r="AN685" s="132">
        <f t="shared" si="1367"/>
        <v>-1000</v>
      </c>
      <c r="AO685" s="132">
        <f t="shared" si="1367"/>
        <v>-1000</v>
      </c>
      <c r="AP685" s="132">
        <f t="shared" si="1367"/>
        <v>-1000</v>
      </c>
      <c r="AQ685" s="132">
        <f t="shared" si="1367"/>
        <v>-1000</v>
      </c>
      <c r="AR685" s="132">
        <f t="shared" si="1367"/>
        <v>-1000</v>
      </c>
      <c r="AS685" s="132">
        <f t="shared" si="1367"/>
        <v>-1000</v>
      </c>
    </row>
    <row r="686">
      <c r="A686" s="132" t="s">
        <v>4188</v>
      </c>
      <c r="B686" s="132">
        <v>100.0</v>
      </c>
      <c r="C686" s="132">
        <v>0.0</v>
      </c>
      <c r="D686" s="132">
        <v>0.0</v>
      </c>
      <c r="E686" s="132">
        <v>0.0</v>
      </c>
      <c r="F686" s="132">
        <v>0.0</v>
      </c>
      <c r="G686" s="132">
        <v>0.0</v>
      </c>
      <c r="H686" s="132">
        <v>0.0</v>
      </c>
      <c r="I686" s="132">
        <v>0.0</v>
      </c>
      <c r="J686" s="132">
        <v>0.0</v>
      </c>
      <c r="K686" s="132">
        <v>0.0</v>
      </c>
      <c r="L686" s="132">
        <v>0.0</v>
      </c>
      <c r="M686" s="132">
        <v>100.0</v>
      </c>
      <c r="N686" s="132">
        <v>0.0</v>
      </c>
      <c r="O686" s="132">
        <v>0.0</v>
      </c>
      <c r="P686" s="132">
        <v>0.0</v>
      </c>
      <c r="Q686" s="132">
        <v>0.0</v>
      </c>
      <c r="R686" s="132">
        <v>0.0</v>
      </c>
      <c r="S686" s="132">
        <v>0.0</v>
      </c>
      <c r="T686" s="132">
        <v>0.0</v>
      </c>
      <c r="U686" s="132">
        <v>0.0</v>
      </c>
      <c r="V686" s="132">
        <v>0.0</v>
      </c>
      <c r="W686" s="132">
        <v>0.0</v>
      </c>
      <c r="Y686" s="132" t="s">
        <v>4188</v>
      </c>
      <c r="Z686" s="132">
        <f t="shared" ref="Z686:AC686" si="1368">C686-1000</f>
        <v>-1000</v>
      </c>
      <c r="AA686" s="132">
        <f t="shared" si="1368"/>
        <v>-1000</v>
      </c>
      <c r="AB686" s="132">
        <f t="shared" si="1368"/>
        <v>-1000</v>
      </c>
      <c r="AC686" s="132">
        <f t="shared" si="1368"/>
        <v>-1000</v>
      </c>
      <c r="AD686" s="132">
        <f t="shared" si="4"/>
        <v>-10000</v>
      </c>
      <c r="AE686" s="132">
        <f t="shared" ref="AE686:AS686" si="1369">H686-1000</f>
        <v>-1000</v>
      </c>
      <c r="AF686" s="132">
        <f t="shared" si="1369"/>
        <v>-1000</v>
      </c>
      <c r="AG686" s="132">
        <f t="shared" si="1369"/>
        <v>-1000</v>
      </c>
      <c r="AH686" s="132">
        <f t="shared" si="1369"/>
        <v>-1000</v>
      </c>
      <c r="AI686" s="132">
        <f t="shared" si="1369"/>
        <v>-1000</v>
      </c>
      <c r="AJ686" s="132">
        <f t="shared" si="1369"/>
        <v>-900</v>
      </c>
      <c r="AK686" s="132">
        <f t="shared" si="1369"/>
        <v>-1000</v>
      </c>
      <c r="AL686" s="132">
        <f t="shared" si="1369"/>
        <v>-1000</v>
      </c>
      <c r="AM686" s="132">
        <f t="shared" si="1369"/>
        <v>-1000</v>
      </c>
      <c r="AN686" s="132">
        <f t="shared" si="1369"/>
        <v>-1000</v>
      </c>
      <c r="AO686" s="132">
        <f t="shared" si="1369"/>
        <v>-1000</v>
      </c>
      <c r="AP686" s="132">
        <f t="shared" si="1369"/>
        <v>-1000</v>
      </c>
      <c r="AQ686" s="132">
        <f t="shared" si="1369"/>
        <v>-1000</v>
      </c>
      <c r="AR686" s="132">
        <f t="shared" si="1369"/>
        <v>-1000</v>
      </c>
      <c r="AS686" s="132">
        <f t="shared" si="1369"/>
        <v>-1000</v>
      </c>
    </row>
    <row r="687">
      <c r="A687" s="132" t="s">
        <v>4189</v>
      </c>
      <c r="B687" s="132">
        <v>200.0</v>
      </c>
      <c r="C687" s="132">
        <v>0.0</v>
      </c>
      <c r="D687" s="132">
        <v>0.0</v>
      </c>
      <c r="E687" s="132">
        <v>0.0</v>
      </c>
      <c r="F687" s="132">
        <v>0.0</v>
      </c>
      <c r="G687" s="132">
        <v>0.0</v>
      </c>
      <c r="H687" s="132">
        <v>0.0</v>
      </c>
      <c r="I687" s="132">
        <v>0.0</v>
      </c>
      <c r="J687" s="132">
        <v>0.0</v>
      </c>
      <c r="K687" s="132">
        <v>0.0</v>
      </c>
      <c r="L687" s="132">
        <v>0.0</v>
      </c>
      <c r="M687" s="132">
        <v>200.0</v>
      </c>
      <c r="N687" s="132">
        <v>0.0</v>
      </c>
      <c r="O687" s="132">
        <v>0.0</v>
      </c>
      <c r="P687" s="132">
        <v>0.0</v>
      </c>
      <c r="Q687" s="132">
        <v>0.0</v>
      </c>
      <c r="R687" s="132">
        <v>0.0</v>
      </c>
      <c r="S687" s="132">
        <v>0.0</v>
      </c>
      <c r="T687" s="132">
        <v>0.0</v>
      </c>
      <c r="U687" s="132">
        <v>0.0</v>
      </c>
      <c r="V687" s="132">
        <v>0.0</v>
      </c>
      <c r="W687" s="132">
        <v>0.0</v>
      </c>
      <c r="Y687" s="132" t="s">
        <v>4189</v>
      </c>
      <c r="Z687" s="132">
        <f t="shared" ref="Z687:AC687" si="1370">C687-1000</f>
        <v>-1000</v>
      </c>
      <c r="AA687" s="132">
        <f t="shared" si="1370"/>
        <v>-1000</v>
      </c>
      <c r="AB687" s="132">
        <f t="shared" si="1370"/>
        <v>-1000</v>
      </c>
      <c r="AC687" s="132">
        <f t="shared" si="1370"/>
        <v>-1000</v>
      </c>
      <c r="AD687" s="132">
        <f t="shared" si="4"/>
        <v>-10000</v>
      </c>
      <c r="AE687" s="132">
        <f t="shared" ref="AE687:AS687" si="1371">H687-1000</f>
        <v>-1000</v>
      </c>
      <c r="AF687" s="132">
        <f t="shared" si="1371"/>
        <v>-1000</v>
      </c>
      <c r="AG687" s="132">
        <f t="shared" si="1371"/>
        <v>-1000</v>
      </c>
      <c r="AH687" s="132">
        <f t="shared" si="1371"/>
        <v>-1000</v>
      </c>
      <c r="AI687" s="132">
        <f t="shared" si="1371"/>
        <v>-1000</v>
      </c>
      <c r="AJ687" s="132">
        <f t="shared" si="1371"/>
        <v>-800</v>
      </c>
      <c r="AK687" s="132">
        <f t="shared" si="1371"/>
        <v>-1000</v>
      </c>
      <c r="AL687" s="132">
        <f t="shared" si="1371"/>
        <v>-1000</v>
      </c>
      <c r="AM687" s="132">
        <f t="shared" si="1371"/>
        <v>-1000</v>
      </c>
      <c r="AN687" s="132">
        <f t="shared" si="1371"/>
        <v>-1000</v>
      </c>
      <c r="AO687" s="132">
        <f t="shared" si="1371"/>
        <v>-1000</v>
      </c>
      <c r="AP687" s="132">
        <f t="shared" si="1371"/>
        <v>-1000</v>
      </c>
      <c r="AQ687" s="132">
        <f t="shared" si="1371"/>
        <v>-1000</v>
      </c>
      <c r="AR687" s="132">
        <f t="shared" si="1371"/>
        <v>-1000</v>
      </c>
      <c r="AS687" s="132">
        <f t="shared" si="1371"/>
        <v>-1000</v>
      </c>
    </row>
    <row r="688">
      <c r="A688" s="132" t="s">
        <v>4190</v>
      </c>
      <c r="B688" s="132">
        <v>100.0</v>
      </c>
      <c r="C688" s="132">
        <v>0.0</v>
      </c>
      <c r="D688" s="132">
        <v>0.0</v>
      </c>
      <c r="E688" s="132">
        <v>0.0</v>
      </c>
      <c r="F688" s="132">
        <v>0.0</v>
      </c>
      <c r="G688" s="132">
        <v>0.0</v>
      </c>
      <c r="H688" s="132">
        <v>0.0</v>
      </c>
      <c r="I688" s="132">
        <v>0.0</v>
      </c>
      <c r="J688" s="132">
        <v>0.0</v>
      </c>
      <c r="K688" s="132">
        <v>0.0</v>
      </c>
      <c r="L688" s="132">
        <v>0.0</v>
      </c>
      <c r="M688" s="132">
        <v>100.0</v>
      </c>
      <c r="N688" s="132">
        <v>0.0</v>
      </c>
      <c r="O688" s="132">
        <v>0.0</v>
      </c>
      <c r="P688" s="132">
        <v>0.0</v>
      </c>
      <c r="Q688" s="132">
        <v>0.0</v>
      </c>
      <c r="R688" s="132">
        <v>0.0</v>
      </c>
      <c r="S688" s="132">
        <v>0.0</v>
      </c>
      <c r="T688" s="132">
        <v>0.0</v>
      </c>
      <c r="U688" s="132">
        <v>0.0</v>
      </c>
      <c r="V688" s="132">
        <v>0.0</v>
      </c>
      <c r="W688" s="132">
        <v>0.0</v>
      </c>
      <c r="Y688" s="132" t="s">
        <v>4190</v>
      </c>
      <c r="Z688" s="132">
        <f t="shared" ref="Z688:AC688" si="1372">C688-1000</f>
        <v>-1000</v>
      </c>
      <c r="AA688" s="132">
        <f t="shared" si="1372"/>
        <v>-1000</v>
      </c>
      <c r="AB688" s="132">
        <f t="shared" si="1372"/>
        <v>-1000</v>
      </c>
      <c r="AC688" s="132">
        <f t="shared" si="1372"/>
        <v>-1000</v>
      </c>
      <c r="AD688" s="132">
        <f t="shared" si="4"/>
        <v>-10000</v>
      </c>
      <c r="AE688" s="132">
        <f t="shared" ref="AE688:AS688" si="1373">H688-1000</f>
        <v>-1000</v>
      </c>
      <c r="AF688" s="132">
        <f t="shared" si="1373"/>
        <v>-1000</v>
      </c>
      <c r="AG688" s="132">
        <f t="shared" si="1373"/>
        <v>-1000</v>
      </c>
      <c r="AH688" s="132">
        <f t="shared" si="1373"/>
        <v>-1000</v>
      </c>
      <c r="AI688" s="132">
        <f t="shared" si="1373"/>
        <v>-1000</v>
      </c>
      <c r="AJ688" s="132">
        <f t="shared" si="1373"/>
        <v>-900</v>
      </c>
      <c r="AK688" s="132">
        <f t="shared" si="1373"/>
        <v>-1000</v>
      </c>
      <c r="AL688" s="132">
        <f t="shared" si="1373"/>
        <v>-1000</v>
      </c>
      <c r="AM688" s="132">
        <f t="shared" si="1373"/>
        <v>-1000</v>
      </c>
      <c r="AN688" s="132">
        <f t="shared" si="1373"/>
        <v>-1000</v>
      </c>
      <c r="AO688" s="132">
        <f t="shared" si="1373"/>
        <v>-1000</v>
      </c>
      <c r="AP688" s="132">
        <f t="shared" si="1373"/>
        <v>-1000</v>
      </c>
      <c r="AQ688" s="132">
        <f t="shared" si="1373"/>
        <v>-1000</v>
      </c>
      <c r="AR688" s="132">
        <f t="shared" si="1373"/>
        <v>-1000</v>
      </c>
      <c r="AS688" s="132">
        <f t="shared" si="1373"/>
        <v>-1000</v>
      </c>
    </row>
    <row r="689">
      <c r="A689" s="132" t="s">
        <v>4191</v>
      </c>
      <c r="B689" s="132">
        <v>18.0</v>
      </c>
      <c r="C689" s="132">
        <v>0.0</v>
      </c>
      <c r="D689" s="132">
        <v>0.0</v>
      </c>
      <c r="E689" s="132">
        <v>0.0</v>
      </c>
      <c r="F689" s="132">
        <v>0.0</v>
      </c>
      <c r="G689" s="132">
        <v>0.0</v>
      </c>
      <c r="H689" s="132">
        <v>0.0</v>
      </c>
      <c r="I689" s="132">
        <v>0.0</v>
      </c>
      <c r="J689" s="132">
        <v>0.0</v>
      </c>
      <c r="K689" s="132">
        <v>0.0</v>
      </c>
      <c r="L689" s="132">
        <v>0.0</v>
      </c>
      <c r="M689" s="132">
        <v>18.0</v>
      </c>
      <c r="N689" s="132">
        <v>0.0</v>
      </c>
      <c r="O689" s="132">
        <v>0.0</v>
      </c>
      <c r="P689" s="132">
        <v>0.0</v>
      </c>
      <c r="Q689" s="132">
        <v>0.0</v>
      </c>
      <c r="R689" s="132">
        <v>0.0</v>
      </c>
      <c r="S689" s="132">
        <v>0.0</v>
      </c>
      <c r="T689" s="132">
        <v>0.0</v>
      </c>
      <c r="U689" s="132">
        <v>0.0</v>
      </c>
      <c r="V689" s="132">
        <v>0.0</v>
      </c>
      <c r="W689" s="132">
        <v>0.0</v>
      </c>
      <c r="Y689" s="132" t="s">
        <v>4191</v>
      </c>
      <c r="Z689" s="132">
        <f t="shared" ref="Z689:AC689" si="1374">C689-1000</f>
        <v>-1000</v>
      </c>
      <c r="AA689" s="132">
        <f t="shared" si="1374"/>
        <v>-1000</v>
      </c>
      <c r="AB689" s="132">
        <f t="shared" si="1374"/>
        <v>-1000</v>
      </c>
      <c r="AC689" s="132">
        <f t="shared" si="1374"/>
        <v>-1000</v>
      </c>
      <c r="AD689" s="132">
        <f t="shared" si="4"/>
        <v>-10000</v>
      </c>
      <c r="AE689" s="132">
        <f t="shared" ref="AE689:AS689" si="1375">H689-1000</f>
        <v>-1000</v>
      </c>
      <c r="AF689" s="132">
        <f t="shared" si="1375"/>
        <v>-1000</v>
      </c>
      <c r="AG689" s="132">
        <f t="shared" si="1375"/>
        <v>-1000</v>
      </c>
      <c r="AH689" s="132">
        <f t="shared" si="1375"/>
        <v>-1000</v>
      </c>
      <c r="AI689" s="132">
        <f t="shared" si="1375"/>
        <v>-1000</v>
      </c>
      <c r="AJ689" s="132">
        <f t="shared" si="1375"/>
        <v>-982</v>
      </c>
      <c r="AK689" s="132">
        <f t="shared" si="1375"/>
        <v>-1000</v>
      </c>
      <c r="AL689" s="132">
        <f t="shared" si="1375"/>
        <v>-1000</v>
      </c>
      <c r="AM689" s="132">
        <f t="shared" si="1375"/>
        <v>-1000</v>
      </c>
      <c r="AN689" s="132">
        <f t="shared" si="1375"/>
        <v>-1000</v>
      </c>
      <c r="AO689" s="132">
        <f t="shared" si="1375"/>
        <v>-1000</v>
      </c>
      <c r="AP689" s="132">
        <f t="shared" si="1375"/>
        <v>-1000</v>
      </c>
      <c r="AQ689" s="132">
        <f t="shared" si="1375"/>
        <v>-1000</v>
      </c>
      <c r="AR689" s="132">
        <f t="shared" si="1375"/>
        <v>-1000</v>
      </c>
      <c r="AS689" s="132">
        <f t="shared" si="1375"/>
        <v>-1000</v>
      </c>
    </row>
    <row r="690">
      <c r="A690" s="132" t="s">
        <v>4192</v>
      </c>
      <c r="B690" s="132">
        <v>100.0</v>
      </c>
      <c r="C690" s="132">
        <v>0.0</v>
      </c>
      <c r="D690" s="132">
        <v>0.0</v>
      </c>
      <c r="E690" s="132">
        <v>0.0</v>
      </c>
      <c r="F690" s="132">
        <v>0.0</v>
      </c>
      <c r="G690" s="132">
        <v>0.0</v>
      </c>
      <c r="H690" s="132">
        <v>0.0</v>
      </c>
      <c r="I690" s="132">
        <v>0.0</v>
      </c>
      <c r="J690" s="132">
        <v>0.0</v>
      </c>
      <c r="K690" s="132">
        <v>0.0</v>
      </c>
      <c r="L690" s="132">
        <v>0.0</v>
      </c>
      <c r="M690" s="132">
        <v>100.0</v>
      </c>
      <c r="N690" s="132">
        <v>0.0</v>
      </c>
      <c r="O690" s="132">
        <v>0.0</v>
      </c>
      <c r="P690" s="132">
        <v>0.0</v>
      </c>
      <c r="Q690" s="132">
        <v>0.0</v>
      </c>
      <c r="R690" s="132">
        <v>0.0</v>
      </c>
      <c r="S690" s="132">
        <v>0.0</v>
      </c>
      <c r="T690" s="132">
        <v>0.0</v>
      </c>
      <c r="U690" s="132">
        <v>0.0</v>
      </c>
      <c r="V690" s="132">
        <v>0.0</v>
      </c>
      <c r="W690" s="132">
        <v>0.0</v>
      </c>
      <c r="Y690" s="132" t="s">
        <v>4192</v>
      </c>
      <c r="Z690" s="132">
        <f t="shared" ref="Z690:AC690" si="1376">C690-1000</f>
        <v>-1000</v>
      </c>
      <c r="AA690" s="132">
        <f t="shared" si="1376"/>
        <v>-1000</v>
      </c>
      <c r="AB690" s="132">
        <f t="shared" si="1376"/>
        <v>-1000</v>
      </c>
      <c r="AC690" s="132">
        <f t="shared" si="1376"/>
        <v>-1000</v>
      </c>
      <c r="AD690" s="132">
        <f t="shared" si="4"/>
        <v>-10000</v>
      </c>
      <c r="AE690" s="132">
        <f t="shared" ref="AE690:AS690" si="1377">H690-1000</f>
        <v>-1000</v>
      </c>
      <c r="AF690" s="132">
        <f t="shared" si="1377"/>
        <v>-1000</v>
      </c>
      <c r="AG690" s="132">
        <f t="shared" si="1377"/>
        <v>-1000</v>
      </c>
      <c r="AH690" s="132">
        <f t="shared" si="1377"/>
        <v>-1000</v>
      </c>
      <c r="AI690" s="132">
        <f t="shared" si="1377"/>
        <v>-1000</v>
      </c>
      <c r="AJ690" s="132">
        <f t="shared" si="1377"/>
        <v>-900</v>
      </c>
      <c r="AK690" s="132">
        <f t="shared" si="1377"/>
        <v>-1000</v>
      </c>
      <c r="AL690" s="132">
        <f t="shared" si="1377"/>
        <v>-1000</v>
      </c>
      <c r="AM690" s="132">
        <f t="shared" si="1377"/>
        <v>-1000</v>
      </c>
      <c r="AN690" s="132">
        <f t="shared" si="1377"/>
        <v>-1000</v>
      </c>
      <c r="AO690" s="132">
        <f t="shared" si="1377"/>
        <v>-1000</v>
      </c>
      <c r="AP690" s="132">
        <f t="shared" si="1377"/>
        <v>-1000</v>
      </c>
      <c r="AQ690" s="132">
        <f t="shared" si="1377"/>
        <v>-1000</v>
      </c>
      <c r="AR690" s="132">
        <f t="shared" si="1377"/>
        <v>-1000</v>
      </c>
      <c r="AS690" s="132">
        <f t="shared" si="1377"/>
        <v>-1000</v>
      </c>
    </row>
    <row r="691">
      <c r="A691" s="132" t="s">
        <v>4193</v>
      </c>
      <c r="B691" s="132">
        <v>500.0</v>
      </c>
      <c r="C691" s="132">
        <v>0.0</v>
      </c>
      <c r="D691" s="132">
        <v>0.0</v>
      </c>
      <c r="E691" s="132">
        <v>0.0</v>
      </c>
      <c r="F691" s="132">
        <v>0.0</v>
      </c>
      <c r="G691" s="132">
        <v>0.0</v>
      </c>
      <c r="H691" s="132">
        <v>0.0</v>
      </c>
      <c r="I691" s="132">
        <v>0.0</v>
      </c>
      <c r="J691" s="132">
        <v>0.0</v>
      </c>
      <c r="K691" s="132">
        <v>0.0</v>
      </c>
      <c r="L691" s="132">
        <v>0.0</v>
      </c>
      <c r="M691" s="132">
        <v>500.0</v>
      </c>
      <c r="N691" s="132">
        <v>0.0</v>
      </c>
      <c r="O691" s="132">
        <v>0.0</v>
      </c>
      <c r="P691" s="132">
        <v>0.0</v>
      </c>
      <c r="Q691" s="132">
        <v>0.0</v>
      </c>
      <c r="R691" s="132">
        <v>0.0</v>
      </c>
      <c r="S691" s="132">
        <v>0.0</v>
      </c>
      <c r="T691" s="132">
        <v>0.0</v>
      </c>
      <c r="U691" s="132">
        <v>0.0</v>
      </c>
      <c r="V691" s="132">
        <v>0.0</v>
      </c>
      <c r="W691" s="132">
        <v>0.0</v>
      </c>
      <c r="Y691" s="132" t="s">
        <v>4193</v>
      </c>
      <c r="Z691" s="132">
        <f t="shared" ref="Z691:AC691" si="1378">C691-1000</f>
        <v>-1000</v>
      </c>
      <c r="AA691" s="132">
        <f t="shared" si="1378"/>
        <v>-1000</v>
      </c>
      <c r="AB691" s="132">
        <f t="shared" si="1378"/>
        <v>-1000</v>
      </c>
      <c r="AC691" s="132">
        <f t="shared" si="1378"/>
        <v>-1000</v>
      </c>
      <c r="AD691" s="132">
        <f t="shared" si="4"/>
        <v>-10000</v>
      </c>
      <c r="AE691" s="132">
        <f t="shared" ref="AE691:AS691" si="1379">H691-1000</f>
        <v>-1000</v>
      </c>
      <c r="AF691" s="132">
        <f t="shared" si="1379"/>
        <v>-1000</v>
      </c>
      <c r="AG691" s="132">
        <f t="shared" si="1379"/>
        <v>-1000</v>
      </c>
      <c r="AH691" s="132">
        <f t="shared" si="1379"/>
        <v>-1000</v>
      </c>
      <c r="AI691" s="132">
        <f t="shared" si="1379"/>
        <v>-1000</v>
      </c>
      <c r="AJ691" s="132">
        <f t="shared" si="1379"/>
        <v>-500</v>
      </c>
      <c r="AK691" s="132">
        <f t="shared" si="1379"/>
        <v>-1000</v>
      </c>
      <c r="AL691" s="132">
        <f t="shared" si="1379"/>
        <v>-1000</v>
      </c>
      <c r="AM691" s="132">
        <f t="shared" si="1379"/>
        <v>-1000</v>
      </c>
      <c r="AN691" s="132">
        <f t="shared" si="1379"/>
        <v>-1000</v>
      </c>
      <c r="AO691" s="132">
        <f t="shared" si="1379"/>
        <v>-1000</v>
      </c>
      <c r="AP691" s="132">
        <f t="shared" si="1379"/>
        <v>-1000</v>
      </c>
      <c r="AQ691" s="132">
        <f t="shared" si="1379"/>
        <v>-1000</v>
      </c>
      <c r="AR691" s="132">
        <f t="shared" si="1379"/>
        <v>-1000</v>
      </c>
      <c r="AS691" s="132">
        <f t="shared" si="1379"/>
        <v>-1000</v>
      </c>
    </row>
    <row r="692">
      <c r="A692" s="132" t="s">
        <v>4194</v>
      </c>
      <c r="B692" s="132">
        <v>500.0</v>
      </c>
      <c r="C692" s="132">
        <v>0.0</v>
      </c>
      <c r="D692" s="132">
        <v>0.0</v>
      </c>
      <c r="E692" s="132">
        <v>0.0</v>
      </c>
      <c r="F692" s="132">
        <v>0.0</v>
      </c>
      <c r="G692" s="132">
        <v>0.0</v>
      </c>
      <c r="H692" s="132">
        <v>0.0</v>
      </c>
      <c r="I692" s="132">
        <v>0.0</v>
      </c>
      <c r="J692" s="132">
        <v>0.0</v>
      </c>
      <c r="K692" s="132">
        <v>0.0</v>
      </c>
      <c r="L692" s="132">
        <v>0.0</v>
      </c>
      <c r="M692" s="132">
        <v>500.0</v>
      </c>
      <c r="N692" s="132">
        <v>0.0</v>
      </c>
      <c r="O692" s="132">
        <v>0.0</v>
      </c>
      <c r="P692" s="132">
        <v>0.0</v>
      </c>
      <c r="Q692" s="132">
        <v>0.0</v>
      </c>
      <c r="R692" s="132">
        <v>0.0</v>
      </c>
      <c r="S692" s="132">
        <v>0.0</v>
      </c>
      <c r="T692" s="132">
        <v>0.0</v>
      </c>
      <c r="U692" s="132">
        <v>0.0</v>
      </c>
      <c r="V692" s="132">
        <v>0.0</v>
      </c>
      <c r="W692" s="132">
        <v>0.0</v>
      </c>
      <c r="Y692" s="132" t="s">
        <v>4194</v>
      </c>
      <c r="Z692" s="132">
        <f t="shared" ref="Z692:AC692" si="1380">C692-1000</f>
        <v>-1000</v>
      </c>
      <c r="AA692" s="132">
        <f t="shared" si="1380"/>
        <v>-1000</v>
      </c>
      <c r="AB692" s="132">
        <f t="shared" si="1380"/>
        <v>-1000</v>
      </c>
      <c r="AC692" s="132">
        <f t="shared" si="1380"/>
        <v>-1000</v>
      </c>
      <c r="AD692" s="132">
        <f t="shared" si="4"/>
        <v>-10000</v>
      </c>
      <c r="AE692" s="132">
        <f t="shared" ref="AE692:AS692" si="1381">H692-1000</f>
        <v>-1000</v>
      </c>
      <c r="AF692" s="132">
        <f t="shared" si="1381"/>
        <v>-1000</v>
      </c>
      <c r="AG692" s="132">
        <f t="shared" si="1381"/>
        <v>-1000</v>
      </c>
      <c r="AH692" s="132">
        <f t="shared" si="1381"/>
        <v>-1000</v>
      </c>
      <c r="AI692" s="132">
        <f t="shared" si="1381"/>
        <v>-1000</v>
      </c>
      <c r="AJ692" s="132">
        <f t="shared" si="1381"/>
        <v>-500</v>
      </c>
      <c r="AK692" s="132">
        <f t="shared" si="1381"/>
        <v>-1000</v>
      </c>
      <c r="AL692" s="132">
        <f t="shared" si="1381"/>
        <v>-1000</v>
      </c>
      <c r="AM692" s="132">
        <f t="shared" si="1381"/>
        <v>-1000</v>
      </c>
      <c r="AN692" s="132">
        <f t="shared" si="1381"/>
        <v>-1000</v>
      </c>
      <c r="AO692" s="132">
        <f t="shared" si="1381"/>
        <v>-1000</v>
      </c>
      <c r="AP692" s="132">
        <f t="shared" si="1381"/>
        <v>-1000</v>
      </c>
      <c r="AQ692" s="132">
        <f t="shared" si="1381"/>
        <v>-1000</v>
      </c>
      <c r="AR692" s="132">
        <f t="shared" si="1381"/>
        <v>-1000</v>
      </c>
      <c r="AS692" s="132">
        <f t="shared" si="1381"/>
        <v>-1000</v>
      </c>
    </row>
    <row r="693">
      <c r="A693" s="132" t="s">
        <v>4195</v>
      </c>
      <c r="B693" s="132">
        <v>100.0</v>
      </c>
      <c r="C693" s="132">
        <v>0.0</v>
      </c>
      <c r="D693" s="132">
        <v>0.0</v>
      </c>
      <c r="E693" s="132">
        <v>0.0</v>
      </c>
      <c r="F693" s="132">
        <v>0.0</v>
      </c>
      <c r="G693" s="132">
        <v>0.0</v>
      </c>
      <c r="H693" s="132">
        <v>0.0</v>
      </c>
      <c r="I693" s="132">
        <v>0.0</v>
      </c>
      <c r="J693" s="132">
        <v>0.0</v>
      </c>
      <c r="K693" s="132">
        <v>0.0</v>
      </c>
      <c r="L693" s="132">
        <v>0.0</v>
      </c>
      <c r="M693" s="132">
        <v>100.0</v>
      </c>
      <c r="N693" s="132">
        <v>0.0</v>
      </c>
      <c r="O693" s="132">
        <v>0.0</v>
      </c>
      <c r="P693" s="132">
        <v>0.0</v>
      </c>
      <c r="Q693" s="132">
        <v>0.0</v>
      </c>
      <c r="R693" s="132">
        <v>0.0</v>
      </c>
      <c r="S693" s="132">
        <v>0.0</v>
      </c>
      <c r="T693" s="132">
        <v>0.0</v>
      </c>
      <c r="U693" s="132">
        <v>0.0</v>
      </c>
      <c r="V693" s="132">
        <v>0.0</v>
      </c>
      <c r="W693" s="132">
        <v>0.0</v>
      </c>
      <c r="Y693" s="132" t="s">
        <v>4195</v>
      </c>
      <c r="Z693" s="132">
        <f t="shared" ref="Z693:AC693" si="1382">C693-1000</f>
        <v>-1000</v>
      </c>
      <c r="AA693" s="132">
        <f t="shared" si="1382"/>
        <v>-1000</v>
      </c>
      <c r="AB693" s="132">
        <f t="shared" si="1382"/>
        <v>-1000</v>
      </c>
      <c r="AC693" s="132">
        <f t="shared" si="1382"/>
        <v>-1000</v>
      </c>
      <c r="AD693" s="132">
        <f t="shared" si="4"/>
        <v>-10000</v>
      </c>
      <c r="AE693" s="132">
        <f t="shared" ref="AE693:AS693" si="1383">H693-1000</f>
        <v>-1000</v>
      </c>
      <c r="AF693" s="132">
        <f t="shared" si="1383"/>
        <v>-1000</v>
      </c>
      <c r="AG693" s="132">
        <f t="shared" si="1383"/>
        <v>-1000</v>
      </c>
      <c r="AH693" s="132">
        <f t="shared" si="1383"/>
        <v>-1000</v>
      </c>
      <c r="AI693" s="132">
        <f t="shared" si="1383"/>
        <v>-1000</v>
      </c>
      <c r="AJ693" s="132">
        <f t="shared" si="1383"/>
        <v>-900</v>
      </c>
      <c r="AK693" s="132">
        <f t="shared" si="1383"/>
        <v>-1000</v>
      </c>
      <c r="AL693" s="132">
        <f t="shared" si="1383"/>
        <v>-1000</v>
      </c>
      <c r="AM693" s="132">
        <f t="shared" si="1383"/>
        <v>-1000</v>
      </c>
      <c r="AN693" s="132">
        <f t="shared" si="1383"/>
        <v>-1000</v>
      </c>
      <c r="AO693" s="132">
        <f t="shared" si="1383"/>
        <v>-1000</v>
      </c>
      <c r="AP693" s="132">
        <f t="shared" si="1383"/>
        <v>-1000</v>
      </c>
      <c r="AQ693" s="132">
        <f t="shared" si="1383"/>
        <v>-1000</v>
      </c>
      <c r="AR693" s="132">
        <f t="shared" si="1383"/>
        <v>-1000</v>
      </c>
      <c r="AS693" s="132">
        <f t="shared" si="1383"/>
        <v>-1000</v>
      </c>
    </row>
    <row r="694">
      <c r="A694" s="132" t="s">
        <v>4196</v>
      </c>
      <c r="B694" s="132">
        <v>50.0</v>
      </c>
      <c r="C694" s="132">
        <v>0.0</v>
      </c>
      <c r="D694" s="132">
        <v>0.0</v>
      </c>
      <c r="E694" s="132">
        <v>0.0</v>
      </c>
      <c r="F694" s="132">
        <v>0.0</v>
      </c>
      <c r="G694" s="132">
        <v>0.0</v>
      </c>
      <c r="H694" s="132">
        <v>0.0</v>
      </c>
      <c r="I694" s="132">
        <v>0.0</v>
      </c>
      <c r="J694" s="132">
        <v>0.0</v>
      </c>
      <c r="K694" s="132">
        <v>0.0</v>
      </c>
      <c r="L694" s="132">
        <v>0.0</v>
      </c>
      <c r="M694" s="132">
        <v>50.0</v>
      </c>
      <c r="N694" s="132">
        <v>0.0</v>
      </c>
      <c r="O694" s="132">
        <v>0.0</v>
      </c>
      <c r="P694" s="132">
        <v>0.0</v>
      </c>
      <c r="Q694" s="132">
        <v>0.0</v>
      </c>
      <c r="R694" s="132">
        <v>0.0</v>
      </c>
      <c r="S694" s="132">
        <v>0.0</v>
      </c>
      <c r="T694" s="132">
        <v>0.0</v>
      </c>
      <c r="U694" s="132">
        <v>0.0</v>
      </c>
      <c r="V694" s="132">
        <v>0.0</v>
      </c>
      <c r="W694" s="132">
        <v>0.0</v>
      </c>
      <c r="Y694" s="132" t="s">
        <v>4196</v>
      </c>
      <c r="Z694" s="132">
        <f t="shared" ref="Z694:AC694" si="1384">C694-1000</f>
        <v>-1000</v>
      </c>
      <c r="AA694" s="132">
        <f t="shared" si="1384"/>
        <v>-1000</v>
      </c>
      <c r="AB694" s="132">
        <f t="shared" si="1384"/>
        <v>-1000</v>
      </c>
      <c r="AC694" s="132">
        <f t="shared" si="1384"/>
        <v>-1000</v>
      </c>
      <c r="AD694" s="132">
        <f t="shared" si="4"/>
        <v>-10000</v>
      </c>
      <c r="AE694" s="132">
        <f t="shared" ref="AE694:AS694" si="1385">H694-1000</f>
        <v>-1000</v>
      </c>
      <c r="AF694" s="132">
        <f t="shared" si="1385"/>
        <v>-1000</v>
      </c>
      <c r="AG694" s="132">
        <f t="shared" si="1385"/>
        <v>-1000</v>
      </c>
      <c r="AH694" s="132">
        <f t="shared" si="1385"/>
        <v>-1000</v>
      </c>
      <c r="AI694" s="132">
        <f t="shared" si="1385"/>
        <v>-1000</v>
      </c>
      <c r="AJ694" s="132">
        <f t="shared" si="1385"/>
        <v>-950</v>
      </c>
      <c r="AK694" s="132">
        <f t="shared" si="1385"/>
        <v>-1000</v>
      </c>
      <c r="AL694" s="132">
        <f t="shared" si="1385"/>
        <v>-1000</v>
      </c>
      <c r="AM694" s="132">
        <f t="shared" si="1385"/>
        <v>-1000</v>
      </c>
      <c r="AN694" s="132">
        <f t="shared" si="1385"/>
        <v>-1000</v>
      </c>
      <c r="AO694" s="132">
        <f t="shared" si="1385"/>
        <v>-1000</v>
      </c>
      <c r="AP694" s="132">
        <f t="shared" si="1385"/>
        <v>-1000</v>
      </c>
      <c r="AQ694" s="132">
        <f t="shared" si="1385"/>
        <v>-1000</v>
      </c>
      <c r="AR694" s="132">
        <f t="shared" si="1385"/>
        <v>-1000</v>
      </c>
      <c r="AS694" s="132">
        <f t="shared" si="1385"/>
        <v>-1000</v>
      </c>
    </row>
    <row r="695">
      <c r="A695" s="132" t="s">
        <v>4197</v>
      </c>
      <c r="B695" s="132">
        <v>25.0</v>
      </c>
      <c r="C695" s="132">
        <v>0.0</v>
      </c>
      <c r="D695" s="132">
        <v>0.0</v>
      </c>
      <c r="E695" s="132">
        <v>0.0</v>
      </c>
      <c r="F695" s="132">
        <v>0.0</v>
      </c>
      <c r="G695" s="132">
        <v>0.0</v>
      </c>
      <c r="H695" s="132">
        <v>0.0</v>
      </c>
      <c r="I695" s="132">
        <v>0.0</v>
      </c>
      <c r="J695" s="132">
        <v>0.0</v>
      </c>
      <c r="K695" s="132">
        <v>0.0</v>
      </c>
      <c r="L695" s="132">
        <v>0.0</v>
      </c>
      <c r="M695" s="132">
        <v>25.0</v>
      </c>
      <c r="N695" s="132">
        <v>0.0</v>
      </c>
      <c r="O695" s="132">
        <v>0.0</v>
      </c>
      <c r="P695" s="132">
        <v>0.0</v>
      </c>
      <c r="Q695" s="132">
        <v>0.0</v>
      </c>
      <c r="R695" s="132">
        <v>0.0</v>
      </c>
      <c r="S695" s="132">
        <v>0.0</v>
      </c>
      <c r="T695" s="132">
        <v>0.0</v>
      </c>
      <c r="U695" s="132">
        <v>0.0</v>
      </c>
      <c r="V695" s="132">
        <v>0.0</v>
      </c>
      <c r="W695" s="132">
        <v>0.0</v>
      </c>
      <c r="Y695" s="132" t="s">
        <v>4197</v>
      </c>
      <c r="Z695" s="132">
        <f t="shared" ref="Z695:AC695" si="1386">C695-1000</f>
        <v>-1000</v>
      </c>
      <c r="AA695" s="132">
        <f t="shared" si="1386"/>
        <v>-1000</v>
      </c>
      <c r="AB695" s="132">
        <f t="shared" si="1386"/>
        <v>-1000</v>
      </c>
      <c r="AC695" s="132">
        <f t="shared" si="1386"/>
        <v>-1000</v>
      </c>
      <c r="AD695" s="132">
        <f t="shared" si="4"/>
        <v>-10000</v>
      </c>
      <c r="AE695" s="132">
        <f t="shared" ref="AE695:AS695" si="1387">H695-1000</f>
        <v>-1000</v>
      </c>
      <c r="AF695" s="132">
        <f t="shared" si="1387"/>
        <v>-1000</v>
      </c>
      <c r="AG695" s="132">
        <f t="shared" si="1387"/>
        <v>-1000</v>
      </c>
      <c r="AH695" s="132">
        <f t="shared" si="1387"/>
        <v>-1000</v>
      </c>
      <c r="AI695" s="132">
        <f t="shared" si="1387"/>
        <v>-1000</v>
      </c>
      <c r="AJ695" s="132">
        <f t="shared" si="1387"/>
        <v>-975</v>
      </c>
      <c r="AK695" s="132">
        <f t="shared" si="1387"/>
        <v>-1000</v>
      </c>
      <c r="AL695" s="132">
        <f t="shared" si="1387"/>
        <v>-1000</v>
      </c>
      <c r="AM695" s="132">
        <f t="shared" si="1387"/>
        <v>-1000</v>
      </c>
      <c r="AN695" s="132">
        <f t="shared" si="1387"/>
        <v>-1000</v>
      </c>
      <c r="AO695" s="132">
        <f t="shared" si="1387"/>
        <v>-1000</v>
      </c>
      <c r="AP695" s="132">
        <f t="shared" si="1387"/>
        <v>-1000</v>
      </c>
      <c r="AQ695" s="132">
        <f t="shared" si="1387"/>
        <v>-1000</v>
      </c>
      <c r="AR695" s="132">
        <f t="shared" si="1387"/>
        <v>-1000</v>
      </c>
      <c r="AS695" s="132">
        <f t="shared" si="1387"/>
        <v>-1000</v>
      </c>
    </row>
    <row r="696">
      <c r="A696" s="132" t="s">
        <v>4198</v>
      </c>
      <c r="B696" s="132">
        <v>25.0</v>
      </c>
      <c r="C696" s="132">
        <v>0.0</v>
      </c>
      <c r="D696" s="132">
        <v>0.0</v>
      </c>
      <c r="E696" s="132">
        <v>0.0</v>
      </c>
      <c r="F696" s="132">
        <v>0.0</v>
      </c>
      <c r="G696" s="132">
        <v>0.0</v>
      </c>
      <c r="H696" s="132">
        <v>0.0</v>
      </c>
      <c r="I696" s="132">
        <v>0.0</v>
      </c>
      <c r="J696" s="132">
        <v>0.0</v>
      </c>
      <c r="K696" s="132">
        <v>0.0</v>
      </c>
      <c r="L696" s="132">
        <v>0.0</v>
      </c>
      <c r="M696" s="132">
        <v>25.0</v>
      </c>
      <c r="N696" s="132">
        <v>0.0</v>
      </c>
      <c r="O696" s="132">
        <v>0.0</v>
      </c>
      <c r="P696" s="132">
        <v>0.0</v>
      </c>
      <c r="Q696" s="132">
        <v>0.0</v>
      </c>
      <c r="R696" s="132">
        <v>0.0</v>
      </c>
      <c r="S696" s="132">
        <v>0.0</v>
      </c>
      <c r="T696" s="132">
        <v>0.0</v>
      </c>
      <c r="U696" s="132">
        <v>0.0</v>
      </c>
      <c r="V696" s="132">
        <v>0.0</v>
      </c>
      <c r="W696" s="132">
        <v>0.0</v>
      </c>
      <c r="Y696" s="132" t="s">
        <v>4198</v>
      </c>
      <c r="Z696" s="132">
        <f t="shared" ref="Z696:AC696" si="1388">C696-1000</f>
        <v>-1000</v>
      </c>
      <c r="AA696" s="132">
        <f t="shared" si="1388"/>
        <v>-1000</v>
      </c>
      <c r="AB696" s="132">
        <f t="shared" si="1388"/>
        <v>-1000</v>
      </c>
      <c r="AC696" s="132">
        <f t="shared" si="1388"/>
        <v>-1000</v>
      </c>
      <c r="AD696" s="132">
        <f t="shared" si="4"/>
        <v>-10000</v>
      </c>
      <c r="AE696" s="132">
        <f t="shared" ref="AE696:AS696" si="1389">H696-1000</f>
        <v>-1000</v>
      </c>
      <c r="AF696" s="132">
        <f t="shared" si="1389"/>
        <v>-1000</v>
      </c>
      <c r="AG696" s="132">
        <f t="shared" si="1389"/>
        <v>-1000</v>
      </c>
      <c r="AH696" s="132">
        <f t="shared" si="1389"/>
        <v>-1000</v>
      </c>
      <c r="AI696" s="132">
        <f t="shared" si="1389"/>
        <v>-1000</v>
      </c>
      <c r="AJ696" s="132">
        <f t="shared" si="1389"/>
        <v>-975</v>
      </c>
      <c r="AK696" s="132">
        <f t="shared" si="1389"/>
        <v>-1000</v>
      </c>
      <c r="AL696" s="132">
        <f t="shared" si="1389"/>
        <v>-1000</v>
      </c>
      <c r="AM696" s="132">
        <f t="shared" si="1389"/>
        <v>-1000</v>
      </c>
      <c r="AN696" s="132">
        <f t="shared" si="1389"/>
        <v>-1000</v>
      </c>
      <c r="AO696" s="132">
        <f t="shared" si="1389"/>
        <v>-1000</v>
      </c>
      <c r="AP696" s="132">
        <f t="shared" si="1389"/>
        <v>-1000</v>
      </c>
      <c r="AQ696" s="132">
        <f t="shared" si="1389"/>
        <v>-1000</v>
      </c>
      <c r="AR696" s="132">
        <f t="shared" si="1389"/>
        <v>-1000</v>
      </c>
      <c r="AS696" s="132">
        <f t="shared" si="1389"/>
        <v>-1000</v>
      </c>
    </row>
    <row r="697">
      <c r="A697" s="132" t="s">
        <v>4199</v>
      </c>
      <c r="B697" s="132">
        <v>100.0</v>
      </c>
      <c r="C697" s="132">
        <v>0.0</v>
      </c>
      <c r="D697" s="132">
        <v>0.0</v>
      </c>
      <c r="E697" s="132">
        <v>0.0</v>
      </c>
      <c r="F697" s="132">
        <v>0.0</v>
      </c>
      <c r="G697" s="132">
        <v>0.0</v>
      </c>
      <c r="H697" s="132">
        <v>0.0</v>
      </c>
      <c r="I697" s="132">
        <v>0.0</v>
      </c>
      <c r="J697" s="132">
        <v>0.0</v>
      </c>
      <c r="K697" s="132">
        <v>0.0</v>
      </c>
      <c r="L697" s="132">
        <v>0.0</v>
      </c>
      <c r="M697" s="132">
        <v>100.0</v>
      </c>
      <c r="N697" s="132">
        <v>0.0</v>
      </c>
      <c r="O697" s="132">
        <v>0.0</v>
      </c>
      <c r="P697" s="132">
        <v>0.0</v>
      </c>
      <c r="Q697" s="132">
        <v>0.0</v>
      </c>
      <c r="R697" s="132">
        <v>0.0</v>
      </c>
      <c r="S697" s="132">
        <v>0.0</v>
      </c>
      <c r="T697" s="132">
        <v>0.0</v>
      </c>
      <c r="U697" s="132">
        <v>0.0</v>
      </c>
      <c r="V697" s="132">
        <v>0.0</v>
      </c>
      <c r="W697" s="132">
        <v>0.0</v>
      </c>
      <c r="Y697" s="132" t="s">
        <v>4199</v>
      </c>
      <c r="Z697" s="132">
        <f t="shared" ref="Z697:AC697" si="1390">C697-1000</f>
        <v>-1000</v>
      </c>
      <c r="AA697" s="132">
        <f t="shared" si="1390"/>
        <v>-1000</v>
      </c>
      <c r="AB697" s="132">
        <f t="shared" si="1390"/>
        <v>-1000</v>
      </c>
      <c r="AC697" s="132">
        <f t="shared" si="1390"/>
        <v>-1000</v>
      </c>
      <c r="AD697" s="132">
        <f t="shared" si="4"/>
        <v>-10000</v>
      </c>
      <c r="AE697" s="132">
        <f t="shared" ref="AE697:AS697" si="1391">H697-1000</f>
        <v>-1000</v>
      </c>
      <c r="AF697" s="132">
        <f t="shared" si="1391"/>
        <v>-1000</v>
      </c>
      <c r="AG697" s="132">
        <f t="shared" si="1391"/>
        <v>-1000</v>
      </c>
      <c r="AH697" s="132">
        <f t="shared" si="1391"/>
        <v>-1000</v>
      </c>
      <c r="AI697" s="132">
        <f t="shared" si="1391"/>
        <v>-1000</v>
      </c>
      <c r="AJ697" s="132">
        <f t="shared" si="1391"/>
        <v>-900</v>
      </c>
      <c r="AK697" s="132">
        <f t="shared" si="1391"/>
        <v>-1000</v>
      </c>
      <c r="AL697" s="132">
        <f t="shared" si="1391"/>
        <v>-1000</v>
      </c>
      <c r="AM697" s="132">
        <f t="shared" si="1391"/>
        <v>-1000</v>
      </c>
      <c r="AN697" s="132">
        <f t="shared" si="1391"/>
        <v>-1000</v>
      </c>
      <c r="AO697" s="132">
        <f t="shared" si="1391"/>
        <v>-1000</v>
      </c>
      <c r="AP697" s="132">
        <f t="shared" si="1391"/>
        <v>-1000</v>
      </c>
      <c r="AQ697" s="132">
        <f t="shared" si="1391"/>
        <v>-1000</v>
      </c>
      <c r="AR697" s="132">
        <f t="shared" si="1391"/>
        <v>-1000</v>
      </c>
      <c r="AS697" s="132">
        <f t="shared" si="1391"/>
        <v>-1000</v>
      </c>
    </row>
    <row r="698">
      <c r="A698" s="132" t="s">
        <v>4200</v>
      </c>
      <c r="B698" s="132">
        <v>100.0</v>
      </c>
      <c r="C698" s="132">
        <v>0.0</v>
      </c>
      <c r="D698" s="132">
        <v>0.0</v>
      </c>
      <c r="E698" s="132">
        <v>0.0</v>
      </c>
      <c r="F698" s="132">
        <v>0.0</v>
      </c>
      <c r="G698" s="132">
        <v>0.0</v>
      </c>
      <c r="H698" s="132">
        <v>0.0</v>
      </c>
      <c r="I698" s="132">
        <v>0.0</v>
      </c>
      <c r="J698" s="132">
        <v>0.0</v>
      </c>
      <c r="K698" s="132">
        <v>0.0</v>
      </c>
      <c r="L698" s="132">
        <v>0.0</v>
      </c>
      <c r="M698" s="132">
        <v>100.0</v>
      </c>
      <c r="N698" s="132">
        <v>0.0</v>
      </c>
      <c r="O698" s="132">
        <v>0.0</v>
      </c>
      <c r="P698" s="132">
        <v>0.0</v>
      </c>
      <c r="Q698" s="132">
        <v>0.0</v>
      </c>
      <c r="R698" s="132">
        <v>0.0</v>
      </c>
      <c r="S698" s="132">
        <v>0.0</v>
      </c>
      <c r="T698" s="132">
        <v>0.0</v>
      </c>
      <c r="U698" s="132">
        <v>0.0</v>
      </c>
      <c r="V698" s="132">
        <v>0.0</v>
      </c>
      <c r="W698" s="132">
        <v>0.0</v>
      </c>
      <c r="Y698" s="132" t="s">
        <v>4200</v>
      </c>
      <c r="Z698" s="132">
        <f t="shared" ref="Z698:AC698" si="1392">C698-1000</f>
        <v>-1000</v>
      </c>
      <c r="AA698" s="132">
        <f t="shared" si="1392"/>
        <v>-1000</v>
      </c>
      <c r="AB698" s="132">
        <f t="shared" si="1392"/>
        <v>-1000</v>
      </c>
      <c r="AC698" s="132">
        <f t="shared" si="1392"/>
        <v>-1000</v>
      </c>
      <c r="AD698" s="132">
        <f t="shared" si="4"/>
        <v>-10000</v>
      </c>
      <c r="AE698" s="132">
        <f t="shared" ref="AE698:AS698" si="1393">H698-1000</f>
        <v>-1000</v>
      </c>
      <c r="AF698" s="132">
        <f t="shared" si="1393"/>
        <v>-1000</v>
      </c>
      <c r="AG698" s="132">
        <f t="shared" si="1393"/>
        <v>-1000</v>
      </c>
      <c r="AH698" s="132">
        <f t="shared" si="1393"/>
        <v>-1000</v>
      </c>
      <c r="AI698" s="132">
        <f t="shared" si="1393"/>
        <v>-1000</v>
      </c>
      <c r="AJ698" s="132">
        <f t="shared" si="1393"/>
        <v>-900</v>
      </c>
      <c r="AK698" s="132">
        <f t="shared" si="1393"/>
        <v>-1000</v>
      </c>
      <c r="AL698" s="132">
        <f t="shared" si="1393"/>
        <v>-1000</v>
      </c>
      <c r="AM698" s="132">
        <f t="shared" si="1393"/>
        <v>-1000</v>
      </c>
      <c r="AN698" s="132">
        <f t="shared" si="1393"/>
        <v>-1000</v>
      </c>
      <c r="AO698" s="132">
        <f t="shared" si="1393"/>
        <v>-1000</v>
      </c>
      <c r="AP698" s="132">
        <f t="shared" si="1393"/>
        <v>-1000</v>
      </c>
      <c r="AQ698" s="132">
        <f t="shared" si="1393"/>
        <v>-1000</v>
      </c>
      <c r="AR698" s="132">
        <f t="shared" si="1393"/>
        <v>-1000</v>
      </c>
      <c r="AS698" s="132">
        <f t="shared" si="1393"/>
        <v>-1000</v>
      </c>
    </row>
    <row r="699">
      <c r="A699" s="132" t="s">
        <v>4201</v>
      </c>
      <c r="B699" s="132">
        <v>1000.0</v>
      </c>
      <c r="C699" s="132">
        <v>0.0</v>
      </c>
      <c r="D699" s="132">
        <v>0.0</v>
      </c>
      <c r="E699" s="132">
        <v>0.0</v>
      </c>
      <c r="F699" s="132">
        <v>0.0</v>
      </c>
      <c r="G699" s="132">
        <v>0.0</v>
      </c>
      <c r="H699" s="132">
        <v>0.0</v>
      </c>
      <c r="I699" s="132">
        <v>0.0</v>
      </c>
      <c r="J699" s="132">
        <v>0.0</v>
      </c>
      <c r="K699" s="132">
        <v>0.0</v>
      </c>
      <c r="L699" s="132">
        <v>0.0</v>
      </c>
      <c r="M699" s="132">
        <v>1000.0</v>
      </c>
      <c r="N699" s="132">
        <v>0.0</v>
      </c>
      <c r="O699" s="132">
        <v>0.0</v>
      </c>
      <c r="P699" s="132">
        <v>0.0</v>
      </c>
      <c r="Q699" s="132">
        <v>0.0</v>
      </c>
      <c r="R699" s="132">
        <v>0.0</v>
      </c>
      <c r="S699" s="132">
        <v>0.0</v>
      </c>
      <c r="T699" s="132">
        <v>0.0</v>
      </c>
      <c r="U699" s="132">
        <v>0.0</v>
      </c>
      <c r="V699" s="132">
        <v>0.0</v>
      </c>
      <c r="W699" s="132">
        <v>0.0</v>
      </c>
      <c r="Y699" s="132" t="s">
        <v>4201</v>
      </c>
      <c r="Z699" s="132">
        <f t="shared" ref="Z699:AC699" si="1394">C699-1000</f>
        <v>-1000</v>
      </c>
      <c r="AA699" s="132">
        <f t="shared" si="1394"/>
        <v>-1000</v>
      </c>
      <c r="AB699" s="132">
        <f t="shared" si="1394"/>
        <v>-1000</v>
      </c>
      <c r="AC699" s="132">
        <f t="shared" si="1394"/>
        <v>-1000</v>
      </c>
      <c r="AD699" s="132">
        <f t="shared" si="4"/>
        <v>-10000</v>
      </c>
      <c r="AE699" s="132">
        <f t="shared" ref="AE699:AS699" si="1395">H699-1000</f>
        <v>-1000</v>
      </c>
      <c r="AF699" s="132">
        <f t="shared" si="1395"/>
        <v>-1000</v>
      </c>
      <c r="AG699" s="132">
        <f t="shared" si="1395"/>
        <v>-1000</v>
      </c>
      <c r="AH699" s="132">
        <f t="shared" si="1395"/>
        <v>-1000</v>
      </c>
      <c r="AI699" s="132">
        <f t="shared" si="1395"/>
        <v>-1000</v>
      </c>
      <c r="AJ699" s="132">
        <f t="shared" si="1395"/>
        <v>0</v>
      </c>
      <c r="AK699" s="132">
        <f t="shared" si="1395"/>
        <v>-1000</v>
      </c>
      <c r="AL699" s="132">
        <f t="shared" si="1395"/>
        <v>-1000</v>
      </c>
      <c r="AM699" s="132">
        <f t="shared" si="1395"/>
        <v>-1000</v>
      </c>
      <c r="AN699" s="132">
        <f t="shared" si="1395"/>
        <v>-1000</v>
      </c>
      <c r="AO699" s="132">
        <f t="shared" si="1395"/>
        <v>-1000</v>
      </c>
      <c r="AP699" s="132">
        <f t="shared" si="1395"/>
        <v>-1000</v>
      </c>
      <c r="AQ699" s="132">
        <f t="shared" si="1395"/>
        <v>-1000</v>
      </c>
      <c r="AR699" s="132">
        <f t="shared" si="1395"/>
        <v>-1000</v>
      </c>
      <c r="AS699" s="132">
        <f t="shared" si="1395"/>
        <v>-1000</v>
      </c>
    </row>
    <row r="700">
      <c r="A700" s="132" t="s">
        <v>4202</v>
      </c>
      <c r="B700" s="132">
        <v>100.0</v>
      </c>
      <c r="C700" s="132">
        <v>0.0</v>
      </c>
      <c r="D700" s="132">
        <v>0.0</v>
      </c>
      <c r="E700" s="132">
        <v>0.0</v>
      </c>
      <c r="F700" s="132">
        <v>0.0</v>
      </c>
      <c r="G700" s="132">
        <v>0.0</v>
      </c>
      <c r="H700" s="132">
        <v>0.0</v>
      </c>
      <c r="I700" s="132">
        <v>0.0</v>
      </c>
      <c r="J700" s="132">
        <v>0.0</v>
      </c>
      <c r="K700" s="132">
        <v>0.0</v>
      </c>
      <c r="L700" s="132">
        <v>0.0</v>
      </c>
      <c r="M700" s="132">
        <v>100.0</v>
      </c>
      <c r="N700" s="132">
        <v>0.0</v>
      </c>
      <c r="O700" s="132">
        <v>0.0</v>
      </c>
      <c r="P700" s="132">
        <v>0.0</v>
      </c>
      <c r="Q700" s="132">
        <v>0.0</v>
      </c>
      <c r="R700" s="132">
        <v>0.0</v>
      </c>
      <c r="S700" s="132">
        <v>0.0</v>
      </c>
      <c r="T700" s="132">
        <v>0.0</v>
      </c>
      <c r="U700" s="132">
        <v>0.0</v>
      </c>
      <c r="V700" s="132">
        <v>0.0</v>
      </c>
      <c r="W700" s="132">
        <v>0.0</v>
      </c>
      <c r="Y700" s="132" t="s">
        <v>4202</v>
      </c>
      <c r="Z700" s="132">
        <f t="shared" ref="Z700:AC700" si="1396">C700-1000</f>
        <v>-1000</v>
      </c>
      <c r="AA700" s="132">
        <f t="shared" si="1396"/>
        <v>-1000</v>
      </c>
      <c r="AB700" s="132">
        <f t="shared" si="1396"/>
        <v>-1000</v>
      </c>
      <c r="AC700" s="132">
        <f t="shared" si="1396"/>
        <v>-1000</v>
      </c>
      <c r="AD700" s="132">
        <f t="shared" si="4"/>
        <v>-10000</v>
      </c>
      <c r="AE700" s="132">
        <f t="shared" ref="AE700:AS700" si="1397">H700-1000</f>
        <v>-1000</v>
      </c>
      <c r="AF700" s="132">
        <f t="shared" si="1397"/>
        <v>-1000</v>
      </c>
      <c r="AG700" s="132">
        <f t="shared" si="1397"/>
        <v>-1000</v>
      </c>
      <c r="AH700" s="132">
        <f t="shared" si="1397"/>
        <v>-1000</v>
      </c>
      <c r="AI700" s="132">
        <f t="shared" si="1397"/>
        <v>-1000</v>
      </c>
      <c r="AJ700" s="132">
        <f t="shared" si="1397"/>
        <v>-900</v>
      </c>
      <c r="AK700" s="132">
        <f t="shared" si="1397"/>
        <v>-1000</v>
      </c>
      <c r="AL700" s="132">
        <f t="shared" si="1397"/>
        <v>-1000</v>
      </c>
      <c r="AM700" s="132">
        <f t="shared" si="1397"/>
        <v>-1000</v>
      </c>
      <c r="AN700" s="132">
        <f t="shared" si="1397"/>
        <v>-1000</v>
      </c>
      <c r="AO700" s="132">
        <f t="shared" si="1397"/>
        <v>-1000</v>
      </c>
      <c r="AP700" s="132">
        <f t="shared" si="1397"/>
        <v>-1000</v>
      </c>
      <c r="AQ700" s="132">
        <f t="shared" si="1397"/>
        <v>-1000</v>
      </c>
      <c r="AR700" s="132">
        <f t="shared" si="1397"/>
        <v>-1000</v>
      </c>
      <c r="AS700" s="132">
        <f t="shared" si="1397"/>
        <v>-1000</v>
      </c>
    </row>
    <row r="701">
      <c r="A701" s="132" t="s">
        <v>4203</v>
      </c>
      <c r="B701" s="132">
        <v>100.0</v>
      </c>
      <c r="C701" s="132">
        <v>0.0</v>
      </c>
      <c r="D701" s="132">
        <v>0.0</v>
      </c>
      <c r="E701" s="132">
        <v>0.0</v>
      </c>
      <c r="F701" s="132">
        <v>0.0</v>
      </c>
      <c r="G701" s="132">
        <v>0.0</v>
      </c>
      <c r="H701" s="132">
        <v>0.0</v>
      </c>
      <c r="I701" s="132">
        <v>0.0</v>
      </c>
      <c r="J701" s="132">
        <v>0.0</v>
      </c>
      <c r="K701" s="132">
        <v>0.0</v>
      </c>
      <c r="L701" s="132">
        <v>0.0</v>
      </c>
      <c r="M701" s="132">
        <v>100.0</v>
      </c>
      <c r="N701" s="132">
        <v>0.0</v>
      </c>
      <c r="O701" s="132">
        <v>0.0</v>
      </c>
      <c r="P701" s="132">
        <v>0.0</v>
      </c>
      <c r="Q701" s="132">
        <v>0.0</v>
      </c>
      <c r="R701" s="132">
        <v>0.0</v>
      </c>
      <c r="S701" s="132">
        <v>0.0</v>
      </c>
      <c r="T701" s="132">
        <v>0.0</v>
      </c>
      <c r="U701" s="132">
        <v>0.0</v>
      </c>
      <c r="V701" s="132">
        <v>0.0</v>
      </c>
      <c r="W701" s="132">
        <v>0.0</v>
      </c>
      <c r="Y701" s="132" t="s">
        <v>4203</v>
      </c>
      <c r="Z701" s="132">
        <f t="shared" ref="Z701:AC701" si="1398">C701-1000</f>
        <v>-1000</v>
      </c>
      <c r="AA701" s="132">
        <f t="shared" si="1398"/>
        <v>-1000</v>
      </c>
      <c r="AB701" s="132">
        <f t="shared" si="1398"/>
        <v>-1000</v>
      </c>
      <c r="AC701" s="132">
        <f t="shared" si="1398"/>
        <v>-1000</v>
      </c>
      <c r="AD701" s="132">
        <f t="shared" si="4"/>
        <v>-10000</v>
      </c>
      <c r="AE701" s="132">
        <f t="shared" ref="AE701:AS701" si="1399">H701-1000</f>
        <v>-1000</v>
      </c>
      <c r="AF701" s="132">
        <f t="shared" si="1399"/>
        <v>-1000</v>
      </c>
      <c r="AG701" s="132">
        <f t="shared" si="1399"/>
        <v>-1000</v>
      </c>
      <c r="AH701" s="132">
        <f t="shared" si="1399"/>
        <v>-1000</v>
      </c>
      <c r="AI701" s="132">
        <f t="shared" si="1399"/>
        <v>-1000</v>
      </c>
      <c r="AJ701" s="132">
        <f t="shared" si="1399"/>
        <v>-900</v>
      </c>
      <c r="AK701" s="132">
        <f t="shared" si="1399"/>
        <v>-1000</v>
      </c>
      <c r="AL701" s="132">
        <f t="shared" si="1399"/>
        <v>-1000</v>
      </c>
      <c r="AM701" s="132">
        <f t="shared" si="1399"/>
        <v>-1000</v>
      </c>
      <c r="AN701" s="132">
        <f t="shared" si="1399"/>
        <v>-1000</v>
      </c>
      <c r="AO701" s="132">
        <f t="shared" si="1399"/>
        <v>-1000</v>
      </c>
      <c r="AP701" s="132">
        <f t="shared" si="1399"/>
        <v>-1000</v>
      </c>
      <c r="AQ701" s="132">
        <f t="shared" si="1399"/>
        <v>-1000</v>
      </c>
      <c r="AR701" s="132">
        <f t="shared" si="1399"/>
        <v>-1000</v>
      </c>
      <c r="AS701" s="132">
        <f t="shared" si="1399"/>
        <v>-1000</v>
      </c>
    </row>
    <row r="702">
      <c r="A702" s="132" t="s">
        <v>4204</v>
      </c>
      <c r="B702" s="132">
        <v>100.0</v>
      </c>
      <c r="C702" s="132">
        <v>0.0</v>
      </c>
      <c r="D702" s="132">
        <v>0.0</v>
      </c>
      <c r="E702" s="132">
        <v>0.0</v>
      </c>
      <c r="F702" s="132">
        <v>0.0</v>
      </c>
      <c r="G702" s="132">
        <v>0.0</v>
      </c>
      <c r="H702" s="132">
        <v>0.0</v>
      </c>
      <c r="I702" s="132">
        <v>0.0</v>
      </c>
      <c r="J702" s="132">
        <v>0.0</v>
      </c>
      <c r="K702" s="132">
        <v>0.0</v>
      </c>
      <c r="L702" s="132">
        <v>0.0</v>
      </c>
      <c r="M702" s="132">
        <v>100.0</v>
      </c>
      <c r="N702" s="132">
        <v>0.0</v>
      </c>
      <c r="O702" s="132">
        <v>0.0</v>
      </c>
      <c r="P702" s="132">
        <v>0.0</v>
      </c>
      <c r="Q702" s="132">
        <v>0.0</v>
      </c>
      <c r="R702" s="132">
        <v>0.0</v>
      </c>
      <c r="S702" s="132">
        <v>0.0</v>
      </c>
      <c r="T702" s="132">
        <v>0.0</v>
      </c>
      <c r="U702" s="132">
        <v>0.0</v>
      </c>
      <c r="V702" s="132">
        <v>0.0</v>
      </c>
      <c r="W702" s="132">
        <v>0.0</v>
      </c>
      <c r="Y702" s="132" t="s">
        <v>4204</v>
      </c>
      <c r="Z702" s="132">
        <f t="shared" ref="Z702:AC702" si="1400">C702-1000</f>
        <v>-1000</v>
      </c>
      <c r="AA702" s="132">
        <f t="shared" si="1400"/>
        <v>-1000</v>
      </c>
      <c r="AB702" s="132">
        <f t="shared" si="1400"/>
        <v>-1000</v>
      </c>
      <c r="AC702" s="132">
        <f t="shared" si="1400"/>
        <v>-1000</v>
      </c>
      <c r="AD702" s="132">
        <f t="shared" si="4"/>
        <v>-10000</v>
      </c>
      <c r="AE702" s="132">
        <f t="shared" ref="AE702:AS702" si="1401">H702-1000</f>
        <v>-1000</v>
      </c>
      <c r="AF702" s="132">
        <f t="shared" si="1401"/>
        <v>-1000</v>
      </c>
      <c r="AG702" s="132">
        <f t="shared" si="1401"/>
        <v>-1000</v>
      </c>
      <c r="AH702" s="132">
        <f t="shared" si="1401"/>
        <v>-1000</v>
      </c>
      <c r="AI702" s="132">
        <f t="shared" si="1401"/>
        <v>-1000</v>
      </c>
      <c r="AJ702" s="132">
        <f t="shared" si="1401"/>
        <v>-900</v>
      </c>
      <c r="AK702" s="132">
        <f t="shared" si="1401"/>
        <v>-1000</v>
      </c>
      <c r="AL702" s="132">
        <f t="shared" si="1401"/>
        <v>-1000</v>
      </c>
      <c r="AM702" s="132">
        <f t="shared" si="1401"/>
        <v>-1000</v>
      </c>
      <c r="AN702" s="132">
        <f t="shared" si="1401"/>
        <v>-1000</v>
      </c>
      <c r="AO702" s="132">
        <f t="shared" si="1401"/>
        <v>-1000</v>
      </c>
      <c r="AP702" s="132">
        <f t="shared" si="1401"/>
        <v>-1000</v>
      </c>
      <c r="AQ702" s="132">
        <f t="shared" si="1401"/>
        <v>-1000</v>
      </c>
      <c r="AR702" s="132">
        <f t="shared" si="1401"/>
        <v>-1000</v>
      </c>
      <c r="AS702" s="132">
        <f t="shared" si="1401"/>
        <v>-1000</v>
      </c>
    </row>
    <row r="703">
      <c r="A703" s="132" t="s">
        <v>4205</v>
      </c>
      <c r="B703" s="132">
        <v>50.0</v>
      </c>
      <c r="C703" s="132">
        <v>0.0</v>
      </c>
      <c r="D703" s="132">
        <v>0.0</v>
      </c>
      <c r="E703" s="132">
        <v>0.0</v>
      </c>
      <c r="F703" s="132">
        <v>0.0</v>
      </c>
      <c r="G703" s="132">
        <v>0.0</v>
      </c>
      <c r="H703" s="132">
        <v>0.0</v>
      </c>
      <c r="I703" s="132">
        <v>0.0</v>
      </c>
      <c r="J703" s="132">
        <v>0.0</v>
      </c>
      <c r="K703" s="132">
        <v>0.0</v>
      </c>
      <c r="L703" s="132">
        <v>0.0</v>
      </c>
      <c r="M703" s="132">
        <v>50.0</v>
      </c>
      <c r="N703" s="132">
        <v>0.0</v>
      </c>
      <c r="O703" s="132">
        <v>0.0</v>
      </c>
      <c r="P703" s="132">
        <v>0.0</v>
      </c>
      <c r="Q703" s="132">
        <v>0.0</v>
      </c>
      <c r="R703" s="132">
        <v>0.0</v>
      </c>
      <c r="S703" s="132">
        <v>0.0</v>
      </c>
      <c r="T703" s="132">
        <v>0.0</v>
      </c>
      <c r="U703" s="132">
        <v>0.0</v>
      </c>
      <c r="V703" s="132">
        <v>0.0</v>
      </c>
      <c r="W703" s="132">
        <v>0.0</v>
      </c>
      <c r="Y703" s="132" t="s">
        <v>4205</v>
      </c>
      <c r="Z703" s="132">
        <f t="shared" ref="Z703:AC703" si="1402">C703-1000</f>
        <v>-1000</v>
      </c>
      <c r="AA703" s="132">
        <f t="shared" si="1402"/>
        <v>-1000</v>
      </c>
      <c r="AB703" s="132">
        <f t="shared" si="1402"/>
        <v>-1000</v>
      </c>
      <c r="AC703" s="132">
        <f t="shared" si="1402"/>
        <v>-1000</v>
      </c>
      <c r="AD703" s="132">
        <f t="shared" si="4"/>
        <v>-10000</v>
      </c>
      <c r="AE703" s="132">
        <f t="shared" ref="AE703:AS703" si="1403">H703-1000</f>
        <v>-1000</v>
      </c>
      <c r="AF703" s="132">
        <f t="shared" si="1403"/>
        <v>-1000</v>
      </c>
      <c r="AG703" s="132">
        <f t="shared" si="1403"/>
        <v>-1000</v>
      </c>
      <c r="AH703" s="132">
        <f t="shared" si="1403"/>
        <v>-1000</v>
      </c>
      <c r="AI703" s="132">
        <f t="shared" si="1403"/>
        <v>-1000</v>
      </c>
      <c r="AJ703" s="132">
        <f t="shared" si="1403"/>
        <v>-950</v>
      </c>
      <c r="AK703" s="132">
        <f t="shared" si="1403"/>
        <v>-1000</v>
      </c>
      <c r="AL703" s="132">
        <f t="shared" si="1403"/>
        <v>-1000</v>
      </c>
      <c r="AM703" s="132">
        <f t="shared" si="1403"/>
        <v>-1000</v>
      </c>
      <c r="AN703" s="132">
        <f t="shared" si="1403"/>
        <v>-1000</v>
      </c>
      <c r="AO703" s="132">
        <f t="shared" si="1403"/>
        <v>-1000</v>
      </c>
      <c r="AP703" s="132">
        <f t="shared" si="1403"/>
        <v>-1000</v>
      </c>
      <c r="AQ703" s="132">
        <f t="shared" si="1403"/>
        <v>-1000</v>
      </c>
      <c r="AR703" s="132">
        <f t="shared" si="1403"/>
        <v>-1000</v>
      </c>
      <c r="AS703" s="132">
        <f t="shared" si="1403"/>
        <v>-1000</v>
      </c>
    </row>
    <row r="704">
      <c r="A704" s="132" t="s">
        <v>4206</v>
      </c>
      <c r="B704" s="132">
        <v>100.0</v>
      </c>
      <c r="C704" s="132">
        <v>0.0</v>
      </c>
      <c r="D704" s="132">
        <v>0.0</v>
      </c>
      <c r="E704" s="132">
        <v>0.0</v>
      </c>
      <c r="F704" s="132">
        <v>0.0</v>
      </c>
      <c r="G704" s="132">
        <v>0.0</v>
      </c>
      <c r="H704" s="132">
        <v>0.0</v>
      </c>
      <c r="I704" s="132">
        <v>0.0</v>
      </c>
      <c r="J704" s="132">
        <v>0.0</v>
      </c>
      <c r="K704" s="132">
        <v>0.0</v>
      </c>
      <c r="L704" s="132">
        <v>0.0</v>
      </c>
      <c r="M704" s="132">
        <v>100.0</v>
      </c>
      <c r="N704" s="132">
        <v>0.0</v>
      </c>
      <c r="O704" s="132">
        <v>0.0</v>
      </c>
      <c r="P704" s="132">
        <v>0.0</v>
      </c>
      <c r="Q704" s="132">
        <v>0.0</v>
      </c>
      <c r="R704" s="132">
        <v>0.0</v>
      </c>
      <c r="S704" s="132">
        <v>0.0</v>
      </c>
      <c r="T704" s="132">
        <v>0.0</v>
      </c>
      <c r="U704" s="132">
        <v>0.0</v>
      </c>
      <c r="V704" s="132">
        <v>0.0</v>
      </c>
      <c r="W704" s="132">
        <v>0.0</v>
      </c>
      <c r="Y704" s="132" t="s">
        <v>4206</v>
      </c>
      <c r="Z704" s="132">
        <f t="shared" ref="Z704:AC704" si="1404">C704-1000</f>
        <v>-1000</v>
      </c>
      <c r="AA704" s="132">
        <f t="shared" si="1404"/>
        <v>-1000</v>
      </c>
      <c r="AB704" s="132">
        <f t="shared" si="1404"/>
        <v>-1000</v>
      </c>
      <c r="AC704" s="132">
        <f t="shared" si="1404"/>
        <v>-1000</v>
      </c>
      <c r="AD704" s="132">
        <f t="shared" si="4"/>
        <v>-10000</v>
      </c>
      <c r="AE704" s="132">
        <f t="shared" ref="AE704:AS704" si="1405">H704-1000</f>
        <v>-1000</v>
      </c>
      <c r="AF704" s="132">
        <f t="shared" si="1405"/>
        <v>-1000</v>
      </c>
      <c r="AG704" s="132">
        <f t="shared" si="1405"/>
        <v>-1000</v>
      </c>
      <c r="AH704" s="132">
        <f t="shared" si="1405"/>
        <v>-1000</v>
      </c>
      <c r="AI704" s="132">
        <f t="shared" si="1405"/>
        <v>-1000</v>
      </c>
      <c r="AJ704" s="132">
        <f t="shared" si="1405"/>
        <v>-900</v>
      </c>
      <c r="AK704" s="132">
        <f t="shared" si="1405"/>
        <v>-1000</v>
      </c>
      <c r="AL704" s="132">
        <f t="shared" si="1405"/>
        <v>-1000</v>
      </c>
      <c r="AM704" s="132">
        <f t="shared" si="1405"/>
        <v>-1000</v>
      </c>
      <c r="AN704" s="132">
        <f t="shared" si="1405"/>
        <v>-1000</v>
      </c>
      <c r="AO704" s="132">
        <f t="shared" si="1405"/>
        <v>-1000</v>
      </c>
      <c r="AP704" s="132">
        <f t="shared" si="1405"/>
        <v>-1000</v>
      </c>
      <c r="AQ704" s="132">
        <f t="shared" si="1405"/>
        <v>-1000</v>
      </c>
      <c r="AR704" s="132">
        <f t="shared" si="1405"/>
        <v>-1000</v>
      </c>
      <c r="AS704" s="132">
        <f t="shared" si="1405"/>
        <v>-1000</v>
      </c>
    </row>
    <row r="705">
      <c r="A705" s="132" t="s">
        <v>4207</v>
      </c>
      <c r="B705" s="132">
        <v>50.0</v>
      </c>
      <c r="C705" s="132">
        <v>0.0</v>
      </c>
      <c r="D705" s="132">
        <v>0.0</v>
      </c>
      <c r="E705" s="132">
        <v>0.0</v>
      </c>
      <c r="F705" s="132">
        <v>0.0</v>
      </c>
      <c r="G705" s="132">
        <v>0.0</v>
      </c>
      <c r="H705" s="132">
        <v>0.0</v>
      </c>
      <c r="I705" s="132">
        <v>0.0</v>
      </c>
      <c r="J705" s="132">
        <v>0.0</v>
      </c>
      <c r="K705" s="132">
        <v>0.0</v>
      </c>
      <c r="L705" s="132">
        <v>0.0</v>
      </c>
      <c r="M705" s="132">
        <v>50.0</v>
      </c>
      <c r="N705" s="132">
        <v>0.0</v>
      </c>
      <c r="O705" s="132">
        <v>0.0</v>
      </c>
      <c r="P705" s="132">
        <v>0.0</v>
      </c>
      <c r="Q705" s="132">
        <v>0.0</v>
      </c>
      <c r="R705" s="132">
        <v>0.0</v>
      </c>
      <c r="S705" s="132">
        <v>0.0</v>
      </c>
      <c r="T705" s="132">
        <v>0.0</v>
      </c>
      <c r="U705" s="132">
        <v>0.0</v>
      </c>
      <c r="V705" s="132">
        <v>0.0</v>
      </c>
      <c r="W705" s="132">
        <v>0.0</v>
      </c>
      <c r="Y705" s="132" t="s">
        <v>4207</v>
      </c>
      <c r="Z705" s="132">
        <f t="shared" ref="Z705:AC705" si="1406">C705-1000</f>
        <v>-1000</v>
      </c>
      <c r="AA705" s="132">
        <f t="shared" si="1406"/>
        <v>-1000</v>
      </c>
      <c r="AB705" s="132">
        <f t="shared" si="1406"/>
        <v>-1000</v>
      </c>
      <c r="AC705" s="132">
        <f t="shared" si="1406"/>
        <v>-1000</v>
      </c>
      <c r="AD705" s="132">
        <f t="shared" si="4"/>
        <v>-10000</v>
      </c>
      <c r="AE705" s="132">
        <f t="shared" ref="AE705:AS705" si="1407">H705-1000</f>
        <v>-1000</v>
      </c>
      <c r="AF705" s="132">
        <f t="shared" si="1407"/>
        <v>-1000</v>
      </c>
      <c r="AG705" s="132">
        <f t="shared" si="1407"/>
        <v>-1000</v>
      </c>
      <c r="AH705" s="132">
        <f t="shared" si="1407"/>
        <v>-1000</v>
      </c>
      <c r="AI705" s="132">
        <f t="shared" si="1407"/>
        <v>-1000</v>
      </c>
      <c r="AJ705" s="132">
        <f t="shared" si="1407"/>
        <v>-950</v>
      </c>
      <c r="AK705" s="132">
        <f t="shared" si="1407"/>
        <v>-1000</v>
      </c>
      <c r="AL705" s="132">
        <f t="shared" si="1407"/>
        <v>-1000</v>
      </c>
      <c r="AM705" s="132">
        <f t="shared" si="1407"/>
        <v>-1000</v>
      </c>
      <c r="AN705" s="132">
        <f t="shared" si="1407"/>
        <v>-1000</v>
      </c>
      <c r="AO705" s="132">
        <f t="shared" si="1407"/>
        <v>-1000</v>
      </c>
      <c r="AP705" s="132">
        <f t="shared" si="1407"/>
        <v>-1000</v>
      </c>
      <c r="AQ705" s="132">
        <f t="shared" si="1407"/>
        <v>-1000</v>
      </c>
      <c r="AR705" s="132">
        <f t="shared" si="1407"/>
        <v>-1000</v>
      </c>
      <c r="AS705" s="132">
        <f t="shared" si="1407"/>
        <v>-1000</v>
      </c>
    </row>
    <row r="706">
      <c r="A706" s="132" t="s">
        <v>4208</v>
      </c>
      <c r="B706" s="132">
        <v>25.0</v>
      </c>
      <c r="C706" s="132">
        <v>0.0</v>
      </c>
      <c r="D706" s="132">
        <v>0.0</v>
      </c>
      <c r="E706" s="132">
        <v>0.0</v>
      </c>
      <c r="F706" s="132">
        <v>0.0</v>
      </c>
      <c r="G706" s="132">
        <v>0.0</v>
      </c>
      <c r="H706" s="132">
        <v>0.0</v>
      </c>
      <c r="I706" s="132">
        <v>0.0</v>
      </c>
      <c r="J706" s="132">
        <v>0.0</v>
      </c>
      <c r="K706" s="132">
        <v>0.0</v>
      </c>
      <c r="L706" s="132">
        <v>0.0</v>
      </c>
      <c r="M706" s="132">
        <v>25.0</v>
      </c>
      <c r="N706" s="132">
        <v>0.0</v>
      </c>
      <c r="O706" s="132">
        <v>0.0</v>
      </c>
      <c r="P706" s="132">
        <v>0.0</v>
      </c>
      <c r="Q706" s="132">
        <v>0.0</v>
      </c>
      <c r="R706" s="132">
        <v>0.0</v>
      </c>
      <c r="S706" s="132">
        <v>0.0</v>
      </c>
      <c r="T706" s="132">
        <v>0.0</v>
      </c>
      <c r="U706" s="132">
        <v>0.0</v>
      </c>
      <c r="V706" s="132">
        <v>0.0</v>
      </c>
      <c r="W706" s="132">
        <v>0.0</v>
      </c>
      <c r="Y706" s="132" t="s">
        <v>4208</v>
      </c>
      <c r="Z706" s="132">
        <f t="shared" ref="Z706:AC706" si="1408">C706-1000</f>
        <v>-1000</v>
      </c>
      <c r="AA706" s="132">
        <f t="shared" si="1408"/>
        <v>-1000</v>
      </c>
      <c r="AB706" s="132">
        <f t="shared" si="1408"/>
        <v>-1000</v>
      </c>
      <c r="AC706" s="132">
        <f t="shared" si="1408"/>
        <v>-1000</v>
      </c>
      <c r="AD706" s="132">
        <f t="shared" si="4"/>
        <v>-10000</v>
      </c>
      <c r="AE706" s="132">
        <f t="shared" ref="AE706:AS706" si="1409">H706-1000</f>
        <v>-1000</v>
      </c>
      <c r="AF706" s="132">
        <f t="shared" si="1409"/>
        <v>-1000</v>
      </c>
      <c r="AG706" s="132">
        <f t="shared" si="1409"/>
        <v>-1000</v>
      </c>
      <c r="AH706" s="132">
        <f t="shared" si="1409"/>
        <v>-1000</v>
      </c>
      <c r="AI706" s="132">
        <f t="shared" si="1409"/>
        <v>-1000</v>
      </c>
      <c r="AJ706" s="132">
        <f t="shared" si="1409"/>
        <v>-975</v>
      </c>
      <c r="AK706" s="132">
        <f t="shared" si="1409"/>
        <v>-1000</v>
      </c>
      <c r="AL706" s="132">
        <f t="shared" si="1409"/>
        <v>-1000</v>
      </c>
      <c r="AM706" s="132">
        <f t="shared" si="1409"/>
        <v>-1000</v>
      </c>
      <c r="AN706" s="132">
        <f t="shared" si="1409"/>
        <v>-1000</v>
      </c>
      <c r="AO706" s="132">
        <f t="shared" si="1409"/>
        <v>-1000</v>
      </c>
      <c r="AP706" s="132">
        <f t="shared" si="1409"/>
        <v>-1000</v>
      </c>
      <c r="AQ706" s="132">
        <f t="shared" si="1409"/>
        <v>-1000</v>
      </c>
      <c r="AR706" s="132">
        <f t="shared" si="1409"/>
        <v>-1000</v>
      </c>
      <c r="AS706" s="132">
        <f t="shared" si="1409"/>
        <v>-1000</v>
      </c>
    </row>
    <row r="707">
      <c r="A707" s="132" t="s">
        <v>4209</v>
      </c>
      <c r="B707" s="132">
        <v>1015.0</v>
      </c>
      <c r="C707" s="132">
        <v>0.0</v>
      </c>
      <c r="D707" s="132">
        <v>0.0</v>
      </c>
      <c r="E707" s="132">
        <v>0.0</v>
      </c>
      <c r="F707" s="132">
        <v>0.0</v>
      </c>
      <c r="G707" s="132">
        <v>0.0</v>
      </c>
      <c r="H707" s="132">
        <v>0.0</v>
      </c>
      <c r="I707" s="132">
        <v>0.0</v>
      </c>
      <c r="J707" s="132">
        <v>0.0</v>
      </c>
      <c r="K707" s="132">
        <v>0.0</v>
      </c>
      <c r="L707" s="132">
        <v>0.0</v>
      </c>
      <c r="M707" s="132">
        <v>15.0</v>
      </c>
      <c r="N707" s="132">
        <v>0.0</v>
      </c>
      <c r="O707" s="132">
        <v>0.0</v>
      </c>
      <c r="P707" s="132">
        <v>1000.0</v>
      </c>
      <c r="Q707" s="132">
        <v>0.0</v>
      </c>
      <c r="R707" s="132">
        <v>0.0</v>
      </c>
      <c r="S707" s="132">
        <v>0.0</v>
      </c>
      <c r="T707" s="132">
        <v>0.0</v>
      </c>
      <c r="U707" s="132">
        <v>0.0</v>
      </c>
      <c r="V707" s="132">
        <v>0.0</v>
      </c>
      <c r="W707" s="132">
        <v>1.0</v>
      </c>
      <c r="Y707" s="132" t="s">
        <v>4209</v>
      </c>
      <c r="Z707" s="132">
        <f t="shared" ref="Z707:AC707" si="1410">C707-1000</f>
        <v>-1000</v>
      </c>
      <c r="AA707" s="132">
        <f t="shared" si="1410"/>
        <v>-1000</v>
      </c>
      <c r="AB707" s="132">
        <f t="shared" si="1410"/>
        <v>-1000</v>
      </c>
      <c r="AC707" s="132">
        <f t="shared" si="1410"/>
        <v>-1000</v>
      </c>
      <c r="AD707" s="132">
        <f t="shared" si="4"/>
        <v>-10000</v>
      </c>
      <c r="AE707" s="132">
        <f t="shared" ref="AE707:AS707" si="1411">H707-1000</f>
        <v>-1000</v>
      </c>
      <c r="AF707" s="132">
        <f t="shared" si="1411"/>
        <v>-1000</v>
      </c>
      <c r="AG707" s="132">
        <f t="shared" si="1411"/>
        <v>-1000</v>
      </c>
      <c r="AH707" s="132">
        <f t="shared" si="1411"/>
        <v>-1000</v>
      </c>
      <c r="AI707" s="132">
        <f t="shared" si="1411"/>
        <v>-1000</v>
      </c>
      <c r="AJ707" s="132">
        <f t="shared" si="1411"/>
        <v>-985</v>
      </c>
      <c r="AK707" s="132">
        <f t="shared" si="1411"/>
        <v>-1000</v>
      </c>
      <c r="AL707" s="132">
        <f t="shared" si="1411"/>
        <v>-1000</v>
      </c>
      <c r="AM707" s="132">
        <f t="shared" si="1411"/>
        <v>0</v>
      </c>
      <c r="AN707" s="132">
        <f t="shared" si="1411"/>
        <v>-1000</v>
      </c>
      <c r="AO707" s="132">
        <f t="shared" si="1411"/>
        <v>-1000</v>
      </c>
      <c r="AP707" s="132">
        <f t="shared" si="1411"/>
        <v>-1000</v>
      </c>
      <c r="AQ707" s="132">
        <f t="shared" si="1411"/>
        <v>-1000</v>
      </c>
      <c r="AR707" s="132">
        <f t="shared" si="1411"/>
        <v>-1000</v>
      </c>
      <c r="AS707" s="132">
        <f t="shared" si="1411"/>
        <v>-1000</v>
      </c>
    </row>
    <row r="708">
      <c r="A708" s="132" t="s">
        <v>4210</v>
      </c>
      <c r="B708" s="132">
        <v>150.0</v>
      </c>
      <c r="C708" s="132">
        <v>0.0</v>
      </c>
      <c r="D708" s="132">
        <v>0.0</v>
      </c>
      <c r="E708" s="132">
        <v>0.0</v>
      </c>
      <c r="F708" s="132">
        <v>0.0</v>
      </c>
      <c r="G708" s="132">
        <v>0.0</v>
      </c>
      <c r="H708" s="132">
        <v>0.0</v>
      </c>
      <c r="I708" s="132">
        <v>0.0</v>
      </c>
      <c r="J708" s="132">
        <v>0.0</v>
      </c>
      <c r="K708" s="132">
        <v>0.0</v>
      </c>
      <c r="L708" s="132">
        <v>0.0</v>
      </c>
      <c r="M708" s="132">
        <v>150.0</v>
      </c>
      <c r="N708" s="132">
        <v>0.0</v>
      </c>
      <c r="O708" s="132">
        <v>0.0</v>
      </c>
      <c r="P708" s="132">
        <v>0.0</v>
      </c>
      <c r="Q708" s="132">
        <v>0.0</v>
      </c>
      <c r="R708" s="132">
        <v>0.0</v>
      </c>
      <c r="S708" s="132">
        <v>0.0</v>
      </c>
      <c r="T708" s="132">
        <v>0.0</v>
      </c>
      <c r="U708" s="132">
        <v>0.0</v>
      </c>
      <c r="V708" s="132">
        <v>0.0</v>
      </c>
      <c r="W708" s="132">
        <v>0.0</v>
      </c>
      <c r="Y708" s="132" t="s">
        <v>4210</v>
      </c>
      <c r="Z708" s="132">
        <f t="shared" ref="Z708:AC708" si="1412">C708-1000</f>
        <v>-1000</v>
      </c>
      <c r="AA708" s="132">
        <f t="shared" si="1412"/>
        <v>-1000</v>
      </c>
      <c r="AB708" s="132">
        <f t="shared" si="1412"/>
        <v>-1000</v>
      </c>
      <c r="AC708" s="132">
        <f t="shared" si="1412"/>
        <v>-1000</v>
      </c>
      <c r="AD708" s="132">
        <f t="shared" si="4"/>
        <v>-10000</v>
      </c>
      <c r="AE708" s="132">
        <f t="shared" ref="AE708:AS708" si="1413">H708-1000</f>
        <v>-1000</v>
      </c>
      <c r="AF708" s="132">
        <f t="shared" si="1413"/>
        <v>-1000</v>
      </c>
      <c r="AG708" s="132">
        <f t="shared" si="1413"/>
        <v>-1000</v>
      </c>
      <c r="AH708" s="132">
        <f t="shared" si="1413"/>
        <v>-1000</v>
      </c>
      <c r="AI708" s="132">
        <f t="shared" si="1413"/>
        <v>-1000</v>
      </c>
      <c r="AJ708" s="132">
        <f t="shared" si="1413"/>
        <v>-850</v>
      </c>
      <c r="AK708" s="132">
        <f t="shared" si="1413"/>
        <v>-1000</v>
      </c>
      <c r="AL708" s="132">
        <f t="shared" si="1413"/>
        <v>-1000</v>
      </c>
      <c r="AM708" s="132">
        <f t="shared" si="1413"/>
        <v>-1000</v>
      </c>
      <c r="AN708" s="132">
        <f t="shared" si="1413"/>
        <v>-1000</v>
      </c>
      <c r="AO708" s="132">
        <f t="shared" si="1413"/>
        <v>-1000</v>
      </c>
      <c r="AP708" s="132">
        <f t="shared" si="1413"/>
        <v>-1000</v>
      </c>
      <c r="AQ708" s="132">
        <f t="shared" si="1413"/>
        <v>-1000</v>
      </c>
      <c r="AR708" s="132">
        <f t="shared" si="1413"/>
        <v>-1000</v>
      </c>
      <c r="AS708" s="132">
        <f t="shared" si="1413"/>
        <v>-1000</v>
      </c>
    </row>
    <row r="709">
      <c r="A709" s="132" t="s">
        <v>4211</v>
      </c>
      <c r="B709" s="132">
        <v>500.0</v>
      </c>
      <c r="C709" s="132">
        <v>0.0</v>
      </c>
      <c r="D709" s="132">
        <v>0.0</v>
      </c>
      <c r="E709" s="132">
        <v>0.0</v>
      </c>
      <c r="F709" s="132">
        <v>0.0</v>
      </c>
      <c r="G709" s="132">
        <v>0.0</v>
      </c>
      <c r="H709" s="132">
        <v>0.0</v>
      </c>
      <c r="I709" s="132">
        <v>0.0</v>
      </c>
      <c r="J709" s="132">
        <v>0.0</v>
      </c>
      <c r="K709" s="132">
        <v>0.0</v>
      </c>
      <c r="L709" s="132">
        <v>0.0</v>
      </c>
      <c r="M709" s="132">
        <v>500.0</v>
      </c>
      <c r="N709" s="132">
        <v>0.0</v>
      </c>
      <c r="O709" s="132">
        <v>0.0</v>
      </c>
      <c r="P709" s="132">
        <v>0.0</v>
      </c>
      <c r="Q709" s="132">
        <v>0.0</v>
      </c>
      <c r="R709" s="132">
        <v>0.0</v>
      </c>
      <c r="S709" s="132">
        <v>0.0</v>
      </c>
      <c r="T709" s="132">
        <v>0.0</v>
      </c>
      <c r="U709" s="132">
        <v>0.0</v>
      </c>
      <c r="V709" s="132">
        <v>0.0</v>
      </c>
      <c r="W709" s="132">
        <v>0.0</v>
      </c>
      <c r="Y709" s="132" t="s">
        <v>4211</v>
      </c>
      <c r="Z709" s="132">
        <f t="shared" ref="Z709:AC709" si="1414">C709-1000</f>
        <v>-1000</v>
      </c>
      <c r="AA709" s="132">
        <f t="shared" si="1414"/>
        <v>-1000</v>
      </c>
      <c r="AB709" s="132">
        <f t="shared" si="1414"/>
        <v>-1000</v>
      </c>
      <c r="AC709" s="132">
        <f t="shared" si="1414"/>
        <v>-1000</v>
      </c>
      <c r="AD709" s="132">
        <f t="shared" si="4"/>
        <v>-10000</v>
      </c>
      <c r="AE709" s="132">
        <f t="shared" ref="AE709:AS709" si="1415">H709-1000</f>
        <v>-1000</v>
      </c>
      <c r="AF709" s="132">
        <f t="shared" si="1415"/>
        <v>-1000</v>
      </c>
      <c r="AG709" s="132">
        <f t="shared" si="1415"/>
        <v>-1000</v>
      </c>
      <c r="AH709" s="132">
        <f t="shared" si="1415"/>
        <v>-1000</v>
      </c>
      <c r="AI709" s="132">
        <f t="shared" si="1415"/>
        <v>-1000</v>
      </c>
      <c r="AJ709" s="132">
        <f t="shared" si="1415"/>
        <v>-500</v>
      </c>
      <c r="AK709" s="132">
        <f t="shared" si="1415"/>
        <v>-1000</v>
      </c>
      <c r="AL709" s="132">
        <f t="shared" si="1415"/>
        <v>-1000</v>
      </c>
      <c r="AM709" s="132">
        <f t="shared" si="1415"/>
        <v>-1000</v>
      </c>
      <c r="AN709" s="132">
        <f t="shared" si="1415"/>
        <v>-1000</v>
      </c>
      <c r="AO709" s="132">
        <f t="shared" si="1415"/>
        <v>-1000</v>
      </c>
      <c r="AP709" s="132">
        <f t="shared" si="1415"/>
        <v>-1000</v>
      </c>
      <c r="AQ709" s="132">
        <f t="shared" si="1415"/>
        <v>-1000</v>
      </c>
      <c r="AR709" s="132">
        <f t="shared" si="1415"/>
        <v>-1000</v>
      </c>
      <c r="AS709" s="132">
        <f t="shared" si="1415"/>
        <v>-1000</v>
      </c>
    </row>
    <row r="710">
      <c r="A710" s="132" t="s">
        <v>4212</v>
      </c>
      <c r="B710" s="132">
        <v>100.0</v>
      </c>
      <c r="C710" s="132">
        <v>0.0</v>
      </c>
      <c r="D710" s="132">
        <v>0.0</v>
      </c>
      <c r="E710" s="132">
        <v>0.0</v>
      </c>
      <c r="F710" s="132">
        <v>0.0</v>
      </c>
      <c r="G710" s="132">
        <v>0.0</v>
      </c>
      <c r="H710" s="132">
        <v>0.0</v>
      </c>
      <c r="I710" s="132">
        <v>0.0</v>
      </c>
      <c r="J710" s="132">
        <v>0.0</v>
      </c>
      <c r="K710" s="132">
        <v>0.0</v>
      </c>
      <c r="L710" s="132">
        <v>0.0</v>
      </c>
      <c r="M710" s="132">
        <v>100.0</v>
      </c>
      <c r="N710" s="132">
        <v>0.0</v>
      </c>
      <c r="O710" s="132">
        <v>0.0</v>
      </c>
      <c r="P710" s="132">
        <v>0.0</v>
      </c>
      <c r="Q710" s="132">
        <v>0.0</v>
      </c>
      <c r="R710" s="132">
        <v>0.0</v>
      </c>
      <c r="S710" s="132">
        <v>0.0</v>
      </c>
      <c r="T710" s="132">
        <v>0.0</v>
      </c>
      <c r="U710" s="132">
        <v>0.0</v>
      </c>
      <c r="V710" s="132">
        <v>0.0</v>
      </c>
      <c r="W710" s="132">
        <v>0.0</v>
      </c>
      <c r="Y710" s="132" t="s">
        <v>4212</v>
      </c>
      <c r="Z710" s="132">
        <f t="shared" ref="Z710:AC710" si="1416">C710-1000</f>
        <v>-1000</v>
      </c>
      <c r="AA710" s="132">
        <f t="shared" si="1416"/>
        <v>-1000</v>
      </c>
      <c r="AB710" s="132">
        <f t="shared" si="1416"/>
        <v>-1000</v>
      </c>
      <c r="AC710" s="132">
        <f t="shared" si="1416"/>
        <v>-1000</v>
      </c>
      <c r="AD710" s="132">
        <f t="shared" si="4"/>
        <v>-10000</v>
      </c>
      <c r="AE710" s="132">
        <f t="shared" ref="AE710:AS710" si="1417">H710-1000</f>
        <v>-1000</v>
      </c>
      <c r="AF710" s="132">
        <f t="shared" si="1417"/>
        <v>-1000</v>
      </c>
      <c r="AG710" s="132">
        <f t="shared" si="1417"/>
        <v>-1000</v>
      </c>
      <c r="AH710" s="132">
        <f t="shared" si="1417"/>
        <v>-1000</v>
      </c>
      <c r="AI710" s="132">
        <f t="shared" si="1417"/>
        <v>-1000</v>
      </c>
      <c r="AJ710" s="132">
        <f t="shared" si="1417"/>
        <v>-900</v>
      </c>
      <c r="AK710" s="132">
        <f t="shared" si="1417"/>
        <v>-1000</v>
      </c>
      <c r="AL710" s="132">
        <f t="shared" si="1417"/>
        <v>-1000</v>
      </c>
      <c r="AM710" s="132">
        <f t="shared" si="1417"/>
        <v>-1000</v>
      </c>
      <c r="AN710" s="132">
        <f t="shared" si="1417"/>
        <v>-1000</v>
      </c>
      <c r="AO710" s="132">
        <f t="shared" si="1417"/>
        <v>-1000</v>
      </c>
      <c r="AP710" s="132">
        <f t="shared" si="1417"/>
        <v>-1000</v>
      </c>
      <c r="AQ710" s="132">
        <f t="shared" si="1417"/>
        <v>-1000</v>
      </c>
      <c r="AR710" s="132">
        <f t="shared" si="1417"/>
        <v>-1000</v>
      </c>
      <c r="AS710" s="132">
        <f t="shared" si="1417"/>
        <v>-1000</v>
      </c>
    </row>
    <row r="711">
      <c r="A711" s="132" t="s">
        <v>4213</v>
      </c>
      <c r="B711" s="132">
        <v>100.0</v>
      </c>
      <c r="C711" s="132">
        <v>0.0</v>
      </c>
      <c r="D711" s="132">
        <v>0.0</v>
      </c>
      <c r="E711" s="132">
        <v>0.0</v>
      </c>
      <c r="F711" s="132">
        <v>0.0</v>
      </c>
      <c r="G711" s="132">
        <v>0.0</v>
      </c>
      <c r="H711" s="132">
        <v>0.0</v>
      </c>
      <c r="I711" s="132">
        <v>0.0</v>
      </c>
      <c r="J711" s="132">
        <v>0.0</v>
      </c>
      <c r="K711" s="132">
        <v>0.0</v>
      </c>
      <c r="L711" s="132">
        <v>0.0</v>
      </c>
      <c r="M711" s="132">
        <v>100.0</v>
      </c>
      <c r="N711" s="132">
        <v>0.0</v>
      </c>
      <c r="O711" s="132">
        <v>0.0</v>
      </c>
      <c r="P711" s="132">
        <v>0.0</v>
      </c>
      <c r="Q711" s="132">
        <v>0.0</v>
      </c>
      <c r="R711" s="132">
        <v>0.0</v>
      </c>
      <c r="S711" s="132">
        <v>0.0</v>
      </c>
      <c r="T711" s="132">
        <v>0.0</v>
      </c>
      <c r="U711" s="132">
        <v>0.0</v>
      </c>
      <c r="V711" s="132">
        <v>0.0</v>
      </c>
      <c r="W711" s="132">
        <v>0.0</v>
      </c>
      <c r="Y711" s="132" t="s">
        <v>4213</v>
      </c>
      <c r="Z711" s="132">
        <f t="shared" ref="Z711:AC711" si="1418">C711-1000</f>
        <v>-1000</v>
      </c>
      <c r="AA711" s="132">
        <f t="shared" si="1418"/>
        <v>-1000</v>
      </c>
      <c r="AB711" s="132">
        <f t="shared" si="1418"/>
        <v>-1000</v>
      </c>
      <c r="AC711" s="132">
        <f t="shared" si="1418"/>
        <v>-1000</v>
      </c>
      <c r="AD711" s="132">
        <f t="shared" si="4"/>
        <v>-10000</v>
      </c>
      <c r="AE711" s="132">
        <f t="shared" ref="AE711:AS711" si="1419">H711-1000</f>
        <v>-1000</v>
      </c>
      <c r="AF711" s="132">
        <f t="shared" si="1419"/>
        <v>-1000</v>
      </c>
      <c r="AG711" s="132">
        <f t="shared" si="1419"/>
        <v>-1000</v>
      </c>
      <c r="AH711" s="132">
        <f t="shared" si="1419"/>
        <v>-1000</v>
      </c>
      <c r="AI711" s="132">
        <f t="shared" si="1419"/>
        <v>-1000</v>
      </c>
      <c r="AJ711" s="132">
        <f t="shared" si="1419"/>
        <v>-900</v>
      </c>
      <c r="AK711" s="132">
        <f t="shared" si="1419"/>
        <v>-1000</v>
      </c>
      <c r="AL711" s="132">
        <f t="shared" si="1419"/>
        <v>-1000</v>
      </c>
      <c r="AM711" s="132">
        <f t="shared" si="1419"/>
        <v>-1000</v>
      </c>
      <c r="AN711" s="132">
        <f t="shared" si="1419"/>
        <v>-1000</v>
      </c>
      <c r="AO711" s="132">
        <f t="shared" si="1419"/>
        <v>-1000</v>
      </c>
      <c r="AP711" s="132">
        <f t="shared" si="1419"/>
        <v>-1000</v>
      </c>
      <c r="AQ711" s="132">
        <f t="shared" si="1419"/>
        <v>-1000</v>
      </c>
      <c r="AR711" s="132">
        <f t="shared" si="1419"/>
        <v>-1000</v>
      </c>
      <c r="AS711" s="132">
        <f t="shared" si="1419"/>
        <v>-1000</v>
      </c>
    </row>
    <row r="712">
      <c r="A712" s="132" t="s">
        <v>4214</v>
      </c>
      <c r="B712" s="132">
        <v>200.0</v>
      </c>
      <c r="C712" s="132">
        <v>100.0</v>
      </c>
      <c r="D712" s="132">
        <v>0.0</v>
      </c>
      <c r="E712" s="132">
        <v>0.0</v>
      </c>
      <c r="F712" s="132">
        <v>0.0</v>
      </c>
      <c r="G712" s="132">
        <v>0.0</v>
      </c>
      <c r="H712" s="132">
        <v>0.0</v>
      </c>
      <c r="I712" s="132">
        <v>0.0</v>
      </c>
      <c r="J712" s="132">
        <v>0.0</v>
      </c>
      <c r="K712" s="132">
        <v>0.0</v>
      </c>
      <c r="L712" s="132">
        <v>0.0</v>
      </c>
      <c r="M712" s="132">
        <v>100.0</v>
      </c>
      <c r="N712" s="132">
        <v>0.0</v>
      </c>
      <c r="O712" s="132">
        <v>0.0</v>
      </c>
      <c r="P712" s="132">
        <v>0.0</v>
      </c>
      <c r="Q712" s="132">
        <v>0.0</v>
      </c>
      <c r="R712" s="132">
        <v>0.0</v>
      </c>
      <c r="S712" s="132">
        <v>0.0</v>
      </c>
      <c r="T712" s="132">
        <v>0.0</v>
      </c>
      <c r="U712" s="132">
        <v>0.0</v>
      </c>
      <c r="V712" s="132">
        <v>0.0</v>
      </c>
      <c r="W712" s="132">
        <v>0.0</v>
      </c>
      <c r="Y712" s="132" t="s">
        <v>4214</v>
      </c>
      <c r="Z712" s="132">
        <f t="shared" ref="Z712:AC712" si="1420">C712-1000</f>
        <v>-900</v>
      </c>
      <c r="AA712" s="132">
        <f t="shared" si="1420"/>
        <v>-1000</v>
      </c>
      <c r="AB712" s="132">
        <f t="shared" si="1420"/>
        <v>-1000</v>
      </c>
      <c r="AC712" s="132">
        <f t="shared" si="1420"/>
        <v>-1000</v>
      </c>
      <c r="AD712" s="132">
        <f t="shared" si="4"/>
        <v>-10000</v>
      </c>
      <c r="AE712" s="132">
        <f t="shared" ref="AE712:AS712" si="1421">H712-1000</f>
        <v>-1000</v>
      </c>
      <c r="AF712" s="132">
        <f t="shared" si="1421"/>
        <v>-1000</v>
      </c>
      <c r="AG712" s="132">
        <f t="shared" si="1421"/>
        <v>-1000</v>
      </c>
      <c r="AH712" s="132">
        <f t="shared" si="1421"/>
        <v>-1000</v>
      </c>
      <c r="AI712" s="132">
        <f t="shared" si="1421"/>
        <v>-1000</v>
      </c>
      <c r="AJ712" s="132">
        <f t="shared" si="1421"/>
        <v>-900</v>
      </c>
      <c r="AK712" s="132">
        <f t="shared" si="1421"/>
        <v>-1000</v>
      </c>
      <c r="AL712" s="132">
        <f t="shared" si="1421"/>
        <v>-1000</v>
      </c>
      <c r="AM712" s="132">
        <f t="shared" si="1421"/>
        <v>-1000</v>
      </c>
      <c r="AN712" s="132">
        <f t="shared" si="1421"/>
        <v>-1000</v>
      </c>
      <c r="AO712" s="132">
        <f t="shared" si="1421"/>
        <v>-1000</v>
      </c>
      <c r="AP712" s="132">
        <f t="shared" si="1421"/>
        <v>-1000</v>
      </c>
      <c r="AQ712" s="132">
        <f t="shared" si="1421"/>
        <v>-1000</v>
      </c>
      <c r="AR712" s="132">
        <f t="shared" si="1421"/>
        <v>-1000</v>
      </c>
      <c r="AS712" s="132">
        <f t="shared" si="1421"/>
        <v>-1000</v>
      </c>
    </row>
    <row r="713">
      <c r="A713" s="132" t="s">
        <v>4215</v>
      </c>
      <c r="B713" s="132">
        <v>50.0</v>
      </c>
      <c r="C713" s="132">
        <v>0.0</v>
      </c>
      <c r="D713" s="132">
        <v>0.0</v>
      </c>
      <c r="E713" s="132">
        <v>0.0</v>
      </c>
      <c r="F713" s="132">
        <v>0.0</v>
      </c>
      <c r="G713" s="132">
        <v>0.0</v>
      </c>
      <c r="H713" s="132">
        <v>0.0</v>
      </c>
      <c r="I713" s="132">
        <v>0.0</v>
      </c>
      <c r="J713" s="132">
        <v>0.0</v>
      </c>
      <c r="K713" s="132">
        <v>0.0</v>
      </c>
      <c r="L713" s="132">
        <v>0.0</v>
      </c>
      <c r="M713" s="132">
        <v>50.0</v>
      </c>
      <c r="N713" s="132">
        <v>0.0</v>
      </c>
      <c r="O713" s="132">
        <v>0.0</v>
      </c>
      <c r="P713" s="132">
        <v>0.0</v>
      </c>
      <c r="Q713" s="132">
        <v>0.0</v>
      </c>
      <c r="R713" s="132">
        <v>0.0</v>
      </c>
      <c r="S713" s="132">
        <v>0.0</v>
      </c>
      <c r="T713" s="132">
        <v>0.0</v>
      </c>
      <c r="U713" s="132">
        <v>0.0</v>
      </c>
      <c r="V713" s="132">
        <v>0.0</v>
      </c>
      <c r="W713" s="132">
        <v>0.0</v>
      </c>
      <c r="Y713" s="132" t="s">
        <v>4215</v>
      </c>
      <c r="Z713" s="132">
        <f t="shared" ref="Z713:AC713" si="1422">C713-1000</f>
        <v>-1000</v>
      </c>
      <c r="AA713" s="132">
        <f t="shared" si="1422"/>
        <v>-1000</v>
      </c>
      <c r="AB713" s="132">
        <f t="shared" si="1422"/>
        <v>-1000</v>
      </c>
      <c r="AC713" s="132">
        <f t="shared" si="1422"/>
        <v>-1000</v>
      </c>
      <c r="AD713" s="132">
        <f t="shared" si="4"/>
        <v>-10000</v>
      </c>
      <c r="AE713" s="132">
        <f t="shared" ref="AE713:AS713" si="1423">H713-1000</f>
        <v>-1000</v>
      </c>
      <c r="AF713" s="132">
        <f t="shared" si="1423"/>
        <v>-1000</v>
      </c>
      <c r="AG713" s="132">
        <f t="shared" si="1423"/>
        <v>-1000</v>
      </c>
      <c r="AH713" s="132">
        <f t="shared" si="1423"/>
        <v>-1000</v>
      </c>
      <c r="AI713" s="132">
        <f t="shared" si="1423"/>
        <v>-1000</v>
      </c>
      <c r="AJ713" s="132">
        <f t="shared" si="1423"/>
        <v>-950</v>
      </c>
      <c r="AK713" s="132">
        <f t="shared" si="1423"/>
        <v>-1000</v>
      </c>
      <c r="AL713" s="132">
        <f t="shared" si="1423"/>
        <v>-1000</v>
      </c>
      <c r="AM713" s="132">
        <f t="shared" si="1423"/>
        <v>-1000</v>
      </c>
      <c r="AN713" s="132">
        <f t="shared" si="1423"/>
        <v>-1000</v>
      </c>
      <c r="AO713" s="132">
        <f t="shared" si="1423"/>
        <v>-1000</v>
      </c>
      <c r="AP713" s="132">
        <f t="shared" si="1423"/>
        <v>-1000</v>
      </c>
      <c r="AQ713" s="132">
        <f t="shared" si="1423"/>
        <v>-1000</v>
      </c>
      <c r="AR713" s="132">
        <f t="shared" si="1423"/>
        <v>-1000</v>
      </c>
      <c r="AS713" s="132">
        <f t="shared" si="1423"/>
        <v>-1000</v>
      </c>
    </row>
    <row r="714">
      <c r="A714" s="132" t="s">
        <v>4216</v>
      </c>
      <c r="B714" s="132">
        <v>100.0</v>
      </c>
      <c r="C714" s="132">
        <v>0.0</v>
      </c>
      <c r="D714" s="132">
        <v>0.0</v>
      </c>
      <c r="E714" s="132">
        <v>0.0</v>
      </c>
      <c r="F714" s="132">
        <v>0.0</v>
      </c>
      <c r="G714" s="132">
        <v>0.0</v>
      </c>
      <c r="H714" s="132">
        <v>0.0</v>
      </c>
      <c r="I714" s="132">
        <v>0.0</v>
      </c>
      <c r="J714" s="132">
        <v>0.0</v>
      </c>
      <c r="K714" s="132">
        <v>0.0</v>
      </c>
      <c r="L714" s="132">
        <v>0.0</v>
      </c>
      <c r="M714" s="132">
        <v>100.0</v>
      </c>
      <c r="N714" s="132">
        <v>0.0</v>
      </c>
      <c r="O714" s="132">
        <v>0.0</v>
      </c>
      <c r="P714" s="132">
        <v>0.0</v>
      </c>
      <c r="Q714" s="132">
        <v>0.0</v>
      </c>
      <c r="R714" s="132">
        <v>0.0</v>
      </c>
      <c r="S714" s="132">
        <v>0.0</v>
      </c>
      <c r="T714" s="132">
        <v>0.0</v>
      </c>
      <c r="U714" s="132">
        <v>0.0</v>
      </c>
      <c r="V714" s="132">
        <v>0.0</v>
      </c>
      <c r="W714" s="132">
        <v>0.0</v>
      </c>
      <c r="Y714" s="132" t="s">
        <v>4216</v>
      </c>
      <c r="Z714" s="132">
        <f t="shared" ref="Z714:AC714" si="1424">C714-1000</f>
        <v>-1000</v>
      </c>
      <c r="AA714" s="132">
        <f t="shared" si="1424"/>
        <v>-1000</v>
      </c>
      <c r="AB714" s="132">
        <f t="shared" si="1424"/>
        <v>-1000</v>
      </c>
      <c r="AC714" s="132">
        <f t="shared" si="1424"/>
        <v>-1000</v>
      </c>
      <c r="AD714" s="132">
        <f t="shared" si="4"/>
        <v>-10000</v>
      </c>
      <c r="AE714" s="132">
        <f t="shared" ref="AE714:AS714" si="1425">H714-1000</f>
        <v>-1000</v>
      </c>
      <c r="AF714" s="132">
        <f t="shared" si="1425"/>
        <v>-1000</v>
      </c>
      <c r="AG714" s="132">
        <f t="shared" si="1425"/>
        <v>-1000</v>
      </c>
      <c r="AH714" s="132">
        <f t="shared" si="1425"/>
        <v>-1000</v>
      </c>
      <c r="AI714" s="132">
        <f t="shared" si="1425"/>
        <v>-1000</v>
      </c>
      <c r="AJ714" s="132">
        <f t="shared" si="1425"/>
        <v>-900</v>
      </c>
      <c r="AK714" s="132">
        <f t="shared" si="1425"/>
        <v>-1000</v>
      </c>
      <c r="AL714" s="132">
        <f t="shared" si="1425"/>
        <v>-1000</v>
      </c>
      <c r="AM714" s="132">
        <f t="shared" si="1425"/>
        <v>-1000</v>
      </c>
      <c r="AN714" s="132">
        <f t="shared" si="1425"/>
        <v>-1000</v>
      </c>
      <c r="AO714" s="132">
        <f t="shared" si="1425"/>
        <v>-1000</v>
      </c>
      <c r="AP714" s="132">
        <f t="shared" si="1425"/>
        <v>-1000</v>
      </c>
      <c r="AQ714" s="132">
        <f t="shared" si="1425"/>
        <v>-1000</v>
      </c>
      <c r="AR714" s="132">
        <f t="shared" si="1425"/>
        <v>-1000</v>
      </c>
      <c r="AS714" s="132">
        <f t="shared" si="1425"/>
        <v>-1000</v>
      </c>
    </row>
    <row r="715">
      <c r="A715" s="132" t="s">
        <v>4217</v>
      </c>
      <c r="B715" s="132">
        <v>350.0</v>
      </c>
      <c r="C715" s="132">
        <v>0.0</v>
      </c>
      <c r="D715" s="132">
        <v>0.0</v>
      </c>
      <c r="E715" s="132">
        <v>0.0</v>
      </c>
      <c r="F715" s="132">
        <v>0.0</v>
      </c>
      <c r="G715" s="132">
        <v>0.0</v>
      </c>
      <c r="H715" s="132">
        <v>0.0</v>
      </c>
      <c r="I715" s="132">
        <v>0.0</v>
      </c>
      <c r="J715" s="132">
        <v>0.0</v>
      </c>
      <c r="K715" s="132">
        <v>0.0</v>
      </c>
      <c r="L715" s="132">
        <v>0.0</v>
      </c>
      <c r="M715" s="132">
        <v>350.0</v>
      </c>
      <c r="N715" s="132">
        <v>0.0</v>
      </c>
      <c r="O715" s="132">
        <v>0.0</v>
      </c>
      <c r="P715" s="132">
        <v>0.0</v>
      </c>
      <c r="Q715" s="132">
        <v>0.0</v>
      </c>
      <c r="R715" s="132">
        <v>0.0</v>
      </c>
      <c r="S715" s="132">
        <v>0.0</v>
      </c>
      <c r="T715" s="132">
        <v>0.0</v>
      </c>
      <c r="U715" s="132">
        <v>0.0</v>
      </c>
      <c r="V715" s="132">
        <v>0.0</v>
      </c>
      <c r="W715" s="132">
        <v>0.0</v>
      </c>
      <c r="Y715" s="132" t="s">
        <v>4217</v>
      </c>
      <c r="Z715" s="132">
        <f t="shared" ref="Z715:AC715" si="1426">C715-1000</f>
        <v>-1000</v>
      </c>
      <c r="AA715" s="132">
        <f t="shared" si="1426"/>
        <v>-1000</v>
      </c>
      <c r="AB715" s="132">
        <f t="shared" si="1426"/>
        <v>-1000</v>
      </c>
      <c r="AC715" s="132">
        <f t="shared" si="1426"/>
        <v>-1000</v>
      </c>
      <c r="AD715" s="132">
        <f t="shared" si="4"/>
        <v>-10000</v>
      </c>
      <c r="AE715" s="132">
        <f t="shared" ref="AE715:AS715" si="1427">H715-1000</f>
        <v>-1000</v>
      </c>
      <c r="AF715" s="132">
        <f t="shared" si="1427"/>
        <v>-1000</v>
      </c>
      <c r="AG715" s="132">
        <f t="shared" si="1427"/>
        <v>-1000</v>
      </c>
      <c r="AH715" s="132">
        <f t="shared" si="1427"/>
        <v>-1000</v>
      </c>
      <c r="AI715" s="132">
        <f t="shared" si="1427"/>
        <v>-1000</v>
      </c>
      <c r="AJ715" s="132">
        <f t="shared" si="1427"/>
        <v>-650</v>
      </c>
      <c r="AK715" s="132">
        <f t="shared" si="1427"/>
        <v>-1000</v>
      </c>
      <c r="AL715" s="132">
        <f t="shared" si="1427"/>
        <v>-1000</v>
      </c>
      <c r="AM715" s="132">
        <f t="shared" si="1427"/>
        <v>-1000</v>
      </c>
      <c r="AN715" s="132">
        <f t="shared" si="1427"/>
        <v>-1000</v>
      </c>
      <c r="AO715" s="132">
        <f t="shared" si="1427"/>
        <v>-1000</v>
      </c>
      <c r="AP715" s="132">
        <f t="shared" si="1427"/>
        <v>-1000</v>
      </c>
      <c r="AQ715" s="132">
        <f t="shared" si="1427"/>
        <v>-1000</v>
      </c>
      <c r="AR715" s="132">
        <f t="shared" si="1427"/>
        <v>-1000</v>
      </c>
      <c r="AS715" s="132">
        <f t="shared" si="1427"/>
        <v>-1000</v>
      </c>
    </row>
    <row r="716">
      <c r="A716" s="132" t="s">
        <v>4218</v>
      </c>
      <c r="B716" s="132">
        <v>1000.0</v>
      </c>
      <c r="C716" s="132">
        <v>0.0</v>
      </c>
      <c r="D716" s="132">
        <v>0.0</v>
      </c>
      <c r="E716" s="132">
        <v>0.0</v>
      </c>
      <c r="F716" s="132">
        <v>0.0</v>
      </c>
      <c r="G716" s="132">
        <v>0.0</v>
      </c>
      <c r="H716" s="132">
        <v>0.0</v>
      </c>
      <c r="I716" s="132">
        <v>0.0</v>
      </c>
      <c r="J716" s="132">
        <v>0.0</v>
      </c>
      <c r="K716" s="132">
        <v>0.0</v>
      </c>
      <c r="L716" s="132">
        <v>0.0</v>
      </c>
      <c r="M716" s="132">
        <v>1000.0</v>
      </c>
      <c r="N716" s="132">
        <v>0.0</v>
      </c>
      <c r="O716" s="132">
        <v>0.0</v>
      </c>
      <c r="P716" s="132">
        <v>0.0</v>
      </c>
      <c r="Q716" s="132">
        <v>0.0</v>
      </c>
      <c r="R716" s="132">
        <v>0.0</v>
      </c>
      <c r="S716" s="132">
        <v>0.0</v>
      </c>
      <c r="T716" s="132">
        <v>0.0</v>
      </c>
      <c r="U716" s="132">
        <v>0.0</v>
      </c>
      <c r="V716" s="132">
        <v>0.0</v>
      </c>
      <c r="W716" s="132">
        <v>0.0</v>
      </c>
      <c r="Y716" s="132" t="s">
        <v>4218</v>
      </c>
      <c r="Z716" s="132">
        <f t="shared" ref="Z716:AC716" si="1428">C716-1000</f>
        <v>-1000</v>
      </c>
      <c r="AA716" s="132">
        <f t="shared" si="1428"/>
        <v>-1000</v>
      </c>
      <c r="AB716" s="132">
        <f t="shared" si="1428"/>
        <v>-1000</v>
      </c>
      <c r="AC716" s="132">
        <f t="shared" si="1428"/>
        <v>-1000</v>
      </c>
      <c r="AD716" s="132">
        <f t="shared" si="4"/>
        <v>-10000</v>
      </c>
      <c r="AE716" s="132">
        <f t="shared" ref="AE716:AS716" si="1429">H716-1000</f>
        <v>-1000</v>
      </c>
      <c r="AF716" s="132">
        <f t="shared" si="1429"/>
        <v>-1000</v>
      </c>
      <c r="AG716" s="132">
        <f t="shared" si="1429"/>
        <v>-1000</v>
      </c>
      <c r="AH716" s="132">
        <f t="shared" si="1429"/>
        <v>-1000</v>
      </c>
      <c r="AI716" s="132">
        <f t="shared" si="1429"/>
        <v>-1000</v>
      </c>
      <c r="AJ716" s="132">
        <f t="shared" si="1429"/>
        <v>0</v>
      </c>
      <c r="AK716" s="132">
        <f t="shared" si="1429"/>
        <v>-1000</v>
      </c>
      <c r="AL716" s="132">
        <f t="shared" si="1429"/>
        <v>-1000</v>
      </c>
      <c r="AM716" s="132">
        <f t="shared" si="1429"/>
        <v>-1000</v>
      </c>
      <c r="AN716" s="132">
        <f t="shared" si="1429"/>
        <v>-1000</v>
      </c>
      <c r="AO716" s="132">
        <f t="shared" si="1429"/>
        <v>-1000</v>
      </c>
      <c r="AP716" s="132">
        <f t="shared" si="1429"/>
        <v>-1000</v>
      </c>
      <c r="AQ716" s="132">
        <f t="shared" si="1429"/>
        <v>-1000</v>
      </c>
      <c r="AR716" s="132">
        <f t="shared" si="1429"/>
        <v>-1000</v>
      </c>
      <c r="AS716" s="132">
        <f t="shared" si="1429"/>
        <v>-1000</v>
      </c>
    </row>
    <row r="717">
      <c r="A717" s="132" t="s">
        <v>4219</v>
      </c>
      <c r="B717" s="132">
        <v>250.0</v>
      </c>
      <c r="C717" s="132">
        <v>0.0</v>
      </c>
      <c r="D717" s="132">
        <v>0.0</v>
      </c>
      <c r="E717" s="132">
        <v>0.0</v>
      </c>
      <c r="F717" s="132">
        <v>0.0</v>
      </c>
      <c r="G717" s="132">
        <v>0.0</v>
      </c>
      <c r="H717" s="132">
        <v>0.0</v>
      </c>
      <c r="I717" s="132">
        <v>0.0</v>
      </c>
      <c r="J717" s="132">
        <v>0.0</v>
      </c>
      <c r="K717" s="132">
        <v>0.0</v>
      </c>
      <c r="L717" s="132">
        <v>0.0</v>
      </c>
      <c r="M717" s="132">
        <v>250.0</v>
      </c>
      <c r="N717" s="132">
        <v>0.0</v>
      </c>
      <c r="O717" s="132">
        <v>0.0</v>
      </c>
      <c r="P717" s="132">
        <v>0.0</v>
      </c>
      <c r="Q717" s="132">
        <v>0.0</v>
      </c>
      <c r="R717" s="132">
        <v>0.0</v>
      </c>
      <c r="S717" s="132">
        <v>0.0</v>
      </c>
      <c r="T717" s="132">
        <v>0.0</v>
      </c>
      <c r="U717" s="132">
        <v>0.0</v>
      </c>
      <c r="V717" s="132">
        <v>0.0</v>
      </c>
      <c r="W717" s="132">
        <v>0.0</v>
      </c>
      <c r="Y717" s="132" t="s">
        <v>4219</v>
      </c>
      <c r="Z717" s="132">
        <f t="shared" ref="Z717:AC717" si="1430">C717-1000</f>
        <v>-1000</v>
      </c>
      <c r="AA717" s="132">
        <f t="shared" si="1430"/>
        <v>-1000</v>
      </c>
      <c r="AB717" s="132">
        <f t="shared" si="1430"/>
        <v>-1000</v>
      </c>
      <c r="AC717" s="132">
        <f t="shared" si="1430"/>
        <v>-1000</v>
      </c>
      <c r="AD717" s="132">
        <f t="shared" si="4"/>
        <v>-10000</v>
      </c>
      <c r="AE717" s="132">
        <f t="shared" ref="AE717:AS717" si="1431">H717-1000</f>
        <v>-1000</v>
      </c>
      <c r="AF717" s="132">
        <f t="shared" si="1431"/>
        <v>-1000</v>
      </c>
      <c r="AG717" s="132">
        <f t="shared" si="1431"/>
        <v>-1000</v>
      </c>
      <c r="AH717" s="132">
        <f t="shared" si="1431"/>
        <v>-1000</v>
      </c>
      <c r="AI717" s="132">
        <f t="shared" si="1431"/>
        <v>-1000</v>
      </c>
      <c r="AJ717" s="132">
        <f t="shared" si="1431"/>
        <v>-750</v>
      </c>
      <c r="AK717" s="132">
        <f t="shared" si="1431"/>
        <v>-1000</v>
      </c>
      <c r="AL717" s="132">
        <f t="shared" si="1431"/>
        <v>-1000</v>
      </c>
      <c r="AM717" s="132">
        <f t="shared" si="1431"/>
        <v>-1000</v>
      </c>
      <c r="AN717" s="132">
        <f t="shared" si="1431"/>
        <v>-1000</v>
      </c>
      <c r="AO717" s="132">
        <f t="shared" si="1431"/>
        <v>-1000</v>
      </c>
      <c r="AP717" s="132">
        <f t="shared" si="1431"/>
        <v>-1000</v>
      </c>
      <c r="AQ717" s="132">
        <f t="shared" si="1431"/>
        <v>-1000</v>
      </c>
      <c r="AR717" s="132">
        <f t="shared" si="1431"/>
        <v>-1000</v>
      </c>
      <c r="AS717" s="132">
        <f t="shared" si="1431"/>
        <v>-1000</v>
      </c>
    </row>
    <row r="718">
      <c r="A718" s="132" t="s">
        <v>4220</v>
      </c>
      <c r="B718" s="132">
        <v>500.0</v>
      </c>
      <c r="C718" s="132">
        <v>0.0</v>
      </c>
      <c r="D718" s="132">
        <v>0.0</v>
      </c>
      <c r="E718" s="132">
        <v>0.0</v>
      </c>
      <c r="F718" s="132">
        <v>0.0</v>
      </c>
      <c r="G718" s="132">
        <v>0.0</v>
      </c>
      <c r="H718" s="132">
        <v>0.0</v>
      </c>
      <c r="I718" s="132">
        <v>0.0</v>
      </c>
      <c r="J718" s="132">
        <v>0.0</v>
      </c>
      <c r="K718" s="132">
        <v>0.0</v>
      </c>
      <c r="L718" s="132">
        <v>0.0</v>
      </c>
      <c r="M718" s="132">
        <v>500.0</v>
      </c>
      <c r="N718" s="132">
        <v>0.0</v>
      </c>
      <c r="O718" s="132">
        <v>0.0</v>
      </c>
      <c r="P718" s="132">
        <v>0.0</v>
      </c>
      <c r="Q718" s="132">
        <v>0.0</v>
      </c>
      <c r="R718" s="132">
        <v>0.0</v>
      </c>
      <c r="S718" s="132">
        <v>0.0</v>
      </c>
      <c r="T718" s="132">
        <v>0.0</v>
      </c>
      <c r="U718" s="132">
        <v>0.0</v>
      </c>
      <c r="V718" s="132">
        <v>0.0</v>
      </c>
      <c r="W718" s="132">
        <v>0.0</v>
      </c>
      <c r="Y718" s="132" t="s">
        <v>4220</v>
      </c>
      <c r="Z718" s="132">
        <f t="shared" ref="Z718:AC718" si="1432">C718-1000</f>
        <v>-1000</v>
      </c>
      <c r="AA718" s="132">
        <f t="shared" si="1432"/>
        <v>-1000</v>
      </c>
      <c r="AB718" s="132">
        <f t="shared" si="1432"/>
        <v>-1000</v>
      </c>
      <c r="AC718" s="132">
        <f t="shared" si="1432"/>
        <v>-1000</v>
      </c>
      <c r="AD718" s="132">
        <f t="shared" si="4"/>
        <v>-10000</v>
      </c>
      <c r="AE718" s="132">
        <f t="shared" ref="AE718:AS718" si="1433">H718-1000</f>
        <v>-1000</v>
      </c>
      <c r="AF718" s="132">
        <f t="shared" si="1433"/>
        <v>-1000</v>
      </c>
      <c r="AG718" s="132">
        <f t="shared" si="1433"/>
        <v>-1000</v>
      </c>
      <c r="AH718" s="132">
        <f t="shared" si="1433"/>
        <v>-1000</v>
      </c>
      <c r="AI718" s="132">
        <f t="shared" si="1433"/>
        <v>-1000</v>
      </c>
      <c r="AJ718" s="132">
        <f t="shared" si="1433"/>
        <v>-500</v>
      </c>
      <c r="AK718" s="132">
        <f t="shared" si="1433"/>
        <v>-1000</v>
      </c>
      <c r="AL718" s="132">
        <f t="shared" si="1433"/>
        <v>-1000</v>
      </c>
      <c r="AM718" s="132">
        <f t="shared" si="1433"/>
        <v>-1000</v>
      </c>
      <c r="AN718" s="132">
        <f t="shared" si="1433"/>
        <v>-1000</v>
      </c>
      <c r="AO718" s="132">
        <f t="shared" si="1433"/>
        <v>-1000</v>
      </c>
      <c r="AP718" s="132">
        <f t="shared" si="1433"/>
        <v>-1000</v>
      </c>
      <c r="AQ718" s="132">
        <f t="shared" si="1433"/>
        <v>-1000</v>
      </c>
      <c r="AR718" s="132">
        <f t="shared" si="1433"/>
        <v>-1000</v>
      </c>
      <c r="AS718" s="132">
        <f t="shared" si="1433"/>
        <v>-1000</v>
      </c>
    </row>
    <row r="719">
      <c r="A719" s="132" t="s">
        <v>4221</v>
      </c>
      <c r="B719" s="132">
        <v>118.0</v>
      </c>
      <c r="C719" s="132">
        <v>0.0</v>
      </c>
      <c r="D719" s="132">
        <v>0.0</v>
      </c>
      <c r="E719" s="132">
        <v>0.0</v>
      </c>
      <c r="F719" s="132">
        <v>0.0</v>
      </c>
      <c r="G719" s="132">
        <v>0.0</v>
      </c>
      <c r="H719" s="132">
        <v>0.0</v>
      </c>
      <c r="I719" s="132">
        <v>0.0</v>
      </c>
      <c r="J719" s="132">
        <v>0.0</v>
      </c>
      <c r="K719" s="132">
        <v>0.0</v>
      </c>
      <c r="L719" s="132">
        <v>0.0</v>
      </c>
      <c r="M719" s="132">
        <v>118.0</v>
      </c>
      <c r="N719" s="132">
        <v>0.0</v>
      </c>
      <c r="O719" s="132">
        <v>0.0</v>
      </c>
      <c r="P719" s="132">
        <v>0.0</v>
      </c>
      <c r="Q719" s="132">
        <v>0.0</v>
      </c>
      <c r="R719" s="132">
        <v>0.0</v>
      </c>
      <c r="S719" s="132">
        <v>0.0</v>
      </c>
      <c r="T719" s="132">
        <v>0.0</v>
      </c>
      <c r="U719" s="132">
        <v>0.0</v>
      </c>
      <c r="V719" s="132">
        <v>0.0</v>
      </c>
      <c r="W719" s="132">
        <v>0.0</v>
      </c>
      <c r="Y719" s="132" t="s">
        <v>4221</v>
      </c>
      <c r="Z719" s="132">
        <f t="shared" ref="Z719:AC719" si="1434">C719-1000</f>
        <v>-1000</v>
      </c>
      <c r="AA719" s="132">
        <f t="shared" si="1434"/>
        <v>-1000</v>
      </c>
      <c r="AB719" s="132">
        <f t="shared" si="1434"/>
        <v>-1000</v>
      </c>
      <c r="AC719" s="132">
        <f t="shared" si="1434"/>
        <v>-1000</v>
      </c>
      <c r="AD719" s="132">
        <f t="shared" si="4"/>
        <v>-10000</v>
      </c>
      <c r="AE719" s="132">
        <f t="shared" ref="AE719:AS719" si="1435">H719-1000</f>
        <v>-1000</v>
      </c>
      <c r="AF719" s="132">
        <f t="shared" si="1435"/>
        <v>-1000</v>
      </c>
      <c r="AG719" s="132">
        <f t="shared" si="1435"/>
        <v>-1000</v>
      </c>
      <c r="AH719" s="132">
        <f t="shared" si="1435"/>
        <v>-1000</v>
      </c>
      <c r="AI719" s="132">
        <f t="shared" si="1435"/>
        <v>-1000</v>
      </c>
      <c r="AJ719" s="132">
        <f t="shared" si="1435"/>
        <v>-882</v>
      </c>
      <c r="AK719" s="132">
        <f t="shared" si="1435"/>
        <v>-1000</v>
      </c>
      <c r="AL719" s="132">
        <f t="shared" si="1435"/>
        <v>-1000</v>
      </c>
      <c r="AM719" s="132">
        <f t="shared" si="1435"/>
        <v>-1000</v>
      </c>
      <c r="AN719" s="132">
        <f t="shared" si="1435"/>
        <v>-1000</v>
      </c>
      <c r="AO719" s="132">
        <f t="shared" si="1435"/>
        <v>-1000</v>
      </c>
      <c r="AP719" s="132">
        <f t="shared" si="1435"/>
        <v>-1000</v>
      </c>
      <c r="AQ719" s="132">
        <f t="shared" si="1435"/>
        <v>-1000</v>
      </c>
      <c r="AR719" s="132">
        <f t="shared" si="1435"/>
        <v>-1000</v>
      </c>
      <c r="AS719" s="132">
        <f t="shared" si="1435"/>
        <v>-1000</v>
      </c>
    </row>
    <row r="720">
      <c r="A720" s="132" t="s">
        <v>4222</v>
      </c>
      <c r="B720" s="132">
        <v>25.0</v>
      </c>
      <c r="C720" s="132">
        <v>0.0</v>
      </c>
      <c r="D720" s="132">
        <v>0.0</v>
      </c>
      <c r="E720" s="132">
        <v>0.0</v>
      </c>
      <c r="F720" s="132">
        <v>0.0</v>
      </c>
      <c r="G720" s="132">
        <v>0.0</v>
      </c>
      <c r="H720" s="132">
        <v>0.0</v>
      </c>
      <c r="I720" s="132">
        <v>0.0</v>
      </c>
      <c r="J720" s="132">
        <v>0.0</v>
      </c>
      <c r="K720" s="132">
        <v>0.0</v>
      </c>
      <c r="L720" s="132">
        <v>0.0</v>
      </c>
      <c r="M720" s="132">
        <v>25.0</v>
      </c>
      <c r="N720" s="132">
        <v>0.0</v>
      </c>
      <c r="O720" s="132">
        <v>0.0</v>
      </c>
      <c r="P720" s="132">
        <v>0.0</v>
      </c>
      <c r="Q720" s="132">
        <v>0.0</v>
      </c>
      <c r="R720" s="132">
        <v>0.0</v>
      </c>
      <c r="S720" s="132">
        <v>0.0</v>
      </c>
      <c r="T720" s="132">
        <v>0.0</v>
      </c>
      <c r="U720" s="132">
        <v>0.0</v>
      </c>
      <c r="V720" s="132">
        <v>0.0</v>
      </c>
      <c r="W720" s="132">
        <v>0.0</v>
      </c>
      <c r="Y720" s="132" t="s">
        <v>4222</v>
      </c>
      <c r="Z720" s="132">
        <f t="shared" ref="Z720:AC720" si="1436">C720-1000</f>
        <v>-1000</v>
      </c>
      <c r="AA720" s="132">
        <f t="shared" si="1436"/>
        <v>-1000</v>
      </c>
      <c r="AB720" s="132">
        <f t="shared" si="1436"/>
        <v>-1000</v>
      </c>
      <c r="AC720" s="132">
        <f t="shared" si="1436"/>
        <v>-1000</v>
      </c>
      <c r="AD720" s="132">
        <f t="shared" si="4"/>
        <v>-10000</v>
      </c>
      <c r="AE720" s="132">
        <f t="shared" ref="AE720:AS720" si="1437">H720-1000</f>
        <v>-1000</v>
      </c>
      <c r="AF720" s="132">
        <f t="shared" si="1437"/>
        <v>-1000</v>
      </c>
      <c r="AG720" s="132">
        <f t="shared" si="1437"/>
        <v>-1000</v>
      </c>
      <c r="AH720" s="132">
        <f t="shared" si="1437"/>
        <v>-1000</v>
      </c>
      <c r="AI720" s="132">
        <f t="shared" si="1437"/>
        <v>-1000</v>
      </c>
      <c r="AJ720" s="132">
        <f t="shared" si="1437"/>
        <v>-975</v>
      </c>
      <c r="AK720" s="132">
        <f t="shared" si="1437"/>
        <v>-1000</v>
      </c>
      <c r="AL720" s="132">
        <f t="shared" si="1437"/>
        <v>-1000</v>
      </c>
      <c r="AM720" s="132">
        <f t="shared" si="1437"/>
        <v>-1000</v>
      </c>
      <c r="AN720" s="132">
        <f t="shared" si="1437"/>
        <v>-1000</v>
      </c>
      <c r="AO720" s="132">
        <f t="shared" si="1437"/>
        <v>-1000</v>
      </c>
      <c r="AP720" s="132">
        <f t="shared" si="1437"/>
        <v>-1000</v>
      </c>
      <c r="AQ720" s="132">
        <f t="shared" si="1437"/>
        <v>-1000</v>
      </c>
      <c r="AR720" s="132">
        <f t="shared" si="1437"/>
        <v>-1000</v>
      </c>
      <c r="AS720" s="132">
        <f t="shared" si="1437"/>
        <v>-1000</v>
      </c>
    </row>
    <row r="721">
      <c r="A721" s="132" t="s">
        <v>4223</v>
      </c>
      <c r="B721" s="132">
        <v>1000.0</v>
      </c>
      <c r="C721" s="132">
        <v>0.0</v>
      </c>
      <c r="D721" s="132">
        <v>0.0</v>
      </c>
      <c r="E721" s="132">
        <v>0.0</v>
      </c>
      <c r="F721" s="132">
        <v>0.0</v>
      </c>
      <c r="G721" s="132">
        <v>0.0</v>
      </c>
      <c r="H721" s="132">
        <v>0.0</v>
      </c>
      <c r="I721" s="132">
        <v>0.0</v>
      </c>
      <c r="J721" s="132">
        <v>0.0</v>
      </c>
      <c r="K721" s="132">
        <v>0.0</v>
      </c>
      <c r="L721" s="132">
        <v>0.0</v>
      </c>
      <c r="M721" s="132">
        <v>1000.0</v>
      </c>
      <c r="N721" s="132">
        <v>0.0</v>
      </c>
      <c r="O721" s="132">
        <v>0.0</v>
      </c>
      <c r="P721" s="132">
        <v>0.0</v>
      </c>
      <c r="Q721" s="132">
        <v>0.0</v>
      </c>
      <c r="R721" s="132">
        <v>0.0</v>
      </c>
      <c r="S721" s="132">
        <v>0.0</v>
      </c>
      <c r="T721" s="132">
        <v>0.0</v>
      </c>
      <c r="U721" s="132">
        <v>0.0</v>
      </c>
      <c r="V721" s="132">
        <v>0.0</v>
      </c>
      <c r="W721" s="132">
        <v>0.0</v>
      </c>
      <c r="Y721" s="132" t="s">
        <v>4223</v>
      </c>
      <c r="Z721" s="132">
        <f t="shared" ref="Z721:AC721" si="1438">C721-1000</f>
        <v>-1000</v>
      </c>
      <c r="AA721" s="132">
        <f t="shared" si="1438"/>
        <v>-1000</v>
      </c>
      <c r="AB721" s="132">
        <f t="shared" si="1438"/>
        <v>-1000</v>
      </c>
      <c r="AC721" s="132">
        <f t="shared" si="1438"/>
        <v>-1000</v>
      </c>
      <c r="AD721" s="132">
        <f t="shared" si="4"/>
        <v>-10000</v>
      </c>
      <c r="AE721" s="132">
        <f t="shared" ref="AE721:AS721" si="1439">H721-1000</f>
        <v>-1000</v>
      </c>
      <c r="AF721" s="132">
        <f t="shared" si="1439"/>
        <v>-1000</v>
      </c>
      <c r="AG721" s="132">
        <f t="shared" si="1439"/>
        <v>-1000</v>
      </c>
      <c r="AH721" s="132">
        <f t="shared" si="1439"/>
        <v>-1000</v>
      </c>
      <c r="AI721" s="132">
        <f t="shared" si="1439"/>
        <v>-1000</v>
      </c>
      <c r="AJ721" s="132">
        <f t="shared" si="1439"/>
        <v>0</v>
      </c>
      <c r="AK721" s="132">
        <f t="shared" si="1439"/>
        <v>-1000</v>
      </c>
      <c r="AL721" s="132">
        <f t="shared" si="1439"/>
        <v>-1000</v>
      </c>
      <c r="AM721" s="132">
        <f t="shared" si="1439"/>
        <v>-1000</v>
      </c>
      <c r="AN721" s="132">
        <f t="shared" si="1439"/>
        <v>-1000</v>
      </c>
      <c r="AO721" s="132">
        <f t="shared" si="1439"/>
        <v>-1000</v>
      </c>
      <c r="AP721" s="132">
        <f t="shared" si="1439"/>
        <v>-1000</v>
      </c>
      <c r="AQ721" s="132">
        <f t="shared" si="1439"/>
        <v>-1000</v>
      </c>
      <c r="AR721" s="132">
        <f t="shared" si="1439"/>
        <v>-1000</v>
      </c>
      <c r="AS721" s="132">
        <f t="shared" si="1439"/>
        <v>-1000</v>
      </c>
    </row>
    <row r="722">
      <c r="A722" s="132" t="s">
        <v>4224</v>
      </c>
      <c r="B722" s="132">
        <v>439.7</v>
      </c>
      <c r="C722" s="132">
        <v>189.7</v>
      </c>
      <c r="D722" s="132">
        <v>0.0</v>
      </c>
      <c r="E722" s="132">
        <v>0.0</v>
      </c>
      <c r="F722" s="132">
        <v>0.0</v>
      </c>
      <c r="G722" s="132">
        <v>0.0</v>
      </c>
      <c r="H722" s="132">
        <v>0.0</v>
      </c>
      <c r="I722" s="132">
        <v>0.0</v>
      </c>
      <c r="J722" s="132">
        <v>0.0</v>
      </c>
      <c r="K722" s="132">
        <v>0.0</v>
      </c>
      <c r="L722" s="132">
        <v>0.0</v>
      </c>
      <c r="M722" s="132">
        <v>250.0</v>
      </c>
      <c r="N722" s="132">
        <v>0.0</v>
      </c>
      <c r="O722" s="132">
        <v>0.0</v>
      </c>
      <c r="P722" s="132">
        <v>0.0</v>
      </c>
      <c r="Q722" s="132">
        <v>0.0</v>
      </c>
      <c r="R722" s="132">
        <v>0.0</v>
      </c>
      <c r="S722" s="132">
        <v>0.0</v>
      </c>
      <c r="T722" s="132">
        <v>0.0</v>
      </c>
      <c r="U722" s="132">
        <v>0.0</v>
      </c>
      <c r="V722" s="132">
        <v>0.0</v>
      </c>
      <c r="W722" s="132">
        <v>1.0</v>
      </c>
      <c r="Y722" s="132" t="s">
        <v>4224</v>
      </c>
      <c r="Z722" s="132">
        <f t="shared" ref="Z722:AC722" si="1440">C722-1000</f>
        <v>-810.3</v>
      </c>
      <c r="AA722" s="132">
        <f t="shared" si="1440"/>
        <v>-1000</v>
      </c>
      <c r="AB722" s="132">
        <f t="shared" si="1440"/>
        <v>-1000</v>
      </c>
      <c r="AC722" s="132">
        <f t="shared" si="1440"/>
        <v>-1000</v>
      </c>
      <c r="AD722" s="132">
        <f t="shared" si="4"/>
        <v>-10000</v>
      </c>
      <c r="AE722" s="132">
        <f t="shared" ref="AE722:AS722" si="1441">H722-1000</f>
        <v>-1000</v>
      </c>
      <c r="AF722" s="132">
        <f t="shared" si="1441"/>
        <v>-1000</v>
      </c>
      <c r="AG722" s="132">
        <f t="shared" si="1441"/>
        <v>-1000</v>
      </c>
      <c r="AH722" s="132">
        <f t="shared" si="1441"/>
        <v>-1000</v>
      </c>
      <c r="AI722" s="132">
        <f t="shared" si="1441"/>
        <v>-1000</v>
      </c>
      <c r="AJ722" s="132">
        <f t="shared" si="1441"/>
        <v>-750</v>
      </c>
      <c r="AK722" s="132">
        <f t="shared" si="1441"/>
        <v>-1000</v>
      </c>
      <c r="AL722" s="132">
        <f t="shared" si="1441"/>
        <v>-1000</v>
      </c>
      <c r="AM722" s="132">
        <f t="shared" si="1441"/>
        <v>-1000</v>
      </c>
      <c r="AN722" s="132">
        <f t="shared" si="1441"/>
        <v>-1000</v>
      </c>
      <c r="AO722" s="132">
        <f t="shared" si="1441"/>
        <v>-1000</v>
      </c>
      <c r="AP722" s="132">
        <f t="shared" si="1441"/>
        <v>-1000</v>
      </c>
      <c r="AQ722" s="132">
        <f t="shared" si="1441"/>
        <v>-1000</v>
      </c>
      <c r="AR722" s="132">
        <f t="shared" si="1441"/>
        <v>-1000</v>
      </c>
      <c r="AS722" s="132">
        <f t="shared" si="1441"/>
        <v>-1000</v>
      </c>
    </row>
    <row r="723">
      <c r="A723" s="132" t="s">
        <v>4225</v>
      </c>
      <c r="B723" s="132">
        <v>100.0</v>
      </c>
      <c r="C723" s="132">
        <v>0.0</v>
      </c>
      <c r="D723" s="132">
        <v>0.0</v>
      </c>
      <c r="E723" s="132">
        <v>0.0</v>
      </c>
      <c r="F723" s="132">
        <v>0.0</v>
      </c>
      <c r="G723" s="132">
        <v>0.0</v>
      </c>
      <c r="H723" s="132">
        <v>0.0</v>
      </c>
      <c r="I723" s="132">
        <v>0.0</v>
      </c>
      <c r="J723" s="132">
        <v>0.0</v>
      </c>
      <c r="K723" s="132">
        <v>0.0</v>
      </c>
      <c r="L723" s="132">
        <v>0.0</v>
      </c>
      <c r="M723" s="132">
        <v>100.0</v>
      </c>
      <c r="N723" s="132">
        <v>0.0</v>
      </c>
      <c r="O723" s="132">
        <v>0.0</v>
      </c>
      <c r="P723" s="132">
        <v>0.0</v>
      </c>
      <c r="Q723" s="132">
        <v>0.0</v>
      </c>
      <c r="R723" s="132">
        <v>0.0</v>
      </c>
      <c r="S723" s="132">
        <v>0.0</v>
      </c>
      <c r="T723" s="132">
        <v>0.0</v>
      </c>
      <c r="U723" s="132">
        <v>0.0</v>
      </c>
      <c r="V723" s="132">
        <v>0.0</v>
      </c>
      <c r="W723" s="132">
        <v>0.0</v>
      </c>
      <c r="Y723" s="132" t="s">
        <v>4225</v>
      </c>
      <c r="Z723" s="132">
        <f t="shared" ref="Z723:AC723" si="1442">C723-1000</f>
        <v>-1000</v>
      </c>
      <c r="AA723" s="132">
        <f t="shared" si="1442"/>
        <v>-1000</v>
      </c>
      <c r="AB723" s="132">
        <f t="shared" si="1442"/>
        <v>-1000</v>
      </c>
      <c r="AC723" s="132">
        <f t="shared" si="1442"/>
        <v>-1000</v>
      </c>
      <c r="AD723" s="132">
        <f t="shared" si="4"/>
        <v>-10000</v>
      </c>
      <c r="AE723" s="132">
        <f t="shared" ref="AE723:AS723" si="1443">H723-1000</f>
        <v>-1000</v>
      </c>
      <c r="AF723" s="132">
        <f t="shared" si="1443"/>
        <v>-1000</v>
      </c>
      <c r="AG723" s="132">
        <f t="shared" si="1443"/>
        <v>-1000</v>
      </c>
      <c r="AH723" s="132">
        <f t="shared" si="1443"/>
        <v>-1000</v>
      </c>
      <c r="AI723" s="132">
        <f t="shared" si="1443"/>
        <v>-1000</v>
      </c>
      <c r="AJ723" s="132">
        <f t="shared" si="1443"/>
        <v>-900</v>
      </c>
      <c r="AK723" s="132">
        <f t="shared" si="1443"/>
        <v>-1000</v>
      </c>
      <c r="AL723" s="132">
        <f t="shared" si="1443"/>
        <v>-1000</v>
      </c>
      <c r="AM723" s="132">
        <f t="shared" si="1443"/>
        <v>-1000</v>
      </c>
      <c r="AN723" s="132">
        <f t="shared" si="1443"/>
        <v>-1000</v>
      </c>
      <c r="AO723" s="132">
        <f t="shared" si="1443"/>
        <v>-1000</v>
      </c>
      <c r="AP723" s="132">
        <f t="shared" si="1443"/>
        <v>-1000</v>
      </c>
      <c r="AQ723" s="132">
        <f t="shared" si="1443"/>
        <v>-1000</v>
      </c>
      <c r="AR723" s="132">
        <f t="shared" si="1443"/>
        <v>-1000</v>
      </c>
      <c r="AS723" s="132">
        <f t="shared" si="1443"/>
        <v>-1000</v>
      </c>
    </row>
    <row r="724">
      <c r="A724" s="132" t="s">
        <v>4226</v>
      </c>
      <c r="B724" s="132">
        <v>500.0</v>
      </c>
      <c r="C724" s="132">
        <v>0.0</v>
      </c>
      <c r="D724" s="132">
        <v>0.0</v>
      </c>
      <c r="E724" s="132">
        <v>0.0</v>
      </c>
      <c r="F724" s="132">
        <v>0.0</v>
      </c>
      <c r="G724" s="132">
        <v>0.0</v>
      </c>
      <c r="H724" s="132">
        <v>0.0</v>
      </c>
      <c r="I724" s="132">
        <v>0.0</v>
      </c>
      <c r="J724" s="132">
        <v>0.0</v>
      </c>
      <c r="K724" s="132">
        <v>0.0</v>
      </c>
      <c r="L724" s="132">
        <v>0.0</v>
      </c>
      <c r="M724" s="132">
        <v>500.0</v>
      </c>
      <c r="N724" s="132">
        <v>0.0</v>
      </c>
      <c r="O724" s="132">
        <v>0.0</v>
      </c>
      <c r="P724" s="132">
        <v>0.0</v>
      </c>
      <c r="Q724" s="132">
        <v>0.0</v>
      </c>
      <c r="R724" s="132">
        <v>0.0</v>
      </c>
      <c r="S724" s="132">
        <v>0.0</v>
      </c>
      <c r="T724" s="132">
        <v>0.0</v>
      </c>
      <c r="U724" s="132">
        <v>0.0</v>
      </c>
      <c r="V724" s="132">
        <v>0.0</v>
      </c>
      <c r="W724" s="132">
        <v>0.0</v>
      </c>
      <c r="Y724" s="132" t="s">
        <v>4226</v>
      </c>
      <c r="Z724" s="132">
        <f t="shared" ref="Z724:AC724" si="1444">C724-1000</f>
        <v>-1000</v>
      </c>
      <c r="AA724" s="132">
        <f t="shared" si="1444"/>
        <v>-1000</v>
      </c>
      <c r="AB724" s="132">
        <f t="shared" si="1444"/>
        <v>-1000</v>
      </c>
      <c r="AC724" s="132">
        <f t="shared" si="1444"/>
        <v>-1000</v>
      </c>
      <c r="AD724" s="132">
        <f t="shared" si="4"/>
        <v>-10000</v>
      </c>
      <c r="AE724" s="132">
        <f t="shared" ref="AE724:AS724" si="1445">H724-1000</f>
        <v>-1000</v>
      </c>
      <c r="AF724" s="132">
        <f t="shared" si="1445"/>
        <v>-1000</v>
      </c>
      <c r="AG724" s="132">
        <f t="shared" si="1445"/>
        <v>-1000</v>
      </c>
      <c r="AH724" s="132">
        <f t="shared" si="1445"/>
        <v>-1000</v>
      </c>
      <c r="AI724" s="132">
        <f t="shared" si="1445"/>
        <v>-1000</v>
      </c>
      <c r="AJ724" s="132">
        <f t="shared" si="1445"/>
        <v>-500</v>
      </c>
      <c r="AK724" s="132">
        <f t="shared" si="1445"/>
        <v>-1000</v>
      </c>
      <c r="AL724" s="132">
        <f t="shared" si="1445"/>
        <v>-1000</v>
      </c>
      <c r="AM724" s="132">
        <f t="shared" si="1445"/>
        <v>-1000</v>
      </c>
      <c r="AN724" s="132">
        <f t="shared" si="1445"/>
        <v>-1000</v>
      </c>
      <c r="AO724" s="132">
        <f t="shared" si="1445"/>
        <v>-1000</v>
      </c>
      <c r="AP724" s="132">
        <f t="shared" si="1445"/>
        <v>-1000</v>
      </c>
      <c r="AQ724" s="132">
        <f t="shared" si="1445"/>
        <v>-1000</v>
      </c>
      <c r="AR724" s="132">
        <f t="shared" si="1445"/>
        <v>-1000</v>
      </c>
      <c r="AS724" s="132">
        <f t="shared" si="1445"/>
        <v>-1000</v>
      </c>
    </row>
    <row r="725">
      <c r="A725" s="132" t="s">
        <v>4227</v>
      </c>
      <c r="B725" s="132">
        <v>100.0</v>
      </c>
      <c r="C725" s="132">
        <v>0.0</v>
      </c>
      <c r="D725" s="132">
        <v>0.0</v>
      </c>
      <c r="E725" s="132">
        <v>0.0</v>
      </c>
      <c r="F725" s="132">
        <v>0.0</v>
      </c>
      <c r="G725" s="132">
        <v>0.0</v>
      </c>
      <c r="H725" s="132">
        <v>0.0</v>
      </c>
      <c r="I725" s="132">
        <v>0.0</v>
      </c>
      <c r="J725" s="132">
        <v>0.0</v>
      </c>
      <c r="K725" s="132">
        <v>0.0</v>
      </c>
      <c r="L725" s="132">
        <v>0.0</v>
      </c>
      <c r="M725" s="132">
        <v>100.0</v>
      </c>
      <c r="N725" s="132">
        <v>0.0</v>
      </c>
      <c r="O725" s="132">
        <v>0.0</v>
      </c>
      <c r="P725" s="132">
        <v>0.0</v>
      </c>
      <c r="Q725" s="132">
        <v>0.0</v>
      </c>
      <c r="R725" s="132">
        <v>0.0</v>
      </c>
      <c r="S725" s="132">
        <v>0.0</v>
      </c>
      <c r="T725" s="132">
        <v>0.0</v>
      </c>
      <c r="U725" s="132">
        <v>0.0</v>
      </c>
      <c r="V725" s="132">
        <v>0.0</v>
      </c>
      <c r="W725" s="132">
        <v>0.0</v>
      </c>
      <c r="Y725" s="132" t="s">
        <v>4227</v>
      </c>
      <c r="Z725" s="132">
        <f t="shared" ref="Z725:AC725" si="1446">C725-1000</f>
        <v>-1000</v>
      </c>
      <c r="AA725" s="132">
        <f t="shared" si="1446"/>
        <v>-1000</v>
      </c>
      <c r="AB725" s="132">
        <f t="shared" si="1446"/>
        <v>-1000</v>
      </c>
      <c r="AC725" s="132">
        <f t="shared" si="1446"/>
        <v>-1000</v>
      </c>
      <c r="AD725" s="132">
        <f t="shared" si="4"/>
        <v>-10000</v>
      </c>
      <c r="AE725" s="132">
        <f t="shared" ref="AE725:AS725" si="1447">H725-1000</f>
        <v>-1000</v>
      </c>
      <c r="AF725" s="132">
        <f t="shared" si="1447"/>
        <v>-1000</v>
      </c>
      <c r="AG725" s="132">
        <f t="shared" si="1447"/>
        <v>-1000</v>
      </c>
      <c r="AH725" s="132">
        <f t="shared" si="1447"/>
        <v>-1000</v>
      </c>
      <c r="AI725" s="132">
        <f t="shared" si="1447"/>
        <v>-1000</v>
      </c>
      <c r="AJ725" s="132">
        <f t="shared" si="1447"/>
        <v>-900</v>
      </c>
      <c r="AK725" s="132">
        <f t="shared" si="1447"/>
        <v>-1000</v>
      </c>
      <c r="AL725" s="132">
        <f t="shared" si="1447"/>
        <v>-1000</v>
      </c>
      <c r="AM725" s="132">
        <f t="shared" si="1447"/>
        <v>-1000</v>
      </c>
      <c r="AN725" s="132">
        <f t="shared" si="1447"/>
        <v>-1000</v>
      </c>
      <c r="AO725" s="132">
        <f t="shared" si="1447"/>
        <v>-1000</v>
      </c>
      <c r="AP725" s="132">
        <f t="shared" si="1447"/>
        <v>-1000</v>
      </c>
      <c r="AQ725" s="132">
        <f t="shared" si="1447"/>
        <v>-1000</v>
      </c>
      <c r="AR725" s="132">
        <f t="shared" si="1447"/>
        <v>-1000</v>
      </c>
      <c r="AS725" s="132">
        <f t="shared" si="1447"/>
        <v>-1000</v>
      </c>
    </row>
    <row r="726">
      <c r="A726" s="132" t="s">
        <v>4228</v>
      </c>
      <c r="B726" s="132">
        <v>500.0</v>
      </c>
      <c r="C726" s="132">
        <v>0.0</v>
      </c>
      <c r="D726" s="132">
        <v>0.0</v>
      </c>
      <c r="E726" s="132">
        <v>0.0</v>
      </c>
      <c r="F726" s="132">
        <v>0.0</v>
      </c>
      <c r="G726" s="132">
        <v>0.0</v>
      </c>
      <c r="H726" s="132">
        <v>0.0</v>
      </c>
      <c r="I726" s="132">
        <v>0.0</v>
      </c>
      <c r="J726" s="132">
        <v>0.0</v>
      </c>
      <c r="K726" s="132">
        <v>0.0</v>
      </c>
      <c r="L726" s="132">
        <v>0.0</v>
      </c>
      <c r="M726" s="132">
        <v>500.0</v>
      </c>
      <c r="N726" s="132">
        <v>0.0</v>
      </c>
      <c r="O726" s="132">
        <v>0.0</v>
      </c>
      <c r="P726" s="132">
        <v>0.0</v>
      </c>
      <c r="Q726" s="132">
        <v>0.0</v>
      </c>
      <c r="R726" s="132">
        <v>0.0</v>
      </c>
      <c r="S726" s="132">
        <v>0.0</v>
      </c>
      <c r="T726" s="132">
        <v>0.0</v>
      </c>
      <c r="U726" s="132">
        <v>0.0</v>
      </c>
      <c r="V726" s="132">
        <v>0.0</v>
      </c>
      <c r="W726" s="132">
        <v>0.0</v>
      </c>
      <c r="Y726" s="132" t="s">
        <v>4228</v>
      </c>
      <c r="Z726" s="132">
        <f t="shared" ref="Z726:AC726" si="1448">C726-1000</f>
        <v>-1000</v>
      </c>
      <c r="AA726" s="132">
        <f t="shared" si="1448"/>
        <v>-1000</v>
      </c>
      <c r="AB726" s="132">
        <f t="shared" si="1448"/>
        <v>-1000</v>
      </c>
      <c r="AC726" s="132">
        <f t="shared" si="1448"/>
        <v>-1000</v>
      </c>
      <c r="AD726" s="132">
        <f t="shared" si="4"/>
        <v>-10000</v>
      </c>
      <c r="AE726" s="132">
        <f t="shared" ref="AE726:AS726" si="1449">H726-1000</f>
        <v>-1000</v>
      </c>
      <c r="AF726" s="132">
        <f t="shared" si="1449"/>
        <v>-1000</v>
      </c>
      <c r="AG726" s="132">
        <f t="shared" si="1449"/>
        <v>-1000</v>
      </c>
      <c r="AH726" s="132">
        <f t="shared" si="1449"/>
        <v>-1000</v>
      </c>
      <c r="AI726" s="132">
        <f t="shared" si="1449"/>
        <v>-1000</v>
      </c>
      <c r="AJ726" s="132">
        <f t="shared" si="1449"/>
        <v>-500</v>
      </c>
      <c r="AK726" s="132">
        <f t="shared" si="1449"/>
        <v>-1000</v>
      </c>
      <c r="AL726" s="132">
        <f t="shared" si="1449"/>
        <v>-1000</v>
      </c>
      <c r="AM726" s="132">
        <f t="shared" si="1449"/>
        <v>-1000</v>
      </c>
      <c r="AN726" s="132">
        <f t="shared" si="1449"/>
        <v>-1000</v>
      </c>
      <c r="AO726" s="132">
        <f t="shared" si="1449"/>
        <v>-1000</v>
      </c>
      <c r="AP726" s="132">
        <f t="shared" si="1449"/>
        <v>-1000</v>
      </c>
      <c r="AQ726" s="132">
        <f t="shared" si="1449"/>
        <v>-1000</v>
      </c>
      <c r="AR726" s="132">
        <f t="shared" si="1449"/>
        <v>-1000</v>
      </c>
      <c r="AS726" s="132">
        <f t="shared" si="1449"/>
        <v>-1000</v>
      </c>
    </row>
    <row r="727">
      <c r="A727" s="132" t="s">
        <v>4229</v>
      </c>
      <c r="B727" s="132">
        <v>500.0</v>
      </c>
      <c r="C727" s="132">
        <v>0.0</v>
      </c>
      <c r="D727" s="132">
        <v>0.0</v>
      </c>
      <c r="E727" s="132">
        <v>0.0</v>
      </c>
      <c r="F727" s="132">
        <v>0.0</v>
      </c>
      <c r="G727" s="132">
        <v>0.0</v>
      </c>
      <c r="H727" s="132">
        <v>0.0</v>
      </c>
      <c r="I727" s="132">
        <v>0.0</v>
      </c>
      <c r="J727" s="132">
        <v>0.0</v>
      </c>
      <c r="K727" s="132">
        <v>0.0</v>
      </c>
      <c r="L727" s="132">
        <v>0.0</v>
      </c>
      <c r="M727" s="132">
        <v>500.0</v>
      </c>
      <c r="N727" s="132">
        <v>0.0</v>
      </c>
      <c r="O727" s="132">
        <v>0.0</v>
      </c>
      <c r="P727" s="132">
        <v>0.0</v>
      </c>
      <c r="Q727" s="132">
        <v>0.0</v>
      </c>
      <c r="R727" s="132">
        <v>0.0</v>
      </c>
      <c r="S727" s="132">
        <v>0.0</v>
      </c>
      <c r="T727" s="132">
        <v>0.0</v>
      </c>
      <c r="U727" s="132">
        <v>0.0</v>
      </c>
      <c r="V727" s="132">
        <v>0.0</v>
      </c>
      <c r="W727" s="132">
        <v>0.0</v>
      </c>
      <c r="Y727" s="132" t="s">
        <v>4229</v>
      </c>
      <c r="Z727" s="132">
        <f t="shared" ref="Z727:AC727" si="1450">C727-1000</f>
        <v>-1000</v>
      </c>
      <c r="AA727" s="132">
        <f t="shared" si="1450"/>
        <v>-1000</v>
      </c>
      <c r="AB727" s="132">
        <f t="shared" si="1450"/>
        <v>-1000</v>
      </c>
      <c r="AC727" s="132">
        <f t="shared" si="1450"/>
        <v>-1000</v>
      </c>
      <c r="AD727" s="132">
        <f t="shared" si="4"/>
        <v>-10000</v>
      </c>
      <c r="AE727" s="132">
        <f t="shared" ref="AE727:AS727" si="1451">H727-1000</f>
        <v>-1000</v>
      </c>
      <c r="AF727" s="132">
        <f t="shared" si="1451"/>
        <v>-1000</v>
      </c>
      <c r="AG727" s="132">
        <f t="shared" si="1451"/>
        <v>-1000</v>
      </c>
      <c r="AH727" s="132">
        <f t="shared" si="1451"/>
        <v>-1000</v>
      </c>
      <c r="AI727" s="132">
        <f t="shared" si="1451"/>
        <v>-1000</v>
      </c>
      <c r="AJ727" s="132">
        <f t="shared" si="1451"/>
        <v>-500</v>
      </c>
      <c r="AK727" s="132">
        <f t="shared" si="1451"/>
        <v>-1000</v>
      </c>
      <c r="AL727" s="132">
        <f t="shared" si="1451"/>
        <v>-1000</v>
      </c>
      <c r="AM727" s="132">
        <f t="shared" si="1451"/>
        <v>-1000</v>
      </c>
      <c r="AN727" s="132">
        <f t="shared" si="1451"/>
        <v>-1000</v>
      </c>
      <c r="AO727" s="132">
        <f t="shared" si="1451"/>
        <v>-1000</v>
      </c>
      <c r="AP727" s="132">
        <f t="shared" si="1451"/>
        <v>-1000</v>
      </c>
      <c r="AQ727" s="132">
        <f t="shared" si="1451"/>
        <v>-1000</v>
      </c>
      <c r="AR727" s="132">
        <f t="shared" si="1451"/>
        <v>-1000</v>
      </c>
      <c r="AS727" s="132">
        <f t="shared" si="1451"/>
        <v>-1000</v>
      </c>
    </row>
    <row r="728">
      <c r="A728" s="132" t="s">
        <v>4230</v>
      </c>
      <c r="B728" s="132">
        <v>500.0</v>
      </c>
      <c r="C728" s="132">
        <v>0.0</v>
      </c>
      <c r="D728" s="132">
        <v>0.0</v>
      </c>
      <c r="E728" s="132">
        <v>0.0</v>
      </c>
      <c r="F728" s="132">
        <v>0.0</v>
      </c>
      <c r="G728" s="132">
        <v>0.0</v>
      </c>
      <c r="H728" s="132">
        <v>0.0</v>
      </c>
      <c r="I728" s="132">
        <v>0.0</v>
      </c>
      <c r="J728" s="132">
        <v>0.0</v>
      </c>
      <c r="K728" s="132">
        <v>0.0</v>
      </c>
      <c r="L728" s="132">
        <v>0.0</v>
      </c>
      <c r="M728" s="132">
        <v>500.0</v>
      </c>
      <c r="N728" s="132">
        <v>0.0</v>
      </c>
      <c r="O728" s="132">
        <v>0.0</v>
      </c>
      <c r="P728" s="132">
        <v>0.0</v>
      </c>
      <c r="Q728" s="132">
        <v>0.0</v>
      </c>
      <c r="R728" s="132">
        <v>0.0</v>
      </c>
      <c r="S728" s="132">
        <v>0.0</v>
      </c>
      <c r="T728" s="132">
        <v>0.0</v>
      </c>
      <c r="U728" s="132">
        <v>0.0</v>
      </c>
      <c r="V728" s="132">
        <v>0.0</v>
      </c>
      <c r="W728" s="132">
        <v>0.0</v>
      </c>
      <c r="Y728" s="132" t="s">
        <v>4230</v>
      </c>
      <c r="Z728" s="132">
        <f t="shared" ref="Z728:AC728" si="1452">C728-1000</f>
        <v>-1000</v>
      </c>
      <c r="AA728" s="132">
        <f t="shared" si="1452"/>
        <v>-1000</v>
      </c>
      <c r="AB728" s="132">
        <f t="shared" si="1452"/>
        <v>-1000</v>
      </c>
      <c r="AC728" s="132">
        <f t="shared" si="1452"/>
        <v>-1000</v>
      </c>
      <c r="AD728" s="132">
        <f t="shared" si="4"/>
        <v>-10000</v>
      </c>
      <c r="AE728" s="132">
        <f t="shared" ref="AE728:AS728" si="1453">H728-1000</f>
        <v>-1000</v>
      </c>
      <c r="AF728" s="132">
        <f t="shared" si="1453"/>
        <v>-1000</v>
      </c>
      <c r="AG728" s="132">
        <f t="shared" si="1453"/>
        <v>-1000</v>
      </c>
      <c r="AH728" s="132">
        <f t="shared" si="1453"/>
        <v>-1000</v>
      </c>
      <c r="AI728" s="132">
        <f t="shared" si="1453"/>
        <v>-1000</v>
      </c>
      <c r="AJ728" s="132">
        <f t="shared" si="1453"/>
        <v>-500</v>
      </c>
      <c r="AK728" s="132">
        <f t="shared" si="1453"/>
        <v>-1000</v>
      </c>
      <c r="AL728" s="132">
        <f t="shared" si="1453"/>
        <v>-1000</v>
      </c>
      <c r="AM728" s="132">
        <f t="shared" si="1453"/>
        <v>-1000</v>
      </c>
      <c r="AN728" s="132">
        <f t="shared" si="1453"/>
        <v>-1000</v>
      </c>
      <c r="AO728" s="132">
        <f t="shared" si="1453"/>
        <v>-1000</v>
      </c>
      <c r="AP728" s="132">
        <f t="shared" si="1453"/>
        <v>-1000</v>
      </c>
      <c r="AQ728" s="132">
        <f t="shared" si="1453"/>
        <v>-1000</v>
      </c>
      <c r="AR728" s="132">
        <f t="shared" si="1453"/>
        <v>-1000</v>
      </c>
      <c r="AS728" s="132">
        <f t="shared" si="1453"/>
        <v>-1000</v>
      </c>
    </row>
    <row r="729">
      <c r="A729" s="132" t="s">
        <v>4231</v>
      </c>
      <c r="B729" s="132">
        <v>1000.0</v>
      </c>
      <c r="C729" s="132">
        <v>0.0</v>
      </c>
      <c r="D729" s="132">
        <v>0.0</v>
      </c>
      <c r="E729" s="132">
        <v>0.0</v>
      </c>
      <c r="F729" s="132">
        <v>0.0</v>
      </c>
      <c r="G729" s="132">
        <v>0.0</v>
      </c>
      <c r="H729" s="132">
        <v>0.0</v>
      </c>
      <c r="I729" s="132">
        <v>0.0</v>
      </c>
      <c r="J729" s="132">
        <v>0.0</v>
      </c>
      <c r="K729" s="132">
        <v>0.0</v>
      </c>
      <c r="L729" s="132">
        <v>0.0</v>
      </c>
      <c r="M729" s="132">
        <v>1000.0</v>
      </c>
      <c r="N729" s="132">
        <v>0.0</v>
      </c>
      <c r="O729" s="132">
        <v>0.0</v>
      </c>
      <c r="P729" s="132">
        <v>0.0</v>
      </c>
      <c r="Q729" s="132">
        <v>0.0</v>
      </c>
      <c r="R729" s="132">
        <v>0.0</v>
      </c>
      <c r="S729" s="132">
        <v>0.0</v>
      </c>
      <c r="T729" s="132">
        <v>0.0</v>
      </c>
      <c r="U729" s="132">
        <v>0.0</v>
      </c>
      <c r="V729" s="132">
        <v>0.0</v>
      </c>
      <c r="W729" s="132">
        <v>0.0</v>
      </c>
      <c r="Y729" s="132" t="s">
        <v>4231</v>
      </c>
      <c r="Z729" s="132">
        <f t="shared" ref="Z729:AC729" si="1454">C729-1000</f>
        <v>-1000</v>
      </c>
      <c r="AA729" s="132">
        <f t="shared" si="1454"/>
        <v>-1000</v>
      </c>
      <c r="AB729" s="132">
        <f t="shared" si="1454"/>
        <v>-1000</v>
      </c>
      <c r="AC729" s="132">
        <f t="shared" si="1454"/>
        <v>-1000</v>
      </c>
      <c r="AD729" s="132">
        <f t="shared" si="4"/>
        <v>-10000</v>
      </c>
      <c r="AE729" s="132">
        <f t="shared" ref="AE729:AS729" si="1455">H729-1000</f>
        <v>-1000</v>
      </c>
      <c r="AF729" s="132">
        <f t="shared" si="1455"/>
        <v>-1000</v>
      </c>
      <c r="AG729" s="132">
        <f t="shared" si="1455"/>
        <v>-1000</v>
      </c>
      <c r="AH729" s="132">
        <f t="shared" si="1455"/>
        <v>-1000</v>
      </c>
      <c r="AI729" s="132">
        <f t="shared" si="1455"/>
        <v>-1000</v>
      </c>
      <c r="AJ729" s="132">
        <f t="shared" si="1455"/>
        <v>0</v>
      </c>
      <c r="AK729" s="132">
        <f t="shared" si="1455"/>
        <v>-1000</v>
      </c>
      <c r="AL729" s="132">
        <f t="shared" si="1455"/>
        <v>-1000</v>
      </c>
      <c r="AM729" s="132">
        <f t="shared" si="1455"/>
        <v>-1000</v>
      </c>
      <c r="AN729" s="132">
        <f t="shared" si="1455"/>
        <v>-1000</v>
      </c>
      <c r="AO729" s="132">
        <f t="shared" si="1455"/>
        <v>-1000</v>
      </c>
      <c r="AP729" s="132">
        <f t="shared" si="1455"/>
        <v>-1000</v>
      </c>
      <c r="AQ729" s="132">
        <f t="shared" si="1455"/>
        <v>-1000</v>
      </c>
      <c r="AR729" s="132">
        <f t="shared" si="1455"/>
        <v>-1000</v>
      </c>
      <c r="AS729" s="132">
        <f t="shared" si="1455"/>
        <v>-1000</v>
      </c>
    </row>
    <row r="730">
      <c r="A730" s="132" t="s">
        <v>4232</v>
      </c>
      <c r="B730" s="132">
        <v>1000.0</v>
      </c>
      <c r="C730" s="132">
        <v>0.0</v>
      </c>
      <c r="D730" s="132">
        <v>0.0</v>
      </c>
      <c r="E730" s="132">
        <v>0.0</v>
      </c>
      <c r="F730" s="132">
        <v>0.0</v>
      </c>
      <c r="G730" s="132">
        <v>0.0</v>
      </c>
      <c r="H730" s="132">
        <v>0.0</v>
      </c>
      <c r="I730" s="132">
        <v>0.0</v>
      </c>
      <c r="J730" s="132">
        <v>0.0</v>
      </c>
      <c r="K730" s="132">
        <v>0.0</v>
      </c>
      <c r="L730" s="132">
        <v>0.0</v>
      </c>
      <c r="M730" s="132">
        <v>1000.0</v>
      </c>
      <c r="N730" s="132">
        <v>0.0</v>
      </c>
      <c r="O730" s="132">
        <v>0.0</v>
      </c>
      <c r="P730" s="132">
        <v>0.0</v>
      </c>
      <c r="Q730" s="132">
        <v>0.0</v>
      </c>
      <c r="R730" s="132">
        <v>0.0</v>
      </c>
      <c r="S730" s="132">
        <v>0.0</v>
      </c>
      <c r="T730" s="132">
        <v>0.0</v>
      </c>
      <c r="U730" s="132">
        <v>0.0</v>
      </c>
      <c r="V730" s="132">
        <v>0.0</v>
      </c>
      <c r="W730" s="132">
        <v>0.0</v>
      </c>
      <c r="Y730" s="132" t="s">
        <v>4232</v>
      </c>
      <c r="Z730" s="132">
        <f t="shared" ref="Z730:AC730" si="1456">C730-1000</f>
        <v>-1000</v>
      </c>
      <c r="AA730" s="132">
        <f t="shared" si="1456"/>
        <v>-1000</v>
      </c>
      <c r="AB730" s="132">
        <f t="shared" si="1456"/>
        <v>-1000</v>
      </c>
      <c r="AC730" s="132">
        <f t="shared" si="1456"/>
        <v>-1000</v>
      </c>
      <c r="AD730" s="132">
        <f t="shared" si="4"/>
        <v>-10000</v>
      </c>
      <c r="AE730" s="132">
        <f t="shared" ref="AE730:AS730" si="1457">H730-1000</f>
        <v>-1000</v>
      </c>
      <c r="AF730" s="132">
        <f t="shared" si="1457"/>
        <v>-1000</v>
      </c>
      <c r="AG730" s="132">
        <f t="shared" si="1457"/>
        <v>-1000</v>
      </c>
      <c r="AH730" s="132">
        <f t="shared" si="1457"/>
        <v>-1000</v>
      </c>
      <c r="AI730" s="132">
        <f t="shared" si="1457"/>
        <v>-1000</v>
      </c>
      <c r="AJ730" s="132">
        <f t="shared" si="1457"/>
        <v>0</v>
      </c>
      <c r="AK730" s="132">
        <f t="shared" si="1457"/>
        <v>-1000</v>
      </c>
      <c r="AL730" s="132">
        <f t="shared" si="1457"/>
        <v>-1000</v>
      </c>
      <c r="AM730" s="132">
        <f t="shared" si="1457"/>
        <v>-1000</v>
      </c>
      <c r="AN730" s="132">
        <f t="shared" si="1457"/>
        <v>-1000</v>
      </c>
      <c r="AO730" s="132">
        <f t="shared" si="1457"/>
        <v>-1000</v>
      </c>
      <c r="AP730" s="132">
        <f t="shared" si="1457"/>
        <v>-1000</v>
      </c>
      <c r="AQ730" s="132">
        <f t="shared" si="1457"/>
        <v>-1000</v>
      </c>
      <c r="AR730" s="132">
        <f t="shared" si="1457"/>
        <v>-1000</v>
      </c>
      <c r="AS730" s="132">
        <f t="shared" si="1457"/>
        <v>-1000</v>
      </c>
    </row>
    <row r="731">
      <c r="A731" s="132" t="s">
        <v>4233</v>
      </c>
      <c r="B731" s="132">
        <v>1000.0</v>
      </c>
      <c r="C731" s="132">
        <v>0.0</v>
      </c>
      <c r="D731" s="132">
        <v>0.0</v>
      </c>
      <c r="E731" s="132">
        <v>0.0</v>
      </c>
      <c r="F731" s="132">
        <v>0.0</v>
      </c>
      <c r="G731" s="132">
        <v>0.0</v>
      </c>
      <c r="H731" s="132">
        <v>0.0</v>
      </c>
      <c r="I731" s="132">
        <v>0.0</v>
      </c>
      <c r="J731" s="132">
        <v>0.0</v>
      </c>
      <c r="K731" s="132">
        <v>0.0</v>
      </c>
      <c r="L731" s="132">
        <v>0.0</v>
      </c>
      <c r="M731" s="132">
        <v>1000.0</v>
      </c>
      <c r="N731" s="132">
        <v>0.0</v>
      </c>
      <c r="O731" s="132">
        <v>0.0</v>
      </c>
      <c r="P731" s="132">
        <v>0.0</v>
      </c>
      <c r="Q731" s="132">
        <v>0.0</v>
      </c>
      <c r="R731" s="132">
        <v>0.0</v>
      </c>
      <c r="S731" s="132">
        <v>0.0</v>
      </c>
      <c r="T731" s="132">
        <v>0.0</v>
      </c>
      <c r="U731" s="132">
        <v>0.0</v>
      </c>
      <c r="V731" s="132">
        <v>0.0</v>
      </c>
      <c r="W731" s="132">
        <v>0.0</v>
      </c>
      <c r="Y731" s="132" t="s">
        <v>4233</v>
      </c>
      <c r="Z731" s="132">
        <f t="shared" ref="Z731:AC731" si="1458">C731-1000</f>
        <v>-1000</v>
      </c>
      <c r="AA731" s="132">
        <f t="shared" si="1458"/>
        <v>-1000</v>
      </c>
      <c r="AB731" s="132">
        <f t="shared" si="1458"/>
        <v>-1000</v>
      </c>
      <c r="AC731" s="132">
        <f t="shared" si="1458"/>
        <v>-1000</v>
      </c>
      <c r="AD731" s="132">
        <f t="shared" si="4"/>
        <v>-10000</v>
      </c>
      <c r="AE731" s="132">
        <f t="shared" ref="AE731:AS731" si="1459">H731-1000</f>
        <v>-1000</v>
      </c>
      <c r="AF731" s="132">
        <f t="shared" si="1459"/>
        <v>-1000</v>
      </c>
      <c r="AG731" s="132">
        <f t="shared" si="1459"/>
        <v>-1000</v>
      </c>
      <c r="AH731" s="132">
        <f t="shared" si="1459"/>
        <v>-1000</v>
      </c>
      <c r="AI731" s="132">
        <f t="shared" si="1459"/>
        <v>-1000</v>
      </c>
      <c r="AJ731" s="132">
        <f t="shared" si="1459"/>
        <v>0</v>
      </c>
      <c r="AK731" s="132">
        <f t="shared" si="1459"/>
        <v>-1000</v>
      </c>
      <c r="AL731" s="132">
        <f t="shared" si="1459"/>
        <v>-1000</v>
      </c>
      <c r="AM731" s="132">
        <f t="shared" si="1459"/>
        <v>-1000</v>
      </c>
      <c r="AN731" s="132">
        <f t="shared" si="1459"/>
        <v>-1000</v>
      </c>
      <c r="AO731" s="132">
        <f t="shared" si="1459"/>
        <v>-1000</v>
      </c>
      <c r="AP731" s="132">
        <f t="shared" si="1459"/>
        <v>-1000</v>
      </c>
      <c r="AQ731" s="132">
        <f t="shared" si="1459"/>
        <v>-1000</v>
      </c>
      <c r="AR731" s="132">
        <f t="shared" si="1459"/>
        <v>-1000</v>
      </c>
      <c r="AS731" s="132">
        <f t="shared" si="1459"/>
        <v>-1000</v>
      </c>
    </row>
    <row r="732">
      <c r="A732" s="132" t="s">
        <v>4234</v>
      </c>
      <c r="B732" s="132">
        <v>250.0</v>
      </c>
      <c r="C732" s="132">
        <v>0.0</v>
      </c>
      <c r="D732" s="132">
        <v>0.0</v>
      </c>
      <c r="E732" s="132">
        <v>0.0</v>
      </c>
      <c r="F732" s="132">
        <v>0.0</v>
      </c>
      <c r="G732" s="132">
        <v>0.0</v>
      </c>
      <c r="H732" s="132">
        <v>0.0</v>
      </c>
      <c r="I732" s="132">
        <v>0.0</v>
      </c>
      <c r="J732" s="132">
        <v>0.0</v>
      </c>
      <c r="K732" s="132">
        <v>0.0</v>
      </c>
      <c r="L732" s="132">
        <v>0.0</v>
      </c>
      <c r="M732" s="132">
        <v>250.0</v>
      </c>
      <c r="N732" s="132">
        <v>0.0</v>
      </c>
      <c r="O732" s="132">
        <v>0.0</v>
      </c>
      <c r="P732" s="132">
        <v>0.0</v>
      </c>
      <c r="Q732" s="132">
        <v>0.0</v>
      </c>
      <c r="R732" s="132">
        <v>0.0</v>
      </c>
      <c r="S732" s="132">
        <v>0.0</v>
      </c>
      <c r="T732" s="132">
        <v>0.0</v>
      </c>
      <c r="U732" s="132">
        <v>0.0</v>
      </c>
      <c r="V732" s="132">
        <v>0.0</v>
      </c>
      <c r="W732" s="132">
        <v>0.0</v>
      </c>
      <c r="Y732" s="132" t="s">
        <v>4234</v>
      </c>
      <c r="Z732" s="132">
        <f t="shared" ref="Z732:AC732" si="1460">C732-1000</f>
        <v>-1000</v>
      </c>
      <c r="AA732" s="132">
        <f t="shared" si="1460"/>
        <v>-1000</v>
      </c>
      <c r="AB732" s="132">
        <f t="shared" si="1460"/>
        <v>-1000</v>
      </c>
      <c r="AC732" s="132">
        <f t="shared" si="1460"/>
        <v>-1000</v>
      </c>
      <c r="AD732" s="132">
        <f t="shared" si="4"/>
        <v>-10000</v>
      </c>
      <c r="AE732" s="132">
        <f t="shared" ref="AE732:AS732" si="1461">H732-1000</f>
        <v>-1000</v>
      </c>
      <c r="AF732" s="132">
        <f t="shared" si="1461"/>
        <v>-1000</v>
      </c>
      <c r="AG732" s="132">
        <f t="shared" si="1461"/>
        <v>-1000</v>
      </c>
      <c r="AH732" s="132">
        <f t="shared" si="1461"/>
        <v>-1000</v>
      </c>
      <c r="AI732" s="132">
        <f t="shared" si="1461"/>
        <v>-1000</v>
      </c>
      <c r="AJ732" s="132">
        <f t="shared" si="1461"/>
        <v>-750</v>
      </c>
      <c r="AK732" s="132">
        <f t="shared" si="1461"/>
        <v>-1000</v>
      </c>
      <c r="AL732" s="132">
        <f t="shared" si="1461"/>
        <v>-1000</v>
      </c>
      <c r="AM732" s="132">
        <f t="shared" si="1461"/>
        <v>-1000</v>
      </c>
      <c r="AN732" s="132">
        <f t="shared" si="1461"/>
        <v>-1000</v>
      </c>
      <c r="AO732" s="132">
        <f t="shared" si="1461"/>
        <v>-1000</v>
      </c>
      <c r="AP732" s="132">
        <f t="shared" si="1461"/>
        <v>-1000</v>
      </c>
      <c r="AQ732" s="132">
        <f t="shared" si="1461"/>
        <v>-1000</v>
      </c>
      <c r="AR732" s="132">
        <f t="shared" si="1461"/>
        <v>-1000</v>
      </c>
      <c r="AS732" s="132">
        <f t="shared" si="1461"/>
        <v>-1000</v>
      </c>
    </row>
    <row r="733">
      <c r="A733" s="132" t="s">
        <v>4235</v>
      </c>
      <c r="B733" s="132">
        <v>500.0</v>
      </c>
      <c r="C733" s="132">
        <v>0.0</v>
      </c>
      <c r="D733" s="132">
        <v>0.0</v>
      </c>
      <c r="E733" s="132">
        <v>0.0</v>
      </c>
      <c r="F733" s="132">
        <v>0.0</v>
      </c>
      <c r="G733" s="132">
        <v>0.0</v>
      </c>
      <c r="H733" s="132">
        <v>0.0</v>
      </c>
      <c r="I733" s="132">
        <v>0.0</v>
      </c>
      <c r="J733" s="132">
        <v>0.0</v>
      </c>
      <c r="K733" s="132">
        <v>0.0</v>
      </c>
      <c r="L733" s="132">
        <v>0.0</v>
      </c>
      <c r="M733" s="132">
        <v>500.0</v>
      </c>
      <c r="N733" s="132">
        <v>0.0</v>
      </c>
      <c r="O733" s="132">
        <v>0.0</v>
      </c>
      <c r="P733" s="132">
        <v>0.0</v>
      </c>
      <c r="Q733" s="132">
        <v>0.0</v>
      </c>
      <c r="R733" s="132">
        <v>0.0</v>
      </c>
      <c r="S733" s="132">
        <v>0.0</v>
      </c>
      <c r="T733" s="132">
        <v>0.0</v>
      </c>
      <c r="U733" s="132">
        <v>0.0</v>
      </c>
      <c r="V733" s="132">
        <v>0.0</v>
      </c>
      <c r="W733" s="132">
        <v>0.0</v>
      </c>
      <c r="Y733" s="132" t="s">
        <v>4235</v>
      </c>
      <c r="Z733" s="132">
        <f t="shared" ref="Z733:AC733" si="1462">C733-1000</f>
        <v>-1000</v>
      </c>
      <c r="AA733" s="132">
        <f t="shared" si="1462"/>
        <v>-1000</v>
      </c>
      <c r="AB733" s="132">
        <f t="shared" si="1462"/>
        <v>-1000</v>
      </c>
      <c r="AC733" s="132">
        <f t="shared" si="1462"/>
        <v>-1000</v>
      </c>
      <c r="AD733" s="132">
        <f t="shared" si="4"/>
        <v>-10000</v>
      </c>
      <c r="AE733" s="132">
        <f t="shared" ref="AE733:AS733" si="1463">H733-1000</f>
        <v>-1000</v>
      </c>
      <c r="AF733" s="132">
        <f t="shared" si="1463"/>
        <v>-1000</v>
      </c>
      <c r="AG733" s="132">
        <f t="shared" si="1463"/>
        <v>-1000</v>
      </c>
      <c r="AH733" s="132">
        <f t="shared" si="1463"/>
        <v>-1000</v>
      </c>
      <c r="AI733" s="132">
        <f t="shared" si="1463"/>
        <v>-1000</v>
      </c>
      <c r="AJ733" s="132">
        <f t="shared" si="1463"/>
        <v>-500</v>
      </c>
      <c r="AK733" s="132">
        <f t="shared" si="1463"/>
        <v>-1000</v>
      </c>
      <c r="AL733" s="132">
        <f t="shared" si="1463"/>
        <v>-1000</v>
      </c>
      <c r="AM733" s="132">
        <f t="shared" si="1463"/>
        <v>-1000</v>
      </c>
      <c r="AN733" s="132">
        <f t="shared" si="1463"/>
        <v>-1000</v>
      </c>
      <c r="AO733" s="132">
        <f t="shared" si="1463"/>
        <v>-1000</v>
      </c>
      <c r="AP733" s="132">
        <f t="shared" si="1463"/>
        <v>-1000</v>
      </c>
      <c r="AQ733" s="132">
        <f t="shared" si="1463"/>
        <v>-1000</v>
      </c>
      <c r="AR733" s="132">
        <f t="shared" si="1463"/>
        <v>-1000</v>
      </c>
      <c r="AS733" s="132">
        <f t="shared" si="1463"/>
        <v>-1000</v>
      </c>
    </row>
    <row r="734">
      <c r="A734" s="132" t="s">
        <v>4236</v>
      </c>
      <c r="B734" s="132">
        <v>1000.0</v>
      </c>
      <c r="C734" s="132">
        <v>0.0</v>
      </c>
      <c r="D734" s="132">
        <v>0.0</v>
      </c>
      <c r="E734" s="132">
        <v>0.0</v>
      </c>
      <c r="F734" s="132">
        <v>0.0</v>
      </c>
      <c r="G734" s="132">
        <v>0.0</v>
      </c>
      <c r="H734" s="132">
        <v>0.0</v>
      </c>
      <c r="I734" s="132">
        <v>0.0</v>
      </c>
      <c r="J734" s="132">
        <v>0.0</v>
      </c>
      <c r="K734" s="132">
        <v>0.0</v>
      </c>
      <c r="L734" s="132">
        <v>0.0</v>
      </c>
      <c r="M734" s="132">
        <v>1000.0</v>
      </c>
      <c r="N734" s="132">
        <v>0.0</v>
      </c>
      <c r="O734" s="132">
        <v>0.0</v>
      </c>
      <c r="P734" s="132">
        <v>0.0</v>
      </c>
      <c r="Q734" s="132">
        <v>0.0</v>
      </c>
      <c r="R734" s="132">
        <v>0.0</v>
      </c>
      <c r="S734" s="132">
        <v>0.0</v>
      </c>
      <c r="T734" s="132">
        <v>0.0</v>
      </c>
      <c r="U734" s="132">
        <v>0.0</v>
      </c>
      <c r="V734" s="132">
        <v>0.0</v>
      </c>
      <c r="W734" s="132">
        <v>0.0</v>
      </c>
      <c r="Y734" s="132" t="s">
        <v>4236</v>
      </c>
      <c r="Z734" s="132">
        <f t="shared" ref="Z734:AC734" si="1464">C734-1000</f>
        <v>-1000</v>
      </c>
      <c r="AA734" s="132">
        <f t="shared" si="1464"/>
        <v>-1000</v>
      </c>
      <c r="AB734" s="132">
        <f t="shared" si="1464"/>
        <v>-1000</v>
      </c>
      <c r="AC734" s="132">
        <f t="shared" si="1464"/>
        <v>-1000</v>
      </c>
      <c r="AD734" s="132">
        <f t="shared" si="4"/>
        <v>-10000</v>
      </c>
      <c r="AE734" s="132">
        <f t="shared" ref="AE734:AS734" si="1465">H734-1000</f>
        <v>-1000</v>
      </c>
      <c r="AF734" s="132">
        <f t="shared" si="1465"/>
        <v>-1000</v>
      </c>
      <c r="AG734" s="132">
        <f t="shared" si="1465"/>
        <v>-1000</v>
      </c>
      <c r="AH734" s="132">
        <f t="shared" si="1465"/>
        <v>-1000</v>
      </c>
      <c r="AI734" s="132">
        <f t="shared" si="1465"/>
        <v>-1000</v>
      </c>
      <c r="AJ734" s="132">
        <f t="shared" si="1465"/>
        <v>0</v>
      </c>
      <c r="AK734" s="132">
        <f t="shared" si="1465"/>
        <v>-1000</v>
      </c>
      <c r="AL734" s="132">
        <f t="shared" si="1465"/>
        <v>-1000</v>
      </c>
      <c r="AM734" s="132">
        <f t="shared" si="1465"/>
        <v>-1000</v>
      </c>
      <c r="AN734" s="132">
        <f t="shared" si="1465"/>
        <v>-1000</v>
      </c>
      <c r="AO734" s="132">
        <f t="shared" si="1465"/>
        <v>-1000</v>
      </c>
      <c r="AP734" s="132">
        <f t="shared" si="1465"/>
        <v>-1000</v>
      </c>
      <c r="AQ734" s="132">
        <f t="shared" si="1465"/>
        <v>-1000</v>
      </c>
      <c r="AR734" s="132">
        <f t="shared" si="1465"/>
        <v>-1000</v>
      </c>
      <c r="AS734" s="132">
        <f t="shared" si="1465"/>
        <v>-1000</v>
      </c>
    </row>
    <row r="735">
      <c r="A735" s="132" t="s">
        <v>4237</v>
      </c>
      <c r="B735" s="132">
        <v>100.0</v>
      </c>
      <c r="C735" s="132">
        <v>0.0</v>
      </c>
      <c r="D735" s="132">
        <v>0.0</v>
      </c>
      <c r="E735" s="132">
        <v>0.0</v>
      </c>
      <c r="F735" s="132">
        <v>0.0</v>
      </c>
      <c r="G735" s="132">
        <v>0.0</v>
      </c>
      <c r="H735" s="132">
        <v>0.0</v>
      </c>
      <c r="I735" s="132">
        <v>0.0</v>
      </c>
      <c r="J735" s="132">
        <v>0.0</v>
      </c>
      <c r="K735" s="132">
        <v>0.0</v>
      </c>
      <c r="L735" s="132">
        <v>0.0</v>
      </c>
      <c r="M735" s="132">
        <v>100.0</v>
      </c>
      <c r="N735" s="132">
        <v>0.0</v>
      </c>
      <c r="O735" s="132">
        <v>0.0</v>
      </c>
      <c r="P735" s="132">
        <v>0.0</v>
      </c>
      <c r="Q735" s="132">
        <v>0.0</v>
      </c>
      <c r="R735" s="132">
        <v>0.0</v>
      </c>
      <c r="S735" s="132">
        <v>0.0</v>
      </c>
      <c r="T735" s="132">
        <v>0.0</v>
      </c>
      <c r="U735" s="132">
        <v>0.0</v>
      </c>
      <c r="V735" s="132">
        <v>0.0</v>
      </c>
      <c r="W735" s="132">
        <v>0.0</v>
      </c>
      <c r="Y735" s="132" t="s">
        <v>4237</v>
      </c>
      <c r="Z735" s="132">
        <f t="shared" ref="Z735:AC735" si="1466">C735-1000</f>
        <v>-1000</v>
      </c>
      <c r="AA735" s="132">
        <f t="shared" si="1466"/>
        <v>-1000</v>
      </c>
      <c r="AB735" s="132">
        <f t="shared" si="1466"/>
        <v>-1000</v>
      </c>
      <c r="AC735" s="132">
        <f t="shared" si="1466"/>
        <v>-1000</v>
      </c>
      <c r="AD735" s="132">
        <f t="shared" si="4"/>
        <v>-10000</v>
      </c>
      <c r="AE735" s="132">
        <f t="shared" ref="AE735:AS735" si="1467">H735-1000</f>
        <v>-1000</v>
      </c>
      <c r="AF735" s="132">
        <f t="shared" si="1467"/>
        <v>-1000</v>
      </c>
      <c r="AG735" s="132">
        <f t="shared" si="1467"/>
        <v>-1000</v>
      </c>
      <c r="AH735" s="132">
        <f t="shared" si="1467"/>
        <v>-1000</v>
      </c>
      <c r="AI735" s="132">
        <f t="shared" si="1467"/>
        <v>-1000</v>
      </c>
      <c r="AJ735" s="132">
        <f t="shared" si="1467"/>
        <v>-900</v>
      </c>
      <c r="AK735" s="132">
        <f t="shared" si="1467"/>
        <v>-1000</v>
      </c>
      <c r="AL735" s="132">
        <f t="shared" si="1467"/>
        <v>-1000</v>
      </c>
      <c r="AM735" s="132">
        <f t="shared" si="1467"/>
        <v>-1000</v>
      </c>
      <c r="AN735" s="132">
        <f t="shared" si="1467"/>
        <v>-1000</v>
      </c>
      <c r="AO735" s="132">
        <f t="shared" si="1467"/>
        <v>-1000</v>
      </c>
      <c r="AP735" s="132">
        <f t="shared" si="1467"/>
        <v>-1000</v>
      </c>
      <c r="AQ735" s="132">
        <f t="shared" si="1467"/>
        <v>-1000</v>
      </c>
      <c r="AR735" s="132">
        <f t="shared" si="1467"/>
        <v>-1000</v>
      </c>
      <c r="AS735" s="132">
        <f t="shared" si="1467"/>
        <v>-1000</v>
      </c>
    </row>
    <row r="736">
      <c r="A736" s="132" t="s">
        <v>4238</v>
      </c>
      <c r="B736" s="132">
        <v>1000.0</v>
      </c>
      <c r="C736" s="132">
        <v>0.0</v>
      </c>
      <c r="D736" s="132">
        <v>0.0</v>
      </c>
      <c r="E736" s="132">
        <v>0.0</v>
      </c>
      <c r="F736" s="132">
        <v>0.0</v>
      </c>
      <c r="G736" s="132">
        <v>0.0</v>
      </c>
      <c r="H736" s="132">
        <v>0.0</v>
      </c>
      <c r="I736" s="132">
        <v>0.0</v>
      </c>
      <c r="J736" s="132">
        <v>0.0</v>
      </c>
      <c r="K736" s="132">
        <v>0.0</v>
      </c>
      <c r="L736" s="132">
        <v>0.0</v>
      </c>
      <c r="M736" s="132">
        <v>1000.0</v>
      </c>
      <c r="N736" s="132">
        <v>0.0</v>
      </c>
      <c r="O736" s="132">
        <v>0.0</v>
      </c>
      <c r="P736" s="132">
        <v>0.0</v>
      </c>
      <c r="Q736" s="132">
        <v>0.0</v>
      </c>
      <c r="R736" s="132">
        <v>0.0</v>
      </c>
      <c r="S736" s="132">
        <v>0.0</v>
      </c>
      <c r="T736" s="132">
        <v>0.0</v>
      </c>
      <c r="U736" s="132">
        <v>0.0</v>
      </c>
      <c r="V736" s="132">
        <v>0.0</v>
      </c>
      <c r="W736" s="132">
        <v>0.0</v>
      </c>
      <c r="Y736" s="132" t="s">
        <v>4238</v>
      </c>
      <c r="Z736" s="132">
        <f t="shared" ref="Z736:AC736" si="1468">C736-1000</f>
        <v>-1000</v>
      </c>
      <c r="AA736" s="132">
        <f t="shared" si="1468"/>
        <v>-1000</v>
      </c>
      <c r="AB736" s="132">
        <f t="shared" si="1468"/>
        <v>-1000</v>
      </c>
      <c r="AC736" s="132">
        <f t="shared" si="1468"/>
        <v>-1000</v>
      </c>
      <c r="AD736" s="132">
        <f t="shared" si="4"/>
        <v>-10000</v>
      </c>
      <c r="AE736" s="132">
        <f t="shared" ref="AE736:AS736" si="1469">H736-1000</f>
        <v>-1000</v>
      </c>
      <c r="AF736" s="132">
        <f t="shared" si="1469"/>
        <v>-1000</v>
      </c>
      <c r="AG736" s="132">
        <f t="shared" si="1469"/>
        <v>-1000</v>
      </c>
      <c r="AH736" s="132">
        <f t="shared" si="1469"/>
        <v>-1000</v>
      </c>
      <c r="AI736" s="132">
        <f t="shared" si="1469"/>
        <v>-1000</v>
      </c>
      <c r="AJ736" s="132">
        <f t="shared" si="1469"/>
        <v>0</v>
      </c>
      <c r="AK736" s="132">
        <f t="shared" si="1469"/>
        <v>-1000</v>
      </c>
      <c r="AL736" s="132">
        <f t="shared" si="1469"/>
        <v>-1000</v>
      </c>
      <c r="AM736" s="132">
        <f t="shared" si="1469"/>
        <v>-1000</v>
      </c>
      <c r="AN736" s="132">
        <f t="shared" si="1469"/>
        <v>-1000</v>
      </c>
      <c r="AO736" s="132">
        <f t="shared" si="1469"/>
        <v>-1000</v>
      </c>
      <c r="AP736" s="132">
        <f t="shared" si="1469"/>
        <v>-1000</v>
      </c>
      <c r="AQ736" s="132">
        <f t="shared" si="1469"/>
        <v>-1000</v>
      </c>
      <c r="AR736" s="132">
        <f t="shared" si="1469"/>
        <v>-1000</v>
      </c>
      <c r="AS736" s="132">
        <f t="shared" si="1469"/>
        <v>-1000</v>
      </c>
    </row>
    <row r="737">
      <c r="A737" s="132" t="s">
        <v>4239</v>
      </c>
      <c r="B737" s="132">
        <v>100.0</v>
      </c>
      <c r="C737" s="132">
        <v>0.0</v>
      </c>
      <c r="D737" s="132">
        <v>0.0</v>
      </c>
      <c r="E737" s="132">
        <v>0.0</v>
      </c>
      <c r="F737" s="132">
        <v>0.0</v>
      </c>
      <c r="G737" s="132">
        <v>0.0</v>
      </c>
      <c r="H737" s="132">
        <v>0.0</v>
      </c>
      <c r="I737" s="132">
        <v>0.0</v>
      </c>
      <c r="J737" s="132">
        <v>0.0</v>
      </c>
      <c r="K737" s="132">
        <v>0.0</v>
      </c>
      <c r="L737" s="132">
        <v>0.0</v>
      </c>
      <c r="M737" s="132">
        <v>100.0</v>
      </c>
      <c r="N737" s="132">
        <v>0.0</v>
      </c>
      <c r="O737" s="132">
        <v>0.0</v>
      </c>
      <c r="P737" s="132">
        <v>0.0</v>
      </c>
      <c r="Q737" s="132">
        <v>0.0</v>
      </c>
      <c r="R737" s="132">
        <v>0.0</v>
      </c>
      <c r="S737" s="132">
        <v>0.0</v>
      </c>
      <c r="T737" s="132">
        <v>0.0</v>
      </c>
      <c r="U737" s="132">
        <v>0.0</v>
      </c>
      <c r="V737" s="132">
        <v>0.0</v>
      </c>
      <c r="W737" s="132">
        <v>0.0</v>
      </c>
      <c r="Y737" s="132" t="s">
        <v>4239</v>
      </c>
      <c r="Z737" s="132">
        <f t="shared" ref="Z737:AC737" si="1470">C737-1000</f>
        <v>-1000</v>
      </c>
      <c r="AA737" s="132">
        <f t="shared" si="1470"/>
        <v>-1000</v>
      </c>
      <c r="AB737" s="132">
        <f t="shared" si="1470"/>
        <v>-1000</v>
      </c>
      <c r="AC737" s="132">
        <f t="shared" si="1470"/>
        <v>-1000</v>
      </c>
      <c r="AD737" s="132">
        <f t="shared" si="4"/>
        <v>-10000</v>
      </c>
      <c r="AE737" s="132">
        <f t="shared" ref="AE737:AS737" si="1471">H737-1000</f>
        <v>-1000</v>
      </c>
      <c r="AF737" s="132">
        <f t="shared" si="1471"/>
        <v>-1000</v>
      </c>
      <c r="AG737" s="132">
        <f t="shared" si="1471"/>
        <v>-1000</v>
      </c>
      <c r="AH737" s="132">
        <f t="shared" si="1471"/>
        <v>-1000</v>
      </c>
      <c r="AI737" s="132">
        <f t="shared" si="1471"/>
        <v>-1000</v>
      </c>
      <c r="AJ737" s="132">
        <f t="shared" si="1471"/>
        <v>-900</v>
      </c>
      <c r="AK737" s="132">
        <f t="shared" si="1471"/>
        <v>-1000</v>
      </c>
      <c r="AL737" s="132">
        <f t="shared" si="1471"/>
        <v>-1000</v>
      </c>
      <c r="AM737" s="132">
        <f t="shared" si="1471"/>
        <v>-1000</v>
      </c>
      <c r="AN737" s="132">
        <f t="shared" si="1471"/>
        <v>-1000</v>
      </c>
      <c r="AO737" s="132">
        <f t="shared" si="1471"/>
        <v>-1000</v>
      </c>
      <c r="AP737" s="132">
        <f t="shared" si="1471"/>
        <v>-1000</v>
      </c>
      <c r="AQ737" s="132">
        <f t="shared" si="1471"/>
        <v>-1000</v>
      </c>
      <c r="AR737" s="132">
        <f t="shared" si="1471"/>
        <v>-1000</v>
      </c>
      <c r="AS737" s="132">
        <f t="shared" si="1471"/>
        <v>-1000</v>
      </c>
    </row>
    <row r="738">
      <c r="A738" s="132" t="s">
        <v>4240</v>
      </c>
      <c r="B738" s="132">
        <v>180.0</v>
      </c>
      <c r="C738" s="132">
        <v>0.0</v>
      </c>
      <c r="D738" s="132">
        <v>0.0</v>
      </c>
      <c r="E738" s="132">
        <v>0.0</v>
      </c>
      <c r="F738" s="132">
        <v>0.0</v>
      </c>
      <c r="G738" s="132">
        <v>0.0</v>
      </c>
      <c r="H738" s="132">
        <v>0.0</v>
      </c>
      <c r="I738" s="132">
        <v>0.0</v>
      </c>
      <c r="J738" s="132">
        <v>0.0</v>
      </c>
      <c r="K738" s="132">
        <v>0.0</v>
      </c>
      <c r="L738" s="132">
        <v>0.0</v>
      </c>
      <c r="M738" s="132">
        <v>180.0</v>
      </c>
      <c r="N738" s="132">
        <v>0.0</v>
      </c>
      <c r="O738" s="132">
        <v>0.0</v>
      </c>
      <c r="P738" s="132">
        <v>0.0</v>
      </c>
      <c r="Q738" s="132">
        <v>0.0</v>
      </c>
      <c r="R738" s="132">
        <v>0.0</v>
      </c>
      <c r="S738" s="132">
        <v>0.0</v>
      </c>
      <c r="T738" s="132">
        <v>0.0</v>
      </c>
      <c r="U738" s="132">
        <v>0.0</v>
      </c>
      <c r="V738" s="132">
        <v>0.0</v>
      </c>
      <c r="W738" s="132">
        <v>0.0</v>
      </c>
      <c r="Y738" s="132" t="s">
        <v>4240</v>
      </c>
      <c r="Z738" s="132">
        <f t="shared" ref="Z738:AC738" si="1472">C738-1000</f>
        <v>-1000</v>
      </c>
      <c r="AA738" s="132">
        <f t="shared" si="1472"/>
        <v>-1000</v>
      </c>
      <c r="AB738" s="132">
        <f t="shared" si="1472"/>
        <v>-1000</v>
      </c>
      <c r="AC738" s="132">
        <f t="shared" si="1472"/>
        <v>-1000</v>
      </c>
      <c r="AD738" s="132">
        <f t="shared" si="4"/>
        <v>-10000</v>
      </c>
      <c r="AE738" s="132">
        <f t="shared" ref="AE738:AS738" si="1473">H738-1000</f>
        <v>-1000</v>
      </c>
      <c r="AF738" s="132">
        <f t="shared" si="1473"/>
        <v>-1000</v>
      </c>
      <c r="AG738" s="132">
        <f t="shared" si="1473"/>
        <v>-1000</v>
      </c>
      <c r="AH738" s="132">
        <f t="shared" si="1473"/>
        <v>-1000</v>
      </c>
      <c r="AI738" s="132">
        <f t="shared" si="1473"/>
        <v>-1000</v>
      </c>
      <c r="AJ738" s="132">
        <f t="shared" si="1473"/>
        <v>-820</v>
      </c>
      <c r="AK738" s="132">
        <f t="shared" si="1473"/>
        <v>-1000</v>
      </c>
      <c r="AL738" s="132">
        <f t="shared" si="1473"/>
        <v>-1000</v>
      </c>
      <c r="AM738" s="132">
        <f t="shared" si="1473"/>
        <v>-1000</v>
      </c>
      <c r="AN738" s="132">
        <f t="shared" si="1473"/>
        <v>-1000</v>
      </c>
      <c r="AO738" s="132">
        <f t="shared" si="1473"/>
        <v>-1000</v>
      </c>
      <c r="AP738" s="132">
        <f t="shared" si="1473"/>
        <v>-1000</v>
      </c>
      <c r="AQ738" s="132">
        <f t="shared" si="1473"/>
        <v>-1000</v>
      </c>
      <c r="AR738" s="132">
        <f t="shared" si="1473"/>
        <v>-1000</v>
      </c>
      <c r="AS738" s="132">
        <f t="shared" si="1473"/>
        <v>-1000</v>
      </c>
    </row>
    <row r="739">
      <c r="A739" s="132" t="s">
        <v>4241</v>
      </c>
      <c r="B739" s="132">
        <v>1000.0</v>
      </c>
      <c r="C739" s="132">
        <v>0.0</v>
      </c>
      <c r="D739" s="132">
        <v>0.0</v>
      </c>
      <c r="E739" s="132">
        <v>0.0</v>
      </c>
      <c r="F739" s="132">
        <v>0.0</v>
      </c>
      <c r="G739" s="132">
        <v>0.0</v>
      </c>
      <c r="H739" s="132">
        <v>0.0</v>
      </c>
      <c r="I739" s="132">
        <v>0.0</v>
      </c>
      <c r="J739" s="132">
        <v>0.0</v>
      </c>
      <c r="K739" s="132">
        <v>0.0</v>
      </c>
      <c r="L739" s="132">
        <v>0.0</v>
      </c>
      <c r="M739" s="132">
        <v>1000.0</v>
      </c>
      <c r="N739" s="132">
        <v>0.0</v>
      </c>
      <c r="O739" s="132">
        <v>0.0</v>
      </c>
      <c r="P739" s="132">
        <v>0.0</v>
      </c>
      <c r="Q739" s="132">
        <v>0.0</v>
      </c>
      <c r="R739" s="132">
        <v>0.0</v>
      </c>
      <c r="S739" s="132">
        <v>0.0</v>
      </c>
      <c r="T739" s="132">
        <v>0.0</v>
      </c>
      <c r="U739" s="132">
        <v>0.0</v>
      </c>
      <c r="V739" s="132">
        <v>0.0</v>
      </c>
      <c r="W739" s="132">
        <v>0.0</v>
      </c>
      <c r="Y739" s="132" t="s">
        <v>4241</v>
      </c>
      <c r="Z739" s="132">
        <f t="shared" ref="Z739:AC739" si="1474">C739-1000</f>
        <v>-1000</v>
      </c>
      <c r="AA739" s="132">
        <f t="shared" si="1474"/>
        <v>-1000</v>
      </c>
      <c r="AB739" s="132">
        <f t="shared" si="1474"/>
        <v>-1000</v>
      </c>
      <c r="AC739" s="132">
        <f t="shared" si="1474"/>
        <v>-1000</v>
      </c>
      <c r="AD739" s="132">
        <f t="shared" si="4"/>
        <v>-10000</v>
      </c>
      <c r="AE739" s="132">
        <f t="shared" ref="AE739:AS739" si="1475">H739-1000</f>
        <v>-1000</v>
      </c>
      <c r="AF739" s="132">
        <f t="shared" si="1475"/>
        <v>-1000</v>
      </c>
      <c r="AG739" s="132">
        <f t="shared" si="1475"/>
        <v>-1000</v>
      </c>
      <c r="AH739" s="132">
        <f t="shared" si="1475"/>
        <v>-1000</v>
      </c>
      <c r="AI739" s="132">
        <f t="shared" si="1475"/>
        <v>-1000</v>
      </c>
      <c r="AJ739" s="132">
        <f t="shared" si="1475"/>
        <v>0</v>
      </c>
      <c r="AK739" s="132">
        <f t="shared" si="1475"/>
        <v>-1000</v>
      </c>
      <c r="AL739" s="132">
        <f t="shared" si="1475"/>
        <v>-1000</v>
      </c>
      <c r="AM739" s="132">
        <f t="shared" si="1475"/>
        <v>-1000</v>
      </c>
      <c r="AN739" s="132">
        <f t="shared" si="1475"/>
        <v>-1000</v>
      </c>
      <c r="AO739" s="132">
        <f t="shared" si="1475"/>
        <v>-1000</v>
      </c>
      <c r="AP739" s="132">
        <f t="shared" si="1475"/>
        <v>-1000</v>
      </c>
      <c r="AQ739" s="132">
        <f t="shared" si="1475"/>
        <v>-1000</v>
      </c>
      <c r="AR739" s="132">
        <f t="shared" si="1475"/>
        <v>-1000</v>
      </c>
      <c r="AS739" s="132">
        <f t="shared" si="1475"/>
        <v>-1000</v>
      </c>
    </row>
    <row r="740">
      <c r="A740" s="132" t="s">
        <v>4242</v>
      </c>
      <c r="B740" s="132">
        <v>1500.0</v>
      </c>
      <c r="C740" s="132">
        <v>0.0</v>
      </c>
      <c r="D740" s="132">
        <v>0.0</v>
      </c>
      <c r="E740" s="132">
        <v>0.0</v>
      </c>
      <c r="F740" s="132">
        <v>0.0</v>
      </c>
      <c r="G740" s="132">
        <v>0.0</v>
      </c>
      <c r="H740" s="132">
        <v>0.0</v>
      </c>
      <c r="I740" s="132">
        <v>500.0</v>
      </c>
      <c r="J740" s="132">
        <v>0.0</v>
      </c>
      <c r="K740" s="132">
        <v>0.0</v>
      </c>
      <c r="L740" s="132">
        <v>0.0</v>
      </c>
      <c r="M740" s="132">
        <v>1000.0</v>
      </c>
      <c r="N740" s="132">
        <v>0.0</v>
      </c>
      <c r="O740" s="132">
        <v>0.0</v>
      </c>
      <c r="P740" s="132">
        <v>0.0</v>
      </c>
      <c r="Q740" s="132">
        <v>0.0</v>
      </c>
      <c r="R740" s="132">
        <v>0.0</v>
      </c>
      <c r="S740" s="132">
        <v>0.0</v>
      </c>
      <c r="T740" s="132">
        <v>0.0</v>
      </c>
      <c r="U740" s="132">
        <v>0.0</v>
      </c>
      <c r="V740" s="132">
        <v>0.0</v>
      </c>
      <c r="W740" s="132">
        <v>1.0</v>
      </c>
      <c r="Y740" s="132" t="s">
        <v>4242</v>
      </c>
      <c r="Z740" s="132">
        <f t="shared" ref="Z740:AC740" si="1476">C740-1000</f>
        <v>-1000</v>
      </c>
      <c r="AA740" s="132">
        <f t="shared" si="1476"/>
        <v>-1000</v>
      </c>
      <c r="AB740" s="132">
        <f t="shared" si="1476"/>
        <v>-1000</v>
      </c>
      <c r="AC740" s="132">
        <f t="shared" si="1476"/>
        <v>-1000</v>
      </c>
      <c r="AD740" s="132">
        <f t="shared" si="4"/>
        <v>-10000</v>
      </c>
      <c r="AE740" s="132">
        <f t="shared" ref="AE740:AS740" si="1477">H740-1000</f>
        <v>-1000</v>
      </c>
      <c r="AF740" s="132">
        <f t="shared" si="1477"/>
        <v>-500</v>
      </c>
      <c r="AG740" s="132">
        <f t="shared" si="1477"/>
        <v>-1000</v>
      </c>
      <c r="AH740" s="132">
        <f t="shared" si="1477"/>
        <v>-1000</v>
      </c>
      <c r="AI740" s="132">
        <f t="shared" si="1477"/>
        <v>-1000</v>
      </c>
      <c r="AJ740" s="132">
        <f t="shared" si="1477"/>
        <v>0</v>
      </c>
      <c r="AK740" s="132">
        <f t="shared" si="1477"/>
        <v>-1000</v>
      </c>
      <c r="AL740" s="132">
        <f t="shared" si="1477"/>
        <v>-1000</v>
      </c>
      <c r="AM740" s="132">
        <f t="shared" si="1477"/>
        <v>-1000</v>
      </c>
      <c r="AN740" s="132">
        <f t="shared" si="1477"/>
        <v>-1000</v>
      </c>
      <c r="AO740" s="132">
        <f t="shared" si="1477"/>
        <v>-1000</v>
      </c>
      <c r="AP740" s="132">
        <f t="shared" si="1477"/>
        <v>-1000</v>
      </c>
      <c r="AQ740" s="132">
        <f t="shared" si="1477"/>
        <v>-1000</v>
      </c>
      <c r="AR740" s="132">
        <f t="shared" si="1477"/>
        <v>-1000</v>
      </c>
      <c r="AS740" s="132">
        <f t="shared" si="1477"/>
        <v>-1000</v>
      </c>
    </row>
    <row r="741">
      <c r="A741" s="132" t="s">
        <v>4243</v>
      </c>
      <c r="B741" s="132">
        <v>250.0</v>
      </c>
      <c r="C741" s="132">
        <v>0.0</v>
      </c>
      <c r="D741" s="132">
        <v>0.0</v>
      </c>
      <c r="E741" s="132">
        <v>0.0</v>
      </c>
      <c r="F741" s="132">
        <v>250.0</v>
      </c>
      <c r="G741" s="132">
        <v>0.0</v>
      </c>
      <c r="H741" s="132">
        <v>0.0</v>
      </c>
      <c r="I741" s="132">
        <v>0.0</v>
      </c>
      <c r="J741" s="132">
        <v>0.0</v>
      </c>
      <c r="K741" s="132">
        <v>0.0</v>
      </c>
      <c r="L741" s="132">
        <v>0.0</v>
      </c>
      <c r="M741" s="132">
        <v>0.0</v>
      </c>
      <c r="N741" s="132">
        <v>0.0</v>
      </c>
      <c r="O741" s="132">
        <v>0.0</v>
      </c>
      <c r="P741" s="132">
        <v>0.0</v>
      </c>
      <c r="Q741" s="132">
        <v>0.0</v>
      </c>
      <c r="R741" s="132">
        <v>0.0</v>
      </c>
      <c r="S741" s="132">
        <v>0.0</v>
      </c>
      <c r="T741" s="132">
        <v>0.0</v>
      </c>
      <c r="U741" s="132">
        <v>0.0</v>
      </c>
      <c r="V741" s="132">
        <v>0.0</v>
      </c>
      <c r="W741" s="132">
        <v>0.0</v>
      </c>
      <c r="Y741" s="132" t="s">
        <v>4243</v>
      </c>
      <c r="Z741" s="132">
        <f t="shared" ref="Z741:AC741" si="1478">C741-1000</f>
        <v>-1000</v>
      </c>
      <c r="AA741" s="132">
        <f t="shared" si="1478"/>
        <v>-1000</v>
      </c>
      <c r="AB741" s="132">
        <f t="shared" si="1478"/>
        <v>-1000</v>
      </c>
      <c r="AC741" s="132">
        <f t="shared" si="1478"/>
        <v>-750</v>
      </c>
      <c r="AD741" s="132">
        <f t="shared" si="4"/>
        <v>-10000</v>
      </c>
      <c r="AE741" s="132">
        <f t="shared" ref="AE741:AS741" si="1479">H741-1000</f>
        <v>-1000</v>
      </c>
      <c r="AF741" s="132">
        <f t="shared" si="1479"/>
        <v>-1000</v>
      </c>
      <c r="AG741" s="132">
        <f t="shared" si="1479"/>
        <v>-1000</v>
      </c>
      <c r="AH741" s="132">
        <f t="shared" si="1479"/>
        <v>-1000</v>
      </c>
      <c r="AI741" s="132">
        <f t="shared" si="1479"/>
        <v>-1000</v>
      </c>
      <c r="AJ741" s="132">
        <f t="shared" si="1479"/>
        <v>-1000</v>
      </c>
      <c r="AK741" s="132">
        <f t="shared" si="1479"/>
        <v>-1000</v>
      </c>
      <c r="AL741" s="132">
        <f t="shared" si="1479"/>
        <v>-1000</v>
      </c>
      <c r="AM741" s="132">
        <f t="shared" si="1479"/>
        <v>-1000</v>
      </c>
      <c r="AN741" s="132">
        <f t="shared" si="1479"/>
        <v>-1000</v>
      </c>
      <c r="AO741" s="132">
        <f t="shared" si="1479"/>
        <v>-1000</v>
      </c>
      <c r="AP741" s="132">
        <f t="shared" si="1479"/>
        <v>-1000</v>
      </c>
      <c r="AQ741" s="132">
        <f t="shared" si="1479"/>
        <v>-1000</v>
      </c>
      <c r="AR741" s="132">
        <f t="shared" si="1479"/>
        <v>-1000</v>
      </c>
      <c r="AS741" s="132">
        <f t="shared" si="1479"/>
        <v>-1000</v>
      </c>
    </row>
    <row r="742">
      <c r="A742" s="132" t="s">
        <v>4244</v>
      </c>
      <c r="B742" s="132">
        <v>2300.0</v>
      </c>
      <c r="C742" s="132">
        <v>0.0</v>
      </c>
      <c r="D742" s="132">
        <v>0.0</v>
      </c>
      <c r="E742" s="132">
        <v>0.0</v>
      </c>
      <c r="F742" s="132">
        <v>1000.0</v>
      </c>
      <c r="G742" s="132">
        <v>0.0</v>
      </c>
      <c r="H742" s="132">
        <v>0.0</v>
      </c>
      <c r="I742" s="132">
        <v>0.0</v>
      </c>
      <c r="J742" s="132">
        <v>0.0</v>
      </c>
      <c r="K742" s="132">
        <v>0.0</v>
      </c>
      <c r="L742" s="132">
        <v>0.0</v>
      </c>
      <c r="M742" s="132">
        <v>0.0</v>
      </c>
      <c r="N742" s="132">
        <v>0.0</v>
      </c>
      <c r="O742" s="132">
        <v>0.0</v>
      </c>
      <c r="P742" s="132">
        <v>1300.0</v>
      </c>
      <c r="Q742" s="132">
        <v>0.0</v>
      </c>
      <c r="R742" s="132">
        <v>0.0</v>
      </c>
      <c r="S742" s="132">
        <v>0.0</v>
      </c>
      <c r="T742" s="132">
        <v>0.0</v>
      </c>
      <c r="U742" s="132">
        <v>0.0</v>
      </c>
      <c r="V742" s="132">
        <v>0.0</v>
      </c>
      <c r="W742" s="132">
        <v>1.0</v>
      </c>
      <c r="Y742" s="132" t="s">
        <v>4244</v>
      </c>
      <c r="Z742" s="132">
        <f t="shared" ref="Z742:AC742" si="1480">C742-1000</f>
        <v>-1000</v>
      </c>
      <c r="AA742" s="132">
        <f t="shared" si="1480"/>
        <v>-1000</v>
      </c>
      <c r="AB742" s="132">
        <f t="shared" si="1480"/>
        <v>-1000</v>
      </c>
      <c r="AC742" s="132">
        <f t="shared" si="1480"/>
        <v>0</v>
      </c>
      <c r="AD742" s="132">
        <f t="shared" si="4"/>
        <v>-10000</v>
      </c>
      <c r="AE742" s="132">
        <f t="shared" ref="AE742:AS742" si="1481">H742-1000</f>
        <v>-1000</v>
      </c>
      <c r="AF742" s="132">
        <f t="shared" si="1481"/>
        <v>-1000</v>
      </c>
      <c r="AG742" s="132">
        <f t="shared" si="1481"/>
        <v>-1000</v>
      </c>
      <c r="AH742" s="132">
        <f t="shared" si="1481"/>
        <v>-1000</v>
      </c>
      <c r="AI742" s="132">
        <f t="shared" si="1481"/>
        <v>-1000</v>
      </c>
      <c r="AJ742" s="132">
        <f t="shared" si="1481"/>
        <v>-1000</v>
      </c>
      <c r="AK742" s="132">
        <f t="shared" si="1481"/>
        <v>-1000</v>
      </c>
      <c r="AL742" s="132">
        <f t="shared" si="1481"/>
        <v>-1000</v>
      </c>
      <c r="AM742" s="132">
        <f t="shared" si="1481"/>
        <v>300</v>
      </c>
      <c r="AN742" s="132">
        <f t="shared" si="1481"/>
        <v>-1000</v>
      </c>
      <c r="AO742" s="132">
        <f t="shared" si="1481"/>
        <v>-1000</v>
      </c>
      <c r="AP742" s="132">
        <f t="shared" si="1481"/>
        <v>-1000</v>
      </c>
      <c r="AQ742" s="132">
        <f t="shared" si="1481"/>
        <v>-1000</v>
      </c>
      <c r="AR742" s="132">
        <f t="shared" si="1481"/>
        <v>-1000</v>
      </c>
      <c r="AS742" s="132">
        <f t="shared" si="1481"/>
        <v>-1000</v>
      </c>
    </row>
    <row r="743">
      <c r="A743" s="132" t="s">
        <v>4245</v>
      </c>
      <c r="B743" s="132">
        <v>1000.0</v>
      </c>
      <c r="C743" s="132">
        <v>0.0</v>
      </c>
      <c r="D743" s="132">
        <v>0.0</v>
      </c>
      <c r="E743" s="132">
        <v>0.0</v>
      </c>
      <c r="F743" s="132">
        <v>1000.0</v>
      </c>
      <c r="G743" s="132">
        <v>0.0</v>
      </c>
      <c r="H743" s="132">
        <v>0.0</v>
      </c>
      <c r="I743" s="132">
        <v>0.0</v>
      </c>
      <c r="J743" s="132">
        <v>0.0</v>
      </c>
      <c r="K743" s="132">
        <v>0.0</v>
      </c>
      <c r="L743" s="132">
        <v>0.0</v>
      </c>
      <c r="M743" s="132">
        <v>0.0</v>
      </c>
      <c r="N743" s="132">
        <v>0.0</v>
      </c>
      <c r="O743" s="132">
        <v>0.0</v>
      </c>
      <c r="P743" s="132">
        <v>0.0</v>
      </c>
      <c r="Q743" s="132">
        <v>0.0</v>
      </c>
      <c r="R743" s="132">
        <v>0.0</v>
      </c>
      <c r="S743" s="132">
        <v>0.0</v>
      </c>
      <c r="T743" s="132">
        <v>0.0</v>
      </c>
      <c r="U743" s="132">
        <v>0.0</v>
      </c>
      <c r="V743" s="132">
        <v>0.0</v>
      </c>
      <c r="W743" s="132">
        <v>0.0</v>
      </c>
      <c r="Y743" s="132" t="s">
        <v>4245</v>
      </c>
      <c r="Z743" s="132">
        <f t="shared" ref="Z743:AC743" si="1482">C743-1000</f>
        <v>-1000</v>
      </c>
      <c r="AA743" s="132">
        <f t="shared" si="1482"/>
        <v>-1000</v>
      </c>
      <c r="AB743" s="132">
        <f t="shared" si="1482"/>
        <v>-1000</v>
      </c>
      <c r="AC743" s="132">
        <f t="shared" si="1482"/>
        <v>0</v>
      </c>
      <c r="AD743" s="132">
        <f t="shared" si="4"/>
        <v>-10000</v>
      </c>
      <c r="AE743" s="132">
        <f t="shared" ref="AE743:AS743" si="1483">H743-1000</f>
        <v>-1000</v>
      </c>
      <c r="AF743" s="132">
        <f t="shared" si="1483"/>
        <v>-1000</v>
      </c>
      <c r="AG743" s="132">
        <f t="shared" si="1483"/>
        <v>-1000</v>
      </c>
      <c r="AH743" s="132">
        <f t="shared" si="1483"/>
        <v>-1000</v>
      </c>
      <c r="AI743" s="132">
        <f t="shared" si="1483"/>
        <v>-1000</v>
      </c>
      <c r="AJ743" s="132">
        <f t="shared" si="1483"/>
        <v>-1000</v>
      </c>
      <c r="AK743" s="132">
        <f t="shared" si="1483"/>
        <v>-1000</v>
      </c>
      <c r="AL743" s="132">
        <f t="shared" si="1483"/>
        <v>-1000</v>
      </c>
      <c r="AM743" s="132">
        <f t="shared" si="1483"/>
        <v>-1000</v>
      </c>
      <c r="AN743" s="132">
        <f t="shared" si="1483"/>
        <v>-1000</v>
      </c>
      <c r="AO743" s="132">
        <f t="shared" si="1483"/>
        <v>-1000</v>
      </c>
      <c r="AP743" s="132">
        <f t="shared" si="1483"/>
        <v>-1000</v>
      </c>
      <c r="AQ743" s="132">
        <f t="shared" si="1483"/>
        <v>-1000</v>
      </c>
      <c r="AR743" s="132">
        <f t="shared" si="1483"/>
        <v>-1000</v>
      </c>
      <c r="AS743" s="132">
        <f t="shared" si="1483"/>
        <v>-1000</v>
      </c>
    </row>
    <row r="744">
      <c r="A744" s="132" t="s">
        <v>4246</v>
      </c>
      <c r="B744" s="132">
        <v>250.0</v>
      </c>
      <c r="C744" s="132">
        <v>0.0</v>
      </c>
      <c r="D744" s="132">
        <v>0.0</v>
      </c>
      <c r="E744" s="132">
        <v>0.0</v>
      </c>
      <c r="F744" s="132">
        <v>250.0</v>
      </c>
      <c r="G744" s="132">
        <v>0.0</v>
      </c>
      <c r="H744" s="132">
        <v>0.0</v>
      </c>
      <c r="I744" s="132">
        <v>0.0</v>
      </c>
      <c r="J744" s="132">
        <v>0.0</v>
      </c>
      <c r="K744" s="132">
        <v>0.0</v>
      </c>
      <c r="L744" s="132">
        <v>0.0</v>
      </c>
      <c r="M744" s="132">
        <v>0.0</v>
      </c>
      <c r="N744" s="132">
        <v>0.0</v>
      </c>
      <c r="O744" s="132">
        <v>0.0</v>
      </c>
      <c r="P744" s="132">
        <v>0.0</v>
      </c>
      <c r="Q744" s="132">
        <v>0.0</v>
      </c>
      <c r="R744" s="132">
        <v>0.0</v>
      </c>
      <c r="S744" s="132">
        <v>0.0</v>
      </c>
      <c r="T744" s="132">
        <v>0.0</v>
      </c>
      <c r="U744" s="132">
        <v>0.0</v>
      </c>
      <c r="V744" s="132">
        <v>0.0</v>
      </c>
      <c r="W744" s="132">
        <v>0.0</v>
      </c>
      <c r="Y744" s="132" t="s">
        <v>4246</v>
      </c>
      <c r="Z744" s="132">
        <f t="shared" ref="Z744:AC744" si="1484">C744-1000</f>
        <v>-1000</v>
      </c>
      <c r="AA744" s="132">
        <f t="shared" si="1484"/>
        <v>-1000</v>
      </c>
      <c r="AB744" s="132">
        <f t="shared" si="1484"/>
        <v>-1000</v>
      </c>
      <c r="AC744" s="132">
        <f t="shared" si="1484"/>
        <v>-750</v>
      </c>
      <c r="AD744" s="132">
        <f t="shared" si="4"/>
        <v>-10000</v>
      </c>
      <c r="AE744" s="132">
        <f t="shared" ref="AE744:AS744" si="1485">H744-1000</f>
        <v>-1000</v>
      </c>
      <c r="AF744" s="132">
        <f t="shared" si="1485"/>
        <v>-1000</v>
      </c>
      <c r="AG744" s="132">
        <f t="shared" si="1485"/>
        <v>-1000</v>
      </c>
      <c r="AH744" s="132">
        <f t="shared" si="1485"/>
        <v>-1000</v>
      </c>
      <c r="AI744" s="132">
        <f t="shared" si="1485"/>
        <v>-1000</v>
      </c>
      <c r="AJ744" s="132">
        <f t="shared" si="1485"/>
        <v>-1000</v>
      </c>
      <c r="AK744" s="132">
        <f t="shared" si="1485"/>
        <v>-1000</v>
      </c>
      <c r="AL744" s="132">
        <f t="shared" si="1485"/>
        <v>-1000</v>
      </c>
      <c r="AM744" s="132">
        <f t="shared" si="1485"/>
        <v>-1000</v>
      </c>
      <c r="AN744" s="132">
        <f t="shared" si="1485"/>
        <v>-1000</v>
      </c>
      <c r="AO744" s="132">
        <f t="shared" si="1485"/>
        <v>-1000</v>
      </c>
      <c r="AP744" s="132">
        <f t="shared" si="1485"/>
        <v>-1000</v>
      </c>
      <c r="AQ744" s="132">
        <f t="shared" si="1485"/>
        <v>-1000</v>
      </c>
      <c r="AR744" s="132">
        <f t="shared" si="1485"/>
        <v>-1000</v>
      </c>
      <c r="AS744" s="132">
        <f t="shared" si="1485"/>
        <v>-1000</v>
      </c>
    </row>
    <row r="745">
      <c r="A745" s="132" t="s">
        <v>4247</v>
      </c>
      <c r="B745" s="132">
        <v>500.0</v>
      </c>
      <c r="C745" s="132">
        <v>0.0</v>
      </c>
      <c r="D745" s="132">
        <v>0.0</v>
      </c>
      <c r="E745" s="132">
        <v>0.0</v>
      </c>
      <c r="F745" s="132">
        <v>500.0</v>
      </c>
      <c r="G745" s="132">
        <v>0.0</v>
      </c>
      <c r="H745" s="132">
        <v>0.0</v>
      </c>
      <c r="I745" s="132">
        <v>0.0</v>
      </c>
      <c r="J745" s="132">
        <v>0.0</v>
      </c>
      <c r="K745" s="132">
        <v>0.0</v>
      </c>
      <c r="L745" s="132">
        <v>0.0</v>
      </c>
      <c r="M745" s="132">
        <v>0.0</v>
      </c>
      <c r="N745" s="132">
        <v>0.0</v>
      </c>
      <c r="O745" s="132">
        <v>0.0</v>
      </c>
      <c r="P745" s="132">
        <v>0.0</v>
      </c>
      <c r="Q745" s="132">
        <v>0.0</v>
      </c>
      <c r="R745" s="132">
        <v>0.0</v>
      </c>
      <c r="S745" s="132">
        <v>0.0</v>
      </c>
      <c r="T745" s="132">
        <v>0.0</v>
      </c>
      <c r="U745" s="132">
        <v>0.0</v>
      </c>
      <c r="V745" s="132">
        <v>0.0</v>
      </c>
      <c r="W745" s="132">
        <v>0.0</v>
      </c>
      <c r="Y745" s="132" t="s">
        <v>4247</v>
      </c>
      <c r="Z745" s="132">
        <f t="shared" ref="Z745:AC745" si="1486">C745-1000</f>
        <v>-1000</v>
      </c>
      <c r="AA745" s="132">
        <f t="shared" si="1486"/>
        <v>-1000</v>
      </c>
      <c r="AB745" s="132">
        <f t="shared" si="1486"/>
        <v>-1000</v>
      </c>
      <c r="AC745" s="132">
        <f t="shared" si="1486"/>
        <v>-500</v>
      </c>
      <c r="AD745" s="132">
        <f t="shared" si="4"/>
        <v>-10000</v>
      </c>
      <c r="AE745" s="132">
        <f t="shared" ref="AE745:AS745" si="1487">H745-1000</f>
        <v>-1000</v>
      </c>
      <c r="AF745" s="132">
        <f t="shared" si="1487"/>
        <v>-1000</v>
      </c>
      <c r="AG745" s="132">
        <f t="shared" si="1487"/>
        <v>-1000</v>
      </c>
      <c r="AH745" s="132">
        <f t="shared" si="1487"/>
        <v>-1000</v>
      </c>
      <c r="AI745" s="132">
        <f t="shared" si="1487"/>
        <v>-1000</v>
      </c>
      <c r="AJ745" s="132">
        <f t="shared" si="1487"/>
        <v>-1000</v>
      </c>
      <c r="AK745" s="132">
        <f t="shared" si="1487"/>
        <v>-1000</v>
      </c>
      <c r="AL745" s="132">
        <f t="shared" si="1487"/>
        <v>-1000</v>
      </c>
      <c r="AM745" s="132">
        <f t="shared" si="1487"/>
        <v>-1000</v>
      </c>
      <c r="AN745" s="132">
        <f t="shared" si="1487"/>
        <v>-1000</v>
      </c>
      <c r="AO745" s="132">
        <f t="shared" si="1487"/>
        <v>-1000</v>
      </c>
      <c r="AP745" s="132">
        <f t="shared" si="1487"/>
        <v>-1000</v>
      </c>
      <c r="AQ745" s="132">
        <f t="shared" si="1487"/>
        <v>-1000</v>
      </c>
      <c r="AR745" s="132">
        <f t="shared" si="1487"/>
        <v>-1000</v>
      </c>
      <c r="AS745" s="132">
        <f t="shared" si="1487"/>
        <v>-1000</v>
      </c>
    </row>
    <row r="746">
      <c r="A746" s="132" t="s">
        <v>4248</v>
      </c>
      <c r="B746" s="132">
        <v>2000.0</v>
      </c>
      <c r="C746" s="132">
        <v>0.0</v>
      </c>
      <c r="D746" s="132">
        <v>0.0</v>
      </c>
      <c r="E746" s="132">
        <v>0.0</v>
      </c>
      <c r="F746" s="132">
        <v>2000.0</v>
      </c>
      <c r="G746" s="132">
        <v>0.0</v>
      </c>
      <c r="H746" s="132">
        <v>0.0</v>
      </c>
      <c r="I746" s="132">
        <v>0.0</v>
      </c>
      <c r="J746" s="132">
        <v>0.0</v>
      </c>
      <c r="K746" s="132">
        <v>0.0</v>
      </c>
      <c r="L746" s="132">
        <v>0.0</v>
      </c>
      <c r="M746" s="132">
        <v>0.0</v>
      </c>
      <c r="N746" s="132">
        <v>0.0</v>
      </c>
      <c r="O746" s="132">
        <v>0.0</v>
      </c>
      <c r="P746" s="132">
        <v>0.0</v>
      </c>
      <c r="Q746" s="132">
        <v>0.0</v>
      </c>
      <c r="R746" s="132">
        <v>0.0</v>
      </c>
      <c r="S746" s="132">
        <v>0.0</v>
      </c>
      <c r="T746" s="132">
        <v>0.0</v>
      </c>
      <c r="U746" s="132">
        <v>0.0</v>
      </c>
      <c r="V746" s="132">
        <v>0.0</v>
      </c>
      <c r="W746" s="132">
        <v>0.0</v>
      </c>
      <c r="Y746" s="132" t="s">
        <v>4248</v>
      </c>
      <c r="Z746" s="132">
        <f t="shared" ref="Z746:AC746" si="1488">C746-1000</f>
        <v>-1000</v>
      </c>
      <c r="AA746" s="132">
        <f t="shared" si="1488"/>
        <v>-1000</v>
      </c>
      <c r="AB746" s="132">
        <f t="shared" si="1488"/>
        <v>-1000</v>
      </c>
      <c r="AC746" s="132">
        <f t="shared" si="1488"/>
        <v>1000</v>
      </c>
      <c r="AD746" s="132">
        <f t="shared" si="4"/>
        <v>-10000</v>
      </c>
      <c r="AE746" s="132">
        <f t="shared" ref="AE746:AS746" si="1489">H746-1000</f>
        <v>-1000</v>
      </c>
      <c r="AF746" s="132">
        <f t="shared" si="1489"/>
        <v>-1000</v>
      </c>
      <c r="AG746" s="132">
        <f t="shared" si="1489"/>
        <v>-1000</v>
      </c>
      <c r="AH746" s="132">
        <f t="shared" si="1489"/>
        <v>-1000</v>
      </c>
      <c r="AI746" s="132">
        <f t="shared" si="1489"/>
        <v>-1000</v>
      </c>
      <c r="AJ746" s="132">
        <f t="shared" si="1489"/>
        <v>-1000</v>
      </c>
      <c r="AK746" s="132">
        <f t="shared" si="1489"/>
        <v>-1000</v>
      </c>
      <c r="AL746" s="132">
        <f t="shared" si="1489"/>
        <v>-1000</v>
      </c>
      <c r="AM746" s="132">
        <f t="shared" si="1489"/>
        <v>-1000</v>
      </c>
      <c r="AN746" s="132">
        <f t="shared" si="1489"/>
        <v>-1000</v>
      </c>
      <c r="AO746" s="132">
        <f t="shared" si="1489"/>
        <v>-1000</v>
      </c>
      <c r="AP746" s="132">
        <f t="shared" si="1489"/>
        <v>-1000</v>
      </c>
      <c r="AQ746" s="132">
        <f t="shared" si="1489"/>
        <v>-1000</v>
      </c>
      <c r="AR746" s="132">
        <f t="shared" si="1489"/>
        <v>-1000</v>
      </c>
      <c r="AS746" s="132">
        <f t="shared" si="1489"/>
        <v>-1000</v>
      </c>
    </row>
    <row r="747">
      <c r="A747" s="132" t="s">
        <v>4249</v>
      </c>
      <c r="B747" s="132">
        <v>100.0</v>
      </c>
      <c r="C747" s="132">
        <v>0.0</v>
      </c>
      <c r="D747" s="132">
        <v>0.0</v>
      </c>
      <c r="E747" s="132">
        <v>0.0</v>
      </c>
      <c r="F747" s="132">
        <v>100.0</v>
      </c>
      <c r="G747" s="132">
        <v>0.0</v>
      </c>
      <c r="H747" s="132">
        <v>0.0</v>
      </c>
      <c r="I747" s="132">
        <v>0.0</v>
      </c>
      <c r="J747" s="132">
        <v>0.0</v>
      </c>
      <c r="K747" s="132">
        <v>0.0</v>
      </c>
      <c r="L747" s="132">
        <v>0.0</v>
      </c>
      <c r="M747" s="132">
        <v>0.0</v>
      </c>
      <c r="N747" s="132">
        <v>0.0</v>
      </c>
      <c r="O747" s="132">
        <v>0.0</v>
      </c>
      <c r="P747" s="132">
        <v>0.0</v>
      </c>
      <c r="Q747" s="132">
        <v>0.0</v>
      </c>
      <c r="R747" s="132">
        <v>0.0</v>
      </c>
      <c r="S747" s="132">
        <v>0.0</v>
      </c>
      <c r="T747" s="132">
        <v>0.0</v>
      </c>
      <c r="U747" s="132">
        <v>0.0</v>
      </c>
      <c r="V747" s="132">
        <v>0.0</v>
      </c>
      <c r="W747" s="132">
        <v>0.0</v>
      </c>
      <c r="Y747" s="132" t="s">
        <v>4249</v>
      </c>
      <c r="Z747" s="132">
        <f t="shared" ref="Z747:AC747" si="1490">C747-1000</f>
        <v>-1000</v>
      </c>
      <c r="AA747" s="132">
        <f t="shared" si="1490"/>
        <v>-1000</v>
      </c>
      <c r="AB747" s="132">
        <f t="shared" si="1490"/>
        <v>-1000</v>
      </c>
      <c r="AC747" s="132">
        <f t="shared" si="1490"/>
        <v>-900</v>
      </c>
      <c r="AD747" s="132">
        <f t="shared" si="4"/>
        <v>-10000</v>
      </c>
      <c r="AE747" s="132">
        <f t="shared" ref="AE747:AS747" si="1491">H747-1000</f>
        <v>-1000</v>
      </c>
      <c r="AF747" s="132">
        <f t="shared" si="1491"/>
        <v>-1000</v>
      </c>
      <c r="AG747" s="132">
        <f t="shared" si="1491"/>
        <v>-1000</v>
      </c>
      <c r="AH747" s="132">
        <f t="shared" si="1491"/>
        <v>-1000</v>
      </c>
      <c r="AI747" s="132">
        <f t="shared" si="1491"/>
        <v>-1000</v>
      </c>
      <c r="AJ747" s="132">
        <f t="shared" si="1491"/>
        <v>-1000</v>
      </c>
      <c r="AK747" s="132">
        <f t="shared" si="1491"/>
        <v>-1000</v>
      </c>
      <c r="AL747" s="132">
        <f t="shared" si="1491"/>
        <v>-1000</v>
      </c>
      <c r="AM747" s="132">
        <f t="shared" si="1491"/>
        <v>-1000</v>
      </c>
      <c r="AN747" s="132">
        <f t="shared" si="1491"/>
        <v>-1000</v>
      </c>
      <c r="AO747" s="132">
        <f t="shared" si="1491"/>
        <v>-1000</v>
      </c>
      <c r="AP747" s="132">
        <f t="shared" si="1491"/>
        <v>-1000</v>
      </c>
      <c r="AQ747" s="132">
        <f t="shared" si="1491"/>
        <v>-1000</v>
      </c>
      <c r="AR747" s="132">
        <f t="shared" si="1491"/>
        <v>-1000</v>
      </c>
      <c r="AS747" s="132">
        <f t="shared" si="1491"/>
        <v>-1000</v>
      </c>
    </row>
    <row r="748">
      <c r="A748" s="132" t="s">
        <v>4250</v>
      </c>
      <c r="B748" s="132">
        <v>1000.0</v>
      </c>
      <c r="C748" s="132">
        <v>0.0</v>
      </c>
      <c r="D748" s="132">
        <v>0.0</v>
      </c>
      <c r="E748" s="132">
        <v>0.0</v>
      </c>
      <c r="F748" s="132">
        <v>1000.0</v>
      </c>
      <c r="G748" s="132">
        <v>0.0</v>
      </c>
      <c r="H748" s="132">
        <v>0.0</v>
      </c>
      <c r="I748" s="132">
        <v>0.0</v>
      </c>
      <c r="J748" s="132">
        <v>0.0</v>
      </c>
      <c r="K748" s="132">
        <v>0.0</v>
      </c>
      <c r="L748" s="132">
        <v>0.0</v>
      </c>
      <c r="M748" s="132">
        <v>0.0</v>
      </c>
      <c r="N748" s="132">
        <v>0.0</v>
      </c>
      <c r="O748" s="132">
        <v>0.0</v>
      </c>
      <c r="P748" s="132">
        <v>0.0</v>
      </c>
      <c r="Q748" s="132">
        <v>0.0</v>
      </c>
      <c r="R748" s="132">
        <v>0.0</v>
      </c>
      <c r="S748" s="132">
        <v>0.0</v>
      </c>
      <c r="T748" s="132">
        <v>0.0</v>
      </c>
      <c r="U748" s="132">
        <v>0.0</v>
      </c>
      <c r="V748" s="132">
        <v>0.0</v>
      </c>
      <c r="W748" s="132">
        <v>0.0</v>
      </c>
      <c r="Y748" s="132" t="s">
        <v>4250</v>
      </c>
      <c r="Z748" s="132">
        <f t="shared" ref="Z748:AC748" si="1492">C748-1000</f>
        <v>-1000</v>
      </c>
      <c r="AA748" s="132">
        <f t="shared" si="1492"/>
        <v>-1000</v>
      </c>
      <c r="AB748" s="132">
        <f t="shared" si="1492"/>
        <v>-1000</v>
      </c>
      <c r="AC748" s="132">
        <f t="shared" si="1492"/>
        <v>0</v>
      </c>
      <c r="AD748" s="132">
        <f t="shared" si="4"/>
        <v>-10000</v>
      </c>
      <c r="AE748" s="132">
        <f t="shared" ref="AE748:AS748" si="1493">H748-1000</f>
        <v>-1000</v>
      </c>
      <c r="AF748" s="132">
        <f t="shared" si="1493"/>
        <v>-1000</v>
      </c>
      <c r="AG748" s="132">
        <f t="shared" si="1493"/>
        <v>-1000</v>
      </c>
      <c r="AH748" s="132">
        <f t="shared" si="1493"/>
        <v>-1000</v>
      </c>
      <c r="AI748" s="132">
        <f t="shared" si="1493"/>
        <v>-1000</v>
      </c>
      <c r="AJ748" s="132">
        <f t="shared" si="1493"/>
        <v>-1000</v>
      </c>
      <c r="AK748" s="132">
        <f t="shared" si="1493"/>
        <v>-1000</v>
      </c>
      <c r="AL748" s="132">
        <f t="shared" si="1493"/>
        <v>-1000</v>
      </c>
      <c r="AM748" s="132">
        <f t="shared" si="1493"/>
        <v>-1000</v>
      </c>
      <c r="AN748" s="132">
        <f t="shared" si="1493"/>
        <v>-1000</v>
      </c>
      <c r="AO748" s="132">
        <f t="shared" si="1493"/>
        <v>-1000</v>
      </c>
      <c r="AP748" s="132">
        <f t="shared" si="1493"/>
        <v>-1000</v>
      </c>
      <c r="AQ748" s="132">
        <f t="shared" si="1493"/>
        <v>-1000</v>
      </c>
      <c r="AR748" s="132">
        <f t="shared" si="1493"/>
        <v>-1000</v>
      </c>
      <c r="AS748" s="132">
        <f t="shared" si="1493"/>
        <v>-1000</v>
      </c>
    </row>
    <row r="749">
      <c r="A749" s="132" t="s">
        <v>4251</v>
      </c>
      <c r="B749" s="132">
        <v>2250.0</v>
      </c>
      <c r="C749" s="132">
        <v>0.0</v>
      </c>
      <c r="D749" s="132">
        <v>0.0</v>
      </c>
      <c r="E749" s="132">
        <v>0.0</v>
      </c>
      <c r="F749" s="132">
        <v>1250.0</v>
      </c>
      <c r="G749" s="132">
        <v>0.0</v>
      </c>
      <c r="H749" s="132">
        <v>0.0</v>
      </c>
      <c r="I749" s="132">
        <v>0.0</v>
      </c>
      <c r="J749" s="132">
        <v>0.0</v>
      </c>
      <c r="K749" s="132">
        <v>0.0</v>
      </c>
      <c r="L749" s="132">
        <v>0.0</v>
      </c>
      <c r="M749" s="132">
        <v>0.0</v>
      </c>
      <c r="N749" s="132">
        <v>0.0</v>
      </c>
      <c r="O749" s="132">
        <v>0.0</v>
      </c>
      <c r="P749" s="132">
        <v>0.0</v>
      </c>
      <c r="Q749" s="132">
        <v>0.0</v>
      </c>
      <c r="R749" s="132">
        <v>0.0</v>
      </c>
      <c r="S749" s="132">
        <v>0.0</v>
      </c>
      <c r="T749" s="132">
        <v>0.0</v>
      </c>
      <c r="U749" s="132">
        <v>1000.0</v>
      </c>
      <c r="V749" s="132">
        <v>0.0</v>
      </c>
      <c r="W749" s="132">
        <v>1.0</v>
      </c>
      <c r="Y749" s="132" t="s">
        <v>4251</v>
      </c>
      <c r="Z749" s="132">
        <f t="shared" ref="Z749:AC749" si="1494">C749-1000</f>
        <v>-1000</v>
      </c>
      <c r="AA749" s="132">
        <f t="shared" si="1494"/>
        <v>-1000</v>
      </c>
      <c r="AB749" s="132">
        <f t="shared" si="1494"/>
        <v>-1000</v>
      </c>
      <c r="AC749" s="132">
        <f t="shared" si="1494"/>
        <v>250</v>
      </c>
      <c r="AD749" s="132">
        <f t="shared" si="4"/>
        <v>-10000</v>
      </c>
      <c r="AE749" s="132">
        <f t="shared" ref="AE749:AS749" si="1495">H749-1000</f>
        <v>-1000</v>
      </c>
      <c r="AF749" s="132">
        <f t="shared" si="1495"/>
        <v>-1000</v>
      </c>
      <c r="AG749" s="132">
        <f t="shared" si="1495"/>
        <v>-1000</v>
      </c>
      <c r="AH749" s="132">
        <f t="shared" si="1495"/>
        <v>-1000</v>
      </c>
      <c r="AI749" s="132">
        <f t="shared" si="1495"/>
        <v>-1000</v>
      </c>
      <c r="AJ749" s="132">
        <f t="shared" si="1495"/>
        <v>-1000</v>
      </c>
      <c r="AK749" s="132">
        <f t="shared" si="1495"/>
        <v>-1000</v>
      </c>
      <c r="AL749" s="132">
        <f t="shared" si="1495"/>
        <v>-1000</v>
      </c>
      <c r="AM749" s="132">
        <f t="shared" si="1495"/>
        <v>-1000</v>
      </c>
      <c r="AN749" s="132">
        <f t="shared" si="1495"/>
        <v>-1000</v>
      </c>
      <c r="AO749" s="132">
        <f t="shared" si="1495"/>
        <v>-1000</v>
      </c>
      <c r="AP749" s="132">
        <f t="shared" si="1495"/>
        <v>-1000</v>
      </c>
      <c r="AQ749" s="132">
        <f t="shared" si="1495"/>
        <v>-1000</v>
      </c>
      <c r="AR749" s="132">
        <f t="shared" si="1495"/>
        <v>0</v>
      </c>
      <c r="AS749" s="132">
        <f t="shared" si="1495"/>
        <v>-1000</v>
      </c>
    </row>
    <row r="750">
      <c r="A750" s="132" t="s">
        <v>4252</v>
      </c>
      <c r="B750" s="132">
        <v>1000.0</v>
      </c>
      <c r="C750" s="132">
        <v>0.0</v>
      </c>
      <c r="D750" s="132">
        <v>0.0</v>
      </c>
      <c r="E750" s="132">
        <v>0.0</v>
      </c>
      <c r="F750" s="132">
        <v>1000.0</v>
      </c>
      <c r="G750" s="132">
        <v>0.0</v>
      </c>
      <c r="H750" s="132">
        <v>0.0</v>
      </c>
      <c r="I750" s="132">
        <v>0.0</v>
      </c>
      <c r="J750" s="132">
        <v>0.0</v>
      </c>
      <c r="K750" s="132">
        <v>0.0</v>
      </c>
      <c r="L750" s="132">
        <v>0.0</v>
      </c>
      <c r="M750" s="132">
        <v>0.0</v>
      </c>
      <c r="N750" s="132">
        <v>0.0</v>
      </c>
      <c r="O750" s="132">
        <v>0.0</v>
      </c>
      <c r="P750" s="132">
        <v>0.0</v>
      </c>
      <c r="Q750" s="132">
        <v>0.0</v>
      </c>
      <c r="R750" s="132">
        <v>0.0</v>
      </c>
      <c r="S750" s="132">
        <v>0.0</v>
      </c>
      <c r="T750" s="132">
        <v>0.0</v>
      </c>
      <c r="U750" s="132">
        <v>0.0</v>
      </c>
      <c r="V750" s="132">
        <v>0.0</v>
      </c>
      <c r="W750" s="132">
        <v>0.0</v>
      </c>
      <c r="Y750" s="132" t="s">
        <v>4252</v>
      </c>
      <c r="Z750" s="132">
        <f t="shared" ref="Z750:AC750" si="1496">C750-1000</f>
        <v>-1000</v>
      </c>
      <c r="AA750" s="132">
        <f t="shared" si="1496"/>
        <v>-1000</v>
      </c>
      <c r="AB750" s="132">
        <f t="shared" si="1496"/>
        <v>-1000</v>
      </c>
      <c r="AC750" s="132">
        <f t="shared" si="1496"/>
        <v>0</v>
      </c>
      <c r="AD750" s="132">
        <f t="shared" si="4"/>
        <v>-10000</v>
      </c>
      <c r="AE750" s="132">
        <f t="shared" ref="AE750:AS750" si="1497">H750-1000</f>
        <v>-1000</v>
      </c>
      <c r="AF750" s="132">
        <f t="shared" si="1497"/>
        <v>-1000</v>
      </c>
      <c r="AG750" s="132">
        <f t="shared" si="1497"/>
        <v>-1000</v>
      </c>
      <c r="AH750" s="132">
        <f t="shared" si="1497"/>
        <v>-1000</v>
      </c>
      <c r="AI750" s="132">
        <f t="shared" si="1497"/>
        <v>-1000</v>
      </c>
      <c r="AJ750" s="132">
        <f t="shared" si="1497"/>
        <v>-1000</v>
      </c>
      <c r="AK750" s="132">
        <f t="shared" si="1497"/>
        <v>-1000</v>
      </c>
      <c r="AL750" s="132">
        <f t="shared" si="1497"/>
        <v>-1000</v>
      </c>
      <c r="AM750" s="132">
        <f t="shared" si="1497"/>
        <v>-1000</v>
      </c>
      <c r="AN750" s="132">
        <f t="shared" si="1497"/>
        <v>-1000</v>
      </c>
      <c r="AO750" s="132">
        <f t="shared" si="1497"/>
        <v>-1000</v>
      </c>
      <c r="AP750" s="132">
        <f t="shared" si="1497"/>
        <v>-1000</v>
      </c>
      <c r="AQ750" s="132">
        <f t="shared" si="1497"/>
        <v>-1000</v>
      </c>
      <c r="AR750" s="132">
        <f t="shared" si="1497"/>
        <v>-1000</v>
      </c>
      <c r="AS750" s="132">
        <f t="shared" si="1497"/>
        <v>-1000</v>
      </c>
    </row>
    <row r="751">
      <c r="A751" s="132" t="s">
        <v>4253</v>
      </c>
      <c r="B751" s="132">
        <v>50.0</v>
      </c>
      <c r="C751" s="132">
        <v>0.0</v>
      </c>
      <c r="D751" s="132">
        <v>0.0</v>
      </c>
      <c r="E751" s="132">
        <v>0.0</v>
      </c>
      <c r="F751" s="132">
        <v>50.0</v>
      </c>
      <c r="G751" s="132">
        <v>0.0</v>
      </c>
      <c r="H751" s="132">
        <v>0.0</v>
      </c>
      <c r="I751" s="132">
        <v>0.0</v>
      </c>
      <c r="J751" s="132">
        <v>0.0</v>
      </c>
      <c r="K751" s="132">
        <v>0.0</v>
      </c>
      <c r="L751" s="132">
        <v>0.0</v>
      </c>
      <c r="M751" s="132">
        <v>0.0</v>
      </c>
      <c r="N751" s="132">
        <v>0.0</v>
      </c>
      <c r="O751" s="132">
        <v>0.0</v>
      </c>
      <c r="P751" s="132">
        <v>0.0</v>
      </c>
      <c r="Q751" s="132">
        <v>0.0</v>
      </c>
      <c r="R751" s="132">
        <v>0.0</v>
      </c>
      <c r="S751" s="132">
        <v>0.0</v>
      </c>
      <c r="T751" s="132">
        <v>0.0</v>
      </c>
      <c r="U751" s="132">
        <v>0.0</v>
      </c>
      <c r="V751" s="132">
        <v>0.0</v>
      </c>
      <c r="W751" s="132">
        <v>0.0</v>
      </c>
      <c r="Y751" s="132" t="s">
        <v>4253</v>
      </c>
      <c r="Z751" s="132">
        <f t="shared" ref="Z751:AC751" si="1498">C751-1000</f>
        <v>-1000</v>
      </c>
      <c r="AA751" s="132">
        <f t="shared" si="1498"/>
        <v>-1000</v>
      </c>
      <c r="AB751" s="132">
        <f t="shared" si="1498"/>
        <v>-1000</v>
      </c>
      <c r="AC751" s="132">
        <f t="shared" si="1498"/>
        <v>-950</v>
      </c>
      <c r="AD751" s="132">
        <f t="shared" si="4"/>
        <v>-10000</v>
      </c>
      <c r="AE751" s="132">
        <f t="shared" ref="AE751:AS751" si="1499">H751-1000</f>
        <v>-1000</v>
      </c>
      <c r="AF751" s="132">
        <f t="shared" si="1499"/>
        <v>-1000</v>
      </c>
      <c r="AG751" s="132">
        <f t="shared" si="1499"/>
        <v>-1000</v>
      </c>
      <c r="AH751" s="132">
        <f t="shared" si="1499"/>
        <v>-1000</v>
      </c>
      <c r="AI751" s="132">
        <f t="shared" si="1499"/>
        <v>-1000</v>
      </c>
      <c r="AJ751" s="132">
        <f t="shared" si="1499"/>
        <v>-1000</v>
      </c>
      <c r="AK751" s="132">
        <f t="shared" si="1499"/>
        <v>-1000</v>
      </c>
      <c r="AL751" s="132">
        <f t="shared" si="1499"/>
        <v>-1000</v>
      </c>
      <c r="AM751" s="132">
        <f t="shared" si="1499"/>
        <v>-1000</v>
      </c>
      <c r="AN751" s="132">
        <f t="shared" si="1499"/>
        <v>-1000</v>
      </c>
      <c r="AO751" s="132">
        <f t="shared" si="1499"/>
        <v>-1000</v>
      </c>
      <c r="AP751" s="132">
        <f t="shared" si="1499"/>
        <v>-1000</v>
      </c>
      <c r="AQ751" s="132">
        <f t="shared" si="1499"/>
        <v>-1000</v>
      </c>
      <c r="AR751" s="132">
        <f t="shared" si="1499"/>
        <v>-1000</v>
      </c>
      <c r="AS751" s="132">
        <f t="shared" si="1499"/>
        <v>-1000</v>
      </c>
    </row>
    <row r="752">
      <c r="A752" s="132" t="s">
        <v>4254</v>
      </c>
      <c r="B752" s="132">
        <v>300.0</v>
      </c>
      <c r="C752" s="132">
        <v>100.0</v>
      </c>
      <c r="D752" s="132">
        <v>0.0</v>
      </c>
      <c r="E752" s="132">
        <v>0.0</v>
      </c>
      <c r="F752" s="132">
        <v>200.0</v>
      </c>
      <c r="G752" s="132">
        <v>0.0</v>
      </c>
      <c r="H752" s="132">
        <v>0.0</v>
      </c>
      <c r="I752" s="132">
        <v>0.0</v>
      </c>
      <c r="J752" s="132">
        <v>0.0</v>
      </c>
      <c r="K752" s="132">
        <v>0.0</v>
      </c>
      <c r="L752" s="132">
        <v>0.0</v>
      </c>
      <c r="M752" s="132">
        <v>0.0</v>
      </c>
      <c r="N752" s="132">
        <v>0.0</v>
      </c>
      <c r="O752" s="132">
        <v>0.0</v>
      </c>
      <c r="P752" s="132">
        <v>0.0</v>
      </c>
      <c r="Q752" s="132">
        <v>0.0</v>
      </c>
      <c r="R752" s="132">
        <v>0.0</v>
      </c>
      <c r="S752" s="132">
        <v>0.0</v>
      </c>
      <c r="T752" s="132">
        <v>0.0</v>
      </c>
      <c r="U752" s="132">
        <v>0.0</v>
      </c>
      <c r="V752" s="132">
        <v>0.0</v>
      </c>
      <c r="W752" s="132">
        <v>0.0</v>
      </c>
      <c r="Y752" s="132" t="s">
        <v>4254</v>
      </c>
      <c r="Z752" s="132">
        <f t="shared" ref="Z752:AC752" si="1500">C752-1000</f>
        <v>-900</v>
      </c>
      <c r="AA752" s="132">
        <f t="shared" si="1500"/>
        <v>-1000</v>
      </c>
      <c r="AB752" s="132">
        <f t="shared" si="1500"/>
        <v>-1000</v>
      </c>
      <c r="AC752" s="132">
        <f t="shared" si="1500"/>
        <v>-800</v>
      </c>
      <c r="AD752" s="132">
        <f t="shared" si="4"/>
        <v>-10000</v>
      </c>
      <c r="AE752" s="132">
        <f t="shared" ref="AE752:AS752" si="1501">H752-1000</f>
        <v>-1000</v>
      </c>
      <c r="AF752" s="132">
        <f t="shared" si="1501"/>
        <v>-1000</v>
      </c>
      <c r="AG752" s="132">
        <f t="shared" si="1501"/>
        <v>-1000</v>
      </c>
      <c r="AH752" s="132">
        <f t="shared" si="1501"/>
        <v>-1000</v>
      </c>
      <c r="AI752" s="132">
        <f t="shared" si="1501"/>
        <v>-1000</v>
      </c>
      <c r="AJ752" s="132">
        <f t="shared" si="1501"/>
        <v>-1000</v>
      </c>
      <c r="AK752" s="132">
        <f t="shared" si="1501"/>
        <v>-1000</v>
      </c>
      <c r="AL752" s="132">
        <f t="shared" si="1501"/>
        <v>-1000</v>
      </c>
      <c r="AM752" s="132">
        <f t="shared" si="1501"/>
        <v>-1000</v>
      </c>
      <c r="AN752" s="132">
        <f t="shared" si="1501"/>
        <v>-1000</v>
      </c>
      <c r="AO752" s="132">
        <f t="shared" si="1501"/>
        <v>-1000</v>
      </c>
      <c r="AP752" s="132">
        <f t="shared" si="1501"/>
        <v>-1000</v>
      </c>
      <c r="AQ752" s="132">
        <f t="shared" si="1501"/>
        <v>-1000</v>
      </c>
      <c r="AR752" s="132">
        <f t="shared" si="1501"/>
        <v>-1000</v>
      </c>
      <c r="AS752" s="132">
        <f t="shared" si="1501"/>
        <v>-1000</v>
      </c>
    </row>
    <row r="753">
      <c r="A753" s="132" t="s">
        <v>4255</v>
      </c>
      <c r="B753" s="132">
        <v>50.0</v>
      </c>
      <c r="C753" s="132">
        <v>0.0</v>
      </c>
      <c r="D753" s="132">
        <v>0.0</v>
      </c>
      <c r="E753" s="132">
        <v>0.0</v>
      </c>
      <c r="F753" s="132">
        <v>50.0</v>
      </c>
      <c r="G753" s="132">
        <v>0.0</v>
      </c>
      <c r="H753" s="132">
        <v>0.0</v>
      </c>
      <c r="I753" s="132">
        <v>0.0</v>
      </c>
      <c r="J753" s="132">
        <v>0.0</v>
      </c>
      <c r="K753" s="132">
        <v>0.0</v>
      </c>
      <c r="L753" s="132">
        <v>0.0</v>
      </c>
      <c r="M753" s="132">
        <v>0.0</v>
      </c>
      <c r="N753" s="132">
        <v>0.0</v>
      </c>
      <c r="O753" s="132">
        <v>0.0</v>
      </c>
      <c r="P753" s="132">
        <v>0.0</v>
      </c>
      <c r="Q753" s="132">
        <v>0.0</v>
      </c>
      <c r="R753" s="132">
        <v>0.0</v>
      </c>
      <c r="S753" s="132">
        <v>0.0</v>
      </c>
      <c r="T753" s="132">
        <v>0.0</v>
      </c>
      <c r="U753" s="132">
        <v>0.0</v>
      </c>
      <c r="V753" s="132">
        <v>0.0</v>
      </c>
      <c r="W753" s="132">
        <v>0.0</v>
      </c>
      <c r="Y753" s="132" t="s">
        <v>4255</v>
      </c>
      <c r="Z753" s="132">
        <f t="shared" ref="Z753:AC753" si="1502">C753-1000</f>
        <v>-1000</v>
      </c>
      <c r="AA753" s="132">
        <f t="shared" si="1502"/>
        <v>-1000</v>
      </c>
      <c r="AB753" s="132">
        <f t="shared" si="1502"/>
        <v>-1000</v>
      </c>
      <c r="AC753" s="132">
        <f t="shared" si="1502"/>
        <v>-950</v>
      </c>
      <c r="AD753" s="132">
        <f t="shared" si="4"/>
        <v>-10000</v>
      </c>
      <c r="AE753" s="132">
        <f t="shared" ref="AE753:AS753" si="1503">H753-1000</f>
        <v>-1000</v>
      </c>
      <c r="AF753" s="132">
        <f t="shared" si="1503"/>
        <v>-1000</v>
      </c>
      <c r="AG753" s="132">
        <f t="shared" si="1503"/>
        <v>-1000</v>
      </c>
      <c r="AH753" s="132">
        <f t="shared" si="1503"/>
        <v>-1000</v>
      </c>
      <c r="AI753" s="132">
        <f t="shared" si="1503"/>
        <v>-1000</v>
      </c>
      <c r="AJ753" s="132">
        <f t="shared" si="1503"/>
        <v>-1000</v>
      </c>
      <c r="AK753" s="132">
        <f t="shared" si="1503"/>
        <v>-1000</v>
      </c>
      <c r="AL753" s="132">
        <f t="shared" si="1503"/>
        <v>-1000</v>
      </c>
      <c r="AM753" s="132">
        <f t="shared" si="1503"/>
        <v>-1000</v>
      </c>
      <c r="AN753" s="132">
        <f t="shared" si="1503"/>
        <v>-1000</v>
      </c>
      <c r="AO753" s="132">
        <f t="shared" si="1503"/>
        <v>-1000</v>
      </c>
      <c r="AP753" s="132">
        <f t="shared" si="1503"/>
        <v>-1000</v>
      </c>
      <c r="AQ753" s="132">
        <f t="shared" si="1503"/>
        <v>-1000</v>
      </c>
      <c r="AR753" s="132">
        <f t="shared" si="1503"/>
        <v>-1000</v>
      </c>
      <c r="AS753" s="132">
        <f t="shared" si="1503"/>
        <v>-1000</v>
      </c>
    </row>
    <row r="754">
      <c r="A754" s="132" t="s">
        <v>4256</v>
      </c>
      <c r="B754" s="132">
        <v>250.0</v>
      </c>
      <c r="C754" s="132">
        <v>0.0</v>
      </c>
      <c r="D754" s="132">
        <v>0.0</v>
      </c>
      <c r="E754" s="132">
        <v>0.0</v>
      </c>
      <c r="F754" s="132">
        <v>250.0</v>
      </c>
      <c r="G754" s="132">
        <v>0.0</v>
      </c>
      <c r="H754" s="132">
        <v>0.0</v>
      </c>
      <c r="I754" s="132">
        <v>0.0</v>
      </c>
      <c r="J754" s="132">
        <v>0.0</v>
      </c>
      <c r="K754" s="132">
        <v>0.0</v>
      </c>
      <c r="L754" s="132">
        <v>0.0</v>
      </c>
      <c r="M754" s="132">
        <v>0.0</v>
      </c>
      <c r="N754" s="132">
        <v>0.0</v>
      </c>
      <c r="O754" s="132">
        <v>0.0</v>
      </c>
      <c r="P754" s="132">
        <v>0.0</v>
      </c>
      <c r="Q754" s="132">
        <v>0.0</v>
      </c>
      <c r="R754" s="132">
        <v>0.0</v>
      </c>
      <c r="S754" s="132">
        <v>0.0</v>
      </c>
      <c r="T754" s="132">
        <v>0.0</v>
      </c>
      <c r="U754" s="132">
        <v>0.0</v>
      </c>
      <c r="V754" s="132">
        <v>0.0</v>
      </c>
      <c r="W754" s="132">
        <v>0.0</v>
      </c>
      <c r="Y754" s="132" t="s">
        <v>4256</v>
      </c>
      <c r="Z754" s="132">
        <f t="shared" ref="Z754:AC754" si="1504">C754-1000</f>
        <v>-1000</v>
      </c>
      <c r="AA754" s="132">
        <f t="shared" si="1504"/>
        <v>-1000</v>
      </c>
      <c r="AB754" s="132">
        <f t="shared" si="1504"/>
        <v>-1000</v>
      </c>
      <c r="AC754" s="132">
        <f t="shared" si="1504"/>
        <v>-750</v>
      </c>
      <c r="AD754" s="132">
        <f t="shared" si="4"/>
        <v>-10000</v>
      </c>
      <c r="AE754" s="132">
        <f t="shared" ref="AE754:AS754" si="1505">H754-1000</f>
        <v>-1000</v>
      </c>
      <c r="AF754" s="132">
        <f t="shared" si="1505"/>
        <v>-1000</v>
      </c>
      <c r="AG754" s="132">
        <f t="shared" si="1505"/>
        <v>-1000</v>
      </c>
      <c r="AH754" s="132">
        <f t="shared" si="1505"/>
        <v>-1000</v>
      </c>
      <c r="AI754" s="132">
        <f t="shared" si="1505"/>
        <v>-1000</v>
      </c>
      <c r="AJ754" s="132">
        <f t="shared" si="1505"/>
        <v>-1000</v>
      </c>
      <c r="AK754" s="132">
        <f t="shared" si="1505"/>
        <v>-1000</v>
      </c>
      <c r="AL754" s="132">
        <f t="shared" si="1505"/>
        <v>-1000</v>
      </c>
      <c r="AM754" s="132">
        <f t="shared" si="1505"/>
        <v>-1000</v>
      </c>
      <c r="AN754" s="132">
        <f t="shared" si="1505"/>
        <v>-1000</v>
      </c>
      <c r="AO754" s="132">
        <f t="shared" si="1505"/>
        <v>-1000</v>
      </c>
      <c r="AP754" s="132">
        <f t="shared" si="1505"/>
        <v>-1000</v>
      </c>
      <c r="AQ754" s="132">
        <f t="shared" si="1505"/>
        <v>-1000</v>
      </c>
      <c r="AR754" s="132">
        <f t="shared" si="1505"/>
        <v>-1000</v>
      </c>
      <c r="AS754" s="132">
        <f t="shared" si="1505"/>
        <v>-1000</v>
      </c>
    </row>
    <row r="755">
      <c r="A755" s="132" t="s">
        <v>4257</v>
      </c>
      <c r="B755" s="132">
        <v>100.0</v>
      </c>
      <c r="C755" s="132">
        <v>0.0</v>
      </c>
      <c r="D755" s="132">
        <v>0.0</v>
      </c>
      <c r="E755" s="132">
        <v>0.0</v>
      </c>
      <c r="F755" s="132">
        <v>100.0</v>
      </c>
      <c r="G755" s="132">
        <v>0.0</v>
      </c>
      <c r="H755" s="132">
        <v>0.0</v>
      </c>
      <c r="I755" s="132">
        <v>0.0</v>
      </c>
      <c r="J755" s="132">
        <v>0.0</v>
      </c>
      <c r="K755" s="132">
        <v>0.0</v>
      </c>
      <c r="L755" s="132">
        <v>0.0</v>
      </c>
      <c r="M755" s="132">
        <v>0.0</v>
      </c>
      <c r="N755" s="132">
        <v>0.0</v>
      </c>
      <c r="O755" s="132">
        <v>0.0</v>
      </c>
      <c r="P755" s="132">
        <v>0.0</v>
      </c>
      <c r="Q755" s="132">
        <v>0.0</v>
      </c>
      <c r="R755" s="132">
        <v>0.0</v>
      </c>
      <c r="S755" s="132">
        <v>0.0</v>
      </c>
      <c r="T755" s="132">
        <v>0.0</v>
      </c>
      <c r="U755" s="132">
        <v>0.0</v>
      </c>
      <c r="V755" s="132">
        <v>0.0</v>
      </c>
      <c r="W755" s="132">
        <v>0.0</v>
      </c>
      <c r="Y755" s="132" t="s">
        <v>4257</v>
      </c>
      <c r="Z755" s="132">
        <f t="shared" ref="Z755:AC755" si="1506">C755-1000</f>
        <v>-1000</v>
      </c>
      <c r="AA755" s="132">
        <f t="shared" si="1506"/>
        <v>-1000</v>
      </c>
      <c r="AB755" s="132">
        <f t="shared" si="1506"/>
        <v>-1000</v>
      </c>
      <c r="AC755" s="132">
        <f t="shared" si="1506"/>
        <v>-900</v>
      </c>
      <c r="AD755" s="132">
        <f t="shared" si="4"/>
        <v>-10000</v>
      </c>
      <c r="AE755" s="132">
        <f t="shared" ref="AE755:AS755" si="1507">H755-1000</f>
        <v>-1000</v>
      </c>
      <c r="AF755" s="132">
        <f t="shared" si="1507"/>
        <v>-1000</v>
      </c>
      <c r="AG755" s="132">
        <f t="shared" si="1507"/>
        <v>-1000</v>
      </c>
      <c r="AH755" s="132">
        <f t="shared" si="1507"/>
        <v>-1000</v>
      </c>
      <c r="AI755" s="132">
        <f t="shared" si="1507"/>
        <v>-1000</v>
      </c>
      <c r="AJ755" s="132">
        <f t="shared" si="1507"/>
        <v>-1000</v>
      </c>
      <c r="AK755" s="132">
        <f t="shared" si="1507"/>
        <v>-1000</v>
      </c>
      <c r="AL755" s="132">
        <f t="shared" si="1507"/>
        <v>-1000</v>
      </c>
      <c r="AM755" s="132">
        <f t="shared" si="1507"/>
        <v>-1000</v>
      </c>
      <c r="AN755" s="132">
        <f t="shared" si="1507"/>
        <v>-1000</v>
      </c>
      <c r="AO755" s="132">
        <f t="shared" si="1507"/>
        <v>-1000</v>
      </c>
      <c r="AP755" s="132">
        <f t="shared" si="1507"/>
        <v>-1000</v>
      </c>
      <c r="AQ755" s="132">
        <f t="shared" si="1507"/>
        <v>-1000</v>
      </c>
      <c r="AR755" s="132">
        <f t="shared" si="1507"/>
        <v>-1000</v>
      </c>
      <c r="AS755" s="132">
        <f t="shared" si="1507"/>
        <v>-1000</v>
      </c>
    </row>
    <row r="756">
      <c r="A756" s="132" t="s">
        <v>4258</v>
      </c>
      <c r="B756" s="132">
        <v>100.0</v>
      </c>
      <c r="C756" s="132">
        <v>0.0</v>
      </c>
      <c r="D756" s="132">
        <v>0.0</v>
      </c>
      <c r="E756" s="132">
        <v>0.0</v>
      </c>
      <c r="F756" s="132">
        <v>100.0</v>
      </c>
      <c r="G756" s="132">
        <v>0.0</v>
      </c>
      <c r="H756" s="132">
        <v>0.0</v>
      </c>
      <c r="I756" s="132">
        <v>0.0</v>
      </c>
      <c r="J756" s="132">
        <v>0.0</v>
      </c>
      <c r="K756" s="132">
        <v>0.0</v>
      </c>
      <c r="L756" s="132">
        <v>0.0</v>
      </c>
      <c r="M756" s="132">
        <v>0.0</v>
      </c>
      <c r="N756" s="132">
        <v>0.0</v>
      </c>
      <c r="O756" s="132">
        <v>0.0</v>
      </c>
      <c r="P756" s="132">
        <v>0.0</v>
      </c>
      <c r="Q756" s="132">
        <v>0.0</v>
      </c>
      <c r="R756" s="132">
        <v>0.0</v>
      </c>
      <c r="S756" s="132">
        <v>0.0</v>
      </c>
      <c r="T756" s="132">
        <v>0.0</v>
      </c>
      <c r="U756" s="132">
        <v>0.0</v>
      </c>
      <c r="V756" s="132">
        <v>0.0</v>
      </c>
      <c r="W756" s="132">
        <v>0.0</v>
      </c>
      <c r="Y756" s="132" t="s">
        <v>4258</v>
      </c>
      <c r="Z756" s="132">
        <f t="shared" ref="Z756:AC756" si="1508">C756-1000</f>
        <v>-1000</v>
      </c>
      <c r="AA756" s="132">
        <f t="shared" si="1508"/>
        <v>-1000</v>
      </c>
      <c r="AB756" s="132">
        <f t="shared" si="1508"/>
        <v>-1000</v>
      </c>
      <c r="AC756" s="132">
        <f t="shared" si="1508"/>
        <v>-900</v>
      </c>
      <c r="AD756" s="132">
        <f t="shared" si="4"/>
        <v>-10000</v>
      </c>
      <c r="AE756" s="132">
        <f t="shared" ref="AE756:AS756" si="1509">H756-1000</f>
        <v>-1000</v>
      </c>
      <c r="AF756" s="132">
        <f t="shared" si="1509"/>
        <v>-1000</v>
      </c>
      <c r="AG756" s="132">
        <f t="shared" si="1509"/>
        <v>-1000</v>
      </c>
      <c r="AH756" s="132">
        <f t="shared" si="1509"/>
        <v>-1000</v>
      </c>
      <c r="AI756" s="132">
        <f t="shared" si="1509"/>
        <v>-1000</v>
      </c>
      <c r="AJ756" s="132">
        <f t="shared" si="1509"/>
        <v>-1000</v>
      </c>
      <c r="AK756" s="132">
        <f t="shared" si="1509"/>
        <v>-1000</v>
      </c>
      <c r="AL756" s="132">
        <f t="shared" si="1509"/>
        <v>-1000</v>
      </c>
      <c r="AM756" s="132">
        <f t="shared" si="1509"/>
        <v>-1000</v>
      </c>
      <c r="AN756" s="132">
        <f t="shared" si="1509"/>
        <v>-1000</v>
      </c>
      <c r="AO756" s="132">
        <f t="shared" si="1509"/>
        <v>-1000</v>
      </c>
      <c r="AP756" s="132">
        <f t="shared" si="1509"/>
        <v>-1000</v>
      </c>
      <c r="AQ756" s="132">
        <f t="shared" si="1509"/>
        <v>-1000</v>
      </c>
      <c r="AR756" s="132">
        <f t="shared" si="1509"/>
        <v>-1000</v>
      </c>
      <c r="AS756" s="132">
        <f t="shared" si="1509"/>
        <v>-1000</v>
      </c>
    </row>
    <row r="757">
      <c r="A757" s="132" t="s">
        <v>4259</v>
      </c>
      <c r="B757" s="132">
        <v>500.0</v>
      </c>
      <c r="C757" s="132">
        <v>0.0</v>
      </c>
      <c r="D757" s="132">
        <v>0.0</v>
      </c>
      <c r="E757" s="132">
        <v>0.0</v>
      </c>
      <c r="F757" s="132">
        <v>500.0</v>
      </c>
      <c r="G757" s="132">
        <v>0.0</v>
      </c>
      <c r="H757" s="132">
        <v>0.0</v>
      </c>
      <c r="I757" s="132">
        <v>0.0</v>
      </c>
      <c r="J757" s="132">
        <v>0.0</v>
      </c>
      <c r="K757" s="132">
        <v>0.0</v>
      </c>
      <c r="L757" s="132">
        <v>0.0</v>
      </c>
      <c r="M757" s="132">
        <v>0.0</v>
      </c>
      <c r="N757" s="132">
        <v>0.0</v>
      </c>
      <c r="O757" s="132">
        <v>0.0</v>
      </c>
      <c r="P757" s="132">
        <v>0.0</v>
      </c>
      <c r="Q757" s="132">
        <v>0.0</v>
      </c>
      <c r="R757" s="132">
        <v>0.0</v>
      </c>
      <c r="S757" s="132">
        <v>0.0</v>
      </c>
      <c r="T757" s="132">
        <v>0.0</v>
      </c>
      <c r="U757" s="132">
        <v>0.0</v>
      </c>
      <c r="V757" s="132">
        <v>0.0</v>
      </c>
      <c r="W757" s="132">
        <v>0.0</v>
      </c>
      <c r="Y757" s="132" t="s">
        <v>4259</v>
      </c>
      <c r="Z757" s="132">
        <f t="shared" ref="Z757:AC757" si="1510">C757-1000</f>
        <v>-1000</v>
      </c>
      <c r="AA757" s="132">
        <f t="shared" si="1510"/>
        <v>-1000</v>
      </c>
      <c r="AB757" s="132">
        <f t="shared" si="1510"/>
        <v>-1000</v>
      </c>
      <c r="AC757" s="132">
        <f t="shared" si="1510"/>
        <v>-500</v>
      </c>
      <c r="AD757" s="132">
        <f t="shared" si="4"/>
        <v>-10000</v>
      </c>
      <c r="AE757" s="132">
        <f t="shared" ref="AE757:AS757" si="1511">H757-1000</f>
        <v>-1000</v>
      </c>
      <c r="AF757" s="132">
        <f t="shared" si="1511"/>
        <v>-1000</v>
      </c>
      <c r="AG757" s="132">
        <f t="shared" si="1511"/>
        <v>-1000</v>
      </c>
      <c r="AH757" s="132">
        <f t="shared" si="1511"/>
        <v>-1000</v>
      </c>
      <c r="AI757" s="132">
        <f t="shared" si="1511"/>
        <v>-1000</v>
      </c>
      <c r="AJ757" s="132">
        <f t="shared" si="1511"/>
        <v>-1000</v>
      </c>
      <c r="AK757" s="132">
        <f t="shared" si="1511"/>
        <v>-1000</v>
      </c>
      <c r="AL757" s="132">
        <f t="shared" si="1511"/>
        <v>-1000</v>
      </c>
      <c r="AM757" s="132">
        <f t="shared" si="1511"/>
        <v>-1000</v>
      </c>
      <c r="AN757" s="132">
        <f t="shared" si="1511"/>
        <v>-1000</v>
      </c>
      <c r="AO757" s="132">
        <f t="shared" si="1511"/>
        <v>-1000</v>
      </c>
      <c r="AP757" s="132">
        <f t="shared" si="1511"/>
        <v>-1000</v>
      </c>
      <c r="AQ757" s="132">
        <f t="shared" si="1511"/>
        <v>-1000</v>
      </c>
      <c r="AR757" s="132">
        <f t="shared" si="1511"/>
        <v>-1000</v>
      </c>
      <c r="AS757" s="132">
        <f t="shared" si="1511"/>
        <v>-1000</v>
      </c>
    </row>
    <row r="758">
      <c r="A758" s="132" t="s">
        <v>4260</v>
      </c>
      <c r="B758" s="132">
        <v>1000.0</v>
      </c>
      <c r="C758" s="132">
        <v>0.0</v>
      </c>
      <c r="D758" s="132">
        <v>0.0</v>
      </c>
      <c r="E758" s="132">
        <v>0.0</v>
      </c>
      <c r="F758" s="132">
        <v>1000.0</v>
      </c>
      <c r="G758" s="132">
        <v>0.0</v>
      </c>
      <c r="H758" s="132">
        <v>0.0</v>
      </c>
      <c r="I758" s="132">
        <v>0.0</v>
      </c>
      <c r="J758" s="132">
        <v>0.0</v>
      </c>
      <c r="K758" s="132">
        <v>0.0</v>
      </c>
      <c r="L758" s="132">
        <v>0.0</v>
      </c>
      <c r="M758" s="132">
        <v>0.0</v>
      </c>
      <c r="N758" s="132">
        <v>0.0</v>
      </c>
      <c r="O758" s="132">
        <v>0.0</v>
      </c>
      <c r="P758" s="132">
        <v>0.0</v>
      </c>
      <c r="Q758" s="132">
        <v>0.0</v>
      </c>
      <c r="R758" s="132">
        <v>0.0</v>
      </c>
      <c r="S758" s="132">
        <v>0.0</v>
      </c>
      <c r="T758" s="132">
        <v>0.0</v>
      </c>
      <c r="U758" s="132">
        <v>0.0</v>
      </c>
      <c r="V758" s="132">
        <v>0.0</v>
      </c>
      <c r="W758" s="132">
        <v>0.0</v>
      </c>
      <c r="Y758" s="132" t="s">
        <v>4260</v>
      </c>
      <c r="Z758" s="132">
        <f t="shared" ref="Z758:AC758" si="1512">C758-1000</f>
        <v>-1000</v>
      </c>
      <c r="AA758" s="132">
        <f t="shared" si="1512"/>
        <v>-1000</v>
      </c>
      <c r="AB758" s="132">
        <f t="shared" si="1512"/>
        <v>-1000</v>
      </c>
      <c r="AC758" s="132">
        <f t="shared" si="1512"/>
        <v>0</v>
      </c>
      <c r="AD758" s="132">
        <f t="shared" si="4"/>
        <v>-10000</v>
      </c>
      <c r="AE758" s="132">
        <f t="shared" ref="AE758:AS758" si="1513">H758-1000</f>
        <v>-1000</v>
      </c>
      <c r="AF758" s="132">
        <f t="shared" si="1513"/>
        <v>-1000</v>
      </c>
      <c r="AG758" s="132">
        <f t="shared" si="1513"/>
        <v>-1000</v>
      </c>
      <c r="AH758" s="132">
        <f t="shared" si="1513"/>
        <v>-1000</v>
      </c>
      <c r="AI758" s="132">
        <f t="shared" si="1513"/>
        <v>-1000</v>
      </c>
      <c r="AJ758" s="132">
        <f t="shared" si="1513"/>
        <v>-1000</v>
      </c>
      <c r="AK758" s="132">
        <f t="shared" si="1513"/>
        <v>-1000</v>
      </c>
      <c r="AL758" s="132">
        <f t="shared" si="1513"/>
        <v>-1000</v>
      </c>
      <c r="AM758" s="132">
        <f t="shared" si="1513"/>
        <v>-1000</v>
      </c>
      <c r="AN758" s="132">
        <f t="shared" si="1513"/>
        <v>-1000</v>
      </c>
      <c r="AO758" s="132">
        <f t="shared" si="1513"/>
        <v>-1000</v>
      </c>
      <c r="AP758" s="132">
        <f t="shared" si="1513"/>
        <v>-1000</v>
      </c>
      <c r="AQ758" s="132">
        <f t="shared" si="1513"/>
        <v>-1000</v>
      </c>
      <c r="AR758" s="132">
        <f t="shared" si="1513"/>
        <v>-1000</v>
      </c>
      <c r="AS758" s="132">
        <f t="shared" si="1513"/>
        <v>-1000</v>
      </c>
    </row>
    <row r="759">
      <c r="A759" s="132" t="s">
        <v>4261</v>
      </c>
      <c r="B759" s="132">
        <v>250.0</v>
      </c>
      <c r="C759" s="132">
        <v>0.0</v>
      </c>
      <c r="D759" s="132">
        <v>0.0</v>
      </c>
      <c r="E759" s="132">
        <v>0.0</v>
      </c>
      <c r="F759" s="132">
        <v>250.0</v>
      </c>
      <c r="G759" s="132">
        <v>0.0</v>
      </c>
      <c r="H759" s="132">
        <v>0.0</v>
      </c>
      <c r="I759" s="132">
        <v>0.0</v>
      </c>
      <c r="J759" s="132">
        <v>0.0</v>
      </c>
      <c r="K759" s="132">
        <v>0.0</v>
      </c>
      <c r="L759" s="132">
        <v>0.0</v>
      </c>
      <c r="M759" s="132">
        <v>0.0</v>
      </c>
      <c r="N759" s="132">
        <v>0.0</v>
      </c>
      <c r="O759" s="132">
        <v>0.0</v>
      </c>
      <c r="P759" s="132">
        <v>0.0</v>
      </c>
      <c r="Q759" s="132">
        <v>0.0</v>
      </c>
      <c r="R759" s="132">
        <v>0.0</v>
      </c>
      <c r="S759" s="132">
        <v>0.0</v>
      </c>
      <c r="T759" s="132">
        <v>0.0</v>
      </c>
      <c r="U759" s="132">
        <v>0.0</v>
      </c>
      <c r="V759" s="132">
        <v>0.0</v>
      </c>
      <c r="W759" s="132">
        <v>0.0</v>
      </c>
      <c r="Y759" s="132" t="s">
        <v>4261</v>
      </c>
      <c r="Z759" s="132">
        <f t="shared" ref="Z759:AC759" si="1514">C759-1000</f>
        <v>-1000</v>
      </c>
      <c r="AA759" s="132">
        <f t="shared" si="1514"/>
        <v>-1000</v>
      </c>
      <c r="AB759" s="132">
        <f t="shared" si="1514"/>
        <v>-1000</v>
      </c>
      <c r="AC759" s="132">
        <f t="shared" si="1514"/>
        <v>-750</v>
      </c>
      <c r="AD759" s="132">
        <f t="shared" si="4"/>
        <v>-10000</v>
      </c>
      <c r="AE759" s="132">
        <f t="shared" ref="AE759:AS759" si="1515">H759-1000</f>
        <v>-1000</v>
      </c>
      <c r="AF759" s="132">
        <f t="shared" si="1515"/>
        <v>-1000</v>
      </c>
      <c r="AG759" s="132">
        <f t="shared" si="1515"/>
        <v>-1000</v>
      </c>
      <c r="AH759" s="132">
        <f t="shared" si="1515"/>
        <v>-1000</v>
      </c>
      <c r="AI759" s="132">
        <f t="shared" si="1515"/>
        <v>-1000</v>
      </c>
      <c r="AJ759" s="132">
        <f t="shared" si="1515"/>
        <v>-1000</v>
      </c>
      <c r="AK759" s="132">
        <f t="shared" si="1515"/>
        <v>-1000</v>
      </c>
      <c r="AL759" s="132">
        <f t="shared" si="1515"/>
        <v>-1000</v>
      </c>
      <c r="AM759" s="132">
        <f t="shared" si="1515"/>
        <v>-1000</v>
      </c>
      <c r="AN759" s="132">
        <f t="shared" si="1515"/>
        <v>-1000</v>
      </c>
      <c r="AO759" s="132">
        <f t="shared" si="1515"/>
        <v>-1000</v>
      </c>
      <c r="AP759" s="132">
        <f t="shared" si="1515"/>
        <v>-1000</v>
      </c>
      <c r="AQ759" s="132">
        <f t="shared" si="1515"/>
        <v>-1000</v>
      </c>
      <c r="AR759" s="132">
        <f t="shared" si="1515"/>
        <v>-1000</v>
      </c>
      <c r="AS759" s="132">
        <f t="shared" si="1515"/>
        <v>-1000</v>
      </c>
    </row>
    <row r="760">
      <c r="A760" s="132" t="s">
        <v>4262</v>
      </c>
      <c r="B760" s="132">
        <v>200.0</v>
      </c>
      <c r="C760" s="132">
        <v>0.0</v>
      </c>
      <c r="D760" s="132">
        <v>0.0</v>
      </c>
      <c r="E760" s="132">
        <v>0.0</v>
      </c>
      <c r="F760" s="132">
        <v>200.0</v>
      </c>
      <c r="G760" s="132">
        <v>0.0</v>
      </c>
      <c r="H760" s="132">
        <v>0.0</v>
      </c>
      <c r="I760" s="132">
        <v>0.0</v>
      </c>
      <c r="J760" s="132">
        <v>0.0</v>
      </c>
      <c r="K760" s="132">
        <v>0.0</v>
      </c>
      <c r="L760" s="132">
        <v>0.0</v>
      </c>
      <c r="M760" s="132">
        <v>0.0</v>
      </c>
      <c r="N760" s="132">
        <v>0.0</v>
      </c>
      <c r="O760" s="132">
        <v>0.0</v>
      </c>
      <c r="P760" s="132">
        <v>0.0</v>
      </c>
      <c r="Q760" s="132">
        <v>0.0</v>
      </c>
      <c r="R760" s="132">
        <v>0.0</v>
      </c>
      <c r="S760" s="132">
        <v>0.0</v>
      </c>
      <c r="T760" s="132">
        <v>0.0</v>
      </c>
      <c r="U760" s="132">
        <v>0.0</v>
      </c>
      <c r="V760" s="132">
        <v>0.0</v>
      </c>
      <c r="W760" s="132">
        <v>0.0</v>
      </c>
      <c r="Y760" s="132" t="s">
        <v>4262</v>
      </c>
      <c r="Z760" s="132">
        <f t="shared" ref="Z760:AC760" si="1516">C760-1000</f>
        <v>-1000</v>
      </c>
      <c r="AA760" s="132">
        <f t="shared" si="1516"/>
        <v>-1000</v>
      </c>
      <c r="AB760" s="132">
        <f t="shared" si="1516"/>
        <v>-1000</v>
      </c>
      <c r="AC760" s="132">
        <f t="shared" si="1516"/>
        <v>-800</v>
      </c>
      <c r="AD760" s="132">
        <f t="shared" si="4"/>
        <v>-10000</v>
      </c>
      <c r="AE760" s="132">
        <f t="shared" ref="AE760:AS760" si="1517">H760-1000</f>
        <v>-1000</v>
      </c>
      <c r="AF760" s="132">
        <f t="shared" si="1517"/>
        <v>-1000</v>
      </c>
      <c r="AG760" s="132">
        <f t="shared" si="1517"/>
        <v>-1000</v>
      </c>
      <c r="AH760" s="132">
        <f t="shared" si="1517"/>
        <v>-1000</v>
      </c>
      <c r="AI760" s="132">
        <f t="shared" si="1517"/>
        <v>-1000</v>
      </c>
      <c r="AJ760" s="132">
        <f t="shared" si="1517"/>
        <v>-1000</v>
      </c>
      <c r="AK760" s="132">
        <f t="shared" si="1517"/>
        <v>-1000</v>
      </c>
      <c r="AL760" s="132">
        <f t="shared" si="1517"/>
        <v>-1000</v>
      </c>
      <c r="AM760" s="132">
        <f t="shared" si="1517"/>
        <v>-1000</v>
      </c>
      <c r="AN760" s="132">
        <f t="shared" si="1517"/>
        <v>-1000</v>
      </c>
      <c r="AO760" s="132">
        <f t="shared" si="1517"/>
        <v>-1000</v>
      </c>
      <c r="AP760" s="132">
        <f t="shared" si="1517"/>
        <v>-1000</v>
      </c>
      <c r="AQ760" s="132">
        <f t="shared" si="1517"/>
        <v>-1000</v>
      </c>
      <c r="AR760" s="132">
        <f t="shared" si="1517"/>
        <v>-1000</v>
      </c>
      <c r="AS760" s="132">
        <f t="shared" si="1517"/>
        <v>-1000</v>
      </c>
    </row>
    <row r="761">
      <c r="A761" s="132" t="s">
        <v>4263</v>
      </c>
      <c r="B761" s="132">
        <v>250.0</v>
      </c>
      <c r="C761" s="132">
        <v>0.0</v>
      </c>
      <c r="D761" s="132">
        <v>0.0</v>
      </c>
      <c r="E761" s="132">
        <v>0.0</v>
      </c>
      <c r="F761" s="132">
        <v>250.0</v>
      </c>
      <c r="G761" s="132">
        <v>0.0</v>
      </c>
      <c r="H761" s="132">
        <v>0.0</v>
      </c>
      <c r="I761" s="132">
        <v>0.0</v>
      </c>
      <c r="J761" s="132">
        <v>0.0</v>
      </c>
      <c r="K761" s="132">
        <v>0.0</v>
      </c>
      <c r="L761" s="132">
        <v>0.0</v>
      </c>
      <c r="M761" s="132">
        <v>0.0</v>
      </c>
      <c r="N761" s="132">
        <v>0.0</v>
      </c>
      <c r="O761" s="132">
        <v>0.0</v>
      </c>
      <c r="P761" s="132">
        <v>0.0</v>
      </c>
      <c r="Q761" s="132">
        <v>0.0</v>
      </c>
      <c r="R761" s="132">
        <v>0.0</v>
      </c>
      <c r="S761" s="132">
        <v>0.0</v>
      </c>
      <c r="T761" s="132">
        <v>0.0</v>
      </c>
      <c r="U761" s="132">
        <v>0.0</v>
      </c>
      <c r="V761" s="132">
        <v>0.0</v>
      </c>
      <c r="W761" s="132">
        <v>0.0</v>
      </c>
      <c r="Y761" s="132" t="s">
        <v>4263</v>
      </c>
      <c r="Z761" s="132">
        <f t="shared" ref="Z761:AC761" si="1518">C761-1000</f>
        <v>-1000</v>
      </c>
      <c r="AA761" s="132">
        <f t="shared" si="1518"/>
        <v>-1000</v>
      </c>
      <c r="AB761" s="132">
        <f t="shared" si="1518"/>
        <v>-1000</v>
      </c>
      <c r="AC761" s="132">
        <f t="shared" si="1518"/>
        <v>-750</v>
      </c>
      <c r="AD761" s="132">
        <f t="shared" si="4"/>
        <v>-10000</v>
      </c>
      <c r="AE761" s="132">
        <f t="shared" ref="AE761:AS761" si="1519">H761-1000</f>
        <v>-1000</v>
      </c>
      <c r="AF761" s="132">
        <f t="shared" si="1519"/>
        <v>-1000</v>
      </c>
      <c r="AG761" s="132">
        <f t="shared" si="1519"/>
        <v>-1000</v>
      </c>
      <c r="AH761" s="132">
        <f t="shared" si="1519"/>
        <v>-1000</v>
      </c>
      <c r="AI761" s="132">
        <f t="shared" si="1519"/>
        <v>-1000</v>
      </c>
      <c r="AJ761" s="132">
        <f t="shared" si="1519"/>
        <v>-1000</v>
      </c>
      <c r="AK761" s="132">
        <f t="shared" si="1519"/>
        <v>-1000</v>
      </c>
      <c r="AL761" s="132">
        <f t="shared" si="1519"/>
        <v>-1000</v>
      </c>
      <c r="AM761" s="132">
        <f t="shared" si="1519"/>
        <v>-1000</v>
      </c>
      <c r="AN761" s="132">
        <f t="shared" si="1519"/>
        <v>-1000</v>
      </c>
      <c r="AO761" s="132">
        <f t="shared" si="1519"/>
        <v>-1000</v>
      </c>
      <c r="AP761" s="132">
        <f t="shared" si="1519"/>
        <v>-1000</v>
      </c>
      <c r="AQ761" s="132">
        <f t="shared" si="1519"/>
        <v>-1000</v>
      </c>
      <c r="AR761" s="132">
        <f t="shared" si="1519"/>
        <v>-1000</v>
      </c>
      <c r="AS761" s="132">
        <f t="shared" si="1519"/>
        <v>-1000</v>
      </c>
    </row>
    <row r="762">
      <c r="A762" s="132" t="s">
        <v>4264</v>
      </c>
      <c r="B762" s="132">
        <v>2000.0</v>
      </c>
      <c r="C762" s="132">
        <v>0.0</v>
      </c>
      <c r="D762" s="132">
        <v>0.0</v>
      </c>
      <c r="E762" s="132">
        <v>0.0</v>
      </c>
      <c r="F762" s="132">
        <v>1000.0</v>
      </c>
      <c r="G762" s="132">
        <v>0.0</v>
      </c>
      <c r="H762" s="132">
        <v>0.0</v>
      </c>
      <c r="I762" s="132">
        <v>1000.0</v>
      </c>
      <c r="J762" s="132">
        <v>0.0</v>
      </c>
      <c r="K762" s="132">
        <v>0.0</v>
      </c>
      <c r="L762" s="132">
        <v>0.0</v>
      </c>
      <c r="M762" s="132">
        <v>0.0</v>
      </c>
      <c r="N762" s="132">
        <v>0.0</v>
      </c>
      <c r="O762" s="132">
        <v>0.0</v>
      </c>
      <c r="P762" s="132">
        <v>0.0</v>
      </c>
      <c r="Q762" s="132">
        <v>0.0</v>
      </c>
      <c r="R762" s="132">
        <v>0.0</v>
      </c>
      <c r="S762" s="132">
        <v>0.0</v>
      </c>
      <c r="T762" s="132">
        <v>0.0</v>
      </c>
      <c r="U762" s="132">
        <v>0.0</v>
      </c>
      <c r="V762" s="132">
        <v>0.0</v>
      </c>
      <c r="W762" s="132">
        <v>0.0</v>
      </c>
      <c r="Y762" s="132" t="s">
        <v>4264</v>
      </c>
      <c r="Z762" s="132">
        <f t="shared" ref="Z762:AC762" si="1520">C762-1000</f>
        <v>-1000</v>
      </c>
      <c r="AA762" s="132">
        <f t="shared" si="1520"/>
        <v>-1000</v>
      </c>
      <c r="AB762" s="132">
        <f t="shared" si="1520"/>
        <v>-1000</v>
      </c>
      <c r="AC762" s="132">
        <f t="shared" si="1520"/>
        <v>0</v>
      </c>
      <c r="AD762" s="132">
        <f t="shared" si="4"/>
        <v>-10000</v>
      </c>
      <c r="AE762" s="132">
        <f t="shared" ref="AE762:AS762" si="1521">H762-1000</f>
        <v>-1000</v>
      </c>
      <c r="AF762" s="132">
        <f t="shared" si="1521"/>
        <v>0</v>
      </c>
      <c r="AG762" s="132">
        <f t="shared" si="1521"/>
        <v>-1000</v>
      </c>
      <c r="AH762" s="132">
        <f t="shared" si="1521"/>
        <v>-1000</v>
      </c>
      <c r="AI762" s="132">
        <f t="shared" si="1521"/>
        <v>-1000</v>
      </c>
      <c r="AJ762" s="132">
        <f t="shared" si="1521"/>
        <v>-1000</v>
      </c>
      <c r="AK762" s="132">
        <f t="shared" si="1521"/>
        <v>-1000</v>
      </c>
      <c r="AL762" s="132">
        <f t="shared" si="1521"/>
        <v>-1000</v>
      </c>
      <c r="AM762" s="132">
        <f t="shared" si="1521"/>
        <v>-1000</v>
      </c>
      <c r="AN762" s="132">
        <f t="shared" si="1521"/>
        <v>-1000</v>
      </c>
      <c r="AO762" s="132">
        <f t="shared" si="1521"/>
        <v>-1000</v>
      </c>
      <c r="AP762" s="132">
        <f t="shared" si="1521"/>
        <v>-1000</v>
      </c>
      <c r="AQ762" s="132">
        <f t="shared" si="1521"/>
        <v>-1000</v>
      </c>
      <c r="AR762" s="132">
        <f t="shared" si="1521"/>
        <v>-1000</v>
      </c>
      <c r="AS762" s="132">
        <f t="shared" si="1521"/>
        <v>-1000</v>
      </c>
    </row>
    <row r="763">
      <c r="A763" s="132" t="s">
        <v>4265</v>
      </c>
      <c r="B763" s="132">
        <v>250.0</v>
      </c>
      <c r="C763" s="132">
        <v>0.0</v>
      </c>
      <c r="D763" s="132">
        <v>0.0</v>
      </c>
      <c r="E763" s="132">
        <v>0.0</v>
      </c>
      <c r="F763" s="132">
        <v>250.0</v>
      </c>
      <c r="G763" s="132">
        <v>0.0</v>
      </c>
      <c r="H763" s="132">
        <v>0.0</v>
      </c>
      <c r="I763" s="132">
        <v>0.0</v>
      </c>
      <c r="J763" s="132">
        <v>0.0</v>
      </c>
      <c r="K763" s="132">
        <v>0.0</v>
      </c>
      <c r="L763" s="132">
        <v>0.0</v>
      </c>
      <c r="M763" s="132">
        <v>0.0</v>
      </c>
      <c r="N763" s="132">
        <v>0.0</v>
      </c>
      <c r="O763" s="132">
        <v>0.0</v>
      </c>
      <c r="P763" s="132">
        <v>0.0</v>
      </c>
      <c r="Q763" s="132">
        <v>0.0</v>
      </c>
      <c r="R763" s="132">
        <v>0.0</v>
      </c>
      <c r="S763" s="132">
        <v>0.0</v>
      </c>
      <c r="T763" s="132">
        <v>0.0</v>
      </c>
      <c r="U763" s="132">
        <v>0.0</v>
      </c>
      <c r="V763" s="132">
        <v>0.0</v>
      </c>
      <c r="W763" s="132">
        <v>0.0</v>
      </c>
      <c r="Y763" s="132" t="s">
        <v>4265</v>
      </c>
      <c r="Z763" s="132">
        <f t="shared" ref="Z763:AC763" si="1522">C763-1000</f>
        <v>-1000</v>
      </c>
      <c r="AA763" s="132">
        <f t="shared" si="1522"/>
        <v>-1000</v>
      </c>
      <c r="AB763" s="132">
        <f t="shared" si="1522"/>
        <v>-1000</v>
      </c>
      <c r="AC763" s="132">
        <f t="shared" si="1522"/>
        <v>-750</v>
      </c>
      <c r="AD763" s="132">
        <f t="shared" si="4"/>
        <v>-10000</v>
      </c>
      <c r="AE763" s="132">
        <f t="shared" ref="AE763:AS763" si="1523">H763-1000</f>
        <v>-1000</v>
      </c>
      <c r="AF763" s="132">
        <f t="shared" si="1523"/>
        <v>-1000</v>
      </c>
      <c r="AG763" s="132">
        <f t="shared" si="1523"/>
        <v>-1000</v>
      </c>
      <c r="AH763" s="132">
        <f t="shared" si="1523"/>
        <v>-1000</v>
      </c>
      <c r="AI763" s="132">
        <f t="shared" si="1523"/>
        <v>-1000</v>
      </c>
      <c r="AJ763" s="132">
        <f t="shared" si="1523"/>
        <v>-1000</v>
      </c>
      <c r="AK763" s="132">
        <f t="shared" si="1523"/>
        <v>-1000</v>
      </c>
      <c r="AL763" s="132">
        <f t="shared" si="1523"/>
        <v>-1000</v>
      </c>
      <c r="AM763" s="132">
        <f t="shared" si="1523"/>
        <v>-1000</v>
      </c>
      <c r="AN763" s="132">
        <f t="shared" si="1523"/>
        <v>-1000</v>
      </c>
      <c r="AO763" s="132">
        <f t="shared" si="1523"/>
        <v>-1000</v>
      </c>
      <c r="AP763" s="132">
        <f t="shared" si="1523"/>
        <v>-1000</v>
      </c>
      <c r="AQ763" s="132">
        <f t="shared" si="1523"/>
        <v>-1000</v>
      </c>
      <c r="AR763" s="132">
        <f t="shared" si="1523"/>
        <v>-1000</v>
      </c>
      <c r="AS763" s="132">
        <f t="shared" si="1523"/>
        <v>-1000</v>
      </c>
    </row>
    <row r="764">
      <c r="A764" s="132" t="s">
        <v>4266</v>
      </c>
      <c r="B764" s="132">
        <v>250.0</v>
      </c>
      <c r="C764" s="132">
        <v>0.0</v>
      </c>
      <c r="D764" s="132">
        <v>0.0</v>
      </c>
      <c r="E764" s="132">
        <v>0.0</v>
      </c>
      <c r="F764" s="132">
        <v>250.0</v>
      </c>
      <c r="G764" s="132">
        <v>0.0</v>
      </c>
      <c r="H764" s="132">
        <v>0.0</v>
      </c>
      <c r="I764" s="132">
        <v>0.0</v>
      </c>
      <c r="J764" s="132">
        <v>0.0</v>
      </c>
      <c r="K764" s="132">
        <v>0.0</v>
      </c>
      <c r="L764" s="132">
        <v>0.0</v>
      </c>
      <c r="M764" s="132">
        <v>0.0</v>
      </c>
      <c r="N764" s="132">
        <v>0.0</v>
      </c>
      <c r="O764" s="132">
        <v>0.0</v>
      </c>
      <c r="P764" s="132">
        <v>0.0</v>
      </c>
      <c r="Q764" s="132">
        <v>0.0</v>
      </c>
      <c r="R764" s="132">
        <v>0.0</v>
      </c>
      <c r="S764" s="132">
        <v>0.0</v>
      </c>
      <c r="T764" s="132">
        <v>0.0</v>
      </c>
      <c r="U764" s="132">
        <v>0.0</v>
      </c>
      <c r="V764" s="132">
        <v>0.0</v>
      </c>
      <c r="W764" s="132">
        <v>0.0</v>
      </c>
      <c r="Y764" s="132" t="s">
        <v>4266</v>
      </c>
      <c r="Z764" s="132">
        <f t="shared" ref="Z764:AC764" si="1524">C764-1000</f>
        <v>-1000</v>
      </c>
      <c r="AA764" s="132">
        <f t="shared" si="1524"/>
        <v>-1000</v>
      </c>
      <c r="AB764" s="132">
        <f t="shared" si="1524"/>
        <v>-1000</v>
      </c>
      <c r="AC764" s="132">
        <f t="shared" si="1524"/>
        <v>-750</v>
      </c>
      <c r="AD764" s="132">
        <f t="shared" si="4"/>
        <v>-10000</v>
      </c>
      <c r="AE764" s="132">
        <f t="shared" ref="AE764:AS764" si="1525">H764-1000</f>
        <v>-1000</v>
      </c>
      <c r="AF764" s="132">
        <f t="shared" si="1525"/>
        <v>-1000</v>
      </c>
      <c r="AG764" s="132">
        <f t="shared" si="1525"/>
        <v>-1000</v>
      </c>
      <c r="AH764" s="132">
        <f t="shared" si="1525"/>
        <v>-1000</v>
      </c>
      <c r="AI764" s="132">
        <f t="shared" si="1525"/>
        <v>-1000</v>
      </c>
      <c r="AJ764" s="132">
        <f t="shared" si="1525"/>
        <v>-1000</v>
      </c>
      <c r="AK764" s="132">
        <f t="shared" si="1525"/>
        <v>-1000</v>
      </c>
      <c r="AL764" s="132">
        <f t="shared" si="1525"/>
        <v>-1000</v>
      </c>
      <c r="AM764" s="132">
        <f t="shared" si="1525"/>
        <v>-1000</v>
      </c>
      <c r="AN764" s="132">
        <f t="shared" si="1525"/>
        <v>-1000</v>
      </c>
      <c r="AO764" s="132">
        <f t="shared" si="1525"/>
        <v>-1000</v>
      </c>
      <c r="AP764" s="132">
        <f t="shared" si="1525"/>
        <v>-1000</v>
      </c>
      <c r="AQ764" s="132">
        <f t="shared" si="1525"/>
        <v>-1000</v>
      </c>
      <c r="AR764" s="132">
        <f t="shared" si="1525"/>
        <v>-1000</v>
      </c>
      <c r="AS764" s="132">
        <f t="shared" si="1525"/>
        <v>-1000</v>
      </c>
    </row>
    <row r="765">
      <c r="A765" s="132" t="s">
        <v>4267</v>
      </c>
      <c r="B765" s="132">
        <v>100.0</v>
      </c>
      <c r="C765" s="132">
        <v>0.0</v>
      </c>
      <c r="D765" s="132">
        <v>0.0</v>
      </c>
      <c r="E765" s="132">
        <v>0.0</v>
      </c>
      <c r="F765" s="132">
        <v>100.0</v>
      </c>
      <c r="G765" s="132">
        <v>0.0</v>
      </c>
      <c r="H765" s="132">
        <v>0.0</v>
      </c>
      <c r="I765" s="132">
        <v>0.0</v>
      </c>
      <c r="J765" s="132">
        <v>0.0</v>
      </c>
      <c r="K765" s="132">
        <v>0.0</v>
      </c>
      <c r="L765" s="132">
        <v>0.0</v>
      </c>
      <c r="M765" s="132">
        <v>0.0</v>
      </c>
      <c r="N765" s="132">
        <v>0.0</v>
      </c>
      <c r="O765" s="132">
        <v>0.0</v>
      </c>
      <c r="P765" s="132">
        <v>0.0</v>
      </c>
      <c r="Q765" s="132">
        <v>0.0</v>
      </c>
      <c r="R765" s="132">
        <v>0.0</v>
      </c>
      <c r="S765" s="132">
        <v>0.0</v>
      </c>
      <c r="T765" s="132">
        <v>0.0</v>
      </c>
      <c r="U765" s="132">
        <v>0.0</v>
      </c>
      <c r="V765" s="132">
        <v>0.0</v>
      </c>
      <c r="W765" s="132">
        <v>0.0</v>
      </c>
      <c r="Y765" s="132" t="s">
        <v>4267</v>
      </c>
      <c r="Z765" s="132">
        <f t="shared" ref="Z765:AC765" si="1526">C765-1000</f>
        <v>-1000</v>
      </c>
      <c r="AA765" s="132">
        <f t="shared" si="1526"/>
        <v>-1000</v>
      </c>
      <c r="AB765" s="132">
        <f t="shared" si="1526"/>
        <v>-1000</v>
      </c>
      <c r="AC765" s="132">
        <f t="shared" si="1526"/>
        <v>-900</v>
      </c>
      <c r="AD765" s="132">
        <f t="shared" si="4"/>
        <v>-10000</v>
      </c>
      <c r="AE765" s="132">
        <f t="shared" ref="AE765:AS765" si="1527">H765-1000</f>
        <v>-1000</v>
      </c>
      <c r="AF765" s="132">
        <f t="shared" si="1527"/>
        <v>-1000</v>
      </c>
      <c r="AG765" s="132">
        <f t="shared" si="1527"/>
        <v>-1000</v>
      </c>
      <c r="AH765" s="132">
        <f t="shared" si="1527"/>
        <v>-1000</v>
      </c>
      <c r="AI765" s="132">
        <f t="shared" si="1527"/>
        <v>-1000</v>
      </c>
      <c r="AJ765" s="132">
        <f t="shared" si="1527"/>
        <v>-1000</v>
      </c>
      <c r="AK765" s="132">
        <f t="shared" si="1527"/>
        <v>-1000</v>
      </c>
      <c r="AL765" s="132">
        <f t="shared" si="1527"/>
        <v>-1000</v>
      </c>
      <c r="AM765" s="132">
        <f t="shared" si="1527"/>
        <v>-1000</v>
      </c>
      <c r="AN765" s="132">
        <f t="shared" si="1527"/>
        <v>-1000</v>
      </c>
      <c r="AO765" s="132">
        <f t="shared" si="1527"/>
        <v>-1000</v>
      </c>
      <c r="AP765" s="132">
        <f t="shared" si="1527"/>
        <v>-1000</v>
      </c>
      <c r="AQ765" s="132">
        <f t="shared" si="1527"/>
        <v>-1000</v>
      </c>
      <c r="AR765" s="132">
        <f t="shared" si="1527"/>
        <v>-1000</v>
      </c>
      <c r="AS765" s="132">
        <f t="shared" si="1527"/>
        <v>-1000</v>
      </c>
    </row>
    <row r="766">
      <c r="A766" s="132" t="s">
        <v>4268</v>
      </c>
      <c r="B766" s="132">
        <v>50.0</v>
      </c>
      <c r="C766" s="132">
        <v>0.0</v>
      </c>
      <c r="D766" s="132">
        <v>0.0</v>
      </c>
      <c r="E766" s="132">
        <v>0.0</v>
      </c>
      <c r="F766" s="132">
        <v>50.0</v>
      </c>
      <c r="G766" s="132">
        <v>0.0</v>
      </c>
      <c r="H766" s="132">
        <v>0.0</v>
      </c>
      <c r="I766" s="132">
        <v>0.0</v>
      </c>
      <c r="J766" s="132">
        <v>0.0</v>
      </c>
      <c r="K766" s="132">
        <v>0.0</v>
      </c>
      <c r="L766" s="132">
        <v>0.0</v>
      </c>
      <c r="M766" s="132">
        <v>0.0</v>
      </c>
      <c r="N766" s="132">
        <v>0.0</v>
      </c>
      <c r="O766" s="132">
        <v>0.0</v>
      </c>
      <c r="P766" s="132">
        <v>0.0</v>
      </c>
      <c r="Q766" s="132">
        <v>0.0</v>
      </c>
      <c r="R766" s="132">
        <v>0.0</v>
      </c>
      <c r="S766" s="132">
        <v>0.0</v>
      </c>
      <c r="T766" s="132">
        <v>0.0</v>
      </c>
      <c r="U766" s="132">
        <v>0.0</v>
      </c>
      <c r="V766" s="132">
        <v>0.0</v>
      </c>
      <c r="W766" s="132">
        <v>0.0</v>
      </c>
      <c r="Y766" s="132" t="s">
        <v>4268</v>
      </c>
      <c r="Z766" s="132">
        <f t="shared" ref="Z766:AC766" si="1528">C766-1000</f>
        <v>-1000</v>
      </c>
      <c r="AA766" s="132">
        <f t="shared" si="1528"/>
        <v>-1000</v>
      </c>
      <c r="AB766" s="132">
        <f t="shared" si="1528"/>
        <v>-1000</v>
      </c>
      <c r="AC766" s="132">
        <f t="shared" si="1528"/>
        <v>-950</v>
      </c>
      <c r="AD766" s="132">
        <f t="shared" si="4"/>
        <v>-10000</v>
      </c>
      <c r="AE766" s="132">
        <f t="shared" ref="AE766:AS766" si="1529">H766-1000</f>
        <v>-1000</v>
      </c>
      <c r="AF766" s="132">
        <f t="shared" si="1529"/>
        <v>-1000</v>
      </c>
      <c r="AG766" s="132">
        <f t="shared" si="1529"/>
        <v>-1000</v>
      </c>
      <c r="AH766" s="132">
        <f t="shared" si="1529"/>
        <v>-1000</v>
      </c>
      <c r="AI766" s="132">
        <f t="shared" si="1529"/>
        <v>-1000</v>
      </c>
      <c r="AJ766" s="132">
        <f t="shared" si="1529"/>
        <v>-1000</v>
      </c>
      <c r="AK766" s="132">
        <f t="shared" si="1529"/>
        <v>-1000</v>
      </c>
      <c r="AL766" s="132">
        <f t="shared" si="1529"/>
        <v>-1000</v>
      </c>
      <c r="AM766" s="132">
        <f t="shared" si="1529"/>
        <v>-1000</v>
      </c>
      <c r="AN766" s="132">
        <f t="shared" si="1529"/>
        <v>-1000</v>
      </c>
      <c r="AO766" s="132">
        <f t="shared" si="1529"/>
        <v>-1000</v>
      </c>
      <c r="AP766" s="132">
        <f t="shared" si="1529"/>
        <v>-1000</v>
      </c>
      <c r="AQ766" s="132">
        <f t="shared" si="1529"/>
        <v>-1000</v>
      </c>
      <c r="AR766" s="132">
        <f t="shared" si="1529"/>
        <v>-1000</v>
      </c>
      <c r="AS766" s="132">
        <f t="shared" si="1529"/>
        <v>-1000</v>
      </c>
    </row>
    <row r="767">
      <c r="A767" s="132" t="s">
        <v>4269</v>
      </c>
      <c r="B767" s="132">
        <v>2950.0</v>
      </c>
      <c r="C767" s="132">
        <v>0.0</v>
      </c>
      <c r="D767" s="132">
        <v>0.0</v>
      </c>
      <c r="E767" s="132">
        <v>0.0</v>
      </c>
      <c r="F767" s="132">
        <v>300.0</v>
      </c>
      <c r="G767" s="132">
        <v>1500.0</v>
      </c>
      <c r="H767" s="132">
        <v>0.0</v>
      </c>
      <c r="I767" s="132">
        <v>100.0</v>
      </c>
      <c r="J767" s="132">
        <v>0.0</v>
      </c>
      <c r="K767" s="132">
        <v>0.0</v>
      </c>
      <c r="L767" s="132">
        <v>800.0</v>
      </c>
      <c r="M767" s="132">
        <v>250.0</v>
      </c>
      <c r="N767" s="132">
        <v>0.0</v>
      </c>
      <c r="O767" s="132">
        <v>0.0</v>
      </c>
      <c r="P767" s="132">
        <v>0.0</v>
      </c>
      <c r="Q767" s="132">
        <v>0.0</v>
      </c>
      <c r="R767" s="132">
        <v>0.0</v>
      </c>
      <c r="S767" s="132">
        <v>0.0</v>
      </c>
      <c r="T767" s="132">
        <v>0.0</v>
      </c>
      <c r="U767" s="132">
        <v>0.0</v>
      </c>
      <c r="V767" s="132">
        <v>0.0</v>
      </c>
      <c r="W767" s="132">
        <v>1.0</v>
      </c>
      <c r="Y767" s="132" t="s">
        <v>4269</v>
      </c>
      <c r="Z767" s="132">
        <f t="shared" ref="Z767:AC767" si="1530">C767-1000</f>
        <v>-1000</v>
      </c>
      <c r="AA767" s="132">
        <f t="shared" si="1530"/>
        <v>-1000</v>
      </c>
      <c r="AB767" s="132">
        <f t="shared" si="1530"/>
        <v>-1000</v>
      </c>
      <c r="AC767" s="132">
        <f t="shared" si="1530"/>
        <v>-700</v>
      </c>
      <c r="AD767" s="132">
        <f t="shared" si="4"/>
        <v>-8500</v>
      </c>
      <c r="AE767" s="132">
        <f t="shared" ref="AE767:AS767" si="1531">H767-1000</f>
        <v>-1000</v>
      </c>
      <c r="AF767" s="132">
        <f t="shared" si="1531"/>
        <v>-900</v>
      </c>
      <c r="AG767" s="132">
        <f t="shared" si="1531"/>
        <v>-1000</v>
      </c>
      <c r="AH767" s="132">
        <f t="shared" si="1531"/>
        <v>-1000</v>
      </c>
      <c r="AI767" s="132">
        <f t="shared" si="1531"/>
        <v>-200</v>
      </c>
      <c r="AJ767" s="132">
        <f t="shared" si="1531"/>
        <v>-750</v>
      </c>
      <c r="AK767" s="132">
        <f t="shared" si="1531"/>
        <v>-1000</v>
      </c>
      <c r="AL767" s="132">
        <f t="shared" si="1531"/>
        <v>-1000</v>
      </c>
      <c r="AM767" s="132">
        <f t="shared" si="1531"/>
        <v>-1000</v>
      </c>
      <c r="AN767" s="132">
        <f t="shared" si="1531"/>
        <v>-1000</v>
      </c>
      <c r="AO767" s="132">
        <f t="shared" si="1531"/>
        <v>-1000</v>
      </c>
      <c r="AP767" s="132">
        <f t="shared" si="1531"/>
        <v>-1000</v>
      </c>
      <c r="AQ767" s="132">
        <f t="shared" si="1531"/>
        <v>-1000</v>
      </c>
      <c r="AR767" s="132">
        <f t="shared" si="1531"/>
        <v>-1000</v>
      </c>
      <c r="AS767" s="132">
        <f t="shared" si="1531"/>
        <v>-1000</v>
      </c>
    </row>
    <row r="768">
      <c r="A768" s="132" t="s">
        <v>4270</v>
      </c>
      <c r="B768" s="132">
        <v>500.0</v>
      </c>
      <c r="C768" s="132">
        <v>250.0</v>
      </c>
      <c r="D768" s="132">
        <v>0.0</v>
      </c>
      <c r="E768" s="132">
        <v>0.0</v>
      </c>
      <c r="F768" s="132">
        <v>250.0</v>
      </c>
      <c r="G768" s="132">
        <v>0.0</v>
      </c>
      <c r="H768" s="132">
        <v>0.0</v>
      </c>
      <c r="I768" s="132">
        <v>0.0</v>
      </c>
      <c r="J768" s="132">
        <v>0.0</v>
      </c>
      <c r="K768" s="132">
        <v>0.0</v>
      </c>
      <c r="L768" s="132">
        <v>0.0</v>
      </c>
      <c r="M768" s="132">
        <v>0.0</v>
      </c>
      <c r="N768" s="132">
        <v>0.0</v>
      </c>
      <c r="O768" s="132">
        <v>0.0</v>
      </c>
      <c r="P768" s="132">
        <v>0.0</v>
      </c>
      <c r="Q768" s="132">
        <v>0.0</v>
      </c>
      <c r="R768" s="132">
        <v>0.0</v>
      </c>
      <c r="S768" s="132">
        <v>0.0</v>
      </c>
      <c r="T768" s="132">
        <v>0.0</v>
      </c>
      <c r="U768" s="132">
        <v>0.0</v>
      </c>
      <c r="V768" s="132">
        <v>0.0</v>
      </c>
      <c r="W768" s="132">
        <v>0.0</v>
      </c>
      <c r="Y768" s="132" t="s">
        <v>4270</v>
      </c>
      <c r="Z768" s="132">
        <f t="shared" ref="Z768:AC768" si="1532">C768-1000</f>
        <v>-750</v>
      </c>
      <c r="AA768" s="132">
        <f t="shared" si="1532"/>
        <v>-1000</v>
      </c>
      <c r="AB768" s="132">
        <f t="shared" si="1532"/>
        <v>-1000</v>
      </c>
      <c r="AC768" s="132">
        <f t="shared" si="1532"/>
        <v>-750</v>
      </c>
      <c r="AD768" s="132">
        <f t="shared" si="4"/>
        <v>-10000</v>
      </c>
      <c r="AE768" s="132">
        <f t="shared" ref="AE768:AS768" si="1533">H768-1000</f>
        <v>-1000</v>
      </c>
      <c r="AF768" s="132">
        <f t="shared" si="1533"/>
        <v>-1000</v>
      </c>
      <c r="AG768" s="132">
        <f t="shared" si="1533"/>
        <v>-1000</v>
      </c>
      <c r="AH768" s="132">
        <f t="shared" si="1533"/>
        <v>-1000</v>
      </c>
      <c r="AI768" s="132">
        <f t="shared" si="1533"/>
        <v>-1000</v>
      </c>
      <c r="AJ768" s="132">
        <f t="shared" si="1533"/>
        <v>-1000</v>
      </c>
      <c r="AK768" s="132">
        <f t="shared" si="1533"/>
        <v>-1000</v>
      </c>
      <c r="AL768" s="132">
        <f t="shared" si="1533"/>
        <v>-1000</v>
      </c>
      <c r="AM768" s="132">
        <f t="shared" si="1533"/>
        <v>-1000</v>
      </c>
      <c r="AN768" s="132">
        <f t="shared" si="1533"/>
        <v>-1000</v>
      </c>
      <c r="AO768" s="132">
        <f t="shared" si="1533"/>
        <v>-1000</v>
      </c>
      <c r="AP768" s="132">
        <f t="shared" si="1533"/>
        <v>-1000</v>
      </c>
      <c r="AQ768" s="132">
        <f t="shared" si="1533"/>
        <v>-1000</v>
      </c>
      <c r="AR768" s="132">
        <f t="shared" si="1533"/>
        <v>-1000</v>
      </c>
      <c r="AS768" s="132">
        <f t="shared" si="1533"/>
        <v>-1000</v>
      </c>
    </row>
    <row r="769">
      <c r="A769" s="132" t="s">
        <v>4271</v>
      </c>
      <c r="B769" s="132">
        <v>150.0</v>
      </c>
      <c r="C769" s="132">
        <v>0.0</v>
      </c>
      <c r="D769" s="132">
        <v>0.0</v>
      </c>
      <c r="E769" s="132">
        <v>0.0</v>
      </c>
      <c r="F769" s="132">
        <v>150.0</v>
      </c>
      <c r="G769" s="132">
        <v>0.0</v>
      </c>
      <c r="H769" s="132">
        <v>0.0</v>
      </c>
      <c r="I769" s="132">
        <v>0.0</v>
      </c>
      <c r="J769" s="132">
        <v>0.0</v>
      </c>
      <c r="K769" s="132">
        <v>0.0</v>
      </c>
      <c r="L769" s="132">
        <v>0.0</v>
      </c>
      <c r="M769" s="132">
        <v>0.0</v>
      </c>
      <c r="N769" s="132">
        <v>0.0</v>
      </c>
      <c r="O769" s="132">
        <v>0.0</v>
      </c>
      <c r="P769" s="132">
        <v>0.0</v>
      </c>
      <c r="Q769" s="132">
        <v>0.0</v>
      </c>
      <c r="R769" s="132">
        <v>0.0</v>
      </c>
      <c r="S769" s="132">
        <v>0.0</v>
      </c>
      <c r="T769" s="132">
        <v>0.0</v>
      </c>
      <c r="U769" s="132">
        <v>0.0</v>
      </c>
      <c r="V769" s="132">
        <v>0.0</v>
      </c>
      <c r="W769" s="132">
        <v>0.0</v>
      </c>
      <c r="Y769" s="132" t="s">
        <v>4271</v>
      </c>
      <c r="Z769" s="132">
        <f t="shared" ref="Z769:AC769" si="1534">C769-1000</f>
        <v>-1000</v>
      </c>
      <c r="AA769" s="132">
        <f t="shared" si="1534"/>
        <v>-1000</v>
      </c>
      <c r="AB769" s="132">
        <f t="shared" si="1534"/>
        <v>-1000</v>
      </c>
      <c r="AC769" s="132">
        <f t="shared" si="1534"/>
        <v>-850</v>
      </c>
      <c r="AD769" s="132">
        <f t="shared" si="4"/>
        <v>-10000</v>
      </c>
      <c r="AE769" s="132">
        <f t="shared" ref="AE769:AS769" si="1535">H769-1000</f>
        <v>-1000</v>
      </c>
      <c r="AF769" s="132">
        <f t="shared" si="1535"/>
        <v>-1000</v>
      </c>
      <c r="AG769" s="132">
        <f t="shared" si="1535"/>
        <v>-1000</v>
      </c>
      <c r="AH769" s="132">
        <f t="shared" si="1535"/>
        <v>-1000</v>
      </c>
      <c r="AI769" s="132">
        <f t="shared" si="1535"/>
        <v>-1000</v>
      </c>
      <c r="AJ769" s="132">
        <f t="shared" si="1535"/>
        <v>-1000</v>
      </c>
      <c r="AK769" s="132">
        <f t="shared" si="1535"/>
        <v>-1000</v>
      </c>
      <c r="AL769" s="132">
        <f t="shared" si="1535"/>
        <v>-1000</v>
      </c>
      <c r="AM769" s="132">
        <f t="shared" si="1535"/>
        <v>-1000</v>
      </c>
      <c r="AN769" s="132">
        <f t="shared" si="1535"/>
        <v>-1000</v>
      </c>
      <c r="AO769" s="132">
        <f t="shared" si="1535"/>
        <v>-1000</v>
      </c>
      <c r="AP769" s="132">
        <f t="shared" si="1535"/>
        <v>-1000</v>
      </c>
      <c r="AQ769" s="132">
        <f t="shared" si="1535"/>
        <v>-1000</v>
      </c>
      <c r="AR769" s="132">
        <f t="shared" si="1535"/>
        <v>-1000</v>
      </c>
      <c r="AS769" s="132">
        <f t="shared" si="1535"/>
        <v>-1000</v>
      </c>
    </row>
    <row r="770">
      <c r="A770" s="132" t="s">
        <v>4272</v>
      </c>
      <c r="B770" s="132">
        <v>1000.0</v>
      </c>
      <c r="C770" s="132">
        <v>0.0</v>
      </c>
      <c r="D770" s="132">
        <v>0.0</v>
      </c>
      <c r="E770" s="132">
        <v>0.0</v>
      </c>
      <c r="F770" s="132">
        <v>1000.0</v>
      </c>
      <c r="G770" s="132">
        <v>0.0</v>
      </c>
      <c r="H770" s="132">
        <v>0.0</v>
      </c>
      <c r="I770" s="132">
        <v>0.0</v>
      </c>
      <c r="J770" s="132">
        <v>0.0</v>
      </c>
      <c r="K770" s="132">
        <v>0.0</v>
      </c>
      <c r="L770" s="132">
        <v>0.0</v>
      </c>
      <c r="M770" s="132">
        <v>0.0</v>
      </c>
      <c r="N770" s="132">
        <v>0.0</v>
      </c>
      <c r="O770" s="132">
        <v>0.0</v>
      </c>
      <c r="P770" s="132">
        <v>0.0</v>
      </c>
      <c r="Q770" s="132">
        <v>0.0</v>
      </c>
      <c r="R770" s="132">
        <v>0.0</v>
      </c>
      <c r="S770" s="132">
        <v>0.0</v>
      </c>
      <c r="T770" s="132">
        <v>0.0</v>
      </c>
      <c r="U770" s="132">
        <v>0.0</v>
      </c>
      <c r="V770" s="132">
        <v>0.0</v>
      </c>
      <c r="W770" s="132">
        <v>0.0</v>
      </c>
      <c r="Y770" s="132" t="s">
        <v>4272</v>
      </c>
      <c r="Z770" s="132">
        <f t="shared" ref="Z770:AC770" si="1536">C770-1000</f>
        <v>-1000</v>
      </c>
      <c r="AA770" s="132">
        <f t="shared" si="1536"/>
        <v>-1000</v>
      </c>
      <c r="AB770" s="132">
        <f t="shared" si="1536"/>
        <v>-1000</v>
      </c>
      <c r="AC770" s="132">
        <f t="shared" si="1536"/>
        <v>0</v>
      </c>
      <c r="AD770" s="132">
        <f t="shared" si="4"/>
        <v>-10000</v>
      </c>
      <c r="AE770" s="132">
        <f t="shared" ref="AE770:AS770" si="1537">H770-1000</f>
        <v>-1000</v>
      </c>
      <c r="AF770" s="132">
        <f t="shared" si="1537"/>
        <v>-1000</v>
      </c>
      <c r="AG770" s="132">
        <f t="shared" si="1537"/>
        <v>-1000</v>
      </c>
      <c r="AH770" s="132">
        <f t="shared" si="1537"/>
        <v>-1000</v>
      </c>
      <c r="AI770" s="132">
        <f t="shared" si="1537"/>
        <v>-1000</v>
      </c>
      <c r="AJ770" s="132">
        <f t="shared" si="1537"/>
        <v>-1000</v>
      </c>
      <c r="AK770" s="132">
        <f t="shared" si="1537"/>
        <v>-1000</v>
      </c>
      <c r="AL770" s="132">
        <f t="shared" si="1537"/>
        <v>-1000</v>
      </c>
      <c r="AM770" s="132">
        <f t="shared" si="1537"/>
        <v>-1000</v>
      </c>
      <c r="AN770" s="132">
        <f t="shared" si="1537"/>
        <v>-1000</v>
      </c>
      <c r="AO770" s="132">
        <f t="shared" si="1537"/>
        <v>-1000</v>
      </c>
      <c r="AP770" s="132">
        <f t="shared" si="1537"/>
        <v>-1000</v>
      </c>
      <c r="AQ770" s="132">
        <f t="shared" si="1537"/>
        <v>-1000</v>
      </c>
      <c r="AR770" s="132">
        <f t="shared" si="1537"/>
        <v>-1000</v>
      </c>
      <c r="AS770" s="132">
        <f t="shared" si="1537"/>
        <v>-1000</v>
      </c>
    </row>
    <row r="771">
      <c r="A771" s="132" t="s">
        <v>4273</v>
      </c>
      <c r="B771" s="132">
        <v>2000.0</v>
      </c>
      <c r="C771" s="132">
        <v>500.0</v>
      </c>
      <c r="D771" s="132">
        <v>0.0</v>
      </c>
      <c r="E771" s="132">
        <v>0.0</v>
      </c>
      <c r="F771" s="132">
        <v>1000.0</v>
      </c>
      <c r="G771" s="132">
        <v>0.0</v>
      </c>
      <c r="H771" s="132">
        <v>0.0</v>
      </c>
      <c r="I771" s="132">
        <v>500.0</v>
      </c>
      <c r="J771" s="132">
        <v>0.0</v>
      </c>
      <c r="K771" s="132">
        <v>0.0</v>
      </c>
      <c r="L771" s="132">
        <v>0.0</v>
      </c>
      <c r="M771" s="132">
        <v>0.0</v>
      </c>
      <c r="N771" s="132">
        <v>0.0</v>
      </c>
      <c r="O771" s="132">
        <v>0.0</v>
      </c>
      <c r="P771" s="132">
        <v>0.0</v>
      </c>
      <c r="Q771" s="132">
        <v>0.0</v>
      </c>
      <c r="R771" s="132">
        <v>0.0</v>
      </c>
      <c r="S771" s="132">
        <v>0.0</v>
      </c>
      <c r="T771" s="132">
        <v>0.0</v>
      </c>
      <c r="U771" s="132">
        <v>0.0</v>
      </c>
      <c r="V771" s="132">
        <v>0.0</v>
      </c>
      <c r="W771" s="132">
        <v>1.0</v>
      </c>
      <c r="Y771" s="132" t="s">
        <v>4273</v>
      </c>
      <c r="Z771" s="132">
        <f t="shared" ref="Z771:AC771" si="1538">C771-1000</f>
        <v>-500</v>
      </c>
      <c r="AA771" s="132">
        <f t="shared" si="1538"/>
        <v>-1000</v>
      </c>
      <c r="AB771" s="132">
        <f t="shared" si="1538"/>
        <v>-1000</v>
      </c>
      <c r="AC771" s="132">
        <f t="shared" si="1538"/>
        <v>0</v>
      </c>
      <c r="AD771" s="132">
        <f t="shared" si="4"/>
        <v>-10000</v>
      </c>
      <c r="AE771" s="132">
        <f t="shared" ref="AE771:AS771" si="1539">H771-1000</f>
        <v>-1000</v>
      </c>
      <c r="AF771" s="132">
        <f t="shared" si="1539"/>
        <v>-500</v>
      </c>
      <c r="AG771" s="132">
        <f t="shared" si="1539"/>
        <v>-1000</v>
      </c>
      <c r="AH771" s="132">
        <f t="shared" si="1539"/>
        <v>-1000</v>
      </c>
      <c r="AI771" s="132">
        <f t="shared" si="1539"/>
        <v>-1000</v>
      </c>
      <c r="AJ771" s="132">
        <f t="shared" si="1539"/>
        <v>-1000</v>
      </c>
      <c r="AK771" s="132">
        <f t="shared" si="1539"/>
        <v>-1000</v>
      </c>
      <c r="AL771" s="132">
        <f t="shared" si="1539"/>
        <v>-1000</v>
      </c>
      <c r="AM771" s="132">
        <f t="shared" si="1539"/>
        <v>-1000</v>
      </c>
      <c r="AN771" s="132">
        <f t="shared" si="1539"/>
        <v>-1000</v>
      </c>
      <c r="AO771" s="132">
        <f t="shared" si="1539"/>
        <v>-1000</v>
      </c>
      <c r="AP771" s="132">
        <f t="shared" si="1539"/>
        <v>-1000</v>
      </c>
      <c r="AQ771" s="132">
        <f t="shared" si="1539"/>
        <v>-1000</v>
      </c>
      <c r="AR771" s="132">
        <f t="shared" si="1539"/>
        <v>-1000</v>
      </c>
      <c r="AS771" s="132">
        <f t="shared" si="1539"/>
        <v>-1000</v>
      </c>
    </row>
    <row r="772">
      <c r="A772" s="132" t="s">
        <v>4274</v>
      </c>
      <c r="B772" s="132">
        <v>250.0</v>
      </c>
      <c r="C772" s="132">
        <v>0.0</v>
      </c>
      <c r="D772" s="132">
        <v>0.0</v>
      </c>
      <c r="E772" s="132">
        <v>0.0</v>
      </c>
      <c r="F772" s="132">
        <v>250.0</v>
      </c>
      <c r="G772" s="132">
        <v>0.0</v>
      </c>
      <c r="H772" s="132">
        <v>0.0</v>
      </c>
      <c r="I772" s="132">
        <v>0.0</v>
      </c>
      <c r="J772" s="132">
        <v>0.0</v>
      </c>
      <c r="K772" s="132">
        <v>0.0</v>
      </c>
      <c r="L772" s="132">
        <v>0.0</v>
      </c>
      <c r="M772" s="132">
        <v>0.0</v>
      </c>
      <c r="N772" s="132">
        <v>0.0</v>
      </c>
      <c r="O772" s="132">
        <v>0.0</v>
      </c>
      <c r="P772" s="132">
        <v>0.0</v>
      </c>
      <c r="Q772" s="132">
        <v>0.0</v>
      </c>
      <c r="R772" s="132">
        <v>0.0</v>
      </c>
      <c r="S772" s="132">
        <v>0.0</v>
      </c>
      <c r="T772" s="132">
        <v>0.0</v>
      </c>
      <c r="U772" s="132">
        <v>0.0</v>
      </c>
      <c r="V772" s="132">
        <v>0.0</v>
      </c>
      <c r="W772" s="132">
        <v>0.0</v>
      </c>
      <c r="Y772" s="132" t="s">
        <v>4274</v>
      </c>
      <c r="Z772" s="132">
        <f t="shared" ref="Z772:AC772" si="1540">C772-1000</f>
        <v>-1000</v>
      </c>
      <c r="AA772" s="132">
        <f t="shared" si="1540"/>
        <v>-1000</v>
      </c>
      <c r="AB772" s="132">
        <f t="shared" si="1540"/>
        <v>-1000</v>
      </c>
      <c r="AC772" s="132">
        <f t="shared" si="1540"/>
        <v>-750</v>
      </c>
      <c r="AD772" s="132">
        <f t="shared" si="4"/>
        <v>-10000</v>
      </c>
      <c r="AE772" s="132">
        <f t="shared" ref="AE772:AS772" si="1541">H772-1000</f>
        <v>-1000</v>
      </c>
      <c r="AF772" s="132">
        <f t="shared" si="1541"/>
        <v>-1000</v>
      </c>
      <c r="AG772" s="132">
        <f t="shared" si="1541"/>
        <v>-1000</v>
      </c>
      <c r="AH772" s="132">
        <f t="shared" si="1541"/>
        <v>-1000</v>
      </c>
      <c r="AI772" s="132">
        <f t="shared" si="1541"/>
        <v>-1000</v>
      </c>
      <c r="AJ772" s="132">
        <f t="shared" si="1541"/>
        <v>-1000</v>
      </c>
      <c r="AK772" s="132">
        <f t="shared" si="1541"/>
        <v>-1000</v>
      </c>
      <c r="AL772" s="132">
        <f t="shared" si="1541"/>
        <v>-1000</v>
      </c>
      <c r="AM772" s="132">
        <f t="shared" si="1541"/>
        <v>-1000</v>
      </c>
      <c r="AN772" s="132">
        <f t="shared" si="1541"/>
        <v>-1000</v>
      </c>
      <c r="AO772" s="132">
        <f t="shared" si="1541"/>
        <v>-1000</v>
      </c>
      <c r="AP772" s="132">
        <f t="shared" si="1541"/>
        <v>-1000</v>
      </c>
      <c r="AQ772" s="132">
        <f t="shared" si="1541"/>
        <v>-1000</v>
      </c>
      <c r="AR772" s="132">
        <f t="shared" si="1541"/>
        <v>-1000</v>
      </c>
      <c r="AS772" s="132">
        <f t="shared" si="1541"/>
        <v>-1000</v>
      </c>
    </row>
    <row r="773">
      <c r="A773" s="132" t="s">
        <v>4275</v>
      </c>
      <c r="B773" s="132">
        <v>100.0</v>
      </c>
      <c r="C773" s="132">
        <v>50.0</v>
      </c>
      <c r="D773" s="132">
        <v>0.0</v>
      </c>
      <c r="E773" s="132">
        <v>0.0</v>
      </c>
      <c r="F773" s="132">
        <v>50.0</v>
      </c>
      <c r="G773" s="132">
        <v>0.0</v>
      </c>
      <c r="H773" s="132">
        <v>0.0</v>
      </c>
      <c r="I773" s="132">
        <v>0.0</v>
      </c>
      <c r="J773" s="132">
        <v>0.0</v>
      </c>
      <c r="K773" s="132">
        <v>0.0</v>
      </c>
      <c r="L773" s="132">
        <v>0.0</v>
      </c>
      <c r="M773" s="132">
        <v>0.0</v>
      </c>
      <c r="N773" s="132">
        <v>0.0</v>
      </c>
      <c r="O773" s="132">
        <v>0.0</v>
      </c>
      <c r="P773" s="132">
        <v>0.0</v>
      </c>
      <c r="Q773" s="132">
        <v>0.0</v>
      </c>
      <c r="R773" s="132">
        <v>0.0</v>
      </c>
      <c r="S773" s="132">
        <v>0.0</v>
      </c>
      <c r="T773" s="132">
        <v>0.0</v>
      </c>
      <c r="U773" s="132">
        <v>0.0</v>
      </c>
      <c r="V773" s="132">
        <v>0.0</v>
      </c>
      <c r="W773" s="132">
        <v>0.0</v>
      </c>
      <c r="Y773" s="132" t="s">
        <v>4275</v>
      </c>
      <c r="Z773" s="132">
        <f t="shared" ref="Z773:AC773" si="1542">C773-1000</f>
        <v>-950</v>
      </c>
      <c r="AA773" s="132">
        <f t="shared" si="1542"/>
        <v>-1000</v>
      </c>
      <c r="AB773" s="132">
        <f t="shared" si="1542"/>
        <v>-1000</v>
      </c>
      <c r="AC773" s="132">
        <f t="shared" si="1542"/>
        <v>-950</v>
      </c>
      <c r="AD773" s="132">
        <f t="shared" si="4"/>
        <v>-10000</v>
      </c>
      <c r="AE773" s="132">
        <f t="shared" ref="AE773:AS773" si="1543">H773-1000</f>
        <v>-1000</v>
      </c>
      <c r="AF773" s="132">
        <f t="shared" si="1543"/>
        <v>-1000</v>
      </c>
      <c r="AG773" s="132">
        <f t="shared" si="1543"/>
        <v>-1000</v>
      </c>
      <c r="AH773" s="132">
        <f t="shared" si="1543"/>
        <v>-1000</v>
      </c>
      <c r="AI773" s="132">
        <f t="shared" si="1543"/>
        <v>-1000</v>
      </c>
      <c r="AJ773" s="132">
        <f t="shared" si="1543"/>
        <v>-1000</v>
      </c>
      <c r="AK773" s="132">
        <f t="shared" si="1543"/>
        <v>-1000</v>
      </c>
      <c r="AL773" s="132">
        <f t="shared" si="1543"/>
        <v>-1000</v>
      </c>
      <c r="AM773" s="132">
        <f t="shared" si="1543"/>
        <v>-1000</v>
      </c>
      <c r="AN773" s="132">
        <f t="shared" si="1543"/>
        <v>-1000</v>
      </c>
      <c r="AO773" s="132">
        <f t="shared" si="1543"/>
        <v>-1000</v>
      </c>
      <c r="AP773" s="132">
        <f t="shared" si="1543"/>
        <v>-1000</v>
      </c>
      <c r="AQ773" s="132">
        <f t="shared" si="1543"/>
        <v>-1000</v>
      </c>
      <c r="AR773" s="132">
        <f t="shared" si="1543"/>
        <v>-1000</v>
      </c>
      <c r="AS773" s="132">
        <f t="shared" si="1543"/>
        <v>-1000</v>
      </c>
    </row>
    <row r="774">
      <c r="A774" s="132" t="s">
        <v>4276</v>
      </c>
      <c r="B774" s="132">
        <v>1500.0</v>
      </c>
      <c r="C774" s="132">
        <v>0.0</v>
      </c>
      <c r="D774" s="132">
        <v>0.0</v>
      </c>
      <c r="E774" s="132">
        <v>0.0</v>
      </c>
      <c r="F774" s="132">
        <v>500.0</v>
      </c>
      <c r="G774" s="132">
        <v>0.0</v>
      </c>
      <c r="H774" s="132">
        <v>0.0</v>
      </c>
      <c r="I774" s="132">
        <v>1000.0</v>
      </c>
      <c r="J774" s="132">
        <v>0.0</v>
      </c>
      <c r="K774" s="132">
        <v>0.0</v>
      </c>
      <c r="L774" s="132">
        <v>0.0</v>
      </c>
      <c r="M774" s="132">
        <v>0.0</v>
      </c>
      <c r="N774" s="132">
        <v>0.0</v>
      </c>
      <c r="O774" s="132">
        <v>0.0</v>
      </c>
      <c r="P774" s="132">
        <v>0.0</v>
      </c>
      <c r="Q774" s="132">
        <v>0.0</v>
      </c>
      <c r="R774" s="132">
        <v>0.0</v>
      </c>
      <c r="S774" s="132">
        <v>0.0</v>
      </c>
      <c r="T774" s="132">
        <v>0.0</v>
      </c>
      <c r="U774" s="132">
        <v>0.0</v>
      </c>
      <c r="V774" s="132">
        <v>0.0</v>
      </c>
      <c r="W774" s="132">
        <v>0.0</v>
      </c>
      <c r="Y774" s="132" t="s">
        <v>4276</v>
      </c>
      <c r="Z774" s="132">
        <f t="shared" ref="Z774:AC774" si="1544">C774-1000</f>
        <v>-1000</v>
      </c>
      <c r="AA774" s="132">
        <f t="shared" si="1544"/>
        <v>-1000</v>
      </c>
      <c r="AB774" s="132">
        <f t="shared" si="1544"/>
        <v>-1000</v>
      </c>
      <c r="AC774" s="132">
        <f t="shared" si="1544"/>
        <v>-500</v>
      </c>
      <c r="AD774" s="132">
        <f t="shared" si="4"/>
        <v>-10000</v>
      </c>
      <c r="AE774" s="132">
        <f t="shared" ref="AE774:AS774" si="1545">H774-1000</f>
        <v>-1000</v>
      </c>
      <c r="AF774" s="132">
        <f t="shared" si="1545"/>
        <v>0</v>
      </c>
      <c r="AG774" s="132">
        <f t="shared" si="1545"/>
        <v>-1000</v>
      </c>
      <c r="AH774" s="132">
        <f t="shared" si="1545"/>
        <v>-1000</v>
      </c>
      <c r="AI774" s="132">
        <f t="shared" si="1545"/>
        <v>-1000</v>
      </c>
      <c r="AJ774" s="132">
        <f t="shared" si="1545"/>
        <v>-1000</v>
      </c>
      <c r="AK774" s="132">
        <f t="shared" si="1545"/>
        <v>-1000</v>
      </c>
      <c r="AL774" s="132">
        <f t="shared" si="1545"/>
        <v>-1000</v>
      </c>
      <c r="AM774" s="132">
        <f t="shared" si="1545"/>
        <v>-1000</v>
      </c>
      <c r="AN774" s="132">
        <f t="shared" si="1545"/>
        <v>-1000</v>
      </c>
      <c r="AO774" s="132">
        <f t="shared" si="1545"/>
        <v>-1000</v>
      </c>
      <c r="AP774" s="132">
        <f t="shared" si="1545"/>
        <v>-1000</v>
      </c>
      <c r="AQ774" s="132">
        <f t="shared" si="1545"/>
        <v>-1000</v>
      </c>
      <c r="AR774" s="132">
        <f t="shared" si="1545"/>
        <v>-1000</v>
      </c>
      <c r="AS774" s="132">
        <f t="shared" si="1545"/>
        <v>-1000</v>
      </c>
    </row>
    <row r="775">
      <c r="A775" s="132" t="s">
        <v>4277</v>
      </c>
      <c r="B775" s="132">
        <v>3000.0</v>
      </c>
      <c r="C775" s="132">
        <v>0.0</v>
      </c>
      <c r="D775" s="132">
        <v>0.0</v>
      </c>
      <c r="E775" s="132">
        <v>1000.0</v>
      </c>
      <c r="F775" s="132">
        <v>1000.0</v>
      </c>
      <c r="G775" s="132">
        <v>0.0</v>
      </c>
      <c r="H775" s="132">
        <v>0.0</v>
      </c>
      <c r="I775" s="132">
        <v>0.0</v>
      </c>
      <c r="J775" s="132">
        <v>0.0</v>
      </c>
      <c r="K775" s="132">
        <v>0.0</v>
      </c>
      <c r="L775" s="132">
        <v>1000.0</v>
      </c>
      <c r="M775" s="132">
        <v>0.0</v>
      </c>
      <c r="N775" s="132">
        <v>0.0</v>
      </c>
      <c r="O775" s="132">
        <v>0.0</v>
      </c>
      <c r="P775" s="132">
        <v>0.0</v>
      </c>
      <c r="Q775" s="132">
        <v>0.0</v>
      </c>
      <c r="R775" s="132">
        <v>0.0</v>
      </c>
      <c r="S775" s="132">
        <v>0.0</v>
      </c>
      <c r="T775" s="132">
        <v>0.0</v>
      </c>
      <c r="U775" s="132">
        <v>0.0</v>
      </c>
      <c r="V775" s="132">
        <v>0.0</v>
      </c>
      <c r="W775" s="132">
        <v>0.0</v>
      </c>
      <c r="Y775" s="132" t="s">
        <v>4277</v>
      </c>
      <c r="Z775" s="132">
        <f t="shared" ref="Z775:AC775" si="1546">C775-1000</f>
        <v>-1000</v>
      </c>
      <c r="AA775" s="132">
        <f t="shared" si="1546"/>
        <v>-1000</v>
      </c>
      <c r="AB775" s="132">
        <f t="shared" si="1546"/>
        <v>0</v>
      </c>
      <c r="AC775" s="132">
        <f t="shared" si="1546"/>
        <v>0</v>
      </c>
      <c r="AD775" s="132">
        <f t="shared" si="4"/>
        <v>-10000</v>
      </c>
      <c r="AE775" s="132">
        <f t="shared" ref="AE775:AS775" si="1547">H775-1000</f>
        <v>-1000</v>
      </c>
      <c r="AF775" s="132">
        <f t="shared" si="1547"/>
        <v>-1000</v>
      </c>
      <c r="AG775" s="132">
        <f t="shared" si="1547"/>
        <v>-1000</v>
      </c>
      <c r="AH775" s="132">
        <f t="shared" si="1547"/>
        <v>-1000</v>
      </c>
      <c r="AI775" s="132">
        <f t="shared" si="1547"/>
        <v>0</v>
      </c>
      <c r="AJ775" s="132">
        <f t="shared" si="1547"/>
        <v>-1000</v>
      </c>
      <c r="AK775" s="132">
        <f t="shared" si="1547"/>
        <v>-1000</v>
      </c>
      <c r="AL775" s="132">
        <f t="shared" si="1547"/>
        <v>-1000</v>
      </c>
      <c r="AM775" s="132">
        <f t="shared" si="1547"/>
        <v>-1000</v>
      </c>
      <c r="AN775" s="132">
        <f t="shared" si="1547"/>
        <v>-1000</v>
      </c>
      <c r="AO775" s="132">
        <f t="shared" si="1547"/>
        <v>-1000</v>
      </c>
      <c r="AP775" s="132">
        <f t="shared" si="1547"/>
        <v>-1000</v>
      </c>
      <c r="AQ775" s="132">
        <f t="shared" si="1547"/>
        <v>-1000</v>
      </c>
      <c r="AR775" s="132">
        <f t="shared" si="1547"/>
        <v>-1000</v>
      </c>
      <c r="AS775" s="132">
        <f t="shared" si="1547"/>
        <v>-1000</v>
      </c>
    </row>
    <row r="776">
      <c r="A776" s="132" t="s">
        <v>4278</v>
      </c>
      <c r="B776" s="132">
        <v>500.0</v>
      </c>
      <c r="C776" s="132">
        <v>0.0</v>
      </c>
      <c r="D776" s="132">
        <v>0.0</v>
      </c>
      <c r="E776" s="132">
        <v>0.0</v>
      </c>
      <c r="F776" s="132">
        <v>500.0</v>
      </c>
      <c r="G776" s="132">
        <v>0.0</v>
      </c>
      <c r="H776" s="132">
        <v>0.0</v>
      </c>
      <c r="I776" s="132">
        <v>0.0</v>
      </c>
      <c r="J776" s="132">
        <v>0.0</v>
      </c>
      <c r="K776" s="132">
        <v>0.0</v>
      </c>
      <c r="L776" s="132">
        <v>0.0</v>
      </c>
      <c r="M776" s="132">
        <v>0.0</v>
      </c>
      <c r="N776" s="132">
        <v>0.0</v>
      </c>
      <c r="O776" s="132">
        <v>0.0</v>
      </c>
      <c r="P776" s="132">
        <v>0.0</v>
      </c>
      <c r="Q776" s="132">
        <v>0.0</v>
      </c>
      <c r="R776" s="132">
        <v>0.0</v>
      </c>
      <c r="S776" s="132">
        <v>0.0</v>
      </c>
      <c r="T776" s="132">
        <v>0.0</v>
      </c>
      <c r="U776" s="132">
        <v>0.0</v>
      </c>
      <c r="V776" s="132">
        <v>0.0</v>
      </c>
      <c r="W776" s="132">
        <v>0.0</v>
      </c>
      <c r="Y776" s="132" t="s">
        <v>4278</v>
      </c>
      <c r="Z776" s="132">
        <f t="shared" ref="Z776:AC776" si="1548">C776-1000</f>
        <v>-1000</v>
      </c>
      <c r="AA776" s="132">
        <f t="shared" si="1548"/>
        <v>-1000</v>
      </c>
      <c r="AB776" s="132">
        <f t="shared" si="1548"/>
        <v>-1000</v>
      </c>
      <c r="AC776" s="132">
        <f t="shared" si="1548"/>
        <v>-500</v>
      </c>
      <c r="AD776" s="132">
        <f t="shared" si="4"/>
        <v>-10000</v>
      </c>
      <c r="AE776" s="132">
        <f t="shared" ref="AE776:AS776" si="1549">H776-1000</f>
        <v>-1000</v>
      </c>
      <c r="AF776" s="132">
        <f t="shared" si="1549"/>
        <v>-1000</v>
      </c>
      <c r="AG776" s="132">
        <f t="shared" si="1549"/>
        <v>-1000</v>
      </c>
      <c r="AH776" s="132">
        <f t="shared" si="1549"/>
        <v>-1000</v>
      </c>
      <c r="AI776" s="132">
        <f t="shared" si="1549"/>
        <v>-1000</v>
      </c>
      <c r="AJ776" s="132">
        <f t="shared" si="1549"/>
        <v>-1000</v>
      </c>
      <c r="AK776" s="132">
        <f t="shared" si="1549"/>
        <v>-1000</v>
      </c>
      <c r="AL776" s="132">
        <f t="shared" si="1549"/>
        <v>-1000</v>
      </c>
      <c r="AM776" s="132">
        <f t="shared" si="1549"/>
        <v>-1000</v>
      </c>
      <c r="AN776" s="132">
        <f t="shared" si="1549"/>
        <v>-1000</v>
      </c>
      <c r="AO776" s="132">
        <f t="shared" si="1549"/>
        <v>-1000</v>
      </c>
      <c r="AP776" s="132">
        <f t="shared" si="1549"/>
        <v>-1000</v>
      </c>
      <c r="AQ776" s="132">
        <f t="shared" si="1549"/>
        <v>-1000</v>
      </c>
      <c r="AR776" s="132">
        <f t="shared" si="1549"/>
        <v>-1000</v>
      </c>
      <c r="AS776" s="132">
        <f t="shared" si="1549"/>
        <v>-1000</v>
      </c>
    </row>
    <row r="777">
      <c r="A777" s="132" t="s">
        <v>4279</v>
      </c>
      <c r="B777" s="132">
        <v>100.0</v>
      </c>
      <c r="C777" s="132">
        <v>0.0</v>
      </c>
      <c r="D777" s="132">
        <v>0.0</v>
      </c>
      <c r="E777" s="132">
        <v>0.0</v>
      </c>
      <c r="F777" s="132">
        <v>100.0</v>
      </c>
      <c r="G777" s="132">
        <v>0.0</v>
      </c>
      <c r="H777" s="132">
        <v>0.0</v>
      </c>
      <c r="I777" s="132">
        <v>0.0</v>
      </c>
      <c r="J777" s="132">
        <v>0.0</v>
      </c>
      <c r="K777" s="132">
        <v>0.0</v>
      </c>
      <c r="L777" s="132">
        <v>0.0</v>
      </c>
      <c r="M777" s="132">
        <v>0.0</v>
      </c>
      <c r="N777" s="132">
        <v>0.0</v>
      </c>
      <c r="O777" s="132">
        <v>0.0</v>
      </c>
      <c r="P777" s="132">
        <v>0.0</v>
      </c>
      <c r="Q777" s="132">
        <v>0.0</v>
      </c>
      <c r="R777" s="132">
        <v>0.0</v>
      </c>
      <c r="S777" s="132">
        <v>0.0</v>
      </c>
      <c r="T777" s="132">
        <v>0.0</v>
      </c>
      <c r="U777" s="132">
        <v>0.0</v>
      </c>
      <c r="V777" s="132">
        <v>0.0</v>
      </c>
      <c r="W777" s="132">
        <v>0.0</v>
      </c>
      <c r="Y777" s="132" t="s">
        <v>4279</v>
      </c>
      <c r="Z777" s="132">
        <f t="shared" ref="Z777:AC777" si="1550">C777-1000</f>
        <v>-1000</v>
      </c>
      <c r="AA777" s="132">
        <f t="shared" si="1550"/>
        <v>-1000</v>
      </c>
      <c r="AB777" s="132">
        <f t="shared" si="1550"/>
        <v>-1000</v>
      </c>
      <c r="AC777" s="132">
        <f t="shared" si="1550"/>
        <v>-900</v>
      </c>
      <c r="AD777" s="132">
        <f t="shared" si="4"/>
        <v>-10000</v>
      </c>
      <c r="AE777" s="132">
        <f t="shared" ref="AE777:AS777" si="1551">H777-1000</f>
        <v>-1000</v>
      </c>
      <c r="AF777" s="132">
        <f t="shared" si="1551"/>
        <v>-1000</v>
      </c>
      <c r="AG777" s="132">
        <f t="shared" si="1551"/>
        <v>-1000</v>
      </c>
      <c r="AH777" s="132">
        <f t="shared" si="1551"/>
        <v>-1000</v>
      </c>
      <c r="AI777" s="132">
        <f t="shared" si="1551"/>
        <v>-1000</v>
      </c>
      <c r="AJ777" s="132">
        <f t="shared" si="1551"/>
        <v>-1000</v>
      </c>
      <c r="AK777" s="132">
        <f t="shared" si="1551"/>
        <v>-1000</v>
      </c>
      <c r="AL777" s="132">
        <f t="shared" si="1551"/>
        <v>-1000</v>
      </c>
      <c r="AM777" s="132">
        <f t="shared" si="1551"/>
        <v>-1000</v>
      </c>
      <c r="AN777" s="132">
        <f t="shared" si="1551"/>
        <v>-1000</v>
      </c>
      <c r="AO777" s="132">
        <f t="shared" si="1551"/>
        <v>-1000</v>
      </c>
      <c r="AP777" s="132">
        <f t="shared" si="1551"/>
        <v>-1000</v>
      </c>
      <c r="AQ777" s="132">
        <f t="shared" si="1551"/>
        <v>-1000</v>
      </c>
      <c r="AR777" s="132">
        <f t="shared" si="1551"/>
        <v>-1000</v>
      </c>
      <c r="AS777" s="132">
        <f t="shared" si="1551"/>
        <v>-1000</v>
      </c>
    </row>
    <row r="778">
      <c r="A778" s="132" t="s">
        <v>4280</v>
      </c>
      <c r="B778" s="132">
        <v>100.0</v>
      </c>
      <c r="C778" s="132">
        <v>0.0</v>
      </c>
      <c r="D778" s="132">
        <v>0.0</v>
      </c>
      <c r="E778" s="132">
        <v>0.0</v>
      </c>
      <c r="F778" s="132">
        <v>100.0</v>
      </c>
      <c r="G778" s="132">
        <v>0.0</v>
      </c>
      <c r="H778" s="132">
        <v>0.0</v>
      </c>
      <c r="I778" s="132">
        <v>0.0</v>
      </c>
      <c r="J778" s="132">
        <v>0.0</v>
      </c>
      <c r="K778" s="132">
        <v>0.0</v>
      </c>
      <c r="L778" s="132">
        <v>0.0</v>
      </c>
      <c r="M778" s="132">
        <v>0.0</v>
      </c>
      <c r="N778" s="132">
        <v>0.0</v>
      </c>
      <c r="O778" s="132">
        <v>0.0</v>
      </c>
      <c r="P778" s="132">
        <v>0.0</v>
      </c>
      <c r="Q778" s="132">
        <v>0.0</v>
      </c>
      <c r="R778" s="132">
        <v>0.0</v>
      </c>
      <c r="S778" s="132">
        <v>0.0</v>
      </c>
      <c r="T778" s="132">
        <v>0.0</v>
      </c>
      <c r="U778" s="132">
        <v>0.0</v>
      </c>
      <c r="V778" s="132">
        <v>0.0</v>
      </c>
      <c r="W778" s="132">
        <v>0.0</v>
      </c>
      <c r="Y778" s="132" t="s">
        <v>4280</v>
      </c>
      <c r="Z778" s="132">
        <f t="shared" ref="Z778:AC778" si="1552">C778-1000</f>
        <v>-1000</v>
      </c>
      <c r="AA778" s="132">
        <f t="shared" si="1552"/>
        <v>-1000</v>
      </c>
      <c r="AB778" s="132">
        <f t="shared" si="1552"/>
        <v>-1000</v>
      </c>
      <c r="AC778" s="132">
        <f t="shared" si="1552"/>
        <v>-900</v>
      </c>
      <c r="AD778" s="132">
        <f t="shared" si="4"/>
        <v>-10000</v>
      </c>
      <c r="AE778" s="132">
        <f t="shared" ref="AE778:AS778" si="1553">H778-1000</f>
        <v>-1000</v>
      </c>
      <c r="AF778" s="132">
        <f t="shared" si="1553"/>
        <v>-1000</v>
      </c>
      <c r="AG778" s="132">
        <f t="shared" si="1553"/>
        <v>-1000</v>
      </c>
      <c r="AH778" s="132">
        <f t="shared" si="1553"/>
        <v>-1000</v>
      </c>
      <c r="AI778" s="132">
        <f t="shared" si="1553"/>
        <v>-1000</v>
      </c>
      <c r="AJ778" s="132">
        <f t="shared" si="1553"/>
        <v>-1000</v>
      </c>
      <c r="AK778" s="132">
        <f t="shared" si="1553"/>
        <v>-1000</v>
      </c>
      <c r="AL778" s="132">
        <f t="shared" si="1553"/>
        <v>-1000</v>
      </c>
      <c r="AM778" s="132">
        <f t="shared" si="1553"/>
        <v>-1000</v>
      </c>
      <c r="AN778" s="132">
        <f t="shared" si="1553"/>
        <v>-1000</v>
      </c>
      <c r="AO778" s="132">
        <f t="shared" si="1553"/>
        <v>-1000</v>
      </c>
      <c r="AP778" s="132">
        <f t="shared" si="1553"/>
        <v>-1000</v>
      </c>
      <c r="AQ778" s="132">
        <f t="shared" si="1553"/>
        <v>-1000</v>
      </c>
      <c r="AR778" s="132">
        <f t="shared" si="1553"/>
        <v>-1000</v>
      </c>
      <c r="AS778" s="132">
        <f t="shared" si="1553"/>
        <v>-1000</v>
      </c>
    </row>
    <row r="779">
      <c r="A779" s="132" t="s">
        <v>4281</v>
      </c>
      <c r="B779" s="132">
        <v>100.0</v>
      </c>
      <c r="C779" s="132">
        <v>0.0</v>
      </c>
      <c r="D779" s="132">
        <v>0.0</v>
      </c>
      <c r="E779" s="132">
        <v>0.0</v>
      </c>
      <c r="F779" s="132">
        <v>100.0</v>
      </c>
      <c r="G779" s="132">
        <v>0.0</v>
      </c>
      <c r="H779" s="132">
        <v>0.0</v>
      </c>
      <c r="I779" s="132">
        <v>0.0</v>
      </c>
      <c r="J779" s="132">
        <v>0.0</v>
      </c>
      <c r="K779" s="132">
        <v>0.0</v>
      </c>
      <c r="L779" s="132">
        <v>0.0</v>
      </c>
      <c r="M779" s="132">
        <v>0.0</v>
      </c>
      <c r="N779" s="132">
        <v>0.0</v>
      </c>
      <c r="O779" s="132">
        <v>0.0</v>
      </c>
      <c r="P779" s="132">
        <v>0.0</v>
      </c>
      <c r="Q779" s="132">
        <v>0.0</v>
      </c>
      <c r="R779" s="132">
        <v>0.0</v>
      </c>
      <c r="S779" s="132">
        <v>0.0</v>
      </c>
      <c r="T779" s="132">
        <v>0.0</v>
      </c>
      <c r="U779" s="132">
        <v>0.0</v>
      </c>
      <c r="V779" s="132">
        <v>0.0</v>
      </c>
      <c r="W779" s="132">
        <v>0.0</v>
      </c>
      <c r="Y779" s="132" t="s">
        <v>4281</v>
      </c>
      <c r="Z779" s="132">
        <f t="shared" ref="Z779:AC779" si="1554">C779-1000</f>
        <v>-1000</v>
      </c>
      <c r="AA779" s="132">
        <f t="shared" si="1554"/>
        <v>-1000</v>
      </c>
      <c r="AB779" s="132">
        <f t="shared" si="1554"/>
        <v>-1000</v>
      </c>
      <c r="AC779" s="132">
        <f t="shared" si="1554"/>
        <v>-900</v>
      </c>
      <c r="AD779" s="132">
        <f t="shared" si="4"/>
        <v>-10000</v>
      </c>
      <c r="AE779" s="132">
        <f t="shared" ref="AE779:AS779" si="1555">H779-1000</f>
        <v>-1000</v>
      </c>
      <c r="AF779" s="132">
        <f t="shared" si="1555"/>
        <v>-1000</v>
      </c>
      <c r="AG779" s="132">
        <f t="shared" si="1555"/>
        <v>-1000</v>
      </c>
      <c r="AH779" s="132">
        <f t="shared" si="1555"/>
        <v>-1000</v>
      </c>
      <c r="AI779" s="132">
        <f t="shared" si="1555"/>
        <v>-1000</v>
      </c>
      <c r="AJ779" s="132">
        <f t="shared" si="1555"/>
        <v>-1000</v>
      </c>
      <c r="AK779" s="132">
        <f t="shared" si="1555"/>
        <v>-1000</v>
      </c>
      <c r="AL779" s="132">
        <f t="shared" si="1555"/>
        <v>-1000</v>
      </c>
      <c r="AM779" s="132">
        <f t="shared" si="1555"/>
        <v>-1000</v>
      </c>
      <c r="AN779" s="132">
        <f t="shared" si="1555"/>
        <v>-1000</v>
      </c>
      <c r="AO779" s="132">
        <f t="shared" si="1555"/>
        <v>-1000</v>
      </c>
      <c r="AP779" s="132">
        <f t="shared" si="1555"/>
        <v>-1000</v>
      </c>
      <c r="AQ779" s="132">
        <f t="shared" si="1555"/>
        <v>-1000</v>
      </c>
      <c r="AR779" s="132">
        <f t="shared" si="1555"/>
        <v>-1000</v>
      </c>
      <c r="AS779" s="132">
        <f t="shared" si="1555"/>
        <v>-1000</v>
      </c>
    </row>
    <row r="780">
      <c r="A780" s="132" t="s">
        <v>4282</v>
      </c>
      <c r="B780" s="132">
        <v>250.0</v>
      </c>
      <c r="C780" s="132">
        <v>0.0</v>
      </c>
      <c r="D780" s="132">
        <v>0.0</v>
      </c>
      <c r="E780" s="132">
        <v>0.0</v>
      </c>
      <c r="F780" s="132">
        <v>0.0</v>
      </c>
      <c r="G780" s="132">
        <v>0.0</v>
      </c>
      <c r="H780" s="132">
        <v>0.0</v>
      </c>
      <c r="I780" s="132">
        <v>0.0</v>
      </c>
      <c r="J780" s="132">
        <v>0.0</v>
      </c>
      <c r="K780" s="132">
        <v>0.0</v>
      </c>
      <c r="L780" s="132">
        <v>0.0</v>
      </c>
      <c r="M780" s="132">
        <v>0.0</v>
      </c>
      <c r="N780" s="132">
        <v>250.0</v>
      </c>
      <c r="O780" s="132">
        <v>0.0</v>
      </c>
      <c r="P780" s="132">
        <v>0.0</v>
      </c>
      <c r="Q780" s="132">
        <v>0.0</v>
      </c>
      <c r="R780" s="132">
        <v>0.0</v>
      </c>
      <c r="S780" s="132">
        <v>0.0</v>
      </c>
      <c r="T780" s="132">
        <v>0.0</v>
      </c>
      <c r="U780" s="132">
        <v>0.0</v>
      </c>
      <c r="V780" s="132">
        <v>0.0</v>
      </c>
      <c r="W780" s="132">
        <v>0.0</v>
      </c>
      <c r="Y780" s="132" t="s">
        <v>4282</v>
      </c>
      <c r="Z780" s="132">
        <f t="shared" ref="Z780:AC780" si="1556">C780-1000</f>
        <v>-1000</v>
      </c>
      <c r="AA780" s="132">
        <f t="shared" si="1556"/>
        <v>-1000</v>
      </c>
      <c r="AB780" s="132">
        <f t="shared" si="1556"/>
        <v>-1000</v>
      </c>
      <c r="AC780" s="132">
        <f t="shared" si="1556"/>
        <v>-1000</v>
      </c>
      <c r="AD780" s="132">
        <f t="shared" si="4"/>
        <v>-10000</v>
      </c>
      <c r="AE780" s="132">
        <f t="shared" ref="AE780:AS780" si="1557">H780-1000</f>
        <v>-1000</v>
      </c>
      <c r="AF780" s="132">
        <f t="shared" si="1557"/>
        <v>-1000</v>
      </c>
      <c r="AG780" s="132">
        <f t="shared" si="1557"/>
        <v>-1000</v>
      </c>
      <c r="AH780" s="132">
        <f t="shared" si="1557"/>
        <v>-1000</v>
      </c>
      <c r="AI780" s="132">
        <f t="shared" si="1557"/>
        <v>-1000</v>
      </c>
      <c r="AJ780" s="132">
        <f t="shared" si="1557"/>
        <v>-1000</v>
      </c>
      <c r="AK780" s="132">
        <f t="shared" si="1557"/>
        <v>-750</v>
      </c>
      <c r="AL780" s="132">
        <f t="shared" si="1557"/>
        <v>-1000</v>
      </c>
      <c r="AM780" s="132">
        <f t="shared" si="1557"/>
        <v>-1000</v>
      </c>
      <c r="AN780" s="132">
        <f t="shared" si="1557"/>
        <v>-1000</v>
      </c>
      <c r="AO780" s="132">
        <f t="shared" si="1557"/>
        <v>-1000</v>
      </c>
      <c r="AP780" s="132">
        <f t="shared" si="1557"/>
        <v>-1000</v>
      </c>
      <c r="AQ780" s="132">
        <f t="shared" si="1557"/>
        <v>-1000</v>
      </c>
      <c r="AR780" s="132">
        <f t="shared" si="1557"/>
        <v>-1000</v>
      </c>
      <c r="AS780" s="132">
        <f t="shared" si="1557"/>
        <v>-1000</v>
      </c>
    </row>
    <row r="781">
      <c r="A781" s="132" t="s">
        <v>4283</v>
      </c>
      <c r="B781" s="132">
        <v>51.0</v>
      </c>
      <c r="C781" s="132">
        <v>0.0</v>
      </c>
      <c r="D781" s="132">
        <v>0.0</v>
      </c>
      <c r="E781" s="132">
        <v>0.0</v>
      </c>
      <c r="F781" s="132">
        <v>0.0</v>
      </c>
      <c r="G781" s="132">
        <v>0.0</v>
      </c>
      <c r="H781" s="132">
        <v>0.0</v>
      </c>
      <c r="I781" s="132">
        <v>0.0</v>
      </c>
      <c r="J781" s="132">
        <v>0.0</v>
      </c>
      <c r="K781" s="132">
        <v>0.0</v>
      </c>
      <c r="L781" s="132">
        <v>0.0</v>
      </c>
      <c r="M781" s="132">
        <v>0.0</v>
      </c>
      <c r="N781" s="132">
        <v>51.0</v>
      </c>
      <c r="O781" s="132">
        <v>0.0</v>
      </c>
      <c r="P781" s="132">
        <v>0.0</v>
      </c>
      <c r="Q781" s="132">
        <v>0.0</v>
      </c>
      <c r="R781" s="132">
        <v>0.0</v>
      </c>
      <c r="S781" s="132">
        <v>0.0</v>
      </c>
      <c r="T781" s="132">
        <v>0.0</v>
      </c>
      <c r="U781" s="132">
        <v>0.0</v>
      </c>
      <c r="V781" s="132">
        <v>0.0</v>
      </c>
      <c r="W781" s="132">
        <v>0.0</v>
      </c>
      <c r="Y781" s="132" t="s">
        <v>4283</v>
      </c>
      <c r="Z781" s="132">
        <f t="shared" ref="Z781:AC781" si="1558">C781-1000</f>
        <v>-1000</v>
      </c>
      <c r="AA781" s="132">
        <f t="shared" si="1558"/>
        <v>-1000</v>
      </c>
      <c r="AB781" s="132">
        <f t="shared" si="1558"/>
        <v>-1000</v>
      </c>
      <c r="AC781" s="132">
        <f t="shared" si="1558"/>
        <v>-1000</v>
      </c>
      <c r="AD781" s="132">
        <f t="shared" si="4"/>
        <v>-10000</v>
      </c>
      <c r="AE781" s="132">
        <f t="shared" ref="AE781:AS781" si="1559">H781-1000</f>
        <v>-1000</v>
      </c>
      <c r="AF781" s="132">
        <f t="shared" si="1559"/>
        <v>-1000</v>
      </c>
      <c r="AG781" s="132">
        <f t="shared" si="1559"/>
        <v>-1000</v>
      </c>
      <c r="AH781" s="132">
        <f t="shared" si="1559"/>
        <v>-1000</v>
      </c>
      <c r="AI781" s="132">
        <f t="shared" si="1559"/>
        <v>-1000</v>
      </c>
      <c r="AJ781" s="132">
        <f t="shared" si="1559"/>
        <v>-1000</v>
      </c>
      <c r="AK781" s="132">
        <f t="shared" si="1559"/>
        <v>-949</v>
      </c>
      <c r="AL781" s="132">
        <f t="shared" si="1559"/>
        <v>-1000</v>
      </c>
      <c r="AM781" s="132">
        <f t="shared" si="1559"/>
        <v>-1000</v>
      </c>
      <c r="AN781" s="132">
        <f t="shared" si="1559"/>
        <v>-1000</v>
      </c>
      <c r="AO781" s="132">
        <f t="shared" si="1559"/>
        <v>-1000</v>
      </c>
      <c r="AP781" s="132">
        <f t="shared" si="1559"/>
        <v>-1000</v>
      </c>
      <c r="AQ781" s="132">
        <f t="shared" si="1559"/>
        <v>-1000</v>
      </c>
      <c r="AR781" s="132">
        <f t="shared" si="1559"/>
        <v>-1000</v>
      </c>
      <c r="AS781" s="132">
        <f t="shared" si="1559"/>
        <v>-1000</v>
      </c>
    </row>
    <row r="782">
      <c r="A782" s="132" t="s">
        <v>4284</v>
      </c>
      <c r="B782" s="132">
        <v>51.0</v>
      </c>
      <c r="C782" s="132">
        <v>0.0</v>
      </c>
      <c r="D782" s="132">
        <v>0.0</v>
      </c>
      <c r="E782" s="132">
        <v>0.0</v>
      </c>
      <c r="F782" s="132">
        <v>0.0</v>
      </c>
      <c r="G782" s="132">
        <v>0.0</v>
      </c>
      <c r="H782" s="132">
        <v>0.0</v>
      </c>
      <c r="I782" s="132">
        <v>0.0</v>
      </c>
      <c r="J782" s="132">
        <v>0.0</v>
      </c>
      <c r="K782" s="132">
        <v>0.0</v>
      </c>
      <c r="L782" s="132">
        <v>0.0</v>
      </c>
      <c r="M782" s="132">
        <v>0.0</v>
      </c>
      <c r="N782" s="132">
        <v>51.0</v>
      </c>
      <c r="O782" s="132">
        <v>0.0</v>
      </c>
      <c r="P782" s="132">
        <v>0.0</v>
      </c>
      <c r="Q782" s="132">
        <v>0.0</v>
      </c>
      <c r="R782" s="132">
        <v>0.0</v>
      </c>
      <c r="S782" s="132">
        <v>0.0</v>
      </c>
      <c r="T782" s="132">
        <v>0.0</v>
      </c>
      <c r="U782" s="132">
        <v>0.0</v>
      </c>
      <c r="V782" s="132">
        <v>0.0</v>
      </c>
      <c r="W782" s="132">
        <v>0.0</v>
      </c>
      <c r="Y782" s="132" t="s">
        <v>4284</v>
      </c>
      <c r="Z782" s="132">
        <f t="shared" ref="Z782:AC782" si="1560">C782-1000</f>
        <v>-1000</v>
      </c>
      <c r="AA782" s="132">
        <f t="shared" si="1560"/>
        <v>-1000</v>
      </c>
      <c r="AB782" s="132">
        <f t="shared" si="1560"/>
        <v>-1000</v>
      </c>
      <c r="AC782" s="132">
        <f t="shared" si="1560"/>
        <v>-1000</v>
      </c>
      <c r="AD782" s="132">
        <f t="shared" si="4"/>
        <v>-10000</v>
      </c>
      <c r="AE782" s="132">
        <f t="shared" ref="AE782:AS782" si="1561">H782-1000</f>
        <v>-1000</v>
      </c>
      <c r="AF782" s="132">
        <f t="shared" si="1561"/>
        <v>-1000</v>
      </c>
      <c r="AG782" s="132">
        <f t="shared" si="1561"/>
        <v>-1000</v>
      </c>
      <c r="AH782" s="132">
        <f t="shared" si="1561"/>
        <v>-1000</v>
      </c>
      <c r="AI782" s="132">
        <f t="shared" si="1561"/>
        <v>-1000</v>
      </c>
      <c r="AJ782" s="132">
        <f t="shared" si="1561"/>
        <v>-1000</v>
      </c>
      <c r="AK782" s="132">
        <f t="shared" si="1561"/>
        <v>-949</v>
      </c>
      <c r="AL782" s="132">
        <f t="shared" si="1561"/>
        <v>-1000</v>
      </c>
      <c r="AM782" s="132">
        <f t="shared" si="1561"/>
        <v>-1000</v>
      </c>
      <c r="AN782" s="132">
        <f t="shared" si="1561"/>
        <v>-1000</v>
      </c>
      <c r="AO782" s="132">
        <f t="shared" si="1561"/>
        <v>-1000</v>
      </c>
      <c r="AP782" s="132">
        <f t="shared" si="1561"/>
        <v>-1000</v>
      </c>
      <c r="AQ782" s="132">
        <f t="shared" si="1561"/>
        <v>-1000</v>
      </c>
      <c r="AR782" s="132">
        <f t="shared" si="1561"/>
        <v>-1000</v>
      </c>
      <c r="AS782" s="132">
        <f t="shared" si="1561"/>
        <v>-1000</v>
      </c>
    </row>
    <row r="783">
      <c r="A783" s="132" t="s">
        <v>4285</v>
      </c>
      <c r="B783" s="132">
        <v>10.0</v>
      </c>
      <c r="C783" s="132">
        <v>0.0</v>
      </c>
      <c r="D783" s="132">
        <v>0.0</v>
      </c>
      <c r="E783" s="132">
        <v>0.0</v>
      </c>
      <c r="F783" s="132">
        <v>0.0</v>
      </c>
      <c r="G783" s="132">
        <v>0.0</v>
      </c>
      <c r="H783" s="132">
        <v>0.0</v>
      </c>
      <c r="I783" s="132">
        <v>0.0</v>
      </c>
      <c r="J783" s="132">
        <v>0.0</v>
      </c>
      <c r="K783" s="132">
        <v>0.0</v>
      </c>
      <c r="L783" s="132">
        <v>0.0</v>
      </c>
      <c r="M783" s="132">
        <v>0.0</v>
      </c>
      <c r="N783" s="132">
        <v>10.0</v>
      </c>
      <c r="O783" s="132">
        <v>0.0</v>
      </c>
      <c r="P783" s="132">
        <v>0.0</v>
      </c>
      <c r="Q783" s="132">
        <v>0.0</v>
      </c>
      <c r="R783" s="132">
        <v>0.0</v>
      </c>
      <c r="S783" s="132">
        <v>0.0</v>
      </c>
      <c r="T783" s="132">
        <v>0.0</v>
      </c>
      <c r="U783" s="132">
        <v>0.0</v>
      </c>
      <c r="V783" s="132">
        <v>0.0</v>
      </c>
      <c r="W783" s="132">
        <v>0.0</v>
      </c>
      <c r="Y783" s="132" t="s">
        <v>4285</v>
      </c>
      <c r="Z783" s="132">
        <f t="shared" ref="Z783:AC783" si="1562">C783-1000</f>
        <v>-1000</v>
      </c>
      <c r="AA783" s="132">
        <f t="shared" si="1562"/>
        <v>-1000</v>
      </c>
      <c r="AB783" s="132">
        <f t="shared" si="1562"/>
        <v>-1000</v>
      </c>
      <c r="AC783" s="132">
        <f t="shared" si="1562"/>
        <v>-1000</v>
      </c>
      <c r="AD783" s="132">
        <f t="shared" si="4"/>
        <v>-10000</v>
      </c>
      <c r="AE783" s="132">
        <f t="shared" ref="AE783:AS783" si="1563">H783-1000</f>
        <v>-1000</v>
      </c>
      <c r="AF783" s="132">
        <f t="shared" si="1563"/>
        <v>-1000</v>
      </c>
      <c r="AG783" s="132">
        <f t="shared" si="1563"/>
        <v>-1000</v>
      </c>
      <c r="AH783" s="132">
        <f t="shared" si="1563"/>
        <v>-1000</v>
      </c>
      <c r="AI783" s="132">
        <f t="shared" si="1563"/>
        <v>-1000</v>
      </c>
      <c r="AJ783" s="132">
        <f t="shared" si="1563"/>
        <v>-1000</v>
      </c>
      <c r="AK783" s="132">
        <f t="shared" si="1563"/>
        <v>-990</v>
      </c>
      <c r="AL783" s="132">
        <f t="shared" si="1563"/>
        <v>-1000</v>
      </c>
      <c r="AM783" s="132">
        <f t="shared" si="1563"/>
        <v>-1000</v>
      </c>
      <c r="AN783" s="132">
        <f t="shared" si="1563"/>
        <v>-1000</v>
      </c>
      <c r="AO783" s="132">
        <f t="shared" si="1563"/>
        <v>-1000</v>
      </c>
      <c r="AP783" s="132">
        <f t="shared" si="1563"/>
        <v>-1000</v>
      </c>
      <c r="AQ783" s="132">
        <f t="shared" si="1563"/>
        <v>-1000</v>
      </c>
      <c r="AR783" s="132">
        <f t="shared" si="1563"/>
        <v>-1000</v>
      </c>
      <c r="AS783" s="132">
        <f t="shared" si="1563"/>
        <v>-1000</v>
      </c>
    </row>
    <row r="784">
      <c r="A784" s="132" t="s">
        <v>4286</v>
      </c>
      <c r="B784" s="132">
        <v>50.0</v>
      </c>
      <c r="C784" s="132">
        <v>0.0</v>
      </c>
      <c r="D784" s="132">
        <v>0.0</v>
      </c>
      <c r="E784" s="132">
        <v>0.0</v>
      </c>
      <c r="F784" s="132">
        <v>0.0</v>
      </c>
      <c r="G784" s="132">
        <v>0.0</v>
      </c>
      <c r="H784" s="132">
        <v>0.0</v>
      </c>
      <c r="I784" s="132">
        <v>0.0</v>
      </c>
      <c r="J784" s="132">
        <v>0.0</v>
      </c>
      <c r="K784" s="132">
        <v>0.0</v>
      </c>
      <c r="L784" s="132">
        <v>0.0</v>
      </c>
      <c r="M784" s="132">
        <v>0.0</v>
      </c>
      <c r="N784" s="132">
        <v>50.0</v>
      </c>
      <c r="O784" s="132">
        <v>0.0</v>
      </c>
      <c r="P784" s="132">
        <v>0.0</v>
      </c>
      <c r="Q784" s="132">
        <v>0.0</v>
      </c>
      <c r="R784" s="132">
        <v>0.0</v>
      </c>
      <c r="S784" s="132">
        <v>0.0</v>
      </c>
      <c r="T784" s="132">
        <v>0.0</v>
      </c>
      <c r="U784" s="132">
        <v>0.0</v>
      </c>
      <c r="V784" s="132">
        <v>0.0</v>
      </c>
      <c r="W784" s="132">
        <v>0.0</v>
      </c>
      <c r="Y784" s="132" t="s">
        <v>4286</v>
      </c>
      <c r="Z784" s="132">
        <f t="shared" ref="Z784:AC784" si="1564">C784-1000</f>
        <v>-1000</v>
      </c>
      <c r="AA784" s="132">
        <f t="shared" si="1564"/>
        <v>-1000</v>
      </c>
      <c r="AB784" s="132">
        <f t="shared" si="1564"/>
        <v>-1000</v>
      </c>
      <c r="AC784" s="132">
        <f t="shared" si="1564"/>
        <v>-1000</v>
      </c>
      <c r="AD784" s="132">
        <f t="shared" si="4"/>
        <v>-10000</v>
      </c>
      <c r="AE784" s="132">
        <f t="shared" ref="AE784:AS784" si="1565">H784-1000</f>
        <v>-1000</v>
      </c>
      <c r="AF784" s="132">
        <f t="shared" si="1565"/>
        <v>-1000</v>
      </c>
      <c r="AG784" s="132">
        <f t="shared" si="1565"/>
        <v>-1000</v>
      </c>
      <c r="AH784" s="132">
        <f t="shared" si="1565"/>
        <v>-1000</v>
      </c>
      <c r="AI784" s="132">
        <f t="shared" si="1565"/>
        <v>-1000</v>
      </c>
      <c r="AJ784" s="132">
        <f t="shared" si="1565"/>
        <v>-1000</v>
      </c>
      <c r="AK784" s="132">
        <f t="shared" si="1565"/>
        <v>-950</v>
      </c>
      <c r="AL784" s="132">
        <f t="shared" si="1565"/>
        <v>-1000</v>
      </c>
      <c r="AM784" s="132">
        <f t="shared" si="1565"/>
        <v>-1000</v>
      </c>
      <c r="AN784" s="132">
        <f t="shared" si="1565"/>
        <v>-1000</v>
      </c>
      <c r="AO784" s="132">
        <f t="shared" si="1565"/>
        <v>-1000</v>
      </c>
      <c r="AP784" s="132">
        <f t="shared" si="1565"/>
        <v>-1000</v>
      </c>
      <c r="AQ784" s="132">
        <f t="shared" si="1565"/>
        <v>-1000</v>
      </c>
      <c r="AR784" s="132">
        <f t="shared" si="1565"/>
        <v>-1000</v>
      </c>
      <c r="AS784" s="132">
        <f t="shared" si="1565"/>
        <v>-1000</v>
      </c>
    </row>
    <row r="785">
      <c r="A785" s="132" t="s">
        <v>4287</v>
      </c>
      <c r="B785" s="132">
        <v>102.0</v>
      </c>
      <c r="C785" s="132">
        <v>0.0</v>
      </c>
      <c r="D785" s="132">
        <v>0.0</v>
      </c>
      <c r="E785" s="132">
        <v>0.0</v>
      </c>
      <c r="F785" s="132">
        <v>0.0</v>
      </c>
      <c r="G785" s="132">
        <v>0.0</v>
      </c>
      <c r="H785" s="132">
        <v>0.0</v>
      </c>
      <c r="I785" s="132">
        <v>0.0</v>
      </c>
      <c r="J785" s="132">
        <v>0.0</v>
      </c>
      <c r="K785" s="132">
        <v>0.0</v>
      </c>
      <c r="L785" s="132">
        <v>0.0</v>
      </c>
      <c r="M785" s="132">
        <v>0.0</v>
      </c>
      <c r="N785" s="132">
        <v>102.0</v>
      </c>
      <c r="O785" s="132">
        <v>0.0</v>
      </c>
      <c r="P785" s="132">
        <v>0.0</v>
      </c>
      <c r="Q785" s="132">
        <v>0.0</v>
      </c>
      <c r="R785" s="132">
        <v>0.0</v>
      </c>
      <c r="S785" s="132">
        <v>0.0</v>
      </c>
      <c r="T785" s="132">
        <v>0.0</v>
      </c>
      <c r="U785" s="132">
        <v>0.0</v>
      </c>
      <c r="V785" s="132">
        <v>0.0</v>
      </c>
      <c r="W785" s="132">
        <v>0.0</v>
      </c>
      <c r="Y785" s="132" t="s">
        <v>4287</v>
      </c>
      <c r="Z785" s="132">
        <f t="shared" ref="Z785:AC785" si="1566">C785-1000</f>
        <v>-1000</v>
      </c>
      <c r="AA785" s="132">
        <f t="shared" si="1566"/>
        <v>-1000</v>
      </c>
      <c r="AB785" s="132">
        <f t="shared" si="1566"/>
        <v>-1000</v>
      </c>
      <c r="AC785" s="132">
        <f t="shared" si="1566"/>
        <v>-1000</v>
      </c>
      <c r="AD785" s="132">
        <f t="shared" si="4"/>
        <v>-10000</v>
      </c>
      <c r="AE785" s="132">
        <f t="shared" ref="AE785:AS785" si="1567">H785-1000</f>
        <v>-1000</v>
      </c>
      <c r="AF785" s="132">
        <f t="shared" si="1567"/>
        <v>-1000</v>
      </c>
      <c r="AG785" s="132">
        <f t="shared" si="1567"/>
        <v>-1000</v>
      </c>
      <c r="AH785" s="132">
        <f t="shared" si="1567"/>
        <v>-1000</v>
      </c>
      <c r="AI785" s="132">
        <f t="shared" si="1567"/>
        <v>-1000</v>
      </c>
      <c r="AJ785" s="132">
        <f t="shared" si="1567"/>
        <v>-1000</v>
      </c>
      <c r="AK785" s="132">
        <f t="shared" si="1567"/>
        <v>-898</v>
      </c>
      <c r="AL785" s="132">
        <f t="shared" si="1567"/>
        <v>-1000</v>
      </c>
      <c r="AM785" s="132">
        <f t="shared" si="1567"/>
        <v>-1000</v>
      </c>
      <c r="AN785" s="132">
        <f t="shared" si="1567"/>
        <v>-1000</v>
      </c>
      <c r="AO785" s="132">
        <f t="shared" si="1567"/>
        <v>-1000</v>
      </c>
      <c r="AP785" s="132">
        <f t="shared" si="1567"/>
        <v>-1000</v>
      </c>
      <c r="AQ785" s="132">
        <f t="shared" si="1567"/>
        <v>-1000</v>
      </c>
      <c r="AR785" s="132">
        <f t="shared" si="1567"/>
        <v>-1000</v>
      </c>
      <c r="AS785" s="132">
        <f t="shared" si="1567"/>
        <v>-1000</v>
      </c>
    </row>
    <row r="786">
      <c r="A786" s="132" t="s">
        <v>4288</v>
      </c>
      <c r="B786" s="132">
        <v>51.0</v>
      </c>
      <c r="C786" s="132">
        <v>0.0</v>
      </c>
      <c r="D786" s="132">
        <v>0.0</v>
      </c>
      <c r="E786" s="132">
        <v>0.0</v>
      </c>
      <c r="F786" s="132">
        <v>0.0</v>
      </c>
      <c r="G786" s="132">
        <v>0.0</v>
      </c>
      <c r="H786" s="132">
        <v>0.0</v>
      </c>
      <c r="I786" s="132">
        <v>0.0</v>
      </c>
      <c r="J786" s="132">
        <v>0.0</v>
      </c>
      <c r="K786" s="132">
        <v>0.0</v>
      </c>
      <c r="L786" s="132">
        <v>0.0</v>
      </c>
      <c r="M786" s="132">
        <v>0.0</v>
      </c>
      <c r="N786" s="132">
        <v>51.0</v>
      </c>
      <c r="O786" s="132">
        <v>0.0</v>
      </c>
      <c r="P786" s="132">
        <v>0.0</v>
      </c>
      <c r="Q786" s="132">
        <v>0.0</v>
      </c>
      <c r="R786" s="132">
        <v>0.0</v>
      </c>
      <c r="S786" s="132">
        <v>0.0</v>
      </c>
      <c r="T786" s="132">
        <v>0.0</v>
      </c>
      <c r="U786" s="132">
        <v>0.0</v>
      </c>
      <c r="V786" s="132">
        <v>0.0</v>
      </c>
      <c r="W786" s="132">
        <v>0.0</v>
      </c>
      <c r="Y786" s="132" t="s">
        <v>4288</v>
      </c>
      <c r="Z786" s="132">
        <f t="shared" ref="Z786:AC786" si="1568">C786-1000</f>
        <v>-1000</v>
      </c>
      <c r="AA786" s="132">
        <f t="shared" si="1568"/>
        <v>-1000</v>
      </c>
      <c r="AB786" s="132">
        <f t="shared" si="1568"/>
        <v>-1000</v>
      </c>
      <c r="AC786" s="132">
        <f t="shared" si="1568"/>
        <v>-1000</v>
      </c>
      <c r="AD786" s="132">
        <f t="shared" si="4"/>
        <v>-10000</v>
      </c>
      <c r="AE786" s="132">
        <f t="shared" ref="AE786:AS786" si="1569">H786-1000</f>
        <v>-1000</v>
      </c>
      <c r="AF786" s="132">
        <f t="shared" si="1569"/>
        <v>-1000</v>
      </c>
      <c r="AG786" s="132">
        <f t="shared" si="1569"/>
        <v>-1000</v>
      </c>
      <c r="AH786" s="132">
        <f t="shared" si="1569"/>
        <v>-1000</v>
      </c>
      <c r="AI786" s="132">
        <f t="shared" si="1569"/>
        <v>-1000</v>
      </c>
      <c r="AJ786" s="132">
        <f t="shared" si="1569"/>
        <v>-1000</v>
      </c>
      <c r="AK786" s="132">
        <f t="shared" si="1569"/>
        <v>-949</v>
      </c>
      <c r="AL786" s="132">
        <f t="shared" si="1569"/>
        <v>-1000</v>
      </c>
      <c r="AM786" s="132">
        <f t="shared" si="1569"/>
        <v>-1000</v>
      </c>
      <c r="AN786" s="132">
        <f t="shared" si="1569"/>
        <v>-1000</v>
      </c>
      <c r="AO786" s="132">
        <f t="shared" si="1569"/>
        <v>-1000</v>
      </c>
      <c r="AP786" s="132">
        <f t="shared" si="1569"/>
        <v>-1000</v>
      </c>
      <c r="AQ786" s="132">
        <f t="shared" si="1569"/>
        <v>-1000</v>
      </c>
      <c r="AR786" s="132">
        <f t="shared" si="1569"/>
        <v>-1000</v>
      </c>
      <c r="AS786" s="132">
        <f t="shared" si="1569"/>
        <v>-1000</v>
      </c>
    </row>
    <row r="787">
      <c r="A787" s="132" t="s">
        <v>4289</v>
      </c>
      <c r="B787" s="132">
        <v>151.0</v>
      </c>
      <c r="C787" s="132">
        <v>0.0</v>
      </c>
      <c r="D787" s="132">
        <v>0.0</v>
      </c>
      <c r="E787" s="132">
        <v>0.0</v>
      </c>
      <c r="F787" s="132">
        <v>0.0</v>
      </c>
      <c r="G787" s="132">
        <v>0.0</v>
      </c>
      <c r="H787" s="132">
        <v>0.0</v>
      </c>
      <c r="I787" s="132">
        <v>0.0</v>
      </c>
      <c r="J787" s="132">
        <v>0.0</v>
      </c>
      <c r="K787" s="132">
        <v>0.0</v>
      </c>
      <c r="L787" s="132">
        <v>0.0</v>
      </c>
      <c r="M787" s="132">
        <v>0.0</v>
      </c>
      <c r="N787" s="132">
        <v>151.0</v>
      </c>
      <c r="O787" s="132">
        <v>0.0</v>
      </c>
      <c r="P787" s="132">
        <v>0.0</v>
      </c>
      <c r="Q787" s="132">
        <v>0.0</v>
      </c>
      <c r="R787" s="132">
        <v>0.0</v>
      </c>
      <c r="S787" s="132">
        <v>0.0</v>
      </c>
      <c r="T787" s="132">
        <v>0.0</v>
      </c>
      <c r="U787" s="132">
        <v>0.0</v>
      </c>
      <c r="V787" s="132">
        <v>0.0</v>
      </c>
      <c r="W787" s="132">
        <v>0.0</v>
      </c>
      <c r="Y787" s="132" t="s">
        <v>4289</v>
      </c>
      <c r="Z787" s="132">
        <f t="shared" ref="Z787:AC787" si="1570">C787-1000</f>
        <v>-1000</v>
      </c>
      <c r="AA787" s="132">
        <f t="shared" si="1570"/>
        <v>-1000</v>
      </c>
      <c r="AB787" s="132">
        <f t="shared" si="1570"/>
        <v>-1000</v>
      </c>
      <c r="AC787" s="132">
        <f t="shared" si="1570"/>
        <v>-1000</v>
      </c>
      <c r="AD787" s="132">
        <f t="shared" si="4"/>
        <v>-10000</v>
      </c>
      <c r="AE787" s="132">
        <f t="shared" ref="AE787:AS787" si="1571">H787-1000</f>
        <v>-1000</v>
      </c>
      <c r="AF787" s="132">
        <f t="shared" si="1571"/>
        <v>-1000</v>
      </c>
      <c r="AG787" s="132">
        <f t="shared" si="1571"/>
        <v>-1000</v>
      </c>
      <c r="AH787" s="132">
        <f t="shared" si="1571"/>
        <v>-1000</v>
      </c>
      <c r="AI787" s="132">
        <f t="shared" si="1571"/>
        <v>-1000</v>
      </c>
      <c r="AJ787" s="132">
        <f t="shared" si="1571"/>
        <v>-1000</v>
      </c>
      <c r="AK787" s="132">
        <f t="shared" si="1571"/>
        <v>-849</v>
      </c>
      <c r="AL787" s="132">
        <f t="shared" si="1571"/>
        <v>-1000</v>
      </c>
      <c r="AM787" s="132">
        <f t="shared" si="1571"/>
        <v>-1000</v>
      </c>
      <c r="AN787" s="132">
        <f t="shared" si="1571"/>
        <v>-1000</v>
      </c>
      <c r="AO787" s="132">
        <f t="shared" si="1571"/>
        <v>-1000</v>
      </c>
      <c r="AP787" s="132">
        <f t="shared" si="1571"/>
        <v>-1000</v>
      </c>
      <c r="AQ787" s="132">
        <f t="shared" si="1571"/>
        <v>-1000</v>
      </c>
      <c r="AR787" s="132">
        <f t="shared" si="1571"/>
        <v>-1000</v>
      </c>
      <c r="AS787" s="132">
        <f t="shared" si="1571"/>
        <v>-1000</v>
      </c>
    </row>
    <row r="788">
      <c r="A788" s="132" t="s">
        <v>4290</v>
      </c>
      <c r="B788" s="132">
        <v>25.0</v>
      </c>
      <c r="C788" s="132">
        <v>0.0</v>
      </c>
      <c r="D788" s="132">
        <v>0.0</v>
      </c>
      <c r="E788" s="132">
        <v>0.0</v>
      </c>
      <c r="F788" s="132">
        <v>0.0</v>
      </c>
      <c r="G788" s="132">
        <v>0.0</v>
      </c>
      <c r="H788" s="132">
        <v>0.0</v>
      </c>
      <c r="I788" s="132">
        <v>0.0</v>
      </c>
      <c r="J788" s="132">
        <v>0.0</v>
      </c>
      <c r="K788" s="132">
        <v>0.0</v>
      </c>
      <c r="L788" s="132">
        <v>0.0</v>
      </c>
      <c r="M788" s="132">
        <v>0.0</v>
      </c>
      <c r="N788" s="132">
        <v>25.0</v>
      </c>
      <c r="O788" s="132">
        <v>0.0</v>
      </c>
      <c r="P788" s="132">
        <v>0.0</v>
      </c>
      <c r="Q788" s="132">
        <v>0.0</v>
      </c>
      <c r="R788" s="132">
        <v>0.0</v>
      </c>
      <c r="S788" s="132">
        <v>0.0</v>
      </c>
      <c r="T788" s="132">
        <v>0.0</v>
      </c>
      <c r="U788" s="132">
        <v>0.0</v>
      </c>
      <c r="V788" s="132">
        <v>0.0</v>
      </c>
      <c r="W788" s="132">
        <v>0.0</v>
      </c>
      <c r="Y788" s="132" t="s">
        <v>4290</v>
      </c>
      <c r="Z788" s="132">
        <f t="shared" ref="Z788:AC788" si="1572">C788-1000</f>
        <v>-1000</v>
      </c>
      <c r="AA788" s="132">
        <f t="shared" si="1572"/>
        <v>-1000</v>
      </c>
      <c r="AB788" s="132">
        <f t="shared" si="1572"/>
        <v>-1000</v>
      </c>
      <c r="AC788" s="132">
        <f t="shared" si="1572"/>
        <v>-1000</v>
      </c>
      <c r="AD788" s="132">
        <f t="shared" si="4"/>
        <v>-10000</v>
      </c>
      <c r="AE788" s="132">
        <f t="shared" ref="AE788:AS788" si="1573">H788-1000</f>
        <v>-1000</v>
      </c>
      <c r="AF788" s="132">
        <f t="shared" si="1573"/>
        <v>-1000</v>
      </c>
      <c r="AG788" s="132">
        <f t="shared" si="1573"/>
        <v>-1000</v>
      </c>
      <c r="AH788" s="132">
        <f t="shared" si="1573"/>
        <v>-1000</v>
      </c>
      <c r="AI788" s="132">
        <f t="shared" si="1573"/>
        <v>-1000</v>
      </c>
      <c r="AJ788" s="132">
        <f t="shared" si="1573"/>
        <v>-1000</v>
      </c>
      <c r="AK788" s="132">
        <f t="shared" si="1573"/>
        <v>-975</v>
      </c>
      <c r="AL788" s="132">
        <f t="shared" si="1573"/>
        <v>-1000</v>
      </c>
      <c r="AM788" s="132">
        <f t="shared" si="1573"/>
        <v>-1000</v>
      </c>
      <c r="AN788" s="132">
        <f t="shared" si="1573"/>
        <v>-1000</v>
      </c>
      <c r="AO788" s="132">
        <f t="shared" si="1573"/>
        <v>-1000</v>
      </c>
      <c r="AP788" s="132">
        <f t="shared" si="1573"/>
        <v>-1000</v>
      </c>
      <c r="AQ788" s="132">
        <f t="shared" si="1573"/>
        <v>-1000</v>
      </c>
      <c r="AR788" s="132">
        <f t="shared" si="1573"/>
        <v>-1000</v>
      </c>
      <c r="AS788" s="132">
        <f t="shared" si="1573"/>
        <v>-1000</v>
      </c>
    </row>
    <row r="789">
      <c r="A789" s="132" t="s">
        <v>4291</v>
      </c>
      <c r="B789" s="132">
        <v>102.0</v>
      </c>
      <c r="C789" s="132">
        <v>0.0</v>
      </c>
      <c r="D789" s="132">
        <v>0.0</v>
      </c>
      <c r="E789" s="132">
        <v>0.0</v>
      </c>
      <c r="F789" s="132">
        <v>0.0</v>
      </c>
      <c r="G789" s="132">
        <v>0.0</v>
      </c>
      <c r="H789" s="132">
        <v>0.0</v>
      </c>
      <c r="I789" s="132">
        <v>0.0</v>
      </c>
      <c r="J789" s="132">
        <v>0.0</v>
      </c>
      <c r="K789" s="132">
        <v>0.0</v>
      </c>
      <c r="L789" s="132">
        <v>0.0</v>
      </c>
      <c r="M789" s="132">
        <v>0.0</v>
      </c>
      <c r="N789" s="132">
        <v>102.0</v>
      </c>
      <c r="O789" s="132">
        <v>0.0</v>
      </c>
      <c r="P789" s="132">
        <v>0.0</v>
      </c>
      <c r="Q789" s="132">
        <v>0.0</v>
      </c>
      <c r="R789" s="132">
        <v>0.0</v>
      </c>
      <c r="S789" s="132">
        <v>0.0</v>
      </c>
      <c r="T789" s="132">
        <v>0.0</v>
      </c>
      <c r="U789" s="132">
        <v>0.0</v>
      </c>
      <c r="V789" s="132">
        <v>0.0</v>
      </c>
      <c r="W789" s="132">
        <v>0.0</v>
      </c>
      <c r="Y789" s="132" t="s">
        <v>4291</v>
      </c>
      <c r="Z789" s="132">
        <f t="shared" ref="Z789:AC789" si="1574">C789-1000</f>
        <v>-1000</v>
      </c>
      <c r="AA789" s="132">
        <f t="shared" si="1574"/>
        <v>-1000</v>
      </c>
      <c r="AB789" s="132">
        <f t="shared" si="1574"/>
        <v>-1000</v>
      </c>
      <c r="AC789" s="132">
        <f t="shared" si="1574"/>
        <v>-1000</v>
      </c>
      <c r="AD789" s="132">
        <f t="shared" si="4"/>
        <v>-10000</v>
      </c>
      <c r="AE789" s="132">
        <f t="shared" ref="AE789:AS789" si="1575">H789-1000</f>
        <v>-1000</v>
      </c>
      <c r="AF789" s="132">
        <f t="shared" si="1575"/>
        <v>-1000</v>
      </c>
      <c r="AG789" s="132">
        <f t="shared" si="1575"/>
        <v>-1000</v>
      </c>
      <c r="AH789" s="132">
        <f t="shared" si="1575"/>
        <v>-1000</v>
      </c>
      <c r="AI789" s="132">
        <f t="shared" si="1575"/>
        <v>-1000</v>
      </c>
      <c r="AJ789" s="132">
        <f t="shared" si="1575"/>
        <v>-1000</v>
      </c>
      <c r="AK789" s="132">
        <f t="shared" si="1575"/>
        <v>-898</v>
      </c>
      <c r="AL789" s="132">
        <f t="shared" si="1575"/>
        <v>-1000</v>
      </c>
      <c r="AM789" s="132">
        <f t="shared" si="1575"/>
        <v>-1000</v>
      </c>
      <c r="AN789" s="132">
        <f t="shared" si="1575"/>
        <v>-1000</v>
      </c>
      <c r="AO789" s="132">
        <f t="shared" si="1575"/>
        <v>-1000</v>
      </c>
      <c r="AP789" s="132">
        <f t="shared" si="1575"/>
        <v>-1000</v>
      </c>
      <c r="AQ789" s="132">
        <f t="shared" si="1575"/>
        <v>-1000</v>
      </c>
      <c r="AR789" s="132">
        <f t="shared" si="1575"/>
        <v>-1000</v>
      </c>
      <c r="AS789" s="132">
        <f t="shared" si="1575"/>
        <v>-1000</v>
      </c>
    </row>
    <row r="790">
      <c r="A790" s="132" t="s">
        <v>4292</v>
      </c>
      <c r="B790" s="132">
        <v>102.0</v>
      </c>
      <c r="C790" s="132">
        <v>0.0</v>
      </c>
      <c r="D790" s="132">
        <v>0.0</v>
      </c>
      <c r="E790" s="132">
        <v>0.0</v>
      </c>
      <c r="F790" s="132">
        <v>0.0</v>
      </c>
      <c r="G790" s="132">
        <v>0.0</v>
      </c>
      <c r="H790" s="132">
        <v>0.0</v>
      </c>
      <c r="I790" s="132">
        <v>0.0</v>
      </c>
      <c r="J790" s="132">
        <v>0.0</v>
      </c>
      <c r="K790" s="132">
        <v>0.0</v>
      </c>
      <c r="L790" s="132">
        <v>0.0</v>
      </c>
      <c r="M790" s="132">
        <v>0.0</v>
      </c>
      <c r="N790" s="132">
        <v>102.0</v>
      </c>
      <c r="O790" s="132">
        <v>0.0</v>
      </c>
      <c r="P790" s="132">
        <v>0.0</v>
      </c>
      <c r="Q790" s="132">
        <v>0.0</v>
      </c>
      <c r="R790" s="132">
        <v>0.0</v>
      </c>
      <c r="S790" s="132">
        <v>0.0</v>
      </c>
      <c r="T790" s="132">
        <v>0.0</v>
      </c>
      <c r="U790" s="132">
        <v>0.0</v>
      </c>
      <c r="V790" s="132">
        <v>0.0</v>
      </c>
      <c r="W790" s="132">
        <v>0.0</v>
      </c>
      <c r="Y790" s="132" t="s">
        <v>4292</v>
      </c>
      <c r="Z790" s="132">
        <f t="shared" ref="Z790:AC790" si="1576">C790-1000</f>
        <v>-1000</v>
      </c>
      <c r="AA790" s="132">
        <f t="shared" si="1576"/>
        <v>-1000</v>
      </c>
      <c r="AB790" s="132">
        <f t="shared" si="1576"/>
        <v>-1000</v>
      </c>
      <c r="AC790" s="132">
        <f t="shared" si="1576"/>
        <v>-1000</v>
      </c>
      <c r="AD790" s="132">
        <f t="shared" si="4"/>
        <v>-10000</v>
      </c>
      <c r="AE790" s="132">
        <f t="shared" ref="AE790:AS790" si="1577">H790-1000</f>
        <v>-1000</v>
      </c>
      <c r="AF790" s="132">
        <f t="shared" si="1577"/>
        <v>-1000</v>
      </c>
      <c r="AG790" s="132">
        <f t="shared" si="1577"/>
        <v>-1000</v>
      </c>
      <c r="AH790" s="132">
        <f t="shared" si="1577"/>
        <v>-1000</v>
      </c>
      <c r="AI790" s="132">
        <f t="shared" si="1577"/>
        <v>-1000</v>
      </c>
      <c r="AJ790" s="132">
        <f t="shared" si="1577"/>
        <v>-1000</v>
      </c>
      <c r="AK790" s="132">
        <f t="shared" si="1577"/>
        <v>-898</v>
      </c>
      <c r="AL790" s="132">
        <f t="shared" si="1577"/>
        <v>-1000</v>
      </c>
      <c r="AM790" s="132">
        <f t="shared" si="1577"/>
        <v>-1000</v>
      </c>
      <c r="AN790" s="132">
        <f t="shared" si="1577"/>
        <v>-1000</v>
      </c>
      <c r="AO790" s="132">
        <f t="shared" si="1577"/>
        <v>-1000</v>
      </c>
      <c r="AP790" s="132">
        <f t="shared" si="1577"/>
        <v>-1000</v>
      </c>
      <c r="AQ790" s="132">
        <f t="shared" si="1577"/>
        <v>-1000</v>
      </c>
      <c r="AR790" s="132">
        <f t="shared" si="1577"/>
        <v>-1000</v>
      </c>
      <c r="AS790" s="132">
        <f t="shared" si="1577"/>
        <v>-1000</v>
      </c>
    </row>
    <row r="791">
      <c r="A791" s="132" t="s">
        <v>4293</v>
      </c>
      <c r="B791" s="132">
        <v>51.0</v>
      </c>
      <c r="C791" s="132">
        <v>0.0</v>
      </c>
      <c r="D791" s="132">
        <v>0.0</v>
      </c>
      <c r="E791" s="132">
        <v>0.0</v>
      </c>
      <c r="F791" s="132">
        <v>0.0</v>
      </c>
      <c r="G791" s="132">
        <v>0.0</v>
      </c>
      <c r="H791" s="132">
        <v>0.0</v>
      </c>
      <c r="I791" s="132">
        <v>0.0</v>
      </c>
      <c r="J791" s="132">
        <v>0.0</v>
      </c>
      <c r="K791" s="132">
        <v>0.0</v>
      </c>
      <c r="L791" s="132">
        <v>0.0</v>
      </c>
      <c r="M791" s="132">
        <v>0.0</v>
      </c>
      <c r="N791" s="132">
        <v>51.0</v>
      </c>
      <c r="O791" s="132">
        <v>0.0</v>
      </c>
      <c r="P791" s="132">
        <v>0.0</v>
      </c>
      <c r="Q791" s="132">
        <v>0.0</v>
      </c>
      <c r="R791" s="132">
        <v>0.0</v>
      </c>
      <c r="S791" s="132">
        <v>0.0</v>
      </c>
      <c r="T791" s="132">
        <v>0.0</v>
      </c>
      <c r="U791" s="132">
        <v>0.0</v>
      </c>
      <c r="V791" s="132">
        <v>0.0</v>
      </c>
      <c r="W791" s="132">
        <v>0.0</v>
      </c>
      <c r="Y791" s="132" t="s">
        <v>4293</v>
      </c>
      <c r="Z791" s="132">
        <f t="shared" ref="Z791:AC791" si="1578">C791-1000</f>
        <v>-1000</v>
      </c>
      <c r="AA791" s="132">
        <f t="shared" si="1578"/>
        <v>-1000</v>
      </c>
      <c r="AB791" s="132">
        <f t="shared" si="1578"/>
        <v>-1000</v>
      </c>
      <c r="AC791" s="132">
        <f t="shared" si="1578"/>
        <v>-1000</v>
      </c>
      <c r="AD791" s="132">
        <f t="shared" si="4"/>
        <v>-10000</v>
      </c>
      <c r="AE791" s="132">
        <f t="shared" ref="AE791:AS791" si="1579">H791-1000</f>
        <v>-1000</v>
      </c>
      <c r="AF791" s="132">
        <f t="shared" si="1579"/>
        <v>-1000</v>
      </c>
      <c r="AG791" s="132">
        <f t="shared" si="1579"/>
        <v>-1000</v>
      </c>
      <c r="AH791" s="132">
        <f t="shared" si="1579"/>
        <v>-1000</v>
      </c>
      <c r="AI791" s="132">
        <f t="shared" si="1579"/>
        <v>-1000</v>
      </c>
      <c r="AJ791" s="132">
        <f t="shared" si="1579"/>
        <v>-1000</v>
      </c>
      <c r="AK791" s="132">
        <f t="shared" si="1579"/>
        <v>-949</v>
      </c>
      <c r="AL791" s="132">
        <f t="shared" si="1579"/>
        <v>-1000</v>
      </c>
      <c r="AM791" s="132">
        <f t="shared" si="1579"/>
        <v>-1000</v>
      </c>
      <c r="AN791" s="132">
        <f t="shared" si="1579"/>
        <v>-1000</v>
      </c>
      <c r="AO791" s="132">
        <f t="shared" si="1579"/>
        <v>-1000</v>
      </c>
      <c r="AP791" s="132">
        <f t="shared" si="1579"/>
        <v>-1000</v>
      </c>
      <c r="AQ791" s="132">
        <f t="shared" si="1579"/>
        <v>-1000</v>
      </c>
      <c r="AR791" s="132">
        <f t="shared" si="1579"/>
        <v>-1000</v>
      </c>
      <c r="AS791" s="132">
        <f t="shared" si="1579"/>
        <v>-1000</v>
      </c>
    </row>
    <row r="792">
      <c r="A792" s="132" t="s">
        <v>4294</v>
      </c>
      <c r="B792" s="132">
        <v>51.0</v>
      </c>
      <c r="C792" s="132">
        <v>0.0</v>
      </c>
      <c r="D792" s="132">
        <v>0.0</v>
      </c>
      <c r="E792" s="132">
        <v>0.0</v>
      </c>
      <c r="F792" s="132">
        <v>0.0</v>
      </c>
      <c r="G792" s="132">
        <v>0.0</v>
      </c>
      <c r="H792" s="132">
        <v>0.0</v>
      </c>
      <c r="I792" s="132">
        <v>0.0</v>
      </c>
      <c r="J792" s="132">
        <v>0.0</v>
      </c>
      <c r="K792" s="132">
        <v>0.0</v>
      </c>
      <c r="L792" s="132">
        <v>0.0</v>
      </c>
      <c r="M792" s="132">
        <v>0.0</v>
      </c>
      <c r="N792" s="132">
        <v>51.0</v>
      </c>
      <c r="O792" s="132">
        <v>0.0</v>
      </c>
      <c r="P792" s="132">
        <v>0.0</v>
      </c>
      <c r="Q792" s="132">
        <v>0.0</v>
      </c>
      <c r="R792" s="132">
        <v>0.0</v>
      </c>
      <c r="S792" s="132">
        <v>0.0</v>
      </c>
      <c r="T792" s="132">
        <v>0.0</v>
      </c>
      <c r="U792" s="132">
        <v>0.0</v>
      </c>
      <c r="V792" s="132">
        <v>0.0</v>
      </c>
      <c r="W792" s="132">
        <v>0.0</v>
      </c>
      <c r="Y792" s="132" t="s">
        <v>4294</v>
      </c>
      <c r="Z792" s="132">
        <f t="shared" ref="Z792:AC792" si="1580">C792-1000</f>
        <v>-1000</v>
      </c>
      <c r="AA792" s="132">
        <f t="shared" si="1580"/>
        <v>-1000</v>
      </c>
      <c r="AB792" s="132">
        <f t="shared" si="1580"/>
        <v>-1000</v>
      </c>
      <c r="AC792" s="132">
        <f t="shared" si="1580"/>
        <v>-1000</v>
      </c>
      <c r="AD792" s="132">
        <f t="shared" si="4"/>
        <v>-10000</v>
      </c>
      <c r="AE792" s="132">
        <f t="shared" ref="AE792:AS792" si="1581">H792-1000</f>
        <v>-1000</v>
      </c>
      <c r="AF792" s="132">
        <f t="shared" si="1581"/>
        <v>-1000</v>
      </c>
      <c r="AG792" s="132">
        <f t="shared" si="1581"/>
        <v>-1000</v>
      </c>
      <c r="AH792" s="132">
        <f t="shared" si="1581"/>
        <v>-1000</v>
      </c>
      <c r="AI792" s="132">
        <f t="shared" si="1581"/>
        <v>-1000</v>
      </c>
      <c r="AJ792" s="132">
        <f t="shared" si="1581"/>
        <v>-1000</v>
      </c>
      <c r="AK792" s="132">
        <f t="shared" si="1581"/>
        <v>-949</v>
      </c>
      <c r="AL792" s="132">
        <f t="shared" si="1581"/>
        <v>-1000</v>
      </c>
      <c r="AM792" s="132">
        <f t="shared" si="1581"/>
        <v>-1000</v>
      </c>
      <c r="AN792" s="132">
        <f t="shared" si="1581"/>
        <v>-1000</v>
      </c>
      <c r="AO792" s="132">
        <f t="shared" si="1581"/>
        <v>-1000</v>
      </c>
      <c r="AP792" s="132">
        <f t="shared" si="1581"/>
        <v>-1000</v>
      </c>
      <c r="AQ792" s="132">
        <f t="shared" si="1581"/>
        <v>-1000</v>
      </c>
      <c r="AR792" s="132">
        <f t="shared" si="1581"/>
        <v>-1000</v>
      </c>
      <c r="AS792" s="132">
        <f t="shared" si="1581"/>
        <v>-1000</v>
      </c>
    </row>
    <row r="793">
      <c r="A793" s="132" t="s">
        <v>4295</v>
      </c>
      <c r="B793" s="132">
        <v>25.0</v>
      </c>
      <c r="C793" s="132">
        <v>0.0</v>
      </c>
      <c r="D793" s="132">
        <v>0.0</v>
      </c>
      <c r="E793" s="132">
        <v>0.0</v>
      </c>
      <c r="F793" s="132">
        <v>0.0</v>
      </c>
      <c r="G793" s="132">
        <v>0.0</v>
      </c>
      <c r="H793" s="132">
        <v>0.0</v>
      </c>
      <c r="I793" s="132">
        <v>0.0</v>
      </c>
      <c r="J793" s="132">
        <v>0.0</v>
      </c>
      <c r="K793" s="132">
        <v>0.0</v>
      </c>
      <c r="L793" s="132">
        <v>0.0</v>
      </c>
      <c r="M793" s="132">
        <v>0.0</v>
      </c>
      <c r="N793" s="132">
        <v>25.0</v>
      </c>
      <c r="O793" s="132">
        <v>0.0</v>
      </c>
      <c r="P793" s="132">
        <v>0.0</v>
      </c>
      <c r="Q793" s="132">
        <v>0.0</v>
      </c>
      <c r="R793" s="132">
        <v>0.0</v>
      </c>
      <c r="S793" s="132">
        <v>0.0</v>
      </c>
      <c r="T793" s="132">
        <v>0.0</v>
      </c>
      <c r="U793" s="132">
        <v>0.0</v>
      </c>
      <c r="V793" s="132">
        <v>0.0</v>
      </c>
      <c r="W793" s="132">
        <v>0.0</v>
      </c>
      <c r="Y793" s="132" t="s">
        <v>4295</v>
      </c>
      <c r="Z793" s="132">
        <f t="shared" ref="Z793:AC793" si="1582">C793-1000</f>
        <v>-1000</v>
      </c>
      <c r="AA793" s="132">
        <f t="shared" si="1582"/>
        <v>-1000</v>
      </c>
      <c r="AB793" s="132">
        <f t="shared" si="1582"/>
        <v>-1000</v>
      </c>
      <c r="AC793" s="132">
        <f t="shared" si="1582"/>
        <v>-1000</v>
      </c>
      <c r="AD793" s="132">
        <f t="shared" si="4"/>
        <v>-10000</v>
      </c>
      <c r="AE793" s="132">
        <f t="shared" ref="AE793:AS793" si="1583">H793-1000</f>
        <v>-1000</v>
      </c>
      <c r="AF793" s="132">
        <f t="shared" si="1583"/>
        <v>-1000</v>
      </c>
      <c r="AG793" s="132">
        <f t="shared" si="1583"/>
        <v>-1000</v>
      </c>
      <c r="AH793" s="132">
        <f t="shared" si="1583"/>
        <v>-1000</v>
      </c>
      <c r="AI793" s="132">
        <f t="shared" si="1583"/>
        <v>-1000</v>
      </c>
      <c r="AJ793" s="132">
        <f t="shared" si="1583"/>
        <v>-1000</v>
      </c>
      <c r="AK793" s="132">
        <f t="shared" si="1583"/>
        <v>-975</v>
      </c>
      <c r="AL793" s="132">
        <f t="shared" si="1583"/>
        <v>-1000</v>
      </c>
      <c r="AM793" s="132">
        <f t="shared" si="1583"/>
        <v>-1000</v>
      </c>
      <c r="AN793" s="132">
        <f t="shared" si="1583"/>
        <v>-1000</v>
      </c>
      <c r="AO793" s="132">
        <f t="shared" si="1583"/>
        <v>-1000</v>
      </c>
      <c r="AP793" s="132">
        <f t="shared" si="1583"/>
        <v>-1000</v>
      </c>
      <c r="AQ793" s="132">
        <f t="shared" si="1583"/>
        <v>-1000</v>
      </c>
      <c r="AR793" s="132">
        <f t="shared" si="1583"/>
        <v>-1000</v>
      </c>
      <c r="AS793" s="132">
        <f t="shared" si="1583"/>
        <v>-1000</v>
      </c>
    </row>
    <row r="794">
      <c r="A794" s="132" t="s">
        <v>4296</v>
      </c>
      <c r="B794" s="132">
        <v>175.0</v>
      </c>
      <c r="C794" s="132">
        <v>0.0</v>
      </c>
      <c r="D794" s="132">
        <v>0.0</v>
      </c>
      <c r="E794" s="132">
        <v>0.0</v>
      </c>
      <c r="F794" s="132">
        <v>0.0</v>
      </c>
      <c r="G794" s="132">
        <v>0.0</v>
      </c>
      <c r="H794" s="132">
        <v>0.0</v>
      </c>
      <c r="I794" s="132">
        <v>0.0</v>
      </c>
      <c r="J794" s="132">
        <v>0.0</v>
      </c>
      <c r="K794" s="132">
        <v>0.0</v>
      </c>
      <c r="L794" s="132">
        <v>0.0</v>
      </c>
      <c r="M794" s="132">
        <v>0.0</v>
      </c>
      <c r="N794" s="132">
        <v>175.0</v>
      </c>
      <c r="O794" s="132">
        <v>0.0</v>
      </c>
      <c r="P794" s="132">
        <v>0.0</v>
      </c>
      <c r="Q794" s="132">
        <v>0.0</v>
      </c>
      <c r="R794" s="132">
        <v>0.0</v>
      </c>
      <c r="S794" s="132">
        <v>0.0</v>
      </c>
      <c r="T794" s="132">
        <v>0.0</v>
      </c>
      <c r="U794" s="132">
        <v>0.0</v>
      </c>
      <c r="V794" s="132">
        <v>0.0</v>
      </c>
      <c r="W794" s="132">
        <v>0.0</v>
      </c>
      <c r="Y794" s="132" t="s">
        <v>4296</v>
      </c>
      <c r="Z794" s="132">
        <f t="shared" ref="Z794:AC794" si="1584">C794-1000</f>
        <v>-1000</v>
      </c>
      <c r="AA794" s="132">
        <f t="shared" si="1584"/>
        <v>-1000</v>
      </c>
      <c r="AB794" s="132">
        <f t="shared" si="1584"/>
        <v>-1000</v>
      </c>
      <c r="AC794" s="132">
        <f t="shared" si="1584"/>
        <v>-1000</v>
      </c>
      <c r="AD794" s="132">
        <f t="shared" si="4"/>
        <v>-10000</v>
      </c>
      <c r="AE794" s="132">
        <f t="shared" ref="AE794:AS794" si="1585">H794-1000</f>
        <v>-1000</v>
      </c>
      <c r="AF794" s="132">
        <f t="shared" si="1585"/>
        <v>-1000</v>
      </c>
      <c r="AG794" s="132">
        <f t="shared" si="1585"/>
        <v>-1000</v>
      </c>
      <c r="AH794" s="132">
        <f t="shared" si="1585"/>
        <v>-1000</v>
      </c>
      <c r="AI794" s="132">
        <f t="shared" si="1585"/>
        <v>-1000</v>
      </c>
      <c r="AJ794" s="132">
        <f t="shared" si="1585"/>
        <v>-1000</v>
      </c>
      <c r="AK794" s="132">
        <f t="shared" si="1585"/>
        <v>-825</v>
      </c>
      <c r="AL794" s="132">
        <f t="shared" si="1585"/>
        <v>-1000</v>
      </c>
      <c r="AM794" s="132">
        <f t="shared" si="1585"/>
        <v>-1000</v>
      </c>
      <c r="AN794" s="132">
        <f t="shared" si="1585"/>
        <v>-1000</v>
      </c>
      <c r="AO794" s="132">
        <f t="shared" si="1585"/>
        <v>-1000</v>
      </c>
      <c r="AP794" s="132">
        <f t="shared" si="1585"/>
        <v>-1000</v>
      </c>
      <c r="AQ794" s="132">
        <f t="shared" si="1585"/>
        <v>-1000</v>
      </c>
      <c r="AR794" s="132">
        <f t="shared" si="1585"/>
        <v>-1000</v>
      </c>
      <c r="AS794" s="132">
        <f t="shared" si="1585"/>
        <v>-1000</v>
      </c>
    </row>
    <row r="795">
      <c r="A795" s="132" t="s">
        <v>4297</v>
      </c>
      <c r="B795" s="132">
        <v>60.0</v>
      </c>
      <c r="C795" s="132">
        <v>0.0</v>
      </c>
      <c r="D795" s="132">
        <v>0.0</v>
      </c>
      <c r="E795" s="132">
        <v>0.0</v>
      </c>
      <c r="F795" s="132">
        <v>0.0</v>
      </c>
      <c r="G795" s="132">
        <v>0.0</v>
      </c>
      <c r="H795" s="132">
        <v>0.0</v>
      </c>
      <c r="I795" s="132">
        <v>0.0</v>
      </c>
      <c r="J795" s="132">
        <v>0.0</v>
      </c>
      <c r="K795" s="132">
        <v>0.0</v>
      </c>
      <c r="L795" s="132">
        <v>0.0</v>
      </c>
      <c r="M795" s="132">
        <v>0.0</v>
      </c>
      <c r="N795" s="132">
        <v>60.0</v>
      </c>
      <c r="O795" s="132">
        <v>0.0</v>
      </c>
      <c r="P795" s="132">
        <v>0.0</v>
      </c>
      <c r="Q795" s="132">
        <v>0.0</v>
      </c>
      <c r="R795" s="132">
        <v>0.0</v>
      </c>
      <c r="S795" s="132">
        <v>0.0</v>
      </c>
      <c r="T795" s="132">
        <v>0.0</v>
      </c>
      <c r="U795" s="132">
        <v>0.0</v>
      </c>
      <c r="V795" s="132">
        <v>0.0</v>
      </c>
      <c r="W795" s="132">
        <v>0.0</v>
      </c>
      <c r="Y795" s="132" t="s">
        <v>4297</v>
      </c>
      <c r="Z795" s="132">
        <f t="shared" ref="Z795:AC795" si="1586">C795-1000</f>
        <v>-1000</v>
      </c>
      <c r="AA795" s="132">
        <f t="shared" si="1586"/>
        <v>-1000</v>
      </c>
      <c r="AB795" s="132">
        <f t="shared" si="1586"/>
        <v>-1000</v>
      </c>
      <c r="AC795" s="132">
        <f t="shared" si="1586"/>
        <v>-1000</v>
      </c>
      <c r="AD795" s="132">
        <f t="shared" si="4"/>
        <v>-10000</v>
      </c>
      <c r="AE795" s="132">
        <f t="shared" ref="AE795:AS795" si="1587">H795-1000</f>
        <v>-1000</v>
      </c>
      <c r="AF795" s="132">
        <f t="shared" si="1587"/>
        <v>-1000</v>
      </c>
      <c r="AG795" s="132">
        <f t="shared" si="1587"/>
        <v>-1000</v>
      </c>
      <c r="AH795" s="132">
        <f t="shared" si="1587"/>
        <v>-1000</v>
      </c>
      <c r="AI795" s="132">
        <f t="shared" si="1587"/>
        <v>-1000</v>
      </c>
      <c r="AJ795" s="132">
        <f t="shared" si="1587"/>
        <v>-1000</v>
      </c>
      <c r="AK795" s="132">
        <f t="shared" si="1587"/>
        <v>-940</v>
      </c>
      <c r="AL795" s="132">
        <f t="shared" si="1587"/>
        <v>-1000</v>
      </c>
      <c r="AM795" s="132">
        <f t="shared" si="1587"/>
        <v>-1000</v>
      </c>
      <c r="AN795" s="132">
        <f t="shared" si="1587"/>
        <v>-1000</v>
      </c>
      <c r="AO795" s="132">
        <f t="shared" si="1587"/>
        <v>-1000</v>
      </c>
      <c r="AP795" s="132">
        <f t="shared" si="1587"/>
        <v>-1000</v>
      </c>
      <c r="AQ795" s="132">
        <f t="shared" si="1587"/>
        <v>-1000</v>
      </c>
      <c r="AR795" s="132">
        <f t="shared" si="1587"/>
        <v>-1000</v>
      </c>
      <c r="AS795" s="132">
        <f t="shared" si="1587"/>
        <v>-1000</v>
      </c>
    </row>
    <row r="796">
      <c r="A796" s="132" t="s">
        <v>4298</v>
      </c>
      <c r="B796" s="132">
        <v>25.0</v>
      </c>
      <c r="C796" s="132">
        <v>0.0</v>
      </c>
      <c r="D796" s="132">
        <v>0.0</v>
      </c>
      <c r="E796" s="132">
        <v>0.0</v>
      </c>
      <c r="F796" s="132">
        <v>0.0</v>
      </c>
      <c r="G796" s="132">
        <v>0.0</v>
      </c>
      <c r="H796" s="132">
        <v>0.0</v>
      </c>
      <c r="I796" s="132">
        <v>0.0</v>
      </c>
      <c r="J796" s="132">
        <v>0.0</v>
      </c>
      <c r="K796" s="132">
        <v>0.0</v>
      </c>
      <c r="L796" s="132">
        <v>0.0</v>
      </c>
      <c r="M796" s="132">
        <v>0.0</v>
      </c>
      <c r="N796" s="132">
        <v>25.0</v>
      </c>
      <c r="O796" s="132">
        <v>0.0</v>
      </c>
      <c r="P796" s="132">
        <v>0.0</v>
      </c>
      <c r="Q796" s="132">
        <v>0.0</v>
      </c>
      <c r="R796" s="132">
        <v>0.0</v>
      </c>
      <c r="S796" s="132">
        <v>0.0</v>
      </c>
      <c r="T796" s="132">
        <v>0.0</v>
      </c>
      <c r="U796" s="132">
        <v>0.0</v>
      </c>
      <c r="V796" s="132">
        <v>0.0</v>
      </c>
      <c r="W796" s="132">
        <v>0.0</v>
      </c>
      <c r="Y796" s="132" t="s">
        <v>4298</v>
      </c>
      <c r="Z796" s="132">
        <f t="shared" ref="Z796:AC796" si="1588">C796-1000</f>
        <v>-1000</v>
      </c>
      <c r="AA796" s="132">
        <f t="shared" si="1588"/>
        <v>-1000</v>
      </c>
      <c r="AB796" s="132">
        <f t="shared" si="1588"/>
        <v>-1000</v>
      </c>
      <c r="AC796" s="132">
        <f t="shared" si="1588"/>
        <v>-1000</v>
      </c>
      <c r="AD796" s="132">
        <f t="shared" si="4"/>
        <v>-10000</v>
      </c>
      <c r="AE796" s="132">
        <f t="shared" ref="AE796:AS796" si="1589">H796-1000</f>
        <v>-1000</v>
      </c>
      <c r="AF796" s="132">
        <f t="shared" si="1589"/>
        <v>-1000</v>
      </c>
      <c r="AG796" s="132">
        <f t="shared" si="1589"/>
        <v>-1000</v>
      </c>
      <c r="AH796" s="132">
        <f t="shared" si="1589"/>
        <v>-1000</v>
      </c>
      <c r="AI796" s="132">
        <f t="shared" si="1589"/>
        <v>-1000</v>
      </c>
      <c r="AJ796" s="132">
        <f t="shared" si="1589"/>
        <v>-1000</v>
      </c>
      <c r="AK796" s="132">
        <f t="shared" si="1589"/>
        <v>-975</v>
      </c>
      <c r="AL796" s="132">
        <f t="shared" si="1589"/>
        <v>-1000</v>
      </c>
      <c r="AM796" s="132">
        <f t="shared" si="1589"/>
        <v>-1000</v>
      </c>
      <c r="AN796" s="132">
        <f t="shared" si="1589"/>
        <v>-1000</v>
      </c>
      <c r="AO796" s="132">
        <f t="shared" si="1589"/>
        <v>-1000</v>
      </c>
      <c r="AP796" s="132">
        <f t="shared" si="1589"/>
        <v>-1000</v>
      </c>
      <c r="AQ796" s="132">
        <f t="shared" si="1589"/>
        <v>-1000</v>
      </c>
      <c r="AR796" s="132">
        <f t="shared" si="1589"/>
        <v>-1000</v>
      </c>
      <c r="AS796" s="132">
        <f t="shared" si="1589"/>
        <v>-1000</v>
      </c>
    </row>
    <row r="797">
      <c r="A797" s="132" t="s">
        <v>4299</v>
      </c>
      <c r="B797" s="132">
        <v>25.0</v>
      </c>
      <c r="C797" s="132">
        <v>0.0</v>
      </c>
      <c r="D797" s="132">
        <v>0.0</v>
      </c>
      <c r="E797" s="132">
        <v>0.0</v>
      </c>
      <c r="F797" s="132">
        <v>0.0</v>
      </c>
      <c r="G797" s="132">
        <v>0.0</v>
      </c>
      <c r="H797" s="132">
        <v>0.0</v>
      </c>
      <c r="I797" s="132">
        <v>0.0</v>
      </c>
      <c r="J797" s="132">
        <v>0.0</v>
      </c>
      <c r="K797" s="132">
        <v>0.0</v>
      </c>
      <c r="L797" s="132">
        <v>0.0</v>
      </c>
      <c r="M797" s="132">
        <v>0.0</v>
      </c>
      <c r="N797" s="132">
        <v>25.0</v>
      </c>
      <c r="O797" s="132">
        <v>0.0</v>
      </c>
      <c r="P797" s="132">
        <v>0.0</v>
      </c>
      <c r="Q797" s="132">
        <v>0.0</v>
      </c>
      <c r="R797" s="132">
        <v>0.0</v>
      </c>
      <c r="S797" s="132">
        <v>0.0</v>
      </c>
      <c r="T797" s="132">
        <v>0.0</v>
      </c>
      <c r="U797" s="132">
        <v>0.0</v>
      </c>
      <c r="V797" s="132">
        <v>0.0</v>
      </c>
      <c r="W797" s="132">
        <v>0.0</v>
      </c>
      <c r="Y797" s="132" t="s">
        <v>4299</v>
      </c>
      <c r="Z797" s="132">
        <f t="shared" ref="Z797:AC797" si="1590">C797-1000</f>
        <v>-1000</v>
      </c>
      <c r="AA797" s="132">
        <f t="shared" si="1590"/>
        <v>-1000</v>
      </c>
      <c r="AB797" s="132">
        <f t="shared" si="1590"/>
        <v>-1000</v>
      </c>
      <c r="AC797" s="132">
        <f t="shared" si="1590"/>
        <v>-1000</v>
      </c>
      <c r="AD797" s="132">
        <f t="shared" si="4"/>
        <v>-10000</v>
      </c>
      <c r="AE797" s="132">
        <f t="shared" ref="AE797:AS797" si="1591">H797-1000</f>
        <v>-1000</v>
      </c>
      <c r="AF797" s="132">
        <f t="shared" si="1591"/>
        <v>-1000</v>
      </c>
      <c r="AG797" s="132">
        <f t="shared" si="1591"/>
        <v>-1000</v>
      </c>
      <c r="AH797" s="132">
        <f t="shared" si="1591"/>
        <v>-1000</v>
      </c>
      <c r="AI797" s="132">
        <f t="shared" si="1591"/>
        <v>-1000</v>
      </c>
      <c r="AJ797" s="132">
        <f t="shared" si="1591"/>
        <v>-1000</v>
      </c>
      <c r="AK797" s="132">
        <f t="shared" si="1591"/>
        <v>-975</v>
      </c>
      <c r="AL797" s="132">
        <f t="shared" si="1591"/>
        <v>-1000</v>
      </c>
      <c r="AM797" s="132">
        <f t="shared" si="1591"/>
        <v>-1000</v>
      </c>
      <c r="AN797" s="132">
        <f t="shared" si="1591"/>
        <v>-1000</v>
      </c>
      <c r="AO797" s="132">
        <f t="shared" si="1591"/>
        <v>-1000</v>
      </c>
      <c r="AP797" s="132">
        <f t="shared" si="1591"/>
        <v>-1000</v>
      </c>
      <c r="AQ797" s="132">
        <f t="shared" si="1591"/>
        <v>-1000</v>
      </c>
      <c r="AR797" s="132">
        <f t="shared" si="1591"/>
        <v>-1000</v>
      </c>
      <c r="AS797" s="132">
        <f t="shared" si="1591"/>
        <v>-1000</v>
      </c>
    </row>
    <row r="798">
      <c r="A798" s="132" t="s">
        <v>4300</v>
      </c>
      <c r="B798" s="132">
        <v>100.0</v>
      </c>
      <c r="C798" s="132">
        <v>0.0</v>
      </c>
      <c r="D798" s="132">
        <v>0.0</v>
      </c>
      <c r="E798" s="132">
        <v>0.0</v>
      </c>
      <c r="F798" s="132">
        <v>0.0</v>
      </c>
      <c r="G798" s="132">
        <v>0.0</v>
      </c>
      <c r="H798" s="132">
        <v>0.0</v>
      </c>
      <c r="I798" s="132">
        <v>0.0</v>
      </c>
      <c r="J798" s="132">
        <v>0.0</v>
      </c>
      <c r="K798" s="132">
        <v>0.0</v>
      </c>
      <c r="L798" s="132">
        <v>0.0</v>
      </c>
      <c r="M798" s="132">
        <v>0.0</v>
      </c>
      <c r="N798" s="132">
        <v>100.0</v>
      </c>
      <c r="O798" s="132">
        <v>0.0</v>
      </c>
      <c r="P798" s="132">
        <v>0.0</v>
      </c>
      <c r="Q798" s="132">
        <v>0.0</v>
      </c>
      <c r="R798" s="132">
        <v>0.0</v>
      </c>
      <c r="S798" s="132">
        <v>0.0</v>
      </c>
      <c r="T798" s="132">
        <v>0.0</v>
      </c>
      <c r="U798" s="132">
        <v>0.0</v>
      </c>
      <c r="V798" s="132">
        <v>0.0</v>
      </c>
      <c r="W798" s="132">
        <v>0.0</v>
      </c>
      <c r="Y798" s="132" t="s">
        <v>4300</v>
      </c>
      <c r="Z798" s="132">
        <f t="shared" ref="Z798:AC798" si="1592">C798-1000</f>
        <v>-1000</v>
      </c>
      <c r="AA798" s="132">
        <f t="shared" si="1592"/>
        <v>-1000</v>
      </c>
      <c r="AB798" s="132">
        <f t="shared" si="1592"/>
        <v>-1000</v>
      </c>
      <c r="AC798" s="132">
        <f t="shared" si="1592"/>
        <v>-1000</v>
      </c>
      <c r="AD798" s="132">
        <f t="shared" si="4"/>
        <v>-10000</v>
      </c>
      <c r="AE798" s="132">
        <f t="shared" ref="AE798:AS798" si="1593">H798-1000</f>
        <v>-1000</v>
      </c>
      <c r="AF798" s="132">
        <f t="shared" si="1593"/>
        <v>-1000</v>
      </c>
      <c r="AG798" s="132">
        <f t="shared" si="1593"/>
        <v>-1000</v>
      </c>
      <c r="AH798" s="132">
        <f t="shared" si="1593"/>
        <v>-1000</v>
      </c>
      <c r="AI798" s="132">
        <f t="shared" si="1593"/>
        <v>-1000</v>
      </c>
      <c r="AJ798" s="132">
        <f t="shared" si="1593"/>
        <v>-1000</v>
      </c>
      <c r="AK798" s="132">
        <f t="shared" si="1593"/>
        <v>-900</v>
      </c>
      <c r="AL798" s="132">
        <f t="shared" si="1593"/>
        <v>-1000</v>
      </c>
      <c r="AM798" s="132">
        <f t="shared" si="1593"/>
        <v>-1000</v>
      </c>
      <c r="AN798" s="132">
        <f t="shared" si="1593"/>
        <v>-1000</v>
      </c>
      <c r="AO798" s="132">
        <f t="shared" si="1593"/>
        <v>-1000</v>
      </c>
      <c r="AP798" s="132">
        <f t="shared" si="1593"/>
        <v>-1000</v>
      </c>
      <c r="AQ798" s="132">
        <f t="shared" si="1593"/>
        <v>-1000</v>
      </c>
      <c r="AR798" s="132">
        <f t="shared" si="1593"/>
        <v>-1000</v>
      </c>
      <c r="AS798" s="132">
        <f t="shared" si="1593"/>
        <v>-1000</v>
      </c>
    </row>
    <row r="799">
      <c r="A799" s="132" t="s">
        <v>4301</v>
      </c>
      <c r="B799" s="132">
        <v>25.0</v>
      </c>
      <c r="C799" s="132">
        <v>0.0</v>
      </c>
      <c r="D799" s="132">
        <v>0.0</v>
      </c>
      <c r="E799" s="132">
        <v>0.0</v>
      </c>
      <c r="F799" s="132">
        <v>0.0</v>
      </c>
      <c r="G799" s="132">
        <v>0.0</v>
      </c>
      <c r="H799" s="132">
        <v>0.0</v>
      </c>
      <c r="I799" s="132">
        <v>0.0</v>
      </c>
      <c r="J799" s="132">
        <v>0.0</v>
      </c>
      <c r="K799" s="132">
        <v>0.0</v>
      </c>
      <c r="L799" s="132">
        <v>0.0</v>
      </c>
      <c r="M799" s="132">
        <v>0.0</v>
      </c>
      <c r="N799" s="132">
        <v>25.0</v>
      </c>
      <c r="O799" s="132">
        <v>0.0</v>
      </c>
      <c r="P799" s="132">
        <v>0.0</v>
      </c>
      <c r="Q799" s="132">
        <v>0.0</v>
      </c>
      <c r="R799" s="132">
        <v>0.0</v>
      </c>
      <c r="S799" s="132">
        <v>0.0</v>
      </c>
      <c r="T799" s="132">
        <v>0.0</v>
      </c>
      <c r="U799" s="132">
        <v>0.0</v>
      </c>
      <c r="V799" s="132">
        <v>0.0</v>
      </c>
      <c r="W799" s="132">
        <v>0.0</v>
      </c>
      <c r="Y799" s="132" t="s">
        <v>4301</v>
      </c>
      <c r="Z799" s="132">
        <f t="shared" ref="Z799:AC799" si="1594">C799-1000</f>
        <v>-1000</v>
      </c>
      <c r="AA799" s="132">
        <f t="shared" si="1594"/>
        <v>-1000</v>
      </c>
      <c r="AB799" s="132">
        <f t="shared" si="1594"/>
        <v>-1000</v>
      </c>
      <c r="AC799" s="132">
        <f t="shared" si="1594"/>
        <v>-1000</v>
      </c>
      <c r="AD799" s="132">
        <f t="shared" si="4"/>
        <v>-10000</v>
      </c>
      <c r="AE799" s="132">
        <f t="shared" ref="AE799:AS799" si="1595">H799-1000</f>
        <v>-1000</v>
      </c>
      <c r="AF799" s="132">
        <f t="shared" si="1595"/>
        <v>-1000</v>
      </c>
      <c r="AG799" s="132">
        <f t="shared" si="1595"/>
        <v>-1000</v>
      </c>
      <c r="AH799" s="132">
        <f t="shared" si="1595"/>
        <v>-1000</v>
      </c>
      <c r="AI799" s="132">
        <f t="shared" si="1595"/>
        <v>-1000</v>
      </c>
      <c r="AJ799" s="132">
        <f t="shared" si="1595"/>
        <v>-1000</v>
      </c>
      <c r="AK799" s="132">
        <f t="shared" si="1595"/>
        <v>-975</v>
      </c>
      <c r="AL799" s="132">
        <f t="shared" si="1595"/>
        <v>-1000</v>
      </c>
      <c r="AM799" s="132">
        <f t="shared" si="1595"/>
        <v>-1000</v>
      </c>
      <c r="AN799" s="132">
        <f t="shared" si="1595"/>
        <v>-1000</v>
      </c>
      <c r="AO799" s="132">
        <f t="shared" si="1595"/>
        <v>-1000</v>
      </c>
      <c r="AP799" s="132">
        <f t="shared" si="1595"/>
        <v>-1000</v>
      </c>
      <c r="AQ799" s="132">
        <f t="shared" si="1595"/>
        <v>-1000</v>
      </c>
      <c r="AR799" s="132">
        <f t="shared" si="1595"/>
        <v>-1000</v>
      </c>
      <c r="AS799" s="132">
        <f t="shared" si="1595"/>
        <v>-1000</v>
      </c>
    </row>
    <row r="800">
      <c r="A800" s="132" t="s">
        <v>4302</v>
      </c>
      <c r="B800" s="132">
        <v>50.0</v>
      </c>
      <c r="C800" s="132">
        <v>0.0</v>
      </c>
      <c r="D800" s="132">
        <v>0.0</v>
      </c>
      <c r="E800" s="132">
        <v>0.0</v>
      </c>
      <c r="F800" s="132">
        <v>50.0</v>
      </c>
      <c r="G800" s="132">
        <v>0.0</v>
      </c>
      <c r="H800" s="132">
        <v>0.0</v>
      </c>
      <c r="I800" s="132">
        <v>0.0</v>
      </c>
      <c r="J800" s="132">
        <v>0.0</v>
      </c>
      <c r="K800" s="132">
        <v>0.0</v>
      </c>
      <c r="L800" s="132">
        <v>0.0</v>
      </c>
      <c r="M800" s="132">
        <v>0.0</v>
      </c>
      <c r="N800" s="132">
        <v>0.0</v>
      </c>
      <c r="O800" s="132">
        <v>0.0</v>
      </c>
      <c r="P800" s="132">
        <v>0.0</v>
      </c>
      <c r="Q800" s="132">
        <v>0.0</v>
      </c>
      <c r="R800" s="132">
        <v>0.0</v>
      </c>
      <c r="S800" s="132">
        <v>0.0</v>
      </c>
      <c r="T800" s="132">
        <v>0.0</v>
      </c>
      <c r="U800" s="132">
        <v>0.0</v>
      </c>
      <c r="V800" s="132">
        <v>0.0</v>
      </c>
      <c r="W800" s="132">
        <v>0.0</v>
      </c>
      <c r="Y800" s="132" t="s">
        <v>4302</v>
      </c>
      <c r="Z800" s="132">
        <f t="shared" ref="Z800:AC800" si="1596">C800-1000</f>
        <v>-1000</v>
      </c>
      <c r="AA800" s="132">
        <f t="shared" si="1596"/>
        <v>-1000</v>
      </c>
      <c r="AB800" s="132">
        <f t="shared" si="1596"/>
        <v>-1000</v>
      </c>
      <c r="AC800" s="132">
        <f t="shared" si="1596"/>
        <v>-950</v>
      </c>
      <c r="AD800" s="132">
        <f t="shared" si="4"/>
        <v>-10000</v>
      </c>
      <c r="AE800" s="132">
        <f t="shared" ref="AE800:AS800" si="1597">H800-1000</f>
        <v>-1000</v>
      </c>
      <c r="AF800" s="132">
        <f t="shared" si="1597"/>
        <v>-1000</v>
      </c>
      <c r="AG800" s="132">
        <f t="shared" si="1597"/>
        <v>-1000</v>
      </c>
      <c r="AH800" s="132">
        <f t="shared" si="1597"/>
        <v>-1000</v>
      </c>
      <c r="AI800" s="132">
        <f t="shared" si="1597"/>
        <v>-1000</v>
      </c>
      <c r="AJ800" s="132">
        <f t="shared" si="1597"/>
        <v>-1000</v>
      </c>
      <c r="AK800" s="132">
        <f t="shared" si="1597"/>
        <v>-1000</v>
      </c>
      <c r="AL800" s="132">
        <f t="shared" si="1597"/>
        <v>-1000</v>
      </c>
      <c r="AM800" s="132">
        <f t="shared" si="1597"/>
        <v>-1000</v>
      </c>
      <c r="AN800" s="132">
        <f t="shared" si="1597"/>
        <v>-1000</v>
      </c>
      <c r="AO800" s="132">
        <f t="shared" si="1597"/>
        <v>-1000</v>
      </c>
      <c r="AP800" s="132">
        <f t="shared" si="1597"/>
        <v>-1000</v>
      </c>
      <c r="AQ800" s="132">
        <f t="shared" si="1597"/>
        <v>-1000</v>
      </c>
      <c r="AR800" s="132">
        <f t="shared" si="1597"/>
        <v>-1000</v>
      </c>
      <c r="AS800" s="132">
        <f t="shared" si="1597"/>
        <v>-1000</v>
      </c>
    </row>
    <row r="801">
      <c r="A801" s="132" t="s">
        <v>4303</v>
      </c>
      <c r="B801" s="132">
        <v>5000.0</v>
      </c>
      <c r="C801" s="132">
        <v>0.0</v>
      </c>
      <c r="D801" s="132">
        <v>0.0</v>
      </c>
      <c r="E801" s="132">
        <v>0.0</v>
      </c>
      <c r="F801" s="132">
        <v>5000.0</v>
      </c>
      <c r="G801" s="132">
        <v>0.0</v>
      </c>
      <c r="H801" s="132">
        <v>0.0</v>
      </c>
      <c r="I801" s="132">
        <v>0.0</v>
      </c>
      <c r="J801" s="132">
        <v>0.0</v>
      </c>
      <c r="K801" s="132">
        <v>0.0</v>
      </c>
      <c r="L801" s="132">
        <v>0.0</v>
      </c>
      <c r="M801" s="132">
        <v>0.0</v>
      </c>
      <c r="N801" s="132">
        <v>0.0</v>
      </c>
      <c r="O801" s="132">
        <v>0.0</v>
      </c>
      <c r="P801" s="132">
        <v>0.0</v>
      </c>
      <c r="Q801" s="132">
        <v>0.0</v>
      </c>
      <c r="R801" s="132">
        <v>0.0</v>
      </c>
      <c r="S801" s="132">
        <v>0.0</v>
      </c>
      <c r="T801" s="132">
        <v>0.0</v>
      </c>
      <c r="U801" s="132">
        <v>0.0</v>
      </c>
      <c r="V801" s="132">
        <v>0.0</v>
      </c>
      <c r="W801" s="132">
        <v>0.0</v>
      </c>
      <c r="Y801" s="132" t="s">
        <v>4303</v>
      </c>
      <c r="Z801" s="132">
        <f t="shared" ref="Z801:AC801" si="1598">C801-1000</f>
        <v>-1000</v>
      </c>
      <c r="AA801" s="132">
        <f t="shared" si="1598"/>
        <v>-1000</v>
      </c>
      <c r="AB801" s="132">
        <f t="shared" si="1598"/>
        <v>-1000</v>
      </c>
      <c r="AC801" s="132">
        <f t="shared" si="1598"/>
        <v>4000</v>
      </c>
      <c r="AD801" s="132">
        <f t="shared" si="4"/>
        <v>-10000</v>
      </c>
      <c r="AE801" s="132">
        <f t="shared" ref="AE801:AS801" si="1599">H801-1000</f>
        <v>-1000</v>
      </c>
      <c r="AF801" s="132">
        <f t="shared" si="1599"/>
        <v>-1000</v>
      </c>
      <c r="AG801" s="132">
        <f t="shared" si="1599"/>
        <v>-1000</v>
      </c>
      <c r="AH801" s="132">
        <f t="shared" si="1599"/>
        <v>-1000</v>
      </c>
      <c r="AI801" s="132">
        <f t="shared" si="1599"/>
        <v>-1000</v>
      </c>
      <c r="AJ801" s="132">
        <f t="shared" si="1599"/>
        <v>-1000</v>
      </c>
      <c r="AK801" s="132">
        <f t="shared" si="1599"/>
        <v>-1000</v>
      </c>
      <c r="AL801" s="132">
        <f t="shared" si="1599"/>
        <v>-1000</v>
      </c>
      <c r="AM801" s="132">
        <f t="shared" si="1599"/>
        <v>-1000</v>
      </c>
      <c r="AN801" s="132">
        <f t="shared" si="1599"/>
        <v>-1000</v>
      </c>
      <c r="AO801" s="132">
        <f t="shared" si="1599"/>
        <v>-1000</v>
      </c>
      <c r="AP801" s="132">
        <f t="shared" si="1599"/>
        <v>-1000</v>
      </c>
      <c r="AQ801" s="132">
        <f t="shared" si="1599"/>
        <v>-1000</v>
      </c>
      <c r="AR801" s="132">
        <f t="shared" si="1599"/>
        <v>-1000</v>
      </c>
      <c r="AS801" s="132">
        <f t="shared" si="1599"/>
        <v>-1000</v>
      </c>
    </row>
    <row r="802">
      <c r="A802" s="132" t="s">
        <v>4304</v>
      </c>
      <c r="B802" s="132">
        <v>500.0</v>
      </c>
      <c r="C802" s="132">
        <v>0.0</v>
      </c>
      <c r="D802" s="132">
        <v>0.0</v>
      </c>
      <c r="E802" s="132">
        <v>0.0</v>
      </c>
      <c r="F802" s="132">
        <v>0.0</v>
      </c>
      <c r="G802" s="132">
        <v>0.0</v>
      </c>
      <c r="H802" s="132">
        <v>0.0</v>
      </c>
      <c r="I802" s="132">
        <v>0.0</v>
      </c>
      <c r="J802" s="132">
        <v>0.0</v>
      </c>
      <c r="K802" s="132">
        <v>0.0</v>
      </c>
      <c r="L802" s="132">
        <v>0.0</v>
      </c>
      <c r="M802" s="132">
        <v>0.0</v>
      </c>
      <c r="N802" s="132">
        <v>0.0</v>
      </c>
      <c r="O802" s="132">
        <v>0.0</v>
      </c>
      <c r="P802" s="132">
        <v>0.0</v>
      </c>
      <c r="Q802" s="132">
        <v>0.0</v>
      </c>
      <c r="R802" s="132">
        <v>0.0</v>
      </c>
      <c r="S802" s="132">
        <v>500.0</v>
      </c>
      <c r="T802" s="132">
        <v>0.0</v>
      </c>
      <c r="U802" s="132">
        <v>0.0</v>
      </c>
      <c r="V802" s="132">
        <v>0.0</v>
      </c>
      <c r="W802" s="132">
        <v>0.0</v>
      </c>
      <c r="Y802" s="132" t="s">
        <v>4304</v>
      </c>
      <c r="Z802" s="132">
        <f t="shared" ref="Z802:AC802" si="1600">C802-1000</f>
        <v>-1000</v>
      </c>
      <c r="AA802" s="132">
        <f t="shared" si="1600"/>
        <v>-1000</v>
      </c>
      <c r="AB802" s="132">
        <f t="shared" si="1600"/>
        <v>-1000</v>
      </c>
      <c r="AC802" s="132">
        <f t="shared" si="1600"/>
        <v>-1000</v>
      </c>
      <c r="AD802" s="132">
        <f t="shared" si="4"/>
        <v>-10000</v>
      </c>
      <c r="AE802" s="132">
        <f t="shared" ref="AE802:AS802" si="1601">H802-1000</f>
        <v>-1000</v>
      </c>
      <c r="AF802" s="132">
        <f t="shared" si="1601"/>
        <v>-1000</v>
      </c>
      <c r="AG802" s="132">
        <f t="shared" si="1601"/>
        <v>-1000</v>
      </c>
      <c r="AH802" s="132">
        <f t="shared" si="1601"/>
        <v>-1000</v>
      </c>
      <c r="AI802" s="132">
        <f t="shared" si="1601"/>
        <v>-1000</v>
      </c>
      <c r="AJ802" s="132">
        <f t="shared" si="1601"/>
        <v>-1000</v>
      </c>
      <c r="AK802" s="132">
        <f t="shared" si="1601"/>
        <v>-1000</v>
      </c>
      <c r="AL802" s="132">
        <f t="shared" si="1601"/>
        <v>-1000</v>
      </c>
      <c r="AM802" s="132">
        <f t="shared" si="1601"/>
        <v>-1000</v>
      </c>
      <c r="AN802" s="132">
        <f t="shared" si="1601"/>
        <v>-1000</v>
      </c>
      <c r="AO802" s="132">
        <f t="shared" si="1601"/>
        <v>-1000</v>
      </c>
      <c r="AP802" s="132">
        <f t="shared" si="1601"/>
        <v>-500</v>
      </c>
      <c r="AQ802" s="132">
        <f t="shared" si="1601"/>
        <v>-1000</v>
      </c>
      <c r="AR802" s="132">
        <f t="shared" si="1601"/>
        <v>-1000</v>
      </c>
      <c r="AS802" s="132">
        <f t="shared" si="1601"/>
        <v>-1000</v>
      </c>
    </row>
    <row r="803">
      <c r="A803" s="132" t="s">
        <v>4305</v>
      </c>
      <c r="B803" s="132">
        <v>1100.0</v>
      </c>
      <c r="C803" s="132">
        <v>0.0</v>
      </c>
      <c r="D803" s="132">
        <v>0.0</v>
      </c>
      <c r="E803" s="132">
        <v>100.0</v>
      </c>
      <c r="F803" s="132">
        <v>0.0</v>
      </c>
      <c r="G803" s="132">
        <v>0.0</v>
      </c>
      <c r="H803" s="132">
        <v>0.0</v>
      </c>
      <c r="I803" s="132">
        <v>0.0</v>
      </c>
      <c r="J803" s="132">
        <v>0.0</v>
      </c>
      <c r="K803" s="132">
        <v>0.0</v>
      </c>
      <c r="L803" s="132">
        <v>0.0</v>
      </c>
      <c r="M803" s="132">
        <v>0.0</v>
      </c>
      <c r="N803" s="132">
        <v>0.0</v>
      </c>
      <c r="O803" s="132">
        <v>0.0</v>
      </c>
      <c r="P803" s="132">
        <v>0.0</v>
      </c>
      <c r="Q803" s="132">
        <v>0.0</v>
      </c>
      <c r="R803" s="132">
        <v>0.0</v>
      </c>
      <c r="S803" s="132">
        <v>1000.0</v>
      </c>
      <c r="T803" s="132">
        <v>0.0</v>
      </c>
      <c r="U803" s="132">
        <v>0.0</v>
      </c>
      <c r="V803" s="132">
        <v>0.0</v>
      </c>
      <c r="W803" s="132">
        <v>1.0</v>
      </c>
      <c r="Y803" s="132" t="s">
        <v>4305</v>
      </c>
      <c r="Z803" s="132">
        <f t="shared" ref="Z803:AC803" si="1602">C803-1000</f>
        <v>-1000</v>
      </c>
      <c r="AA803" s="132">
        <f t="shared" si="1602"/>
        <v>-1000</v>
      </c>
      <c r="AB803" s="132">
        <f t="shared" si="1602"/>
        <v>-900</v>
      </c>
      <c r="AC803" s="132">
        <f t="shared" si="1602"/>
        <v>-1000</v>
      </c>
      <c r="AD803" s="132">
        <f t="shared" si="4"/>
        <v>-10000</v>
      </c>
      <c r="AE803" s="132">
        <f t="shared" ref="AE803:AS803" si="1603">H803-1000</f>
        <v>-1000</v>
      </c>
      <c r="AF803" s="132">
        <f t="shared" si="1603"/>
        <v>-1000</v>
      </c>
      <c r="AG803" s="132">
        <f t="shared" si="1603"/>
        <v>-1000</v>
      </c>
      <c r="AH803" s="132">
        <f t="shared" si="1603"/>
        <v>-1000</v>
      </c>
      <c r="AI803" s="132">
        <f t="shared" si="1603"/>
        <v>-1000</v>
      </c>
      <c r="AJ803" s="132">
        <f t="shared" si="1603"/>
        <v>-1000</v>
      </c>
      <c r="AK803" s="132">
        <f t="shared" si="1603"/>
        <v>-1000</v>
      </c>
      <c r="AL803" s="132">
        <f t="shared" si="1603"/>
        <v>-1000</v>
      </c>
      <c r="AM803" s="132">
        <f t="shared" si="1603"/>
        <v>-1000</v>
      </c>
      <c r="AN803" s="132">
        <f t="shared" si="1603"/>
        <v>-1000</v>
      </c>
      <c r="AO803" s="132">
        <f t="shared" si="1603"/>
        <v>-1000</v>
      </c>
      <c r="AP803" s="132">
        <f t="shared" si="1603"/>
        <v>0</v>
      </c>
      <c r="AQ803" s="132">
        <f t="shared" si="1603"/>
        <v>-1000</v>
      </c>
      <c r="AR803" s="132">
        <f t="shared" si="1603"/>
        <v>-1000</v>
      </c>
      <c r="AS803" s="132">
        <f t="shared" si="1603"/>
        <v>-1000</v>
      </c>
    </row>
    <row r="804">
      <c r="A804" s="132" t="s">
        <v>4306</v>
      </c>
      <c r="B804" s="132">
        <v>1000.0</v>
      </c>
      <c r="C804" s="132">
        <v>0.0</v>
      </c>
      <c r="D804" s="132">
        <v>0.0</v>
      </c>
      <c r="E804" s="132">
        <v>0.0</v>
      </c>
      <c r="F804" s="132">
        <v>0.0</v>
      </c>
      <c r="G804" s="132">
        <v>0.0</v>
      </c>
      <c r="H804" s="132">
        <v>0.0</v>
      </c>
      <c r="I804" s="132">
        <v>0.0</v>
      </c>
      <c r="J804" s="132">
        <v>0.0</v>
      </c>
      <c r="K804" s="132">
        <v>0.0</v>
      </c>
      <c r="L804" s="132">
        <v>0.0</v>
      </c>
      <c r="M804" s="132">
        <v>0.0</v>
      </c>
      <c r="N804" s="132">
        <v>0.0</v>
      </c>
      <c r="O804" s="132">
        <v>0.0</v>
      </c>
      <c r="P804" s="132">
        <v>0.0</v>
      </c>
      <c r="Q804" s="132">
        <v>0.0</v>
      </c>
      <c r="R804" s="132">
        <v>0.0</v>
      </c>
      <c r="S804" s="132">
        <v>1000.0</v>
      </c>
      <c r="T804" s="132">
        <v>0.0</v>
      </c>
      <c r="U804" s="132">
        <v>0.0</v>
      </c>
      <c r="V804" s="132">
        <v>0.0</v>
      </c>
      <c r="W804" s="132">
        <v>0.0</v>
      </c>
      <c r="Y804" s="132" t="s">
        <v>4306</v>
      </c>
      <c r="Z804" s="132">
        <f t="shared" ref="Z804:AC804" si="1604">C804-1000</f>
        <v>-1000</v>
      </c>
      <c r="AA804" s="132">
        <f t="shared" si="1604"/>
        <v>-1000</v>
      </c>
      <c r="AB804" s="132">
        <f t="shared" si="1604"/>
        <v>-1000</v>
      </c>
      <c r="AC804" s="132">
        <f t="shared" si="1604"/>
        <v>-1000</v>
      </c>
      <c r="AD804" s="132">
        <f t="shared" si="4"/>
        <v>-10000</v>
      </c>
      <c r="AE804" s="132">
        <f t="shared" ref="AE804:AS804" si="1605">H804-1000</f>
        <v>-1000</v>
      </c>
      <c r="AF804" s="132">
        <f t="shared" si="1605"/>
        <v>-1000</v>
      </c>
      <c r="AG804" s="132">
        <f t="shared" si="1605"/>
        <v>-1000</v>
      </c>
      <c r="AH804" s="132">
        <f t="shared" si="1605"/>
        <v>-1000</v>
      </c>
      <c r="AI804" s="132">
        <f t="shared" si="1605"/>
        <v>-1000</v>
      </c>
      <c r="AJ804" s="132">
        <f t="shared" si="1605"/>
        <v>-1000</v>
      </c>
      <c r="AK804" s="132">
        <f t="shared" si="1605"/>
        <v>-1000</v>
      </c>
      <c r="AL804" s="132">
        <f t="shared" si="1605"/>
        <v>-1000</v>
      </c>
      <c r="AM804" s="132">
        <f t="shared" si="1605"/>
        <v>-1000</v>
      </c>
      <c r="AN804" s="132">
        <f t="shared" si="1605"/>
        <v>-1000</v>
      </c>
      <c r="AO804" s="132">
        <f t="shared" si="1605"/>
        <v>-1000</v>
      </c>
      <c r="AP804" s="132">
        <f t="shared" si="1605"/>
        <v>0</v>
      </c>
      <c r="AQ804" s="132">
        <f t="shared" si="1605"/>
        <v>-1000</v>
      </c>
      <c r="AR804" s="132">
        <f t="shared" si="1605"/>
        <v>-1000</v>
      </c>
      <c r="AS804" s="132">
        <f t="shared" si="1605"/>
        <v>-1000</v>
      </c>
    </row>
    <row r="805">
      <c r="A805" s="132" t="s">
        <v>4307</v>
      </c>
      <c r="B805" s="132">
        <v>1000.0</v>
      </c>
      <c r="C805" s="132">
        <v>0.0</v>
      </c>
      <c r="D805" s="132">
        <v>0.0</v>
      </c>
      <c r="E805" s="132">
        <v>0.0</v>
      </c>
      <c r="F805" s="132">
        <v>0.0</v>
      </c>
      <c r="G805" s="132">
        <v>0.0</v>
      </c>
      <c r="H805" s="132">
        <v>0.0</v>
      </c>
      <c r="I805" s="132">
        <v>0.0</v>
      </c>
      <c r="J805" s="132">
        <v>0.0</v>
      </c>
      <c r="K805" s="132">
        <v>0.0</v>
      </c>
      <c r="L805" s="132">
        <v>0.0</v>
      </c>
      <c r="M805" s="132">
        <v>0.0</v>
      </c>
      <c r="N805" s="132">
        <v>0.0</v>
      </c>
      <c r="O805" s="132">
        <v>0.0</v>
      </c>
      <c r="P805" s="132">
        <v>1000.0</v>
      </c>
      <c r="Q805" s="132">
        <v>0.0</v>
      </c>
      <c r="R805" s="132">
        <v>0.0</v>
      </c>
      <c r="S805" s="132">
        <v>0.0</v>
      </c>
      <c r="T805" s="132">
        <v>0.0</v>
      </c>
      <c r="U805" s="132">
        <v>0.0</v>
      </c>
      <c r="V805" s="132">
        <v>0.0</v>
      </c>
      <c r="W805" s="132">
        <v>0.0</v>
      </c>
      <c r="Y805" s="132" t="s">
        <v>4307</v>
      </c>
      <c r="Z805" s="132">
        <f t="shared" ref="Z805:AC805" si="1606">C805-1000</f>
        <v>-1000</v>
      </c>
      <c r="AA805" s="132">
        <f t="shared" si="1606"/>
        <v>-1000</v>
      </c>
      <c r="AB805" s="132">
        <f t="shared" si="1606"/>
        <v>-1000</v>
      </c>
      <c r="AC805" s="132">
        <f t="shared" si="1606"/>
        <v>-1000</v>
      </c>
      <c r="AD805" s="132">
        <f t="shared" si="4"/>
        <v>-10000</v>
      </c>
      <c r="AE805" s="132">
        <f t="shared" ref="AE805:AS805" si="1607">H805-1000</f>
        <v>-1000</v>
      </c>
      <c r="AF805" s="132">
        <f t="shared" si="1607"/>
        <v>-1000</v>
      </c>
      <c r="AG805" s="132">
        <f t="shared" si="1607"/>
        <v>-1000</v>
      </c>
      <c r="AH805" s="132">
        <f t="shared" si="1607"/>
        <v>-1000</v>
      </c>
      <c r="AI805" s="132">
        <f t="shared" si="1607"/>
        <v>-1000</v>
      </c>
      <c r="AJ805" s="132">
        <f t="shared" si="1607"/>
        <v>-1000</v>
      </c>
      <c r="AK805" s="132">
        <f t="shared" si="1607"/>
        <v>-1000</v>
      </c>
      <c r="AL805" s="132">
        <f t="shared" si="1607"/>
        <v>-1000</v>
      </c>
      <c r="AM805" s="132">
        <f t="shared" si="1607"/>
        <v>0</v>
      </c>
      <c r="AN805" s="132">
        <f t="shared" si="1607"/>
        <v>-1000</v>
      </c>
      <c r="AO805" s="132">
        <f t="shared" si="1607"/>
        <v>-1000</v>
      </c>
      <c r="AP805" s="132">
        <f t="shared" si="1607"/>
        <v>-1000</v>
      </c>
      <c r="AQ805" s="132">
        <f t="shared" si="1607"/>
        <v>-1000</v>
      </c>
      <c r="AR805" s="132">
        <f t="shared" si="1607"/>
        <v>-1000</v>
      </c>
      <c r="AS805" s="132">
        <f t="shared" si="1607"/>
        <v>-1000</v>
      </c>
    </row>
    <row r="806">
      <c r="A806" s="132" t="s">
        <v>4308</v>
      </c>
      <c r="B806" s="132">
        <v>206.46</v>
      </c>
      <c r="C806" s="132">
        <v>0.0</v>
      </c>
      <c r="D806" s="132">
        <v>0.0</v>
      </c>
      <c r="E806" s="132">
        <v>0.0</v>
      </c>
      <c r="F806" s="132">
        <v>0.0</v>
      </c>
      <c r="G806" s="132">
        <v>0.0</v>
      </c>
      <c r="H806" s="132">
        <v>0.0</v>
      </c>
      <c r="I806" s="132">
        <v>0.0</v>
      </c>
      <c r="J806" s="132">
        <v>0.0</v>
      </c>
      <c r="K806" s="132">
        <v>0.0</v>
      </c>
      <c r="L806" s="132">
        <v>0.0</v>
      </c>
      <c r="M806" s="132">
        <v>0.0</v>
      </c>
      <c r="N806" s="132">
        <v>0.0</v>
      </c>
      <c r="O806" s="132">
        <v>0.0</v>
      </c>
      <c r="P806" s="132">
        <v>206.46</v>
      </c>
      <c r="Q806" s="132">
        <v>0.0</v>
      </c>
      <c r="R806" s="132">
        <v>0.0</v>
      </c>
      <c r="S806" s="132">
        <v>0.0</v>
      </c>
      <c r="T806" s="132">
        <v>0.0</v>
      </c>
      <c r="U806" s="132">
        <v>0.0</v>
      </c>
      <c r="V806" s="132">
        <v>0.0</v>
      </c>
      <c r="W806" s="132">
        <v>0.0</v>
      </c>
      <c r="Y806" s="132" t="s">
        <v>4308</v>
      </c>
      <c r="Z806" s="132">
        <f t="shared" ref="Z806:AC806" si="1608">C806-1000</f>
        <v>-1000</v>
      </c>
      <c r="AA806" s="132">
        <f t="shared" si="1608"/>
        <v>-1000</v>
      </c>
      <c r="AB806" s="132">
        <f t="shared" si="1608"/>
        <v>-1000</v>
      </c>
      <c r="AC806" s="132">
        <f t="shared" si="1608"/>
        <v>-1000</v>
      </c>
      <c r="AD806" s="132">
        <f t="shared" si="4"/>
        <v>-10000</v>
      </c>
      <c r="AE806" s="132">
        <f t="shared" ref="AE806:AS806" si="1609">H806-1000</f>
        <v>-1000</v>
      </c>
      <c r="AF806" s="132">
        <f t="shared" si="1609"/>
        <v>-1000</v>
      </c>
      <c r="AG806" s="132">
        <f t="shared" si="1609"/>
        <v>-1000</v>
      </c>
      <c r="AH806" s="132">
        <f t="shared" si="1609"/>
        <v>-1000</v>
      </c>
      <c r="AI806" s="132">
        <f t="shared" si="1609"/>
        <v>-1000</v>
      </c>
      <c r="AJ806" s="132">
        <f t="shared" si="1609"/>
        <v>-1000</v>
      </c>
      <c r="AK806" s="132">
        <f t="shared" si="1609"/>
        <v>-1000</v>
      </c>
      <c r="AL806" s="132">
        <f t="shared" si="1609"/>
        <v>-1000</v>
      </c>
      <c r="AM806" s="132">
        <f t="shared" si="1609"/>
        <v>-793.54</v>
      </c>
      <c r="AN806" s="132">
        <f t="shared" si="1609"/>
        <v>-1000</v>
      </c>
      <c r="AO806" s="132">
        <f t="shared" si="1609"/>
        <v>-1000</v>
      </c>
      <c r="AP806" s="132">
        <f t="shared" si="1609"/>
        <v>-1000</v>
      </c>
      <c r="AQ806" s="132">
        <f t="shared" si="1609"/>
        <v>-1000</v>
      </c>
      <c r="AR806" s="132">
        <f t="shared" si="1609"/>
        <v>-1000</v>
      </c>
      <c r="AS806" s="132">
        <f t="shared" si="1609"/>
        <v>-1000</v>
      </c>
    </row>
    <row r="807">
      <c r="A807" s="132" t="s">
        <v>4309</v>
      </c>
      <c r="B807" s="132">
        <v>1000.0</v>
      </c>
      <c r="C807" s="132">
        <v>0.0</v>
      </c>
      <c r="D807" s="132">
        <v>0.0</v>
      </c>
      <c r="E807" s="132">
        <v>0.0</v>
      </c>
      <c r="F807" s="132">
        <v>0.0</v>
      </c>
      <c r="G807" s="132">
        <v>0.0</v>
      </c>
      <c r="H807" s="132">
        <v>0.0</v>
      </c>
      <c r="I807" s="132">
        <v>0.0</v>
      </c>
      <c r="J807" s="132">
        <v>0.0</v>
      </c>
      <c r="K807" s="132">
        <v>0.0</v>
      </c>
      <c r="L807" s="132">
        <v>0.0</v>
      </c>
      <c r="M807" s="132">
        <v>0.0</v>
      </c>
      <c r="N807" s="132">
        <v>0.0</v>
      </c>
      <c r="O807" s="132">
        <v>0.0</v>
      </c>
      <c r="P807" s="132">
        <v>1000.0</v>
      </c>
      <c r="Q807" s="132">
        <v>0.0</v>
      </c>
      <c r="R807" s="132">
        <v>0.0</v>
      </c>
      <c r="S807" s="132">
        <v>0.0</v>
      </c>
      <c r="T807" s="132">
        <v>0.0</v>
      </c>
      <c r="U807" s="132">
        <v>0.0</v>
      </c>
      <c r="V807" s="132">
        <v>0.0</v>
      </c>
      <c r="W807" s="132">
        <v>0.0</v>
      </c>
      <c r="Y807" s="132" t="s">
        <v>4309</v>
      </c>
      <c r="Z807" s="132">
        <f t="shared" ref="Z807:AC807" si="1610">C807-1000</f>
        <v>-1000</v>
      </c>
      <c r="AA807" s="132">
        <f t="shared" si="1610"/>
        <v>-1000</v>
      </c>
      <c r="AB807" s="132">
        <f t="shared" si="1610"/>
        <v>-1000</v>
      </c>
      <c r="AC807" s="132">
        <f t="shared" si="1610"/>
        <v>-1000</v>
      </c>
      <c r="AD807" s="132">
        <f t="shared" si="4"/>
        <v>-10000</v>
      </c>
      <c r="AE807" s="132">
        <f t="shared" ref="AE807:AS807" si="1611">H807-1000</f>
        <v>-1000</v>
      </c>
      <c r="AF807" s="132">
        <f t="shared" si="1611"/>
        <v>-1000</v>
      </c>
      <c r="AG807" s="132">
        <f t="shared" si="1611"/>
        <v>-1000</v>
      </c>
      <c r="AH807" s="132">
        <f t="shared" si="1611"/>
        <v>-1000</v>
      </c>
      <c r="AI807" s="132">
        <f t="shared" si="1611"/>
        <v>-1000</v>
      </c>
      <c r="AJ807" s="132">
        <f t="shared" si="1611"/>
        <v>-1000</v>
      </c>
      <c r="AK807" s="132">
        <f t="shared" si="1611"/>
        <v>-1000</v>
      </c>
      <c r="AL807" s="132">
        <f t="shared" si="1611"/>
        <v>-1000</v>
      </c>
      <c r="AM807" s="132">
        <f t="shared" si="1611"/>
        <v>0</v>
      </c>
      <c r="AN807" s="132">
        <f t="shared" si="1611"/>
        <v>-1000</v>
      </c>
      <c r="AO807" s="132">
        <f t="shared" si="1611"/>
        <v>-1000</v>
      </c>
      <c r="AP807" s="132">
        <f t="shared" si="1611"/>
        <v>-1000</v>
      </c>
      <c r="AQ807" s="132">
        <f t="shared" si="1611"/>
        <v>-1000</v>
      </c>
      <c r="AR807" s="132">
        <f t="shared" si="1611"/>
        <v>-1000</v>
      </c>
      <c r="AS807" s="132">
        <f t="shared" si="1611"/>
        <v>-1000</v>
      </c>
    </row>
    <row r="808">
      <c r="A808" s="132" t="s">
        <v>4310</v>
      </c>
      <c r="B808" s="132">
        <v>1000.0</v>
      </c>
      <c r="C808" s="132">
        <v>0.0</v>
      </c>
      <c r="D808" s="132">
        <v>0.0</v>
      </c>
      <c r="E808" s="132">
        <v>0.0</v>
      </c>
      <c r="F808" s="132">
        <v>0.0</v>
      </c>
      <c r="G808" s="132">
        <v>0.0</v>
      </c>
      <c r="H808" s="132">
        <v>0.0</v>
      </c>
      <c r="I808" s="132">
        <v>0.0</v>
      </c>
      <c r="J808" s="132">
        <v>0.0</v>
      </c>
      <c r="K808" s="132">
        <v>0.0</v>
      </c>
      <c r="L808" s="132">
        <v>0.0</v>
      </c>
      <c r="M808" s="132">
        <v>0.0</v>
      </c>
      <c r="N808" s="132">
        <v>0.0</v>
      </c>
      <c r="O808" s="132">
        <v>0.0</v>
      </c>
      <c r="P808" s="132">
        <v>1000.0</v>
      </c>
      <c r="Q808" s="132">
        <v>0.0</v>
      </c>
      <c r="R808" s="132">
        <v>0.0</v>
      </c>
      <c r="S808" s="132">
        <v>0.0</v>
      </c>
      <c r="T808" s="132">
        <v>0.0</v>
      </c>
      <c r="U808" s="132">
        <v>0.0</v>
      </c>
      <c r="V808" s="132">
        <v>0.0</v>
      </c>
      <c r="W808" s="132">
        <v>0.0</v>
      </c>
      <c r="Y808" s="132" t="s">
        <v>4310</v>
      </c>
      <c r="Z808" s="132">
        <f t="shared" ref="Z808:AC808" si="1612">C808-1000</f>
        <v>-1000</v>
      </c>
      <c r="AA808" s="132">
        <f t="shared" si="1612"/>
        <v>-1000</v>
      </c>
      <c r="AB808" s="132">
        <f t="shared" si="1612"/>
        <v>-1000</v>
      </c>
      <c r="AC808" s="132">
        <f t="shared" si="1612"/>
        <v>-1000</v>
      </c>
      <c r="AD808" s="132">
        <f t="shared" si="4"/>
        <v>-10000</v>
      </c>
      <c r="AE808" s="132">
        <f t="shared" ref="AE808:AS808" si="1613">H808-1000</f>
        <v>-1000</v>
      </c>
      <c r="AF808" s="132">
        <f t="shared" si="1613"/>
        <v>-1000</v>
      </c>
      <c r="AG808" s="132">
        <f t="shared" si="1613"/>
        <v>-1000</v>
      </c>
      <c r="AH808" s="132">
        <f t="shared" si="1613"/>
        <v>-1000</v>
      </c>
      <c r="AI808" s="132">
        <f t="shared" si="1613"/>
        <v>-1000</v>
      </c>
      <c r="AJ808" s="132">
        <f t="shared" si="1613"/>
        <v>-1000</v>
      </c>
      <c r="AK808" s="132">
        <f t="shared" si="1613"/>
        <v>-1000</v>
      </c>
      <c r="AL808" s="132">
        <f t="shared" si="1613"/>
        <v>-1000</v>
      </c>
      <c r="AM808" s="132">
        <f t="shared" si="1613"/>
        <v>0</v>
      </c>
      <c r="AN808" s="132">
        <f t="shared" si="1613"/>
        <v>-1000</v>
      </c>
      <c r="AO808" s="132">
        <f t="shared" si="1613"/>
        <v>-1000</v>
      </c>
      <c r="AP808" s="132">
        <f t="shared" si="1613"/>
        <v>-1000</v>
      </c>
      <c r="AQ808" s="132">
        <f t="shared" si="1613"/>
        <v>-1000</v>
      </c>
      <c r="AR808" s="132">
        <f t="shared" si="1613"/>
        <v>-1000</v>
      </c>
      <c r="AS808" s="132">
        <f t="shared" si="1613"/>
        <v>-1000</v>
      </c>
    </row>
    <row r="809">
      <c r="A809" s="132" t="s">
        <v>4311</v>
      </c>
      <c r="B809" s="132">
        <v>250.0</v>
      </c>
      <c r="C809" s="132">
        <v>0.0</v>
      </c>
      <c r="D809" s="132">
        <v>0.0</v>
      </c>
      <c r="E809" s="132">
        <v>0.0</v>
      </c>
      <c r="F809" s="132">
        <v>0.0</v>
      </c>
      <c r="G809" s="132">
        <v>0.0</v>
      </c>
      <c r="H809" s="132">
        <v>0.0</v>
      </c>
      <c r="I809" s="132">
        <v>0.0</v>
      </c>
      <c r="J809" s="132">
        <v>0.0</v>
      </c>
      <c r="K809" s="132">
        <v>0.0</v>
      </c>
      <c r="L809" s="132">
        <v>0.0</v>
      </c>
      <c r="M809" s="132">
        <v>0.0</v>
      </c>
      <c r="N809" s="132">
        <v>0.0</v>
      </c>
      <c r="O809" s="132">
        <v>0.0</v>
      </c>
      <c r="P809" s="132">
        <v>250.0</v>
      </c>
      <c r="Q809" s="132">
        <v>0.0</v>
      </c>
      <c r="R809" s="132">
        <v>0.0</v>
      </c>
      <c r="S809" s="132">
        <v>0.0</v>
      </c>
      <c r="T809" s="132">
        <v>0.0</v>
      </c>
      <c r="U809" s="132">
        <v>0.0</v>
      </c>
      <c r="V809" s="132">
        <v>0.0</v>
      </c>
      <c r="W809" s="132">
        <v>0.0</v>
      </c>
      <c r="Y809" s="132" t="s">
        <v>4311</v>
      </c>
      <c r="Z809" s="132">
        <f t="shared" ref="Z809:AC809" si="1614">C809-1000</f>
        <v>-1000</v>
      </c>
      <c r="AA809" s="132">
        <f t="shared" si="1614"/>
        <v>-1000</v>
      </c>
      <c r="AB809" s="132">
        <f t="shared" si="1614"/>
        <v>-1000</v>
      </c>
      <c r="AC809" s="132">
        <f t="shared" si="1614"/>
        <v>-1000</v>
      </c>
      <c r="AD809" s="132">
        <f t="shared" si="4"/>
        <v>-10000</v>
      </c>
      <c r="AE809" s="132">
        <f t="shared" ref="AE809:AS809" si="1615">H809-1000</f>
        <v>-1000</v>
      </c>
      <c r="AF809" s="132">
        <f t="shared" si="1615"/>
        <v>-1000</v>
      </c>
      <c r="AG809" s="132">
        <f t="shared" si="1615"/>
        <v>-1000</v>
      </c>
      <c r="AH809" s="132">
        <f t="shared" si="1615"/>
        <v>-1000</v>
      </c>
      <c r="AI809" s="132">
        <f t="shared" si="1615"/>
        <v>-1000</v>
      </c>
      <c r="AJ809" s="132">
        <f t="shared" si="1615"/>
        <v>-1000</v>
      </c>
      <c r="AK809" s="132">
        <f t="shared" si="1615"/>
        <v>-1000</v>
      </c>
      <c r="AL809" s="132">
        <f t="shared" si="1615"/>
        <v>-1000</v>
      </c>
      <c r="AM809" s="132">
        <f t="shared" si="1615"/>
        <v>-750</v>
      </c>
      <c r="AN809" s="132">
        <f t="shared" si="1615"/>
        <v>-1000</v>
      </c>
      <c r="AO809" s="132">
        <f t="shared" si="1615"/>
        <v>-1000</v>
      </c>
      <c r="AP809" s="132">
        <f t="shared" si="1615"/>
        <v>-1000</v>
      </c>
      <c r="AQ809" s="132">
        <f t="shared" si="1615"/>
        <v>-1000</v>
      </c>
      <c r="AR809" s="132">
        <f t="shared" si="1615"/>
        <v>-1000</v>
      </c>
      <c r="AS809" s="132">
        <f t="shared" si="1615"/>
        <v>-1000</v>
      </c>
    </row>
    <row r="810">
      <c r="A810" s="132" t="s">
        <v>4312</v>
      </c>
      <c r="B810" s="132">
        <v>150.0</v>
      </c>
      <c r="C810" s="132">
        <v>0.0</v>
      </c>
      <c r="D810" s="132">
        <v>0.0</v>
      </c>
      <c r="E810" s="132">
        <v>0.0</v>
      </c>
      <c r="F810" s="132">
        <v>0.0</v>
      </c>
      <c r="G810" s="132">
        <v>0.0</v>
      </c>
      <c r="H810" s="132">
        <v>0.0</v>
      </c>
      <c r="I810" s="132">
        <v>0.0</v>
      </c>
      <c r="J810" s="132">
        <v>0.0</v>
      </c>
      <c r="K810" s="132">
        <v>0.0</v>
      </c>
      <c r="L810" s="132">
        <v>0.0</v>
      </c>
      <c r="M810" s="132">
        <v>0.0</v>
      </c>
      <c r="N810" s="132">
        <v>0.0</v>
      </c>
      <c r="O810" s="132">
        <v>0.0</v>
      </c>
      <c r="P810" s="132">
        <v>150.0</v>
      </c>
      <c r="Q810" s="132">
        <v>0.0</v>
      </c>
      <c r="R810" s="132">
        <v>0.0</v>
      </c>
      <c r="S810" s="132">
        <v>0.0</v>
      </c>
      <c r="T810" s="132">
        <v>0.0</v>
      </c>
      <c r="U810" s="132">
        <v>0.0</v>
      </c>
      <c r="V810" s="132">
        <v>0.0</v>
      </c>
      <c r="W810" s="132">
        <v>0.0</v>
      </c>
      <c r="Y810" s="132" t="s">
        <v>4312</v>
      </c>
      <c r="Z810" s="132">
        <f t="shared" ref="Z810:AC810" si="1616">C810-1000</f>
        <v>-1000</v>
      </c>
      <c r="AA810" s="132">
        <f t="shared" si="1616"/>
        <v>-1000</v>
      </c>
      <c r="AB810" s="132">
        <f t="shared" si="1616"/>
        <v>-1000</v>
      </c>
      <c r="AC810" s="132">
        <f t="shared" si="1616"/>
        <v>-1000</v>
      </c>
      <c r="AD810" s="132">
        <f t="shared" si="4"/>
        <v>-10000</v>
      </c>
      <c r="AE810" s="132">
        <f t="shared" ref="AE810:AS810" si="1617">H810-1000</f>
        <v>-1000</v>
      </c>
      <c r="AF810" s="132">
        <f t="shared" si="1617"/>
        <v>-1000</v>
      </c>
      <c r="AG810" s="132">
        <f t="shared" si="1617"/>
        <v>-1000</v>
      </c>
      <c r="AH810" s="132">
        <f t="shared" si="1617"/>
        <v>-1000</v>
      </c>
      <c r="AI810" s="132">
        <f t="shared" si="1617"/>
        <v>-1000</v>
      </c>
      <c r="AJ810" s="132">
        <f t="shared" si="1617"/>
        <v>-1000</v>
      </c>
      <c r="AK810" s="132">
        <f t="shared" si="1617"/>
        <v>-1000</v>
      </c>
      <c r="AL810" s="132">
        <f t="shared" si="1617"/>
        <v>-1000</v>
      </c>
      <c r="AM810" s="132">
        <f t="shared" si="1617"/>
        <v>-850</v>
      </c>
      <c r="AN810" s="132">
        <f t="shared" si="1617"/>
        <v>-1000</v>
      </c>
      <c r="AO810" s="132">
        <f t="shared" si="1617"/>
        <v>-1000</v>
      </c>
      <c r="AP810" s="132">
        <f t="shared" si="1617"/>
        <v>-1000</v>
      </c>
      <c r="AQ810" s="132">
        <f t="shared" si="1617"/>
        <v>-1000</v>
      </c>
      <c r="AR810" s="132">
        <f t="shared" si="1617"/>
        <v>-1000</v>
      </c>
      <c r="AS810" s="132">
        <f t="shared" si="1617"/>
        <v>-1000</v>
      </c>
    </row>
    <row r="811">
      <c r="A811" s="132" t="s">
        <v>4313</v>
      </c>
      <c r="B811" s="132">
        <v>500.0</v>
      </c>
      <c r="C811" s="132">
        <v>0.0</v>
      </c>
      <c r="D811" s="132">
        <v>0.0</v>
      </c>
      <c r="E811" s="132">
        <v>0.0</v>
      </c>
      <c r="F811" s="132">
        <v>0.0</v>
      </c>
      <c r="G811" s="132">
        <v>0.0</v>
      </c>
      <c r="H811" s="132">
        <v>0.0</v>
      </c>
      <c r="I811" s="132">
        <v>0.0</v>
      </c>
      <c r="J811" s="132">
        <v>0.0</v>
      </c>
      <c r="K811" s="132">
        <v>0.0</v>
      </c>
      <c r="L811" s="132">
        <v>0.0</v>
      </c>
      <c r="M811" s="132">
        <v>0.0</v>
      </c>
      <c r="N811" s="132">
        <v>0.0</v>
      </c>
      <c r="O811" s="132">
        <v>0.0</v>
      </c>
      <c r="P811" s="132">
        <v>500.0</v>
      </c>
      <c r="Q811" s="132">
        <v>0.0</v>
      </c>
      <c r="R811" s="132">
        <v>0.0</v>
      </c>
      <c r="S811" s="132">
        <v>0.0</v>
      </c>
      <c r="T811" s="132">
        <v>0.0</v>
      </c>
      <c r="U811" s="132">
        <v>0.0</v>
      </c>
      <c r="V811" s="132">
        <v>0.0</v>
      </c>
      <c r="W811" s="132">
        <v>0.0</v>
      </c>
      <c r="Y811" s="132" t="s">
        <v>4313</v>
      </c>
      <c r="Z811" s="132">
        <f t="shared" ref="Z811:AC811" si="1618">C811-1000</f>
        <v>-1000</v>
      </c>
      <c r="AA811" s="132">
        <f t="shared" si="1618"/>
        <v>-1000</v>
      </c>
      <c r="AB811" s="132">
        <f t="shared" si="1618"/>
        <v>-1000</v>
      </c>
      <c r="AC811" s="132">
        <f t="shared" si="1618"/>
        <v>-1000</v>
      </c>
      <c r="AD811" s="132">
        <f t="shared" si="4"/>
        <v>-10000</v>
      </c>
      <c r="AE811" s="132">
        <f t="shared" ref="AE811:AS811" si="1619">H811-1000</f>
        <v>-1000</v>
      </c>
      <c r="AF811" s="132">
        <f t="shared" si="1619"/>
        <v>-1000</v>
      </c>
      <c r="AG811" s="132">
        <f t="shared" si="1619"/>
        <v>-1000</v>
      </c>
      <c r="AH811" s="132">
        <f t="shared" si="1619"/>
        <v>-1000</v>
      </c>
      <c r="AI811" s="132">
        <f t="shared" si="1619"/>
        <v>-1000</v>
      </c>
      <c r="AJ811" s="132">
        <f t="shared" si="1619"/>
        <v>-1000</v>
      </c>
      <c r="AK811" s="132">
        <f t="shared" si="1619"/>
        <v>-1000</v>
      </c>
      <c r="AL811" s="132">
        <f t="shared" si="1619"/>
        <v>-1000</v>
      </c>
      <c r="AM811" s="132">
        <f t="shared" si="1619"/>
        <v>-500</v>
      </c>
      <c r="AN811" s="132">
        <f t="shared" si="1619"/>
        <v>-1000</v>
      </c>
      <c r="AO811" s="132">
        <f t="shared" si="1619"/>
        <v>-1000</v>
      </c>
      <c r="AP811" s="132">
        <f t="shared" si="1619"/>
        <v>-1000</v>
      </c>
      <c r="AQ811" s="132">
        <f t="shared" si="1619"/>
        <v>-1000</v>
      </c>
      <c r="AR811" s="132">
        <f t="shared" si="1619"/>
        <v>-1000</v>
      </c>
      <c r="AS811" s="132">
        <f t="shared" si="1619"/>
        <v>-1000</v>
      </c>
    </row>
    <row r="812">
      <c r="A812" s="132" t="s">
        <v>4314</v>
      </c>
      <c r="B812" s="132">
        <v>1000.0</v>
      </c>
      <c r="C812" s="132">
        <v>0.0</v>
      </c>
      <c r="D812" s="132">
        <v>0.0</v>
      </c>
      <c r="E812" s="132">
        <v>0.0</v>
      </c>
      <c r="F812" s="132">
        <v>0.0</v>
      </c>
      <c r="G812" s="132">
        <v>0.0</v>
      </c>
      <c r="H812" s="132">
        <v>0.0</v>
      </c>
      <c r="I812" s="132">
        <v>0.0</v>
      </c>
      <c r="J812" s="132">
        <v>0.0</v>
      </c>
      <c r="K812" s="132">
        <v>0.0</v>
      </c>
      <c r="L812" s="132">
        <v>0.0</v>
      </c>
      <c r="M812" s="132">
        <v>0.0</v>
      </c>
      <c r="N812" s="132">
        <v>0.0</v>
      </c>
      <c r="O812" s="132">
        <v>0.0</v>
      </c>
      <c r="P812" s="132">
        <v>1000.0</v>
      </c>
      <c r="Q812" s="132">
        <v>0.0</v>
      </c>
      <c r="R812" s="132">
        <v>0.0</v>
      </c>
      <c r="S812" s="132">
        <v>0.0</v>
      </c>
      <c r="T812" s="132">
        <v>0.0</v>
      </c>
      <c r="U812" s="132">
        <v>0.0</v>
      </c>
      <c r="V812" s="132">
        <v>0.0</v>
      </c>
      <c r="W812" s="132">
        <v>0.0</v>
      </c>
      <c r="Y812" s="132" t="s">
        <v>4314</v>
      </c>
      <c r="Z812" s="132">
        <f t="shared" ref="Z812:AC812" si="1620">C812-1000</f>
        <v>-1000</v>
      </c>
      <c r="AA812" s="132">
        <f t="shared" si="1620"/>
        <v>-1000</v>
      </c>
      <c r="AB812" s="132">
        <f t="shared" si="1620"/>
        <v>-1000</v>
      </c>
      <c r="AC812" s="132">
        <f t="shared" si="1620"/>
        <v>-1000</v>
      </c>
      <c r="AD812" s="132">
        <f t="shared" si="4"/>
        <v>-10000</v>
      </c>
      <c r="AE812" s="132">
        <f t="shared" ref="AE812:AS812" si="1621">H812-1000</f>
        <v>-1000</v>
      </c>
      <c r="AF812" s="132">
        <f t="shared" si="1621"/>
        <v>-1000</v>
      </c>
      <c r="AG812" s="132">
        <f t="shared" si="1621"/>
        <v>-1000</v>
      </c>
      <c r="AH812" s="132">
        <f t="shared" si="1621"/>
        <v>-1000</v>
      </c>
      <c r="AI812" s="132">
        <f t="shared" si="1621"/>
        <v>-1000</v>
      </c>
      <c r="AJ812" s="132">
        <f t="shared" si="1621"/>
        <v>-1000</v>
      </c>
      <c r="AK812" s="132">
        <f t="shared" si="1621"/>
        <v>-1000</v>
      </c>
      <c r="AL812" s="132">
        <f t="shared" si="1621"/>
        <v>-1000</v>
      </c>
      <c r="AM812" s="132">
        <f t="shared" si="1621"/>
        <v>0</v>
      </c>
      <c r="AN812" s="132">
        <f t="shared" si="1621"/>
        <v>-1000</v>
      </c>
      <c r="AO812" s="132">
        <f t="shared" si="1621"/>
        <v>-1000</v>
      </c>
      <c r="AP812" s="132">
        <f t="shared" si="1621"/>
        <v>-1000</v>
      </c>
      <c r="AQ812" s="132">
        <f t="shared" si="1621"/>
        <v>-1000</v>
      </c>
      <c r="AR812" s="132">
        <f t="shared" si="1621"/>
        <v>-1000</v>
      </c>
      <c r="AS812" s="132">
        <f t="shared" si="1621"/>
        <v>-1000</v>
      </c>
    </row>
    <row r="813">
      <c r="A813" s="132" t="s">
        <v>4315</v>
      </c>
      <c r="B813" s="132">
        <v>250.0</v>
      </c>
      <c r="C813" s="132">
        <v>0.0</v>
      </c>
      <c r="D813" s="132">
        <v>0.0</v>
      </c>
      <c r="E813" s="132">
        <v>0.0</v>
      </c>
      <c r="F813" s="132">
        <v>0.0</v>
      </c>
      <c r="G813" s="132">
        <v>0.0</v>
      </c>
      <c r="H813" s="132">
        <v>0.0</v>
      </c>
      <c r="I813" s="132">
        <v>0.0</v>
      </c>
      <c r="J813" s="132">
        <v>0.0</v>
      </c>
      <c r="K813" s="132">
        <v>0.0</v>
      </c>
      <c r="L813" s="132">
        <v>0.0</v>
      </c>
      <c r="M813" s="132">
        <v>0.0</v>
      </c>
      <c r="N813" s="132">
        <v>0.0</v>
      </c>
      <c r="O813" s="132">
        <v>0.0</v>
      </c>
      <c r="P813" s="132">
        <v>250.0</v>
      </c>
      <c r="Q813" s="132">
        <v>0.0</v>
      </c>
      <c r="R813" s="132">
        <v>0.0</v>
      </c>
      <c r="S813" s="132">
        <v>0.0</v>
      </c>
      <c r="T813" s="132">
        <v>0.0</v>
      </c>
      <c r="U813" s="132">
        <v>0.0</v>
      </c>
      <c r="V813" s="132">
        <v>0.0</v>
      </c>
      <c r="W813" s="132">
        <v>0.0</v>
      </c>
      <c r="Y813" s="132" t="s">
        <v>4315</v>
      </c>
      <c r="Z813" s="132">
        <f t="shared" ref="Z813:AC813" si="1622">C813-1000</f>
        <v>-1000</v>
      </c>
      <c r="AA813" s="132">
        <f t="shared" si="1622"/>
        <v>-1000</v>
      </c>
      <c r="AB813" s="132">
        <f t="shared" si="1622"/>
        <v>-1000</v>
      </c>
      <c r="AC813" s="132">
        <f t="shared" si="1622"/>
        <v>-1000</v>
      </c>
      <c r="AD813" s="132">
        <f t="shared" si="4"/>
        <v>-10000</v>
      </c>
      <c r="AE813" s="132">
        <f t="shared" ref="AE813:AS813" si="1623">H813-1000</f>
        <v>-1000</v>
      </c>
      <c r="AF813" s="132">
        <f t="shared" si="1623"/>
        <v>-1000</v>
      </c>
      <c r="AG813" s="132">
        <f t="shared" si="1623"/>
        <v>-1000</v>
      </c>
      <c r="AH813" s="132">
        <f t="shared" si="1623"/>
        <v>-1000</v>
      </c>
      <c r="AI813" s="132">
        <f t="shared" si="1623"/>
        <v>-1000</v>
      </c>
      <c r="AJ813" s="132">
        <f t="shared" si="1623"/>
        <v>-1000</v>
      </c>
      <c r="AK813" s="132">
        <f t="shared" si="1623"/>
        <v>-1000</v>
      </c>
      <c r="AL813" s="132">
        <f t="shared" si="1623"/>
        <v>-1000</v>
      </c>
      <c r="AM813" s="132">
        <f t="shared" si="1623"/>
        <v>-750</v>
      </c>
      <c r="AN813" s="132">
        <f t="shared" si="1623"/>
        <v>-1000</v>
      </c>
      <c r="AO813" s="132">
        <f t="shared" si="1623"/>
        <v>-1000</v>
      </c>
      <c r="AP813" s="132">
        <f t="shared" si="1623"/>
        <v>-1000</v>
      </c>
      <c r="AQ813" s="132">
        <f t="shared" si="1623"/>
        <v>-1000</v>
      </c>
      <c r="AR813" s="132">
        <f t="shared" si="1623"/>
        <v>-1000</v>
      </c>
      <c r="AS813" s="132">
        <f t="shared" si="1623"/>
        <v>-1000</v>
      </c>
    </row>
    <row r="814">
      <c r="A814" s="132" t="s">
        <v>4316</v>
      </c>
      <c r="B814" s="132">
        <v>1000.0</v>
      </c>
      <c r="C814" s="132">
        <v>0.0</v>
      </c>
      <c r="D814" s="132">
        <v>0.0</v>
      </c>
      <c r="E814" s="132">
        <v>0.0</v>
      </c>
      <c r="F814" s="132">
        <v>0.0</v>
      </c>
      <c r="G814" s="132">
        <v>0.0</v>
      </c>
      <c r="H814" s="132">
        <v>0.0</v>
      </c>
      <c r="I814" s="132">
        <v>0.0</v>
      </c>
      <c r="J814" s="132">
        <v>0.0</v>
      </c>
      <c r="K814" s="132">
        <v>0.0</v>
      </c>
      <c r="L814" s="132">
        <v>0.0</v>
      </c>
      <c r="M814" s="132">
        <v>0.0</v>
      </c>
      <c r="N814" s="132">
        <v>0.0</v>
      </c>
      <c r="O814" s="132">
        <v>0.0</v>
      </c>
      <c r="P814" s="132">
        <v>1000.0</v>
      </c>
      <c r="Q814" s="132">
        <v>0.0</v>
      </c>
      <c r="R814" s="132">
        <v>0.0</v>
      </c>
      <c r="S814" s="132">
        <v>0.0</v>
      </c>
      <c r="T814" s="132">
        <v>0.0</v>
      </c>
      <c r="U814" s="132">
        <v>0.0</v>
      </c>
      <c r="V814" s="132">
        <v>0.0</v>
      </c>
      <c r="W814" s="132">
        <v>0.0</v>
      </c>
      <c r="Y814" s="132" t="s">
        <v>4316</v>
      </c>
      <c r="Z814" s="132">
        <f t="shared" ref="Z814:AC814" si="1624">C814-1000</f>
        <v>-1000</v>
      </c>
      <c r="AA814" s="132">
        <f t="shared" si="1624"/>
        <v>-1000</v>
      </c>
      <c r="AB814" s="132">
        <f t="shared" si="1624"/>
        <v>-1000</v>
      </c>
      <c r="AC814" s="132">
        <f t="shared" si="1624"/>
        <v>-1000</v>
      </c>
      <c r="AD814" s="132">
        <f t="shared" si="4"/>
        <v>-10000</v>
      </c>
      <c r="AE814" s="132">
        <f t="shared" ref="AE814:AS814" si="1625">H814-1000</f>
        <v>-1000</v>
      </c>
      <c r="AF814" s="132">
        <f t="shared" si="1625"/>
        <v>-1000</v>
      </c>
      <c r="AG814" s="132">
        <f t="shared" si="1625"/>
        <v>-1000</v>
      </c>
      <c r="AH814" s="132">
        <f t="shared" si="1625"/>
        <v>-1000</v>
      </c>
      <c r="AI814" s="132">
        <f t="shared" si="1625"/>
        <v>-1000</v>
      </c>
      <c r="AJ814" s="132">
        <f t="shared" si="1625"/>
        <v>-1000</v>
      </c>
      <c r="AK814" s="132">
        <f t="shared" si="1625"/>
        <v>-1000</v>
      </c>
      <c r="AL814" s="132">
        <f t="shared" si="1625"/>
        <v>-1000</v>
      </c>
      <c r="AM814" s="132">
        <f t="shared" si="1625"/>
        <v>0</v>
      </c>
      <c r="AN814" s="132">
        <f t="shared" si="1625"/>
        <v>-1000</v>
      </c>
      <c r="AO814" s="132">
        <f t="shared" si="1625"/>
        <v>-1000</v>
      </c>
      <c r="AP814" s="132">
        <f t="shared" si="1625"/>
        <v>-1000</v>
      </c>
      <c r="AQ814" s="132">
        <f t="shared" si="1625"/>
        <v>-1000</v>
      </c>
      <c r="AR814" s="132">
        <f t="shared" si="1625"/>
        <v>-1000</v>
      </c>
      <c r="AS814" s="132">
        <f t="shared" si="1625"/>
        <v>-1000</v>
      </c>
    </row>
    <row r="815">
      <c r="A815" s="132" t="s">
        <v>4317</v>
      </c>
      <c r="B815" s="132">
        <v>2000.0</v>
      </c>
      <c r="C815" s="132">
        <v>0.0</v>
      </c>
      <c r="D815" s="132">
        <v>0.0</v>
      </c>
      <c r="E815" s="132">
        <v>0.0</v>
      </c>
      <c r="F815" s="132">
        <v>0.0</v>
      </c>
      <c r="G815" s="132">
        <v>0.0</v>
      </c>
      <c r="H815" s="132">
        <v>0.0</v>
      </c>
      <c r="I815" s="132">
        <v>1000.0</v>
      </c>
      <c r="J815" s="132">
        <v>0.0</v>
      </c>
      <c r="K815" s="132">
        <v>0.0</v>
      </c>
      <c r="L815" s="132">
        <v>0.0</v>
      </c>
      <c r="M815" s="132">
        <v>0.0</v>
      </c>
      <c r="N815" s="132">
        <v>0.0</v>
      </c>
      <c r="O815" s="132">
        <v>0.0</v>
      </c>
      <c r="P815" s="132">
        <v>1000.0</v>
      </c>
      <c r="Q815" s="132">
        <v>0.0</v>
      </c>
      <c r="R815" s="132">
        <v>0.0</v>
      </c>
      <c r="S815" s="132">
        <v>0.0</v>
      </c>
      <c r="T815" s="132">
        <v>0.0</v>
      </c>
      <c r="U815" s="132">
        <v>0.0</v>
      </c>
      <c r="V815" s="132">
        <v>0.0</v>
      </c>
      <c r="W815" s="132">
        <v>1.0</v>
      </c>
      <c r="Y815" s="132" t="s">
        <v>4317</v>
      </c>
      <c r="Z815" s="132">
        <f t="shared" ref="Z815:AC815" si="1626">C815-1000</f>
        <v>-1000</v>
      </c>
      <c r="AA815" s="132">
        <f t="shared" si="1626"/>
        <v>-1000</v>
      </c>
      <c r="AB815" s="132">
        <f t="shared" si="1626"/>
        <v>-1000</v>
      </c>
      <c r="AC815" s="132">
        <f t="shared" si="1626"/>
        <v>-1000</v>
      </c>
      <c r="AD815" s="132">
        <f t="shared" si="4"/>
        <v>-10000</v>
      </c>
      <c r="AE815" s="132">
        <f t="shared" ref="AE815:AS815" si="1627">H815-1000</f>
        <v>-1000</v>
      </c>
      <c r="AF815" s="132">
        <f t="shared" si="1627"/>
        <v>0</v>
      </c>
      <c r="AG815" s="132">
        <f t="shared" si="1627"/>
        <v>-1000</v>
      </c>
      <c r="AH815" s="132">
        <f t="shared" si="1627"/>
        <v>-1000</v>
      </c>
      <c r="AI815" s="132">
        <f t="shared" si="1627"/>
        <v>-1000</v>
      </c>
      <c r="AJ815" s="132">
        <f t="shared" si="1627"/>
        <v>-1000</v>
      </c>
      <c r="AK815" s="132">
        <f t="shared" si="1627"/>
        <v>-1000</v>
      </c>
      <c r="AL815" s="132">
        <f t="shared" si="1627"/>
        <v>-1000</v>
      </c>
      <c r="AM815" s="132">
        <f t="shared" si="1627"/>
        <v>0</v>
      </c>
      <c r="AN815" s="132">
        <f t="shared" si="1627"/>
        <v>-1000</v>
      </c>
      <c r="AO815" s="132">
        <f t="shared" si="1627"/>
        <v>-1000</v>
      </c>
      <c r="AP815" s="132">
        <f t="shared" si="1627"/>
        <v>-1000</v>
      </c>
      <c r="AQ815" s="132">
        <f t="shared" si="1627"/>
        <v>-1000</v>
      </c>
      <c r="AR815" s="132">
        <f t="shared" si="1627"/>
        <v>-1000</v>
      </c>
      <c r="AS815" s="132">
        <f t="shared" si="1627"/>
        <v>-1000</v>
      </c>
    </row>
    <row r="816">
      <c r="A816" s="132" t="s">
        <v>4318</v>
      </c>
      <c r="B816" s="132">
        <v>1000.0</v>
      </c>
      <c r="C816" s="132">
        <v>0.0</v>
      </c>
      <c r="D816" s="132">
        <v>0.0</v>
      </c>
      <c r="E816" s="132">
        <v>0.0</v>
      </c>
      <c r="F816" s="132">
        <v>0.0</v>
      </c>
      <c r="G816" s="132">
        <v>0.0</v>
      </c>
      <c r="H816" s="132">
        <v>0.0</v>
      </c>
      <c r="I816" s="132">
        <v>0.0</v>
      </c>
      <c r="J816" s="132">
        <v>0.0</v>
      </c>
      <c r="K816" s="132">
        <v>0.0</v>
      </c>
      <c r="L816" s="132">
        <v>0.0</v>
      </c>
      <c r="M816" s="132">
        <v>0.0</v>
      </c>
      <c r="N816" s="132">
        <v>0.0</v>
      </c>
      <c r="O816" s="132">
        <v>0.0</v>
      </c>
      <c r="P816" s="132">
        <v>1000.0</v>
      </c>
      <c r="Q816" s="132">
        <v>0.0</v>
      </c>
      <c r="R816" s="132">
        <v>0.0</v>
      </c>
      <c r="S816" s="132">
        <v>0.0</v>
      </c>
      <c r="T816" s="132">
        <v>0.0</v>
      </c>
      <c r="U816" s="132">
        <v>0.0</v>
      </c>
      <c r="V816" s="132">
        <v>0.0</v>
      </c>
      <c r="W816" s="132">
        <v>0.0</v>
      </c>
      <c r="Y816" s="132" t="s">
        <v>4318</v>
      </c>
      <c r="Z816" s="132">
        <f t="shared" ref="Z816:AC816" si="1628">C816-1000</f>
        <v>-1000</v>
      </c>
      <c r="AA816" s="132">
        <f t="shared" si="1628"/>
        <v>-1000</v>
      </c>
      <c r="AB816" s="132">
        <f t="shared" si="1628"/>
        <v>-1000</v>
      </c>
      <c r="AC816" s="132">
        <f t="shared" si="1628"/>
        <v>-1000</v>
      </c>
      <c r="AD816" s="132">
        <f t="shared" si="4"/>
        <v>-10000</v>
      </c>
      <c r="AE816" s="132">
        <f t="shared" ref="AE816:AS816" si="1629">H816-1000</f>
        <v>-1000</v>
      </c>
      <c r="AF816" s="132">
        <f t="shared" si="1629"/>
        <v>-1000</v>
      </c>
      <c r="AG816" s="132">
        <f t="shared" si="1629"/>
        <v>-1000</v>
      </c>
      <c r="AH816" s="132">
        <f t="shared" si="1629"/>
        <v>-1000</v>
      </c>
      <c r="AI816" s="132">
        <f t="shared" si="1629"/>
        <v>-1000</v>
      </c>
      <c r="AJ816" s="132">
        <f t="shared" si="1629"/>
        <v>-1000</v>
      </c>
      <c r="AK816" s="132">
        <f t="shared" si="1629"/>
        <v>-1000</v>
      </c>
      <c r="AL816" s="132">
        <f t="shared" si="1629"/>
        <v>-1000</v>
      </c>
      <c r="AM816" s="132">
        <f t="shared" si="1629"/>
        <v>0</v>
      </c>
      <c r="AN816" s="132">
        <f t="shared" si="1629"/>
        <v>-1000</v>
      </c>
      <c r="AO816" s="132">
        <f t="shared" si="1629"/>
        <v>-1000</v>
      </c>
      <c r="AP816" s="132">
        <f t="shared" si="1629"/>
        <v>-1000</v>
      </c>
      <c r="AQ816" s="132">
        <f t="shared" si="1629"/>
        <v>-1000</v>
      </c>
      <c r="AR816" s="132">
        <f t="shared" si="1629"/>
        <v>-1000</v>
      </c>
      <c r="AS816" s="132">
        <f t="shared" si="1629"/>
        <v>-1000</v>
      </c>
    </row>
    <row r="817">
      <c r="A817" s="132" t="s">
        <v>4319</v>
      </c>
      <c r="B817" s="132">
        <v>500.0</v>
      </c>
      <c r="C817" s="132">
        <v>0.0</v>
      </c>
      <c r="D817" s="132">
        <v>0.0</v>
      </c>
      <c r="E817" s="132">
        <v>500.0</v>
      </c>
      <c r="F817" s="132">
        <v>0.0</v>
      </c>
      <c r="G817" s="132">
        <v>0.0</v>
      </c>
      <c r="H817" s="132">
        <v>0.0</v>
      </c>
      <c r="I817" s="132">
        <v>0.0</v>
      </c>
      <c r="J817" s="132">
        <v>0.0</v>
      </c>
      <c r="K817" s="132">
        <v>0.0</v>
      </c>
      <c r="L817" s="132">
        <v>0.0</v>
      </c>
      <c r="M817" s="132">
        <v>0.0</v>
      </c>
      <c r="N817" s="132">
        <v>0.0</v>
      </c>
      <c r="O817" s="132">
        <v>0.0</v>
      </c>
      <c r="P817" s="132">
        <v>0.0</v>
      </c>
      <c r="Q817" s="132">
        <v>0.0</v>
      </c>
      <c r="R817" s="132">
        <v>0.0</v>
      </c>
      <c r="S817" s="132">
        <v>0.0</v>
      </c>
      <c r="T817" s="132">
        <v>0.0</v>
      </c>
      <c r="U817" s="132">
        <v>0.0</v>
      </c>
      <c r="V817" s="132">
        <v>0.0</v>
      </c>
      <c r="W817" s="132">
        <v>0.0</v>
      </c>
      <c r="Y817" s="132" t="s">
        <v>4319</v>
      </c>
      <c r="Z817" s="132">
        <f t="shared" ref="Z817:AC817" si="1630">C817-1000</f>
        <v>-1000</v>
      </c>
      <c r="AA817" s="132">
        <f t="shared" si="1630"/>
        <v>-1000</v>
      </c>
      <c r="AB817" s="132">
        <f t="shared" si="1630"/>
        <v>-500</v>
      </c>
      <c r="AC817" s="132">
        <f t="shared" si="1630"/>
        <v>-1000</v>
      </c>
      <c r="AD817" s="132">
        <f t="shared" si="4"/>
        <v>-10000</v>
      </c>
      <c r="AE817" s="132">
        <f t="shared" ref="AE817:AS817" si="1631">H817-1000</f>
        <v>-1000</v>
      </c>
      <c r="AF817" s="132">
        <f t="shared" si="1631"/>
        <v>-1000</v>
      </c>
      <c r="AG817" s="132">
        <f t="shared" si="1631"/>
        <v>-1000</v>
      </c>
      <c r="AH817" s="132">
        <f t="shared" si="1631"/>
        <v>-1000</v>
      </c>
      <c r="AI817" s="132">
        <f t="shared" si="1631"/>
        <v>-1000</v>
      </c>
      <c r="AJ817" s="132">
        <f t="shared" si="1631"/>
        <v>-1000</v>
      </c>
      <c r="AK817" s="132">
        <f t="shared" si="1631"/>
        <v>-1000</v>
      </c>
      <c r="AL817" s="132">
        <f t="shared" si="1631"/>
        <v>-1000</v>
      </c>
      <c r="AM817" s="132">
        <f t="shared" si="1631"/>
        <v>-1000</v>
      </c>
      <c r="AN817" s="132">
        <f t="shared" si="1631"/>
        <v>-1000</v>
      </c>
      <c r="AO817" s="132">
        <f t="shared" si="1631"/>
        <v>-1000</v>
      </c>
      <c r="AP817" s="132">
        <f t="shared" si="1631"/>
        <v>-1000</v>
      </c>
      <c r="AQ817" s="132">
        <f t="shared" si="1631"/>
        <v>-1000</v>
      </c>
      <c r="AR817" s="132">
        <f t="shared" si="1631"/>
        <v>-1000</v>
      </c>
      <c r="AS817" s="132">
        <f t="shared" si="1631"/>
        <v>-1000</v>
      </c>
    </row>
    <row r="818">
      <c r="A818" s="132" t="s">
        <v>4320</v>
      </c>
      <c r="B818" s="132">
        <v>100.0</v>
      </c>
      <c r="C818" s="132">
        <v>0.0</v>
      </c>
      <c r="D818" s="132">
        <v>0.0</v>
      </c>
      <c r="E818" s="132">
        <v>100.0</v>
      </c>
      <c r="F818" s="132">
        <v>0.0</v>
      </c>
      <c r="G818" s="132">
        <v>0.0</v>
      </c>
      <c r="H818" s="132">
        <v>0.0</v>
      </c>
      <c r="I818" s="132">
        <v>0.0</v>
      </c>
      <c r="J818" s="132">
        <v>0.0</v>
      </c>
      <c r="K818" s="132">
        <v>0.0</v>
      </c>
      <c r="L818" s="132">
        <v>0.0</v>
      </c>
      <c r="M818" s="132">
        <v>0.0</v>
      </c>
      <c r="N818" s="132">
        <v>0.0</v>
      </c>
      <c r="O818" s="132">
        <v>0.0</v>
      </c>
      <c r="P818" s="132">
        <v>0.0</v>
      </c>
      <c r="Q818" s="132">
        <v>0.0</v>
      </c>
      <c r="R818" s="132">
        <v>0.0</v>
      </c>
      <c r="S818" s="132">
        <v>0.0</v>
      </c>
      <c r="T818" s="132">
        <v>0.0</v>
      </c>
      <c r="U818" s="132">
        <v>0.0</v>
      </c>
      <c r="V818" s="132">
        <v>0.0</v>
      </c>
      <c r="W818" s="132">
        <v>0.0</v>
      </c>
      <c r="Y818" s="132" t="s">
        <v>4320</v>
      </c>
      <c r="Z818" s="132">
        <f t="shared" ref="Z818:AC818" si="1632">C818-1000</f>
        <v>-1000</v>
      </c>
      <c r="AA818" s="132">
        <f t="shared" si="1632"/>
        <v>-1000</v>
      </c>
      <c r="AB818" s="132">
        <f t="shared" si="1632"/>
        <v>-900</v>
      </c>
      <c r="AC818" s="132">
        <f t="shared" si="1632"/>
        <v>-1000</v>
      </c>
      <c r="AD818" s="132">
        <f t="shared" si="4"/>
        <v>-10000</v>
      </c>
      <c r="AE818" s="132">
        <f t="shared" ref="AE818:AS818" si="1633">H818-1000</f>
        <v>-1000</v>
      </c>
      <c r="AF818" s="132">
        <f t="shared" si="1633"/>
        <v>-1000</v>
      </c>
      <c r="AG818" s="132">
        <f t="shared" si="1633"/>
        <v>-1000</v>
      </c>
      <c r="AH818" s="132">
        <f t="shared" si="1633"/>
        <v>-1000</v>
      </c>
      <c r="AI818" s="132">
        <f t="shared" si="1633"/>
        <v>-1000</v>
      </c>
      <c r="AJ818" s="132">
        <f t="shared" si="1633"/>
        <v>-1000</v>
      </c>
      <c r="AK818" s="132">
        <f t="shared" si="1633"/>
        <v>-1000</v>
      </c>
      <c r="AL818" s="132">
        <f t="shared" si="1633"/>
        <v>-1000</v>
      </c>
      <c r="AM818" s="132">
        <f t="shared" si="1633"/>
        <v>-1000</v>
      </c>
      <c r="AN818" s="132">
        <f t="shared" si="1633"/>
        <v>-1000</v>
      </c>
      <c r="AO818" s="132">
        <f t="shared" si="1633"/>
        <v>-1000</v>
      </c>
      <c r="AP818" s="132">
        <f t="shared" si="1633"/>
        <v>-1000</v>
      </c>
      <c r="AQ818" s="132">
        <f t="shared" si="1633"/>
        <v>-1000</v>
      </c>
      <c r="AR818" s="132">
        <f t="shared" si="1633"/>
        <v>-1000</v>
      </c>
      <c r="AS818" s="132">
        <f t="shared" si="1633"/>
        <v>-1000</v>
      </c>
    </row>
    <row r="819">
      <c r="A819" s="132" t="s">
        <v>4321</v>
      </c>
      <c r="B819" s="132">
        <v>50.0</v>
      </c>
      <c r="C819" s="132">
        <v>0.0</v>
      </c>
      <c r="D819" s="132">
        <v>0.0</v>
      </c>
      <c r="E819" s="132">
        <v>50.0</v>
      </c>
      <c r="F819" s="132">
        <v>0.0</v>
      </c>
      <c r="G819" s="132">
        <v>0.0</v>
      </c>
      <c r="H819" s="132">
        <v>0.0</v>
      </c>
      <c r="I819" s="132">
        <v>0.0</v>
      </c>
      <c r="J819" s="132">
        <v>0.0</v>
      </c>
      <c r="K819" s="132">
        <v>0.0</v>
      </c>
      <c r="L819" s="132">
        <v>0.0</v>
      </c>
      <c r="M819" s="132">
        <v>0.0</v>
      </c>
      <c r="N819" s="132">
        <v>0.0</v>
      </c>
      <c r="O819" s="132">
        <v>0.0</v>
      </c>
      <c r="P819" s="132">
        <v>0.0</v>
      </c>
      <c r="Q819" s="132">
        <v>0.0</v>
      </c>
      <c r="R819" s="132">
        <v>0.0</v>
      </c>
      <c r="S819" s="132">
        <v>0.0</v>
      </c>
      <c r="T819" s="132">
        <v>0.0</v>
      </c>
      <c r="U819" s="132">
        <v>0.0</v>
      </c>
      <c r="V819" s="132">
        <v>0.0</v>
      </c>
      <c r="W819" s="132">
        <v>0.0</v>
      </c>
      <c r="Y819" s="132" t="s">
        <v>4321</v>
      </c>
      <c r="Z819" s="132">
        <f t="shared" ref="Z819:AC819" si="1634">C819-1000</f>
        <v>-1000</v>
      </c>
      <c r="AA819" s="132">
        <f t="shared" si="1634"/>
        <v>-1000</v>
      </c>
      <c r="AB819" s="132">
        <f t="shared" si="1634"/>
        <v>-950</v>
      </c>
      <c r="AC819" s="132">
        <f t="shared" si="1634"/>
        <v>-1000</v>
      </c>
      <c r="AD819" s="132">
        <f t="shared" si="4"/>
        <v>-10000</v>
      </c>
      <c r="AE819" s="132">
        <f t="shared" ref="AE819:AS819" si="1635">H819-1000</f>
        <v>-1000</v>
      </c>
      <c r="AF819" s="132">
        <f t="shared" si="1635"/>
        <v>-1000</v>
      </c>
      <c r="AG819" s="132">
        <f t="shared" si="1635"/>
        <v>-1000</v>
      </c>
      <c r="AH819" s="132">
        <f t="shared" si="1635"/>
        <v>-1000</v>
      </c>
      <c r="AI819" s="132">
        <f t="shared" si="1635"/>
        <v>-1000</v>
      </c>
      <c r="AJ819" s="132">
        <f t="shared" si="1635"/>
        <v>-1000</v>
      </c>
      <c r="AK819" s="132">
        <f t="shared" si="1635"/>
        <v>-1000</v>
      </c>
      <c r="AL819" s="132">
        <f t="shared" si="1635"/>
        <v>-1000</v>
      </c>
      <c r="AM819" s="132">
        <f t="shared" si="1635"/>
        <v>-1000</v>
      </c>
      <c r="AN819" s="132">
        <f t="shared" si="1635"/>
        <v>-1000</v>
      </c>
      <c r="AO819" s="132">
        <f t="shared" si="1635"/>
        <v>-1000</v>
      </c>
      <c r="AP819" s="132">
        <f t="shared" si="1635"/>
        <v>-1000</v>
      </c>
      <c r="AQ819" s="132">
        <f t="shared" si="1635"/>
        <v>-1000</v>
      </c>
      <c r="AR819" s="132">
        <f t="shared" si="1635"/>
        <v>-1000</v>
      </c>
      <c r="AS819" s="132">
        <f t="shared" si="1635"/>
        <v>-1000</v>
      </c>
    </row>
    <row r="820">
      <c r="A820" s="132" t="s">
        <v>4322</v>
      </c>
      <c r="B820" s="132">
        <v>50.0</v>
      </c>
      <c r="C820" s="132">
        <v>0.0</v>
      </c>
      <c r="D820" s="132">
        <v>0.0</v>
      </c>
      <c r="E820" s="132">
        <v>50.0</v>
      </c>
      <c r="F820" s="132">
        <v>0.0</v>
      </c>
      <c r="G820" s="132">
        <v>0.0</v>
      </c>
      <c r="H820" s="132">
        <v>0.0</v>
      </c>
      <c r="I820" s="132">
        <v>0.0</v>
      </c>
      <c r="J820" s="132">
        <v>0.0</v>
      </c>
      <c r="K820" s="132">
        <v>0.0</v>
      </c>
      <c r="L820" s="132">
        <v>0.0</v>
      </c>
      <c r="M820" s="132">
        <v>0.0</v>
      </c>
      <c r="N820" s="132">
        <v>0.0</v>
      </c>
      <c r="O820" s="132">
        <v>0.0</v>
      </c>
      <c r="P820" s="132">
        <v>0.0</v>
      </c>
      <c r="Q820" s="132">
        <v>0.0</v>
      </c>
      <c r="R820" s="132">
        <v>0.0</v>
      </c>
      <c r="S820" s="132">
        <v>0.0</v>
      </c>
      <c r="T820" s="132">
        <v>0.0</v>
      </c>
      <c r="U820" s="132">
        <v>0.0</v>
      </c>
      <c r="V820" s="132">
        <v>0.0</v>
      </c>
      <c r="W820" s="132">
        <v>0.0</v>
      </c>
      <c r="Y820" s="132" t="s">
        <v>4322</v>
      </c>
      <c r="Z820" s="132">
        <f t="shared" ref="Z820:AC820" si="1636">C820-1000</f>
        <v>-1000</v>
      </c>
      <c r="AA820" s="132">
        <f t="shared" si="1636"/>
        <v>-1000</v>
      </c>
      <c r="AB820" s="132">
        <f t="shared" si="1636"/>
        <v>-950</v>
      </c>
      <c r="AC820" s="132">
        <f t="shared" si="1636"/>
        <v>-1000</v>
      </c>
      <c r="AD820" s="132">
        <f t="shared" si="4"/>
        <v>-10000</v>
      </c>
      <c r="AE820" s="132">
        <f t="shared" ref="AE820:AS820" si="1637">H820-1000</f>
        <v>-1000</v>
      </c>
      <c r="AF820" s="132">
        <f t="shared" si="1637"/>
        <v>-1000</v>
      </c>
      <c r="AG820" s="132">
        <f t="shared" si="1637"/>
        <v>-1000</v>
      </c>
      <c r="AH820" s="132">
        <f t="shared" si="1637"/>
        <v>-1000</v>
      </c>
      <c r="AI820" s="132">
        <f t="shared" si="1637"/>
        <v>-1000</v>
      </c>
      <c r="AJ820" s="132">
        <f t="shared" si="1637"/>
        <v>-1000</v>
      </c>
      <c r="AK820" s="132">
        <f t="shared" si="1637"/>
        <v>-1000</v>
      </c>
      <c r="AL820" s="132">
        <f t="shared" si="1637"/>
        <v>-1000</v>
      </c>
      <c r="AM820" s="132">
        <f t="shared" si="1637"/>
        <v>-1000</v>
      </c>
      <c r="AN820" s="132">
        <f t="shared" si="1637"/>
        <v>-1000</v>
      </c>
      <c r="AO820" s="132">
        <f t="shared" si="1637"/>
        <v>-1000</v>
      </c>
      <c r="AP820" s="132">
        <f t="shared" si="1637"/>
        <v>-1000</v>
      </c>
      <c r="AQ820" s="132">
        <f t="shared" si="1637"/>
        <v>-1000</v>
      </c>
      <c r="AR820" s="132">
        <f t="shared" si="1637"/>
        <v>-1000</v>
      </c>
      <c r="AS820" s="132">
        <f t="shared" si="1637"/>
        <v>-1000</v>
      </c>
    </row>
    <row r="821">
      <c r="A821" s="132" t="s">
        <v>4323</v>
      </c>
      <c r="B821" s="132">
        <v>1000.0</v>
      </c>
      <c r="C821" s="132">
        <v>0.0</v>
      </c>
      <c r="D821" s="132">
        <v>0.0</v>
      </c>
      <c r="E821" s="132">
        <v>1000.0</v>
      </c>
      <c r="F821" s="132">
        <v>0.0</v>
      </c>
      <c r="G821" s="132">
        <v>0.0</v>
      </c>
      <c r="H821" s="132">
        <v>0.0</v>
      </c>
      <c r="I821" s="132">
        <v>0.0</v>
      </c>
      <c r="J821" s="132">
        <v>0.0</v>
      </c>
      <c r="K821" s="132">
        <v>0.0</v>
      </c>
      <c r="L821" s="132">
        <v>0.0</v>
      </c>
      <c r="M821" s="132">
        <v>0.0</v>
      </c>
      <c r="N821" s="132">
        <v>0.0</v>
      </c>
      <c r="O821" s="132">
        <v>0.0</v>
      </c>
      <c r="P821" s="132">
        <v>0.0</v>
      </c>
      <c r="Q821" s="132">
        <v>0.0</v>
      </c>
      <c r="R821" s="132">
        <v>0.0</v>
      </c>
      <c r="S821" s="132">
        <v>0.0</v>
      </c>
      <c r="T821" s="132">
        <v>0.0</v>
      </c>
      <c r="U821" s="132">
        <v>0.0</v>
      </c>
      <c r="V821" s="132">
        <v>0.0</v>
      </c>
      <c r="W821" s="132">
        <v>0.0</v>
      </c>
      <c r="Y821" s="132" t="s">
        <v>4323</v>
      </c>
      <c r="Z821" s="132">
        <f t="shared" ref="Z821:AC821" si="1638">C821-1000</f>
        <v>-1000</v>
      </c>
      <c r="AA821" s="132">
        <f t="shared" si="1638"/>
        <v>-1000</v>
      </c>
      <c r="AB821" s="132">
        <f t="shared" si="1638"/>
        <v>0</v>
      </c>
      <c r="AC821" s="132">
        <f t="shared" si="1638"/>
        <v>-1000</v>
      </c>
      <c r="AD821" s="132">
        <f t="shared" si="4"/>
        <v>-10000</v>
      </c>
      <c r="AE821" s="132">
        <f t="shared" ref="AE821:AS821" si="1639">H821-1000</f>
        <v>-1000</v>
      </c>
      <c r="AF821" s="132">
        <f t="shared" si="1639"/>
        <v>-1000</v>
      </c>
      <c r="AG821" s="132">
        <f t="shared" si="1639"/>
        <v>-1000</v>
      </c>
      <c r="AH821" s="132">
        <f t="shared" si="1639"/>
        <v>-1000</v>
      </c>
      <c r="AI821" s="132">
        <f t="shared" si="1639"/>
        <v>-1000</v>
      </c>
      <c r="AJ821" s="132">
        <f t="shared" si="1639"/>
        <v>-1000</v>
      </c>
      <c r="AK821" s="132">
        <f t="shared" si="1639"/>
        <v>-1000</v>
      </c>
      <c r="AL821" s="132">
        <f t="shared" si="1639"/>
        <v>-1000</v>
      </c>
      <c r="AM821" s="132">
        <f t="shared" si="1639"/>
        <v>-1000</v>
      </c>
      <c r="AN821" s="132">
        <f t="shared" si="1639"/>
        <v>-1000</v>
      </c>
      <c r="AO821" s="132">
        <f t="shared" si="1639"/>
        <v>-1000</v>
      </c>
      <c r="AP821" s="132">
        <f t="shared" si="1639"/>
        <v>-1000</v>
      </c>
      <c r="AQ821" s="132">
        <f t="shared" si="1639"/>
        <v>-1000</v>
      </c>
      <c r="AR821" s="132">
        <f t="shared" si="1639"/>
        <v>-1000</v>
      </c>
      <c r="AS821" s="132">
        <f t="shared" si="1639"/>
        <v>-1000</v>
      </c>
    </row>
    <row r="822">
      <c r="A822" s="132" t="s">
        <v>4324</v>
      </c>
      <c r="B822" s="132">
        <v>200.0</v>
      </c>
      <c r="C822" s="132">
        <v>0.0</v>
      </c>
      <c r="D822" s="132">
        <v>0.0</v>
      </c>
      <c r="E822" s="132">
        <v>200.0</v>
      </c>
      <c r="F822" s="132">
        <v>0.0</v>
      </c>
      <c r="G822" s="132">
        <v>0.0</v>
      </c>
      <c r="H822" s="132">
        <v>0.0</v>
      </c>
      <c r="I822" s="132">
        <v>0.0</v>
      </c>
      <c r="J822" s="132">
        <v>0.0</v>
      </c>
      <c r="K822" s="132">
        <v>0.0</v>
      </c>
      <c r="L822" s="132">
        <v>0.0</v>
      </c>
      <c r="M822" s="132">
        <v>0.0</v>
      </c>
      <c r="N822" s="132">
        <v>0.0</v>
      </c>
      <c r="O822" s="132">
        <v>0.0</v>
      </c>
      <c r="P822" s="132">
        <v>0.0</v>
      </c>
      <c r="Q822" s="132">
        <v>0.0</v>
      </c>
      <c r="R822" s="132">
        <v>0.0</v>
      </c>
      <c r="S822" s="132">
        <v>0.0</v>
      </c>
      <c r="T822" s="132">
        <v>0.0</v>
      </c>
      <c r="U822" s="132">
        <v>0.0</v>
      </c>
      <c r="V822" s="132">
        <v>0.0</v>
      </c>
      <c r="W822" s="132">
        <v>0.0</v>
      </c>
      <c r="Y822" s="132" t="s">
        <v>4324</v>
      </c>
      <c r="Z822" s="132">
        <f t="shared" ref="Z822:AC822" si="1640">C822-1000</f>
        <v>-1000</v>
      </c>
      <c r="AA822" s="132">
        <f t="shared" si="1640"/>
        <v>-1000</v>
      </c>
      <c r="AB822" s="132">
        <f t="shared" si="1640"/>
        <v>-800</v>
      </c>
      <c r="AC822" s="132">
        <f t="shared" si="1640"/>
        <v>-1000</v>
      </c>
      <c r="AD822" s="132">
        <f t="shared" si="4"/>
        <v>-10000</v>
      </c>
      <c r="AE822" s="132">
        <f t="shared" ref="AE822:AS822" si="1641">H822-1000</f>
        <v>-1000</v>
      </c>
      <c r="AF822" s="132">
        <f t="shared" si="1641"/>
        <v>-1000</v>
      </c>
      <c r="AG822" s="132">
        <f t="shared" si="1641"/>
        <v>-1000</v>
      </c>
      <c r="AH822" s="132">
        <f t="shared" si="1641"/>
        <v>-1000</v>
      </c>
      <c r="AI822" s="132">
        <f t="shared" si="1641"/>
        <v>-1000</v>
      </c>
      <c r="AJ822" s="132">
        <f t="shared" si="1641"/>
        <v>-1000</v>
      </c>
      <c r="AK822" s="132">
        <f t="shared" si="1641"/>
        <v>-1000</v>
      </c>
      <c r="AL822" s="132">
        <f t="shared" si="1641"/>
        <v>-1000</v>
      </c>
      <c r="AM822" s="132">
        <f t="shared" si="1641"/>
        <v>-1000</v>
      </c>
      <c r="AN822" s="132">
        <f t="shared" si="1641"/>
        <v>-1000</v>
      </c>
      <c r="AO822" s="132">
        <f t="shared" si="1641"/>
        <v>-1000</v>
      </c>
      <c r="AP822" s="132">
        <f t="shared" si="1641"/>
        <v>-1000</v>
      </c>
      <c r="AQ822" s="132">
        <f t="shared" si="1641"/>
        <v>-1000</v>
      </c>
      <c r="AR822" s="132">
        <f t="shared" si="1641"/>
        <v>-1000</v>
      </c>
      <c r="AS822" s="132">
        <f t="shared" si="1641"/>
        <v>-1000</v>
      </c>
    </row>
    <row r="823">
      <c r="A823" s="132" t="s">
        <v>4325</v>
      </c>
      <c r="B823" s="132">
        <v>500.0</v>
      </c>
      <c r="C823" s="132">
        <v>250.0</v>
      </c>
      <c r="D823" s="132">
        <v>0.0</v>
      </c>
      <c r="E823" s="132">
        <v>250.0</v>
      </c>
      <c r="F823" s="132">
        <v>0.0</v>
      </c>
      <c r="G823" s="132">
        <v>0.0</v>
      </c>
      <c r="H823" s="132">
        <v>0.0</v>
      </c>
      <c r="I823" s="132">
        <v>0.0</v>
      </c>
      <c r="J823" s="132">
        <v>0.0</v>
      </c>
      <c r="K823" s="132">
        <v>0.0</v>
      </c>
      <c r="L823" s="132">
        <v>0.0</v>
      </c>
      <c r="M823" s="132">
        <v>0.0</v>
      </c>
      <c r="N823" s="132">
        <v>0.0</v>
      </c>
      <c r="O823" s="132">
        <v>0.0</v>
      </c>
      <c r="P823" s="132">
        <v>0.0</v>
      </c>
      <c r="Q823" s="132">
        <v>0.0</v>
      </c>
      <c r="R823" s="132">
        <v>0.0</v>
      </c>
      <c r="S823" s="132">
        <v>0.0</v>
      </c>
      <c r="T823" s="132">
        <v>0.0</v>
      </c>
      <c r="U823" s="132">
        <v>0.0</v>
      </c>
      <c r="V823" s="132">
        <v>0.0</v>
      </c>
      <c r="W823" s="132">
        <v>0.0</v>
      </c>
      <c r="Y823" s="132" t="s">
        <v>4325</v>
      </c>
      <c r="Z823" s="132">
        <f t="shared" ref="Z823:AC823" si="1642">C823-1000</f>
        <v>-750</v>
      </c>
      <c r="AA823" s="132">
        <f t="shared" si="1642"/>
        <v>-1000</v>
      </c>
      <c r="AB823" s="132">
        <f t="shared" si="1642"/>
        <v>-750</v>
      </c>
      <c r="AC823" s="132">
        <f t="shared" si="1642"/>
        <v>-1000</v>
      </c>
      <c r="AD823" s="132">
        <f t="shared" si="4"/>
        <v>-10000</v>
      </c>
      <c r="AE823" s="132">
        <f t="shared" ref="AE823:AS823" si="1643">H823-1000</f>
        <v>-1000</v>
      </c>
      <c r="AF823" s="132">
        <f t="shared" si="1643"/>
        <v>-1000</v>
      </c>
      <c r="AG823" s="132">
        <f t="shared" si="1643"/>
        <v>-1000</v>
      </c>
      <c r="AH823" s="132">
        <f t="shared" si="1643"/>
        <v>-1000</v>
      </c>
      <c r="AI823" s="132">
        <f t="shared" si="1643"/>
        <v>-1000</v>
      </c>
      <c r="AJ823" s="132">
        <f t="shared" si="1643"/>
        <v>-1000</v>
      </c>
      <c r="AK823" s="132">
        <f t="shared" si="1643"/>
        <v>-1000</v>
      </c>
      <c r="AL823" s="132">
        <f t="shared" si="1643"/>
        <v>-1000</v>
      </c>
      <c r="AM823" s="132">
        <f t="shared" si="1643"/>
        <v>-1000</v>
      </c>
      <c r="AN823" s="132">
        <f t="shared" si="1643"/>
        <v>-1000</v>
      </c>
      <c r="AO823" s="132">
        <f t="shared" si="1643"/>
        <v>-1000</v>
      </c>
      <c r="AP823" s="132">
        <f t="shared" si="1643"/>
        <v>-1000</v>
      </c>
      <c r="AQ823" s="132">
        <f t="shared" si="1643"/>
        <v>-1000</v>
      </c>
      <c r="AR823" s="132">
        <f t="shared" si="1643"/>
        <v>-1000</v>
      </c>
      <c r="AS823" s="132">
        <f t="shared" si="1643"/>
        <v>-1000</v>
      </c>
    </row>
    <row r="824">
      <c r="A824" s="132" t="s">
        <v>4326</v>
      </c>
      <c r="B824" s="132">
        <v>200.0</v>
      </c>
      <c r="C824" s="132">
        <v>0.0</v>
      </c>
      <c r="D824" s="132">
        <v>0.0</v>
      </c>
      <c r="E824" s="132">
        <v>200.0</v>
      </c>
      <c r="F824" s="132">
        <v>0.0</v>
      </c>
      <c r="G824" s="132">
        <v>0.0</v>
      </c>
      <c r="H824" s="132">
        <v>0.0</v>
      </c>
      <c r="I824" s="132">
        <v>0.0</v>
      </c>
      <c r="J824" s="132">
        <v>0.0</v>
      </c>
      <c r="K824" s="132">
        <v>0.0</v>
      </c>
      <c r="L824" s="132">
        <v>0.0</v>
      </c>
      <c r="M824" s="132">
        <v>0.0</v>
      </c>
      <c r="N824" s="132">
        <v>0.0</v>
      </c>
      <c r="O824" s="132">
        <v>0.0</v>
      </c>
      <c r="P824" s="132">
        <v>0.0</v>
      </c>
      <c r="Q824" s="132">
        <v>0.0</v>
      </c>
      <c r="R824" s="132">
        <v>0.0</v>
      </c>
      <c r="S824" s="132">
        <v>0.0</v>
      </c>
      <c r="T824" s="132">
        <v>0.0</v>
      </c>
      <c r="U824" s="132">
        <v>0.0</v>
      </c>
      <c r="V824" s="132">
        <v>0.0</v>
      </c>
      <c r="W824" s="132">
        <v>0.0</v>
      </c>
      <c r="Y824" s="132" t="s">
        <v>4326</v>
      </c>
      <c r="Z824" s="132">
        <f t="shared" ref="Z824:AC824" si="1644">C824-1000</f>
        <v>-1000</v>
      </c>
      <c r="AA824" s="132">
        <f t="shared" si="1644"/>
        <v>-1000</v>
      </c>
      <c r="AB824" s="132">
        <f t="shared" si="1644"/>
        <v>-800</v>
      </c>
      <c r="AC824" s="132">
        <f t="shared" si="1644"/>
        <v>-1000</v>
      </c>
      <c r="AD824" s="132">
        <f t="shared" si="4"/>
        <v>-10000</v>
      </c>
      <c r="AE824" s="132">
        <f t="shared" ref="AE824:AS824" si="1645">H824-1000</f>
        <v>-1000</v>
      </c>
      <c r="AF824" s="132">
        <f t="shared" si="1645"/>
        <v>-1000</v>
      </c>
      <c r="AG824" s="132">
        <f t="shared" si="1645"/>
        <v>-1000</v>
      </c>
      <c r="AH824" s="132">
        <f t="shared" si="1645"/>
        <v>-1000</v>
      </c>
      <c r="AI824" s="132">
        <f t="shared" si="1645"/>
        <v>-1000</v>
      </c>
      <c r="AJ824" s="132">
        <f t="shared" si="1645"/>
        <v>-1000</v>
      </c>
      <c r="AK824" s="132">
        <f t="shared" si="1645"/>
        <v>-1000</v>
      </c>
      <c r="AL824" s="132">
        <f t="shared" si="1645"/>
        <v>-1000</v>
      </c>
      <c r="AM824" s="132">
        <f t="shared" si="1645"/>
        <v>-1000</v>
      </c>
      <c r="AN824" s="132">
        <f t="shared" si="1645"/>
        <v>-1000</v>
      </c>
      <c r="AO824" s="132">
        <f t="shared" si="1645"/>
        <v>-1000</v>
      </c>
      <c r="AP824" s="132">
        <f t="shared" si="1645"/>
        <v>-1000</v>
      </c>
      <c r="AQ824" s="132">
        <f t="shared" si="1645"/>
        <v>-1000</v>
      </c>
      <c r="AR824" s="132">
        <f t="shared" si="1645"/>
        <v>-1000</v>
      </c>
      <c r="AS824" s="132">
        <f t="shared" si="1645"/>
        <v>-1000</v>
      </c>
    </row>
    <row r="825">
      <c r="A825" s="132" t="s">
        <v>4327</v>
      </c>
      <c r="B825" s="132">
        <v>100.0</v>
      </c>
      <c r="C825" s="132">
        <v>0.0</v>
      </c>
      <c r="D825" s="132">
        <v>0.0</v>
      </c>
      <c r="E825" s="132">
        <v>100.0</v>
      </c>
      <c r="F825" s="132">
        <v>0.0</v>
      </c>
      <c r="G825" s="132">
        <v>0.0</v>
      </c>
      <c r="H825" s="132">
        <v>0.0</v>
      </c>
      <c r="I825" s="132">
        <v>0.0</v>
      </c>
      <c r="J825" s="132">
        <v>0.0</v>
      </c>
      <c r="K825" s="132">
        <v>0.0</v>
      </c>
      <c r="L825" s="132">
        <v>0.0</v>
      </c>
      <c r="M825" s="132">
        <v>0.0</v>
      </c>
      <c r="N825" s="132">
        <v>0.0</v>
      </c>
      <c r="O825" s="132">
        <v>0.0</v>
      </c>
      <c r="P825" s="132">
        <v>0.0</v>
      </c>
      <c r="Q825" s="132">
        <v>0.0</v>
      </c>
      <c r="R825" s="132">
        <v>0.0</v>
      </c>
      <c r="S825" s="132">
        <v>0.0</v>
      </c>
      <c r="T825" s="132">
        <v>0.0</v>
      </c>
      <c r="U825" s="132">
        <v>0.0</v>
      </c>
      <c r="V825" s="132">
        <v>0.0</v>
      </c>
      <c r="W825" s="132">
        <v>0.0</v>
      </c>
      <c r="Y825" s="132" t="s">
        <v>4327</v>
      </c>
      <c r="Z825" s="132">
        <f t="shared" ref="Z825:AC825" si="1646">C825-1000</f>
        <v>-1000</v>
      </c>
      <c r="AA825" s="132">
        <f t="shared" si="1646"/>
        <v>-1000</v>
      </c>
      <c r="AB825" s="132">
        <f t="shared" si="1646"/>
        <v>-900</v>
      </c>
      <c r="AC825" s="132">
        <f t="shared" si="1646"/>
        <v>-1000</v>
      </c>
      <c r="AD825" s="132">
        <f t="shared" si="4"/>
        <v>-10000</v>
      </c>
      <c r="AE825" s="132">
        <f t="shared" ref="AE825:AS825" si="1647">H825-1000</f>
        <v>-1000</v>
      </c>
      <c r="AF825" s="132">
        <f t="shared" si="1647"/>
        <v>-1000</v>
      </c>
      <c r="AG825" s="132">
        <f t="shared" si="1647"/>
        <v>-1000</v>
      </c>
      <c r="AH825" s="132">
        <f t="shared" si="1647"/>
        <v>-1000</v>
      </c>
      <c r="AI825" s="132">
        <f t="shared" si="1647"/>
        <v>-1000</v>
      </c>
      <c r="AJ825" s="132">
        <f t="shared" si="1647"/>
        <v>-1000</v>
      </c>
      <c r="AK825" s="132">
        <f t="shared" si="1647"/>
        <v>-1000</v>
      </c>
      <c r="AL825" s="132">
        <f t="shared" si="1647"/>
        <v>-1000</v>
      </c>
      <c r="AM825" s="132">
        <f t="shared" si="1647"/>
        <v>-1000</v>
      </c>
      <c r="AN825" s="132">
        <f t="shared" si="1647"/>
        <v>-1000</v>
      </c>
      <c r="AO825" s="132">
        <f t="shared" si="1647"/>
        <v>-1000</v>
      </c>
      <c r="AP825" s="132">
        <f t="shared" si="1647"/>
        <v>-1000</v>
      </c>
      <c r="AQ825" s="132">
        <f t="shared" si="1647"/>
        <v>-1000</v>
      </c>
      <c r="AR825" s="132">
        <f t="shared" si="1647"/>
        <v>-1000</v>
      </c>
      <c r="AS825" s="132">
        <f t="shared" si="1647"/>
        <v>-1000</v>
      </c>
    </row>
    <row r="826">
      <c r="A826" s="132" t="s">
        <v>4328</v>
      </c>
      <c r="B826" s="132">
        <v>100.0</v>
      </c>
      <c r="C826" s="132">
        <v>0.0</v>
      </c>
      <c r="D826" s="132">
        <v>0.0</v>
      </c>
      <c r="E826" s="132">
        <v>100.0</v>
      </c>
      <c r="F826" s="132">
        <v>0.0</v>
      </c>
      <c r="G826" s="132">
        <v>0.0</v>
      </c>
      <c r="H826" s="132">
        <v>0.0</v>
      </c>
      <c r="I826" s="132">
        <v>0.0</v>
      </c>
      <c r="J826" s="132">
        <v>0.0</v>
      </c>
      <c r="K826" s="132">
        <v>0.0</v>
      </c>
      <c r="L826" s="132">
        <v>0.0</v>
      </c>
      <c r="M826" s="132">
        <v>0.0</v>
      </c>
      <c r="N826" s="132">
        <v>0.0</v>
      </c>
      <c r="O826" s="132">
        <v>0.0</v>
      </c>
      <c r="P826" s="132">
        <v>0.0</v>
      </c>
      <c r="Q826" s="132">
        <v>0.0</v>
      </c>
      <c r="R826" s="132">
        <v>0.0</v>
      </c>
      <c r="S826" s="132">
        <v>0.0</v>
      </c>
      <c r="T826" s="132">
        <v>0.0</v>
      </c>
      <c r="U826" s="132">
        <v>0.0</v>
      </c>
      <c r="V826" s="132">
        <v>0.0</v>
      </c>
      <c r="W826" s="132">
        <v>0.0</v>
      </c>
      <c r="Y826" s="132" t="s">
        <v>4328</v>
      </c>
      <c r="Z826" s="132">
        <f t="shared" ref="Z826:AC826" si="1648">C826-1000</f>
        <v>-1000</v>
      </c>
      <c r="AA826" s="132">
        <f t="shared" si="1648"/>
        <v>-1000</v>
      </c>
      <c r="AB826" s="132">
        <f t="shared" si="1648"/>
        <v>-900</v>
      </c>
      <c r="AC826" s="132">
        <f t="shared" si="1648"/>
        <v>-1000</v>
      </c>
      <c r="AD826" s="132">
        <f t="shared" si="4"/>
        <v>-10000</v>
      </c>
      <c r="AE826" s="132">
        <f t="shared" ref="AE826:AS826" si="1649">H826-1000</f>
        <v>-1000</v>
      </c>
      <c r="AF826" s="132">
        <f t="shared" si="1649"/>
        <v>-1000</v>
      </c>
      <c r="AG826" s="132">
        <f t="shared" si="1649"/>
        <v>-1000</v>
      </c>
      <c r="AH826" s="132">
        <f t="shared" si="1649"/>
        <v>-1000</v>
      </c>
      <c r="AI826" s="132">
        <f t="shared" si="1649"/>
        <v>-1000</v>
      </c>
      <c r="AJ826" s="132">
        <f t="shared" si="1649"/>
        <v>-1000</v>
      </c>
      <c r="AK826" s="132">
        <f t="shared" si="1649"/>
        <v>-1000</v>
      </c>
      <c r="AL826" s="132">
        <f t="shared" si="1649"/>
        <v>-1000</v>
      </c>
      <c r="AM826" s="132">
        <f t="shared" si="1649"/>
        <v>-1000</v>
      </c>
      <c r="AN826" s="132">
        <f t="shared" si="1649"/>
        <v>-1000</v>
      </c>
      <c r="AO826" s="132">
        <f t="shared" si="1649"/>
        <v>-1000</v>
      </c>
      <c r="AP826" s="132">
        <f t="shared" si="1649"/>
        <v>-1000</v>
      </c>
      <c r="AQ826" s="132">
        <f t="shared" si="1649"/>
        <v>-1000</v>
      </c>
      <c r="AR826" s="132">
        <f t="shared" si="1649"/>
        <v>-1000</v>
      </c>
      <c r="AS826" s="132">
        <f t="shared" si="1649"/>
        <v>-1000</v>
      </c>
    </row>
    <row r="827">
      <c r="A827" s="132" t="s">
        <v>4329</v>
      </c>
      <c r="B827" s="132">
        <v>500.0</v>
      </c>
      <c r="C827" s="132">
        <v>0.0</v>
      </c>
      <c r="D827" s="132">
        <v>0.0</v>
      </c>
      <c r="E827" s="132">
        <v>500.0</v>
      </c>
      <c r="F827" s="132">
        <v>0.0</v>
      </c>
      <c r="G827" s="132">
        <v>0.0</v>
      </c>
      <c r="H827" s="132">
        <v>0.0</v>
      </c>
      <c r="I827" s="132">
        <v>0.0</v>
      </c>
      <c r="J827" s="132">
        <v>0.0</v>
      </c>
      <c r="K827" s="132">
        <v>0.0</v>
      </c>
      <c r="L827" s="132">
        <v>0.0</v>
      </c>
      <c r="M827" s="132">
        <v>0.0</v>
      </c>
      <c r="N827" s="132">
        <v>0.0</v>
      </c>
      <c r="O827" s="132">
        <v>0.0</v>
      </c>
      <c r="P827" s="132">
        <v>0.0</v>
      </c>
      <c r="Q827" s="132">
        <v>0.0</v>
      </c>
      <c r="R827" s="132">
        <v>0.0</v>
      </c>
      <c r="S827" s="132">
        <v>0.0</v>
      </c>
      <c r="T827" s="132">
        <v>0.0</v>
      </c>
      <c r="U827" s="132">
        <v>0.0</v>
      </c>
      <c r="V827" s="132">
        <v>0.0</v>
      </c>
      <c r="W827" s="132">
        <v>0.0</v>
      </c>
      <c r="Y827" s="132" t="s">
        <v>4329</v>
      </c>
      <c r="Z827" s="132">
        <f t="shared" ref="Z827:AC827" si="1650">C827-1000</f>
        <v>-1000</v>
      </c>
      <c r="AA827" s="132">
        <f t="shared" si="1650"/>
        <v>-1000</v>
      </c>
      <c r="AB827" s="132">
        <f t="shared" si="1650"/>
        <v>-500</v>
      </c>
      <c r="AC827" s="132">
        <f t="shared" si="1650"/>
        <v>-1000</v>
      </c>
      <c r="AD827" s="132">
        <f t="shared" si="4"/>
        <v>-10000</v>
      </c>
      <c r="AE827" s="132">
        <f t="shared" ref="AE827:AS827" si="1651">H827-1000</f>
        <v>-1000</v>
      </c>
      <c r="AF827" s="132">
        <f t="shared" si="1651"/>
        <v>-1000</v>
      </c>
      <c r="AG827" s="132">
        <f t="shared" si="1651"/>
        <v>-1000</v>
      </c>
      <c r="AH827" s="132">
        <f t="shared" si="1651"/>
        <v>-1000</v>
      </c>
      <c r="AI827" s="132">
        <f t="shared" si="1651"/>
        <v>-1000</v>
      </c>
      <c r="AJ827" s="132">
        <f t="shared" si="1651"/>
        <v>-1000</v>
      </c>
      <c r="AK827" s="132">
        <f t="shared" si="1651"/>
        <v>-1000</v>
      </c>
      <c r="AL827" s="132">
        <f t="shared" si="1651"/>
        <v>-1000</v>
      </c>
      <c r="AM827" s="132">
        <f t="shared" si="1651"/>
        <v>-1000</v>
      </c>
      <c r="AN827" s="132">
        <f t="shared" si="1651"/>
        <v>-1000</v>
      </c>
      <c r="AO827" s="132">
        <f t="shared" si="1651"/>
        <v>-1000</v>
      </c>
      <c r="AP827" s="132">
        <f t="shared" si="1651"/>
        <v>-1000</v>
      </c>
      <c r="AQ827" s="132">
        <f t="shared" si="1651"/>
        <v>-1000</v>
      </c>
      <c r="AR827" s="132">
        <f t="shared" si="1651"/>
        <v>-1000</v>
      </c>
      <c r="AS827" s="132">
        <f t="shared" si="1651"/>
        <v>-1000</v>
      </c>
    </row>
    <row r="828">
      <c r="A828" s="132" t="s">
        <v>4330</v>
      </c>
      <c r="B828" s="132">
        <v>412.45000000000005</v>
      </c>
      <c r="C828" s="132">
        <v>0.0</v>
      </c>
      <c r="D828" s="132">
        <v>0.0</v>
      </c>
      <c r="E828" s="132">
        <v>100.0</v>
      </c>
      <c r="F828" s="132">
        <v>0.0</v>
      </c>
      <c r="G828" s="132">
        <v>0.0</v>
      </c>
      <c r="H828" s="132">
        <v>0.0</v>
      </c>
      <c r="I828" s="132">
        <v>0.0</v>
      </c>
      <c r="J828" s="132">
        <v>0.0</v>
      </c>
      <c r="K828" s="132">
        <v>0.0</v>
      </c>
      <c r="L828" s="132">
        <v>0.0</v>
      </c>
      <c r="M828" s="132">
        <v>0.0</v>
      </c>
      <c r="N828" s="132">
        <v>0.0</v>
      </c>
      <c r="O828" s="132">
        <v>0.0</v>
      </c>
      <c r="P828" s="132">
        <v>0.0</v>
      </c>
      <c r="Q828" s="132">
        <v>0.0</v>
      </c>
      <c r="R828" s="132">
        <v>0.0</v>
      </c>
      <c r="S828" s="132">
        <v>0.0</v>
      </c>
      <c r="T828" s="132">
        <v>0.0</v>
      </c>
      <c r="U828" s="132">
        <v>0.0</v>
      </c>
      <c r="V828" s="132">
        <v>312.45000000000005</v>
      </c>
      <c r="W828" s="132">
        <v>1.0</v>
      </c>
      <c r="Y828" s="132" t="s">
        <v>4330</v>
      </c>
      <c r="Z828" s="132">
        <f t="shared" ref="Z828:AC828" si="1652">C828-1000</f>
        <v>-1000</v>
      </c>
      <c r="AA828" s="132">
        <f t="shared" si="1652"/>
        <v>-1000</v>
      </c>
      <c r="AB828" s="132">
        <f t="shared" si="1652"/>
        <v>-900</v>
      </c>
      <c r="AC828" s="132">
        <f t="shared" si="1652"/>
        <v>-1000</v>
      </c>
      <c r="AD828" s="132">
        <f t="shared" si="4"/>
        <v>-10000</v>
      </c>
      <c r="AE828" s="132">
        <f t="shared" ref="AE828:AS828" si="1653">H828-1000</f>
        <v>-1000</v>
      </c>
      <c r="AF828" s="132">
        <f t="shared" si="1653"/>
        <v>-1000</v>
      </c>
      <c r="AG828" s="132">
        <f t="shared" si="1653"/>
        <v>-1000</v>
      </c>
      <c r="AH828" s="132">
        <f t="shared" si="1653"/>
        <v>-1000</v>
      </c>
      <c r="AI828" s="132">
        <f t="shared" si="1653"/>
        <v>-1000</v>
      </c>
      <c r="AJ828" s="132">
        <f t="shared" si="1653"/>
        <v>-1000</v>
      </c>
      <c r="AK828" s="132">
        <f t="shared" si="1653"/>
        <v>-1000</v>
      </c>
      <c r="AL828" s="132">
        <f t="shared" si="1653"/>
        <v>-1000</v>
      </c>
      <c r="AM828" s="132">
        <f t="shared" si="1653"/>
        <v>-1000</v>
      </c>
      <c r="AN828" s="132">
        <f t="shared" si="1653"/>
        <v>-1000</v>
      </c>
      <c r="AO828" s="132">
        <f t="shared" si="1653"/>
        <v>-1000</v>
      </c>
      <c r="AP828" s="132">
        <f t="shared" si="1653"/>
        <v>-1000</v>
      </c>
      <c r="AQ828" s="132">
        <f t="shared" si="1653"/>
        <v>-1000</v>
      </c>
      <c r="AR828" s="132">
        <f t="shared" si="1653"/>
        <v>-1000</v>
      </c>
      <c r="AS828" s="132">
        <f t="shared" si="1653"/>
        <v>-687.55</v>
      </c>
    </row>
    <row r="829">
      <c r="A829" s="132" t="s">
        <v>4331</v>
      </c>
      <c r="B829" s="132">
        <v>200.0</v>
      </c>
      <c r="C829" s="132">
        <v>0.0</v>
      </c>
      <c r="D829" s="132">
        <v>0.0</v>
      </c>
      <c r="E829" s="132">
        <v>200.0</v>
      </c>
      <c r="F829" s="132">
        <v>0.0</v>
      </c>
      <c r="G829" s="132">
        <v>0.0</v>
      </c>
      <c r="H829" s="132">
        <v>0.0</v>
      </c>
      <c r="I829" s="132">
        <v>0.0</v>
      </c>
      <c r="J829" s="132">
        <v>0.0</v>
      </c>
      <c r="K829" s="132">
        <v>0.0</v>
      </c>
      <c r="L829" s="132">
        <v>0.0</v>
      </c>
      <c r="M829" s="132">
        <v>0.0</v>
      </c>
      <c r="N829" s="132">
        <v>0.0</v>
      </c>
      <c r="O829" s="132">
        <v>0.0</v>
      </c>
      <c r="P829" s="132">
        <v>0.0</v>
      </c>
      <c r="Q829" s="132">
        <v>0.0</v>
      </c>
      <c r="R829" s="132">
        <v>0.0</v>
      </c>
      <c r="S829" s="132">
        <v>0.0</v>
      </c>
      <c r="T829" s="132">
        <v>0.0</v>
      </c>
      <c r="U829" s="132">
        <v>0.0</v>
      </c>
      <c r="V829" s="132">
        <v>0.0</v>
      </c>
      <c r="W829" s="132">
        <v>0.0</v>
      </c>
      <c r="Y829" s="132" t="s">
        <v>4331</v>
      </c>
      <c r="Z829" s="132">
        <f t="shared" ref="Z829:AC829" si="1654">C829-1000</f>
        <v>-1000</v>
      </c>
      <c r="AA829" s="132">
        <f t="shared" si="1654"/>
        <v>-1000</v>
      </c>
      <c r="AB829" s="132">
        <f t="shared" si="1654"/>
        <v>-800</v>
      </c>
      <c r="AC829" s="132">
        <f t="shared" si="1654"/>
        <v>-1000</v>
      </c>
      <c r="AD829" s="132">
        <f t="shared" si="4"/>
        <v>-10000</v>
      </c>
      <c r="AE829" s="132">
        <f t="shared" ref="AE829:AS829" si="1655">H829-1000</f>
        <v>-1000</v>
      </c>
      <c r="AF829" s="132">
        <f t="shared" si="1655"/>
        <v>-1000</v>
      </c>
      <c r="AG829" s="132">
        <f t="shared" si="1655"/>
        <v>-1000</v>
      </c>
      <c r="AH829" s="132">
        <f t="shared" si="1655"/>
        <v>-1000</v>
      </c>
      <c r="AI829" s="132">
        <f t="shared" si="1655"/>
        <v>-1000</v>
      </c>
      <c r="AJ829" s="132">
        <f t="shared" si="1655"/>
        <v>-1000</v>
      </c>
      <c r="AK829" s="132">
        <f t="shared" si="1655"/>
        <v>-1000</v>
      </c>
      <c r="AL829" s="132">
        <f t="shared" si="1655"/>
        <v>-1000</v>
      </c>
      <c r="AM829" s="132">
        <f t="shared" si="1655"/>
        <v>-1000</v>
      </c>
      <c r="AN829" s="132">
        <f t="shared" si="1655"/>
        <v>-1000</v>
      </c>
      <c r="AO829" s="132">
        <f t="shared" si="1655"/>
        <v>-1000</v>
      </c>
      <c r="AP829" s="132">
        <f t="shared" si="1655"/>
        <v>-1000</v>
      </c>
      <c r="AQ829" s="132">
        <f t="shared" si="1655"/>
        <v>-1000</v>
      </c>
      <c r="AR829" s="132">
        <f t="shared" si="1655"/>
        <v>-1000</v>
      </c>
      <c r="AS829" s="132">
        <f t="shared" si="1655"/>
        <v>-1000</v>
      </c>
    </row>
    <row r="830">
      <c r="A830" s="132" t="s">
        <v>4332</v>
      </c>
      <c r="B830" s="132">
        <v>100.0</v>
      </c>
      <c r="C830" s="132">
        <v>0.0</v>
      </c>
      <c r="D830" s="132">
        <v>0.0</v>
      </c>
      <c r="E830" s="132">
        <v>100.0</v>
      </c>
      <c r="F830" s="132">
        <v>0.0</v>
      </c>
      <c r="G830" s="132">
        <v>0.0</v>
      </c>
      <c r="H830" s="132">
        <v>0.0</v>
      </c>
      <c r="I830" s="132">
        <v>0.0</v>
      </c>
      <c r="J830" s="132">
        <v>0.0</v>
      </c>
      <c r="K830" s="132">
        <v>0.0</v>
      </c>
      <c r="L830" s="132">
        <v>0.0</v>
      </c>
      <c r="M830" s="132">
        <v>0.0</v>
      </c>
      <c r="N830" s="132">
        <v>0.0</v>
      </c>
      <c r="O830" s="132">
        <v>0.0</v>
      </c>
      <c r="P830" s="132">
        <v>0.0</v>
      </c>
      <c r="Q830" s="132">
        <v>0.0</v>
      </c>
      <c r="R830" s="132">
        <v>0.0</v>
      </c>
      <c r="S830" s="132">
        <v>0.0</v>
      </c>
      <c r="T830" s="132">
        <v>0.0</v>
      </c>
      <c r="U830" s="132">
        <v>0.0</v>
      </c>
      <c r="V830" s="132">
        <v>0.0</v>
      </c>
      <c r="W830" s="132">
        <v>0.0</v>
      </c>
      <c r="Y830" s="132" t="s">
        <v>4332</v>
      </c>
      <c r="Z830" s="132">
        <f t="shared" ref="Z830:AC830" si="1656">C830-1000</f>
        <v>-1000</v>
      </c>
      <c r="AA830" s="132">
        <f t="shared" si="1656"/>
        <v>-1000</v>
      </c>
      <c r="AB830" s="132">
        <f t="shared" si="1656"/>
        <v>-900</v>
      </c>
      <c r="AC830" s="132">
        <f t="shared" si="1656"/>
        <v>-1000</v>
      </c>
      <c r="AD830" s="132">
        <f t="shared" si="4"/>
        <v>-10000</v>
      </c>
      <c r="AE830" s="132">
        <f t="shared" ref="AE830:AS830" si="1657">H830-1000</f>
        <v>-1000</v>
      </c>
      <c r="AF830" s="132">
        <f t="shared" si="1657"/>
        <v>-1000</v>
      </c>
      <c r="AG830" s="132">
        <f t="shared" si="1657"/>
        <v>-1000</v>
      </c>
      <c r="AH830" s="132">
        <f t="shared" si="1657"/>
        <v>-1000</v>
      </c>
      <c r="AI830" s="132">
        <f t="shared" si="1657"/>
        <v>-1000</v>
      </c>
      <c r="AJ830" s="132">
        <f t="shared" si="1657"/>
        <v>-1000</v>
      </c>
      <c r="AK830" s="132">
        <f t="shared" si="1657"/>
        <v>-1000</v>
      </c>
      <c r="AL830" s="132">
        <f t="shared" si="1657"/>
        <v>-1000</v>
      </c>
      <c r="AM830" s="132">
        <f t="shared" si="1657"/>
        <v>-1000</v>
      </c>
      <c r="AN830" s="132">
        <f t="shared" si="1657"/>
        <v>-1000</v>
      </c>
      <c r="AO830" s="132">
        <f t="shared" si="1657"/>
        <v>-1000</v>
      </c>
      <c r="AP830" s="132">
        <f t="shared" si="1657"/>
        <v>-1000</v>
      </c>
      <c r="AQ830" s="132">
        <f t="shared" si="1657"/>
        <v>-1000</v>
      </c>
      <c r="AR830" s="132">
        <f t="shared" si="1657"/>
        <v>-1000</v>
      </c>
      <c r="AS830" s="132">
        <f t="shared" si="1657"/>
        <v>-1000</v>
      </c>
    </row>
    <row r="831">
      <c r="A831" s="132" t="s">
        <v>4333</v>
      </c>
      <c r="B831" s="132">
        <v>50.0</v>
      </c>
      <c r="C831" s="132">
        <v>0.0</v>
      </c>
      <c r="D831" s="132">
        <v>0.0</v>
      </c>
      <c r="E831" s="132">
        <v>50.0</v>
      </c>
      <c r="F831" s="132">
        <v>0.0</v>
      </c>
      <c r="G831" s="132">
        <v>0.0</v>
      </c>
      <c r="H831" s="132">
        <v>0.0</v>
      </c>
      <c r="I831" s="132">
        <v>0.0</v>
      </c>
      <c r="J831" s="132">
        <v>0.0</v>
      </c>
      <c r="K831" s="132">
        <v>0.0</v>
      </c>
      <c r="L831" s="132">
        <v>0.0</v>
      </c>
      <c r="M831" s="132">
        <v>0.0</v>
      </c>
      <c r="N831" s="132">
        <v>0.0</v>
      </c>
      <c r="O831" s="132">
        <v>0.0</v>
      </c>
      <c r="P831" s="132">
        <v>0.0</v>
      </c>
      <c r="Q831" s="132">
        <v>0.0</v>
      </c>
      <c r="R831" s="132">
        <v>0.0</v>
      </c>
      <c r="S831" s="132">
        <v>0.0</v>
      </c>
      <c r="T831" s="132">
        <v>0.0</v>
      </c>
      <c r="U831" s="132">
        <v>0.0</v>
      </c>
      <c r="V831" s="132">
        <v>0.0</v>
      </c>
      <c r="W831" s="132">
        <v>0.0</v>
      </c>
      <c r="Y831" s="132" t="s">
        <v>4333</v>
      </c>
      <c r="Z831" s="132">
        <f t="shared" ref="Z831:AC831" si="1658">C831-1000</f>
        <v>-1000</v>
      </c>
      <c r="AA831" s="132">
        <f t="shared" si="1658"/>
        <v>-1000</v>
      </c>
      <c r="AB831" s="132">
        <f t="shared" si="1658"/>
        <v>-950</v>
      </c>
      <c r="AC831" s="132">
        <f t="shared" si="1658"/>
        <v>-1000</v>
      </c>
      <c r="AD831" s="132">
        <f t="shared" si="4"/>
        <v>-10000</v>
      </c>
      <c r="AE831" s="132">
        <f t="shared" ref="AE831:AS831" si="1659">H831-1000</f>
        <v>-1000</v>
      </c>
      <c r="AF831" s="132">
        <f t="shared" si="1659"/>
        <v>-1000</v>
      </c>
      <c r="AG831" s="132">
        <f t="shared" si="1659"/>
        <v>-1000</v>
      </c>
      <c r="AH831" s="132">
        <f t="shared" si="1659"/>
        <v>-1000</v>
      </c>
      <c r="AI831" s="132">
        <f t="shared" si="1659"/>
        <v>-1000</v>
      </c>
      <c r="AJ831" s="132">
        <f t="shared" si="1659"/>
        <v>-1000</v>
      </c>
      <c r="AK831" s="132">
        <f t="shared" si="1659"/>
        <v>-1000</v>
      </c>
      <c r="AL831" s="132">
        <f t="shared" si="1659"/>
        <v>-1000</v>
      </c>
      <c r="AM831" s="132">
        <f t="shared" si="1659"/>
        <v>-1000</v>
      </c>
      <c r="AN831" s="132">
        <f t="shared" si="1659"/>
        <v>-1000</v>
      </c>
      <c r="AO831" s="132">
        <f t="shared" si="1659"/>
        <v>-1000</v>
      </c>
      <c r="AP831" s="132">
        <f t="shared" si="1659"/>
        <v>-1000</v>
      </c>
      <c r="AQ831" s="132">
        <f t="shared" si="1659"/>
        <v>-1000</v>
      </c>
      <c r="AR831" s="132">
        <f t="shared" si="1659"/>
        <v>-1000</v>
      </c>
      <c r="AS831" s="132">
        <f t="shared" si="1659"/>
        <v>-1000</v>
      </c>
    </row>
    <row r="832">
      <c r="A832" s="132" t="s">
        <v>4334</v>
      </c>
      <c r="B832" s="132">
        <v>100.0</v>
      </c>
      <c r="C832" s="132">
        <v>0.0</v>
      </c>
      <c r="D832" s="132">
        <v>0.0</v>
      </c>
      <c r="E832" s="132">
        <v>100.0</v>
      </c>
      <c r="F832" s="132">
        <v>0.0</v>
      </c>
      <c r="G832" s="132">
        <v>0.0</v>
      </c>
      <c r="H832" s="132">
        <v>0.0</v>
      </c>
      <c r="I832" s="132">
        <v>0.0</v>
      </c>
      <c r="J832" s="132">
        <v>0.0</v>
      </c>
      <c r="K832" s="132">
        <v>0.0</v>
      </c>
      <c r="L832" s="132">
        <v>0.0</v>
      </c>
      <c r="M832" s="132">
        <v>0.0</v>
      </c>
      <c r="N832" s="132">
        <v>0.0</v>
      </c>
      <c r="O832" s="132">
        <v>0.0</v>
      </c>
      <c r="P832" s="132">
        <v>0.0</v>
      </c>
      <c r="Q832" s="132">
        <v>0.0</v>
      </c>
      <c r="R832" s="132">
        <v>0.0</v>
      </c>
      <c r="S832" s="132">
        <v>0.0</v>
      </c>
      <c r="T832" s="132">
        <v>0.0</v>
      </c>
      <c r="U832" s="132">
        <v>0.0</v>
      </c>
      <c r="V832" s="132">
        <v>0.0</v>
      </c>
      <c r="W832" s="132">
        <v>0.0</v>
      </c>
      <c r="Y832" s="132" t="s">
        <v>4334</v>
      </c>
      <c r="Z832" s="132">
        <f t="shared" ref="Z832:AC832" si="1660">C832-1000</f>
        <v>-1000</v>
      </c>
      <c r="AA832" s="132">
        <f t="shared" si="1660"/>
        <v>-1000</v>
      </c>
      <c r="AB832" s="132">
        <f t="shared" si="1660"/>
        <v>-900</v>
      </c>
      <c r="AC832" s="132">
        <f t="shared" si="1660"/>
        <v>-1000</v>
      </c>
      <c r="AD832" s="132">
        <f t="shared" si="4"/>
        <v>-10000</v>
      </c>
      <c r="AE832" s="132">
        <f t="shared" ref="AE832:AS832" si="1661">H832-1000</f>
        <v>-1000</v>
      </c>
      <c r="AF832" s="132">
        <f t="shared" si="1661"/>
        <v>-1000</v>
      </c>
      <c r="AG832" s="132">
        <f t="shared" si="1661"/>
        <v>-1000</v>
      </c>
      <c r="AH832" s="132">
        <f t="shared" si="1661"/>
        <v>-1000</v>
      </c>
      <c r="AI832" s="132">
        <f t="shared" si="1661"/>
        <v>-1000</v>
      </c>
      <c r="AJ832" s="132">
        <f t="shared" si="1661"/>
        <v>-1000</v>
      </c>
      <c r="AK832" s="132">
        <f t="shared" si="1661"/>
        <v>-1000</v>
      </c>
      <c r="AL832" s="132">
        <f t="shared" si="1661"/>
        <v>-1000</v>
      </c>
      <c r="AM832" s="132">
        <f t="shared" si="1661"/>
        <v>-1000</v>
      </c>
      <c r="AN832" s="132">
        <f t="shared" si="1661"/>
        <v>-1000</v>
      </c>
      <c r="AO832" s="132">
        <f t="shared" si="1661"/>
        <v>-1000</v>
      </c>
      <c r="AP832" s="132">
        <f t="shared" si="1661"/>
        <v>-1000</v>
      </c>
      <c r="AQ832" s="132">
        <f t="shared" si="1661"/>
        <v>-1000</v>
      </c>
      <c r="AR832" s="132">
        <f t="shared" si="1661"/>
        <v>-1000</v>
      </c>
      <c r="AS832" s="132">
        <f t="shared" si="1661"/>
        <v>-1000</v>
      </c>
    </row>
    <row r="833">
      <c r="A833" s="132" t="s">
        <v>4335</v>
      </c>
      <c r="B833" s="132">
        <v>200.0</v>
      </c>
      <c r="C833" s="132">
        <v>0.0</v>
      </c>
      <c r="D833" s="132">
        <v>0.0</v>
      </c>
      <c r="E833" s="132">
        <v>200.0</v>
      </c>
      <c r="F833" s="132">
        <v>0.0</v>
      </c>
      <c r="G833" s="132">
        <v>0.0</v>
      </c>
      <c r="H833" s="132">
        <v>0.0</v>
      </c>
      <c r="I833" s="132">
        <v>0.0</v>
      </c>
      <c r="J833" s="132">
        <v>0.0</v>
      </c>
      <c r="K833" s="132">
        <v>0.0</v>
      </c>
      <c r="L833" s="132">
        <v>0.0</v>
      </c>
      <c r="M833" s="132">
        <v>0.0</v>
      </c>
      <c r="N833" s="132">
        <v>0.0</v>
      </c>
      <c r="O833" s="132">
        <v>0.0</v>
      </c>
      <c r="P833" s="132">
        <v>0.0</v>
      </c>
      <c r="Q833" s="132">
        <v>0.0</v>
      </c>
      <c r="R833" s="132">
        <v>0.0</v>
      </c>
      <c r="S833" s="132">
        <v>0.0</v>
      </c>
      <c r="T833" s="132">
        <v>0.0</v>
      </c>
      <c r="U833" s="132">
        <v>0.0</v>
      </c>
      <c r="V833" s="132">
        <v>0.0</v>
      </c>
      <c r="W833" s="132">
        <v>0.0</v>
      </c>
      <c r="Y833" s="132" t="s">
        <v>4335</v>
      </c>
      <c r="Z833" s="132">
        <f t="shared" ref="Z833:AC833" si="1662">C833-1000</f>
        <v>-1000</v>
      </c>
      <c r="AA833" s="132">
        <f t="shared" si="1662"/>
        <v>-1000</v>
      </c>
      <c r="AB833" s="132">
        <f t="shared" si="1662"/>
        <v>-800</v>
      </c>
      <c r="AC833" s="132">
        <f t="shared" si="1662"/>
        <v>-1000</v>
      </c>
      <c r="AD833" s="132">
        <f t="shared" si="4"/>
        <v>-10000</v>
      </c>
      <c r="AE833" s="132">
        <f t="shared" ref="AE833:AS833" si="1663">H833-1000</f>
        <v>-1000</v>
      </c>
      <c r="AF833" s="132">
        <f t="shared" si="1663"/>
        <v>-1000</v>
      </c>
      <c r="AG833" s="132">
        <f t="shared" si="1663"/>
        <v>-1000</v>
      </c>
      <c r="AH833" s="132">
        <f t="shared" si="1663"/>
        <v>-1000</v>
      </c>
      <c r="AI833" s="132">
        <f t="shared" si="1663"/>
        <v>-1000</v>
      </c>
      <c r="AJ833" s="132">
        <f t="shared" si="1663"/>
        <v>-1000</v>
      </c>
      <c r="AK833" s="132">
        <f t="shared" si="1663"/>
        <v>-1000</v>
      </c>
      <c r="AL833" s="132">
        <f t="shared" si="1663"/>
        <v>-1000</v>
      </c>
      <c r="AM833" s="132">
        <f t="shared" si="1663"/>
        <v>-1000</v>
      </c>
      <c r="AN833" s="132">
        <f t="shared" si="1663"/>
        <v>-1000</v>
      </c>
      <c r="AO833" s="132">
        <f t="shared" si="1663"/>
        <v>-1000</v>
      </c>
      <c r="AP833" s="132">
        <f t="shared" si="1663"/>
        <v>-1000</v>
      </c>
      <c r="AQ833" s="132">
        <f t="shared" si="1663"/>
        <v>-1000</v>
      </c>
      <c r="AR833" s="132">
        <f t="shared" si="1663"/>
        <v>-1000</v>
      </c>
      <c r="AS833" s="132">
        <f t="shared" si="1663"/>
        <v>-1000</v>
      </c>
    </row>
    <row r="834">
      <c r="A834" s="132" t="s">
        <v>4336</v>
      </c>
      <c r="B834" s="132">
        <v>100.0</v>
      </c>
      <c r="C834" s="132">
        <v>0.0</v>
      </c>
      <c r="D834" s="132">
        <v>0.0</v>
      </c>
      <c r="E834" s="132">
        <v>100.0</v>
      </c>
      <c r="F834" s="132">
        <v>0.0</v>
      </c>
      <c r="G834" s="132">
        <v>0.0</v>
      </c>
      <c r="H834" s="132">
        <v>0.0</v>
      </c>
      <c r="I834" s="132">
        <v>0.0</v>
      </c>
      <c r="J834" s="132">
        <v>0.0</v>
      </c>
      <c r="K834" s="132">
        <v>0.0</v>
      </c>
      <c r="L834" s="132">
        <v>0.0</v>
      </c>
      <c r="M834" s="132">
        <v>0.0</v>
      </c>
      <c r="N834" s="132">
        <v>0.0</v>
      </c>
      <c r="O834" s="132">
        <v>0.0</v>
      </c>
      <c r="P834" s="132">
        <v>0.0</v>
      </c>
      <c r="Q834" s="132">
        <v>0.0</v>
      </c>
      <c r="R834" s="132">
        <v>0.0</v>
      </c>
      <c r="S834" s="132">
        <v>0.0</v>
      </c>
      <c r="T834" s="132">
        <v>0.0</v>
      </c>
      <c r="U834" s="132">
        <v>0.0</v>
      </c>
      <c r="V834" s="132">
        <v>0.0</v>
      </c>
      <c r="W834" s="132">
        <v>0.0</v>
      </c>
      <c r="Y834" s="132" t="s">
        <v>4336</v>
      </c>
      <c r="Z834" s="132">
        <f t="shared" ref="Z834:AC834" si="1664">C834-1000</f>
        <v>-1000</v>
      </c>
      <c r="AA834" s="132">
        <f t="shared" si="1664"/>
        <v>-1000</v>
      </c>
      <c r="AB834" s="132">
        <f t="shared" si="1664"/>
        <v>-900</v>
      </c>
      <c r="AC834" s="132">
        <f t="shared" si="1664"/>
        <v>-1000</v>
      </c>
      <c r="AD834" s="132">
        <f t="shared" si="4"/>
        <v>-10000</v>
      </c>
      <c r="AE834" s="132">
        <f t="shared" ref="AE834:AS834" si="1665">H834-1000</f>
        <v>-1000</v>
      </c>
      <c r="AF834" s="132">
        <f t="shared" si="1665"/>
        <v>-1000</v>
      </c>
      <c r="AG834" s="132">
        <f t="shared" si="1665"/>
        <v>-1000</v>
      </c>
      <c r="AH834" s="132">
        <f t="shared" si="1665"/>
        <v>-1000</v>
      </c>
      <c r="AI834" s="132">
        <f t="shared" si="1665"/>
        <v>-1000</v>
      </c>
      <c r="AJ834" s="132">
        <f t="shared" si="1665"/>
        <v>-1000</v>
      </c>
      <c r="AK834" s="132">
        <f t="shared" si="1665"/>
        <v>-1000</v>
      </c>
      <c r="AL834" s="132">
        <f t="shared" si="1665"/>
        <v>-1000</v>
      </c>
      <c r="AM834" s="132">
        <f t="shared" si="1665"/>
        <v>-1000</v>
      </c>
      <c r="AN834" s="132">
        <f t="shared" si="1665"/>
        <v>-1000</v>
      </c>
      <c r="AO834" s="132">
        <f t="shared" si="1665"/>
        <v>-1000</v>
      </c>
      <c r="AP834" s="132">
        <f t="shared" si="1665"/>
        <v>-1000</v>
      </c>
      <c r="AQ834" s="132">
        <f t="shared" si="1665"/>
        <v>-1000</v>
      </c>
      <c r="AR834" s="132">
        <f t="shared" si="1665"/>
        <v>-1000</v>
      </c>
      <c r="AS834" s="132">
        <f t="shared" si="1665"/>
        <v>-1000</v>
      </c>
    </row>
    <row r="835">
      <c r="A835" s="132" t="s">
        <v>4337</v>
      </c>
      <c r="B835" s="132">
        <v>100.0</v>
      </c>
      <c r="C835" s="132">
        <v>0.0</v>
      </c>
      <c r="D835" s="132">
        <v>0.0</v>
      </c>
      <c r="E835" s="132">
        <v>100.0</v>
      </c>
      <c r="F835" s="132">
        <v>0.0</v>
      </c>
      <c r="G835" s="132">
        <v>0.0</v>
      </c>
      <c r="H835" s="132">
        <v>0.0</v>
      </c>
      <c r="I835" s="132">
        <v>0.0</v>
      </c>
      <c r="J835" s="132">
        <v>0.0</v>
      </c>
      <c r="K835" s="132">
        <v>0.0</v>
      </c>
      <c r="L835" s="132">
        <v>0.0</v>
      </c>
      <c r="M835" s="132">
        <v>0.0</v>
      </c>
      <c r="N835" s="132">
        <v>0.0</v>
      </c>
      <c r="O835" s="132">
        <v>0.0</v>
      </c>
      <c r="P835" s="132">
        <v>0.0</v>
      </c>
      <c r="Q835" s="132">
        <v>0.0</v>
      </c>
      <c r="R835" s="132">
        <v>0.0</v>
      </c>
      <c r="S835" s="132">
        <v>0.0</v>
      </c>
      <c r="T835" s="132">
        <v>0.0</v>
      </c>
      <c r="U835" s="132">
        <v>0.0</v>
      </c>
      <c r="V835" s="132">
        <v>0.0</v>
      </c>
      <c r="W835" s="132">
        <v>0.0</v>
      </c>
      <c r="Y835" s="132" t="s">
        <v>4337</v>
      </c>
      <c r="Z835" s="132">
        <f t="shared" ref="Z835:AC835" si="1666">C835-1000</f>
        <v>-1000</v>
      </c>
      <c r="AA835" s="132">
        <f t="shared" si="1666"/>
        <v>-1000</v>
      </c>
      <c r="AB835" s="132">
        <f t="shared" si="1666"/>
        <v>-900</v>
      </c>
      <c r="AC835" s="132">
        <f t="shared" si="1666"/>
        <v>-1000</v>
      </c>
      <c r="AD835" s="132">
        <f t="shared" si="4"/>
        <v>-10000</v>
      </c>
      <c r="AE835" s="132">
        <f t="shared" ref="AE835:AS835" si="1667">H835-1000</f>
        <v>-1000</v>
      </c>
      <c r="AF835" s="132">
        <f t="shared" si="1667"/>
        <v>-1000</v>
      </c>
      <c r="AG835" s="132">
        <f t="shared" si="1667"/>
        <v>-1000</v>
      </c>
      <c r="AH835" s="132">
        <f t="shared" si="1667"/>
        <v>-1000</v>
      </c>
      <c r="AI835" s="132">
        <f t="shared" si="1667"/>
        <v>-1000</v>
      </c>
      <c r="AJ835" s="132">
        <f t="shared" si="1667"/>
        <v>-1000</v>
      </c>
      <c r="AK835" s="132">
        <f t="shared" si="1667"/>
        <v>-1000</v>
      </c>
      <c r="AL835" s="132">
        <f t="shared" si="1667"/>
        <v>-1000</v>
      </c>
      <c r="AM835" s="132">
        <f t="shared" si="1667"/>
        <v>-1000</v>
      </c>
      <c r="AN835" s="132">
        <f t="shared" si="1667"/>
        <v>-1000</v>
      </c>
      <c r="AO835" s="132">
        <f t="shared" si="1667"/>
        <v>-1000</v>
      </c>
      <c r="AP835" s="132">
        <f t="shared" si="1667"/>
        <v>-1000</v>
      </c>
      <c r="AQ835" s="132">
        <f t="shared" si="1667"/>
        <v>-1000</v>
      </c>
      <c r="AR835" s="132">
        <f t="shared" si="1667"/>
        <v>-1000</v>
      </c>
      <c r="AS835" s="132">
        <f t="shared" si="1667"/>
        <v>-1000</v>
      </c>
    </row>
    <row r="836">
      <c r="A836" s="132" t="s">
        <v>4338</v>
      </c>
      <c r="B836" s="132">
        <v>500.0</v>
      </c>
      <c r="C836" s="132">
        <v>0.0</v>
      </c>
      <c r="D836" s="132">
        <v>0.0</v>
      </c>
      <c r="E836" s="132">
        <v>500.0</v>
      </c>
      <c r="F836" s="132">
        <v>0.0</v>
      </c>
      <c r="G836" s="132">
        <v>0.0</v>
      </c>
      <c r="H836" s="132">
        <v>0.0</v>
      </c>
      <c r="I836" s="132">
        <v>0.0</v>
      </c>
      <c r="J836" s="132">
        <v>0.0</v>
      </c>
      <c r="K836" s="132">
        <v>0.0</v>
      </c>
      <c r="L836" s="132">
        <v>0.0</v>
      </c>
      <c r="M836" s="132">
        <v>0.0</v>
      </c>
      <c r="N836" s="132">
        <v>0.0</v>
      </c>
      <c r="O836" s="132">
        <v>0.0</v>
      </c>
      <c r="P836" s="132">
        <v>0.0</v>
      </c>
      <c r="Q836" s="132">
        <v>0.0</v>
      </c>
      <c r="R836" s="132">
        <v>0.0</v>
      </c>
      <c r="S836" s="132">
        <v>0.0</v>
      </c>
      <c r="T836" s="132">
        <v>0.0</v>
      </c>
      <c r="U836" s="132">
        <v>0.0</v>
      </c>
      <c r="V836" s="132">
        <v>0.0</v>
      </c>
      <c r="W836" s="132">
        <v>0.0</v>
      </c>
      <c r="Y836" s="132" t="s">
        <v>4338</v>
      </c>
      <c r="Z836" s="132">
        <f t="shared" ref="Z836:AC836" si="1668">C836-1000</f>
        <v>-1000</v>
      </c>
      <c r="AA836" s="132">
        <f t="shared" si="1668"/>
        <v>-1000</v>
      </c>
      <c r="AB836" s="132">
        <f t="shared" si="1668"/>
        <v>-500</v>
      </c>
      <c r="AC836" s="132">
        <f t="shared" si="1668"/>
        <v>-1000</v>
      </c>
      <c r="AD836" s="132">
        <f t="shared" si="4"/>
        <v>-10000</v>
      </c>
      <c r="AE836" s="132">
        <f t="shared" ref="AE836:AS836" si="1669">H836-1000</f>
        <v>-1000</v>
      </c>
      <c r="AF836" s="132">
        <f t="shared" si="1669"/>
        <v>-1000</v>
      </c>
      <c r="AG836" s="132">
        <f t="shared" si="1669"/>
        <v>-1000</v>
      </c>
      <c r="AH836" s="132">
        <f t="shared" si="1669"/>
        <v>-1000</v>
      </c>
      <c r="AI836" s="132">
        <f t="shared" si="1669"/>
        <v>-1000</v>
      </c>
      <c r="AJ836" s="132">
        <f t="shared" si="1669"/>
        <v>-1000</v>
      </c>
      <c r="AK836" s="132">
        <f t="shared" si="1669"/>
        <v>-1000</v>
      </c>
      <c r="AL836" s="132">
        <f t="shared" si="1669"/>
        <v>-1000</v>
      </c>
      <c r="AM836" s="132">
        <f t="shared" si="1669"/>
        <v>-1000</v>
      </c>
      <c r="AN836" s="132">
        <f t="shared" si="1669"/>
        <v>-1000</v>
      </c>
      <c r="AO836" s="132">
        <f t="shared" si="1669"/>
        <v>-1000</v>
      </c>
      <c r="AP836" s="132">
        <f t="shared" si="1669"/>
        <v>-1000</v>
      </c>
      <c r="AQ836" s="132">
        <f t="shared" si="1669"/>
        <v>-1000</v>
      </c>
      <c r="AR836" s="132">
        <f t="shared" si="1669"/>
        <v>-1000</v>
      </c>
      <c r="AS836" s="132">
        <f t="shared" si="1669"/>
        <v>-1000</v>
      </c>
    </row>
    <row r="837">
      <c r="A837" s="132" t="s">
        <v>4339</v>
      </c>
      <c r="B837" s="132">
        <v>50.0</v>
      </c>
      <c r="C837" s="132">
        <v>0.0</v>
      </c>
      <c r="D837" s="132">
        <v>0.0</v>
      </c>
      <c r="E837" s="132">
        <v>50.0</v>
      </c>
      <c r="F837" s="132">
        <v>0.0</v>
      </c>
      <c r="G837" s="132">
        <v>0.0</v>
      </c>
      <c r="H837" s="132">
        <v>0.0</v>
      </c>
      <c r="I837" s="132">
        <v>0.0</v>
      </c>
      <c r="J837" s="132">
        <v>0.0</v>
      </c>
      <c r="K837" s="132">
        <v>0.0</v>
      </c>
      <c r="L837" s="132">
        <v>0.0</v>
      </c>
      <c r="M837" s="132">
        <v>0.0</v>
      </c>
      <c r="N837" s="132">
        <v>0.0</v>
      </c>
      <c r="O837" s="132">
        <v>0.0</v>
      </c>
      <c r="P837" s="132">
        <v>0.0</v>
      </c>
      <c r="Q837" s="132">
        <v>0.0</v>
      </c>
      <c r="R837" s="132">
        <v>0.0</v>
      </c>
      <c r="S837" s="132">
        <v>0.0</v>
      </c>
      <c r="T837" s="132">
        <v>0.0</v>
      </c>
      <c r="U837" s="132">
        <v>0.0</v>
      </c>
      <c r="V837" s="132">
        <v>0.0</v>
      </c>
      <c r="W837" s="132">
        <v>0.0</v>
      </c>
      <c r="Y837" s="132" t="s">
        <v>4339</v>
      </c>
      <c r="Z837" s="132">
        <f t="shared" ref="Z837:AC837" si="1670">C837-1000</f>
        <v>-1000</v>
      </c>
      <c r="AA837" s="132">
        <f t="shared" si="1670"/>
        <v>-1000</v>
      </c>
      <c r="AB837" s="132">
        <f t="shared" si="1670"/>
        <v>-950</v>
      </c>
      <c r="AC837" s="132">
        <f t="shared" si="1670"/>
        <v>-1000</v>
      </c>
      <c r="AD837" s="132">
        <f t="shared" si="4"/>
        <v>-10000</v>
      </c>
      <c r="AE837" s="132">
        <f t="shared" ref="AE837:AS837" si="1671">H837-1000</f>
        <v>-1000</v>
      </c>
      <c r="AF837" s="132">
        <f t="shared" si="1671"/>
        <v>-1000</v>
      </c>
      <c r="AG837" s="132">
        <f t="shared" si="1671"/>
        <v>-1000</v>
      </c>
      <c r="AH837" s="132">
        <f t="shared" si="1671"/>
        <v>-1000</v>
      </c>
      <c r="AI837" s="132">
        <f t="shared" si="1671"/>
        <v>-1000</v>
      </c>
      <c r="AJ837" s="132">
        <f t="shared" si="1671"/>
        <v>-1000</v>
      </c>
      <c r="AK837" s="132">
        <f t="shared" si="1671"/>
        <v>-1000</v>
      </c>
      <c r="AL837" s="132">
        <f t="shared" si="1671"/>
        <v>-1000</v>
      </c>
      <c r="AM837" s="132">
        <f t="shared" si="1671"/>
        <v>-1000</v>
      </c>
      <c r="AN837" s="132">
        <f t="shared" si="1671"/>
        <v>-1000</v>
      </c>
      <c r="AO837" s="132">
        <f t="shared" si="1671"/>
        <v>-1000</v>
      </c>
      <c r="AP837" s="132">
        <f t="shared" si="1671"/>
        <v>-1000</v>
      </c>
      <c r="AQ837" s="132">
        <f t="shared" si="1671"/>
        <v>-1000</v>
      </c>
      <c r="AR837" s="132">
        <f t="shared" si="1671"/>
        <v>-1000</v>
      </c>
      <c r="AS837" s="132">
        <f t="shared" si="1671"/>
        <v>-1000</v>
      </c>
    </row>
    <row r="838">
      <c r="A838" s="132" t="s">
        <v>4340</v>
      </c>
      <c r="B838" s="132">
        <v>1000.0</v>
      </c>
      <c r="C838" s="132">
        <v>0.0</v>
      </c>
      <c r="D838" s="132">
        <v>0.0</v>
      </c>
      <c r="E838" s="132">
        <v>1000.0</v>
      </c>
      <c r="F838" s="132">
        <v>0.0</v>
      </c>
      <c r="G838" s="132">
        <v>0.0</v>
      </c>
      <c r="H838" s="132">
        <v>0.0</v>
      </c>
      <c r="I838" s="132">
        <v>0.0</v>
      </c>
      <c r="J838" s="132">
        <v>0.0</v>
      </c>
      <c r="K838" s="132">
        <v>0.0</v>
      </c>
      <c r="L838" s="132">
        <v>0.0</v>
      </c>
      <c r="M838" s="132">
        <v>0.0</v>
      </c>
      <c r="N838" s="132">
        <v>0.0</v>
      </c>
      <c r="O838" s="132">
        <v>0.0</v>
      </c>
      <c r="P838" s="132">
        <v>0.0</v>
      </c>
      <c r="Q838" s="132">
        <v>0.0</v>
      </c>
      <c r="R838" s="132">
        <v>0.0</v>
      </c>
      <c r="S838" s="132">
        <v>0.0</v>
      </c>
      <c r="T838" s="132">
        <v>0.0</v>
      </c>
      <c r="U838" s="132">
        <v>0.0</v>
      </c>
      <c r="V838" s="132">
        <v>0.0</v>
      </c>
      <c r="W838" s="132">
        <v>0.0</v>
      </c>
      <c r="Y838" s="132" t="s">
        <v>4340</v>
      </c>
      <c r="Z838" s="132">
        <f t="shared" ref="Z838:AC838" si="1672">C838-1000</f>
        <v>-1000</v>
      </c>
      <c r="AA838" s="132">
        <f t="shared" si="1672"/>
        <v>-1000</v>
      </c>
      <c r="AB838" s="132">
        <f t="shared" si="1672"/>
        <v>0</v>
      </c>
      <c r="AC838" s="132">
        <f t="shared" si="1672"/>
        <v>-1000</v>
      </c>
      <c r="AD838" s="132">
        <f t="shared" si="4"/>
        <v>-10000</v>
      </c>
      <c r="AE838" s="132">
        <f t="shared" ref="AE838:AS838" si="1673">H838-1000</f>
        <v>-1000</v>
      </c>
      <c r="AF838" s="132">
        <f t="shared" si="1673"/>
        <v>-1000</v>
      </c>
      <c r="AG838" s="132">
        <f t="shared" si="1673"/>
        <v>-1000</v>
      </c>
      <c r="AH838" s="132">
        <f t="shared" si="1673"/>
        <v>-1000</v>
      </c>
      <c r="AI838" s="132">
        <f t="shared" si="1673"/>
        <v>-1000</v>
      </c>
      <c r="AJ838" s="132">
        <f t="shared" si="1673"/>
        <v>-1000</v>
      </c>
      <c r="AK838" s="132">
        <f t="shared" si="1673"/>
        <v>-1000</v>
      </c>
      <c r="AL838" s="132">
        <f t="shared" si="1673"/>
        <v>-1000</v>
      </c>
      <c r="AM838" s="132">
        <f t="shared" si="1673"/>
        <v>-1000</v>
      </c>
      <c r="AN838" s="132">
        <f t="shared" si="1673"/>
        <v>-1000</v>
      </c>
      <c r="AO838" s="132">
        <f t="shared" si="1673"/>
        <v>-1000</v>
      </c>
      <c r="AP838" s="132">
        <f t="shared" si="1673"/>
        <v>-1000</v>
      </c>
      <c r="AQ838" s="132">
        <f t="shared" si="1673"/>
        <v>-1000</v>
      </c>
      <c r="AR838" s="132">
        <f t="shared" si="1673"/>
        <v>-1000</v>
      </c>
      <c r="AS838" s="132">
        <f t="shared" si="1673"/>
        <v>-1000</v>
      </c>
    </row>
    <row r="839">
      <c r="A839" s="132" t="s">
        <v>4341</v>
      </c>
      <c r="B839" s="132">
        <v>100.0</v>
      </c>
      <c r="C839" s="132">
        <v>0.0</v>
      </c>
      <c r="D839" s="132">
        <v>0.0</v>
      </c>
      <c r="E839" s="132">
        <v>100.0</v>
      </c>
      <c r="F839" s="132">
        <v>0.0</v>
      </c>
      <c r="G839" s="132">
        <v>0.0</v>
      </c>
      <c r="H839" s="132">
        <v>0.0</v>
      </c>
      <c r="I839" s="132">
        <v>0.0</v>
      </c>
      <c r="J839" s="132">
        <v>0.0</v>
      </c>
      <c r="K839" s="132">
        <v>0.0</v>
      </c>
      <c r="L839" s="132">
        <v>0.0</v>
      </c>
      <c r="M839" s="132">
        <v>0.0</v>
      </c>
      <c r="N839" s="132">
        <v>0.0</v>
      </c>
      <c r="O839" s="132">
        <v>0.0</v>
      </c>
      <c r="P839" s="132">
        <v>0.0</v>
      </c>
      <c r="Q839" s="132">
        <v>0.0</v>
      </c>
      <c r="R839" s="132">
        <v>0.0</v>
      </c>
      <c r="S839" s="132">
        <v>0.0</v>
      </c>
      <c r="T839" s="132">
        <v>0.0</v>
      </c>
      <c r="U839" s="132">
        <v>0.0</v>
      </c>
      <c r="V839" s="132">
        <v>0.0</v>
      </c>
      <c r="W839" s="132">
        <v>0.0</v>
      </c>
      <c r="Y839" s="132" t="s">
        <v>4341</v>
      </c>
      <c r="Z839" s="132">
        <f t="shared" ref="Z839:AC839" si="1674">C839-1000</f>
        <v>-1000</v>
      </c>
      <c r="AA839" s="132">
        <f t="shared" si="1674"/>
        <v>-1000</v>
      </c>
      <c r="AB839" s="132">
        <f t="shared" si="1674"/>
        <v>-900</v>
      </c>
      <c r="AC839" s="132">
        <f t="shared" si="1674"/>
        <v>-1000</v>
      </c>
      <c r="AD839" s="132">
        <f t="shared" si="4"/>
        <v>-10000</v>
      </c>
      <c r="AE839" s="132">
        <f t="shared" ref="AE839:AS839" si="1675">H839-1000</f>
        <v>-1000</v>
      </c>
      <c r="AF839" s="132">
        <f t="shared" si="1675"/>
        <v>-1000</v>
      </c>
      <c r="AG839" s="132">
        <f t="shared" si="1675"/>
        <v>-1000</v>
      </c>
      <c r="AH839" s="132">
        <f t="shared" si="1675"/>
        <v>-1000</v>
      </c>
      <c r="AI839" s="132">
        <f t="shared" si="1675"/>
        <v>-1000</v>
      </c>
      <c r="AJ839" s="132">
        <f t="shared" si="1675"/>
        <v>-1000</v>
      </c>
      <c r="AK839" s="132">
        <f t="shared" si="1675"/>
        <v>-1000</v>
      </c>
      <c r="AL839" s="132">
        <f t="shared" si="1675"/>
        <v>-1000</v>
      </c>
      <c r="AM839" s="132">
        <f t="shared" si="1675"/>
        <v>-1000</v>
      </c>
      <c r="AN839" s="132">
        <f t="shared" si="1675"/>
        <v>-1000</v>
      </c>
      <c r="AO839" s="132">
        <f t="shared" si="1675"/>
        <v>-1000</v>
      </c>
      <c r="AP839" s="132">
        <f t="shared" si="1675"/>
        <v>-1000</v>
      </c>
      <c r="AQ839" s="132">
        <f t="shared" si="1675"/>
        <v>-1000</v>
      </c>
      <c r="AR839" s="132">
        <f t="shared" si="1675"/>
        <v>-1000</v>
      </c>
      <c r="AS839" s="132">
        <f t="shared" si="1675"/>
        <v>-1000</v>
      </c>
    </row>
    <row r="840">
      <c r="A840" s="132" t="s">
        <v>4342</v>
      </c>
      <c r="B840" s="132">
        <v>50.0</v>
      </c>
      <c r="C840" s="132">
        <v>0.0</v>
      </c>
      <c r="D840" s="132">
        <v>0.0</v>
      </c>
      <c r="E840" s="132">
        <v>50.0</v>
      </c>
      <c r="F840" s="132">
        <v>0.0</v>
      </c>
      <c r="G840" s="132">
        <v>0.0</v>
      </c>
      <c r="H840" s="132">
        <v>0.0</v>
      </c>
      <c r="I840" s="132">
        <v>0.0</v>
      </c>
      <c r="J840" s="132">
        <v>0.0</v>
      </c>
      <c r="K840" s="132">
        <v>0.0</v>
      </c>
      <c r="L840" s="132">
        <v>0.0</v>
      </c>
      <c r="M840" s="132">
        <v>0.0</v>
      </c>
      <c r="N840" s="132">
        <v>0.0</v>
      </c>
      <c r="O840" s="132">
        <v>0.0</v>
      </c>
      <c r="P840" s="132">
        <v>0.0</v>
      </c>
      <c r="Q840" s="132">
        <v>0.0</v>
      </c>
      <c r="R840" s="132">
        <v>0.0</v>
      </c>
      <c r="S840" s="132">
        <v>0.0</v>
      </c>
      <c r="T840" s="132">
        <v>0.0</v>
      </c>
      <c r="U840" s="132">
        <v>0.0</v>
      </c>
      <c r="V840" s="132">
        <v>0.0</v>
      </c>
      <c r="W840" s="132">
        <v>0.0</v>
      </c>
      <c r="Y840" s="132" t="s">
        <v>4342</v>
      </c>
      <c r="Z840" s="132">
        <f t="shared" ref="Z840:AC840" si="1676">C840-1000</f>
        <v>-1000</v>
      </c>
      <c r="AA840" s="132">
        <f t="shared" si="1676"/>
        <v>-1000</v>
      </c>
      <c r="AB840" s="132">
        <f t="shared" si="1676"/>
        <v>-950</v>
      </c>
      <c r="AC840" s="132">
        <f t="shared" si="1676"/>
        <v>-1000</v>
      </c>
      <c r="AD840" s="132">
        <f t="shared" si="4"/>
        <v>-10000</v>
      </c>
      <c r="AE840" s="132">
        <f t="shared" ref="AE840:AS840" si="1677">H840-1000</f>
        <v>-1000</v>
      </c>
      <c r="AF840" s="132">
        <f t="shared" si="1677"/>
        <v>-1000</v>
      </c>
      <c r="AG840" s="132">
        <f t="shared" si="1677"/>
        <v>-1000</v>
      </c>
      <c r="AH840" s="132">
        <f t="shared" si="1677"/>
        <v>-1000</v>
      </c>
      <c r="AI840" s="132">
        <f t="shared" si="1677"/>
        <v>-1000</v>
      </c>
      <c r="AJ840" s="132">
        <f t="shared" si="1677"/>
        <v>-1000</v>
      </c>
      <c r="AK840" s="132">
        <f t="shared" si="1677"/>
        <v>-1000</v>
      </c>
      <c r="AL840" s="132">
        <f t="shared" si="1677"/>
        <v>-1000</v>
      </c>
      <c r="AM840" s="132">
        <f t="shared" si="1677"/>
        <v>-1000</v>
      </c>
      <c r="AN840" s="132">
        <f t="shared" si="1677"/>
        <v>-1000</v>
      </c>
      <c r="AO840" s="132">
        <f t="shared" si="1677"/>
        <v>-1000</v>
      </c>
      <c r="AP840" s="132">
        <f t="shared" si="1677"/>
        <v>-1000</v>
      </c>
      <c r="AQ840" s="132">
        <f t="shared" si="1677"/>
        <v>-1000</v>
      </c>
      <c r="AR840" s="132">
        <f t="shared" si="1677"/>
        <v>-1000</v>
      </c>
      <c r="AS840" s="132">
        <f t="shared" si="1677"/>
        <v>-1000</v>
      </c>
    </row>
    <row r="841">
      <c r="A841" s="132" t="s">
        <v>4343</v>
      </c>
      <c r="B841" s="132">
        <v>500.0</v>
      </c>
      <c r="C841" s="132">
        <v>0.0</v>
      </c>
      <c r="D841" s="132">
        <v>0.0</v>
      </c>
      <c r="E841" s="132">
        <v>500.0</v>
      </c>
      <c r="F841" s="132">
        <v>0.0</v>
      </c>
      <c r="G841" s="132">
        <v>0.0</v>
      </c>
      <c r="H841" s="132">
        <v>0.0</v>
      </c>
      <c r="I841" s="132">
        <v>0.0</v>
      </c>
      <c r="J841" s="132">
        <v>0.0</v>
      </c>
      <c r="K841" s="132">
        <v>0.0</v>
      </c>
      <c r="L841" s="132">
        <v>0.0</v>
      </c>
      <c r="M841" s="132">
        <v>0.0</v>
      </c>
      <c r="N841" s="132">
        <v>0.0</v>
      </c>
      <c r="O841" s="132">
        <v>0.0</v>
      </c>
      <c r="P841" s="132">
        <v>0.0</v>
      </c>
      <c r="Q841" s="132">
        <v>0.0</v>
      </c>
      <c r="R841" s="132">
        <v>0.0</v>
      </c>
      <c r="S841" s="132">
        <v>0.0</v>
      </c>
      <c r="T841" s="132">
        <v>0.0</v>
      </c>
      <c r="U841" s="132">
        <v>0.0</v>
      </c>
      <c r="V841" s="132">
        <v>0.0</v>
      </c>
      <c r="W841" s="132">
        <v>0.0</v>
      </c>
      <c r="Y841" s="132" t="s">
        <v>4343</v>
      </c>
      <c r="Z841" s="132">
        <f t="shared" ref="Z841:AC841" si="1678">C841-1000</f>
        <v>-1000</v>
      </c>
      <c r="AA841" s="132">
        <f t="shared" si="1678"/>
        <v>-1000</v>
      </c>
      <c r="AB841" s="132">
        <f t="shared" si="1678"/>
        <v>-500</v>
      </c>
      <c r="AC841" s="132">
        <f t="shared" si="1678"/>
        <v>-1000</v>
      </c>
      <c r="AD841" s="132">
        <f t="shared" si="4"/>
        <v>-10000</v>
      </c>
      <c r="AE841" s="132">
        <f t="shared" ref="AE841:AS841" si="1679">H841-1000</f>
        <v>-1000</v>
      </c>
      <c r="AF841" s="132">
        <f t="shared" si="1679"/>
        <v>-1000</v>
      </c>
      <c r="AG841" s="132">
        <f t="shared" si="1679"/>
        <v>-1000</v>
      </c>
      <c r="AH841" s="132">
        <f t="shared" si="1679"/>
        <v>-1000</v>
      </c>
      <c r="AI841" s="132">
        <f t="shared" si="1679"/>
        <v>-1000</v>
      </c>
      <c r="AJ841" s="132">
        <f t="shared" si="1679"/>
        <v>-1000</v>
      </c>
      <c r="AK841" s="132">
        <f t="shared" si="1679"/>
        <v>-1000</v>
      </c>
      <c r="AL841" s="132">
        <f t="shared" si="1679"/>
        <v>-1000</v>
      </c>
      <c r="AM841" s="132">
        <f t="shared" si="1679"/>
        <v>-1000</v>
      </c>
      <c r="AN841" s="132">
        <f t="shared" si="1679"/>
        <v>-1000</v>
      </c>
      <c r="AO841" s="132">
        <f t="shared" si="1679"/>
        <v>-1000</v>
      </c>
      <c r="AP841" s="132">
        <f t="shared" si="1679"/>
        <v>-1000</v>
      </c>
      <c r="AQ841" s="132">
        <f t="shared" si="1679"/>
        <v>-1000</v>
      </c>
      <c r="AR841" s="132">
        <f t="shared" si="1679"/>
        <v>-1000</v>
      </c>
      <c r="AS841" s="132">
        <f t="shared" si="1679"/>
        <v>-1000</v>
      </c>
    </row>
    <row r="842">
      <c r="A842" s="132" t="s">
        <v>4344</v>
      </c>
      <c r="B842" s="132">
        <v>1000.0</v>
      </c>
      <c r="C842" s="132">
        <v>0.0</v>
      </c>
      <c r="D842" s="132">
        <v>0.0</v>
      </c>
      <c r="E842" s="132">
        <v>1000.0</v>
      </c>
      <c r="F842" s="132">
        <v>0.0</v>
      </c>
      <c r="G842" s="132">
        <v>0.0</v>
      </c>
      <c r="H842" s="132">
        <v>0.0</v>
      </c>
      <c r="I842" s="132">
        <v>0.0</v>
      </c>
      <c r="J842" s="132">
        <v>0.0</v>
      </c>
      <c r="K842" s="132">
        <v>0.0</v>
      </c>
      <c r="L842" s="132">
        <v>0.0</v>
      </c>
      <c r="M842" s="132">
        <v>0.0</v>
      </c>
      <c r="N842" s="132">
        <v>0.0</v>
      </c>
      <c r="O842" s="132">
        <v>0.0</v>
      </c>
      <c r="P842" s="132">
        <v>0.0</v>
      </c>
      <c r="Q842" s="132">
        <v>0.0</v>
      </c>
      <c r="R842" s="132">
        <v>0.0</v>
      </c>
      <c r="S842" s="132">
        <v>0.0</v>
      </c>
      <c r="T842" s="132">
        <v>0.0</v>
      </c>
      <c r="U842" s="132">
        <v>0.0</v>
      </c>
      <c r="V842" s="132">
        <v>0.0</v>
      </c>
      <c r="W842" s="132">
        <v>0.0</v>
      </c>
      <c r="Y842" s="132" t="s">
        <v>4344</v>
      </c>
      <c r="Z842" s="132">
        <f t="shared" ref="Z842:AC842" si="1680">C842-1000</f>
        <v>-1000</v>
      </c>
      <c r="AA842" s="132">
        <f t="shared" si="1680"/>
        <v>-1000</v>
      </c>
      <c r="AB842" s="132">
        <f t="shared" si="1680"/>
        <v>0</v>
      </c>
      <c r="AC842" s="132">
        <f t="shared" si="1680"/>
        <v>-1000</v>
      </c>
      <c r="AD842" s="132">
        <f t="shared" si="4"/>
        <v>-10000</v>
      </c>
      <c r="AE842" s="132">
        <f t="shared" ref="AE842:AS842" si="1681">H842-1000</f>
        <v>-1000</v>
      </c>
      <c r="AF842" s="132">
        <f t="shared" si="1681"/>
        <v>-1000</v>
      </c>
      <c r="AG842" s="132">
        <f t="shared" si="1681"/>
        <v>-1000</v>
      </c>
      <c r="AH842" s="132">
        <f t="shared" si="1681"/>
        <v>-1000</v>
      </c>
      <c r="AI842" s="132">
        <f t="shared" si="1681"/>
        <v>-1000</v>
      </c>
      <c r="AJ842" s="132">
        <f t="shared" si="1681"/>
        <v>-1000</v>
      </c>
      <c r="AK842" s="132">
        <f t="shared" si="1681"/>
        <v>-1000</v>
      </c>
      <c r="AL842" s="132">
        <f t="shared" si="1681"/>
        <v>-1000</v>
      </c>
      <c r="AM842" s="132">
        <f t="shared" si="1681"/>
        <v>-1000</v>
      </c>
      <c r="AN842" s="132">
        <f t="shared" si="1681"/>
        <v>-1000</v>
      </c>
      <c r="AO842" s="132">
        <f t="shared" si="1681"/>
        <v>-1000</v>
      </c>
      <c r="AP842" s="132">
        <f t="shared" si="1681"/>
        <v>-1000</v>
      </c>
      <c r="AQ842" s="132">
        <f t="shared" si="1681"/>
        <v>-1000</v>
      </c>
      <c r="AR842" s="132">
        <f t="shared" si="1681"/>
        <v>-1000</v>
      </c>
      <c r="AS842" s="132">
        <f t="shared" si="1681"/>
        <v>-1000</v>
      </c>
    </row>
    <row r="843">
      <c r="A843" s="132" t="s">
        <v>4345</v>
      </c>
      <c r="B843" s="132">
        <v>500.0</v>
      </c>
      <c r="C843" s="132">
        <v>0.0</v>
      </c>
      <c r="D843" s="132">
        <v>0.0</v>
      </c>
      <c r="E843" s="132">
        <v>500.0</v>
      </c>
      <c r="F843" s="132">
        <v>0.0</v>
      </c>
      <c r="G843" s="132">
        <v>0.0</v>
      </c>
      <c r="H843" s="132">
        <v>0.0</v>
      </c>
      <c r="I843" s="132">
        <v>0.0</v>
      </c>
      <c r="J843" s="132">
        <v>0.0</v>
      </c>
      <c r="K843" s="132">
        <v>0.0</v>
      </c>
      <c r="L843" s="132">
        <v>0.0</v>
      </c>
      <c r="M843" s="132">
        <v>0.0</v>
      </c>
      <c r="N843" s="132">
        <v>0.0</v>
      </c>
      <c r="O843" s="132">
        <v>0.0</v>
      </c>
      <c r="P843" s="132">
        <v>0.0</v>
      </c>
      <c r="Q843" s="132">
        <v>0.0</v>
      </c>
      <c r="R843" s="132">
        <v>0.0</v>
      </c>
      <c r="S843" s="132">
        <v>0.0</v>
      </c>
      <c r="T843" s="132">
        <v>0.0</v>
      </c>
      <c r="U843" s="132">
        <v>0.0</v>
      </c>
      <c r="V843" s="132">
        <v>0.0</v>
      </c>
      <c r="W843" s="132">
        <v>0.0</v>
      </c>
      <c r="Y843" s="132" t="s">
        <v>4345</v>
      </c>
      <c r="Z843" s="132">
        <f t="shared" ref="Z843:AC843" si="1682">C843-1000</f>
        <v>-1000</v>
      </c>
      <c r="AA843" s="132">
        <f t="shared" si="1682"/>
        <v>-1000</v>
      </c>
      <c r="AB843" s="132">
        <f t="shared" si="1682"/>
        <v>-500</v>
      </c>
      <c r="AC843" s="132">
        <f t="shared" si="1682"/>
        <v>-1000</v>
      </c>
      <c r="AD843" s="132">
        <f t="shared" si="4"/>
        <v>-10000</v>
      </c>
      <c r="AE843" s="132">
        <f t="shared" ref="AE843:AS843" si="1683">H843-1000</f>
        <v>-1000</v>
      </c>
      <c r="AF843" s="132">
        <f t="shared" si="1683"/>
        <v>-1000</v>
      </c>
      <c r="AG843" s="132">
        <f t="shared" si="1683"/>
        <v>-1000</v>
      </c>
      <c r="AH843" s="132">
        <f t="shared" si="1683"/>
        <v>-1000</v>
      </c>
      <c r="AI843" s="132">
        <f t="shared" si="1683"/>
        <v>-1000</v>
      </c>
      <c r="AJ843" s="132">
        <f t="shared" si="1683"/>
        <v>-1000</v>
      </c>
      <c r="AK843" s="132">
        <f t="shared" si="1683"/>
        <v>-1000</v>
      </c>
      <c r="AL843" s="132">
        <f t="shared" si="1683"/>
        <v>-1000</v>
      </c>
      <c r="AM843" s="132">
        <f t="shared" si="1683"/>
        <v>-1000</v>
      </c>
      <c r="AN843" s="132">
        <f t="shared" si="1683"/>
        <v>-1000</v>
      </c>
      <c r="AO843" s="132">
        <f t="shared" si="1683"/>
        <v>-1000</v>
      </c>
      <c r="AP843" s="132">
        <f t="shared" si="1683"/>
        <v>-1000</v>
      </c>
      <c r="AQ843" s="132">
        <f t="shared" si="1683"/>
        <v>-1000</v>
      </c>
      <c r="AR843" s="132">
        <f t="shared" si="1683"/>
        <v>-1000</v>
      </c>
      <c r="AS843" s="132">
        <f t="shared" si="1683"/>
        <v>-1000</v>
      </c>
    </row>
    <row r="844">
      <c r="A844" s="132" t="s">
        <v>4346</v>
      </c>
      <c r="B844" s="132">
        <v>1000.0</v>
      </c>
      <c r="C844" s="132">
        <v>0.0</v>
      </c>
      <c r="D844" s="132">
        <v>0.0</v>
      </c>
      <c r="E844" s="132">
        <v>1000.0</v>
      </c>
      <c r="F844" s="132">
        <v>0.0</v>
      </c>
      <c r="G844" s="132">
        <v>0.0</v>
      </c>
      <c r="H844" s="132">
        <v>0.0</v>
      </c>
      <c r="I844" s="132">
        <v>0.0</v>
      </c>
      <c r="J844" s="132">
        <v>0.0</v>
      </c>
      <c r="K844" s="132">
        <v>0.0</v>
      </c>
      <c r="L844" s="132">
        <v>0.0</v>
      </c>
      <c r="M844" s="132">
        <v>0.0</v>
      </c>
      <c r="N844" s="132">
        <v>0.0</v>
      </c>
      <c r="O844" s="132">
        <v>0.0</v>
      </c>
      <c r="P844" s="132">
        <v>0.0</v>
      </c>
      <c r="Q844" s="132">
        <v>0.0</v>
      </c>
      <c r="R844" s="132">
        <v>0.0</v>
      </c>
      <c r="S844" s="132">
        <v>0.0</v>
      </c>
      <c r="T844" s="132">
        <v>0.0</v>
      </c>
      <c r="U844" s="132">
        <v>0.0</v>
      </c>
      <c r="V844" s="132">
        <v>0.0</v>
      </c>
      <c r="W844" s="132">
        <v>0.0</v>
      </c>
      <c r="Y844" s="132" t="s">
        <v>4346</v>
      </c>
      <c r="Z844" s="132">
        <f t="shared" ref="Z844:AC844" si="1684">C844-1000</f>
        <v>-1000</v>
      </c>
      <c r="AA844" s="132">
        <f t="shared" si="1684"/>
        <v>-1000</v>
      </c>
      <c r="AB844" s="132">
        <f t="shared" si="1684"/>
        <v>0</v>
      </c>
      <c r="AC844" s="132">
        <f t="shared" si="1684"/>
        <v>-1000</v>
      </c>
      <c r="AD844" s="132">
        <f t="shared" si="4"/>
        <v>-10000</v>
      </c>
      <c r="AE844" s="132">
        <f t="shared" ref="AE844:AS844" si="1685">H844-1000</f>
        <v>-1000</v>
      </c>
      <c r="AF844" s="132">
        <f t="shared" si="1685"/>
        <v>-1000</v>
      </c>
      <c r="AG844" s="132">
        <f t="shared" si="1685"/>
        <v>-1000</v>
      </c>
      <c r="AH844" s="132">
        <f t="shared" si="1685"/>
        <v>-1000</v>
      </c>
      <c r="AI844" s="132">
        <f t="shared" si="1685"/>
        <v>-1000</v>
      </c>
      <c r="AJ844" s="132">
        <f t="shared" si="1685"/>
        <v>-1000</v>
      </c>
      <c r="AK844" s="132">
        <f t="shared" si="1685"/>
        <v>-1000</v>
      </c>
      <c r="AL844" s="132">
        <f t="shared" si="1685"/>
        <v>-1000</v>
      </c>
      <c r="AM844" s="132">
        <f t="shared" si="1685"/>
        <v>-1000</v>
      </c>
      <c r="AN844" s="132">
        <f t="shared" si="1685"/>
        <v>-1000</v>
      </c>
      <c r="AO844" s="132">
        <f t="shared" si="1685"/>
        <v>-1000</v>
      </c>
      <c r="AP844" s="132">
        <f t="shared" si="1685"/>
        <v>-1000</v>
      </c>
      <c r="AQ844" s="132">
        <f t="shared" si="1685"/>
        <v>-1000</v>
      </c>
      <c r="AR844" s="132">
        <f t="shared" si="1685"/>
        <v>-1000</v>
      </c>
      <c r="AS844" s="132">
        <f t="shared" si="1685"/>
        <v>-1000</v>
      </c>
    </row>
    <row r="845">
      <c r="A845" s="132" t="s">
        <v>4347</v>
      </c>
      <c r="B845" s="132">
        <v>100.0</v>
      </c>
      <c r="C845" s="132">
        <v>0.0</v>
      </c>
      <c r="D845" s="132">
        <v>0.0</v>
      </c>
      <c r="E845" s="132">
        <v>100.0</v>
      </c>
      <c r="F845" s="132">
        <v>0.0</v>
      </c>
      <c r="G845" s="132">
        <v>0.0</v>
      </c>
      <c r="H845" s="132">
        <v>0.0</v>
      </c>
      <c r="I845" s="132">
        <v>0.0</v>
      </c>
      <c r="J845" s="132">
        <v>0.0</v>
      </c>
      <c r="K845" s="132">
        <v>0.0</v>
      </c>
      <c r="L845" s="132">
        <v>0.0</v>
      </c>
      <c r="M845" s="132">
        <v>0.0</v>
      </c>
      <c r="N845" s="132">
        <v>0.0</v>
      </c>
      <c r="O845" s="132">
        <v>0.0</v>
      </c>
      <c r="P845" s="132">
        <v>0.0</v>
      </c>
      <c r="Q845" s="132">
        <v>0.0</v>
      </c>
      <c r="R845" s="132">
        <v>0.0</v>
      </c>
      <c r="S845" s="132">
        <v>0.0</v>
      </c>
      <c r="T845" s="132">
        <v>0.0</v>
      </c>
      <c r="U845" s="132">
        <v>0.0</v>
      </c>
      <c r="V845" s="132">
        <v>0.0</v>
      </c>
      <c r="W845" s="132">
        <v>0.0</v>
      </c>
      <c r="Y845" s="132" t="s">
        <v>4347</v>
      </c>
      <c r="Z845" s="132">
        <f t="shared" ref="Z845:AC845" si="1686">C845-1000</f>
        <v>-1000</v>
      </c>
      <c r="AA845" s="132">
        <f t="shared" si="1686"/>
        <v>-1000</v>
      </c>
      <c r="AB845" s="132">
        <f t="shared" si="1686"/>
        <v>-900</v>
      </c>
      <c r="AC845" s="132">
        <f t="shared" si="1686"/>
        <v>-1000</v>
      </c>
      <c r="AD845" s="132">
        <f t="shared" si="4"/>
        <v>-10000</v>
      </c>
      <c r="AE845" s="132">
        <f t="shared" ref="AE845:AS845" si="1687">H845-1000</f>
        <v>-1000</v>
      </c>
      <c r="AF845" s="132">
        <f t="shared" si="1687"/>
        <v>-1000</v>
      </c>
      <c r="AG845" s="132">
        <f t="shared" si="1687"/>
        <v>-1000</v>
      </c>
      <c r="AH845" s="132">
        <f t="shared" si="1687"/>
        <v>-1000</v>
      </c>
      <c r="AI845" s="132">
        <f t="shared" si="1687"/>
        <v>-1000</v>
      </c>
      <c r="AJ845" s="132">
        <f t="shared" si="1687"/>
        <v>-1000</v>
      </c>
      <c r="AK845" s="132">
        <f t="shared" si="1687"/>
        <v>-1000</v>
      </c>
      <c r="AL845" s="132">
        <f t="shared" si="1687"/>
        <v>-1000</v>
      </c>
      <c r="AM845" s="132">
        <f t="shared" si="1687"/>
        <v>-1000</v>
      </c>
      <c r="AN845" s="132">
        <f t="shared" si="1687"/>
        <v>-1000</v>
      </c>
      <c r="AO845" s="132">
        <f t="shared" si="1687"/>
        <v>-1000</v>
      </c>
      <c r="AP845" s="132">
        <f t="shared" si="1687"/>
        <v>-1000</v>
      </c>
      <c r="AQ845" s="132">
        <f t="shared" si="1687"/>
        <v>-1000</v>
      </c>
      <c r="AR845" s="132">
        <f t="shared" si="1687"/>
        <v>-1000</v>
      </c>
      <c r="AS845" s="132">
        <f t="shared" si="1687"/>
        <v>-1000</v>
      </c>
    </row>
    <row r="846">
      <c r="A846" s="132" t="s">
        <v>4348</v>
      </c>
      <c r="B846" s="132">
        <v>100.0</v>
      </c>
      <c r="C846" s="132">
        <v>0.0</v>
      </c>
      <c r="D846" s="132">
        <v>0.0</v>
      </c>
      <c r="E846" s="132">
        <v>100.0</v>
      </c>
      <c r="F846" s="132">
        <v>0.0</v>
      </c>
      <c r="G846" s="132">
        <v>0.0</v>
      </c>
      <c r="H846" s="132">
        <v>0.0</v>
      </c>
      <c r="I846" s="132">
        <v>0.0</v>
      </c>
      <c r="J846" s="132">
        <v>0.0</v>
      </c>
      <c r="K846" s="132">
        <v>0.0</v>
      </c>
      <c r="L846" s="132">
        <v>0.0</v>
      </c>
      <c r="M846" s="132">
        <v>0.0</v>
      </c>
      <c r="N846" s="132">
        <v>0.0</v>
      </c>
      <c r="O846" s="132">
        <v>0.0</v>
      </c>
      <c r="P846" s="132">
        <v>0.0</v>
      </c>
      <c r="Q846" s="132">
        <v>0.0</v>
      </c>
      <c r="R846" s="132">
        <v>0.0</v>
      </c>
      <c r="S846" s="132">
        <v>0.0</v>
      </c>
      <c r="T846" s="132">
        <v>0.0</v>
      </c>
      <c r="U846" s="132">
        <v>0.0</v>
      </c>
      <c r="V846" s="132">
        <v>0.0</v>
      </c>
      <c r="W846" s="132">
        <v>0.0</v>
      </c>
      <c r="Y846" s="132" t="s">
        <v>4348</v>
      </c>
      <c r="Z846" s="132">
        <f t="shared" ref="Z846:AC846" si="1688">C846-1000</f>
        <v>-1000</v>
      </c>
      <c r="AA846" s="132">
        <f t="shared" si="1688"/>
        <v>-1000</v>
      </c>
      <c r="AB846" s="132">
        <f t="shared" si="1688"/>
        <v>-900</v>
      </c>
      <c r="AC846" s="132">
        <f t="shared" si="1688"/>
        <v>-1000</v>
      </c>
      <c r="AD846" s="132">
        <f t="shared" si="4"/>
        <v>-10000</v>
      </c>
      <c r="AE846" s="132">
        <f t="shared" ref="AE846:AS846" si="1689">H846-1000</f>
        <v>-1000</v>
      </c>
      <c r="AF846" s="132">
        <f t="shared" si="1689"/>
        <v>-1000</v>
      </c>
      <c r="AG846" s="132">
        <f t="shared" si="1689"/>
        <v>-1000</v>
      </c>
      <c r="AH846" s="132">
        <f t="shared" si="1689"/>
        <v>-1000</v>
      </c>
      <c r="AI846" s="132">
        <f t="shared" si="1689"/>
        <v>-1000</v>
      </c>
      <c r="AJ846" s="132">
        <f t="shared" si="1689"/>
        <v>-1000</v>
      </c>
      <c r="AK846" s="132">
        <f t="shared" si="1689"/>
        <v>-1000</v>
      </c>
      <c r="AL846" s="132">
        <f t="shared" si="1689"/>
        <v>-1000</v>
      </c>
      <c r="AM846" s="132">
        <f t="shared" si="1689"/>
        <v>-1000</v>
      </c>
      <c r="AN846" s="132">
        <f t="shared" si="1689"/>
        <v>-1000</v>
      </c>
      <c r="AO846" s="132">
        <f t="shared" si="1689"/>
        <v>-1000</v>
      </c>
      <c r="AP846" s="132">
        <f t="shared" si="1689"/>
        <v>-1000</v>
      </c>
      <c r="AQ846" s="132">
        <f t="shared" si="1689"/>
        <v>-1000</v>
      </c>
      <c r="AR846" s="132">
        <f t="shared" si="1689"/>
        <v>-1000</v>
      </c>
      <c r="AS846" s="132">
        <f t="shared" si="1689"/>
        <v>-1000</v>
      </c>
    </row>
    <row r="847">
      <c r="A847" s="132" t="s">
        <v>4349</v>
      </c>
      <c r="B847" s="132">
        <v>100.0</v>
      </c>
      <c r="C847" s="132">
        <v>0.0</v>
      </c>
      <c r="D847" s="132">
        <v>0.0</v>
      </c>
      <c r="E847" s="132">
        <v>100.0</v>
      </c>
      <c r="F847" s="132">
        <v>0.0</v>
      </c>
      <c r="G847" s="132">
        <v>0.0</v>
      </c>
      <c r="H847" s="132">
        <v>0.0</v>
      </c>
      <c r="I847" s="132">
        <v>0.0</v>
      </c>
      <c r="J847" s="132">
        <v>0.0</v>
      </c>
      <c r="K847" s="132">
        <v>0.0</v>
      </c>
      <c r="L847" s="132">
        <v>0.0</v>
      </c>
      <c r="M847" s="132">
        <v>0.0</v>
      </c>
      <c r="N847" s="132">
        <v>0.0</v>
      </c>
      <c r="O847" s="132">
        <v>0.0</v>
      </c>
      <c r="P847" s="132">
        <v>0.0</v>
      </c>
      <c r="Q847" s="132">
        <v>0.0</v>
      </c>
      <c r="R847" s="132">
        <v>0.0</v>
      </c>
      <c r="S847" s="132">
        <v>0.0</v>
      </c>
      <c r="T847" s="132">
        <v>0.0</v>
      </c>
      <c r="U847" s="132">
        <v>0.0</v>
      </c>
      <c r="V847" s="132">
        <v>0.0</v>
      </c>
      <c r="W847" s="132">
        <v>0.0</v>
      </c>
      <c r="Y847" s="132" t="s">
        <v>4349</v>
      </c>
      <c r="Z847" s="132">
        <f t="shared" ref="Z847:AC847" si="1690">C847-1000</f>
        <v>-1000</v>
      </c>
      <c r="AA847" s="132">
        <f t="shared" si="1690"/>
        <v>-1000</v>
      </c>
      <c r="AB847" s="132">
        <f t="shared" si="1690"/>
        <v>-900</v>
      </c>
      <c r="AC847" s="132">
        <f t="shared" si="1690"/>
        <v>-1000</v>
      </c>
      <c r="AD847" s="132">
        <f t="shared" si="4"/>
        <v>-10000</v>
      </c>
      <c r="AE847" s="132">
        <f t="shared" ref="AE847:AS847" si="1691">H847-1000</f>
        <v>-1000</v>
      </c>
      <c r="AF847" s="132">
        <f t="shared" si="1691"/>
        <v>-1000</v>
      </c>
      <c r="AG847" s="132">
        <f t="shared" si="1691"/>
        <v>-1000</v>
      </c>
      <c r="AH847" s="132">
        <f t="shared" si="1691"/>
        <v>-1000</v>
      </c>
      <c r="AI847" s="132">
        <f t="shared" si="1691"/>
        <v>-1000</v>
      </c>
      <c r="AJ847" s="132">
        <f t="shared" si="1691"/>
        <v>-1000</v>
      </c>
      <c r="AK847" s="132">
        <f t="shared" si="1691"/>
        <v>-1000</v>
      </c>
      <c r="AL847" s="132">
        <f t="shared" si="1691"/>
        <v>-1000</v>
      </c>
      <c r="AM847" s="132">
        <f t="shared" si="1691"/>
        <v>-1000</v>
      </c>
      <c r="AN847" s="132">
        <f t="shared" si="1691"/>
        <v>-1000</v>
      </c>
      <c r="AO847" s="132">
        <f t="shared" si="1691"/>
        <v>-1000</v>
      </c>
      <c r="AP847" s="132">
        <f t="shared" si="1691"/>
        <v>-1000</v>
      </c>
      <c r="AQ847" s="132">
        <f t="shared" si="1691"/>
        <v>-1000</v>
      </c>
      <c r="AR847" s="132">
        <f t="shared" si="1691"/>
        <v>-1000</v>
      </c>
      <c r="AS847" s="132">
        <f t="shared" si="1691"/>
        <v>-1000</v>
      </c>
    </row>
    <row r="848">
      <c r="A848" s="132" t="s">
        <v>4350</v>
      </c>
      <c r="B848" s="132">
        <v>1000.0</v>
      </c>
      <c r="C848" s="132">
        <v>0.0</v>
      </c>
      <c r="D848" s="132">
        <v>0.0</v>
      </c>
      <c r="E848" s="132">
        <v>0.0</v>
      </c>
      <c r="F848" s="132">
        <v>0.0</v>
      </c>
      <c r="G848" s="132">
        <v>0.0</v>
      </c>
      <c r="H848" s="132">
        <v>0.0</v>
      </c>
      <c r="I848" s="132">
        <v>0.0</v>
      </c>
      <c r="J848" s="132">
        <v>0.0</v>
      </c>
      <c r="K848" s="132">
        <v>1000.0</v>
      </c>
      <c r="L848" s="132">
        <v>0.0</v>
      </c>
      <c r="M848" s="132">
        <v>0.0</v>
      </c>
      <c r="N848" s="132">
        <v>0.0</v>
      </c>
      <c r="O848" s="132">
        <v>0.0</v>
      </c>
      <c r="P848" s="132">
        <v>0.0</v>
      </c>
      <c r="Q848" s="132">
        <v>0.0</v>
      </c>
      <c r="R848" s="132">
        <v>0.0</v>
      </c>
      <c r="S848" s="132">
        <v>0.0</v>
      </c>
      <c r="T848" s="132">
        <v>0.0</v>
      </c>
      <c r="U848" s="132">
        <v>0.0</v>
      </c>
      <c r="V848" s="132">
        <v>0.0</v>
      </c>
      <c r="W848" s="132">
        <v>0.0</v>
      </c>
      <c r="Y848" s="132" t="s">
        <v>4350</v>
      </c>
      <c r="Z848" s="132">
        <f t="shared" ref="Z848:AC848" si="1692">C848-1000</f>
        <v>-1000</v>
      </c>
      <c r="AA848" s="132">
        <f t="shared" si="1692"/>
        <v>-1000</v>
      </c>
      <c r="AB848" s="132">
        <f t="shared" si="1692"/>
        <v>-1000</v>
      </c>
      <c r="AC848" s="132">
        <f t="shared" si="1692"/>
        <v>-1000</v>
      </c>
      <c r="AD848" s="132">
        <f t="shared" si="4"/>
        <v>-10000</v>
      </c>
      <c r="AE848" s="132">
        <f t="shared" ref="AE848:AS848" si="1693">H848-1000</f>
        <v>-1000</v>
      </c>
      <c r="AF848" s="132">
        <f t="shared" si="1693"/>
        <v>-1000</v>
      </c>
      <c r="AG848" s="132">
        <f t="shared" si="1693"/>
        <v>-1000</v>
      </c>
      <c r="AH848" s="132">
        <f t="shared" si="1693"/>
        <v>0</v>
      </c>
      <c r="AI848" s="132">
        <f t="shared" si="1693"/>
        <v>-1000</v>
      </c>
      <c r="AJ848" s="132">
        <f t="shared" si="1693"/>
        <v>-1000</v>
      </c>
      <c r="AK848" s="132">
        <f t="shared" si="1693"/>
        <v>-1000</v>
      </c>
      <c r="AL848" s="132">
        <f t="shared" si="1693"/>
        <v>-1000</v>
      </c>
      <c r="AM848" s="132">
        <f t="shared" si="1693"/>
        <v>-1000</v>
      </c>
      <c r="AN848" s="132">
        <f t="shared" si="1693"/>
        <v>-1000</v>
      </c>
      <c r="AO848" s="132">
        <f t="shared" si="1693"/>
        <v>-1000</v>
      </c>
      <c r="AP848" s="132">
        <f t="shared" si="1693"/>
        <v>-1000</v>
      </c>
      <c r="AQ848" s="132">
        <f t="shared" si="1693"/>
        <v>-1000</v>
      </c>
      <c r="AR848" s="132">
        <f t="shared" si="1693"/>
        <v>-1000</v>
      </c>
      <c r="AS848" s="132">
        <f t="shared" si="1693"/>
        <v>-1000</v>
      </c>
    </row>
    <row r="849">
      <c r="A849" s="132" t="s">
        <v>4351</v>
      </c>
      <c r="B849" s="132">
        <v>1000.0</v>
      </c>
      <c r="C849" s="132">
        <v>0.0</v>
      </c>
      <c r="D849" s="132">
        <v>0.0</v>
      </c>
      <c r="E849" s="132">
        <v>0.0</v>
      </c>
      <c r="F849" s="132">
        <v>0.0</v>
      </c>
      <c r="G849" s="132">
        <v>0.0</v>
      </c>
      <c r="H849" s="132">
        <v>0.0</v>
      </c>
      <c r="I849" s="132">
        <v>0.0</v>
      </c>
      <c r="J849" s="132">
        <v>0.0</v>
      </c>
      <c r="K849" s="132">
        <v>1000.0</v>
      </c>
      <c r="L849" s="132">
        <v>0.0</v>
      </c>
      <c r="M849" s="132">
        <v>0.0</v>
      </c>
      <c r="N849" s="132">
        <v>0.0</v>
      </c>
      <c r="O849" s="132">
        <v>0.0</v>
      </c>
      <c r="P849" s="132">
        <v>0.0</v>
      </c>
      <c r="Q849" s="132">
        <v>0.0</v>
      </c>
      <c r="R849" s="132">
        <v>0.0</v>
      </c>
      <c r="S849" s="132">
        <v>0.0</v>
      </c>
      <c r="T849" s="132">
        <v>0.0</v>
      </c>
      <c r="U849" s="132">
        <v>0.0</v>
      </c>
      <c r="V849" s="132">
        <v>0.0</v>
      </c>
      <c r="W849" s="132">
        <v>0.0</v>
      </c>
      <c r="Y849" s="132" t="s">
        <v>4351</v>
      </c>
      <c r="Z849" s="132">
        <f t="shared" ref="Z849:AC849" si="1694">C849-1000</f>
        <v>-1000</v>
      </c>
      <c r="AA849" s="132">
        <f t="shared" si="1694"/>
        <v>-1000</v>
      </c>
      <c r="AB849" s="132">
        <f t="shared" si="1694"/>
        <v>-1000</v>
      </c>
      <c r="AC849" s="132">
        <f t="shared" si="1694"/>
        <v>-1000</v>
      </c>
      <c r="AD849" s="132">
        <f t="shared" si="4"/>
        <v>-10000</v>
      </c>
      <c r="AE849" s="132">
        <f t="shared" ref="AE849:AS849" si="1695">H849-1000</f>
        <v>-1000</v>
      </c>
      <c r="AF849" s="132">
        <f t="shared" si="1695"/>
        <v>-1000</v>
      </c>
      <c r="AG849" s="132">
        <f t="shared" si="1695"/>
        <v>-1000</v>
      </c>
      <c r="AH849" s="132">
        <f t="shared" si="1695"/>
        <v>0</v>
      </c>
      <c r="AI849" s="132">
        <f t="shared" si="1695"/>
        <v>-1000</v>
      </c>
      <c r="AJ849" s="132">
        <f t="shared" si="1695"/>
        <v>-1000</v>
      </c>
      <c r="AK849" s="132">
        <f t="shared" si="1695"/>
        <v>-1000</v>
      </c>
      <c r="AL849" s="132">
        <f t="shared" si="1695"/>
        <v>-1000</v>
      </c>
      <c r="AM849" s="132">
        <f t="shared" si="1695"/>
        <v>-1000</v>
      </c>
      <c r="AN849" s="132">
        <f t="shared" si="1695"/>
        <v>-1000</v>
      </c>
      <c r="AO849" s="132">
        <f t="shared" si="1695"/>
        <v>-1000</v>
      </c>
      <c r="AP849" s="132">
        <f t="shared" si="1695"/>
        <v>-1000</v>
      </c>
      <c r="AQ849" s="132">
        <f t="shared" si="1695"/>
        <v>-1000</v>
      </c>
      <c r="AR849" s="132">
        <f t="shared" si="1695"/>
        <v>-1000</v>
      </c>
      <c r="AS849" s="132">
        <f t="shared" si="1695"/>
        <v>-1000</v>
      </c>
    </row>
    <row r="850">
      <c r="A850" s="132" t="s">
        <v>4352</v>
      </c>
      <c r="B850" s="132">
        <v>500.0</v>
      </c>
      <c r="C850" s="132">
        <v>0.0</v>
      </c>
      <c r="D850" s="132">
        <v>0.0</v>
      </c>
      <c r="E850" s="132">
        <v>0.0</v>
      </c>
      <c r="F850" s="132">
        <v>0.0</v>
      </c>
      <c r="G850" s="132">
        <v>0.0</v>
      </c>
      <c r="H850" s="132">
        <v>0.0</v>
      </c>
      <c r="I850" s="132">
        <v>0.0</v>
      </c>
      <c r="J850" s="132">
        <v>0.0</v>
      </c>
      <c r="K850" s="132">
        <v>500.0</v>
      </c>
      <c r="L850" s="132">
        <v>0.0</v>
      </c>
      <c r="M850" s="132">
        <v>0.0</v>
      </c>
      <c r="N850" s="132">
        <v>0.0</v>
      </c>
      <c r="O850" s="132">
        <v>0.0</v>
      </c>
      <c r="P850" s="132">
        <v>0.0</v>
      </c>
      <c r="Q850" s="132">
        <v>0.0</v>
      </c>
      <c r="R850" s="132">
        <v>0.0</v>
      </c>
      <c r="S850" s="132">
        <v>0.0</v>
      </c>
      <c r="T850" s="132">
        <v>0.0</v>
      </c>
      <c r="U850" s="132">
        <v>0.0</v>
      </c>
      <c r="V850" s="132">
        <v>0.0</v>
      </c>
      <c r="W850" s="132">
        <v>0.0</v>
      </c>
      <c r="Y850" s="132" t="s">
        <v>4352</v>
      </c>
      <c r="Z850" s="132">
        <f t="shared" ref="Z850:AC850" si="1696">C850-1000</f>
        <v>-1000</v>
      </c>
      <c r="AA850" s="132">
        <f t="shared" si="1696"/>
        <v>-1000</v>
      </c>
      <c r="AB850" s="132">
        <f t="shared" si="1696"/>
        <v>-1000</v>
      </c>
      <c r="AC850" s="132">
        <f t="shared" si="1696"/>
        <v>-1000</v>
      </c>
      <c r="AD850" s="132">
        <f t="shared" si="4"/>
        <v>-10000</v>
      </c>
      <c r="AE850" s="132">
        <f t="shared" ref="AE850:AS850" si="1697">H850-1000</f>
        <v>-1000</v>
      </c>
      <c r="AF850" s="132">
        <f t="shared" si="1697"/>
        <v>-1000</v>
      </c>
      <c r="AG850" s="132">
        <f t="shared" si="1697"/>
        <v>-1000</v>
      </c>
      <c r="AH850" s="132">
        <f t="shared" si="1697"/>
        <v>-500</v>
      </c>
      <c r="AI850" s="132">
        <f t="shared" si="1697"/>
        <v>-1000</v>
      </c>
      <c r="AJ850" s="132">
        <f t="shared" si="1697"/>
        <v>-1000</v>
      </c>
      <c r="AK850" s="132">
        <f t="shared" si="1697"/>
        <v>-1000</v>
      </c>
      <c r="AL850" s="132">
        <f t="shared" si="1697"/>
        <v>-1000</v>
      </c>
      <c r="AM850" s="132">
        <f t="shared" si="1697"/>
        <v>-1000</v>
      </c>
      <c r="AN850" s="132">
        <f t="shared" si="1697"/>
        <v>-1000</v>
      </c>
      <c r="AO850" s="132">
        <f t="shared" si="1697"/>
        <v>-1000</v>
      </c>
      <c r="AP850" s="132">
        <f t="shared" si="1697"/>
        <v>-1000</v>
      </c>
      <c r="AQ850" s="132">
        <f t="shared" si="1697"/>
        <v>-1000</v>
      </c>
      <c r="AR850" s="132">
        <f t="shared" si="1697"/>
        <v>-1000</v>
      </c>
      <c r="AS850" s="132">
        <f t="shared" si="1697"/>
        <v>-1000</v>
      </c>
    </row>
    <row r="851">
      <c r="A851" s="132" t="s">
        <v>4353</v>
      </c>
      <c r="B851" s="132">
        <v>30.0</v>
      </c>
      <c r="C851" s="132">
        <v>0.0</v>
      </c>
      <c r="D851" s="132">
        <v>0.0</v>
      </c>
      <c r="E851" s="132">
        <v>0.0</v>
      </c>
      <c r="F851" s="132">
        <v>0.0</v>
      </c>
      <c r="G851" s="132">
        <v>0.0</v>
      </c>
      <c r="H851" s="132">
        <v>0.0</v>
      </c>
      <c r="I851" s="132">
        <v>0.0</v>
      </c>
      <c r="J851" s="132">
        <v>0.0</v>
      </c>
      <c r="K851" s="132">
        <v>30.0</v>
      </c>
      <c r="L851" s="132">
        <v>0.0</v>
      </c>
      <c r="M851" s="132">
        <v>0.0</v>
      </c>
      <c r="N851" s="132">
        <v>0.0</v>
      </c>
      <c r="O851" s="132">
        <v>0.0</v>
      </c>
      <c r="P851" s="132">
        <v>0.0</v>
      </c>
      <c r="Q851" s="132">
        <v>0.0</v>
      </c>
      <c r="R851" s="132">
        <v>0.0</v>
      </c>
      <c r="S851" s="132">
        <v>0.0</v>
      </c>
      <c r="T851" s="132">
        <v>0.0</v>
      </c>
      <c r="U851" s="132">
        <v>0.0</v>
      </c>
      <c r="V851" s="132">
        <v>0.0</v>
      </c>
      <c r="W851" s="132">
        <v>0.0</v>
      </c>
      <c r="Y851" s="132" t="s">
        <v>4353</v>
      </c>
      <c r="Z851" s="132">
        <f t="shared" ref="Z851:AC851" si="1698">C851-1000</f>
        <v>-1000</v>
      </c>
      <c r="AA851" s="132">
        <f t="shared" si="1698"/>
        <v>-1000</v>
      </c>
      <c r="AB851" s="132">
        <f t="shared" si="1698"/>
        <v>-1000</v>
      </c>
      <c r="AC851" s="132">
        <f t="shared" si="1698"/>
        <v>-1000</v>
      </c>
      <c r="AD851" s="132">
        <f t="shared" si="4"/>
        <v>-10000</v>
      </c>
      <c r="AE851" s="132">
        <f t="shared" ref="AE851:AS851" si="1699">H851-1000</f>
        <v>-1000</v>
      </c>
      <c r="AF851" s="132">
        <f t="shared" si="1699"/>
        <v>-1000</v>
      </c>
      <c r="AG851" s="132">
        <f t="shared" si="1699"/>
        <v>-1000</v>
      </c>
      <c r="AH851" s="132">
        <f t="shared" si="1699"/>
        <v>-970</v>
      </c>
      <c r="AI851" s="132">
        <f t="shared" si="1699"/>
        <v>-1000</v>
      </c>
      <c r="AJ851" s="132">
        <f t="shared" si="1699"/>
        <v>-1000</v>
      </c>
      <c r="AK851" s="132">
        <f t="shared" si="1699"/>
        <v>-1000</v>
      </c>
      <c r="AL851" s="132">
        <f t="shared" si="1699"/>
        <v>-1000</v>
      </c>
      <c r="AM851" s="132">
        <f t="shared" si="1699"/>
        <v>-1000</v>
      </c>
      <c r="AN851" s="132">
        <f t="shared" si="1699"/>
        <v>-1000</v>
      </c>
      <c r="AO851" s="132">
        <f t="shared" si="1699"/>
        <v>-1000</v>
      </c>
      <c r="AP851" s="132">
        <f t="shared" si="1699"/>
        <v>-1000</v>
      </c>
      <c r="AQ851" s="132">
        <f t="shared" si="1699"/>
        <v>-1000</v>
      </c>
      <c r="AR851" s="132">
        <f t="shared" si="1699"/>
        <v>-1000</v>
      </c>
      <c r="AS851" s="132">
        <f t="shared" si="1699"/>
        <v>-1000</v>
      </c>
    </row>
    <row r="852">
      <c r="A852" s="132" t="s">
        <v>4354</v>
      </c>
      <c r="B852" s="132">
        <v>100.0</v>
      </c>
      <c r="C852" s="132">
        <v>0.0</v>
      </c>
      <c r="D852" s="132">
        <v>0.0</v>
      </c>
      <c r="E852" s="132">
        <v>0.0</v>
      </c>
      <c r="F852" s="132">
        <v>0.0</v>
      </c>
      <c r="G852" s="132">
        <v>0.0</v>
      </c>
      <c r="H852" s="132">
        <v>0.0</v>
      </c>
      <c r="I852" s="132">
        <v>0.0</v>
      </c>
      <c r="J852" s="132">
        <v>0.0</v>
      </c>
      <c r="K852" s="132">
        <v>100.0</v>
      </c>
      <c r="L852" s="132">
        <v>0.0</v>
      </c>
      <c r="M852" s="132">
        <v>0.0</v>
      </c>
      <c r="N852" s="132">
        <v>0.0</v>
      </c>
      <c r="O852" s="132">
        <v>0.0</v>
      </c>
      <c r="P852" s="132">
        <v>0.0</v>
      </c>
      <c r="Q852" s="132">
        <v>0.0</v>
      </c>
      <c r="R852" s="132">
        <v>0.0</v>
      </c>
      <c r="S852" s="132">
        <v>0.0</v>
      </c>
      <c r="T852" s="132">
        <v>0.0</v>
      </c>
      <c r="U852" s="132">
        <v>0.0</v>
      </c>
      <c r="V852" s="132">
        <v>0.0</v>
      </c>
      <c r="W852" s="132">
        <v>0.0</v>
      </c>
      <c r="Y852" s="132" t="s">
        <v>4354</v>
      </c>
      <c r="Z852" s="132">
        <f t="shared" ref="Z852:AC852" si="1700">C852-1000</f>
        <v>-1000</v>
      </c>
      <c r="AA852" s="132">
        <f t="shared" si="1700"/>
        <v>-1000</v>
      </c>
      <c r="AB852" s="132">
        <f t="shared" si="1700"/>
        <v>-1000</v>
      </c>
      <c r="AC852" s="132">
        <f t="shared" si="1700"/>
        <v>-1000</v>
      </c>
      <c r="AD852" s="132">
        <f t="shared" si="4"/>
        <v>-10000</v>
      </c>
      <c r="AE852" s="132">
        <f t="shared" ref="AE852:AS852" si="1701">H852-1000</f>
        <v>-1000</v>
      </c>
      <c r="AF852" s="132">
        <f t="shared" si="1701"/>
        <v>-1000</v>
      </c>
      <c r="AG852" s="132">
        <f t="shared" si="1701"/>
        <v>-1000</v>
      </c>
      <c r="AH852" s="132">
        <f t="shared" si="1701"/>
        <v>-900</v>
      </c>
      <c r="AI852" s="132">
        <f t="shared" si="1701"/>
        <v>-1000</v>
      </c>
      <c r="AJ852" s="132">
        <f t="shared" si="1701"/>
        <v>-1000</v>
      </c>
      <c r="AK852" s="132">
        <f t="shared" si="1701"/>
        <v>-1000</v>
      </c>
      <c r="AL852" s="132">
        <f t="shared" si="1701"/>
        <v>-1000</v>
      </c>
      <c r="AM852" s="132">
        <f t="shared" si="1701"/>
        <v>-1000</v>
      </c>
      <c r="AN852" s="132">
        <f t="shared" si="1701"/>
        <v>-1000</v>
      </c>
      <c r="AO852" s="132">
        <f t="shared" si="1701"/>
        <v>-1000</v>
      </c>
      <c r="AP852" s="132">
        <f t="shared" si="1701"/>
        <v>-1000</v>
      </c>
      <c r="AQ852" s="132">
        <f t="shared" si="1701"/>
        <v>-1000</v>
      </c>
      <c r="AR852" s="132">
        <f t="shared" si="1701"/>
        <v>-1000</v>
      </c>
      <c r="AS852" s="132">
        <f t="shared" si="1701"/>
        <v>-1000</v>
      </c>
    </row>
    <row r="853">
      <c r="A853" s="132" t="s">
        <v>4355</v>
      </c>
      <c r="B853" s="132">
        <v>50.0</v>
      </c>
      <c r="C853" s="132">
        <v>0.0</v>
      </c>
      <c r="D853" s="132">
        <v>0.0</v>
      </c>
      <c r="E853" s="132">
        <v>0.0</v>
      </c>
      <c r="F853" s="132">
        <v>0.0</v>
      </c>
      <c r="G853" s="132">
        <v>0.0</v>
      </c>
      <c r="H853" s="132">
        <v>0.0</v>
      </c>
      <c r="I853" s="132">
        <v>0.0</v>
      </c>
      <c r="J853" s="132">
        <v>0.0</v>
      </c>
      <c r="K853" s="132">
        <v>50.0</v>
      </c>
      <c r="L853" s="132">
        <v>0.0</v>
      </c>
      <c r="M853" s="132">
        <v>0.0</v>
      </c>
      <c r="N853" s="132">
        <v>0.0</v>
      </c>
      <c r="O853" s="132">
        <v>0.0</v>
      </c>
      <c r="P853" s="132">
        <v>0.0</v>
      </c>
      <c r="Q853" s="132">
        <v>0.0</v>
      </c>
      <c r="R853" s="132">
        <v>0.0</v>
      </c>
      <c r="S853" s="132">
        <v>0.0</v>
      </c>
      <c r="T853" s="132">
        <v>0.0</v>
      </c>
      <c r="U853" s="132">
        <v>0.0</v>
      </c>
      <c r="V853" s="132">
        <v>0.0</v>
      </c>
      <c r="W853" s="132">
        <v>0.0</v>
      </c>
      <c r="Y853" s="132" t="s">
        <v>4355</v>
      </c>
      <c r="Z853" s="132">
        <f t="shared" ref="Z853:AC853" si="1702">C853-1000</f>
        <v>-1000</v>
      </c>
      <c r="AA853" s="132">
        <f t="shared" si="1702"/>
        <v>-1000</v>
      </c>
      <c r="AB853" s="132">
        <f t="shared" si="1702"/>
        <v>-1000</v>
      </c>
      <c r="AC853" s="132">
        <f t="shared" si="1702"/>
        <v>-1000</v>
      </c>
      <c r="AD853" s="132">
        <f t="shared" si="4"/>
        <v>-10000</v>
      </c>
      <c r="AE853" s="132">
        <f t="shared" ref="AE853:AS853" si="1703">H853-1000</f>
        <v>-1000</v>
      </c>
      <c r="AF853" s="132">
        <f t="shared" si="1703"/>
        <v>-1000</v>
      </c>
      <c r="AG853" s="132">
        <f t="shared" si="1703"/>
        <v>-1000</v>
      </c>
      <c r="AH853" s="132">
        <f t="shared" si="1703"/>
        <v>-950</v>
      </c>
      <c r="AI853" s="132">
        <f t="shared" si="1703"/>
        <v>-1000</v>
      </c>
      <c r="AJ853" s="132">
        <f t="shared" si="1703"/>
        <v>-1000</v>
      </c>
      <c r="AK853" s="132">
        <f t="shared" si="1703"/>
        <v>-1000</v>
      </c>
      <c r="AL853" s="132">
        <f t="shared" si="1703"/>
        <v>-1000</v>
      </c>
      <c r="AM853" s="132">
        <f t="shared" si="1703"/>
        <v>-1000</v>
      </c>
      <c r="AN853" s="132">
        <f t="shared" si="1703"/>
        <v>-1000</v>
      </c>
      <c r="AO853" s="132">
        <f t="shared" si="1703"/>
        <v>-1000</v>
      </c>
      <c r="AP853" s="132">
        <f t="shared" si="1703"/>
        <v>-1000</v>
      </c>
      <c r="AQ853" s="132">
        <f t="shared" si="1703"/>
        <v>-1000</v>
      </c>
      <c r="AR853" s="132">
        <f t="shared" si="1703"/>
        <v>-1000</v>
      </c>
      <c r="AS853" s="132">
        <f t="shared" si="1703"/>
        <v>-1000</v>
      </c>
    </row>
    <row r="854">
      <c r="A854" s="132" t="s">
        <v>4356</v>
      </c>
      <c r="B854" s="132">
        <v>250.0</v>
      </c>
      <c r="C854" s="132">
        <v>0.0</v>
      </c>
      <c r="D854" s="132">
        <v>0.0</v>
      </c>
      <c r="E854" s="132">
        <v>0.0</v>
      </c>
      <c r="F854" s="132">
        <v>0.0</v>
      </c>
      <c r="G854" s="132">
        <v>0.0</v>
      </c>
      <c r="H854" s="132">
        <v>0.0</v>
      </c>
      <c r="I854" s="132">
        <v>0.0</v>
      </c>
      <c r="J854" s="132">
        <v>0.0</v>
      </c>
      <c r="K854" s="132">
        <v>250.0</v>
      </c>
      <c r="L854" s="132">
        <v>0.0</v>
      </c>
      <c r="M854" s="132">
        <v>0.0</v>
      </c>
      <c r="N854" s="132">
        <v>0.0</v>
      </c>
      <c r="O854" s="132">
        <v>0.0</v>
      </c>
      <c r="P854" s="132">
        <v>0.0</v>
      </c>
      <c r="Q854" s="132">
        <v>0.0</v>
      </c>
      <c r="R854" s="132">
        <v>0.0</v>
      </c>
      <c r="S854" s="132">
        <v>0.0</v>
      </c>
      <c r="T854" s="132">
        <v>0.0</v>
      </c>
      <c r="U854" s="132">
        <v>0.0</v>
      </c>
      <c r="V854" s="132">
        <v>0.0</v>
      </c>
      <c r="W854" s="132">
        <v>0.0</v>
      </c>
      <c r="Y854" s="132" t="s">
        <v>4356</v>
      </c>
      <c r="Z854" s="132">
        <f t="shared" ref="Z854:AC854" si="1704">C854-1000</f>
        <v>-1000</v>
      </c>
      <c r="AA854" s="132">
        <f t="shared" si="1704"/>
        <v>-1000</v>
      </c>
      <c r="AB854" s="132">
        <f t="shared" si="1704"/>
        <v>-1000</v>
      </c>
      <c r="AC854" s="132">
        <f t="shared" si="1704"/>
        <v>-1000</v>
      </c>
      <c r="AD854" s="132">
        <f t="shared" si="4"/>
        <v>-10000</v>
      </c>
      <c r="AE854" s="132">
        <f t="shared" ref="AE854:AS854" si="1705">H854-1000</f>
        <v>-1000</v>
      </c>
      <c r="AF854" s="132">
        <f t="shared" si="1705"/>
        <v>-1000</v>
      </c>
      <c r="AG854" s="132">
        <f t="shared" si="1705"/>
        <v>-1000</v>
      </c>
      <c r="AH854" s="132">
        <f t="shared" si="1705"/>
        <v>-750</v>
      </c>
      <c r="AI854" s="132">
        <f t="shared" si="1705"/>
        <v>-1000</v>
      </c>
      <c r="AJ854" s="132">
        <f t="shared" si="1705"/>
        <v>-1000</v>
      </c>
      <c r="AK854" s="132">
        <f t="shared" si="1705"/>
        <v>-1000</v>
      </c>
      <c r="AL854" s="132">
        <f t="shared" si="1705"/>
        <v>-1000</v>
      </c>
      <c r="AM854" s="132">
        <f t="shared" si="1705"/>
        <v>-1000</v>
      </c>
      <c r="AN854" s="132">
        <f t="shared" si="1705"/>
        <v>-1000</v>
      </c>
      <c r="AO854" s="132">
        <f t="shared" si="1705"/>
        <v>-1000</v>
      </c>
      <c r="AP854" s="132">
        <f t="shared" si="1705"/>
        <v>-1000</v>
      </c>
      <c r="AQ854" s="132">
        <f t="shared" si="1705"/>
        <v>-1000</v>
      </c>
      <c r="AR854" s="132">
        <f t="shared" si="1705"/>
        <v>-1000</v>
      </c>
      <c r="AS854" s="132">
        <f t="shared" si="1705"/>
        <v>-1000</v>
      </c>
    </row>
    <row r="855">
      <c r="A855" s="132" t="s">
        <v>4357</v>
      </c>
      <c r="B855" s="132">
        <v>50.0</v>
      </c>
      <c r="C855" s="132">
        <v>0.0</v>
      </c>
      <c r="D855" s="132">
        <v>0.0</v>
      </c>
      <c r="E855" s="132">
        <v>0.0</v>
      </c>
      <c r="F855" s="132">
        <v>0.0</v>
      </c>
      <c r="G855" s="132">
        <v>0.0</v>
      </c>
      <c r="H855" s="132">
        <v>0.0</v>
      </c>
      <c r="I855" s="132">
        <v>0.0</v>
      </c>
      <c r="J855" s="132">
        <v>0.0</v>
      </c>
      <c r="K855" s="132">
        <v>50.0</v>
      </c>
      <c r="L855" s="132">
        <v>0.0</v>
      </c>
      <c r="M855" s="132">
        <v>0.0</v>
      </c>
      <c r="N855" s="132">
        <v>0.0</v>
      </c>
      <c r="O855" s="132">
        <v>0.0</v>
      </c>
      <c r="P855" s="132">
        <v>0.0</v>
      </c>
      <c r="Q855" s="132">
        <v>0.0</v>
      </c>
      <c r="R855" s="132">
        <v>0.0</v>
      </c>
      <c r="S855" s="132">
        <v>0.0</v>
      </c>
      <c r="T855" s="132">
        <v>0.0</v>
      </c>
      <c r="U855" s="132">
        <v>0.0</v>
      </c>
      <c r="V855" s="132">
        <v>0.0</v>
      </c>
      <c r="W855" s="132">
        <v>0.0</v>
      </c>
      <c r="Y855" s="132" t="s">
        <v>4357</v>
      </c>
      <c r="Z855" s="132">
        <f t="shared" ref="Z855:AC855" si="1706">C855-1000</f>
        <v>-1000</v>
      </c>
      <c r="AA855" s="132">
        <f t="shared" si="1706"/>
        <v>-1000</v>
      </c>
      <c r="AB855" s="132">
        <f t="shared" si="1706"/>
        <v>-1000</v>
      </c>
      <c r="AC855" s="132">
        <f t="shared" si="1706"/>
        <v>-1000</v>
      </c>
      <c r="AD855" s="132">
        <f t="shared" si="4"/>
        <v>-10000</v>
      </c>
      <c r="AE855" s="132">
        <f t="shared" ref="AE855:AS855" si="1707">H855-1000</f>
        <v>-1000</v>
      </c>
      <c r="AF855" s="132">
        <f t="shared" si="1707"/>
        <v>-1000</v>
      </c>
      <c r="AG855" s="132">
        <f t="shared" si="1707"/>
        <v>-1000</v>
      </c>
      <c r="AH855" s="132">
        <f t="shared" si="1707"/>
        <v>-950</v>
      </c>
      <c r="AI855" s="132">
        <f t="shared" si="1707"/>
        <v>-1000</v>
      </c>
      <c r="AJ855" s="132">
        <f t="shared" si="1707"/>
        <v>-1000</v>
      </c>
      <c r="AK855" s="132">
        <f t="shared" si="1707"/>
        <v>-1000</v>
      </c>
      <c r="AL855" s="132">
        <f t="shared" si="1707"/>
        <v>-1000</v>
      </c>
      <c r="AM855" s="132">
        <f t="shared" si="1707"/>
        <v>-1000</v>
      </c>
      <c r="AN855" s="132">
        <f t="shared" si="1707"/>
        <v>-1000</v>
      </c>
      <c r="AO855" s="132">
        <f t="shared" si="1707"/>
        <v>-1000</v>
      </c>
      <c r="AP855" s="132">
        <f t="shared" si="1707"/>
        <v>-1000</v>
      </c>
      <c r="AQ855" s="132">
        <f t="shared" si="1707"/>
        <v>-1000</v>
      </c>
      <c r="AR855" s="132">
        <f t="shared" si="1707"/>
        <v>-1000</v>
      </c>
      <c r="AS855" s="132">
        <f t="shared" si="1707"/>
        <v>-1000</v>
      </c>
    </row>
    <row r="856">
      <c r="A856" s="132" t="s">
        <v>4358</v>
      </c>
      <c r="B856" s="132">
        <v>100.0</v>
      </c>
      <c r="C856" s="132">
        <v>0.0</v>
      </c>
      <c r="D856" s="132">
        <v>0.0</v>
      </c>
      <c r="E856" s="132">
        <v>0.0</v>
      </c>
      <c r="F856" s="132">
        <v>0.0</v>
      </c>
      <c r="G856" s="132">
        <v>0.0</v>
      </c>
      <c r="H856" s="132">
        <v>0.0</v>
      </c>
      <c r="I856" s="132">
        <v>0.0</v>
      </c>
      <c r="J856" s="132">
        <v>0.0</v>
      </c>
      <c r="K856" s="132">
        <v>100.0</v>
      </c>
      <c r="L856" s="132">
        <v>0.0</v>
      </c>
      <c r="M856" s="132">
        <v>0.0</v>
      </c>
      <c r="N856" s="132">
        <v>0.0</v>
      </c>
      <c r="O856" s="132">
        <v>0.0</v>
      </c>
      <c r="P856" s="132">
        <v>0.0</v>
      </c>
      <c r="Q856" s="132">
        <v>0.0</v>
      </c>
      <c r="R856" s="132">
        <v>0.0</v>
      </c>
      <c r="S856" s="132">
        <v>0.0</v>
      </c>
      <c r="T856" s="132">
        <v>0.0</v>
      </c>
      <c r="U856" s="132">
        <v>0.0</v>
      </c>
      <c r="V856" s="132">
        <v>0.0</v>
      </c>
      <c r="W856" s="132">
        <v>0.0</v>
      </c>
      <c r="Y856" s="132" t="s">
        <v>4358</v>
      </c>
      <c r="Z856" s="132">
        <f t="shared" ref="Z856:AC856" si="1708">C856-1000</f>
        <v>-1000</v>
      </c>
      <c r="AA856" s="132">
        <f t="shared" si="1708"/>
        <v>-1000</v>
      </c>
      <c r="AB856" s="132">
        <f t="shared" si="1708"/>
        <v>-1000</v>
      </c>
      <c r="AC856" s="132">
        <f t="shared" si="1708"/>
        <v>-1000</v>
      </c>
      <c r="AD856" s="132">
        <f t="shared" si="4"/>
        <v>-10000</v>
      </c>
      <c r="AE856" s="132">
        <f t="shared" ref="AE856:AS856" si="1709">H856-1000</f>
        <v>-1000</v>
      </c>
      <c r="AF856" s="132">
        <f t="shared" si="1709"/>
        <v>-1000</v>
      </c>
      <c r="AG856" s="132">
        <f t="shared" si="1709"/>
        <v>-1000</v>
      </c>
      <c r="AH856" s="132">
        <f t="shared" si="1709"/>
        <v>-900</v>
      </c>
      <c r="AI856" s="132">
        <f t="shared" si="1709"/>
        <v>-1000</v>
      </c>
      <c r="AJ856" s="132">
        <f t="shared" si="1709"/>
        <v>-1000</v>
      </c>
      <c r="AK856" s="132">
        <f t="shared" si="1709"/>
        <v>-1000</v>
      </c>
      <c r="AL856" s="132">
        <f t="shared" si="1709"/>
        <v>-1000</v>
      </c>
      <c r="AM856" s="132">
        <f t="shared" si="1709"/>
        <v>-1000</v>
      </c>
      <c r="AN856" s="132">
        <f t="shared" si="1709"/>
        <v>-1000</v>
      </c>
      <c r="AO856" s="132">
        <f t="shared" si="1709"/>
        <v>-1000</v>
      </c>
      <c r="AP856" s="132">
        <f t="shared" si="1709"/>
        <v>-1000</v>
      </c>
      <c r="AQ856" s="132">
        <f t="shared" si="1709"/>
        <v>-1000</v>
      </c>
      <c r="AR856" s="132">
        <f t="shared" si="1709"/>
        <v>-1000</v>
      </c>
      <c r="AS856" s="132">
        <f t="shared" si="1709"/>
        <v>-1000</v>
      </c>
    </row>
    <row r="857">
      <c r="A857" s="132" t="s">
        <v>4359</v>
      </c>
      <c r="B857" s="132">
        <v>100.0</v>
      </c>
      <c r="C857" s="132">
        <v>0.0</v>
      </c>
      <c r="D857" s="132">
        <v>0.0</v>
      </c>
      <c r="E857" s="132">
        <v>0.0</v>
      </c>
      <c r="F857" s="132">
        <v>0.0</v>
      </c>
      <c r="G857" s="132">
        <v>0.0</v>
      </c>
      <c r="H857" s="132">
        <v>0.0</v>
      </c>
      <c r="I857" s="132">
        <v>0.0</v>
      </c>
      <c r="J857" s="132">
        <v>0.0</v>
      </c>
      <c r="K857" s="132">
        <v>100.0</v>
      </c>
      <c r="L857" s="132">
        <v>0.0</v>
      </c>
      <c r="M857" s="132">
        <v>0.0</v>
      </c>
      <c r="N857" s="132">
        <v>0.0</v>
      </c>
      <c r="O857" s="132">
        <v>0.0</v>
      </c>
      <c r="P857" s="132">
        <v>0.0</v>
      </c>
      <c r="Q857" s="132">
        <v>0.0</v>
      </c>
      <c r="R857" s="132">
        <v>0.0</v>
      </c>
      <c r="S857" s="132">
        <v>0.0</v>
      </c>
      <c r="T857" s="132">
        <v>0.0</v>
      </c>
      <c r="U857" s="132">
        <v>0.0</v>
      </c>
      <c r="V857" s="132">
        <v>0.0</v>
      </c>
      <c r="W857" s="132">
        <v>0.0</v>
      </c>
      <c r="Y857" s="132" t="s">
        <v>4359</v>
      </c>
      <c r="Z857" s="132">
        <f t="shared" ref="Z857:AC857" si="1710">C857-1000</f>
        <v>-1000</v>
      </c>
      <c r="AA857" s="132">
        <f t="shared" si="1710"/>
        <v>-1000</v>
      </c>
      <c r="AB857" s="132">
        <f t="shared" si="1710"/>
        <v>-1000</v>
      </c>
      <c r="AC857" s="132">
        <f t="shared" si="1710"/>
        <v>-1000</v>
      </c>
      <c r="AD857" s="132">
        <f t="shared" si="4"/>
        <v>-10000</v>
      </c>
      <c r="AE857" s="132">
        <f t="shared" ref="AE857:AS857" si="1711">H857-1000</f>
        <v>-1000</v>
      </c>
      <c r="AF857" s="132">
        <f t="shared" si="1711"/>
        <v>-1000</v>
      </c>
      <c r="AG857" s="132">
        <f t="shared" si="1711"/>
        <v>-1000</v>
      </c>
      <c r="AH857" s="132">
        <f t="shared" si="1711"/>
        <v>-900</v>
      </c>
      <c r="AI857" s="132">
        <f t="shared" si="1711"/>
        <v>-1000</v>
      </c>
      <c r="AJ857" s="132">
        <f t="shared" si="1711"/>
        <v>-1000</v>
      </c>
      <c r="AK857" s="132">
        <f t="shared" si="1711"/>
        <v>-1000</v>
      </c>
      <c r="AL857" s="132">
        <f t="shared" si="1711"/>
        <v>-1000</v>
      </c>
      <c r="AM857" s="132">
        <f t="shared" si="1711"/>
        <v>-1000</v>
      </c>
      <c r="AN857" s="132">
        <f t="shared" si="1711"/>
        <v>-1000</v>
      </c>
      <c r="AO857" s="132">
        <f t="shared" si="1711"/>
        <v>-1000</v>
      </c>
      <c r="AP857" s="132">
        <f t="shared" si="1711"/>
        <v>-1000</v>
      </c>
      <c r="AQ857" s="132">
        <f t="shared" si="1711"/>
        <v>-1000</v>
      </c>
      <c r="AR857" s="132">
        <f t="shared" si="1711"/>
        <v>-1000</v>
      </c>
      <c r="AS857" s="132">
        <f t="shared" si="1711"/>
        <v>-1000</v>
      </c>
    </row>
    <row r="858">
      <c r="A858" s="132" t="s">
        <v>4360</v>
      </c>
      <c r="B858" s="132">
        <v>1000.0</v>
      </c>
      <c r="C858" s="132">
        <v>0.0</v>
      </c>
      <c r="D858" s="132">
        <v>0.0</v>
      </c>
      <c r="E858" s="132">
        <v>0.0</v>
      </c>
      <c r="F858" s="132">
        <v>0.0</v>
      </c>
      <c r="G858" s="132">
        <v>0.0</v>
      </c>
      <c r="H858" s="132">
        <v>0.0</v>
      </c>
      <c r="I858" s="132">
        <v>0.0</v>
      </c>
      <c r="J858" s="132">
        <v>0.0</v>
      </c>
      <c r="K858" s="132">
        <v>1000.0</v>
      </c>
      <c r="L858" s="132">
        <v>0.0</v>
      </c>
      <c r="M858" s="132">
        <v>0.0</v>
      </c>
      <c r="N858" s="132">
        <v>0.0</v>
      </c>
      <c r="O858" s="132">
        <v>0.0</v>
      </c>
      <c r="P858" s="132">
        <v>0.0</v>
      </c>
      <c r="Q858" s="132">
        <v>0.0</v>
      </c>
      <c r="R858" s="132">
        <v>0.0</v>
      </c>
      <c r="S858" s="132">
        <v>0.0</v>
      </c>
      <c r="T858" s="132">
        <v>0.0</v>
      </c>
      <c r="U858" s="132">
        <v>0.0</v>
      </c>
      <c r="V858" s="132">
        <v>0.0</v>
      </c>
      <c r="W858" s="132">
        <v>0.0</v>
      </c>
      <c r="Y858" s="132" t="s">
        <v>4360</v>
      </c>
      <c r="Z858" s="132">
        <f t="shared" ref="Z858:AC858" si="1712">C858-1000</f>
        <v>-1000</v>
      </c>
      <c r="AA858" s="132">
        <f t="shared" si="1712"/>
        <v>-1000</v>
      </c>
      <c r="AB858" s="132">
        <f t="shared" si="1712"/>
        <v>-1000</v>
      </c>
      <c r="AC858" s="132">
        <f t="shared" si="1712"/>
        <v>-1000</v>
      </c>
      <c r="AD858" s="132">
        <f t="shared" si="4"/>
        <v>-10000</v>
      </c>
      <c r="AE858" s="132">
        <f t="shared" ref="AE858:AS858" si="1713">H858-1000</f>
        <v>-1000</v>
      </c>
      <c r="AF858" s="132">
        <f t="shared" si="1713"/>
        <v>-1000</v>
      </c>
      <c r="AG858" s="132">
        <f t="shared" si="1713"/>
        <v>-1000</v>
      </c>
      <c r="AH858" s="132">
        <f t="shared" si="1713"/>
        <v>0</v>
      </c>
      <c r="AI858" s="132">
        <f t="shared" si="1713"/>
        <v>-1000</v>
      </c>
      <c r="AJ858" s="132">
        <f t="shared" si="1713"/>
        <v>-1000</v>
      </c>
      <c r="AK858" s="132">
        <f t="shared" si="1713"/>
        <v>-1000</v>
      </c>
      <c r="AL858" s="132">
        <f t="shared" si="1713"/>
        <v>-1000</v>
      </c>
      <c r="AM858" s="132">
        <f t="shared" si="1713"/>
        <v>-1000</v>
      </c>
      <c r="AN858" s="132">
        <f t="shared" si="1713"/>
        <v>-1000</v>
      </c>
      <c r="AO858" s="132">
        <f t="shared" si="1713"/>
        <v>-1000</v>
      </c>
      <c r="AP858" s="132">
        <f t="shared" si="1713"/>
        <v>-1000</v>
      </c>
      <c r="AQ858" s="132">
        <f t="shared" si="1713"/>
        <v>-1000</v>
      </c>
      <c r="AR858" s="132">
        <f t="shared" si="1713"/>
        <v>-1000</v>
      </c>
      <c r="AS858" s="132">
        <f t="shared" si="1713"/>
        <v>-1000</v>
      </c>
    </row>
    <row r="859">
      <c r="A859" s="132" t="s">
        <v>4361</v>
      </c>
      <c r="B859" s="132">
        <v>2000.0</v>
      </c>
      <c r="C859" s="132">
        <v>0.0</v>
      </c>
      <c r="D859" s="132">
        <v>0.0</v>
      </c>
      <c r="E859" s="132">
        <v>0.0</v>
      </c>
      <c r="F859" s="132">
        <v>0.0</v>
      </c>
      <c r="G859" s="132">
        <v>0.0</v>
      </c>
      <c r="H859" s="132">
        <v>0.0</v>
      </c>
      <c r="I859" s="132">
        <v>0.0</v>
      </c>
      <c r="J859" s="132">
        <v>0.0</v>
      </c>
      <c r="K859" s="132">
        <v>0.0</v>
      </c>
      <c r="L859" s="132">
        <v>0.0</v>
      </c>
      <c r="M859" s="132">
        <v>0.0</v>
      </c>
      <c r="N859" s="132">
        <v>0.0</v>
      </c>
      <c r="O859" s="132">
        <v>0.0</v>
      </c>
      <c r="P859" s="132">
        <v>0.0</v>
      </c>
      <c r="Q859" s="132">
        <v>0.0</v>
      </c>
      <c r="R859" s="132">
        <v>0.0</v>
      </c>
      <c r="S859" s="132">
        <v>2000.0</v>
      </c>
      <c r="T859" s="132">
        <v>0.0</v>
      </c>
      <c r="U859" s="132">
        <v>0.0</v>
      </c>
      <c r="V859" s="132">
        <v>0.0</v>
      </c>
      <c r="W859" s="132">
        <v>0.0</v>
      </c>
      <c r="Y859" s="132" t="s">
        <v>4361</v>
      </c>
      <c r="Z859" s="132">
        <f t="shared" ref="Z859:AC859" si="1714">C859-1000</f>
        <v>-1000</v>
      </c>
      <c r="AA859" s="132">
        <f t="shared" si="1714"/>
        <v>-1000</v>
      </c>
      <c r="AB859" s="132">
        <f t="shared" si="1714"/>
        <v>-1000</v>
      </c>
      <c r="AC859" s="132">
        <f t="shared" si="1714"/>
        <v>-1000</v>
      </c>
      <c r="AD859" s="132">
        <f t="shared" si="4"/>
        <v>-10000</v>
      </c>
      <c r="AE859" s="132">
        <f t="shared" ref="AE859:AS859" si="1715">H859-1000</f>
        <v>-1000</v>
      </c>
      <c r="AF859" s="132">
        <f t="shared" si="1715"/>
        <v>-1000</v>
      </c>
      <c r="AG859" s="132">
        <f t="shared" si="1715"/>
        <v>-1000</v>
      </c>
      <c r="AH859" s="132">
        <f t="shared" si="1715"/>
        <v>-1000</v>
      </c>
      <c r="AI859" s="132">
        <f t="shared" si="1715"/>
        <v>-1000</v>
      </c>
      <c r="AJ859" s="132">
        <f t="shared" si="1715"/>
        <v>-1000</v>
      </c>
      <c r="AK859" s="132">
        <f t="shared" si="1715"/>
        <v>-1000</v>
      </c>
      <c r="AL859" s="132">
        <f t="shared" si="1715"/>
        <v>-1000</v>
      </c>
      <c r="AM859" s="132">
        <f t="shared" si="1715"/>
        <v>-1000</v>
      </c>
      <c r="AN859" s="132">
        <f t="shared" si="1715"/>
        <v>-1000</v>
      </c>
      <c r="AO859" s="132">
        <f t="shared" si="1715"/>
        <v>-1000</v>
      </c>
      <c r="AP859" s="132">
        <f t="shared" si="1715"/>
        <v>1000</v>
      </c>
      <c r="AQ859" s="132">
        <f t="shared" si="1715"/>
        <v>-1000</v>
      </c>
      <c r="AR859" s="132">
        <f t="shared" si="1715"/>
        <v>-1000</v>
      </c>
      <c r="AS859" s="132">
        <f t="shared" si="1715"/>
        <v>-1000</v>
      </c>
    </row>
    <row r="860">
      <c r="A860" s="132" t="s">
        <v>4362</v>
      </c>
      <c r="B860" s="132">
        <v>2000.0</v>
      </c>
      <c r="C860" s="132">
        <v>0.0</v>
      </c>
      <c r="D860" s="132">
        <v>0.0</v>
      </c>
      <c r="E860" s="132">
        <v>0.0</v>
      </c>
      <c r="F860" s="132">
        <v>0.0</v>
      </c>
      <c r="G860" s="132">
        <v>0.0</v>
      </c>
      <c r="H860" s="132">
        <v>0.0</v>
      </c>
      <c r="I860" s="132">
        <v>0.0</v>
      </c>
      <c r="J860" s="132">
        <v>0.0</v>
      </c>
      <c r="K860" s="132">
        <v>0.0</v>
      </c>
      <c r="L860" s="132">
        <v>0.0</v>
      </c>
      <c r="M860" s="132">
        <v>0.0</v>
      </c>
      <c r="N860" s="132">
        <v>0.0</v>
      </c>
      <c r="O860" s="132">
        <v>0.0</v>
      </c>
      <c r="P860" s="132">
        <v>0.0</v>
      </c>
      <c r="Q860" s="132">
        <v>0.0</v>
      </c>
      <c r="R860" s="132">
        <v>0.0</v>
      </c>
      <c r="S860" s="132">
        <v>2000.0</v>
      </c>
      <c r="T860" s="132">
        <v>0.0</v>
      </c>
      <c r="U860" s="132">
        <v>0.0</v>
      </c>
      <c r="V860" s="132">
        <v>0.0</v>
      </c>
      <c r="W860" s="132">
        <v>0.0</v>
      </c>
      <c r="Y860" s="132" t="s">
        <v>4362</v>
      </c>
      <c r="Z860" s="132">
        <f t="shared" ref="Z860:AC860" si="1716">C860-1000</f>
        <v>-1000</v>
      </c>
      <c r="AA860" s="132">
        <f t="shared" si="1716"/>
        <v>-1000</v>
      </c>
      <c r="AB860" s="132">
        <f t="shared" si="1716"/>
        <v>-1000</v>
      </c>
      <c r="AC860" s="132">
        <f t="shared" si="1716"/>
        <v>-1000</v>
      </c>
      <c r="AD860" s="132">
        <f t="shared" si="4"/>
        <v>-10000</v>
      </c>
      <c r="AE860" s="132">
        <f t="shared" ref="AE860:AS860" si="1717">H860-1000</f>
        <v>-1000</v>
      </c>
      <c r="AF860" s="132">
        <f t="shared" si="1717"/>
        <v>-1000</v>
      </c>
      <c r="AG860" s="132">
        <f t="shared" si="1717"/>
        <v>-1000</v>
      </c>
      <c r="AH860" s="132">
        <f t="shared" si="1717"/>
        <v>-1000</v>
      </c>
      <c r="AI860" s="132">
        <f t="shared" si="1717"/>
        <v>-1000</v>
      </c>
      <c r="AJ860" s="132">
        <f t="shared" si="1717"/>
        <v>-1000</v>
      </c>
      <c r="AK860" s="132">
        <f t="shared" si="1717"/>
        <v>-1000</v>
      </c>
      <c r="AL860" s="132">
        <f t="shared" si="1717"/>
        <v>-1000</v>
      </c>
      <c r="AM860" s="132">
        <f t="shared" si="1717"/>
        <v>-1000</v>
      </c>
      <c r="AN860" s="132">
        <f t="shared" si="1717"/>
        <v>-1000</v>
      </c>
      <c r="AO860" s="132">
        <f t="shared" si="1717"/>
        <v>-1000</v>
      </c>
      <c r="AP860" s="132">
        <f t="shared" si="1717"/>
        <v>1000</v>
      </c>
      <c r="AQ860" s="132">
        <f t="shared" si="1717"/>
        <v>-1000</v>
      </c>
      <c r="AR860" s="132">
        <f t="shared" si="1717"/>
        <v>-1000</v>
      </c>
      <c r="AS860" s="132">
        <f t="shared" si="1717"/>
        <v>-1000</v>
      </c>
    </row>
    <row r="861">
      <c r="A861" s="132" t="s">
        <v>4363</v>
      </c>
      <c r="B861" s="132">
        <v>1000.0</v>
      </c>
      <c r="C861" s="132">
        <v>0.0</v>
      </c>
      <c r="D861" s="132">
        <v>0.0</v>
      </c>
      <c r="E861" s="132">
        <v>0.0</v>
      </c>
      <c r="F861" s="132">
        <v>0.0</v>
      </c>
      <c r="G861" s="132">
        <v>0.0</v>
      </c>
      <c r="H861" s="132">
        <v>0.0</v>
      </c>
      <c r="I861" s="132">
        <v>0.0</v>
      </c>
      <c r="J861" s="132">
        <v>0.0</v>
      </c>
      <c r="K861" s="132">
        <v>0.0</v>
      </c>
      <c r="L861" s="132">
        <v>1000.0</v>
      </c>
      <c r="M861" s="132">
        <v>0.0</v>
      </c>
      <c r="N861" s="132">
        <v>0.0</v>
      </c>
      <c r="O861" s="132">
        <v>0.0</v>
      </c>
      <c r="P861" s="132">
        <v>0.0</v>
      </c>
      <c r="Q861" s="132">
        <v>0.0</v>
      </c>
      <c r="R861" s="132">
        <v>0.0</v>
      </c>
      <c r="S861" s="132">
        <v>0.0</v>
      </c>
      <c r="T861" s="132">
        <v>0.0</v>
      </c>
      <c r="U861" s="132">
        <v>0.0</v>
      </c>
      <c r="V861" s="132">
        <v>0.0</v>
      </c>
      <c r="W861" s="132">
        <v>0.0</v>
      </c>
      <c r="Y861" s="132" t="s">
        <v>4363</v>
      </c>
      <c r="Z861" s="132">
        <f t="shared" ref="Z861:AC861" si="1718">C861-1000</f>
        <v>-1000</v>
      </c>
      <c r="AA861" s="132">
        <f t="shared" si="1718"/>
        <v>-1000</v>
      </c>
      <c r="AB861" s="132">
        <f t="shared" si="1718"/>
        <v>-1000</v>
      </c>
      <c r="AC861" s="132">
        <f t="shared" si="1718"/>
        <v>-1000</v>
      </c>
      <c r="AD861" s="132">
        <f t="shared" si="4"/>
        <v>-10000</v>
      </c>
      <c r="AE861" s="132">
        <f t="shared" ref="AE861:AS861" si="1719">H861-1000</f>
        <v>-1000</v>
      </c>
      <c r="AF861" s="132">
        <f t="shared" si="1719"/>
        <v>-1000</v>
      </c>
      <c r="AG861" s="132">
        <f t="shared" si="1719"/>
        <v>-1000</v>
      </c>
      <c r="AH861" s="132">
        <f t="shared" si="1719"/>
        <v>-1000</v>
      </c>
      <c r="AI861" s="132">
        <f t="shared" si="1719"/>
        <v>0</v>
      </c>
      <c r="AJ861" s="132">
        <f t="shared" si="1719"/>
        <v>-1000</v>
      </c>
      <c r="AK861" s="132">
        <f t="shared" si="1719"/>
        <v>-1000</v>
      </c>
      <c r="AL861" s="132">
        <f t="shared" si="1719"/>
        <v>-1000</v>
      </c>
      <c r="AM861" s="132">
        <f t="shared" si="1719"/>
        <v>-1000</v>
      </c>
      <c r="AN861" s="132">
        <f t="shared" si="1719"/>
        <v>-1000</v>
      </c>
      <c r="AO861" s="132">
        <f t="shared" si="1719"/>
        <v>-1000</v>
      </c>
      <c r="AP861" s="132">
        <f t="shared" si="1719"/>
        <v>-1000</v>
      </c>
      <c r="AQ861" s="132">
        <f t="shared" si="1719"/>
        <v>-1000</v>
      </c>
      <c r="AR861" s="132">
        <f t="shared" si="1719"/>
        <v>-1000</v>
      </c>
      <c r="AS861" s="132">
        <f t="shared" si="1719"/>
        <v>-1000</v>
      </c>
    </row>
    <row r="862">
      <c r="A862" s="132" t="s">
        <v>4364</v>
      </c>
      <c r="B862" s="132">
        <v>500.0</v>
      </c>
      <c r="C862" s="132">
        <v>0.0</v>
      </c>
      <c r="D862" s="132">
        <v>0.0</v>
      </c>
      <c r="E862" s="132">
        <v>0.0</v>
      </c>
      <c r="F862" s="132">
        <v>0.0</v>
      </c>
      <c r="G862" s="132">
        <v>0.0</v>
      </c>
      <c r="H862" s="132">
        <v>0.0</v>
      </c>
      <c r="I862" s="132">
        <v>0.0</v>
      </c>
      <c r="J862" s="132">
        <v>0.0</v>
      </c>
      <c r="K862" s="132">
        <v>0.0</v>
      </c>
      <c r="L862" s="132">
        <v>500.0</v>
      </c>
      <c r="M862" s="132">
        <v>0.0</v>
      </c>
      <c r="N862" s="132">
        <v>0.0</v>
      </c>
      <c r="O862" s="132">
        <v>0.0</v>
      </c>
      <c r="P862" s="132">
        <v>0.0</v>
      </c>
      <c r="Q862" s="132">
        <v>0.0</v>
      </c>
      <c r="R862" s="132">
        <v>0.0</v>
      </c>
      <c r="S862" s="132">
        <v>0.0</v>
      </c>
      <c r="T862" s="132">
        <v>0.0</v>
      </c>
      <c r="U862" s="132">
        <v>0.0</v>
      </c>
      <c r="V862" s="132">
        <v>0.0</v>
      </c>
      <c r="W862" s="132">
        <v>0.0</v>
      </c>
      <c r="Y862" s="132" t="s">
        <v>4364</v>
      </c>
      <c r="Z862" s="132">
        <f t="shared" ref="Z862:AC862" si="1720">C862-1000</f>
        <v>-1000</v>
      </c>
      <c r="AA862" s="132">
        <f t="shared" si="1720"/>
        <v>-1000</v>
      </c>
      <c r="AB862" s="132">
        <f t="shared" si="1720"/>
        <v>-1000</v>
      </c>
      <c r="AC862" s="132">
        <f t="shared" si="1720"/>
        <v>-1000</v>
      </c>
      <c r="AD862" s="132">
        <f t="shared" si="4"/>
        <v>-10000</v>
      </c>
      <c r="AE862" s="132">
        <f t="shared" ref="AE862:AS862" si="1721">H862-1000</f>
        <v>-1000</v>
      </c>
      <c r="AF862" s="132">
        <f t="shared" si="1721"/>
        <v>-1000</v>
      </c>
      <c r="AG862" s="132">
        <f t="shared" si="1721"/>
        <v>-1000</v>
      </c>
      <c r="AH862" s="132">
        <f t="shared" si="1721"/>
        <v>-1000</v>
      </c>
      <c r="AI862" s="132">
        <f t="shared" si="1721"/>
        <v>-500</v>
      </c>
      <c r="AJ862" s="132">
        <f t="shared" si="1721"/>
        <v>-1000</v>
      </c>
      <c r="AK862" s="132">
        <f t="shared" si="1721"/>
        <v>-1000</v>
      </c>
      <c r="AL862" s="132">
        <f t="shared" si="1721"/>
        <v>-1000</v>
      </c>
      <c r="AM862" s="132">
        <f t="shared" si="1721"/>
        <v>-1000</v>
      </c>
      <c r="AN862" s="132">
        <f t="shared" si="1721"/>
        <v>-1000</v>
      </c>
      <c r="AO862" s="132">
        <f t="shared" si="1721"/>
        <v>-1000</v>
      </c>
      <c r="AP862" s="132">
        <f t="shared" si="1721"/>
        <v>-1000</v>
      </c>
      <c r="AQ862" s="132">
        <f t="shared" si="1721"/>
        <v>-1000</v>
      </c>
      <c r="AR862" s="132">
        <f t="shared" si="1721"/>
        <v>-1000</v>
      </c>
      <c r="AS862" s="132">
        <f t="shared" si="1721"/>
        <v>-1000</v>
      </c>
    </row>
    <row r="863">
      <c r="A863" s="132" t="s">
        <v>4365</v>
      </c>
      <c r="B863" s="132">
        <v>100.0</v>
      </c>
      <c r="C863" s="132">
        <v>0.0</v>
      </c>
      <c r="D863" s="132">
        <v>0.0</v>
      </c>
      <c r="E863" s="132">
        <v>0.0</v>
      </c>
      <c r="F863" s="132">
        <v>0.0</v>
      </c>
      <c r="G863" s="132">
        <v>0.0</v>
      </c>
      <c r="H863" s="132">
        <v>0.0</v>
      </c>
      <c r="I863" s="132">
        <v>0.0</v>
      </c>
      <c r="J863" s="132">
        <v>0.0</v>
      </c>
      <c r="K863" s="132">
        <v>0.0</v>
      </c>
      <c r="L863" s="132">
        <v>100.0</v>
      </c>
      <c r="M863" s="132">
        <v>0.0</v>
      </c>
      <c r="N863" s="132">
        <v>0.0</v>
      </c>
      <c r="O863" s="132">
        <v>0.0</v>
      </c>
      <c r="P863" s="132">
        <v>0.0</v>
      </c>
      <c r="Q863" s="132">
        <v>0.0</v>
      </c>
      <c r="R863" s="132">
        <v>0.0</v>
      </c>
      <c r="S863" s="132">
        <v>0.0</v>
      </c>
      <c r="T863" s="132">
        <v>0.0</v>
      </c>
      <c r="U863" s="132">
        <v>0.0</v>
      </c>
      <c r="V863" s="132">
        <v>0.0</v>
      </c>
      <c r="W863" s="132">
        <v>0.0</v>
      </c>
      <c r="Y863" s="132" t="s">
        <v>4365</v>
      </c>
      <c r="Z863" s="132">
        <f t="shared" ref="Z863:AC863" si="1722">C863-1000</f>
        <v>-1000</v>
      </c>
      <c r="AA863" s="132">
        <f t="shared" si="1722"/>
        <v>-1000</v>
      </c>
      <c r="AB863" s="132">
        <f t="shared" si="1722"/>
        <v>-1000</v>
      </c>
      <c r="AC863" s="132">
        <f t="shared" si="1722"/>
        <v>-1000</v>
      </c>
      <c r="AD863" s="132">
        <f t="shared" si="4"/>
        <v>-10000</v>
      </c>
      <c r="AE863" s="132">
        <f t="shared" ref="AE863:AS863" si="1723">H863-1000</f>
        <v>-1000</v>
      </c>
      <c r="AF863" s="132">
        <f t="shared" si="1723"/>
        <v>-1000</v>
      </c>
      <c r="AG863" s="132">
        <f t="shared" si="1723"/>
        <v>-1000</v>
      </c>
      <c r="AH863" s="132">
        <f t="shared" si="1723"/>
        <v>-1000</v>
      </c>
      <c r="AI863" s="132">
        <f t="shared" si="1723"/>
        <v>-900</v>
      </c>
      <c r="AJ863" s="132">
        <f t="shared" si="1723"/>
        <v>-1000</v>
      </c>
      <c r="AK863" s="132">
        <f t="shared" si="1723"/>
        <v>-1000</v>
      </c>
      <c r="AL863" s="132">
        <f t="shared" si="1723"/>
        <v>-1000</v>
      </c>
      <c r="AM863" s="132">
        <f t="shared" si="1723"/>
        <v>-1000</v>
      </c>
      <c r="AN863" s="132">
        <f t="shared" si="1723"/>
        <v>-1000</v>
      </c>
      <c r="AO863" s="132">
        <f t="shared" si="1723"/>
        <v>-1000</v>
      </c>
      <c r="AP863" s="132">
        <f t="shared" si="1723"/>
        <v>-1000</v>
      </c>
      <c r="AQ863" s="132">
        <f t="shared" si="1723"/>
        <v>-1000</v>
      </c>
      <c r="AR863" s="132">
        <f t="shared" si="1723"/>
        <v>-1000</v>
      </c>
      <c r="AS863" s="132">
        <f t="shared" si="1723"/>
        <v>-1000</v>
      </c>
    </row>
    <row r="864">
      <c r="A864" s="132" t="s">
        <v>4366</v>
      </c>
      <c r="B864" s="132">
        <v>100.0</v>
      </c>
      <c r="C864" s="132">
        <v>0.0</v>
      </c>
      <c r="D864" s="132">
        <v>0.0</v>
      </c>
      <c r="E864" s="132">
        <v>0.0</v>
      </c>
      <c r="F864" s="132">
        <v>0.0</v>
      </c>
      <c r="G864" s="132">
        <v>0.0</v>
      </c>
      <c r="H864" s="132">
        <v>0.0</v>
      </c>
      <c r="I864" s="132">
        <v>0.0</v>
      </c>
      <c r="J864" s="132">
        <v>0.0</v>
      </c>
      <c r="K864" s="132">
        <v>0.0</v>
      </c>
      <c r="L864" s="132">
        <v>100.0</v>
      </c>
      <c r="M864" s="132">
        <v>0.0</v>
      </c>
      <c r="N864" s="132">
        <v>0.0</v>
      </c>
      <c r="O864" s="132">
        <v>0.0</v>
      </c>
      <c r="P864" s="132">
        <v>0.0</v>
      </c>
      <c r="Q864" s="132">
        <v>0.0</v>
      </c>
      <c r="R864" s="132">
        <v>0.0</v>
      </c>
      <c r="S864" s="132">
        <v>0.0</v>
      </c>
      <c r="T864" s="132">
        <v>0.0</v>
      </c>
      <c r="U864" s="132">
        <v>0.0</v>
      </c>
      <c r="V864" s="132">
        <v>0.0</v>
      </c>
      <c r="W864" s="132">
        <v>0.0</v>
      </c>
      <c r="Y864" s="132" t="s">
        <v>4366</v>
      </c>
      <c r="Z864" s="132">
        <f t="shared" ref="Z864:AC864" si="1724">C864-1000</f>
        <v>-1000</v>
      </c>
      <c r="AA864" s="132">
        <f t="shared" si="1724"/>
        <v>-1000</v>
      </c>
      <c r="AB864" s="132">
        <f t="shared" si="1724"/>
        <v>-1000</v>
      </c>
      <c r="AC864" s="132">
        <f t="shared" si="1724"/>
        <v>-1000</v>
      </c>
      <c r="AD864" s="132">
        <f t="shared" si="4"/>
        <v>-10000</v>
      </c>
      <c r="AE864" s="132">
        <f t="shared" ref="AE864:AS864" si="1725">H864-1000</f>
        <v>-1000</v>
      </c>
      <c r="AF864" s="132">
        <f t="shared" si="1725"/>
        <v>-1000</v>
      </c>
      <c r="AG864" s="132">
        <f t="shared" si="1725"/>
        <v>-1000</v>
      </c>
      <c r="AH864" s="132">
        <f t="shared" si="1725"/>
        <v>-1000</v>
      </c>
      <c r="AI864" s="132">
        <f t="shared" si="1725"/>
        <v>-900</v>
      </c>
      <c r="AJ864" s="132">
        <f t="shared" si="1725"/>
        <v>-1000</v>
      </c>
      <c r="AK864" s="132">
        <f t="shared" si="1725"/>
        <v>-1000</v>
      </c>
      <c r="AL864" s="132">
        <f t="shared" si="1725"/>
        <v>-1000</v>
      </c>
      <c r="AM864" s="132">
        <f t="shared" si="1725"/>
        <v>-1000</v>
      </c>
      <c r="AN864" s="132">
        <f t="shared" si="1725"/>
        <v>-1000</v>
      </c>
      <c r="AO864" s="132">
        <f t="shared" si="1725"/>
        <v>-1000</v>
      </c>
      <c r="AP864" s="132">
        <f t="shared" si="1725"/>
        <v>-1000</v>
      </c>
      <c r="AQ864" s="132">
        <f t="shared" si="1725"/>
        <v>-1000</v>
      </c>
      <c r="AR864" s="132">
        <f t="shared" si="1725"/>
        <v>-1000</v>
      </c>
      <c r="AS864" s="132">
        <f t="shared" si="1725"/>
        <v>-1000</v>
      </c>
    </row>
    <row r="865">
      <c r="A865" s="132" t="s">
        <v>4367</v>
      </c>
      <c r="B865" s="132">
        <v>50.0</v>
      </c>
      <c r="C865" s="132">
        <v>0.0</v>
      </c>
      <c r="D865" s="132">
        <v>0.0</v>
      </c>
      <c r="E865" s="132">
        <v>0.0</v>
      </c>
      <c r="F865" s="132">
        <v>0.0</v>
      </c>
      <c r="G865" s="132">
        <v>0.0</v>
      </c>
      <c r="H865" s="132">
        <v>0.0</v>
      </c>
      <c r="I865" s="132">
        <v>0.0</v>
      </c>
      <c r="J865" s="132">
        <v>0.0</v>
      </c>
      <c r="K865" s="132">
        <v>0.0</v>
      </c>
      <c r="L865" s="132">
        <v>50.0</v>
      </c>
      <c r="M865" s="132">
        <v>0.0</v>
      </c>
      <c r="N865" s="132">
        <v>0.0</v>
      </c>
      <c r="O865" s="132">
        <v>0.0</v>
      </c>
      <c r="P865" s="132">
        <v>0.0</v>
      </c>
      <c r="Q865" s="132">
        <v>0.0</v>
      </c>
      <c r="R865" s="132">
        <v>0.0</v>
      </c>
      <c r="S865" s="132">
        <v>0.0</v>
      </c>
      <c r="T865" s="132">
        <v>0.0</v>
      </c>
      <c r="U865" s="132">
        <v>0.0</v>
      </c>
      <c r="V865" s="132">
        <v>0.0</v>
      </c>
      <c r="W865" s="132">
        <v>0.0</v>
      </c>
      <c r="Y865" s="132" t="s">
        <v>4367</v>
      </c>
      <c r="Z865" s="132">
        <f t="shared" ref="Z865:AC865" si="1726">C865-1000</f>
        <v>-1000</v>
      </c>
      <c r="AA865" s="132">
        <f t="shared" si="1726"/>
        <v>-1000</v>
      </c>
      <c r="AB865" s="132">
        <f t="shared" si="1726"/>
        <v>-1000</v>
      </c>
      <c r="AC865" s="132">
        <f t="shared" si="1726"/>
        <v>-1000</v>
      </c>
      <c r="AD865" s="132">
        <f t="shared" si="4"/>
        <v>-10000</v>
      </c>
      <c r="AE865" s="132">
        <f t="shared" ref="AE865:AS865" si="1727">H865-1000</f>
        <v>-1000</v>
      </c>
      <c r="AF865" s="132">
        <f t="shared" si="1727"/>
        <v>-1000</v>
      </c>
      <c r="AG865" s="132">
        <f t="shared" si="1727"/>
        <v>-1000</v>
      </c>
      <c r="AH865" s="132">
        <f t="shared" si="1727"/>
        <v>-1000</v>
      </c>
      <c r="AI865" s="132">
        <f t="shared" si="1727"/>
        <v>-950</v>
      </c>
      <c r="AJ865" s="132">
        <f t="shared" si="1727"/>
        <v>-1000</v>
      </c>
      <c r="AK865" s="132">
        <f t="shared" si="1727"/>
        <v>-1000</v>
      </c>
      <c r="AL865" s="132">
        <f t="shared" si="1727"/>
        <v>-1000</v>
      </c>
      <c r="AM865" s="132">
        <f t="shared" si="1727"/>
        <v>-1000</v>
      </c>
      <c r="AN865" s="132">
        <f t="shared" si="1727"/>
        <v>-1000</v>
      </c>
      <c r="AO865" s="132">
        <f t="shared" si="1727"/>
        <v>-1000</v>
      </c>
      <c r="AP865" s="132">
        <f t="shared" si="1727"/>
        <v>-1000</v>
      </c>
      <c r="AQ865" s="132">
        <f t="shared" si="1727"/>
        <v>-1000</v>
      </c>
      <c r="AR865" s="132">
        <f t="shared" si="1727"/>
        <v>-1000</v>
      </c>
      <c r="AS865" s="132">
        <f t="shared" si="1727"/>
        <v>-1000</v>
      </c>
    </row>
    <row r="866">
      <c r="A866" s="132" t="s">
        <v>4368</v>
      </c>
      <c r="B866" s="132">
        <v>1000.0</v>
      </c>
      <c r="C866" s="132">
        <v>0.0</v>
      </c>
      <c r="D866" s="132">
        <v>0.0</v>
      </c>
      <c r="E866" s="132">
        <v>0.0</v>
      </c>
      <c r="F866" s="132">
        <v>0.0</v>
      </c>
      <c r="G866" s="132">
        <v>0.0</v>
      </c>
      <c r="H866" s="132">
        <v>0.0</v>
      </c>
      <c r="I866" s="132">
        <v>0.0</v>
      </c>
      <c r="J866" s="132">
        <v>0.0</v>
      </c>
      <c r="K866" s="132">
        <v>0.0</v>
      </c>
      <c r="L866" s="132">
        <v>1000.0</v>
      </c>
      <c r="M866" s="132">
        <v>0.0</v>
      </c>
      <c r="N866" s="132">
        <v>0.0</v>
      </c>
      <c r="O866" s="132">
        <v>0.0</v>
      </c>
      <c r="P866" s="132">
        <v>0.0</v>
      </c>
      <c r="Q866" s="132">
        <v>0.0</v>
      </c>
      <c r="R866" s="132">
        <v>0.0</v>
      </c>
      <c r="S866" s="132">
        <v>0.0</v>
      </c>
      <c r="T866" s="132">
        <v>0.0</v>
      </c>
      <c r="U866" s="132">
        <v>0.0</v>
      </c>
      <c r="V866" s="132">
        <v>0.0</v>
      </c>
      <c r="W866" s="132">
        <v>0.0</v>
      </c>
      <c r="Y866" s="132" t="s">
        <v>4368</v>
      </c>
      <c r="Z866" s="132">
        <f t="shared" ref="Z866:AC866" si="1728">C866-1000</f>
        <v>-1000</v>
      </c>
      <c r="AA866" s="132">
        <f t="shared" si="1728"/>
        <v>-1000</v>
      </c>
      <c r="AB866" s="132">
        <f t="shared" si="1728"/>
        <v>-1000</v>
      </c>
      <c r="AC866" s="132">
        <f t="shared" si="1728"/>
        <v>-1000</v>
      </c>
      <c r="AD866" s="132">
        <f t="shared" si="4"/>
        <v>-10000</v>
      </c>
      <c r="AE866" s="132">
        <f t="shared" ref="AE866:AS866" si="1729">H866-1000</f>
        <v>-1000</v>
      </c>
      <c r="AF866" s="132">
        <f t="shared" si="1729"/>
        <v>-1000</v>
      </c>
      <c r="AG866" s="132">
        <f t="shared" si="1729"/>
        <v>-1000</v>
      </c>
      <c r="AH866" s="132">
        <f t="shared" si="1729"/>
        <v>-1000</v>
      </c>
      <c r="AI866" s="132">
        <f t="shared" si="1729"/>
        <v>0</v>
      </c>
      <c r="AJ866" s="132">
        <f t="shared" si="1729"/>
        <v>-1000</v>
      </c>
      <c r="AK866" s="132">
        <f t="shared" si="1729"/>
        <v>-1000</v>
      </c>
      <c r="AL866" s="132">
        <f t="shared" si="1729"/>
        <v>-1000</v>
      </c>
      <c r="AM866" s="132">
        <f t="shared" si="1729"/>
        <v>-1000</v>
      </c>
      <c r="AN866" s="132">
        <f t="shared" si="1729"/>
        <v>-1000</v>
      </c>
      <c r="AO866" s="132">
        <f t="shared" si="1729"/>
        <v>-1000</v>
      </c>
      <c r="AP866" s="132">
        <f t="shared" si="1729"/>
        <v>-1000</v>
      </c>
      <c r="AQ866" s="132">
        <f t="shared" si="1729"/>
        <v>-1000</v>
      </c>
      <c r="AR866" s="132">
        <f t="shared" si="1729"/>
        <v>-1000</v>
      </c>
      <c r="AS866" s="132">
        <f t="shared" si="1729"/>
        <v>-1000</v>
      </c>
    </row>
    <row r="867">
      <c r="A867" s="132" t="s">
        <v>4369</v>
      </c>
      <c r="B867" s="132">
        <v>25.0</v>
      </c>
      <c r="C867" s="132">
        <v>0.0</v>
      </c>
      <c r="D867" s="132">
        <v>0.0</v>
      </c>
      <c r="E867" s="132">
        <v>0.0</v>
      </c>
      <c r="F867" s="132">
        <v>0.0</v>
      </c>
      <c r="G867" s="132">
        <v>0.0</v>
      </c>
      <c r="H867" s="132">
        <v>0.0</v>
      </c>
      <c r="I867" s="132">
        <v>0.0</v>
      </c>
      <c r="J867" s="132">
        <v>0.0</v>
      </c>
      <c r="K867" s="132">
        <v>0.0</v>
      </c>
      <c r="L867" s="132">
        <v>25.0</v>
      </c>
      <c r="M867" s="132">
        <v>0.0</v>
      </c>
      <c r="N867" s="132">
        <v>0.0</v>
      </c>
      <c r="O867" s="132">
        <v>0.0</v>
      </c>
      <c r="P867" s="132">
        <v>0.0</v>
      </c>
      <c r="Q867" s="132">
        <v>0.0</v>
      </c>
      <c r="R867" s="132">
        <v>0.0</v>
      </c>
      <c r="S867" s="132">
        <v>0.0</v>
      </c>
      <c r="T867" s="132">
        <v>0.0</v>
      </c>
      <c r="U867" s="132">
        <v>0.0</v>
      </c>
      <c r="V867" s="132">
        <v>0.0</v>
      </c>
      <c r="W867" s="132">
        <v>0.0</v>
      </c>
      <c r="Y867" s="132" t="s">
        <v>4369</v>
      </c>
      <c r="Z867" s="132">
        <f t="shared" ref="Z867:AC867" si="1730">C867-1000</f>
        <v>-1000</v>
      </c>
      <c r="AA867" s="132">
        <f t="shared" si="1730"/>
        <v>-1000</v>
      </c>
      <c r="AB867" s="132">
        <f t="shared" si="1730"/>
        <v>-1000</v>
      </c>
      <c r="AC867" s="132">
        <f t="shared" si="1730"/>
        <v>-1000</v>
      </c>
      <c r="AD867" s="132">
        <f t="shared" si="4"/>
        <v>-10000</v>
      </c>
      <c r="AE867" s="132">
        <f t="shared" ref="AE867:AS867" si="1731">H867-1000</f>
        <v>-1000</v>
      </c>
      <c r="AF867" s="132">
        <f t="shared" si="1731"/>
        <v>-1000</v>
      </c>
      <c r="AG867" s="132">
        <f t="shared" si="1731"/>
        <v>-1000</v>
      </c>
      <c r="AH867" s="132">
        <f t="shared" si="1731"/>
        <v>-1000</v>
      </c>
      <c r="AI867" s="132">
        <f t="shared" si="1731"/>
        <v>-975</v>
      </c>
      <c r="AJ867" s="132">
        <f t="shared" si="1731"/>
        <v>-1000</v>
      </c>
      <c r="AK867" s="132">
        <f t="shared" si="1731"/>
        <v>-1000</v>
      </c>
      <c r="AL867" s="132">
        <f t="shared" si="1731"/>
        <v>-1000</v>
      </c>
      <c r="AM867" s="132">
        <f t="shared" si="1731"/>
        <v>-1000</v>
      </c>
      <c r="AN867" s="132">
        <f t="shared" si="1731"/>
        <v>-1000</v>
      </c>
      <c r="AO867" s="132">
        <f t="shared" si="1731"/>
        <v>-1000</v>
      </c>
      <c r="AP867" s="132">
        <f t="shared" si="1731"/>
        <v>-1000</v>
      </c>
      <c r="AQ867" s="132">
        <f t="shared" si="1731"/>
        <v>-1000</v>
      </c>
      <c r="AR867" s="132">
        <f t="shared" si="1731"/>
        <v>-1000</v>
      </c>
      <c r="AS867" s="132">
        <f t="shared" si="1731"/>
        <v>-1000</v>
      </c>
    </row>
    <row r="868">
      <c r="A868" s="132" t="s">
        <v>4370</v>
      </c>
      <c r="B868" s="132">
        <v>500.0</v>
      </c>
      <c r="C868" s="132">
        <v>0.0</v>
      </c>
      <c r="D868" s="132">
        <v>0.0</v>
      </c>
      <c r="E868" s="132">
        <v>0.0</v>
      </c>
      <c r="F868" s="132">
        <v>0.0</v>
      </c>
      <c r="G868" s="132">
        <v>0.0</v>
      </c>
      <c r="H868" s="132">
        <v>0.0</v>
      </c>
      <c r="I868" s="132">
        <v>0.0</v>
      </c>
      <c r="J868" s="132">
        <v>0.0</v>
      </c>
      <c r="K868" s="132">
        <v>0.0</v>
      </c>
      <c r="L868" s="132">
        <v>500.0</v>
      </c>
      <c r="M868" s="132">
        <v>0.0</v>
      </c>
      <c r="N868" s="132">
        <v>0.0</v>
      </c>
      <c r="O868" s="132">
        <v>0.0</v>
      </c>
      <c r="P868" s="132">
        <v>0.0</v>
      </c>
      <c r="Q868" s="132">
        <v>0.0</v>
      </c>
      <c r="R868" s="132">
        <v>0.0</v>
      </c>
      <c r="S868" s="132">
        <v>0.0</v>
      </c>
      <c r="T868" s="132">
        <v>0.0</v>
      </c>
      <c r="U868" s="132">
        <v>0.0</v>
      </c>
      <c r="V868" s="132">
        <v>0.0</v>
      </c>
      <c r="W868" s="132">
        <v>0.0</v>
      </c>
      <c r="Y868" s="132" t="s">
        <v>4370</v>
      </c>
      <c r="Z868" s="132">
        <f t="shared" ref="Z868:AC868" si="1732">C868-1000</f>
        <v>-1000</v>
      </c>
      <c r="AA868" s="132">
        <f t="shared" si="1732"/>
        <v>-1000</v>
      </c>
      <c r="AB868" s="132">
        <f t="shared" si="1732"/>
        <v>-1000</v>
      </c>
      <c r="AC868" s="132">
        <f t="shared" si="1732"/>
        <v>-1000</v>
      </c>
      <c r="AD868" s="132">
        <f t="shared" si="4"/>
        <v>-10000</v>
      </c>
      <c r="AE868" s="132">
        <f t="shared" ref="AE868:AS868" si="1733">H868-1000</f>
        <v>-1000</v>
      </c>
      <c r="AF868" s="132">
        <f t="shared" si="1733"/>
        <v>-1000</v>
      </c>
      <c r="AG868" s="132">
        <f t="shared" si="1733"/>
        <v>-1000</v>
      </c>
      <c r="AH868" s="132">
        <f t="shared" si="1733"/>
        <v>-1000</v>
      </c>
      <c r="AI868" s="132">
        <f t="shared" si="1733"/>
        <v>-500</v>
      </c>
      <c r="AJ868" s="132">
        <f t="shared" si="1733"/>
        <v>-1000</v>
      </c>
      <c r="AK868" s="132">
        <f t="shared" si="1733"/>
        <v>-1000</v>
      </c>
      <c r="AL868" s="132">
        <f t="shared" si="1733"/>
        <v>-1000</v>
      </c>
      <c r="AM868" s="132">
        <f t="shared" si="1733"/>
        <v>-1000</v>
      </c>
      <c r="AN868" s="132">
        <f t="shared" si="1733"/>
        <v>-1000</v>
      </c>
      <c r="AO868" s="132">
        <f t="shared" si="1733"/>
        <v>-1000</v>
      </c>
      <c r="AP868" s="132">
        <f t="shared" si="1733"/>
        <v>-1000</v>
      </c>
      <c r="AQ868" s="132">
        <f t="shared" si="1733"/>
        <v>-1000</v>
      </c>
      <c r="AR868" s="132">
        <f t="shared" si="1733"/>
        <v>-1000</v>
      </c>
      <c r="AS868" s="132">
        <f t="shared" si="1733"/>
        <v>-1000</v>
      </c>
    </row>
    <row r="869">
      <c r="A869" s="132" t="s">
        <v>4371</v>
      </c>
      <c r="B869" s="132">
        <v>250.0</v>
      </c>
      <c r="C869" s="132">
        <v>0.0</v>
      </c>
      <c r="D869" s="132">
        <v>0.0</v>
      </c>
      <c r="E869" s="132">
        <v>0.0</v>
      </c>
      <c r="F869" s="132">
        <v>0.0</v>
      </c>
      <c r="G869" s="132">
        <v>0.0</v>
      </c>
      <c r="H869" s="132">
        <v>0.0</v>
      </c>
      <c r="I869" s="132">
        <v>0.0</v>
      </c>
      <c r="J869" s="132">
        <v>0.0</v>
      </c>
      <c r="K869" s="132">
        <v>0.0</v>
      </c>
      <c r="L869" s="132">
        <v>250.0</v>
      </c>
      <c r="M869" s="132">
        <v>0.0</v>
      </c>
      <c r="N869" s="132">
        <v>0.0</v>
      </c>
      <c r="O869" s="132">
        <v>0.0</v>
      </c>
      <c r="P869" s="132">
        <v>0.0</v>
      </c>
      <c r="Q869" s="132">
        <v>0.0</v>
      </c>
      <c r="R869" s="132">
        <v>0.0</v>
      </c>
      <c r="S869" s="132">
        <v>0.0</v>
      </c>
      <c r="T869" s="132">
        <v>0.0</v>
      </c>
      <c r="U869" s="132">
        <v>0.0</v>
      </c>
      <c r="V869" s="132">
        <v>0.0</v>
      </c>
      <c r="W869" s="132">
        <v>0.0</v>
      </c>
      <c r="Y869" s="132" t="s">
        <v>4371</v>
      </c>
      <c r="Z869" s="132">
        <f t="shared" ref="Z869:AC869" si="1734">C869-1000</f>
        <v>-1000</v>
      </c>
      <c r="AA869" s="132">
        <f t="shared" si="1734"/>
        <v>-1000</v>
      </c>
      <c r="AB869" s="132">
        <f t="shared" si="1734"/>
        <v>-1000</v>
      </c>
      <c r="AC869" s="132">
        <f t="shared" si="1734"/>
        <v>-1000</v>
      </c>
      <c r="AD869" s="132">
        <f t="shared" si="4"/>
        <v>-10000</v>
      </c>
      <c r="AE869" s="132">
        <f t="shared" ref="AE869:AS869" si="1735">H869-1000</f>
        <v>-1000</v>
      </c>
      <c r="AF869" s="132">
        <f t="shared" si="1735"/>
        <v>-1000</v>
      </c>
      <c r="AG869" s="132">
        <f t="shared" si="1735"/>
        <v>-1000</v>
      </c>
      <c r="AH869" s="132">
        <f t="shared" si="1735"/>
        <v>-1000</v>
      </c>
      <c r="AI869" s="132">
        <f t="shared" si="1735"/>
        <v>-750</v>
      </c>
      <c r="AJ869" s="132">
        <f t="shared" si="1735"/>
        <v>-1000</v>
      </c>
      <c r="AK869" s="132">
        <f t="shared" si="1735"/>
        <v>-1000</v>
      </c>
      <c r="AL869" s="132">
        <f t="shared" si="1735"/>
        <v>-1000</v>
      </c>
      <c r="AM869" s="132">
        <f t="shared" si="1735"/>
        <v>-1000</v>
      </c>
      <c r="AN869" s="132">
        <f t="shared" si="1735"/>
        <v>-1000</v>
      </c>
      <c r="AO869" s="132">
        <f t="shared" si="1735"/>
        <v>-1000</v>
      </c>
      <c r="AP869" s="132">
        <f t="shared" si="1735"/>
        <v>-1000</v>
      </c>
      <c r="AQ869" s="132">
        <f t="shared" si="1735"/>
        <v>-1000</v>
      </c>
      <c r="AR869" s="132">
        <f t="shared" si="1735"/>
        <v>-1000</v>
      </c>
      <c r="AS869" s="132">
        <f t="shared" si="1735"/>
        <v>-1000</v>
      </c>
    </row>
    <row r="870">
      <c r="A870" s="132" t="s">
        <v>4372</v>
      </c>
      <c r="B870" s="132">
        <v>100.0</v>
      </c>
      <c r="C870" s="132">
        <v>0.0</v>
      </c>
      <c r="D870" s="132">
        <v>0.0</v>
      </c>
      <c r="E870" s="132">
        <v>0.0</v>
      </c>
      <c r="F870" s="132">
        <v>0.0</v>
      </c>
      <c r="G870" s="132">
        <v>0.0</v>
      </c>
      <c r="H870" s="132">
        <v>0.0</v>
      </c>
      <c r="I870" s="132">
        <v>0.0</v>
      </c>
      <c r="J870" s="132">
        <v>0.0</v>
      </c>
      <c r="K870" s="132">
        <v>0.0</v>
      </c>
      <c r="L870" s="132">
        <v>100.0</v>
      </c>
      <c r="M870" s="132">
        <v>0.0</v>
      </c>
      <c r="N870" s="132">
        <v>0.0</v>
      </c>
      <c r="O870" s="132">
        <v>0.0</v>
      </c>
      <c r="P870" s="132">
        <v>0.0</v>
      </c>
      <c r="Q870" s="132">
        <v>0.0</v>
      </c>
      <c r="R870" s="132">
        <v>0.0</v>
      </c>
      <c r="S870" s="132">
        <v>0.0</v>
      </c>
      <c r="T870" s="132">
        <v>0.0</v>
      </c>
      <c r="U870" s="132">
        <v>0.0</v>
      </c>
      <c r="V870" s="132">
        <v>0.0</v>
      </c>
      <c r="W870" s="132">
        <v>0.0</v>
      </c>
      <c r="Y870" s="132" t="s">
        <v>4372</v>
      </c>
      <c r="Z870" s="132">
        <f t="shared" ref="Z870:AC870" si="1736">C870-1000</f>
        <v>-1000</v>
      </c>
      <c r="AA870" s="132">
        <f t="shared" si="1736"/>
        <v>-1000</v>
      </c>
      <c r="AB870" s="132">
        <f t="shared" si="1736"/>
        <v>-1000</v>
      </c>
      <c r="AC870" s="132">
        <f t="shared" si="1736"/>
        <v>-1000</v>
      </c>
      <c r="AD870" s="132">
        <f t="shared" si="4"/>
        <v>-10000</v>
      </c>
      <c r="AE870" s="132">
        <f t="shared" ref="AE870:AS870" si="1737">H870-1000</f>
        <v>-1000</v>
      </c>
      <c r="AF870" s="132">
        <f t="shared" si="1737"/>
        <v>-1000</v>
      </c>
      <c r="AG870" s="132">
        <f t="shared" si="1737"/>
        <v>-1000</v>
      </c>
      <c r="AH870" s="132">
        <f t="shared" si="1737"/>
        <v>-1000</v>
      </c>
      <c r="AI870" s="132">
        <f t="shared" si="1737"/>
        <v>-900</v>
      </c>
      <c r="AJ870" s="132">
        <f t="shared" si="1737"/>
        <v>-1000</v>
      </c>
      <c r="AK870" s="132">
        <f t="shared" si="1737"/>
        <v>-1000</v>
      </c>
      <c r="AL870" s="132">
        <f t="shared" si="1737"/>
        <v>-1000</v>
      </c>
      <c r="AM870" s="132">
        <f t="shared" si="1737"/>
        <v>-1000</v>
      </c>
      <c r="AN870" s="132">
        <f t="shared" si="1737"/>
        <v>-1000</v>
      </c>
      <c r="AO870" s="132">
        <f t="shared" si="1737"/>
        <v>-1000</v>
      </c>
      <c r="AP870" s="132">
        <f t="shared" si="1737"/>
        <v>-1000</v>
      </c>
      <c r="AQ870" s="132">
        <f t="shared" si="1737"/>
        <v>-1000</v>
      </c>
      <c r="AR870" s="132">
        <f t="shared" si="1737"/>
        <v>-1000</v>
      </c>
      <c r="AS870" s="132">
        <f t="shared" si="1737"/>
        <v>-1000</v>
      </c>
    </row>
    <row r="871">
      <c r="A871" s="132" t="s">
        <v>4373</v>
      </c>
      <c r="B871" s="132">
        <v>1100.0</v>
      </c>
      <c r="C871" s="132">
        <v>1000.0</v>
      </c>
      <c r="D871" s="132">
        <v>0.0</v>
      </c>
      <c r="E871" s="132">
        <v>0.0</v>
      </c>
      <c r="F871" s="132">
        <v>0.0</v>
      </c>
      <c r="G871" s="132">
        <v>0.0</v>
      </c>
      <c r="H871" s="132">
        <v>0.0</v>
      </c>
      <c r="I871" s="132">
        <v>0.0</v>
      </c>
      <c r="J871" s="132">
        <v>0.0</v>
      </c>
      <c r="K871" s="132">
        <v>0.0</v>
      </c>
      <c r="L871" s="132">
        <v>100.0</v>
      </c>
      <c r="M871" s="132">
        <v>0.0</v>
      </c>
      <c r="N871" s="132">
        <v>0.0</v>
      </c>
      <c r="O871" s="132">
        <v>0.0</v>
      </c>
      <c r="P871" s="132">
        <v>0.0</v>
      </c>
      <c r="Q871" s="132">
        <v>0.0</v>
      </c>
      <c r="R871" s="132">
        <v>0.0</v>
      </c>
      <c r="S871" s="132">
        <v>0.0</v>
      </c>
      <c r="T871" s="132">
        <v>0.0</v>
      </c>
      <c r="U871" s="132">
        <v>0.0</v>
      </c>
      <c r="V871" s="132">
        <v>0.0</v>
      </c>
      <c r="W871" s="132">
        <v>1.0</v>
      </c>
      <c r="Y871" s="132" t="s">
        <v>4373</v>
      </c>
      <c r="Z871" s="132">
        <f t="shared" ref="Z871:AC871" si="1738">C871-1000</f>
        <v>0</v>
      </c>
      <c r="AA871" s="132">
        <f t="shared" si="1738"/>
        <v>-1000</v>
      </c>
      <c r="AB871" s="132">
        <f t="shared" si="1738"/>
        <v>-1000</v>
      </c>
      <c r="AC871" s="132">
        <f t="shared" si="1738"/>
        <v>-1000</v>
      </c>
      <c r="AD871" s="132">
        <f t="shared" si="4"/>
        <v>-10000</v>
      </c>
      <c r="AE871" s="132">
        <f t="shared" ref="AE871:AS871" si="1739">H871-1000</f>
        <v>-1000</v>
      </c>
      <c r="AF871" s="132">
        <f t="shared" si="1739"/>
        <v>-1000</v>
      </c>
      <c r="AG871" s="132">
        <f t="shared" si="1739"/>
        <v>-1000</v>
      </c>
      <c r="AH871" s="132">
        <f t="shared" si="1739"/>
        <v>-1000</v>
      </c>
      <c r="AI871" s="132">
        <f t="shared" si="1739"/>
        <v>-900</v>
      </c>
      <c r="AJ871" s="132">
        <f t="shared" si="1739"/>
        <v>-1000</v>
      </c>
      <c r="AK871" s="132">
        <f t="shared" si="1739"/>
        <v>-1000</v>
      </c>
      <c r="AL871" s="132">
        <f t="shared" si="1739"/>
        <v>-1000</v>
      </c>
      <c r="AM871" s="132">
        <f t="shared" si="1739"/>
        <v>-1000</v>
      </c>
      <c r="AN871" s="132">
        <f t="shared" si="1739"/>
        <v>-1000</v>
      </c>
      <c r="AO871" s="132">
        <f t="shared" si="1739"/>
        <v>-1000</v>
      </c>
      <c r="AP871" s="132">
        <f t="shared" si="1739"/>
        <v>-1000</v>
      </c>
      <c r="AQ871" s="132">
        <f t="shared" si="1739"/>
        <v>-1000</v>
      </c>
      <c r="AR871" s="132">
        <f t="shared" si="1739"/>
        <v>-1000</v>
      </c>
      <c r="AS871" s="132">
        <f t="shared" si="1739"/>
        <v>-1000</v>
      </c>
    </row>
    <row r="872">
      <c r="A872" s="132" t="s">
        <v>4374</v>
      </c>
      <c r="B872" s="132">
        <v>300.0</v>
      </c>
      <c r="C872" s="132">
        <v>0.0</v>
      </c>
      <c r="D872" s="132">
        <v>0.0</v>
      </c>
      <c r="E872" s="132">
        <v>0.0</v>
      </c>
      <c r="F872" s="132">
        <v>0.0</v>
      </c>
      <c r="G872" s="132">
        <v>0.0</v>
      </c>
      <c r="H872" s="132">
        <v>0.0</v>
      </c>
      <c r="I872" s="132">
        <v>0.0</v>
      </c>
      <c r="J872" s="132">
        <v>0.0</v>
      </c>
      <c r="K872" s="132">
        <v>0.0</v>
      </c>
      <c r="L872" s="132">
        <v>300.0</v>
      </c>
      <c r="M872" s="132">
        <v>0.0</v>
      </c>
      <c r="N872" s="132">
        <v>0.0</v>
      </c>
      <c r="O872" s="132">
        <v>0.0</v>
      </c>
      <c r="P872" s="132">
        <v>0.0</v>
      </c>
      <c r="Q872" s="132">
        <v>0.0</v>
      </c>
      <c r="R872" s="132">
        <v>0.0</v>
      </c>
      <c r="S872" s="132">
        <v>0.0</v>
      </c>
      <c r="T872" s="132">
        <v>0.0</v>
      </c>
      <c r="U872" s="132">
        <v>0.0</v>
      </c>
      <c r="V872" s="132">
        <v>0.0</v>
      </c>
      <c r="W872" s="132">
        <v>0.0</v>
      </c>
      <c r="Y872" s="132" t="s">
        <v>4374</v>
      </c>
      <c r="Z872" s="132">
        <f t="shared" ref="Z872:AC872" si="1740">C872-1000</f>
        <v>-1000</v>
      </c>
      <c r="AA872" s="132">
        <f t="shared" si="1740"/>
        <v>-1000</v>
      </c>
      <c r="AB872" s="132">
        <f t="shared" si="1740"/>
        <v>-1000</v>
      </c>
      <c r="AC872" s="132">
        <f t="shared" si="1740"/>
        <v>-1000</v>
      </c>
      <c r="AD872" s="132">
        <f t="shared" si="4"/>
        <v>-10000</v>
      </c>
      <c r="AE872" s="132">
        <f t="shared" ref="AE872:AS872" si="1741">H872-1000</f>
        <v>-1000</v>
      </c>
      <c r="AF872" s="132">
        <f t="shared" si="1741"/>
        <v>-1000</v>
      </c>
      <c r="AG872" s="132">
        <f t="shared" si="1741"/>
        <v>-1000</v>
      </c>
      <c r="AH872" s="132">
        <f t="shared" si="1741"/>
        <v>-1000</v>
      </c>
      <c r="AI872" s="132">
        <f t="shared" si="1741"/>
        <v>-700</v>
      </c>
      <c r="AJ872" s="132">
        <f t="shared" si="1741"/>
        <v>-1000</v>
      </c>
      <c r="AK872" s="132">
        <f t="shared" si="1741"/>
        <v>-1000</v>
      </c>
      <c r="AL872" s="132">
        <f t="shared" si="1741"/>
        <v>-1000</v>
      </c>
      <c r="AM872" s="132">
        <f t="shared" si="1741"/>
        <v>-1000</v>
      </c>
      <c r="AN872" s="132">
        <f t="shared" si="1741"/>
        <v>-1000</v>
      </c>
      <c r="AO872" s="132">
        <f t="shared" si="1741"/>
        <v>-1000</v>
      </c>
      <c r="AP872" s="132">
        <f t="shared" si="1741"/>
        <v>-1000</v>
      </c>
      <c r="AQ872" s="132">
        <f t="shared" si="1741"/>
        <v>-1000</v>
      </c>
      <c r="AR872" s="132">
        <f t="shared" si="1741"/>
        <v>-1000</v>
      </c>
      <c r="AS872" s="132">
        <f t="shared" si="1741"/>
        <v>-1000</v>
      </c>
    </row>
    <row r="873">
      <c r="A873" s="132" t="s">
        <v>4375</v>
      </c>
      <c r="B873" s="132">
        <v>100.0</v>
      </c>
      <c r="C873" s="132">
        <v>0.0</v>
      </c>
      <c r="D873" s="132">
        <v>0.0</v>
      </c>
      <c r="E873" s="132">
        <v>0.0</v>
      </c>
      <c r="F873" s="132">
        <v>0.0</v>
      </c>
      <c r="G873" s="132">
        <v>0.0</v>
      </c>
      <c r="H873" s="132">
        <v>0.0</v>
      </c>
      <c r="I873" s="132">
        <v>0.0</v>
      </c>
      <c r="J873" s="132">
        <v>0.0</v>
      </c>
      <c r="K873" s="132">
        <v>0.0</v>
      </c>
      <c r="L873" s="132">
        <v>100.0</v>
      </c>
      <c r="M873" s="132">
        <v>0.0</v>
      </c>
      <c r="N873" s="132">
        <v>0.0</v>
      </c>
      <c r="O873" s="132">
        <v>0.0</v>
      </c>
      <c r="P873" s="132">
        <v>0.0</v>
      </c>
      <c r="Q873" s="132">
        <v>0.0</v>
      </c>
      <c r="R873" s="132">
        <v>0.0</v>
      </c>
      <c r="S873" s="132">
        <v>0.0</v>
      </c>
      <c r="T873" s="132">
        <v>0.0</v>
      </c>
      <c r="U873" s="132">
        <v>0.0</v>
      </c>
      <c r="V873" s="132">
        <v>0.0</v>
      </c>
      <c r="W873" s="132">
        <v>0.0</v>
      </c>
      <c r="Y873" s="132" t="s">
        <v>4375</v>
      </c>
      <c r="Z873" s="132">
        <f t="shared" ref="Z873:AC873" si="1742">C873-1000</f>
        <v>-1000</v>
      </c>
      <c r="AA873" s="132">
        <f t="shared" si="1742"/>
        <v>-1000</v>
      </c>
      <c r="AB873" s="132">
        <f t="shared" si="1742"/>
        <v>-1000</v>
      </c>
      <c r="AC873" s="132">
        <f t="shared" si="1742"/>
        <v>-1000</v>
      </c>
      <c r="AD873" s="132">
        <f t="shared" si="4"/>
        <v>-10000</v>
      </c>
      <c r="AE873" s="132">
        <f t="shared" ref="AE873:AS873" si="1743">H873-1000</f>
        <v>-1000</v>
      </c>
      <c r="AF873" s="132">
        <f t="shared" si="1743"/>
        <v>-1000</v>
      </c>
      <c r="AG873" s="132">
        <f t="shared" si="1743"/>
        <v>-1000</v>
      </c>
      <c r="AH873" s="132">
        <f t="shared" si="1743"/>
        <v>-1000</v>
      </c>
      <c r="AI873" s="132">
        <f t="shared" si="1743"/>
        <v>-900</v>
      </c>
      <c r="AJ873" s="132">
        <f t="shared" si="1743"/>
        <v>-1000</v>
      </c>
      <c r="AK873" s="132">
        <f t="shared" si="1743"/>
        <v>-1000</v>
      </c>
      <c r="AL873" s="132">
        <f t="shared" si="1743"/>
        <v>-1000</v>
      </c>
      <c r="AM873" s="132">
        <f t="shared" si="1743"/>
        <v>-1000</v>
      </c>
      <c r="AN873" s="132">
        <f t="shared" si="1743"/>
        <v>-1000</v>
      </c>
      <c r="AO873" s="132">
        <f t="shared" si="1743"/>
        <v>-1000</v>
      </c>
      <c r="AP873" s="132">
        <f t="shared" si="1743"/>
        <v>-1000</v>
      </c>
      <c r="AQ873" s="132">
        <f t="shared" si="1743"/>
        <v>-1000</v>
      </c>
      <c r="AR873" s="132">
        <f t="shared" si="1743"/>
        <v>-1000</v>
      </c>
      <c r="AS873" s="132">
        <f t="shared" si="1743"/>
        <v>-1000</v>
      </c>
    </row>
    <row r="874">
      <c r="A874" s="132" t="s">
        <v>4376</v>
      </c>
      <c r="B874" s="132">
        <v>100.0</v>
      </c>
      <c r="C874" s="132">
        <v>0.0</v>
      </c>
      <c r="D874" s="132">
        <v>0.0</v>
      </c>
      <c r="E874" s="132">
        <v>0.0</v>
      </c>
      <c r="F874" s="132">
        <v>0.0</v>
      </c>
      <c r="G874" s="132">
        <v>0.0</v>
      </c>
      <c r="H874" s="132">
        <v>0.0</v>
      </c>
      <c r="I874" s="132">
        <v>0.0</v>
      </c>
      <c r="J874" s="132">
        <v>0.0</v>
      </c>
      <c r="K874" s="132">
        <v>0.0</v>
      </c>
      <c r="L874" s="132">
        <v>100.0</v>
      </c>
      <c r="M874" s="132">
        <v>0.0</v>
      </c>
      <c r="N874" s="132">
        <v>0.0</v>
      </c>
      <c r="O874" s="132">
        <v>0.0</v>
      </c>
      <c r="P874" s="132">
        <v>0.0</v>
      </c>
      <c r="Q874" s="132">
        <v>0.0</v>
      </c>
      <c r="R874" s="132">
        <v>0.0</v>
      </c>
      <c r="S874" s="132">
        <v>0.0</v>
      </c>
      <c r="T874" s="132">
        <v>0.0</v>
      </c>
      <c r="U874" s="132">
        <v>0.0</v>
      </c>
      <c r="V874" s="132">
        <v>0.0</v>
      </c>
      <c r="W874" s="132">
        <v>0.0</v>
      </c>
      <c r="Y874" s="132" t="s">
        <v>4376</v>
      </c>
      <c r="Z874" s="132">
        <f t="shared" ref="Z874:AC874" si="1744">C874-1000</f>
        <v>-1000</v>
      </c>
      <c r="AA874" s="132">
        <f t="shared" si="1744"/>
        <v>-1000</v>
      </c>
      <c r="AB874" s="132">
        <f t="shared" si="1744"/>
        <v>-1000</v>
      </c>
      <c r="AC874" s="132">
        <f t="shared" si="1744"/>
        <v>-1000</v>
      </c>
      <c r="AD874" s="132">
        <f t="shared" si="4"/>
        <v>-10000</v>
      </c>
      <c r="AE874" s="132">
        <f t="shared" ref="AE874:AS874" si="1745">H874-1000</f>
        <v>-1000</v>
      </c>
      <c r="AF874" s="132">
        <f t="shared" si="1745"/>
        <v>-1000</v>
      </c>
      <c r="AG874" s="132">
        <f t="shared" si="1745"/>
        <v>-1000</v>
      </c>
      <c r="AH874" s="132">
        <f t="shared" si="1745"/>
        <v>-1000</v>
      </c>
      <c r="AI874" s="132">
        <f t="shared" si="1745"/>
        <v>-900</v>
      </c>
      <c r="AJ874" s="132">
        <f t="shared" si="1745"/>
        <v>-1000</v>
      </c>
      <c r="AK874" s="132">
        <f t="shared" si="1745"/>
        <v>-1000</v>
      </c>
      <c r="AL874" s="132">
        <f t="shared" si="1745"/>
        <v>-1000</v>
      </c>
      <c r="AM874" s="132">
        <f t="shared" si="1745"/>
        <v>-1000</v>
      </c>
      <c r="AN874" s="132">
        <f t="shared" si="1745"/>
        <v>-1000</v>
      </c>
      <c r="AO874" s="132">
        <f t="shared" si="1745"/>
        <v>-1000</v>
      </c>
      <c r="AP874" s="132">
        <f t="shared" si="1745"/>
        <v>-1000</v>
      </c>
      <c r="AQ874" s="132">
        <f t="shared" si="1745"/>
        <v>-1000</v>
      </c>
      <c r="AR874" s="132">
        <f t="shared" si="1745"/>
        <v>-1000</v>
      </c>
      <c r="AS874" s="132">
        <f t="shared" si="1745"/>
        <v>-1000</v>
      </c>
    </row>
    <row r="875">
      <c r="A875" s="132" t="s">
        <v>4377</v>
      </c>
      <c r="B875" s="132">
        <v>1000.0</v>
      </c>
      <c r="C875" s="132">
        <v>0.0</v>
      </c>
      <c r="D875" s="132">
        <v>0.0</v>
      </c>
      <c r="E875" s="132">
        <v>0.0</v>
      </c>
      <c r="F875" s="132">
        <v>0.0</v>
      </c>
      <c r="G875" s="132">
        <v>0.0</v>
      </c>
      <c r="H875" s="132">
        <v>0.0</v>
      </c>
      <c r="I875" s="132">
        <v>0.0</v>
      </c>
      <c r="J875" s="132">
        <v>0.0</v>
      </c>
      <c r="K875" s="132">
        <v>0.0</v>
      </c>
      <c r="L875" s="132">
        <v>1000.0</v>
      </c>
      <c r="M875" s="132">
        <v>0.0</v>
      </c>
      <c r="N875" s="132">
        <v>0.0</v>
      </c>
      <c r="O875" s="132">
        <v>0.0</v>
      </c>
      <c r="P875" s="132">
        <v>0.0</v>
      </c>
      <c r="Q875" s="132">
        <v>0.0</v>
      </c>
      <c r="R875" s="132">
        <v>0.0</v>
      </c>
      <c r="S875" s="132">
        <v>0.0</v>
      </c>
      <c r="T875" s="132">
        <v>0.0</v>
      </c>
      <c r="U875" s="132">
        <v>0.0</v>
      </c>
      <c r="V875" s="132">
        <v>0.0</v>
      </c>
      <c r="W875" s="132">
        <v>0.0</v>
      </c>
      <c r="Y875" s="132" t="s">
        <v>4377</v>
      </c>
      <c r="Z875" s="132">
        <f t="shared" ref="Z875:AC875" si="1746">C875-1000</f>
        <v>-1000</v>
      </c>
      <c r="AA875" s="132">
        <f t="shared" si="1746"/>
        <v>-1000</v>
      </c>
      <c r="AB875" s="132">
        <f t="shared" si="1746"/>
        <v>-1000</v>
      </c>
      <c r="AC875" s="132">
        <f t="shared" si="1746"/>
        <v>-1000</v>
      </c>
      <c r="AD875" s="132">
        <f t="shared" si="4"/>
        <v>-10000</v>
      </c>
      <c r="AE875" s="132">
        <f t="shared" ref="AE875:AS875" si="1747">H875-1000</f>
        <v>-1000</v>
      </c>
      <c r="AF875" s="132">
        <f t="shared" si="1747"/>
        <v>-1000</v>
      </c>
      <c r="AG875" s="132">
        <f t="shared" si="1747"/>
        <v>-1000</v>
      </c>
      <c r="AH875" s="132">
        <f t="shared" si="1747"/>
        <v>-1000</v>
      </c>
      <c r="AI875" s="132">
        <f t="shared" si="1747"/>
        <v>0</v>
      </c>
      <c r="AJ875" s="132">
        <f t="shared" si="1747"/>
        <v>-1000</v>
      </c>
      <c r="AK875" s="132">
        <f t="shared" si="1747"/>
        <v>-1000</v>
      </c>
      <c r="AL875" s="132">
        <f t="shared" si="1747"/>
        <v>-1000</v>
      </c>
      <c r="AM875" s="132">
        <f t="shared" si="1747"/>
        <v>-1000</v>
      </c>
      <c r="AN875" s="132">
        <f t="shared" si="1747"/>
        <v>-1000</v>
      </c>
      <c r="AO875" s="132">
        <f t="shared" si="1747"/>
        <v>-1000</v>
      </c>
      <c r="AP875" s="132">
        <f t="shared" si="1747"/>
        <v>-1000</v>
      </c>
      <c r="AQ875" s="132">
        <f t="shared" si="1747"/>
        <v>-1000</v>
      </c>
      <c r="AR875" s="132">
        <f t="shared" si="1747"/>
        <v>-1000</v>
      </c>
      <c r="AS875" s="132">
        <f t="shared" si="1747"/>
        <v>-1000</v>
      </c>
    </row>
    <row r="876">
      <c r="A876" s="132" t="s">
        <v>4378</v>
      </c>
      <c r="B876" s="132">
        <v>100.0</v>
      </c>
      <c r="C876" s="132">
        <v>0.0</v>
      </c>
      <c r="D876" s="132">
        <v>0.0</v>
      </c>
      <c r="E876" s="132">
        <v>0.0</v>
      </c>
      <c r="F876" s="132">
        <v>0.0</v>
      </c>
      <c r="G876" s="132">
        <v>0.0</v>
      </c>
      <c r="H876" s="132">
        <v>0.0</v>
      </c>
      <c r="I876" s="132">
        <v>0.0</v>
      </c>
      <c r="J876" s="132">
        <v>0.0</v>
      </c>
      <c r="K876" s="132">
        <v>0.0</v>
      </c>
      <c r="L876" s="132">
        <v>100.0</v>
      </c>
      <c r="M876" s="132">
        <v>0.0</v>
      </c>
      <c r="N876" s="132">
        <v>0.0</v>
      </c>
      <c r="O876" s="132">
        <v>0.0</v>
      </c>
      <c r="P876" s="132">
        <v>0.0</v>
      </c>
      <c r="Q876" s="132">
        <v>0.0</v>
      </c>
      <c r="R876" s="132">
        <v>0.0</v>
      </c>
      <c r="S876" s="132">
        <v>0.0</v>
      </c>
      <c r="T876" s="132">
        <v>0.0</v>
      </c>
      <c r="U876" s="132">
        <v>0.0</v>
      </c>
      <c r="V876" s="132">
        <v>0.0</v>
      </c>
      <c r="W876" s="132">
        <v>0.0</v>
      </c>
      <c r="Y876" s="132" t="s">
        <v>4378</v>
      </c>
      <c r="Z876" s="132">
        <f t="shared" ref="Z876:AC876" si="1748">C876-1000</f>
        <v>-1000</v>
      </c>
      <c r="AA876" s="132">
        <f t="shared" si="1748"/>
        <v>-1000</v>
      </c>
      <c r="AB876" s="132">
        <f t="shared" si="1748"/>
        <v>-1000</v>
      </c>
      <c r="AC876" s="132">
        <f t="shared" si="1748"/>
        <v>-1000</v>
      </c>
      <c r="AD876" s="132">
        <f t="shared" si="4"/>
        <v>-10000</v>
      </c>
      <c r="AE876" s="132">
        <f t="shared" ref="AE876:AS876" si="1749">H876-1000</f>
        <v>-1000</v>
      </c>
      <c r="AF876" s="132">
        <f t="shared" si="1749"/>
        <v>-1000</v>
      </c>
      <c r="AG876" s="132">
        <f t="shared" si="1749"/>
        <v>-1000</v>
      </c>
      <c r="AH876" s="132">
        <f t="shared" si="1749"/>
        <v>-1000</v>
      </c>
      <c r="AI876" s="132">
        <f t="shared" si="1749"/>
        <v>-900</v>
      </c>
      <c r="AJ876" s="132">
        <f t="shared" si="1749"/>
        <v>-1000</v>
      </c>
      <c r="AK876" s="132">
        <f t="shared" si="1749"/>
        <v>-1000</v>
      </c>
      <c r="AL876" s="132">
        <f t="shared" si="1749"/>
        <v>-1000</v>
      </c>
      <c r="AM876" s="132">
        <f t="shared" si="1749"/>
        <v>-1000</v>
      </c>
      <c r="AN876" s="132">
        <f t="shared" si="1749"/>
        <v>-1000</v>
      </c>
      <c r="AO876" s="132">
        <f t="shared" si="1749"/>
        <v>-1000</v>
      </c>
      <c r="AP876" s="132">
        <f t="shared" si="1749"/>
        <v>-1000</v>
      </c>
      <c r="AQ876" s="132">
        <f t="shared" si="1749"/>
        <v>-1000</v>
      </c>
      <c r="AR876" s="132">
        <f t="shared" si="1749"/>
        <v>-1000</v>
      </c>
      <c r="AS876" s="132">
        <f t="shared" si="1749"/>
        <v>-1000</v>
      </c>
    </row>
    <row r="877">
      <c r="A877" s="132" t="s">
        <v>4379</v>
      </c>
      <c r="B877" s="132">
        <v>100.0</v>
      </c>
      <c r="C877" s="132">
        <v>0.0</v>
      </c>
      <c r="D877" s="132">
        <v>0.0</v>
      </c>
      <c r="E877" s="132">
        <v>0.0</v>
      </c>
      <c r="F877" s="132">
        <v>0.0</v>
      </c>
      <c r="G877" s="132">
        <v>0.0</v>
      </c>
      <c r="H877" s="132">
        <v>0.0</v>
      </c>
      <c r="I877" s="132">
        <v>0.0</v>
      </c>
      <c r="J877" s="132">
        <v>0.0</v>
      </c>
      <c r="K877" s="132">
        <v>0.0</v>
      </c>
      <c r="L877" s="132">
        <v>100.0</v>
      </c>
      <c r="M877" s="132">
        <v>0.0</v>
      </c>
      <c r="N877" s="132">
        <v>0.0</v>
      </c>
      <c r="O877" s="132">
        <v>0.0</v>
      </c>
      <c r="P877" s="132">
        <v>0.0</v>
      </c>
      <c r="Q877" s="132">
        <v>0.0</v>
      </c>
      <c r="R877" s="132">
        <v>0.0</v>
      </c>
      <c r="S877" s="132">
        <v>0.0</v>
      </c>
      <c r="T877" s="132">
        <v>0.0</v>
      </c>
      <c r="U877" s="132">
        <v>0.0</v>
      </c>
      <c r="V877" s="132">
        <v>0.0</v>
      </c>
      <c r="W877" s="132">
        <v>0.0</v>
      </c>
      <c r="Y877" s="132" t="s">
        <v>4379</v>
      </c>
      <c r="Z877" s="132">
        <f t="shared" ref="Z877:AC877" si="1750">C877-1000</f>
        <v>-1000</v>
      </c>
      <c r="AA877" s="132">
        <f t="shared" si="1750"/>
        <v>-1000</v>
      </c>
      <c r="AB877" s="132">
        <f t="shared" si="1750"/>
        <v>-1000</v>
      </c>
      <c r="AC877" s="132">
        <f t="shared" si="1750"/>
        <v>-1000</v>
      </c>
      <c r="AD877" s="132">
        <f t="shared" si="4"/>
        <v>-10000</v>
      </c>
      <c r="AE877" s="132">
        <f t="shared" ref="AE877:AS877" si="1751">H877-1000</f>
        <v>-1000</v>
      </c>
      <c r="AF877" s="132">
        <f t="shared" si="1751"/>
        <v>-1000</v>
      </c>
      <c r="AG877" s="132">
        <f t="shared" si="1751"/>
        <v>-1000</v>
      </c>
      <c r="AH877" s="132">
        <f t="shared" si="1751"/>
        <v>-1000</v>
      </c>
      <c r="AI877" s="132">
        <f t="shared" si="1751"/>
        <v>-900</v>
      </c>
      <c r="AJ877" s="132">
        <f t="shared" si="1751"/>
        <v>-1000</v>
      </c>
      <c r="AK877" s="132">
        <f t="shared" si="1751"/>
        <v>-1000</v>
      </c>
      <c r="AL877" s="132">
        <f t="shared" si="1751"/>
        <v>-1000</v>
      </c>
      <c r="AM877" s="132">
        <f t="shared" si="1751"/>
        <v>-1000</v>
      </c>
      <c r="AN877" s="132">
        <f t="shared" si="1751"/>
        <v>-1000</v>
      </c>
      <c r="AO877" s="132">
        <f t="shared" si="1751"/>
        <v>-1000</v>
      </c>
      <c r="AP877" s="132">
        <f t="shared" si="1751"/>
        <v>-1000</v>
      </c>
      <c r="AQ877" s="132">
        <f t="shared" si="1751"/>
        <v>-1000</v>
      </c>
      <c r="AR877" s="132">
        <f t="shared" si="1751"/>
        <v>-1000</v>
      </c>
      <c r="AS877" s="132">
        <f t="shared" si="1751"/>
        <v>-1000</v>
      </c>
    </row>
    <row r="878">
      <c r="A878" s="132" t="s">
        <v>4380</v>
      </c>
      <c r="B878" s="132">
        <v>950.0</v>
      </c>
      <c r="C878" s="132">
        <v>0.0</v>
      </c>
      <c r="D878" s="132">
        <v>0.0</v>
      </c>
      <c r="E878" s="132">
        <v>0.0</v>
      </c>
      <c r="F878" s="132">
        <v>0.0</v>
      </c>
      <c r="G878" s="132">
        <v>0.0</v>
      </c>
      <c r="H878" s="132">
        <v>0.0</v>
      </c>
      <c r="I878" s="132">
        <v>0.0</v>
      </c>
      <c r="J878" s="132">
        <v>0.0</v>
      </c>
      <c r="K878" s="132">
        <v>0.0</v>
      </c>
      <c r="L878" s="132">
        <v>0.0</v>
      </c>
      <c r="M878" s="132">
        <v>0.0</v>
      </c>
      <c r="N878" s="132">
        <v>0.0</v>
      </c>
      <c r="O878" s="132">
        <v>0.0</v>
      </c>
      <c r="P878" s="132">
        <v>0.0</v>
      </c>
      <c r="Q878" s="132">
        <v>0.0</v>
      </c>
      <c r="R878" s="132">
        <v>0.0</v>
      </c>
      <c r="S878" s="132">
        <v>0.0</v>
      </c>
      <c r="T878" s="132">
        <v>950.0</v>
      </c>
      <c r="U878" s="132">
        <v>0.0</v>
      </c>
      <c r="V878" s="132">
        <v>0.0</v>
      </c>
      <c r="W878" s="132">
        <v>0.0</v>
      </c>
      <c r="Y878" s="132" t="s">
        <v>4380</v>
      </c>
      <c r="Z878" s="132">
        <f t="shared" ref="Z878:AC878" si="1752">C878-1000</f>
        <v>-1000</v>
      </c>
      <c r="AA878" s="132">
        <f t="shared" si="1752"/>
        <v>-1000</v>
      </c>
      <c r="AB878" s="132">
        <f t="shared" si="1752"/>
        <v>-1000</v>
      </c>
      <c r="AC878" s="132">
        <f t="shared" si="1752"/>
        <v>-1000</v>
      </c>
      <c r="AD878" s="132">
        <f t="shared" si="4"/>
        <v>-10000</v>
      </c>
      <c r="AE878" s="132">
        <f t="shared" ref="AE878:AS878" si="1753">H878-1000</f>
        <v>-1000</v>
      </c>
      <c r="AF878" s="132">
        <f t="shared" si="1753"/>
        <v>-1000</v>
      </c>
      <c r="AG878" s="132">
        <f t="shared" si="1753"/>
        <v>-1000</v>
      </c>
      <c r="AH878" s="132">
        <f t="shared" si="1753"/>
        <v>-1000</v>
      </c>
      <c r="AI878" s="132">
        <f t="shared" si="1753"/>
        <v>-1000</v>
      </c>
      <c r="AJ878" s="132">
        <f t="shared" si="1753"/>
        <v>-1000</v>
      </c>
      <c r="AK878" s="132">
        <f t="shared" si="1753"/>
        <v>-1000</v>
      </c>
      <c r="AL878" s="132">
        <f t="shared" si="1753"/>
        <v>-1000</v>
      </c>
      <c r="AM878" s="132">
        <f t="shared" si="1753"/>
        <v>-1000</v>
      </c>
      <c r="AN878" s="132">
        <f t="shared" si="1753"/>
        <v>-1000</v>
      </c>
      <c r="AO878" s="132">
        <f t="shared" si="1753"/>
        <v>-1000</v>
      </c>
      <c r="AP878" s="132">
        <f t="shared" si="1753"/>
        <v>-1000</v>
      </c>
      <c r="AQ878" s="132">
        <f t="shared" si="1753"/>
        <v>-50</v>
      </c>
      <c r="AR878" s="132">
        <f t="shared" si="1753"/>
        <v>-1000</v>
      </c>
      <c r="AS878" s="132">
        <f t="shared" si="1753"/>
        <v>-1000</v>
      </c>
    </row>
    <row r="879">
      <c r="A879" s="132" t="s">
        <v>4381</v>
      </c>
      <c r="B879" s="132">
        <v>100.0</v>
      </c>
      <c r="C879" s="132">
        <v>0.0</v>
      </c>
      <c r="D879" s="132">
        <v>0.0</v>
      </c>
      <c r="E879" s="132">
        <v>0.0</v>
      </c>
      <c r="F879" s="132">
        <v>0.0</v>
      </c>
      <c r="G879" s="132">
        <v>0.0</v>
      </c>
      <c r="H879" s="132">
        <v>0.0</v>
      </c>
      <c r="I879" s="132">
        <v>0.0</v>
      </c>
      <c r="J879" s="132">
        <v>0.0</v>
      </c>
      <c r="K879" s="132">
        <v>0.0</v>
      </c>
      <c r="L879" s="132">
        <v>0.0</v>
      </c>
      <c r="M879" s="132">
        <v>0.0</v>
      </c>
      <c r="N879" s="132">
        <v>0.0</v>
      </c>
      <c r="O879" s="132">
        <v>0.0</v>
      </c>
      <c r="P879" s="132">
        <v>0.0</v>
      </c>
      <c r="Q879" s="132">
        <v>0.0</v>
      </c>
      <c r="R879" s="132">
        <v>0.0</v>
      </c>
      <c r="S879" s="132">
        <v>0.0</v>
      </c>
      <c r="T879" s="132">
        <v>100.0</v>
      </c>
      <c r="U879" s="132">
        <v>0.0</v>
      </c>
      <c r="V879" s="132">
        <v>0.0</v>
      </c>
      <c r="W879" s="132">
        <v>0.0</v>
      </c>
      <c r="Y879" s="132" t="s">
        <v>4381</v>
      </c>
      <c r="Z879" s="132">
        <f t="shared" ref="Z879:AC879" si="1754">C879-1000</f>
        <v>-1000</v>
      </c>
      <c r="AA879" s="132">
        <f t="shared" si="1754"/>
        <v>-1000</v>
      </c>
      <c r="AB879" s="132">
        <f t="shared" si="1754"/>
        <v>-1000</v>
      </c>
      <c r="AC879" s="132">
        <f t="shared" si="1754"/>
        <v>-1000</v>
      </c>
      <c r="AD879" s="132">
        <f t="shared" si="4"/>
        <v>-10000</v>
      </c>
      <c r="AE879" s="132">
        <f t="shared" ref="AE879:AS879" si="1755">H879-1000</f>
        <v>-1000</v>
      </c>
      <c r="AF879" s="132">
        <f t="shared" si="1755"/>
        <v>-1000</v>
      </c>
      <c r="AG879" s="132">
        <f t="shared" si="1755"/>
        <v>-1000</v>
      </c>
      <c r="AH879" s="132">
        <f t="shared" si="1755"/>
        <v>-1000</v>
      </c>
      <c r="AI879" s="132">
        <f t="shared" si="1755"/>
        <v>-1000</v>
      </c>
      <c r="AJ879" s="132">
        <f t="shared" si="1755"/>
        <v>-1000</v>
      </c>
      <c r="AK879" s="132">
        <f t="shared" si="1755"/>
        <v>-1000</v>
      </c>
      <c r="AL879" s="132">
        <f t="shared" si="1755"/>
        <v>-1000</v>
      </c>
      <c r="AM879" s="132">
        <f t="shared" si="1755"/>
        <v>-1000</v>
      </c>
      <c r="AN879" s="132">
        <f t="shared" si="1755"/>
        <v>-1000</v>
      </c>
      <c r="AO879" s="132">
        <f t="shared" si="1755"/>
        <v>-1000</v>
      </c>
      <c r="AP879" s="132">
        <f t="shared" si="1755"/>
        <v>-1000</v>
      </c>
      <c r="AQ879" s="132">
        <f t="shared" si="1755"/>
        <v>-900</v>
      </c>
      <c r="AR879" s="132">
        <f t="shared" si="1755"/>
        <v>-1000</v>
      </c>
      <c r="AS879" s="132">
        <f t="shared" si="1755"/>
        <v>-1000</v>
      </c>
    </row>
    <row r="880">
      <c r="A880" s="132" t="s">
        <v>4382</v>
      </c>
      <c r="B880" s="132">
        <v>50.0</v>
      </c>
      <c r="C880" s="132">
        <v>0.0</v>
      </c>
      <c r="D880" s="132">
        <v>0.0</v>
      </c>
      <c r="E880" s="132">
        <v>0.0</v>
      </c>
      <c r="F880" s="132">
        <v>0.0</v>
      </c>
      <c r="G880" s="132">
        <v>0.0</v>
      </c>
      <c r="H880" s="132">
        <v>0.0</v>
      </c>
      <c r="I880" s="132">
        <v>0.0</v>
      </c>
      <c r="J880" s="132">
        <v>0.0</v>
      </c>
      <c r="K880" s="132">
        <v>0.0</v>
      </c>
      <c r="L880" s="132">
        <v>0.0</v>
      </c>
      <c r="M880" s="132">
        <v>0.0</v>
      </c>
      <c r="N880" s="132">
        <v>0.0</v>
      </c>
      <c r="O880" s="132">
        <v>0.0</v>
      </c>
      <c r="P880" s="132">
        <v>0.0</v>
      </c>
      <c r="Q880" s="132">
        <v>0.0</v>
      </c>
      <c r="R880" s="132">
        <v>0.0</v>
      </c>
      <c r="S880" s="132">
        <v>0.0</v>
      </c>
      <c r="T880" s="132">
        <v>50.0</v>
      </c>
      <c r="U880" s="132">
        <v>0.0</v>
      </c>
      <c r="V880" s="132">
        <v>0.0</v>
      </c>
      <c r="W880" s="132">
        <v>0.0</v>
      </c>
      <c r="Y880" s="132" t="s">
        <v>4382</v>
      </c>
      <c r="Z880" s="132">
        <f t="shared" ref="Z880:AC880" si="1756">C880-1000</f>
        <v>-1000</v>
      </c>
      <c r="AA880" s="132">
        <f t="shared" si="1756"/>
        <v>-1000</v>
      </c>
      <c r="AB880" s="132">
        <f t="shared" si="1756"/>
        <v>-1000</v>
      </c>
      <c r="AC880" s="132">
        <f t="shared" si="1756"/>
        <v>-1000</v>
      </c>
      <c r="AD880" s="132">
        <f t="shared" si="4"/>
        <v>-10000</v>
      </c>
      <c r="AE880" s="132">
        <f t="shared" ref="AE880:AS880" si="1757">H880-1000</f>
        <v>-1000</v>
      </c>
      <c r="AF880" s="132">
        <f t="shared" si="1757"/>
        <v>-1000</v>
      </c>
      <c r="AG880" s="132">
        <f t="shared" si="1757"/>
        <v>-1000</v>
      </c>
      <c r="AH880" s="132">
        <f t="shared" si="1757"/>
        <v>-1000</v>
      </c>
      <c r="AI880" s="132">
        <f t="shared" si="1757"/>
        <v>-1000</v>
      </c>
      <c r="AJ880" s="132">
        <f t="shared" si="1757"/>
        <v>-1000</v>
      </c>
      <c r="AK880" s="132">
        <f t="shared" si="1757"/>
        <v>-1000</v>
      </c>
      <c r="AL880" s="132">
        <f t="shared" si="1757"/>
        <v>-1000</v>
      </c>
      <c r="AM880" s="132">
        <f t="shared" si="1757"/>
        <v>-1000</v>
      </c>
      <c r="AN880" s="132">
        <f t="shared" si="1757"/>
        <v>-1000</v>
      </c>
      <c r="AO880" s="132">
        <f t="shared" si="1757"/>
        <v>-1000</v>
      </c>
      <c r="AP880" s="132">
        <f t="shared" si="1757"/>
        <v>-1000</v>
      </c>
      <c r="AQ880" s="132">
        <f t="shared" si="1757"/>
        <v>-950</v>
      </c>
      <c r="AR880" s="132">
        <f t="shared" si="1757"/>
        <v>-1000</v>
      </c>
      <c r="AS880" s="132">
        <f t="shared" si="1757"/>
        <v>-1000</v>
      </c>
    </row>
    <row r="881">
      <c r="A881" s="132" t="s">
        <v>4383</v>
      </c>
      <c r="B881" s="132">
        <v>50.0</v>
      </c>
      <c r="C881" s="132">
        <v>50.0</v>
      </c>
      <c r="D881" s="132">
        <v>0.0</v>
      </c>
      <c r="E881" s="132">
        <v>0.0</v>
      </c>
      <c r="F881" s="132">
        <v>0.0</v>
      </c>
      <c r="G881" s="132">
        <v>0.0</v>
      </c>
      <c r="H881" s="132">
        <v>0.0</v>
      </c>
      <c r="I881" s="132">
        <v>0.0</v>
      </c>
      <c r="J881" s="132">
        <v>0.0</v>
      </c>
      <c r="K881" s="132">
        <v>0.0</v>
      </c>
      <c r="L881" s="132">
        <v>0.0</v>
      </c>
      <c r="M881" s="132">
        <v>0.0</v>
      </c>
      <c r="N881" s="132">
        <v>0.0</v>
      </c>
      <c r="O881" s="132">
        <v>0.0</v>
      </c>
      <c r="P881" s="132">
        <v>0.0</v>
      </c>
      <c r="Q881" s="132">
        <v>0.0</v>
      </c>
      <c r="R881" s="132">
        <v>0.0</v>
      </c>
      <c r="S881" s="132">
        <v>0.0</v>
      </c>
      <c r="T881" s="132">
        <v>0.0</v>
      </c>
      <c r="U881" s="132">
        <v>0.0</v>
      </c>
      <c r="V881" s="132">
        <v>0.0</v>
      </c>
      <c r="W881" s="132">
        <v>0.0</v>
      </c>
      <c r="Y881" s="132" t="s">
        <v>4383</v>
      </c>
      <c r="Z881" s="132">
        <f t="shared" ref="Z881:AC881" si="1758">C881-1000</f>
        <v>-950</v>
      </c>
      <c r="AA881" s="132">
        <f t="shared" si="1758"/>
        <v>-1000</v>
      </c>
      <c r="AB881" s="132">
        <f t="shared" si="1758"/>
        <v>-1000</v>
      </c>
      <c r="AC881" s="132">
        <f t="shared" si="1758"/>
        <v>-1000</v>
      </c>
      <c r="AD881" s="132">
        <f t="shared" si="4"/>
        <v>-10000</v>
      </c>
      <c r="AE881" s="132">
        <f t="shared" ref="AE881:AS881" si="1759">H881-1000</f>
        <v>-1000</v>
      </c>
      <c r="AF881" s="132">
        <f t="shared" si="1759"/>
        <v>-1000</v>
      </c>
      <c r="AG881" s="132">
        <f t="shared" si="1759"/>
        <v>-1000</v>
      </c>
      <c r="AH881" s="132">
        <f t="shared" si="1759"/>
        <v>-1000</v>
      </c>
      <c r="AI881" s="132">
        <f t="shared" si="1759"/>
        <v>-1000</v>
      </c>
      <c r="AJ881" s="132">
        <f t="shared" si="1759"/>
        <v>-1000</v>
      </c>
      <c r="AK881" s="132">
        <f t="shared" si="1759"/>
        <v>-1000</v>
      </c>
      <c r="AL881" s="132">
        <f t="shared" si="1759"/>
        <v>-1000</v>
      </c>
      <c r="AM881" s="132">
        <f t="shared" si="1759"/>
        <v>-1000</v>
      </c>
      <c r="AN881" s="132">
        <f t="shared" si="1759"/>
        <v>-1000</v>
      </c>
      <c r="AO881" s="132">
        <f t="shared" si="1759"/>
        <v>-1000</v>
      </c>
      <c r="AP881" s="132">
        <f t="shared" si="1759"/>
        <v>-1000</v>
      </c>
      <c r="AQ881" s="132">
        <f t="shared" si="1759"/>
        <v>-1000</v>
      </c>
      <c r="AR881" s="132">
        <f t="shared" si="1759"/>
        <v>-1000</v>
      </c>
      <c r="AS881" s="132">
        <f t="shared" si="1759"/>
        <v>-1000</v>
      </c>
    </row>
    <row r="882">
      <c r="A882" s="132" t="s">
        <v>4384</v>
      </c>
      <c r="B882" s="132">
        <v>50.0</v>
      </c>
      <c r="C882" s="132">
        <v>50.0</v>
      </c>
      <c r="D882" s="132">
        <v>0.0</v>
      </c>
      <c r="E882" s="132">
        <v>0.0</v>
      </c>
      <c r="F882" s="132">
        <v>0.0</v>
      </c>
      <c r="G882" s="132">
        <v>0.0</v>
      </c>
      <c r="H882" s="132">
        <v>0.0</v>
      </c>
      <c r="I882" s="132">
        <v>0.0</v>
      </c>
      <c r="J882" s="132">
        <v>0.0</v>
      </c>
      <c r="K882" s="132">
        <v>0.0</v>
      </c>
      <c r="L882" s="132">
        <v>0.0</v>
      </c>
      <c r="M882" s="132">
        <v>0.0</v>
      </c>
      <c r="N882" s="132">
        <v>0.0</v>
      </c>
      <c r="O882" s="132">
        <v>0.0</v>
      </c>
      <c r="P882" s="132">
        <v>0.0</v>
      </c>
      <c r="Q882" s="132">
        <v>0.0</v>
      </c>
      <c r="R882" s="132">
        <v>0.0</v>
      </c>
      <c r="S882" s="132">
        <v>0.0</v>
      </c>
      <c r="T882" s="132">
        <v>0.0</v>
      </c>
      <c r="U882" s="132">
        <v>0.0</v>
      </c>
      <c r="V882" s="132">
        <v>0.0</v>
      </c>
      <c r="W882" s="132">
        <v>0.0</v>
      </c>
      <c r="Y882" s="132" t="s">
        <v>4384</v>
      </c>
      <c r="Z882" s="132">
        <f t="shared" ref="Z882:AC882" si="1760">C882-1000</f>
        <v>-950</v>
      </c>
      <c r="AA882" s="132">
        <f t="shared" si="1760"/>
        <v>-1000</v>
      </c>
      <c r="AB882" s="132">
        <f t="shared" si="1760"/>
        <v>-1000</v>
      </c>
      <c r="AC882" s="132">
        <f t="shared" si="1760"/>
        <v>-1000</v>
      </c>
      <c r="AD882" s="132">
        <f t="shared" si="4"/>
        <v>-10000</v>
      </c>
      <c r="AE882" s="132">
        <f t="shared" ref="AE882:AS882" si="1761">H882-1000</f>
        <v>-1000</v>
      </c>
      <c r="AF882" s="132">
        <f t="shared" si="1761"/>
        <v>-1000</v>
      </c>
      <c r="AG882" s="132">
        <f t="shared" si="1761"/>
        <v>-1000</v>
      </c>
      <c r="AH882" s="132">
        <f t="shared" si="1761"/>
        <v>-1000</v>
      </c>
      <c r="AI882" s="132">
        <f t="shared" si="1761"/>
        <v>-1000</v>
      </c>
      <c r="AJ882" s="132">
        <f t="shared" si="1761"/>
        <v>-1000</v>
      </c>
      <c r="AK882" s="132">
        <f t="shared" si="1761"/>
        <v>-1000</v>
      </c>
      <c r="AL882" s="132">
        <f t="shared" si="1761"/>
        <v>-1000</v>
      </c>
      <c r="AM882" s="132">
        <f t="shared" si="1761"/>
        <v>-1000</v>
      </c>
      <c r="AN882" s="132">
        <f t="shared" si="1761"/>
        <v>-1000</v>
      </c>
      <c r="AO882" s="132">
        <f t="shared" si="1761"/>
        <v>-1000</v>
      </c>
      <c r="AP882" s="132">
        <f t="shared" si="1761"/>
        <v>-1000</v>
      </c>
      <c r="AQ882" s="132">
        <f t="shared" si="1761"/>
        <v>-1000</v>
      </c>
      <c r="AR882" s="132">
        <f t="shared" si="1761"/>
        <v>-1000</v>
      </c>
      <c r="AS882" s="132">
        <f t="shared" si="1761"/>
        <v>-1000</v>
      </c>
    </row>
    <row r="883">
      <c r="A883" s="132" t="s">
        <v>4385</v>
      </c>
      <c r="B883" s="132">
        <v>100.0</v>
      </c>
      <c r="C883" s="132">
        <v>100.0</v>
      </c>
      <c r="D883" s="132">
        <v>0.0</v>
      </c>
      <c r="E883" s="132">
        <v>0.0</v>
      </c>
      <c r="F883" s="132">
        <v>0.0</v>
      </c>
      <c r="G883" s="132">
        <v>0.0</v>
      </c>
      <c r="H883" s="132">
        <v>0.0</v>
      </c>
      <c r="I883" s="132">
        <v>0.0</v>
      </c>
      <c r="J883" s="132">
        <v>0.0</v>
      </c>
      <c r="K883" s="132">
        <v>0.0</v>
      </c>
      <c r="L883" s="132">
        <v>0.0</v>
      </c>
      <c r="M883" s="132">
        <v>0.0</v>
      </c>
      <c r="N883" s="132">
        <v>0.0</v>
      </c>
      <c r="O883" s="132">
        <v>0.0</v>
      </c>
      <c r="P883" s="132">
        <v>0.0</v>
      </c>
      <c r="Q883" s="132">
        <v>0.0</v>
      </c>
      <c r="R883" s="132">
        <v>0.0</v>
      </c>
      <c r="S883" s="132">
        <v>0.0</v>
      </c>
      <c r="T883" s="132">
        <v>0.0</v>
      </c>
      <c r="U883" s="132">
        <v>0.0</v>
      </c>
      <c r="V883" s="132">
        <v>0.0</v>
      </c>
      <c r="W883" s="132">
        <v>0.0</v>
      </c>
      <c r="Y883" s="132" t="s">
        <v>4385</v>
      </c>
      <c r="Z883" s="132">
        <f t="shared" ref="Z883:AC883" si="1762">C883-1000</f>
        <v>-900</v>
      </c>
      <c r="AA883" s="132">
        <f t="shared" si="1762"/>
        <v>-1000</v>
      </c>
      <c r="AB883" s="132">
        <f t="shared" si="1762"/>
        <v>-1000</v>
      </c>
      <c r="AC883" s="132">
        <f t="shared" si="1762"/>
        <v>-1000</v>
      </c>
      <c r="AD883" s="132">
        <f t="shared" si="4"/>
        <v>-10000</v>
      </c>
      <c r="AE883" s="132">
        <f t="shared" ref="AE883:AS883" si="1763">H883-1000</f>
        <v>-1000</v>
      </c>
      <c r="AF883" s="132">
        <f t="shared" si="1763"/>
        <v>-1000</v>
      </c>
      <c r="AG883" s="132">
        <f t="shared" si="1763"/>
        <v>-1000</v>
      </c>
      <c r="AH883" s="132">
        <f t="shared" si="1763"/>
        <v>-1000</v>
      </c>
      <c r="AI883" s="132">
        <f t="shared" si="1763"/>
        <v>-1000</v>
      </c>
      <c r="AJ883" s="132">
        <f t="shared" si="1763"/>
        <v>-1000</v>
      </c>
      <c r="AK883" s="132">
        <f t="shared" si="1763"/>
        <v>-1000</v>
      </c>
      <c r="AL883" s="132">
        <f t="shared" si="1763"/>
        <v>-1000</v>
      </c>
      <c r="AM883" s="132">
        <f t="shared" si="1763"/>
        <v>-1000</v>
      </c>
      <c r="AN883" s="132">
        <f t="shared" si="1763"/>
        <v>-1000</v>
      </c>
      <c r="AO883" s="132">
        <f t="shared" si="1763"/>
        <v>-1000</v>
      </c>
      <c r="AP883" s="132">
        <f t="shared" si="1763"/>
        <v>-1000</v>
      </c>
      <c r="AQ883" s="132">
        <f t="shared" si="1763"/>
        <v>-1000</v>
      </c>
      <c r="AR883" s="132">
        <f t="shared" si="1763"/>
        <v>-1000</v>
      </c>
      <c r="AS883" s="132">
        <f t="shared" si="1763"/>
        <v>-1000</v>
      </c>
    </row>
    <row r="884">
      <c r="A884" s="132" t="s">
        <v>4386</v>
      </c>
      <c r="B884" s="132">
        <v>250.0</v>
      </c>
      <c r="C884" s="132">
        <v>250.0</v>
      </c>
      <c r="D884" s="132">
        <v>0.0</v>
      </c>
      <c r="E884" s="132">
        <v>0.0</v>
      </c>
      <c r="F884" s="132">
        <v>0.0</v>
      </c>
      <c r="G884" s="132">
        <v>0.0</v>
      </c>
      <c r="H884" s="132">
        <v>0.0</v>
      </c>
      <c r="I884" s="132">
        <v>0.0</v>
      </c>
      <c r="J884" s="132">
        <v>0.0</v>
      </c>
      <c r="K884" s="132">
        <v>0.0</v>
      </c>
      <c r="L884" s="132">
        <v>0.0</v>
      </c>
      <c r="M884" s="132">
        <v>0.0</v>
      </c>
      <c r="N884" s="132">
        <v>0.0</v>
      </c>
      <c r="O884" s="132">
        <v>0.0</v>
      </c>
      <c r="P884" s="132">
        <v>0.0</v>
      </c>
      <c r="Q884" s="132">
        <v>0.0</v>
      </c>
      <c r="R884" s="132">
        <v>0.0</v>
      </c>
      <c r="S884" s="132">
        <v>0.0</v>
      </c>
      <c r="T884" s="132">
        <v>0.0</v>
      </c>
      <c r="U884" s="132">
        <v>0.0</v>
      </c>
      <c r="V884" s="132">
        <v>0.0</v>
      </c>
      <c r="W884" s="132">
        <v>0.0</v>
      </c>
      <c r="Y884" s="132" t="s">
        <v>4386</v>
      </c>
      <c r="Z884" s="132">
        <f t="shared" ref="Z884:AC884" si="1764">C884-1000</f>
        <v>-750</v>
      </c>
      <c r="AA884" s="132">
        <f t="shared" si="1764"/>
        <v>-1000</v>
      </c>
      <c r="AB884" s="132">
        <f t="shared" si="1764"/>
        <v>-1000</v>
      </c>
      <c r="AC884" s="132">
        <f t="shared" si="1764"/>
        <v>-1000</v>
      </c>
      <c r="AD884" s="132">
        <f t="shared" si="4"/>
        <v>-10000</v>
      </c>
      <c r="AE884" s="132">
        <f t="shared" ref="AE884:AS884" si="1765">H884-1000</f>
        <v>-1000</v>
      </c>
      <c r="AF884" s="132">
        <f t="shared" si="1765"/>
        <v>-1000</v>
      </c>
      <c r="AG884" s="132">
        <f t="shared" si="1765"/>
        <v>-1000</v>
      </c>
      <c r="AH884" s="132">
        <f t="shared" si="1765"/>
        <v>-1000</v>
      </c>
      <c r="AI884" s="132">
        <f t="shared" si="1765"/>
        <v>-1000</v>
      </c>
      <c r="AJ884" s="132">
        <f t="shared" si="1765"/>
        <v>-1000</v>
      </c>
      <c r="AK884" s="132">
        <f t="shared" si="1765"/>
        <v>-1000</v>
      </c>
      <c r="AL884" s="132">
        <f t="shared" si="1765"/>
        <v>-1000</v>
      </c>
      <c r="AM884" s="132">
        <f t="shared" si="1765"/>
        <v>-1000</v>
      </c>
      <c r="AN884" s="132">
        <f t="shared" si="1765"/>
        <v>-1000</v>
      </c>
      <c r="AO884" s="132">
        <f t="shared" si="1765"/>
        <v>-1000</v>
      </c>
      <c r="AP884" s="132">
        <f t="shared" si="1765"/>
        <v>-1000</v>
      </c>
      <c r="AQ884" s="132">
        <f t="shared" si="1765"/>
        <v>-1000</v>
      </c>
      <c r="AR884" s="132">
        <f t="shared" si="1765"/>
        <v>-1000</v>
      </c>
      <c r="AS884" s="132">
        <f t="shared" si="1765"/>
        <v>-1000</v>
      </c>
    </row>
    <row r="885">
      <c r="A885" s="132" t="s">
        <v>4387</v>
      </c>
      <c r="B885" s="132">
        <v>1000.0</v>
      </c>
      <c r="C885" s="132">
        <v>1000.0</v>
      </c>
      <c r="D885" s="132">
        <v>0.0</v>
      </c>
      <c r="E885" s="132">
        <v>0.0</v>
      </c>
      <c r="F885" s="132">
        <v>0.0</v>
      </c>
      <c r="G885" s="132">
        <v>0.0</v>
      </c>
      <c r="H885" s="132">
        <v>0.0</v>
      </c>
      <c r="I885" s="132">
        <v>0.0</v>
      </c>
      <c r="J885" s="132">
        <v>0.0</v>
      </c>
      <c r="K885" s="132">
        <v>0.0</v>
      </c>
      <c r="L885" s="132">
        <v>0.0</v>
      </c>
      <c r="M885" s="132">
        <v>0.0</v>
      </c>
      <c r="N885" s="132">
        <v>0.0</v>
      </c>
      <c r="O885" s="132">
        <v>0.0</v>
      </c>
      <c r="P885" s="132">
        <v>0.0</v>
      </c>
      <c r="Q885" s="132">
        <v>0.0</v>
      </c>
      <c r="R885" s="132">
        <v>0.0</v>
      </c>
      <c r="S885" s="132">
        <v>0.0</v>
      </c>
      <c r="T885" s="132">
        <v>0.0</v>
      </c>
      <c r="U885" s="132">
        <v>0.0</v>
      </c>
      <c r="V885" s="132">
        <v>0.0</v>
      </c>
      <c r="W885" s="132">
        <v>0.0</v>
      </c>
      <c r="Y885" s="132" t="s">
        <v>4387</v>
      </c>
      <c r="Z885" s="132">
        <f t="shared" ref="Z885:AC885" si="1766">C885-1000</f>
        <v>0</v>
      </c>
      <c r="AA885" s="132">
        <f t="shared" si="1766"/>
        <v>-1000</v>
      </c>
      <c r="AB885" s="132">
        <f t="shared" si="1766"/>
        <v>-1000</v>
      </c>
      <c r="AC885" s="132">
        <f t="shared" si="1766"/>
        <v>-1000</v>
      </c>
      <c r="AD885" s="132">
        <f t="shared" si="4"/>
        <v>-10000</v>
      </c>
      <c r="AE885" s="132">
        <f t="shared" ref="AE885:AS885" si="1767">H885-1000</f>
        <v>-1000</v>
      </c>
      <c r="AF885" s="132">
        <f t="shared" si="1767"/>
        <v>-1000</v>
      </c>
      <c r="AG885" s="132">
        <f t="shared" si="1767"/>
        <v>-1000</v>
      </c>
      <c r="AH885" s="132">
        <f t="shared" si="1767"/>
        <v>-1000</v>
      </c>
      <c r="AI885" s="132">
        <f t="shared" si="1767"/>
        <v>-1000</v>
      </c>
      <c r="AJ885" s="132">
        <f t="shared" si="1767"/>
        <v>-1000</v>
      </c>
      <c r="AK885" s="132">
        <f t="shared" si="1767"/>
        <v>-1000</v>
      </c>
      <c r="AL885" s="132">
        <f t="shared" si="1767"/>
        <v>-1000</v>
      </c>
      <c r="AM885" s="132">
        <f t="shared" si="1767"/>
        <v>-1000</v>
      </c>
      <c r="AN885" s="132">
        <f t="shared" si="1767"/>
        <v>-1000</v>
      </c>
      <c r="AO885" s="132">
        <f t="shared" si="1767"/>
        <v>-1000</v>
      </c>
      <c r="AP885" s="132">
        <f t="shared" si="1767"/>
        <v>-1000</v>
      </c>
      <c r="AQ885" s="132">
        <f t="shared" si="1767"/>
        <v>-1000</v>
      </c>
      <c r="AR885" s="132">
        <f t="shared" si="1767"/>
        <v>-1000</v>
      </c>
      <c r="AS885" s="132">
        <f t="shared" si="1767"/>
        <v>-1000</v>
      </c>
    </row>
    <row r="886">
      <c r="A886" s="132" t="s">
        <v>4388</v>
      </c>
      <c r="B886" s="132">
        <v>250.0</v>
      </c>
      <c r="C886" s="132">
        <v>250.0</v>
      </c>
      <c r="D886" s="132">
        <v>0.0</v>
      </c>
      <c r="E886" s="132">
        <v>0.0</v>
      </c>
      <c r="F886" s="132">
        <v>0.0</v>
      </c>
      <c r="G886" s="132">
        <v>0.0</v>
      </c>
      <c r="H886" s="132">
        <v>0.0</v>
      </c>
      <c r="I886" s="132">
        <v>0.0</v>
      </c>
      <c r="J886" s="132">
        <v>0.0</v>
      </c>
      <c r="K886" s="132">
        <v>0.0</v>
      </c>
      <c r="L886" s="132">
        <v>0.0</v>
      </c>
      <c r="M886" s="132">
        <v>0.0</v>
      </c>
      <c r="N886" s="132">
        <v>0.0</v>
      </c>
      <c r="O886" s="132">
        <v>0.0</v>
      </c>
      <c r="P886" s="132">
        <v>0.0</v>
      </c>
      <c r="Q886" s="132">
        <v>0.0</v>
      </c>
      <c r="R886" s="132">
        <v>0.0</v>
      </c>
      <c r="S886" s="132">
        <v>0.0</v>
      </c>
      <c r="T886" s="132">
        <v>0.0</v>
      </c>
      <c r="U886" s="132">
        <v>0.0</v>
      </c>
      <c r="V886" s="132">
        <v>0.0</v>
      </c>
      <c r="W886" s="132">
        <v>0.0</v>
      </c>
      <c r="Y886" s="132" t="s">
        <v>4388</v>
      </c>
      <c r="Z886" s="132">
        <f t="shared" ref="Z886:AC886" si="1768">C886-1000</f>
        <v>-750</v>
      </c>
      <c r="AA886" s="132">
        <f t="shared" si="1768"/>
        <v>-1000</v>
      </c>
      <c r="AB886" s="132">
        <f t="shared" si="1768"/>
        <v>-1000</v>
      </c>
      <c r="AC886" s="132">
        <f t="shared" si="1768"/>
        <v>-1000</v>
      </c>
      <c r="AD886" s="132">
        <f t="shared" si="4"/>
        <v>-10000</v>
      </c>
      <c r="AE886" s="132">
        <f t="shared" ref="AE886:AS886" si="1769">H886-1000</f>
        <v>-1000</v>
      </c>
      <c r="AF886" s="132">
        <f t="shared" si="1769"/>
        <v>-1000</v>
      </c>
      <c r="AG886" s="132">
        <f t="shared" si="1769"/>
        <v>-1000</v>
      </c>
      <c r="AH886" s="132">
        <f t="shared" si="1769"/>
        <v>-1000</v>
      </c>
      <c r="AI886" s="132">
        <f t="shared" si="1769"/>
        <v>-1000</v>
      </c>
      <c r="AJ886" s="132">
        <f t="shared" si="1769"/>
        <v>-1000</v>
      </c>
      <c r="AK886" s="132">
        <f t="shared" si="1769"/>
        <v>-1000</v>
      </c>
      <c r="AL886" s="132">
        <f t="shared" si="1769"/>
        <v>-1000</v>
      </c>
      <c r="AM886" s="132">
        <f t="shared" si="1769"/>
        <v>-1000</v>
      </c>
      <c r="AN886" s="132">
        <f t="shared" si="1769"/>
        <v>-1000</v>
      </c>
      <c r="AO886" s="132">
        <f t="shared" si="1769"/>
        <v>-1000</v>
      </c>
      <c r="AP886" s="132">
        <f t="shared" si="1769"/>
        <v>-1000</v>
      </c>
      <c r="AQ886" s="132">
        <f t="shared" si="1769"/>
        <v>-1000</v>
      </c>
      <c r="AR886" s="132">
        <f t="shared" si="1769"/>
        <v>-1000</v>
      </c>
      <c r="AS886" s="132">
        <f t="shared" si="1769"/>
        <v>-1000</v>
      </c>
    </row>
    <row r="887">
      <c r="A887" s="132" t="s">
        <v>4389</v>
      </c>
      <c r="B887" s="132">
        <v>1000.0</v>
      </c>
      <c r="C887" s="132">
        <v>1000.0</v>
      </c>
      <c r="D887" s="132">
        <v>0.0</v>
      </c>
      <c r="E887" s="132">
        <v>0.0</v>
      </c>
      <c r="F887" s="132">
        <v>0.0</v>
      </c>
      <c r="G887" s="132">
        <v>0.0</v>
      </c>
      <c r="H887" s="132">
        <v>0.0</v>
      </c>
      <c r="I887" s="132">
        <v>0.0</v>
      </c>
      <c r="J887" s="132">
        <v>0.0</v>
      </c>
      <c r="K887" s="132">
        <v>0.0</v>
      </c>
      <c r="L887" s="132">
        <v>0.0</v>
      </c>
      <c r="M887" s="132">
        <v>0.0</v>
      </c>
      <c r="N887" s="132">
        <v>0.0</v>
      </c>
      <c r="O887" s="132">
        <v>0.0</v>
      </c>
      <c r="P887" s="132">
        <v>0.0</v>
      </c>
      <c r="Q887" s="132">
        <v>0.0</v>
      </c>
      <c r="R887" s="132">
        <v>0.0</v>
      </c>
      <c r="S887" s="132">
        <v>0.0</v>
      </c>
      <c r="T887" s="132">
        <v>0.0</v>
      </c>
      <c r="U887" s="132">
        <v>0.0</v>
      </c>
      <c r="V887" s="132">
        <v>0.0</v>
      </c>
      <c r="W887" s="132">
        <v>0.0</v>
      </c>
      <c r="Y887" s="132" t="s">
        <v>4389</v>
      </c>
      <c r="Z887" s="132">
        <f t="shared" ref="Z887:AC887" si="1770">C887-1000</f>
        <v>0</v>
      </c>
      <c r="AA887" s="132">
        <f t="shared" si="1770"/>
        <v>-1000</v>
      </c>
      <c r="AB887" s="132">
        <f t="shared" si="1770"/>
        <v>-1000</v>
      </c>
      <c r="AC887" s="132">
        <f t="shared" si="1770"/>
        <v>-1000</v>
      </c>
      <c r="AD887" s="132">
        <f t="shared" si="4"/>
        <v>-10000</v>
      </c>
      <c r="AE887" s="132">
        <f t="shared" ref="AE887:AS887" si="1771">H887-1000</f>
        <v>-1000</v>
      </c>
      <c r="AF887" s="132">
        <f t="shared" si="1771"/>
        <v>-1000</v>
      </c>
      <c r="AG887" s="132">
        <f t="shared" si="1771"/>
        <v>-1000</v>
      </c>
      <c r="AH887" s="132">
        <f t="shared" si="1771"/>
        <v>-1000</v>
      </c>
      <c r="AI887" s="132">
        <f t="shared" si="1771"/>
        <v>-1000</v>
      </c>
      <c r="AJ887" s="132">
        <f t="shared" si="1771"/>
        <v>-1000</v>
      </c>
      <c r="AK887" s="132">
        <f t="shared" si="1771"/>
        <v>-1000</v>
      </c>
      <c r="AL887" s="132">
        <f t="shared" si="1771"/>
        <v>-1000</v>
      </c>
      <c r="AM887" s="132">
        <f t="shared" si="1771"/>
        <v>-1000</v>
      </c>
      <c r="AN887" s="132">
        <f t="shared" si="1771"/>
        <v>-1000</v>
      </c>
      <c r="AO887" s="132">
        <f t="shared" si="1771"/>
        <v>-1000</v>
      </c>
      <c r="AP887" s="132">
        <f t="shared" si="1771"/>
        <v>-1000</v>
      </c>
      <c r="AQ887" s="132">
        <f t="shared" si="1771"/>
        <v>-1000</v>
      </c>
      <c r="AR887" s="132">
        <f t="shared" si="1771"/>
        <v>-1000</v>
      </c>
      <c r="AS887" s="132">
        <f t="shared" si="1771"/>
        <v>-1000</v>
      </c>
    </row>
    <row r="888">
      <c r="A888" s="132" t="s">
        <v>4390</v>
      </c>
      <c r="B888" s="132">
        <v>1000.0</v>
      </c>
      <c r="C888" s="132">
        <v>1000.0</v>
      </c>
      <c r="D888" s="132">
        <v>0.0</v>
      </c>
      <c r="E888" s="132">
        <v>0.0</v>
      </c>
      <c r="F888" s="132">
        <v>0.0</v>
      </c>
      <c r="G888" s="132">
        <v>0.0</v>
      </c>
      <c r="H888" s="132">
        <v>0.0</v>
      </c>
      <c r="I888" s="132">
        <v>0.0</v>
      </c>
      <c r="J888" s="132">
        <v>0.0</v>
      </c>
      <c r="K888" s="132">
        <v>0.0</v>
      </c>
      <c r="L888" s="132">
        <v>0.0</v>
      </c>
      <c r="M888" s="132">
        <v>0.0</v>
      </c>
      <c r="N888" s="132">
        <v>0.0</v>
      </c>
      <c r="O888" s="132">
        <v>0.0</v>
      </c>
      <c r="P888" s="132">
        <v>0.0</v>
      </c>
      <c r="Q888" s="132">
        <v>0.0</v>
      </c>
      <c r="R888" s="132">
        <v>0.0</v>
      </c>
      <c r="S888" s="132">
        <v>0.0</v>
      </c>
      <c r="T888" s="132">
        <v>0.0</v>
      </c>
      <c r="U888" s="132">
        <v>0.0</v>
      </c>
      <c r="V888" s="132">
        <v>0.0</v>
      </c>
      <c r="W888" s="132">
        <v>0.0</v>
      </c>
      <c r="Y888" s="132" t="s">
        <v>4390</v>
      </c>
      <c r="Z888" s="132">
        <f t="shared" ref="Z888:AC888" si="1772">C888-1000</f>
        <v>0</v>
      </c>
      <c r="AA888" s="132">
        <f t="shared" si="1772"/>
        <v>-1000</v>
      </c>
      <c r="AB888" s="132">
        <f t="shared" si="1772"/>
        <v>-1000</v>
      </c>
      <c r="AC888" s="132">
        <f t="shared" si="1772"/>
        <v>-1000</v>
      </c>
      <c r="AD888" s="132">
        <f t="shared" si="4"/>
        <v>-10000</v>
      </c>
      <c r="AE888" s="132">
        <f t="shared" ref="AE888:AS888" si="1773">H888-1000</f>
        <v>-1000</v>
      </c>
      <c r="AF888" s="132">
        <f t="shared" si="1773"/>
        <v>-1000</v>
      </c>
      <c r="AG888" s="132">
        <f t="shared" si="1773"/>
        <v>-1000</v>
      </c>
      <c r="AH888" s="132">
        <f t="shared" si="1773"/>
        <v>-1000</v>
      </c>
      <c r="AI888" s="132">
        <f t="shared" si="1773"/>
        <v>-1000</v>
      </c>
      <c r="AJ888" s="132">
        <f t="shared" si="1773"/>
        <v>-1000</v>
      </c>
      <c r="AK888" s="132">
        <f t="shared" si="1773"/>
        <v>-1000</v>
      </c>
      <c r="AL888" s="132">
        <f t="shared" si="1773"/>
        <v>-1000</v>
      </c>
      <c r="AM888" s="132">
        <f t="shared" si="1773"/>
        <v>-1000</v>
      </c>
      <c r="AN888" s="132">
        <f t="shared" si="1773"/>
        <v>-1000</v>
      </c>
      <c r="AO888" s="132">
        <f t="shared" si="1773"/>
        <v>-1000</v>
      </c>
      <c r="AP888" s="132">
        <f t="shared" si="1773"/>
        <v>-1000</v>
      </c>
      <c r="AQ888" s="132">
        <f t="shared" si="1773"/>
        <v>-1000</v>
      </c>
      <c r="AR888" s="132">
        <f t="shared" si="1773"/>
        <v>-1000</v>
      </c>
      <c r="AS888" s="132">
        <f t="shared" si="1773"/>
        <v>-1000</v>
      </c>
    </row>
    <row r="889">
      <c r="A889" s="132" t="s">
        <v>4391</v>
      </c>
      <c r="B889" s="132">
        <v>500.0</v>
      </c>
      <c r="C889" s="132">
        <v>500.0</v>
      </c>
      <c r="D889" s="132">
        <v>0.0</v>
      </c>
      <c r="E889" s="132">
        <v>0.0</v>
      </c>
      <c r="F889" s="132">
        <v>0.0</v>
      </c>
      <c r="G889" s="132">
        <v>0.0</v>
      </c>
      <c r="H889" s="132">
        <v>0.0</v>
      </c>
      <c r="I889" s="132">
        <v>0.0</v>
      </c>
      <c r="J889" s="132">
        <v>0.0</v>
      </c>
      <c r="K889" s="132">
        <v>0.0</v>
      </c>
      <c r="L889" s="132">
        <v>0.0</v>
      </c>
      <c r="M889" s="132">
        <v>0.0</v>
      </c>
      <c r="N889" s="132">
        <v>0.0</v>
      </c>
      <c r="O889" s="132">
        <v>0.0</v>
      </c>
      <c r="P889" s="132">
        <v>0.0</v>
      </c>
      <c r="Q889" s="132">
        <v>0.0</v>
      </c>
      <c r="R889" s="132">
        <v>0.0</v>
      </c>
      <c r="S889" s="132">
        <v>0.0</v>
      </c>
      <c r="T889" s="132">
        <v>0.0</v>
      </c>
      <c r="U889" s="132">
        <v>0.0</v>
      </c>
      <c r="V889" s="132">
        <v>0.0</v>
      </c>
      <c r="W889" s="132">
        <v>0.0</v>
      </c>
      <c r="Y889" s="132" t="s">
        <v>4391</v>
      </c>
      <c r="Z889" s="132">
        <f t="shared" ref="Z889:AC889" si="1774">C889-1000</f>
        <v>-500</v>
      </c>
      <c r="AA889" s="132">
        <f t="shared" si="1774"/>
        <v>-1000</v>
      </c>
      <c r="AB889" s="132">
        <f t="shared" si="1774"/>
        <v>-1000</v>
      </c>
      <c r="AC889" s="132">
        <f t="shared" si="1774"/>
        <v>-1000</v>
      </c>
      <c r="AD889" s="132">
        <f t="shared" si="4"/>
        <v>-10000</v>
      </c>
      <c r="AE889" s="132">
        <f t="shared" ref="AE889:AS889" si="1775">H889-1000</f>
        <v>-1000</v>
      </c>
      <c r="AF889" s="132">
        <f t="shared" si="1775"/>
        <v>-1000</v>
      </c>
      <c r="AG889" s="132">
        <f t="shared" si="1775"/>
        <v>-1000</v>
      </c>
      <c r="AH889" s="132">
        <f t="shared" si="1775"/>
        <v>-1000</v>
      </c>
      <c r="AI889" s="132">
        <f t="shared" si="1775"/>
        <v>-1000</v>
      </c>
      <c r="AJ889" s="132">
        <f t="shared" si="1775"/>
        <v>-1000</v>
      </c>
      <c r="AK889" s="132">
        <f t="shared" si="1775"/>
        <v>-1000</v>
      </c>
      <c r="AL889" s="132">
        <f t="shared" si="1775"/>
        <v>-1000</v>
      </c>
      <c r="AM889" s="132">
        <f t="shared" si="1775"/>
        <v>-1000</v>
      </c>
      <c r="AN889" s="132">
        <f t="shared" si="1775"/>
        <v>-1000</v>
      </c>
      <c r="AO889" s="132">
        <f t="shared" si="1775"/>
        <v>-1000</v>
      </c>
      <c r="AP889" s="132">
        <f t="shared" si="1775"/>
        <v>-1000</v>
      </c>
      <c r="AQ889" s="132">
        <f t="shared" si="1775"/>
        <v>-1000</v>
      </c>
      <c r="AR889" s="132">
        <f t="shared" si="1775"/>
        <v>-1000</v>
      </c>
      <c r="AS889" s="132">
        <f t="shared" si="1775"/>
        <v>-1000</v>
      </c>
    </row>
    <row r="890">
      <c r="A890" s="132" t="s">
        <v>4392</v>
      </c>
      <c r="B890" s="132">
        <v>100.0</v>
      </c>
      <c r="C890" s="132">
        <v>100.0</v>
      </c>
      <c r="D890" s="132">
        <v>0.0</v>
      </c>
      <c r="E890" s="132">
        <v>0.0</v>
      </c>
      <c r="F890" s="132">
        <v>0.0</v>
      </c>
      <c r="G890" s="132">
        <v>0.0</v>
      </c>
      <c r="H890" s="132">
        <v>0.0</v>
      </c>
      <c r="I890" s="132">
        <v>0.0</v>
      </c>
      <c r="J890" s="132">
        <v>0.0</v>
      </c>
      <c r="K890" s="132">
        <v>0.0</v>
      </c>
      <c r="L890" s="132">
        <v>0.0</v>
      </c>
      <c r="M890" s="132">
        <v>0.0</v>
      </c>
      <c r="N890" s="132">
        <v>0.0</v>
      </c>
      <c r="O890" s="132">
        <v>0.0</v>
      </c>
      <c r="P890" s="132">
        <v>0.0</v>
      </c>
      <c r="Q890" s="132">
        <v>0.0</v>
      </c>
      <c r="R890" s="132">
        <v>0.0</v>
      </c>
      <c r="S890" s="132">
        <v>0.0</v>
      </c>
      <c r="T890" s="132">
        <v>0.0</v>
      </c>
      <c r="U890" s="132">
        <v>0.0</v>
      </c>
      <c r="V890" s="132">
        <v>0.0</v>
      </c>
      <c r="W890" s="132">
        <v>0.0</v>
      </c>
      <c r="Y890" s="132" t="s">
        <v>4392</v>
      </c>
      <c r="Z890" s="132">
        <f t="shared" ref="Z890:AC890" si="1776">C890-1000</f>
        <v>-900</v>
      </c>
      <c r="AA890" s="132">
        <f t="shared" si="1776"/>
        <v>-1000</v>
      </c>
      <c r="AB890" s="132">
        <f t="shared" si="1776"/>
        <v>-1000</v>
      </c>
      <c r="AC890" s="132">
        <f t="shared" si="1776"/>
        <v>-1000</v>
      </c>
      <c r="AD890" s="132">
        <f t="shared" si="4"/>
        <v>-10000</v>
      </c>
      <c r="AE890" s="132">
        <f t="shared" ref="AE890:AS890" si="1777">H890-1000</f>
        <v>-1000</v>
      </c>
      <c r="AF890" s="132">
        <f t="shared" si="1777"/>
        <v>-1000</v>
      </c>
      <c r="AG890" s="132">
        <f t="shared" si="1777"/>
        <v>-1000</v>
      </c>
      <c r="AH890" s="132">
        <f t="shared" si="1777"/>
        <v>-1000</v>
      </c>
      <c r="AI890" s="132">
        <f t="shared" si="1777"/>
        <v>-1000</v>
      </c>
      <c r="AJ890" s="132">
        <f t="shared" si="1777"/>
        <v>-1000</v>
      </c>
      <c r="AK890" s="132">
        <f t="shared" si="1777"/>
        <v>-1000</v>
      </c>
      <c r="AL890" s="132">
        <f t="shared" si="1777"/>
        <v>-1000</v>
      </c>
      <c r="AM890" s="132">
        <f t="shared" si="1777"/>
        <v>-1000</v>
      </c>
      <c r="AN890" s="132">
        <f t="shared" si="1777"/>
        <v>-1000</v>
      </c>
      <c r="AO890" s="132">
        <f t="shared" si="1777"/>
        <v>-1000</v>
      </c>
      <c r="AP890" s="132">
        <f t="shared" si="1777"/>
        <v>-1000</v>
      </c>
      <c r="AQ890" s="132">
        <f t="shared" si="1777"/>
        <v>-1000</v>
      </c>
      <c r="AR890" s="132">
        <f t="shared" si="1777"/>
        <v>-1000</v>
      </c>
      <c r="AS890" s="132">
        <f t="shared" si="1777"/>
        <v>-1000</v>
      </c>
    </row>
    <row r="891">
      <c r="A891" s="132" t="s">
        <v>4393</v>
      </c>
      <c r="B891" s="132">
        <v>1400.0</v>
      </c>
      <c r="C891" s="132">
        <v>1400.0</v>
      </c>
      <c r="D891" s="132">
        <v>0.0</v>
      </c>
      <c r="E891" s="132">
        <v>0.0</v>
      </c>
      <c r="F891" s="132">
        <v>0.0</v>
      </c>
      <c r="G891" s="132">
        <v>0.0</v>
      </c>
      <c r="H891" s="132">
        <v>0.0</v>
      </c>
      <c r="I891" s="132">
        <v>0.0</v>
      </c>
      <c r="J891" s="132">
        <v>0.0</v>
      </c>
      <c r="K891" s="132">
        <v>0.0</v>
      </c>
      <c r="L891" s="132">
        <v>0.0</v>
      </c>
      <c r="M891" s="132">
        <v>0.0</v>
      </c>
      <c r="N891" s="132">
        <v>0.0</v>
      </c>
      <c r="O891" s="132">
        <v>0.0</v>
      </c>
      <c r="P891" s="132">
        <v>0.0</v>
      </c>
      <c r="Q891" s="132">
        <v>0.0</v>
      </c>
      <c r="R891" s="132">
        <v>0.0</v>
      </c>
      <c r="S891" s="132">
        <v>0.0</v>
      </c>
      <c r="T891" s="132">
        <v>0.0</v>
      </c>
      <c r="U891" s="132">
        <v>0.0</v>
      </c>
      <c r="V891" s="132">
        <v>0.0</v>
      </c>
      <c r="W891" s="132">
        <v>1.0</v>
      </c>
      <c r="Y891" s="132" t="s">
        <v>4393</v>
      </c>
      <c r="Z891" s="132">
        <f t="shared" ref="Z891:AC891" si="1778">C891-1000</f>
        <v>400</v>
      </c>
      <c r="AA891" s="132">
        <f t="shared" si="1778"/>
        <v>-1000</v>
      </c>
      <c r="AB891" s="132">
        <f t="shared" si="1778"/>
        <v>-1000</v>
      </c>
      <c r="AC891" s="132">
        <f t="shared" si="1778"/>
        <v>-1000</v>
      </c>
      <c r="AD891" s="132">
        <f t="shared" si="4"/>
        <v>-10000</v>
      </c>
      <c r="AE891" s="132">
        <f t="shared" ref="AE891:AS891" si="1779">H891-1000</f>
        <v>-1000</v>
      </c>
      <c r="AF891" s="132">
        <f t="shared" si="1779"/>
        <v>-1000</v>
      </c>
      <c r="AG891" s="132">
        <f t="shared" si="1779"/>
        <v>-1000</v>
      </c>
      <c r="AH891" s="132">
        <f t="shared" si="1779"/>
        <v>-1000</v>
      </c>
      <c r="AI891" s="132">
        <f t="shared" si="1779"/>
        <v>-1000</v>
      </c>
      <c r="AJ891" s="132">
        <f t="shared" si="1779"/>
        <v>-1000</v>
      </c>
      <c r="AK891" s="132">
        <f t="shared" si="1779"/>
        <v>-1000</v>
      </c>
      <c r="AL891" s="132">
        <f t="shared" si="1779"/>
        <v>-1000</v>
      </c>
      <c r="AM891" s="132">
        <f t="shared" si="1779"/>
        <v>-1000</v>
      </c>
      <c r="AN891" s="132">
        <f t="shared" si="1779"/>
        <v>-1000</v>
      </c>
      <c r="AO891" s="132">
        <f t="shared" si="1779"/>
        <v>-1000</v>
      </c>
      <c r="AP891" s="132">
        <f t="shared" si="1779"/>
        <v>-1000</v>
      </c>
      <c r="AQ891" s="132">
        <f t="shared" si="1779"/>
        <v>-1000</v>
      </c>
      <c r="AR891" s="132">
        <f t="shared" si="1779"/>
        <v>-1000</v>
      </c>
      <c r="AS891" s="132">
        <f t="shared" si="1779"/>
        <v>-1000</v>
      </c>
    </row>
    <row r="892">
      <c r="A892" s="132" t="s">
        <v>4394</v>
      </c>
      <c r="B892" s="132">
        <v>474.7</v>
      </c>
      <c r="C892" s="132">
        <v>474.7</v>
      </c>
      <c r="D892" s="132">
        <v>0.0</v>
      </c>
      <c r="E892" s="132">
        <v>0.0</v>
      </c>
      <c r="F892" s="132">
        <v>0.0</v>
      </c>
      <c r="G892" s="132">
        <v>0.0</v>
      </c>
      <c r="H892" s="132">
        <v>0.0</v>
      </c>
      <c r="I892" s="132">
        <v>0.0</v>
      </c>
      <c r="J892" s="132">
        <v>0.0</v>
      </c>
      <c r="K892" s="132">
        <v>0.0</v>
      </c>
      <c r="L892" s="132">
        <v>0.0</v>
      </c>
      <c r="M892" s="132">
        <v>0.0</v>
      </c>
      <c r="N892" s="132">
        <v>0.0</v>
      </c>
      <c r="O892" s="132">
        <v>0.0</v>
      </c>
      <c r="P892" s="132">
        <v>0.0</v>
      </c>
      <c r="Q892" s="132">
        <v>0.0</v>
      </c>
      <c r="R892" s="132">
        <v>0.0</v>
      </c>
      <c r="S892" s="132">
        <v>0.0</v>
      </c>
      <c r="T892" s="132">
        <v>0.0</v>
      </c>
      <c r="U892" s="132">
        <v>0.0</v>
      </c>
      <c r="V892" s="132">
        <v>0.0</v>
      </c>
      <c r="W892" s="132">
        <v>0.0</v>
      </c>
      <c r="Y892" s="132" t="s">
        <v>4394</v>
      </c>
      <c r="Z892" s="132">
        <f t="shared" ref="Z892:AC892" si="1780">C892-1000</f>
        <v>-525.3</v>
      </c>
      <c r="AA892" s="132">
        <f t="shared" si="1780"/>
        <v>-1000</v>
      </c>
      <c r="AB892" s="132">
        <f t="shared" si="1780"/>
        <v>-1000</v>
      </c>
      <c r="AC892" s="132">
        <f t="shared" si="1780"/>
        <v>-1000</v>
      </c>
      <c r="AD892" s="132">
        <f t="shared" si="4"/>
        <v>-10000</v>
      </c>
      <c r="AE892" s="132">
        <f t="shared" ref="AE892:AS892" si="1781">H892-1000</f>
        <v>-1000</v>
      </c>
      <c r="AF892" s="132">
        <f t="shared" si="1781"/>
        <v>-1000</v>
      </c>
      <c r="AG892" s="132">
        <f t="shared" si="1781"/>
        <v>-1000</v>
      </c>
      <c r="AH892" s="132">
        <f t="shared" si="1781"/>
        <v>-1000</v>
      </c>
      <c r="AI892" s="132">
        <f t="shared" si="1781"/>
        <v>-1000</v>
      </c>
      <c r="AJ892" s="132">
        <f t="shared" si="1781"/>
        <v>-1000</v>
      </c>
      <c r="AK892" s="132">
        <f t="shared" si="1781"/>
        <v>-1000</v>
      </c>
      <c r="AL892" s="132">
        <f t="shared" si="1781"/>
        <v>-1000</v>
      </c>
      <c r="AM892" s="132">
        <f t="shared" si="1781"/>
        <v>-1000</v>
      </c>
      <c r="AN892" s="132">
        <f t="shared" si="1781"/>
        <v>-1000</v>
      </c>
      <c r="AO892" s="132">
        <f t="shared" si="1781"/>
        <v>-1000</v>
      </c>
      <c r="AP892" s="132">
        <f t="shared" si="1781"/>
        <v>-1000</v>
      </c>
      <c r="AQ892" s="132">
        <f t="shared" si="1781"/>
        <v>-1000</v>
      </c>
      <c r="AR892" s="132">
        <f t="shared" si="1781"/>
        <v>-1000</v>
      </c>
      <c r="AS892" s="132">
        <f t="shared" si="1781"/>
        <v>-1000</v>
      </c>
    </row>
    <row r="893">
      <c r="A893" s="132" t="s">
        <v>4395</v>
      </c>
      <c r="B893" s="132">
        <v>250.0</v>
      </c>
      <c r="C893" s="132">
        <v>250.0</v>
      </c>
      <c r="D893" s="132">
        <v>0.0</v>
      </c>
      <c r="E893" s="132">
        <v>0.0</v>
      </c>
      <c r="F893" s="132">
        <v>0.0</v>
      </c>
      <c r="G893" s="132">
        <v>0.0</v>
      </c>
      <c r="H893" s="132">
        <v>0.0</v>
      </c>
      <c r="I893" s="132">
        <v>0.0</v>
      </c>
      <c r="J893" s="132">
        <v>0.0</v>
      </c>
      <c r="K893" s="132">
        <v>0.0</v>
      </c>
      <c r="L893" s="132">
        <v>0.0</v>
      </c>
      <c r="M893" s="132">
        <v>0.0</v>
      </c>
      <c r="N893" s="132">
        <v>0.0</v>
      </c>
      <c r="O893" s="132">
        <v>0.0</v>
      </c>
      <c r="P893" s="132">
        <v>0.0</v>
      </c>
      <c r="Q893" s="132">
        <v>0.0</v>
      </c>
      <c r="R893" s="132">
        <v>0.0</v>
      </c>
      <c r="S893" s="132">
        <v>0.0</v>
      </c>
      <c r="T893" s="132">
        <v>0.0</v>
      </c>
      <c r="U893" s="132">
        <v>0.0</v>
      </c>
      <c r="V893" s="132">
        <v>0.0</v>
      </c>
      <c r="W893" s="132">
        <v>0.0</v>
      </c>
      <c r="Y893" s="132" t="s">
        <v>4395</v>
      </c>
      <c r="Z893" s="132">
        <f t="shared" ref="Z893:AC893" si="1782">C893-1000</f>
        <v>-750</v>
      </c>
      <c r="AA893" s="132">
        <f t="shared" si="1782"/>
        <v>-1000</v>
      </c>
      <c r="AB893" s="132">
        <f t="shared" si="1782"/>
        <v>-1000</v>
      </c>
      <c r="AC893" s="132">
        <f t="shared" si="1782"/>
        <v>-1000</v>
      </c>
      <c r="AD893" s="132">
        <f t="shared" si="4"/>
        <v>-10000</v>
      </c>
      <c r="AE893" s="132">
        <f t="shared" ref="AE893:AS893" si="1783">H893-1000</f>
        <v>-1000</v>
      </c>
      <c r="AF893" s="132">
        <f t="shared" si="1783"/>
        <v>-1000</v>
      </c>
      <c r="AG893" s="132">
        <f t="shared" si="1783"/>
        <v>-1000</v>
      </c>
      <c r="AH893" s="132">
        <f t="shared" si="1783"/>
        <v>-1000</v>
      </c>
      <c r="AI893" s="132">
        <f t="shared" si="1783"/>
        <v>-1000</v>
      </c>
      <c r="AJ893" s="132">
        <f t="shared" si="1783"/>
        <v>-1000</v>
      </c>
      <c r="AK893" s="132">
        <f t="shared" si="1783"/>
        <v>-1000</v>
      </c>
      <c r="AL893" s="132">
        <f t="shared" si="1783"/>
        <v>-1000</v>
      </c>
      <c r="AM893" s="132">
        <f t="shared" si="1783"/>
        <v>-1000</v>
      </c>
      <c r="AN893" s="132">
        <f t="shared" si="1783"/>
        <v>-1000</v>
      </c>
      <c r="AO893" s="132">
        <f t="shared" si="1783"/>
        <v>-1000</v>
      </c>
      <c r="AP893" s="132">
        <f t="shared" si="1783"/>
        <v>-1000</v>
      </c>
      <c r="AQ893" s="132">
        <f t="shared" si="1783"/>
        <v>-1000</v>
      </c>
      <c r="AR893" s="132">
        <f t="shared" si="1783"/>
        <v>-1000</v>
      </c>
      <c r="AS893" s="132">
        <f t="shared" si="1783"/>
        <v>-1000</v>
      </c>
    </row>
    <row r="894">
      <c r="A894" s="132" t="s">
        <v>4396</v>
      </c>
      <c r="B894" s="132">
        <v>1000.0</v>
      </c>
      <c r="C894" s="132">
        <v>1000.0</v>
      </c>
      <c r="D894" s="132">
        <v>0.0</v>
      </c>
      <c r="E894" s="132">
        <v>0.0</v>
      </c>
      <c r="F894" s="132">
        <v>0.0</v>
      </c>
      <c r="G894" s="132">
        <v>0.0</v>
      </c>
      <c r="H894" s="132">
        <v>0.0</v>
      </c>
      <c r="I894" s="132">
        <v>0.0</v>
      </c>
      <c r="J894" s="132">
        <v>0.0</v>
      </c>
      <c r="K894" s="132">
        <v>0.0</v>
      </c>
      <c r="L894" s="132">
        <v>0.0</v>
      </c>
      <c r="M894" s="132">
        <v>0.0</v>
      </c>
      <c r="N894" s="132">
        <v>0.0</v>
      </c>
      <c r="O894" s="132">
        <v>0.0</v>
      </c>
      <c r="P894" s="132">
        <v>0.0</v>
      </c>
      <c r="Q894" s="132">
        <v>0.0</v>
      </c>
      <c r="R894" s="132">
        <v>0.0</v>
      </c>
      <c r="S894" s="132">
        <v>0.0</v>
      </c>
      <c r="T894" s="132">
        <v>0.0</v>
      </c>
      <c r="U894" s="132">
        <v>0.0</v>
      </c>
      <c r="V894" s="132">
        <v>0.0</v>
      </c>
      <c r="W894" s="132">
        <v>0.0</v>
      </c>
      <c r="Y894" s="132" t="s">
        <v>4396</v>
      </c>
      <c r="Z894" s="132">
        <f t="shared" ref="Z894:AC894" si="1784">C894-1000</f>
        <v>0</v>
      </c>
      <c r="AA894" s="132">
        <f t="shared" si="1784"/>
        <v>-1000</v>
      </c>
      <c r="AB894" s="132">
        <f t="shared" si="1784"/>
        <v>-1000</v>
      </c>
      <c r="AC894" s="132">
        <f t="shared" si="1784"/>
        <v>-1000</v>
      </c>
      <c r="AD894" s="132">
        <f t="shared" si="4"/>
        <v>-10000</v>
      </c>
      <c r="AE894" s="132">
        <f t="shared" ref="AE894:AS894" si="1785">H894-1000</f>
        <v>-1000</v>
      </c>
      <c r="AF894" s="132">
        <f t="shared" si="1785"/>
        <v>-1000</v>
      </c>
      <c r="AG894" s="132">
        <f t="shared" si="1785"/>
        <v>-1000</v>
      </c>
      <c r="AH894" s="132">
        <f t="shared" si="1785"/>
        <v>-1000</v>
      </c>
      <c r="AI894" s="132">
        <f t="shared" si="1785"/>
        <v>-1000</v>
      </c>
      <c r="AJ894" s="132">
        <f t="shared" si="1785"/>
        <v>-1000</v>
      </c>
      <c r="AK894" s="132">
        <f t="shared" si="1785"/>
        <v>-1000</v>
      </c>
      <c r="AL894" s="132">
        <f t="shared" si="1785"/>
        <v>-1000</v>
      </c>
      <c r="AM894" s="132">
        <f t="shared" si="1785"/>
        <v>-1000</v>
      </c>
      <c r="AN894" s="132">
        <f t="shared" si="1785"/>
        <v>-1000</v>
      </c>
      <c r="AO894" s="132">
        <f t="shared" si="1785"/>
        <v>-1000</v>
      </c>
      <c r="AP894" s="132">
        <f t="shared" si="1785"/>
        <v>-1000</v>
      </c>
      <c r="AQ894" s="132">
        <f t="shared" si="1785"/>
        <v>-1000</v>
      </c>
      <c r="AR894" s="132">
        <f t="shared" si="1785"/>
        <v>-1000</v>
      </c>
      <c r="AS894" s="132">
        <f t="shared" si="1785"/>
        <v>-1000</v>
      </c>
    </row>
    <row r="895">
      <c r="A895" s="132" t="s">
        <v>4397</v>
      </c>
      <c r="B895" s="132">
        <v>100.0</v>
      </c>
      <c r="C895" s="132">
        <v>100.0</v>
      </c>
      <c r="D895" s="132">
        <v>0.0</v>
      </c>
      <c r="E895" s="132">
        <v>0.0</v>
      </c>
      <c r="F895" s="132">
        <v>0.0</v>
      </c>
      <c r="G895" s="132">
        <v>0.0</v>
      </c>
      <c r="H895" s="132">
        <v>0.0</v>
      </c>
      <c r="I895" s="132">
        <v>0.0</v>
      </c>
      <c r="J895" s="132">
        <v>0.0</v>
      </c>
      <c r="K895" s="132">
        <v>0.0</v>
      </c>
      <c r="L895" s="132">
        <v>0.0</v>
      </c>
      <c r="M895" s="132">
        <v>0.0</v>
      </c>
      <c r="N895" s="132">
        <v>0.0</v>
      </c>
      <c r="O895" s="132">
        <v>0.0</v>
      </c>
      <c r="P895" s="132">
        <v>0.0</v>
      </c>
      <c r="Q895" s="132">
        <v>0.0</v>
      </c>
      <c r="R895" s="132">
        <v>0.0</v>
      </c>
      <c r="S895" s="132">
        <v>0.0</v>
      </c>
      <c r="T895" s="132">
        <v>0.0</v>
      </c>
      <c r="U895" s="132">
        <v>0.0</v>
      </c>
      <c r="V895" s="132">
        <v>0.0</v>
      </c>
      <c r="W895" s="132">
        <v>0.0</v>
      </c>
      <c r="Y895" s="132" t="s">
        <v>4397</v>
      </c>
      <c r="Z895" s="132">
        <f t="shared" ref="Z895:AC895" si="1786">C895-1000</f>
        <v>-900</v>
      </c>
      <c r="AA895" s="132">
        <f t="shared" si="1786"/>
        <v>-1000</v>
      </c>
      <c r="AB895" s="132">
        <f t="shared" si="1786"/>
        <v>-1000</v>
      </c>
      <c r="AC895" s="132">
        <f t="shared" si="1786"/>
        <v>-1000</v>
      </c>
      <c r="AD895" s="132">
        <f t="shared" si="4"/>
        <v>-10000</v>
      </c>
      <c r="AE895" s="132">
        <f t="shared" ref="AE895:AS895" si="1787">H895-1000</f>
        <v>-1000</v>
      </c>
      <c r="AF895" s="132">
        <f t="shared" si="1787"/>
        <v>-1000</v>
      </c>
      <c r="AG895" s="132">
        <f t="shared" si="1787"/>
        <v>-1000</v>
      </c>
      <c r="AH895" s="132">
        <f t="shared" si="1787"/>
        <v>-1000</v>
      </c>
      <c r="AI895" s="132">
        <f t="shared" si="1787"/>
        <v>-1000</v>
      </c>
      <c r="AJ895" s="132">
        <f t="shared" si="1787"/>
        <v>-1000</v>
      </c>
      <c r="AK895" s="132">
        <f t="shared" si="1787"/>
        <v>-1000</v>
      </c>
      <c r="AL895" s="132">
        <f t="shared" si="1787"/>
        <v>-1000</v>
      </c>
      <c r="AM895" s="132">
        <f t="shared" si="1787"/>
        <v>-1000</v>
      </c>
      <c r="AN895" s="132">
        <f t="shared" si="1787"/>
        <v>-1000</v>
      </c>
      <c r="AO895" s="132">
        <f t="shared" si="1787"/>
        <v>-1000</v>
      </c>
      <c r="AP895" s="132">
        <f t="shared" si="1787"/>
        <v>-1000</v>
      </c>
      <c r="AQ895" s="132">
        <f t="shared" si="1787"/>
        <v>-1000</v>
      </c>
      <c r="AR895" s="132">
        <f t="shared" si="1787"/>
        <v>-1000</v>
      </c>
      <c r="AS895" s="132">
        <f t="shared" si="1787"/>
        <v>-1000</v>
      </c>
    </row>
    <row r="896">
      <c r="A896" s="132" t="s">
        <v>4398</v>
      </c>
      <c r="B896" s="132">
        <v>500.0</v>
      </c>
      <c r="C896" s="132">
        <v>500.0</v>
      </c>
      <c r="D896" s="132">
        <v>0.0</v>
      </c>
      <c r="E896" s="132">
        <v>0.0</v>
      </c>
      <c r="F896" s="132">
        <v>0.0</v>
      </c>
      <c r="G896" s="132">
        <v>0.0</v>
      </c>
      <c r="H896" s="132">
        <v>0.0</v>
      </c>
      <c r="I896" s="132">
        <v>0.0</v>
      </c>
      <c r="J896" s="132">
        <v>0.0</v>
      </c>
      <c r="K896" s="132">
        <v>0.0</v>
      </c>
      <c r="L896" s="132">
        <v>0.0</v>
      </c>
      <c r="M896" s="132">
        <v>0.0</v>
      </c>
      <c r="N896" s="132">
        <v>0.0</v>
      </c>
      <c r="O896" s="132">
        <v>0.0</v>
      </c>
      <c r="P896" s="132">
        <v>0.0</v>
      </c>
      <c r="Q896" s="132">
        <v>0.0</v>
      </c>
      <c r="R896" s="132">
        <v>0.0</v>
      </c>
      <c r="S896" s="132">
        <v>0.0</v>
      </c>
      <c r="T896" s="132">
        <v>0.0</v>
      </c>
      <c r="U896" s="132">
        <v>0.0</v>
      </c>
      <c r="V896" s="132">
        <v>0.0</v>
      </c>
      <c r="W896" s="132">
        <v>0.0</v>
      </c>
      <c r="Y896" s="132" t="s">
        <v>4398</v>
      </c>
      <c r="Z896" s="132">
        <f t="shared" ref="Z896:AC896" si="1788">C896-1000</f>
        <v>-500</v>
      </c>
      <c r="AA896" s="132">
        <f t="shared" si="1788"/>
        <v>-1000</v>
      </c>
      <c r="AB896" s="132">
        <f t="shared" si="1788"/>
        <v>-1000</v>
      </c>
      <c r="AC896" s="132">
        <f t="shared" si="1788"/>
        <v>-1000</v>
      </c>
      <c r="AD896" s="132">
        <f t="shared" si="4"/>
        <v>-10000</v>
      </c>
      <c r="AE896" s="132">
        <f t="shared" ref="AE896:AS896" si="1789">H896-1000</f>
        <v>-1000</v>
      </c>
      <c r="AF896" s="132">
        <f t="shared" si="1789"/>
        <v>-1000</v>
      </c>
      <c r="AG896" s="132">
        <f t="shared" si="1789"/>
        <v>-1000</v>
      </c>
      <c r="AH896" s="132">
        <f t="shared" si="1789"/>
        <v>-1000</v>
      </c>
      <c r="AI896" s="132">
        <f t="shared" si="1789"/>
        <v>-1000</v>
      </c>
      <c r="AJ896" s="132">
        <f t="shared" si="1789"/>
        <v>-1000</v>
      </c>
      <c r="AK896" s="132">
        <f t="shared" si="1789"/>
        <v>-1000</v>
      </c>
      <c r="AL896" s="132">
        <f t="shared" si="1789"/>
        <v>-1000</v>
      </c>
      <c r="AM896" s="132">
        <f t="shared" si="1789"/>
        <v>-1000</v>
      </c>
      <c r="AN896" s="132">
        <f t="shared" si="1789"/>
        <v>-1000</v>
      </c>
      <c r="AO896" s="132">
        <f t="shared" si="1789"/>
        <v>-1000</v>
      </c>
      <c r="AP896" s="132">
        <f t="shared" si="1789"/>
        <v>-1000</v>
      </c>
      <c r="AQ896" s="132">
        <f t="shared" si="1789"/>
        <v>-1000</v>
      </c>
      <c r="AR896" s="132">
        <f t="shared" si="1789"/>
        <v>-1000</v>
      </c>
      <c r="AS896" s="132">
        <f t="shared" si="1789"/>
        <v>-1000</v>
      </c>
    </row>
    <row r="897">
      <c r="A897" s="132" t="s">
        <v>4399</v>
      </c>
      <c r="B897" s="132">
        <v>1000.0</v>
      </c>
      <c r="C897" s="132">
        <v>1000.0</v>
      </c>
      <c r="D897" s="132">
        <v>0.0</v>
      </c>
      <c r="E897" s="132">
        <v>0.0</v>
      </c>
      <c r="F897" s="132">
        <v>0.0</v>
      </c>
      <c r="G897" s="132">
        <v>0.0</v>
      </c>
      <c r="H897" s="132">
        <v>0.0</v>
      </c>
      <c r="I897" s="132">
        <v>0.0</v>
      </c>
      <c r="J897" s="132">
        <v>0.0</v>
      </c>
      <c r="K897" s="132">
        <v>0.0</v>
      </c>
      <c r="L897" s="132">
        <v>0.0</v>
      </c>
      <c r="M897" s="132">
        <v>0.0</v>
      </c>
      <c r="N897" s="132">
        <v>0.0</v>
      </c>
      <c r="O897" s="132">
        <v>0.0</v>
      </c>
      <c r="P897" s="132">
        <v>0.0</v>
      </c>
      <c r="Q897" s="132">
        <v>0.0</v>
      </c>
      <c r="R897" s="132">
        <v>0.0</v>
      </c>
      <c r="S897" s="132">
        <v>0.0</v>
      </c>
      <c r="T897" s="132">
        <v>0.0</v>
      </c>
      <c r="U897" s="132">
        <v>0.0</v>
      </c>
      <c r="V897" s="132">
        <v>0.0</v>
      </c>
      <c r="W897" s="132">
        <v>0.0</v>
      </c>
      <c r="Y897" s="132" t="s">
        <v>4399</v>
      </c>
      <c r="Z897" s="132">
        <f t="shared" ref="Z897:AC897" si="1790">C897-1000</f>
        <v>0</v>
      </c>
      <c r="AA897" s="132">
        <f t="shared" si="1790"/>
        <v>-1000</v>
      </c>
      <c r="AB897" s="132">
        <f t="shared" si="1790"/>
        <v>-1000</v>
      </c>
      <c r="AC897" s="132">
        <f t="shared" si="1790"/>
        <v>-1000</v>
      </c>
      <c r="AD897" s="132">
        <f t="shared" si="4"/>
        <v>-10000</v>
      </c>
      <c r="AE897" s="132">
        <f t="shared" ref="AE897:AS897" si="1791">H897-1000</f>
        <v>-1000</v>
      </c>
      <c r="AF897" s="132">
        <f t="shared" si="1791"/>
        <v>-1000</v>
      </c>
      <c r="AG897" s="132">
        <f t="shared" si="1791"/>
        <v>-1000</v>
      </c>
      <c r="AH897" s="132">
        <f t="shared" si="1791"/>
        <v>-1000</v>
      </c>
      <c r="AI897" s="132">
        <f t="shared" si="1791"/>
        <v>-1000</v>
      </c>
      <c r="AJ897" s="132">
        <f t="shared" si="1791"/>
        <v>-1000</v>
      </c>
      <c r="AK897" s="132">
        <f t="shared" si="1791"/>
        <v>-1000</v>
      </c>
      <c r="AL897" s="132">
        <f t="shared" si="1791"/>
        <v>-1000</v>
      </c>
      <c r="AM897" s="132">
        <f t="shared" si="1791"/>
        <v>-1000</v>
      </c>
      <c r="AN897" s="132">
        <f t="shared" si="1791"/>
        <v>-1000</v>
      </c>
      <c r="AO897" s="132">
        <f t="shared" si="1791"/>
        <v>-1000</v>
      </c>
      <c r="AP897" s="132">
        <f t="shared" si="1791"/>
        <v>-1000</v>
      </c>
      <c r="AQ897" s="132">
        <f t="shared" si="1791"/>
        <v>-1000</v>
      </c>
      <c r="AR897" s="132">
        <f t="shared" si="1791"/>
        <v>-1000</v>
      </c>
      <c r="AS897" s="132">
        <f t="shared" si="1791"/>
        <v>-1000</v>
      </c>
    </row>
    <row r="898">
      <c r="A898" s="132" t="s">
        <v>4400</v>
      </c>
      <c r="B898" s="132">
        <v>200.0</v>
      </c>
      <c r="C898" s="132">
        <v>200.0</v>
      </c>
      <c r="D898" s="132">
        <v>0.0</v>
      </c>
      <c r="E898" s="132">
        <v>0.0</v>
      </c>
      <c r="F898" s="132">
        <v>0.0</v>
      </c>
      <c r="G898" s="132">
        <v>0.0</v>
      </c>
      <c r="H898" s="132">
        <v>0.0</v>
      </c>
      <c r="I898" s="132">
        <v>0.0</v>
      </c>
      <c r="J898" s="132">
        <v>0.0</v>
      </c>
      <c r="K898" s="132">
        <v>0.0</v>
      </c>
      <c r="L898" s="132">
        <v>0.0</v>
      </c>
      <c r="M898" s="132">
        <v>0.0</v>
      </c>
      <c r="N898" s="132">
        <v>0.0</v>
      </c>
      <c r="O898" s="132">
        <v>0.0</v>
      </c>
      <c r="P898" s="132">
        <v>0.0</v>
      </c>
      <c r="Q898" s="132">
        <v>0.0</v>
      </c>
      <c r="R898" s="132">
        <v>0.0</v>
      </c>
      <c r="S898" s="132">
        <v>0.0</v>
      </c>
      <c r="T898" s="132">
        <v>0.0</v>
      </c>
      <c r="U898" s="132">
        <v>0.0</v>
      </c>
      <c r="V898" s="132">
        <v>0.0</v>
      </c>
      <c r="W898" s="132">
        <v>0.0</v>
      </c>
      <c r="Y898" s="132" t="s">
        <v>4400</v>
      </c>
      <c r="Z898" s="132">
        <f t="shared" ref="Z898:AC898" si="1792">C898-1000</f>
        <v>-800</v>
      </c>
      <c r="AA898" s="132">
        <f t="shared" si="1792"/>
        <v>-1000</v>
      </c>
      <c r="AB898" s="132">
        <f t="shared" si="1792"/>
        <v>-1000</v>
      </c>
      <c r="AC898" s="132">
        <f t="shared" si="1792"/>
        <v>-1000</v>
      </c>
      <c r="AD898" s="132">
        <f t="shared" si="4"/>
        <v>-10000</v>
      </c>
      <c r="AE898" s="132">
        <f t="shared" ref="AE898:AS898" si="1793">H898-1000</f>
        <v>-1000</v>
      </c>
      <c r="AF898" s="132">
        <f t="shared" si="1793"/>
        <v>-1000</v>
      </c>
      <c r="AG898" s="132">
        <f t="shared" si="1793"/>
        <v>-1000</v>
      </c>
      <c r="AH898" s="132">
        <f t="shared" si="1793"/>
        <v>-1000</v>
      </c>
      <c r="AI898" s="132">
        <f t="shared" si="1793"/>
        <v>-1000</v>
      </c>
      <c r="AJ898" s="132">
        <f t="shared" si="1793"/>
        <v>-1000</v>
      </c>
      <c r="AK898" s="132">
        <f t="shared" si="1793"/>
        <v>-1000</v>
      </c>
      <c r="AL898" s="132">
        <f t="shared" si="1793"/>
        <v>-1000</v>
      </c>
      <c r="AM898" s="132">
        <f t="shared" si="1793"/>
        <v>-1000</v>
      </c>
      <c r="AN898" s="132">
        <f t="shared" si="1793"/>
        <v>-1000</v>
      </c>
      <c r="AO898" s="132">
        <f t="shared" si="1793"/>
        <v>-1000</v>
      </c>
      <c r="AP898" s="132">
        <f t="shared" si="1793"/>
        <v>-1000</v>
      </c>
      <c r="AQ898" s="132">
        <f t="shared" si="1793"/>
        <v>-1000</v>
      </c>
      <c r="AR898" s="132">
        <f t="shared" si="1793"/>
        <v>-1000</v>
      </c>
      <c r="AS898" s="132">
        <f t="shared" si="1793"/>
        <v>-1000</v>
      </c>
    </row>
    <row r="899">
      <c r="A899" s="132" t="s">
        <v>4401</v>
      </c>
      <c r="B899" s="132">
        <v>1000.0</v>
      </c>
      <c r="C899" s="132">
        <v>1000.0</v>
      </c>
      <c r="D899" s="132">
        <v>0.0</v>
      </c>
      <c r="E899" s="132">
        <v>0.0</v>
      </c>
      <c r="F899" s="132">
        <v>0.0</v>
      </c>
      <c r="G899" s="132">
        <v>0.0</v>
      </c>
      <c r="H899" s="132">
        <v>0.0</v>
      </c>
      <c r="I899" s="132">
        <v>0.0</v>
      </c>
      <c r="J899" s="132">
        <v>0.0</v>
      </c>
      <c r="K899" s="132">
        <v>0.0</v>
      </c>
      <c r="L899" s="132">
        <v>0.0</v>
      </c>
      <c r="M899" s="132">
        <v>0.0</v>
      </c>
      <c r="N899" s="132">
        <v>0.0</v>
      </c>
      <c r="O899" s="132">
        <v>0.0</v>
      </c>
      <c r="P899" s="132">
        <v>0.0</v>
      </c>
      <c r="Q899" s="132">
        <v>0.0</v>
      </c>
      <c r="R899" s="132">
        <v>0.0</v>
      </c>
      <c r="S899" s="132">
        <v>0.0</v>
      </c>
      <c r="T899" s="132">
        <v>0.0</v>
      </c>
      <c r="U899" s="132">
        <v>0.0</v>
      </c>
      <c r="V899" s="132">
        <v>0.0</v>
      </c>
      <c r="W899" s="132">
        <v>0.0</v>
      </c>
      <c r="Y899" s="132" t="s">
        <v>4401</v>
      </c>
      <c r="Z899" s="132">
        <f t="shared" ref="Z899:AC899" si="1794">C899-1000</f>
        <v>0</v>
      </c>
      <c r="AA899" s="132">
        <f t="shared" si="1794"/>
        <v>-1000</v>
      </c>
      <c r="AB899" s="132">
        <f t="shared" si="1794"/>
        <v>-1000</v>
      </c>
      <c r="AC899" s="132">
        <f t="shared" si="1794"/>
        <v>-1000</v>
      </c>
      <c r="AD899" s="132">
        <f t="shared" si="4"/>
        <v>-10000</v>
      </c>
      <c r="AE899" s="132">
        <f t="shared" ref="AE899:AS899" si="1795">H899-1000</f>
        <v>-1000</v>
      </c>
      <c r="AF899" s="132">
        <f t="shared" si="1795"/>
        <v>-1000</v>
      </c>
      <c r="AG899" s="132">
        <f t="shared" si="1795"/>
        <v>-1000</v>
      </c>
      <c r="AH899" s="132">
        <f t="shared" si="1795"/>
        <v>-1000</v>
      </c>
      <c r="AI899" s="132">
        <f t="shared" si="1795"/>
        <v>-1000</v>
      </c>
      <c r="AJ899" s="132">
        <f t="shared" si="1795"/>
        <v>-1000</v>
      </c>
      <c r="AK899" s="132">
        <f t="shared" si="1795"/>
        <v>-1000</v>
      </c>
      <c r="AL899" s="132">
        <f t="shared" si="1795"/>
        <v>-1000</v>
      </c>
      <c r="AM899" s="132">
        <f t="shared" si="1795"/>
        <v>-1000</v>
      </c>
      <c r="AN899" s="132">
        <f t="shared" si="1795"/>
        <v>-1000</v>
      </c>
      <c r="AO899" s="132">
        <f t="shared" si="1795"/>
        <v>-1000</v>
      </c>
      <c r="AP899" s="132">
        <f t="shared" si="1795"/>
        <v>-1000</v>
      </c>
      <c r="AQ899" s="132">
        <f t="shared" si="1795"/>
        <v>-1000</v>
      </c>
      <c r="AR899" s="132">
        <f t="shared" si="1795"/>
        <v>-1000</v>
      </c>
      <c r="AS899" s="132">
        <f t="shared" si="1795"/>
        <v>-1000</v>
      </c>
    </row>
    <row r="900">
      <c r="A900" s="132" t="s">
        <v>4402</v>
      </c>
      <c r="B900" s="132">
        <v>500.0</v>
      </c>
      <c r="C900" s="132">
        <v>500.0</v>
      </c>
      <c r="D900" s="132">
        <v>0.0</v>
      </c>
      <c r="E900" s="132">
        <v>0.0</v>
      </c>
      <c r="F900" s="132">
        <v>0.0</v>
      </c>
      <c r="G900" s="132">
        <v>0.0</v>
      </c>
      <c r="H900" s="132">
        <v>0.0</v>
      </c>
      <c r="I900" s="132">
        <v>0.0</v>
      </c>
      <c r="J900" s="132">
        <v>0.0</v>
      </c>
      <c r="K900" s="132">
        <v>0.0</v>
      </c>
      <c r="L900" s="132">
        <v>0.0</v>
      </c>
      <c r="M900" s="132">
        <v>0.0</v>
      </c>
      <c r="N900" s="132">
        <v>0.0</v>
      </c>
      <c r="O900" s="132">
        <v>0.0</v>
      </c>
      <c r="P900" s="132">
        <v>0.0</v>
      </c>
      <c r="Q900" s="132">
        <v>0.0</v>
      </c>
      <c r="R900" s="132">
        <v>0.0</v>
      </c>
      <c r="S900" s="132">
        <v>0.0</v>
      </c>
      <c r="T900" s="132">
        <v>0.0</v>
      </c>
      <c r="U900" s="132">
        <v>0.0</v>
      </c>
      <c r="V900" s="132">
        <v>0.0</v>
      </c>
      <c r="W900" s="132">
        <v>0.0</v>
      </c>
      <c r="Y900" s="132" t="s">
        <v>4402</v>
      </c>
      <c r="Z900" s="132">
        <f t="shared" ref="Z900:AC900" si="1796">C900-1000</f>
        <v>-500</v>
      </c>
      <c r="AA900" s="132">
        <f t="shared" si="1796"/>
        <v>-1000</v>
      </c>
      <c r="AB900" s="132">
        <f t="shared" si="1796"/>
        <v>-1000</v>
      </c>
      <c r="AC900" s="132">
        <f t="shared" si="1796"/>
        <v>-1000</v>
      </c>
      <c r="AD900" s="132">
        <f t="shared" si="4"/>
        <v>-10000</v>
      </c>
      <c r="AE900" s="132">
        <f t="shared" ref="AE900:AS900" si="1797">H900-1000</f>
        <v>-1000</v>
      </c>
      <c r="AF900" s="132">
        <f t="shared" si="1797"/>
        <v>-1000</v>
      </c>
      <c r="AG900" s="132">
        <f t="shared" si="1797"/>
        <v>-1000</v>
      </c>
      <c r="AH900" s="132">
        <f t="shared" si="1797"/>
        <v>-1000</v>
      </c>
      <c r="AI900" s="132">
        <f t="shared" si="1797"/>
        <v>-1000</v>
      </c>
      <c r="AJ900" s="132">
        <f t="shared" si="1797"/>
        <v>-1000</v>
      </c>
      <c r="AK900" s="132">
        <f t="shared" si="1797"/>
        <v>-1000</v>
      </c>
      <c r="AL900" s="132">
        <f t="shared" si="1797"/>
        <v>-1000</v>
      </c>
      <c r="AM900" s="132">
        <f t="shared" si="1797"/>
        <v>-1000</v>
      </c>
      <c r="AN900" s="132">
        <f t="shared" si="1797"/>
        <v>-1000</v>
      </c>
      <c r="AO900" s="132">
        <f t="shared" si="1797"/>
        <v>-1000</v>
      </c>
      <c r="AP900" s="132">
        <f t="shared" si="1797"/>
        <v>-1000</v>
      </c>
      <c r="AQ900" s="132">
        <f t="shared" si="1797"/>
        <v>-1000</v>
      </c>
      <c r="AR900" s="132">
        <f t="shared" si="1797"/>
        <v>-1000</v>
      </c>
      <c r="AS900" s="132">
        <f t="shared" si="1797"/>
        <v>-1000</v>
      </c>
    </row>
    <row r="901">
      <c r="A901" s="132" t="s">
        <v>4403</v>
      </c>
      <c r="B901" s="132">
        <v>100.0</v>
      </c>
      <c r="C901" s="132">
        <v>100.0</v>
      </c>
      <c r="D901" s="132">
        <v>0.0</v>
      </c>
      <c r="E901" s="132">
        <v>0.0</v>
      </c>
      <c r="F901" s="132">
        <v>0.0</v>
      </c>
      <c r="G901" s="132">
        <v>0.0</v>
      </c>
      <c r="H901" s="132">
        <v>0.0</v>
      </c>
      <c r="I901" s="132">
        <v>0.0</v>
      </c>
      <c r="J901" s="132">
        <v>0.0</v>
      </c>
      <c r="K901" s="132">
        <v>0.0</v>
      </c>
      <c r="L901" s="132">
        <v>0.0</v>
      </c>
      <c r="M901" s="132">
        <v>0.0</v>
      </c>
      <c r="N901" s="132">
        <v>0.0</v>
      </c>
      <c r="O901" s="132">
        <v>0.0</v>
      </c>
      <c r="P901" s="132">
        <v>0.0</v>
      </c>
      <c r="Q901" s="132">
        <v>0.0</v>
      </c>
      <c r="R901" s="132">
        <v>0.0</v>
      </c>
      <c r="S901" s="132">
        <v>0.0</v>
      </c>
      <c r="T901" s="132">
        <v>0.0</v>
      </c>
      <c r="U901" s="132">
        <v>0.0</v>
      </c>
      <c r="V901" s="132">
        <v>0.0</v>
      </c>
      <c r="W901" s="132">
        <v>0.0</v>
      </c>
      <c r="Y901" s="132" t="s">
        <v>4403</v>
      </c>
      <c r="Z901" s="132">
        <f t="shared" ref="Z901:AC901" si="1798">C901-1000</f>
        <v>-900</v>
      </c>
      <c r="AA901" s="132">
        <f t="shared" si="1798"/>
        <v>-1000</v>
      </c>
      <c r="AB901" s="132">
        <f t="shared" si="1798"/>
        <v>-1000</v>
      </c>
      <c r="AC901" s="132">
        <f t="shared" si="1798"/>
        <v>-1000</v>
      </c>
      <c r="AD901" s="132">
        <f t="shared" si="4"/>
        <v>-10000</v>
      </c>
      <c r="AE901" s="132">
        <f t="shared" ref="AE901:AS901" si="1799">H901-1000</f>
        <v>-1000</v>
      </c>
      <c r="AF901" s="132">
        <f t="shared" si="1799"/>
        <v>-1000</v>
      </c>
      <c r="AG901" s="132">
        <f t="shared" si="1799"/>
        <v>-1000</v>
      </c>
      <c r="AH901" s="132">
        <f t="shared" si="1799"/>
        <v>-1000</v>
      </c>
      <c r="AI901" s="132">
        <f t="shared" si="1799"/>
        <v>-1000</v>
      </c>
      <c r="AJ901" s="132">
        <f t="shared" si="1799"/>
        <v>-1000</v>
      </c>
      <c r="AK901" s="132">
        <f t="shared" si="1799"/>
        <v>-1000</v>
      </c>
      <c r="AL901" s="132">
        <f t="shared" si="1799"/>
        <v>-1000</v>
      </c>
      <c r="AM901" s="132">
        <f t="shared" si="1799"/>
        <v>-1000</v>
      </c>
      <c r="AN901" s="132">
        <f t="shared" si="1799"/>
        <v>-1000</v>
      </c>
      <c r="AO901" s="132">
        <f t="shared" si="1799"/>
        <v>-1000</v>
      </c>
      <c r="AP901" s="132">
        <f t="shared" si="1799"/>
        <v>-1000</v>
      </c>
      <c r="AQ901" s="132">
        <f t="shared" si="1799"/>
        <v>-1000</v>
      </c>
      <c r="AR901" s="132">
        <f t="shared" si="1799"/>
        <v>-1000</v>
      </c>
      <c r="AS901" s="132">
        <f t="shared" si="1799"/>
        <v>-1000</v>
      </c>
    </row>
    <row r="902">
      <c r="A902" s="132" t="s">
        <v>4404</v>
      </c>
      <c r="B902" s="132">
        <v>50.0</v>
      </c>
      <c r="C902" s="132">
        <v>50.0</v>
      </c>
      <c r="D902" s="132">
        <v>0.0</v>
      </c>
      <c r="E902" s="132">
        <v>0.0</v>
      </c>
      <c r="F902" s="132">
        <v>0.0</v>
      </c>
      <c r="G902" s="132">
        <v>0.0</v>
      </c>
      <c r="H902" s="132">
        <v>0.0</v>
      </c>
      <c r="I902" s="132">
        <v>0.0</v>
      </c>
      <c r="J902" s="132">
        <v>0.0</v>
      </c>
      <c r="K902" s="132">
        <v>0.0</v>
      </c>
      <c r="L902" s="132">
        <v>0.0</v>
      </c>
      <c r="M902" s="132">
        <v>0.0</v>
      </c>
      <c r="N902" s="132">
        <v>0.0</v>
      </c>
      <c r="O902" s="132">
        <v>0.0</v>
      </c>
      <c r="P902" s="132">
        <v>0.0</v>
      </c>
      <c r="Q902" s="132">
        <v>0.0</v>
      </c>
      <c r="R902" s="132">
        <v>0.0</v>
      </c>
      <c r="S902" s="132">
        <v>0.0</v>
      </c>
      <c r="T902" s="132">
        <v>0.0</v>
      </c>
      <c r="U902" s="132">
        <v>0.0</v>
      </c>
      <c r="V902" s="132">
        <v>0.0</v>
      </c>
      <c r="W902" s="132">
        <v>0.0</v>
      </c>
      <c r="Y902" s="132" t="s">
        <v>4404</v>
      </c>
      <c r="Z902" s="132">
        <f t="shared" ref="Z902:AC902" si="1800">C902-1000</f>
        <v>-950</v>
      </c>
      <c r="AA902" s="132">
        <f t="shared" si="1800"/>
        <v>-1000</v>
      </c>
      <c r="AB902" s="132">
        <f t="shared" si="1800"/>
        <v>-1000</v>
      </c>
      <c r="AC902" s="132">
        <f t="shared" si="1800"/>
        <v>-1000</v>
      </c>
      <c r="AD902" s="132">
        <f t="shared" si="4"/>
        <v>-10000</v>
      </c>
      <c r="AE902" s="132">
        <f t="shared" ref="AE902:AS902" si="1801">H902-1000</f>
        <v>-1000</v>
      </c>
      <c r="AF902" s="132">
        <f t="shared" si="1801"/>
        <v>-1000</v>
      </c>
      <c r="AG902" s="132">
        <f t="shared" si="1801"/>
        <v>-1000</v>
      </c>
      <c r="AH902" s="132">
        <f t="shared" si="1801"/>
        <v>-1000</v>
      </c>
      <c r="AI902" s="132">
        <f t="shared" si="1801"/>
        <v>-1000</v>
      </c>
      <c r="AJ902" s="132">
        <f t="shared" si="1801"/>
        <v>-1000</v>
      </c>
      <c r="AK902" s="132">
        <f t="shared" si="1801"/>
        <v>-1000</v>
      </c>
      <c r="AL902" s="132">
        <f t="shared" si="1801"/>
        <v>-1000</v>
      </c>
      <c r="AM902" s="132">
        <f t="shared" si="1801"/>
        <v>-1000</v>
      </c>
      <c r="AN902" s="132">
        <f t="shared" si="1801"/>
        <v>-1000</v>
      </c>
      <c r="AO902" s="132">
        <f t="shared" si="1801"/>
        <v>-1000</v>
      </c>
      <c r="AP902" s="132">
        <f t="shared" si="1801"/>
        <v>-1000</v>
      </c>
      <c r="AQ902" s="132">
        <f t="shared" si="1801"/>
        <v>-1000</v>
      </c>
      <c r="AR902" s="132">
        <f t="shared" si="1801"/>
        <v>-1000</v>
      </c>
      <c r="AS902" s="132">
        <f t="shared" si="1801"/>
        <v>-1000</v>
      </c>
    </row>
    <row r="903">
      <c r="A903" s="132" t="s">
        <v>4405</v>
      </c>
      <c r="B903" s="132">
        <v>100.0</v>
      </c>
      <c r="C903" s="132">
        <v>100.0</v>
      </c>
      <c r="D903" s="132">
        <v>0.0</v>
      </c>
      <c r="E903" s="132">
        <v>0.0</v>
      </c>
      <c r="F903" s="132">
        <v>0.0</v>
      </c>
      <c r="G903" s="132">
        <v>0.0</v>
      </c>
      <c r="H903" s="132">
        <v>0.0</v>
      </c>
      <c r="I903" s="132">
        <v>0.0</v>
      </c>
      <c r="J903" s="132">
        <v>0.0</v>
      </c>
      <c r="K903" s="132">
        <v>0.0</v>
      </c>
      <c r="L903" s="132">
        <v>0.0</v>
      </c>
      <c r="M903" s="132">
        <v>0.0</v>
      </c>
      <c r="N903" s="132">
        <v>0.0</v>
      </c>
      <c r="O903" s="132">
        <v>0.0</v>
      </c>
      <c r="P903" s="132">
        <v>0.0</v>
      </c>
      <c r="Q903" s="132">
        <v>0.0</v>
      </c>
      <c r="R903" s="132">
        <v>0.0</v>
      </c>
      <c r="S903" s="132">
        <v>0.0</v>
      </c>
      <c r="T903" s="132">
        <v>0.0</v>
      </c>
      <c r="U903" s="132">
        <v>0.0</v>
      </c>
      <c r="V903" s="132">
        <v>0.0</v>
      </c>
      <c r="W903" s="132">
        <v>0.0</v>
      </c>
      <c r="Y903" s="132" t="s">
        <v>4405</v>
      </c>
      <c r="Z903" s="132">
        <f t="shared" ref="Z903:AC903" si="1802">C903-1000</f>
        <v>-900</v>
      </c>
      <c r="AA903" s="132">
        <f t="shared" si="1802"/>
        <v>-1000</v>
      </c>
      <c r="AB903" s="132">
        <f t="shared" si="1802"/>
        <v>-1000</v>
      </c>
      <c r="AC903" s="132">
        <f t="shared" si="1802"/>
        <v>-1000</v>
      </c>
      <c r="AD903" s="132">
        <f t="shared" si="4"/>
        <v>-10000</v>
      </c>
      <c r="AE903" s="132">
        <f t="shared" ref="AE903:AS903" si="1803">H903-1000</f>
        <v>-1000</v>
      </c>
      <c r="AF903" s="132">
        <f t="shared" si="1803"/>
        <v>-1000</v>
      </c>
      <c r="AG903" s="132">
        <f t="shared" si="1803"/>
        <v>-1000</v>
      </c>
      <c r="AH903" s="132">
        <f t="shared" si="1803"/>
        <v>-1000</v>
      </c>
      <c r="AI903" s="132">
        <f t="shared" si="1803"/>
        <v>-1000</v>
      </c>
      <c r="AJ903" s="132">
        <f t="shared" si="1803"/>
        <v>-1000</v>
      </c>
      <c r="AK903" s="132">
        <f t="shared" si="1803"/>
        <v>-1000</v>
      </c>
      <c r="AL903" s="132">
        <f t="shared" si="1803"/>
        <v>-1000</v>
      </c>
      <c r="AM903" s="132">
        <f t="shared" si="1803"/>
        <v>-1000</v>
      </c>
      <c r="AN903" s="132">
        <f t="shared" si="1803"/>
        <v>-1000</v>
      </c>
      <c r="AO903" s="132">
        <f t="shared" si="1803"/>
        <v>-1000</v>
      </c>
      <c r="AP903" s="132">
        <f t="shared" si="1803"/>
        <v>-1000</v>
      </c>
      <c r="AQ903" s="132">
        <f t="shared" si="1803"/>
        <v>-1000</v>
      </c>
      <c r="AR903" s="132">
        <f t="shared" si="1803"/>
        <v>-1000</v>
      </c>
      <c r="AS903" s="132">
        <f t="shared" si="1803"/>
        <v>-1000</v>
      </c>
    </row>
    <row r="904">
      <c r="A904" s="132" t="s">
        <v>4406</v>
      </c>
      <c r="B904" s="132">
        <v>100.0</v>
      </c>
      <c r="C904" s="132">
        <v>100.0</v>
      </c>
      <c r="D904" s="132">
        <v>0.0</v>
      </c>
      <c r="E904" s="132">
        <v>0.0</v>
      </c>
      <c r="F904" s="132">
        <v>0.0</v>
      </c>
      <c r="G904" s="132">
        <v>0.0</v>
      </c>
      <c r="H904" s="132">
        <v>0.0</v>
      </c>
      <c r="I904" s="132">
        <v>0.0</v>
      </c>
      <c r="J904" s="132">
        <v>0.0</v>
      </c>
      <c r="K904" s="132">
        <v>0.0</v>
      </c>
      <c r="L904" s="132">
        <v>0.0</v>
      </c>
      <c r="M904" s="132">
        <v>0.0</v>
      </c>
      <c r="N904" s="132">
        <v>0.0</v>
      </c>
      <c r="O904" s="132">
        <v>0.0</v>
      </c>
      <c r="P904" s="132">
        <v>0.0</v>
      </c>
      <c r="Q904" s="132">
        <v>0.0</v>
      </c>
      <c r="R904" s="132">
        <v>0.0</v>
      </c>
      <c r="S904" s="132">
        <v>0.0</v>
      </c>
      <c r="T904" s="132">
        <v>0.0</v>
      </c>
      <c r="U904" s="132">
        <v>0.0</v>
      </c>
      <c r="V904" s="132">
        <v>0.0</v>
      </c>
      <c r="W904" s="132">
        <v>0.0</v>
      </c>
      <c r="Y904" s="132" t="s">
        <v>4406</v>
      </c>
      <c r="Z904" s="132">
        <f t="shared" ref="Z904:AC904" si="1804">C904-1000</f>
        <v>-900</v>
      </c>
      <c r="AA904" s="132">
        <f t="shared" si="1804"/>
        <v>-1000</v>
      </c>
      <c r="AB904" s="132">
        <f t="shared" si="1804"/>
        <v>-1000</v>
      </c>
      <c r="AC904" s="132">
        <f t="shared" si="1804"/>
        <v>-1000</v>
      </c>
      <c r="AD904" s="132">
        <f t="shared" si="4"/>
        <v>-10000</v>
      </c>
      <c r="AE904" s="132">
        <f t="shared" ref="AE904:AS904" si="1805">H904-1000</f>
        <v>-1000</v>
      </c>
      <c r="AF904" s="132">
        <f t="shared" si="1805"/>
        <v>-1000</v>
      </c>
      <c r="AG904" s="132">
        <f t="shared" si="1805"/>
        <v>-1000</v>
      </c>
      <c r="AH904" s="132">
        <f t="shared" si="1805"/>
        <v>-1000</v>
      </c>
      <c r="AI904" s="132">
        <f t="shared" si="1805"/>
        <v>-1000</v>
      </c>
      <c r="AJ904" s="132">
        <f t="shared" si="1805"/>
        <v>-1000</v>
      </c>
      <c r="AK904" s="132">
        <f t="shared" si="1805"/>
        <v>-1000</v>
      </c>
      <c r="AL904" s="132">
        <f t="shared" si="1805"/>
        <v>-1000</v>
      </c>
      <c r="AM904" s="132">
        <f t="shared" si="1805"/>
        <v>-1000</v>
      </c>
      <c r="AN904" s="132">
        <f t="shared" si="1805"/>
        <v>-1000</v>
      </c>
      <c r="AO904" s="132">
        <f t="shared" si="1805"/>
        <v>-1000</v>
      </c>
      <c r="AP904" s="132">
        <f t="shared" si="1805"/>
        <v>-1000</v>
      </c>
      <c r="AQ904" s="132">
        <f t="shared" si="1805"/>
        <v>-1000</v>
      </c>
      <c r="AR904" s="132">
        <f t="shared" si="1805"/>
        <v>-1000</v>
      </c>
      <c r="AS904" s="132">
        <f t="shared" si="1805"/>
        <v>-1000</v>
      </c>
    </row>
    <row r="905">
      <c r="A905" s="132" t="s">
        <v>4407</v>
      </c>
      <c r="B905" s="132">
        <v>237.2</v>
      </c>
      <c r="C905" s="132">
        <v>237.2</v>
      </c>
      <c r="D905" s="132">
        <v>0.0</v>
      </c>
      <c r="E905" s="132">
        <v>0.0</v>
      </c>
      <c r="F905" s="132">
        <v>0.0</v>
      </c>
      <c r="G905" s="132">
        <v>0.0</v>
      </c>
      <c r="H905" s="132">
        <v>0.0</v>
      </c>
      <c r="I905" s="132">
        <v>0.0</v>
      </c>
      <c r="J905" s="132">
        <v>0.0</v>
      </c>
      <c r="K905" s="132">
        <v>0.0</v>
      </c>
      <c r="L905" s="132">
        <v>0.0</v>
      </c>
      <c r="M905" s="132">
        <v>0.0</v>
      </c>
      <c r="N905" s="132">
        <v>0.0</v>
      </c>
      <c r="O905" s="132">
        <v>0.0</v>
      </c>
      <c r="P905" s="132">
        <v>0.0</v>
      </c>
      <c r="Q905" s="132">
        <v>0.0</v>
      </c>
      <c r="R905" s="132">
        <v>0.0</v>
      </c>
      <c r="S905" s="132">
        <v>0.0</v>
      </c>
      <c r="T905" s="132">
        <v>0.0</v>
      </c>
      <c r="U905" s="132">
        <v>0.0</v>
      </c>
      <c r="V905" s="132">
        <v>0.0</v>
      </c>
      <c r="W905" s="132">
        <v>0.0</v>
      </c>
      <c r="Y905" s="132" t="s">
        <v>4407</v>
      </c>
      <c r="Z905" s="132">
        <f t="shared" ref="Z905:AC905" si="1806">C905-1000</f>
        <v>-762.8</v>
      </c>
      <c r="AA905" s="132">
        <f t="shared" si="1806"/>
        <v>-1000</v>
      </c>
      <c r="AB905" s="132">
        <f t="shared" si="1806"/>
        <v>-1000</v>
      </c>
      <c r="AC905" s="132">
        <f t="shared" si="1806"/>
        <v>-1000</v>
      </c>
      <c r="AD905" s="132">
        <f t="shared" si="4"/>
        <v>-10000</v>
      </c>
      <c r="AE905" s="132">
        <f t="shared" ref="AE905:AS905" si="1807">H905-1000</f>
        <v>-1000</v>
      </c>
      <c r="AF905" s="132">
        <f t="shared" si="1807"/>
        <v>-1000</v>
      </c>
      <c r="AG905" s="132">
        <f t="shared" si="1807"/>
        <v>-1000</v>
      </c>
      <c r="AH905" s="132">
        <f t="shared" si="1807"/>
        <v>-1000</v>
      </c>
      <c r="AI905" s="132">
        <f t="shared" si="1807"/>
        <v>-1000</v>
      </c>
      <c r="AJ905" s="132">
        <f t="shared" si="1807"/>
        <v>-1000</v>
      </c>
      <c r="AK905" s="132">
        <f t="shared" si="1807"/>
        <v>-1000</v>
      </c>
      <c r="AL905" s="132">
        <f t="shared" si="1807"/>
        <v>-1000</v>
      </c>
      <c r="AM905" s="132">
        <f t="shared" si="1807"/>
        <v>-1000</v>
      </c>
      <c r="AN905" s="132">
        <f t="shared" si="1807"/>
        <v>-1000</v>
      </c>
      <c r="AO905" s="132">
        <f t="shared" si="1807"/>
        <v>-1000</v>
      </c>
      <c r="AP905" s="132">
        <f t="shared" si="1807"/>
        <v>-1000</v>
      </c>
      <c r="AQ905" s="132">
        <f t="shared" si="1807"/>
        <v>-1000</v>
      </c>
      <c r="AR905" s="132">
        <f t="shared" si="1807"/>
        <v>-1000</v>
      </c>
      <c r="AS905" s="132">
        <f t="shared" si="1807"/>
        <v>-1000</v>
      </c>
    </row>
    <row r="906">
      <c r="A906" s="132" t="s">
        <v>4408</v>
      </c>
      <c r="B906" s="132">
        <v>250.0</v>
      </c>
      <c r="C906" s="132">
        <v>250.0</v>
      </c>
      <c r="D906" s="132">
        <v>0.0</v>
      </c>
      <c r="E906" s="132">
        <v>0.0</v>
      </c>
      <c r="F906" s="132">
        <v>0.0</v>
      </c>
      <c r="G906" s="132">
        <v>0.0</v>
      </c>
      <c r="H906" s="132">
        <v>0.0</v>
      </c>
      <c r="I906" s="132">
        <v>0.0</v>
      </c>
      <c r="J906" s="132">
        <v>0.0</v>
      </c>
      <c r="K906" s="132">
        <v>0.0</v>
      </c>
      <c r="L906" s="132">
        <v>0.0</v>
      </c>
      <c r="M906" s="132">
        <v>0.0</v>
      </c>
      <c r="N906" s="132">
        <v>0.0</v>
      </c>
      <c r="O906" s="132">
        <v>0.0</v>
      </c>
      <c r="P906" s="132">
        <v>0.0</v>
      </c>
      <c r="Q906" s="132">
        <v>0.0</v>
      </c>
      <c r="R906" s="132">
        <v>0.0</v>
      </c>
      <c r="S906" s="132">
        <v>0.0</v>
      </c>
      <c r="T906" s="132">
        <v>0.0</v>
      </c>
      <c r="U906" s="132">
        <v>0.0</v>
      </c>
      <c r="V906" s="132">
        <v>0.0</v>
      </c>
      <c r="W906" s="132">
        <v>0.0</v>
      </c>
      <c r="Y906" s="132" t="s">
        <v>4408</v>
      </c>
      <c r="Z906" s="132">
        <f t="shared" ref="Z906:AC906" si="1808">C906-1000</f>
        <v>-750</v>
      </c>
      <c r="AA906" s="132">
        <f t="shared" si="1808"/>
        <v>-1000</v>
      </c>
      <c r="AB906" s="132">
        <f t="shared" si="1808"/>
        <v>-1000</v>
      </c>
      <c r="AC906" s="132">
        <f t="shared" si="1808"/>
        <v>-1000</v>
      </c>
      <c r="AD906" s="132">
        <f t="shared" si="4"/>
        <v>-10000</v>
      </c>
      <c r="AE906" s="132">
        <f t="shared" ref="AE906:AS906" si="1809">H906-1000</f>
        <v>-1000</v>
      </c>
      <c r="AF906" s="132">
        <f t="shared" si="1809"/>
        <v>-1000</v>
      </c>
      <c r="AG906" s="132">
        <f t="shared" si="1809"/>
        <v>-1000</v>
      </c>
      <c r="AH906" s="132">
        <f t="shared" si="1809"/>
        <v>-1000</v>
      </c>
      <c r="AI906" s="132">
        <f t="shared" si="1809"/>
        <v>-1000</v>
      </c>
      <c r="AJ906" s="132">
        <f t="shared" si="1809"/>
        <v>-1000</v>
      </c>
      <c r="AK906" s="132">
        <f t="shared" si="1809"/>
        <v>-1000</v>
      </c>
      <c r="AL906" s="132">
        <f t="shared" si="1809"/>
        <v>-1000</v>
      </c>
      <c r="AM906" s="132">
        <f t="shared" si="1809"/>
        <v>-1000</v>
      </c>
      <c r="AN906" s="132">
        <f t="shared" si="1809"/>
        <v>-1000</v>
      </c>
      <c r="AO906" s="132">
        <f t="shared" si="1809"/>
        <v>-1000</v>
      </c>
      <c r="AP906" s="132">
        <f t="shared" si="1809"/>
        <v>-1000</v>
      </c>
      <c r="AQ906" s="132">
        <f t="shared" si="1809"/>
        <v>-1000</v>
      </c>
      <c r="AR906" s="132">
        <f t="shared" si="1809"/>
        <v>-1000</v>
      </c>
      <c r="AS906" s="132">
        <f t="shared" si="1809"/>
        <v>-1000</v>
      </c>
    </row>
    <row r="907">
      <c r="A907" s="132" t="s">
        <v>4409</v>
      </c>
      <c r="B907" s="132">
        <v>1250.0</v>
      </c>
      <c r="C907" s="132">
        <v>1250.0</v>
      </c>
      <c r="D907" s="132">
        <v>0.0</v>
      </c>
      <c r="E907" s="132">
        <v>0.0</v>
      </c>
      <c r="F907" s="132">
        <v>0.0</v>
      </c>
      <c r="G907" s="132">
        <v>0.0</v>
      </c>
      <c r="H907" s="132">
        <v>0.0</v>
      </c>
      <c r="I907" s="132">
        <v>0.0</v>
      </c>
      <c r="J907" s="132">
        <v>0.0</v>
      </c>
      <c r="K907" s="132">
        <v>0.0</v>
      </c>
      <c r="L907" s="132">
        <v>0.0</v>
      </c>
      <c r="M907" s="132">
        <v>0.0</v>
      </c>
      <c r="N907" s="132">
        <v>0.0</v>
      </c>
      <c r="O907" s="132">
        <v>0.0</v>
      </c>
      <c r="P907" s="132">
        <v>0.0</v>
      </c>
      <c r="Q907" s="132">
        <v>0.0</v>
      </c>
      <c r="R907" s="132">
        <v>0.0</v>
      </c>
      <c r="S907" s="132">
        <v>0.0</v>
      </c>
      <c r="T907" s="132">
        <v>0.0</v>
      </c>
      <c r="U907" s="132">
        <v>0.0</v>
      </c>
      <c r="V907" s="132">
        <v>0.0</v>
      </c>
      <c r="W907" s="132">
        <v>1.0</v>
      </c>
      <c r="Y907" s="132" t="s">
        <v>4409</v>
      </c>
      <c r="Z907" s="132">
        <f t="shared" ref="Z907:AC907" si="1810">C907-1000</f>
        <v>250</v>
      </c>
      <c r="AA907" s="132">
        <f t="shared" si="1810"/>
        <v>-1000</v>
      </c>
      <c r="AB907" s="132">
        <f t="shared" si="1810"/>
        <v>-1000</v>
      </c>
      <c r="AC907" s="132">
        <f t="shared" si="1810"/>
        <v>-1000</v>
      </c>
      <c r="AD907" s="132">
        <f t="shared" si="4"/>
        <v>-10000</v>
      </c>
      <c r="AE907" s="132">
        <f t="shared" ref="AE907:AS907" si="1811">H907-1000</f>
        <v>-1000</v>
      </c>
      <c r="AF907" s="132">
        <f t="shared" si="1811"/>
        <v>-1000</v>
      </c>
      <c r="AG907" s="132">
        <f t="shared" si="1811"/>
        <v>-1000</v>
      </c>
      <c r="AH907" s="132">
        <f t="shared" si="1811"/>
        <v>-1000</v>
      </c>
      <c r="AI907" s="132">
        <f t="shared" si="1811"/>
        <v>-1000</v>
      </c>
      <c r="AJ907" s="132">
        <f t="shared" si="1811"/>
        <v>-1000</v>
      </c>
      <c r="AK907" s="132">
        <f t="shared" si="1811"/>
        <v>-1000</v>
      </c>
      <c r="AL907" s="132">
        <f t="shared" si="1811"/>
        <v>-1000</v>
      </c>
      <c r="AM907" s="132">
        <f t="shared" si="1811"/>
        <v>-1000</v>
      </c>
      <c r="AN907" s="132">
        <f t="shared" si="1811"/>
        <v>-1000</v>
      </c>
      <c r="AO907" s="132">
        <f t="shared" si="1811"/>
        <v>-1000</v>
      </c>
      <c r="AP907" s="132">
        <f t="shared" si="1811"/>
        <v>-1000</v>
      </c>
      <c r="AQ907" s="132">
        <f t="shared" si="1811"/>
        <v>-1000</v>
      </c>
      <c r="AR907" s="132">
        <f t="shared" si="1811"/>
        <v>-1000</v>
      </c>
      <c r="AS907" s="132">
        <f t="shared" si="1811"/>
        <v>-1000</v>
      </c>
    </row>
    <row r="908">
      <c r="A908" s="132" t="s">
        <v>4410</v>
      </c>
      <c r="B908" s="132">
        <v>189.7</v>
      </c>
      <c r="C908" s="132">
        <v>189.7</v>
      </c>
      <c r="D908" s="132">
        <v>0.0</v>
      </c>
      <c r="E908" s="132">
        <v>0.0</v>
      </c>
      <c r="F908" s="132">
        <v>0.0</v>
      </c>
      <c r="G908" s="132">
        <v>0.0</v>
      </c>
      <c r="H908" s="132">
        <v>0.0</v>
      </c>
      <c r="I908" s="132">
        <v>0.0</v>
      </c>
      <c r="J908" s="132">
        <v>0.0</v>
      </c>
      <c r="K908" s="132">
        <v>0.0</v>
      </c>
      <c r="L908" s="132">
        <v>0.0</v>
      </c>
      <c r="M908" s="132">
        <v>0.0</v>
      </c>
      <c r="N908" s="132">
        <v>0.0</v>
      </c>
      <c r="O908" s="132">
        <v>0.0</v>
      </c>
      <c r="P908" s="132">
        <v>0.0</v>
      </c>
      <c r="Q908" s="132">
        <v>0.0</v>
      </c>
      <c r="R908" s="132">
        <v>0.0</v>
      </c>
      <c r="S908" s="132">
        <v>0.0</v>
      </c>
      <c r="T908" s="132">
        <v>0.0</v>
      </c>
      <c r="U908" s="132">
        <v>0.0</v>
      </c>
      <c r="V908" s="132">
        <v>0.0</v>
      </c>
      <c r="W908" s="132">
        <v>0.0</v>
      </c>
      <c r="Y908" s="132" t="s">
        <v>4410</v>
      </c>
      <c r="Z908" s="132">
        <f t="shared" ref="Z908:AC908" si="1812">C908-1000</f>
        <v>-810.3</v>
      </c>
      <c r="AA908" s="132">
        <f t="shared" si="1812"/>
        <v>-1000</v>
      </c>
      <c r="AB908" s="132">
        <f t="shared" si="1812"/>
        <v>-1000</v>
      </c>
      <c r="AC908" s="132">
        <f t="shared" si="1812"/>
        <v>-1000</v>
      </c>
      <c r="AD908" s="132">
        <f t="shared" si="4"/>
        <v>-10000</v>
      </c>
      <c r="AE908" s="132">
        <f t="shared" ref="AE908:AS908" si="1813">H908-1000</f>
        <v>-1000</v>
      </c>
      <c r="AF908" s="132">
        <f t="shared" si="1813"/>
        <v>-1000</v>
      </c>
      <c r="AG908" s="132">
        <f t="shared" si="1813"/>
        <v>-1000</v>
      </c>
      <c r="AH908" s="132">
        <f t="shared" si="1813"/>
        <v>-1000</v>
      </c>
      <c r="AI908" s="132">
        <f t="shared" si="1813"/>
        <v>-1000</v>
      </c>
      <c r="AJ908" s="132">
        <f t="shared" si="1813"/>
        <v>-1000</v>
      </c>
      <c r="AK908" s="132">
        <f t="shared" si="1813"/>
        <v>-1000</v>
      </c>
      <c r="AL908" s="132">
        <f t="shared" si="1813"/>
        <v>-1000</v>
      </c>
      <c r="AM908" s="132">
        <f t="shared" si="1813"/>
        <v>-1000</v>
      </c>
      <c r="AN908" s="132">
        <f t="shared" si="1813"/>
        <v>-1000</v>
      </c>
      <c r="AO908" s="132">
        <f t="shared" si="1813"/>
        <v>-1000</v>
      </c>
      <c r="AP908" s="132">
        <f t="shared" si="1813"/>
        <v>-1000</v>
      </c>
      <c r="AQ908" s="132">
        <f t="shared" si="1813"/>
        <v>-1000</v>
      </c>
      <c r="AR908" s="132">
        <f t="shared" si="1813"/>
        <v>-1000</v>
      </c>
      <c r="AS908" s="132">
        <f t="shared" si="1813"/>
        <v>-1000</v>
      </c>
    </row>
    <row r="909">
      <c r="A909" s="132" t="s">
        <v>4411</v>
      </c>
      <c r="B909" s="132">
        <v>100.0</v>
      </c>
      <c r="C909" s="132">
        <v>100.0</v>
      </c>
      <c r="D909" s="132">
        <v>0.0</v>
      </c>
      <c r="E909" s="132">
        <v>0.0</v>
      </c>
      <c r="F909" s="132">
        <v>0.0</v>
      </c>
      <c r="G909" s="132">
        <v>0.0</v>
      </c>
      <c r="H909" s="132">
        <v>0.0</v>
      </c>
      <c r="I909" s="132">
        <v>0.0</v>
      </c>
      <c r="J909" s="132">
        <v>0.0</v>
      </c>
      <c r="K909" s="132">
        <v>0.0</v>
      </c>
      <c r="L909" s="132">
        <v>0.0</v>
      </c>
      <c r="M909" s="132">
        <v>0.0</v>
      </c>
      <c r="N909" s="132">
        <v>0.0</v>
      </c>
      <c r="O909" s="132">
        <v>0.0</v>
      </c>
      <c r="P909" s="132">
        <v>0.0</v>
      </c>
      <c r="Q909" s="132">
        <v>0.0</v>
      </c>
      <c r="R909" s="132">
        <v>0.0</v>
      </c>
      <c r="S909" s="132">
        <v>0.0</v>
      </c>
      <c r="T909" s="132">
        <v>0.0</v>
      </c>
      <c r="U909" s="132">
        <v>0.0</v>
      </c>
      <c r="V909" s="132">
        <v>0.0</v>
      </c>
      <c r="W909" s="132">
        <v>0.0</v>
      </c>
      <c r="Y909" s="132" t="s">
        <v>4411</v>
      </c>
      <c r="Z909" s="132">
        <f t="shared" ref="Z909:AC909" si="1814">C909-1000</f>
        <v>-900</v>
      </c>
      <c r="AA909" s="132">
        <f t="shared" si="1814"/>
        <v>-1000</v>
      </c>
      <c r="AB909" s="132">
        <f t="shared" si="1814"/>
        <v>-1000</v>
      </c>
      <c r="AC909" s="132">
        <f t="shared" si="1814"/>
        <v>-1000</v>
      </c>
      <c r="AD909" s="132">
        <f t="shared" si="4"/>
        <v>-10000</v>
      </c>
      <c r="AE909" s="132">
        <f t="shared" ref="AE909:AS909" si="1815">H909-1000</f>
        <v>-1000</v>
      </c>
      <c r="AF909" s="132">
        <f t="shared" si="1815"/>
        <v>-1000</v>
      </c>
      <c r="AG909" s="132">
        <f t="shared" si="1815"/>
        <v>-1000</v>
      </c>
      <c r="AH909" s="132">
        <f t="shared" si="1815"/>
        <v>-1000</v>
      </c>
      <c r="AI909" s="132">
        <f t="shared" si="1815"/>
        <v>-1000</v>
      </c>
      <c r="AJ909" s="132">
        <f t="shared" si="1815"/>
        <v>-1000</v>
      </c>
      <c r="AK909" s="132">
        <f t="shared" si="1815"/>
        <v>-1000</v>
      </c>
      <c r="AL909" s="132">
        <f t="shared" si="1815"/>
        <v>-1000</v>
      </c>
      <c r="AM909" s="132">
        <f t="shared" si="1815"/>
        <v>-1000</v>
      </c>
      <c r="AN909" s="132">
        <f t="shared" si="1815"/>
        <v>-1000</v>
      </c>
      <c r="AO909" s="132">
        <f t="shared" si="1815"/>
        <v>-1000</v>
      </c>
      <c r="AP909" s="132">
        <f t="shared" si="1815"/>
        <v>-1000</v>
      </c>
      <c r="AQ909" s="132">
        <f t="shared" si="1815"/>
        <v>-1000</v>
      </c>
      <c r="AR909" s="132">
        <f t="shared" si="1815"/>
        <v>-1000</v>
      </c>
      <c r="AS909" s="132">
        <f t="shared" si="1815"/>
        <v>-1000</v>
      </c>
    </row>
    <row r="910">
      <c r="A910" s="132" t="s">
        <v>4412</v>
      </c>
      <c r="B910" s="132">
        <v>100.0</v>
      </c>
      <c r="C910" s="132">
        <v>100.0</v>
      </c>
      <c r="D910" s="132">
        <v>0.0</v>
      </c>
      <c r="E910" s="132">
        <v>0.0</v>
      </c>
      <c r="F910" s="132">
        <v>0.0</v>
      </c>
      <c r="G910" s="132">
        <v>0.0</v>
      </c>
      <c r="H910" s="132">
        <v>0.0</v>
      </c>
      <c r="I910" s="132">
        <v>0.0</v>
      </c>
      <c r="J910" s="132">
        <v>0.0</v>
      </c>
      <c r="K910" s="132">
        <v>0.0</v>
      </c>
      <c r="L910" s="132">
        <v>0.0</v>
      </c>
      <c r="M910" s="132">
        <v>0.0</v>
      </c>
      <c r="N910" s="132">
        <v>0.0</v>
      </c>
      <c r="O910" s="132">
        <v>0.0</v>
      </c>
      <c r="P910" s="132">
        <v>0.0</v>
      </c>
      <c r="Q910" s="132">
        <v>0.0</v>
      </c>
      <c r="R910" s="132">
        <v>0.0</v>
      </c>
      <c r="S910" s="132">
        <v>0.0</v>
      </c>
      <c r="T910" s="132">
        <v>0.0</v>
      </c>
      <c r="U910" s="132">
        <v>0.0</v>
      </c>
      <c r="V910" s="132">
        <v>0.0</v>
      </c>
      <c r="W910" s="132">
        <v>0.0</v>
      </c>
      <c r="Y910" s="132" t="s">
        <v>4412</v>
      </c>
      <c r="Z910" s="132">
        <f t="shared" ref="Z910:AC910" si="1816">C910-1000</f>
        <v>-900</v>
      </c>
      <c r="AA910" s="132">
        <f t="shared" si="1816"/>
        <v>-1000</v>
      </c>
      <c r="AB910" s="132">
        <f t="shared" si="1816"/>
        <v>-1000</v>
      </c>
      <c r="AC910" s="132">
        <f t="shared" si="1816"/>
        <v>-1000</v>
      </c>
      <c r="AD910" s="132">
        <f t="shared" si="4"/>
        <v>-10000</v>
      </c>
      <c r="AE910" s="132">
        <f t="shared" ref="AE910:AS910" si="1817">H910-1000</f>
        <v>-1000</v>
      </c>
      <c r="AF910" s="132">
        <f t="shared" si="1817"/>
        <v>-1000</v>
      </c>
      <c r="AG910" s="132">
        <f t="shared" si="1817"/>
        <v>-1000</v>
      </c>
      <c r="AH910" s="132">
        <f t="shared" si="1817"/>
        <v>-1000</v>
      </c>
      <c r="AI910" s="132">
        <f t="shared" si="1817"/>
        <v>-1000</v>
      </c>
      <c r="AJ910" s="132">
        <f t="shared" si="1817"/>
        <v>-1000</v>
      </c>
      <c r="AK910" s="132">
        <f t="shared" si="1817"/>
        <v>-1000</v>
      </c>
      <c r="AL910" s="132">
        <f t="shared" si="1817"/>
        <v>-1000</v>
      </c>
      <c r="AM910" s="132">
        <f t="shared" si="1817"/>
        <v>-1000</v>
      </c>
      <c r="AN910" s="132">
        <f t="shared" si="1817"/>
        <v>-1000</v>
      </c>
      <c r="AO910" s="132">
        <f t="shared" si="1817"/>
        <v>-1000</v>
      </c>
      <c r="AP910" s="132">
        <f t="shared" si="1817"/>
        <v>-1000</v>
      </c>
      <c r="AQ910" s="132">
        <f t="shared" si="1817"/>
        <v>-1000</v>
      </c>
      <c r="AR910" s="132">
        <f t="shared" si="1817"/>
        <v>-1000</v>
      </c>
      <c r="AS910" s="132">
        <f t="shared" si="1817"/>
        <v>-1000</v>
      </c>
    </row>
    <row r="911">
      <c r="A911" s="132" t="s">
        <v>4413</v>
      </c>
      <c r="B911" s="132">
        <v>50.0</v>
      </c>
      <c r="C911" s="132">
        <v>50.0</v>
      </c>
      <c r="D911" s="132">
        <v>0.0</v>
      </c>
      <c r="E911" s="132">
        <v>0.0</v>
      </c>
      <c r="F911" s="132">
        <v>0.0</v>
      </c>
      <c r="G911" s="132">
        <v>0.0</v>
      </c>
      <c r="H911" s="132">
        <v>0.0</v>
      </c>
      <c r="I911" s="132">
        <v>0.0</v>
      </c>
      <c r="J911" s="132">
        <v>0.0</v>
      </c>
      <c r="K911" s="132">
        <v>0.0</v>
      </c>
      <c r="L911" s="132">
        <v>0.0</v>
      </c>
      <c r="M911" s="132">
        <v>0.0</v>
      </c>
      <c r="N911" s="132">
        <v>0.0</v>
      </c>
      <c r="O911" s="132">
        <v>0.0</v>
      </c>
      <c r="P911" s="132">
        <v>0.0</v>
      </c>
      <c r="Q911" s="132">
        <v>0.0</v>
      </c>
      <c r="R911" s="132">
        <v>0.0</v>
      </c>
      <c r="S911" s="132">
        <v>0.0</v>
      </c>
      <c r="T911" s="132">
        <v>0.0</v>
      </c>
      <c r="U911" s="132">
        <v>0.0</v>
      </c>
      <c r="V911" s="132">
        <v>0.0</v>
      </c>
      <c r="W911" s="132">
        <v>0.0</v>
      </c>
      <c r="Y911" s="132" t="s">
        <v>4413</v>
      </c>
      <c r="Z911" s="132">
        <f t="shared" ref="Z911:AC911" si="1818">C911-1000</f>
        <v>-950</v>
      </c>
      <c r="AA911" s="132">
        <f t="shared" si="1818"/>
        <v>-1000</v>
      </c>
      <c r="AB911" s="132">
        <f t="shared" si="1818"/>
        <v>-1000</v>
      </c>
      <c r="AC911" s="132">
        <f t="shared" si="1818"/>
        <v>-1000</v>
      </c>
      <c r="AD911" s="132">
        <f t="shared" si="4"/>
        <v>-10000</v>
      </c>
      <c r="AE911" s="132">
        <f t="shared" ref="AE911:AS911" si="1819">H911-1000</f>
        <v>-1000</v>
      </c>
      <c r="AF911" s="132">
        <f t="shared" si="1819"/>
        <v>-1000</v>
      </c>
      <c r="AG911" s="132">
        <f t="shared" si="1819"/>
        <v>-1000</v>
      </c>
      <c r="AH911" s="132">
        <f t="shared" si="1819"/>
        <v>-1000</v>
      </c>
      <c r="AI911" s="132">
        <f t="shared" si="1819"/>
        <v>-1000</v>
      </c>
      <c r="AJ911" s="132">
        <f t="shared" si="1819"/>
        <v>-1000</v>
      </c>
      <c r="AK911" s="132">
        <f t="shared" si="1819"/>
        <v>-1000</v>
      </c>
      <c r="AL911" s="132">
        <f t="shared" si="1819"/>
        <v>-1000</v>
      </c>
      <c r="AM911" s="132">
        <f t="shared" si="1819"/>
        <v>-1000</v>
      </c>
      <c r="AN911" s="132">
        <f t="shared" si="1819"/>
        <v>-1000</v>
      </c>
      <c r="AO911" s="132">
        <f t="shared" si="1819"/>
        <v>-1000</v>
      </c>
      <c r="AP911" s="132">
        <f t="shared" si="1819"/>
        <v>-1000</v>
      </c>
      <c r="AQ911" s="132">
        <f t="shared" si="1819"/>
        <v>-1000</v>
      </c>
      <c r="AR911" s="132">
        <f t="shared" si="1819"/>
        <v>-1000</v>
      </c>
      <c r="AS911" s="132">
        <f t="shared" si="1819"/>
        <v>-1000</v>
      </c>
    </row>
    <row r="912">
      <c r="A912" s="132" t="s">
        <v>4414</v>
      </c>
      <c r="B912" s="132">
        <v>50.0</v>
      </c>
      <c r="C912" s="132">
        <v>50.0</v>
      </c>
      <c r="D912" s="132">
        <v>0.0</v>
      </c>
      <c r="E912" s="132">
        <v>0.0</v>
      </c>
      <c r="F912" s="132">
        <v>0.0</v>
      </c>
      <c r="G912" s="132">
        <v>0.0</v>
      </c>
      <c r="H912" s="132">
        <v>0.0</v>
      </c>
      <c r="I912" s="132">
        <v>0.0</v>
      </c>
      <c r="J912" s="132">
        <v>0.0</v>
      </c>
      <c r="K912" s="132">
        <v>0.0</v>
      </c>
      <c r="L912" s="132">
        <v>0.0</v>
      </c>
      <c r="M912" s="132">
        <v>0.0</v>
      </c>
      <c r="N912" s="132">
        <v>0.0</v>
      </c>
      <c r="O912" s="132">
        <v>0.0</v>
      </c>
      <c r="P912" s="132">
        <v>0.0</v>
      </c>
      <c r="Q912" s="132">
        <v>0.0</v>
      </c>
      <c r="R912" s="132">
        <v>0.0</v>
      </c>
      <c r="S912" s="132">
        <v>0.0</v>
      </c>
      <c r="T912" s="132">
        <v>0.0</v>
      </c>
      <c r="U912" s="132">
        <v>0.0</v>
      </c>
      <c r="V912" s="132">
        <v>0.0</v>
      </c>
      <c r="W912" s="132">
        <v>0.0</v>
      </c>
      <c r="Y912" s="132" t="s">
        <v>4414</v>
      </c>
      <c r="Z912" s="132">
        <f t="shared" ref="Z912:AC912" si="1820">C912-1000</f>
        <v>-950</v>
      </c>
      <c r="AA912" s="132">
        <f t="shared" si="1820"/>
        <v>-1000</v>
      </c>
      <c r="AB912" s="132">
        <f t="shared" si="1820"/>
        <v>-1000</v>
      </c>
      <c r="AC912" s="132">
        <f t="shared" si="1820"/>
        <v>-1000</v>
      </c>
      <c r="AD912" s="132">
        <f t="shared" si="4"/>
        <v>-10000</v>
      </c>
      <c r="AE912" s="132">
        <f t="shared" ref="AE912:AS912" si="1821">H912-1000</f>
        <v>-1000</v>
      </c>
      <c r="AF912" s="132">
        <f t="shared" si="1821"/>
        <v>-1000</v>
      </c>
      <c r="AG912" s="132">
        <f t="shared" si="1821"/>
        <v>-1000</v>
      </c>
      <c r="AH912" s="132">
        <f t="shared" si="1821"/>
        <v>-1000</v>
      </c>
      <c r="AI912" s="132">
        <f t="shared" si="1821"/>
        <v>-1000</v>
      </c>
      <c r="AJ912" s="132">
        <f t="shared" si="1821"/>
        <v>-1000</v>
      </c>
      <c r="AK912" s="132">
        <f t="shared" si="1821"/>
        <v>-1000</v>
      </c>
      <c r="AL912" s="132">
        <f t="shared" si="1821"/>
        <v>-1000</v>
      </c>
      <c r="AM912" s="132">
        <f t="shared" si="1821"/>
        <v>-1000</v>
      </c>
      <c r="AN912" s="132">
        <f t="shared" si="1821"/>
        <v>-1000</v>
      </c>
      <c r="AO912" s="132">
        <f t="shared" si="1821"/>
        <v>-1000</v>
      </c>
      <c r="AP912" s="132">
        <f t="shared" si="1821"/>
        <v>-1000</v>
      </c>
      <c r="AQ912" s="132">
        <f t="shared" si="1821"/>
        <v>-1000</v>
      </c>
      <c r="AR912" s="132">
        <f t="shared" si="1821"/>
        <v>-1000</v>
      </c>
      <c r="AS912" s="132">
        <f t="shared" si="1821"/>
        <v>-1000</v>
      </c>
    </row>
    <row r="913">
      <c r="A913" s="132" t="s">
        <v>4415</v>
      </c>
      <c r="B913" s="132">
        <v>25.0</v>
      </c>
      <c r="C913" s="132">
        <v>25.0</v>
      </c>
      <c r="D913" s="132">
        <v>0.0</v>
      </c>
      <c r="E913" s="132">
        <v>0.0</v>
      </c>
      <c r="F913" s="132">
        <v>0.0</v>
      </c>
      <c r="G913" s="132">
        <v>0.0</v>
      </c>
      <c r="H913" s="132">
        <v>0.0</v>
      </c>
      <c r="I913" s="132">
        <v>0.0</v>
      </c>
      <c r="J913" s="132">
        <v>0.0</v>
      </c>
      <c r="K913" s="132">
        <v>0.0</v>
      </c>
      <c r="L913" s="132">
        <v>0.0</v>
      </c>
      <c r="M913" s="132">
        <v>0.0</v>
      </c>
      <c r="N913" s="132">
        <v>0.0</v>
      </c>
      <c r="O913" s="132">
        <v>0.0</v>
      </c>
      <c r="P913" s="132">
        <v>0.0</v>
      </c>
      <c r="Q913" s="132">
        <v>0.0</v>
      </c>
      <c r="R913" s="132">
        <v>0.0</v>
      </c>
      <c r="S913" s="132">
        <v>0.0</v>
      </c>
      <c r="T913" s="132">
        <v>0.0</v>
      </c>
      <c r="U913" s="132">
        <v>0.0</v>
      </c>
      <c r="V913" s="132">
        <v>0.0</v>
      </c>
      <c r="W913" s="132">
        <v>0.0</v>
      </c>
      <c r="Y913" s="132" t="s">
        <v>4415</v>
      </c>
      <c r="Z913" s="132">
        <f t="shared" ref="Z913:AC913" si="1822">C913-1000</f>
        <v>-975</v>
      </c>
      <c r="AA913" s="132">
        <f t="shared" si="1822"/>
        <v>-1000</v>
      </c>
      <c r="AB913" s="132">
        <f t="shared" si="1822"/>
        <v>-1000</v>
      </c>
      <c r="AC913" s="132">
        <f t="shared" si="1822"/>
        <v>-1000</v>
      </c>
      <c r="AD913" s="132">
        <f t="shared" si="4"/>
        <v>-10000</v>
      </c>
      <c r="AE913" s="132">
        <f t="shared" ref="AE913:AS913" si="1823">H913-1000</f>
        <v>-1000</v>
      </c>
      <c r="AF913" s="132">
        <f t="shared" si="1823"/>
        <v>-1000</v>
      </c>
      <c r="AG913" s="132">
        <f t="shared" si="1823"/>
        <v>-1000</v>
      </c>
      <c r="AH913" s="132">
        <f t="shared" si="1823"/>
        <v>-1000</v>
      </c>
      <c r="AI913" s="132">
        <f t="shared" si="1823"/>
        <v>-1000</v>
      </c>
      <c r="AJ913" s="132">
        <f t="shared" si="1823"/>
        <v>-1000</v>
      </c>
      <c r="AK913" s="132">
        <f t="shared" si="1823"/>
        <v>-1000</v>
      </c>
      <c r="AL913" s="132">
        <f t="shared" si="1823"/>
        <v>-1000</v>
      </c>
      <c r="AM913" s="132">
        <f t="shared" si="1823"/>
        <v>-1000</v>
      </c>
      <c r="AN913" s="132">
        <f t="shared" si="1823"/>
        <v>-1000</v>
      </c>
      <c r="AO913" s="132">
        <f t="shared" si="1823"/>
        <v>-1000</v>
      </c>
      <c r="AP913" s="132">
        <f t="shared" si="1823"/>
        <v>-1000</v>
      </c>
      <c r="AQ913" s="132">
        <f t="shared" si="1823"/>
        <v>-1000</v>
      </c>
      <c r="AR913" s="132">
        <f t="shared" si="1823"/>
        <v>-1000</v>
      </c>
      <c r="AS913" s="132">
        <f t="shared" si="1823"/>
        <v>-1000</v>
      </c>
    </row>
    <row r="914">
      <c r="A914" s="132" t="s">
        <v>4416</v>
      </c>
      <c r="B914" s="132">
        <v>250.0</v>
      </c>
      <c r="C914" s="132">
        <v>250.0</v>
      </c>
      <c r="D914" s="132">
        <v>0.0</v>
      </c>
      <c r="E914" s="132">
        <v>0.0</v>
      </c>
      <c r="F914" s="132">
        <v>0.0</v>
      </c>
      <c r="G914" s="132">
        <v>0.0</v>
      </c>
      <c r="H914" s="132">
        <v>0.0</v>
      </c>
      <c r="I914" s="132">
        <v>0.0</v>
      </c>
      <c r="J914" s="132">
        <v>0.0</v>
      </c>
      <c r="K914" s="132">
        <v>0.0</v>
      </c>
      <c r="L914" s="132">
        <v>0.0</v>
      </c>
      <c r="M914" s="132">
        <v>0.0</v>
      </c>
      <c r="N914" s="132">
        <v>0.0</v>
      </c>
      <c r="O914" s="132">
        <v>0.0</v>
      </c>
      <c r="P914" s="132">
        <v>0.0</v>
      </c>
      <c r="Q914" s="132">
        <v>0.0</v>
      </c>
      <c r="R914" s="132">
        <v>0.0</v>
      </c>
      <c r="S914" s="132">
        <v>0.0</v>
      </c>
      <c r="T914" s="132">
        <v>0.0</v>
      </c>
      <c r="U914" s="132">
        <v>0.0</v>
      </c>
      <c r="V914" s="132">
        <v>0.0</v>
      </c>
      <c r="W914" s="132">
        <v>0.0</v>
      </c>
      <c r="Y914" s="132" t="s">
        <v>4416</v>
      </c>
      <c r="Z914" s="132">
        <f t="shared" ref="Z914:AC914" si="1824">C914-1000</f>
        <v>-750</v>
      </c>
      <c r="AA914" s="132">
        <f t="shared" si="1824"/>
        <v>-1000</v>
      </c>
      <c r="AB914" s="132">
        <f t="shared" si="1824"/>
        <v>-1000</v>
      </c>
      <c r="AC914" s="132">
        <f t="shared" si="1824"/>
        <v>-1000</v>
      </c>
      <c r="AD914" s="132">
        <f t="shared" si="4"/>
        <v>-10000</v>
      </c>
      <c r="AE914" s="132">
        <f t="shared" ref="AE914:AS914" si="1825">H914-1000</f>
        <v>-1000</v>
      </c>
      <c r="AF914" s="132">
        <f t="shared" si="1825"/>
        <v>-1000</v>
      </c>
      <c r="AG914" s="132">
        <f t="shared" si="1825"/>
        <v>-1000</v>
      </c>
      <c r="AH914" s="132">
        <f t="shared" si="1825"/>
        <v>-1000</v>
      </c>
      <c r="AI914" s="132">
        <f t="shared" si="1825"/>
        <v>-1000</v>
      </c>
      <c r="AJ914" s="132">
        <f t="shared" si="1825"/>
        <v>-1000</v>
      </c>
      <c r="AK914" s="132">
        <f t="shared" si="1825"/>
        <v>-1000</v>
      </c>
      <c r="AL914" s="132">
        <f t="shared" si="1825"/>
        <v>-1000</v>
      </c>
      <c r="AM914" s="132">
        <f t="shared" si="1825"/>
        <v>-1000</v>
      </c>
      <c r="AN914" s="132">
        <f t="shared" si="1825"/>
        <v>-1000</v>
      </c>
      <c r="AO914" s="132">
        <f t="shared" si="1825"/>
        <v>-1000</v>
      </c>
      <c r="AP914" s="132">
        <f t="shared" si="1825"/>
        <v>-1000</v>
      </c>
      <c r="AQ914" s="132">
        <f t="shared" si="1825"/>
        <v>-1000</v>
      </c>
      <c r="AR914" s="132">
        <f t="shared" si="1825"/>
        <v>-1000</v>
      </c>
      <c r="AS914" s="132">
        <f t="shared" si="1825"/>
        <v>-1000</v>
      </c>
    </row>
    <row r="915">
      <c r="A915" s="132" t="s">
        <v>4417</v>
      </c>
      <c r="B915" s="132">
        <v>50.0</v>
      </c>
      <c r="C915" s="132">
        <v>50.0</v>
      </c>
      <c r="D915" s="132">
        <v>0.0</v>
      </c>
      <c r="E915" s="132">
        <v>0.0</v>
      </c>
      <c r="F915" s="132">
        <v>0.0</v>
      </c>
      <c r="G915" s="132">
        <v>0.0</v>
      </c>
      <c r="H915" s="132">
        <v>0.0</v>
      </c>
      <c r="I915" s="132">
        <v>0.0</v>
      </c>
      <c r="J915" s="132">
        <v>0.0</v>
      </c>
      <c r="K915" s="132">
        <v>0.0</v>
      </c>
      <c r="L915" s="132">
        <v>0.0</v>
      </c>
      <c r="M915" s="132">
        <v>0.0</v>
      </c>
      <c r="N915" s="132">
        <v>0.0</v>
      </c>
      <c r="O915" s="132">
        <v>0.0</v>
      </c>
      <c r="P915" s="132">
        <v>0.0</v>
      </c>
      <c r="Q915" s="132">
        <v>0.0</v>
      </c>
      <c r="R915" s="132">
        <v>0.0</v>
      </c>
      <c r="S915" s="132">
        <v>0.0</v>
      </c>
      <c r="T915" s="132">
        <v>0.0</v>
      </c>
      <c r="U915" s="132">
        <v>0.0</v>
      </c>
      <c r="V915" s="132">
        <v>0.0</v>
      </c>
      <c r="W915" s="132">
        <v>0.0</v>
      </c>
      <c r="Y915" s="132" t="s">
        <v>4417</v>
      </c>
      <c r="Z915" s="132">
        <f t="shared" ref="Z915:AC915" si="1826">C915-1000</f>
        <v>-950</v>
      </c>
      <c r="AA915" s="132">
        <f t="shared" si="1826"/>
        <v>-1000</v>
      </c>
      <c r="AB915" s="132">
        <f t="shared" si="1826"/>
        <v>-1000</v>
      </c>
      <c r="AC915" s="132">
        <f t="shared" si="1826"/>
        <v>-1000</v>
      </c>
      <c r="AD915" s="132">
        <f t="shared" si="4"/>
        <v>-10000</v>
      </c>
      <c r="AE915" s="132">
        <f t="shared" ref="AE915:AS915" si="1827">H915-1000</f>
        <v>-1000</v>
      </c>
      <c r="AF915" s="132">
        <f t="shared" si="1827"/>
        <v>-1000</v>
      </c>
      <c r="AG915" s="132">
        <f t="shared" si="1827"/>
        <v>-1000</v>
      </c>
      <c r="AH915" s="132">
        <f t="shared" si="1827"/>
        <v>-1000</v>
      </c>
      <c r="AI915" s="132">
        <f t="shared" si="1827"/>
        <v>-1000</v>
      </c>
      <c r="AJ915" s="132">
        <f t="shared" si="1827"/>
        <v>-1000</v>
      </c>
      <c r="AK915" s="132">
        <f t="shared" si="1827"/>
        <v>-1000</v>
      </c>
      <c r="AL915" s="132">
        <f t="shared" si="1827"/>
        <v>-1000</v>
      </c>
      <c r="AM915" s="132">
        <f t="shared" si="1827"/>
        <v>-1000</v>
      </c>
      <c r="AN915" s="132">
        <f t="shared" si="1827"/>
        <v>-1000</v>
      </c>
      <c r="AO915" s="132">
        <f t="shared" si="1827"/>
        <v>-1000</v>
      </c>
      <c r="AP915" s="132">
        <f t="shared" si="1827"/>
        <v>-1000</v>
      </c>
      <c r="AQ915" s="132">
        <f t="shared" si="1827"/>
        <v>-1000</v>
      </c>
      <c r="AR915" s="132">
        <f t="shared" si="1827"/>
        <v>-1000</v>
      </c>
      <c r="AS915" s="132">
        <f t="shared" si="1827"/>
        <v>-1000</v>
      </c>
    </row>
    <row r="916">
      <c r="A916" s="132" t="s">
        <v>4418</v>
      </c>
      <c r="B916" s="132">
        <v>474.7</v>
      </c>
      <c r="C916" s="132">
        <v>474.7</v>
      </c>
      <c r="D916" s="132">
        <v>0.0</v>
      </c>
      <c r="E916" s="132">
        <v>0.0</v>
      </c>
      <c r="F916" s="132">
        <v>0.0</v>
      </c>
      <c r="G916" s="132">
        <v>0.0</v>
      </c>
      <c r="H916" s="132">
        <v>0.0</v>
      </c>
      <c r="I916" s="132">
        <v>0.0</v>
      </c>
      <c r="J916" s="132">
        <v>0.0</v>
      </c>
      <c r="K916" s="132">
        <v>0.0</v>
      </c>
      <c r="L916" s="132">
        <v>0.0</v>
      </c>
      <c r="M916" s="132">
        <v>0.0</v>
      </c>
      <c r="N916" s="132">
        <v>0.0</v>
      </c>
      <c r="O916" s="132">
        <v>0.0</v>
      </c>
      <c r="P916" s="132">
        <v>0.0</v>
      </c>
      <c r="Q916" s="132">
        <v>0.0</v>
      </c>
      <c r="R916" s="132">
        <v>0.0</v>
      </c>
      <c r="S916" s="132">
        <v>0.0</v>
      </c>
      <c r="T916" s="132">
        <v>0.0</v>
      </c>
      <c r="U916" s="132">
        <v>0.0</v>
      </c>
      <c r="V916" s="132">
        <v>0.0</v>
      </c>
      <c r="W916" s="132">
        <v>0.0</v>
      </c>
      <c r="Y916" s="132" t="s">
        <v>4418</v>
      </c>
      <c r="Z916" s="132">
        <f t="shared" ref="Z916:AC916" si="1828">C916-1000</f>
        <v>-525.3</v>
      </c>
      <c r="AA916" s="132">
        <f t="shared" si="1828"/>
        <v>-1000</v>
      </c>
      <c r="AB916" s="132">
        <f t="shared" si="1828"/>
        <v>-1000</v>
      </c>
      <c r="AC916" s="132">
        <f t="shared" si="1828"/>
        <v>-1000</v>
      </c>
      <c r="AD916" s="132">
        <f t="shared" si="4"/>
        <v>-10000</v>
      </c>
      <c r="AE916" s="132">
        <f t="shared" ref="AE916:AS916" si="1829">H916-1000</f>
        <v>-1000</v>
      </c>
      <c r="AF916" s="132">
        <f t="shared" si="1829"/>
        <v>-1000</v>
      </c>
      <c r="AG916" s="132">
        <f t="shared" si="1829"/>
        <v>-1000</v>
      </c>
      <c r="AH916" s="132">
        <f t="shared" si="1829"/>
        <v>-1000</v>
      </c>
      <c r="AI916" s="132">
        <f t="shared" si="1829"/>
        <v>-1000</v>
      </c>
      <c r="AJ916" s="132">
        <f t="shared" si="1829"/>
        <v>-1000</v>
      </c>
      <c r="AK916" s="132">
        <f t="shared" si="1829"/>
        <v>-1000</v>
      </c>
      <c r="AL916" s="132">
        <f t="shared" si="1829"/>
        <v>-1000</v>
      </c>
      <c r="AM916" s="132">
        <f t="shared" si="1829"/>
        <v>-1000</v>
      </c>
      <c r="AN916" s="132">
        <f t="shared" si="1829"/>
        <v>-1000</v>
      </c>
      <c r="AO916" s="132">
        <f t="shared" si="1829"/>
        <v>-1000</v>
      </c>
      <c r="AP916" s="132">
        <f t="shared" si="1829"/>
        <v>-1000</v>
      </c>
      <c r="AQ916" s="132">
        <f t="shared" si="1829"/>
        <v>-1000</v>
      </c>
      <c r="AR916" s="132">
        <f t="shared" si="1829"/>
        <v>-1000</v>
      </c>
      <c r="AS916" s="132">
        <f t="shared" si="1829"/>
        <v>-1000</v>
      </c>
    </row>
    <row r="917">
      <c r="A917" s="132" t="s">
        <v>4419</v>
      </c>
      <c r="B917" s="132">
        <v>1000.0</v>
      </c>
      <c r="C917" s="132">
        <v>1000.0</v>
      </c>
      <c r="D917" s="132">
        <v>0.0</v>
      </c>
      <c r="E917" s="132">
        <v>0.0</v>
      </c>
      <c r="F917" s="132">
        <v>0.0</v>
      </c>
      <c r="G917" s="132">
        <v>0.0</v>
      </c>
      <c r="H917" s="132">
        <v>0.0</v>
      </c>
      <c r="I917" s="132">
        <v>0.0</v>
      </c>
      <c r="J917" s="132">
        <v>0.0</v>
      </c>
      <c r="K917" s="132">
        <v>0.0</v>
      </c>
      <c r="L917" s="132">
        <v>0.0</v>
      </c>
      <c r="M917" s="132">
        <v>0.0</v>
      </c>
      <c r="N917" s="132">
        <v>0.0</v>
      </c>
      <c r="O917" s="132">
        <v>0.0</v>
      </c>
      <c r="P917" s="132">
        <v>0.0</v>
      </c>
      <c r="Q917" s="132">
        <v>0.0</v>
      </c>
      <c r="R917" s="132">
        <v>0.0</v>
      </c>
      <c r="S917" s="132">
        <v>0.0</v>
      </c>
      <c r="T917" s="132">
        <v>0.0</v>
      </c>
      <c r="U917" s="132">
        <v>0.0</v>
      </c>
      <c r="V917" s="132">
        <v>0.0</v>
      </c>
      <c r="W917" s="132">
        <v>0.0</v>
      </c>
      <c r="Y917" s="132" t="s">
        <v>4419</v>
      </c>
      <c r="Z917" s="132">
        <f t="shared" ref="Z917:AC917" si="1830">C917-1000</f>
        <v>0</v>
      </c>
      <c r="AA917" s="132">
        <f t="shared" si="1830"/>
        <v>-1000</v>
      </c>
      <c r="AB917" s="132">
        <f t="shared" si="1830"/>
        <v>-1000</v>
      </c>
      <c r="AC917" s="132">
        <f t="shared" si="1830"/>
        <v>-1000</v>
      </c>
      <c r="AD917" s="132">
        <f t="shared" si="4"/>
        <v>-10000</v>
      </c>
      <c r="AE917" s="132">
        <f t="shared" ref="AE917:AS917" si="1831">H917-1000</f>
        <v>-1000</v>
      </c>
      <c r="AF917" s="132">
        <f t="shared" si="1831"/>
        <v>-1000</v>
      </c>
      <c r="AG917" s="132">
        <f t="shared" si="1831"/>
        <v>-1000</v>
      </c>
      <c r="AH917" s="132">
        <f t="shared" si="1831"/>
        <v>-1000</v>
      </c>
      <c r="AI917" s="132">
        <f t="shared" si="1831"/>
        <v>-1000</v>
      </c>
      <c r="AJ917" s="132">
        <f t="shared" si="1831"/>
        <v>-1000</v>
      </c>
      <c r="AK917" s="132">
        <f t="shared" si="1831"/>
        <v>-1000</v>
      </c>
      <c r="AL917" s="132">
        <f t="shared" si="1831"/>
        <v>-1000</v>
      </c>
      <c r="AM917" s="132">
        <f t="shared" si="1831"/>
        <v>-1000</v>
      </c>
      <c r="AN917" s="132">
        <f t="shared" si="1831"/>
        <v>-1000</v>
      </c>
      <c r="AO917" s="132">
        <f t="shared" si="1831"/>
        <v>-1000</v>
      </c>
      <c r="AP917" s="132">
        <f t="shared" si="1831"/>
        <v>-1000</v>
      </c>
      <c r="AQ917" s="132">
        <f t="shared" si="1831"/>
        <v>-1000</v>
      </c>
      <c r="AR917" s="132">
        <f t="shared" si="1831"/>
        <v>-1000</v>
      </c>
      <c r="AS917" s="132">
        <f t="shared" si="1831"/>
        <v>-1000</v>
      </c>
    </row>
    <row r="918">
      <c r="A918" s="132" t="s">
        <v>4420</v>
      </c>
      <c r="B918" s="132">
        <v>5000.0</v>
      </c>
      <c r="C918" s="132">
        <v>5000.0</v>
      </c>
      <c r="D918" s="132">
        <v>0.0</v>
      </c>
      <c r="E918" s="132">
        <v>0.0</v>
      </c>
      <c r="F918" s="132">
        <v>0.0</v>
      </c>
      <c r="G918" s="132">
        <v>0.0</v>
      </c>
      <c r="H918" s="132">
        <v>0.0</v>
      </c>
      <c r="I918" s="132">
        <v>0.0</v>
      </c>
      <c r="J918" s="132">
        <v>0.0</v>
      </c>
      <c r="K918" s="132">
        <v>0.0</v>
      </c>
      <c r="L918" s="132">
        <v>0.0</v>
      </c>
      <c r="M918" s="132">
        <v>0.0</v>
      </c>
      <c r="N918" s="132">
        <v>0.0</v>
      </c>
      <c r="O918" s="132">
        <v>0.0</v>
      </c>
      <c r="P918" s="132">
        <v>0.0</v>
      </c>
      <c r="Q918" s="132">
        <v>0.0</v>
      </c>
      <c r="R918" s="132">
        <v>0.0</v>
      </c>
      <c r="S918" s="132">
        <v>0.0</v>
      </c>
      <c r="T918" s="132">
        <v>0.0</v>
      </c>
      <c r="U918" s="132">
        <v>0.0</v>
      </c>
      <c r="V918" s="132">
        <v>0.0</v>
      </c>
      <c r="W918" s="132">
        <v>0.0</v>
      </c>
      <c r="Y918" s="132" t="s">
        <v>4420</v>
      </c>
      <c r="Z918" s="132">
        <f t="shared" ref="Z918:AC918" si="1832">C918-1000</f>
        <v>4000</v>
      </c>
      <c r="AA918" s="132">
        <f t="shared" si="1832"/>
        <v>-1000</v>
      </c>
      <c r="AB918" s="132">
        <f t="shared" si="1832"/>
        <v>-1000</v>
      </c>
      <c r="AC918" s="132">
        <f t="shared" si="1832"/>
        <v>-1000</v>
      </c>
      <c r="AD918" s="132">
        <f t="shared" si="4"/>
        <v>-10000</v>
      </c>
      <c r="AE918" s="132">
        <f t="shared" ref="AE918:AS918" si="1833">H918-1000</f>
        <v>-1000</v>
      </c>
      <c r="AF918" s="132">
        <f t="shared" si="1833"/>
        <v>-1000</v>
      </c>
      <c r="AG918" s="132">
        <f t="shared" si="1833"/>
        <v>-1000</v>
      </c>
      <c r="AH918" s="132">
        <f t="shared" si="1833"/>
        <v>-1000</v>
      </c>
      <c r="AI918" s="132">
        <f t="shared" si="1833"/>
        <v>-1000</v>
      </c>
      <c r="AJ918" s="132">
        <f t="shared" si="1833"/>
        <v>-1000</v>
      </c>
      <c r="AK918" s="132">
        <f t="shared" si="1833"/>
        <v>-1000</v>
      </c>
      <c r="AL918" s="132">
        <f t="shared" si="1833"/>
        <v>-1000</v>
      </c>
      <c r="AM918" s="132">
        <f t="shared" si="1833"/>
        <v>-1000</v>
      </c>
      <c r="AN918" s="132">
        <f t="shared" si="1833"/>
        <v>-1000</v>
      </c>
      <c r="AO918" s="132">
        <f t="shared" si="1833"/>
        <v>-1000</v>
      </c>
      <c r="AP918" s="132">
        <f t="shared" si="1833"/>
        <v>-1000</v>
      </c>
      <c r="AQ918" s="132">
        <f t="shared" si="1833"/>
        <v>-1000</v>
      </c>
      <c r="AR918" s="132">
        <f t="shared" si="1833"/>
        <v>-1000</v>
      </c>
      <c r="AS918" s="132">
        <f t="shared" si="1833"/>
        <v>-1000</v>
      </c>
    </row>
    <row r="919">
      <c r="A919" s="132" t="s">
        <v>4421</v>
      </c>
      <c r="B919" s="132">
        <v>1500.0</v>
      </c>
      <c r="C919" s="132">
        <v>1500.0</v>
      </c>
      <c r="D919" s="132">
        <v>0.0</v>
      </c>
      <c r="E919" s="132">
        <v>0.0</v>
      </c>
      <c r="F919" s="132">
        <v>0.0</v>
      </c>
      <c r="G919" s="132">
        <v>0.0</v>
      </c>
      <c r="H919" s="132">
        <v>0.0</v>
      </c>
      <c r="I919" s="132">
        <v>0.0</v>
      </c>
      <c r="J919" s="132">
        <v>0.0</v>
      </c>
      <c r="K919" s="132">
        <v>0.0</v>
      </c>
      <c r="L919" s="132">
        <v>0.0</v>
      </c>
      <c r="M919" s="132">
        <v>0.0</v>
      </c>
      <c r="N919" s="132">
        <v>0.0</v>
      </c>
      <c r="O919" s="132">
        <v>0.0</v>
      </c>
      <c r="P919" s="132">
        <v>0.0</v>
      </c>
      <c r="Q919" s="132">
        <v>0.0</v>
      </c>
      <c r="R919" s="132">
        <v>0.0</v>
      </c>
      <c r="S919" s="132">
        <v>0.0</v>
      </c>
      <c r="T919" s="132">
        <v>0.0</v>
      </c>
      <c r="U919" s="132">
        <v>0.0</v>
      </c>
      <c r="V919" s="132">
        <v>0.0</v>
      </c>
      <c r="W919" s="132">
        <v>0.0</v>
      </c>
      <c r="Y919" s="132" t="s">
        <v>4421</v>
      </c>
      <c r="Z919" s="132">
        <f t="shared" ref="Z919:AC919" si="1834">C919-1000</f>
        <v>500</v>
      </c>
      <c r="AA919" s="132">
        <f t="shared" si="1834"/>
        <v>-1000</v>
      </c>
      <c r="AB919" s="132">
        <f t="shared" si="1834"/>
        <v>-1000</v>
      </c>
      <c r="AC919" s="132">
        <f t="shared" si="1834"/>
        <v>-1000</v>
      </c>
      <c r="AD919" s="132">
        <f t="shared" si="4"/>
        <v>-10000</v>
      </c>
      <c r="AE919" s="132">
        <f t="shared" ref="AE919:AS919" si="1835">H919-1000</f>
        <v>-1000</v>
      </c>
      <c r="AF919" s="132">
        <f t="shared" si="1835"/>
        <v>-1000</v>
      </c>
      <c r="AG919" s="132">
        <f t="shared" si="1835"/>
        <v>-1000</v>
      </c>
      <c r="AH919" s="132">
        <f t="shared" si="1835"/>
        <v>-1000</v>
      </c>
      <c r="AI919" s="132">
        <f t="shared" si="1835"/>
        <v>-1000</v>
      </c>
      <c r="AJ919" s="132">
        <f t="shared" si="1835"/>
        <v>-1000</v>
      </c>
      <c r="AK919" s="132">
        <f t="shared" si="1835"/>
        <v>-1000</v>
      </c>
      <c r="AL919" s="132">
        <f t="shared" si="1835"/>
        <v>-1000</v>
      </c>
      <c r="AM919" s="132">
        <f t="shared" si="1835"/>
        <v>-1000</v>
      </c>
      <c r="AN919" s="132">
        <f t="shared" si="1835"/>
        <v>-1000</v>
      </c>
      <c r="AO919" s="132">
        <f t="shared" si="1835"/>
        <v>-1000</v>
      </c>
      <c r="AP919" s="132">
        <f t="shared" si="1835"/>
        <v>-1000</v>
      </c>
      <c r="AQ919" s="132">
        <f t="shared" si="1835"/>
        <v>-1000</v>
      </c>
      <c r="AR919" s="132">
        <f t="shared" si="1835"/>
        <v>-1000</v>
      </c>
      <c r="AS919" s="132">
        <f t="shared" si="1835"/>
        <v>-1000</v>
      </c>
    </row>
    <row r="920">
      <c r="A920" s="132" t="s">
        <v>4422</v>
      </c>
      <c r="B920" s="132">
        <v>100.0</v>
      </c>
      <c r="C920" s="132">
        <v>0.0</v>
      </c>
      <c r="D920" s="132">
        <v>0.0</v>
      </c>
      <c r="E920" s="132">
        <v>0.0</v>
      </c>
      <c r="F920" s="132">
        <v>0.0</v>
      </c>
      <c r="G920" s="132">
        <v>0.0</v>
      </c>
      <c r="H920" s="132">
        <v>0.0</v>
      </c>
      <c r="I920" s="132">
        <v>100.0</v>
      </c>
      <c r="J920" s="132">
        <v>0.0</v>
      </c>
      <c r="K920" s="132">
        <v>0.0</v>
      </c>
      <c r="L920" s="132">
        <v>0.0</v>
      </c>
      <c r="M920" s="132">
        <v>0.0</v>
      </c>
      <c r="N920" s="132">
        <v>0.0</v>
      </c>
      <c r="O920" s="132">
        <v>0.0</v>
      </c>
      <c r="P920" s="132">
        <v>0.0</v>
      </c>
      <c r="Q920" s="132">
        <v>0.0</v>
      </c>
      <c r="R920" s="132">
        <v>0.0</v>
      </c>
      <c r="S920" s="132">
        <v>0.0</v>
      </c>
      <c r="T920" s="132">
        <v>0.0</v>
      </c>
      <c r="U920" s="132">
        <v>0.0</v>
      </c>
      <c r="V920" s="132">
        <v>0.0</v>
      </c>
      <c r="W920" s="132">
        <v>0.0</v>
      </c>
      <c r="Y920" s="132" t="s">
        <v>4422</v>
      </c>
      <c r="Z920" s="132">
        <f t="shared" ref="Z920:AC920" si="1836">C920-1000</f>
        <v>-1000</v>
      </c>
      <c r="AA920" s="132">
        <f t="shared" si="1836"/>
        <v>-1000</v>
      </c>
      <c r="AB920" s="132">
        <f t="shared" si="1836"/>
        <v>-1000</v>
      </c>
      <c r="AC920" s="132">
        <f t="shared" si="1836"/>
        <v>-1000</v>
      </c>
      <c r="AD920" s="132">
        <f t="shared" si="4"/>
        <v>-10000</v>
      </c>
      <c r="AE920" s="132">
        <f t="shared" ref="AE920:AS920" si="1837">H920-1000</f>
        <v>-1000</v>
      </c>
      <c r="AF920" s="132">
        <f t="shared" si="1837"/>
        <v>-900</v>
      </c>
      <c r="AG920" s="132">
        <f t="shared" si="1837"/>
        <v>-1000</v>
      </c>
      <c r="AH920" s="132">
        <f t="shared" si="1837"/>
        <v>-1000</v>
      </c>
      <c r="AI920" s="132">
        <f t="shared" si="1837"/>
        <v>-1000</v>
      </c>
      <c r="AJ920" s="132">
        <f t="shared" si="1837"/>
        <v>-1000</v>
      </c>
      <c r="AK920" s="132">
        <f t="shared" si="1837"/>
        <v>-1000</v>
      </c>
      <c r="AL920" s="132">
        <f t="shared" si="1837"/>
        <v>-1000</v>
      </c>
      <c r="AM920" s="132">
        <f t="shared" si="1837"/>
        <v>-1000</v>
      </c>
      <c r="AN920" s="132">
        <f t="shared" si="1837"/>
        <v>-1000</v>
      </c>
      <c r="AO920" s="132">
        <f t="shared" si="1837"/>
        <v>-1000</v>
      </c>
      <c r="AP920" s="132">
        <f t="shared" si="1837"/>
        <v>-1000</v>
      </c>
      <c r="AQ920" s="132">
        <f t="shared" si="1837"/>
        <v>-1000</v>
      </c>
      <c r="AR920" s="132">
        <f t="shared" si="1837"/>
        <v>-1000</v>
      </c>
      <c r="AS920" s="132">
        <f t="shared" si="1837"/>
        <v>-1000</v>
      </c>
    </row>
    <row r="921">
      <c r="A921" s="132" t="s">
        <v>4423</v>
      </c>
      <c r="B921" s="132">
        <v>200.0</v>
      </c>
      <c r="C921" s="132">
        <v>0.0</v>
      </c>
      <c r="D921" s="132">
        <v>0.0</v>
      </c>
      <c r="E921" s="132">
        <v>0.0</v>
      </c>
      <c r="F921" s="132">
        <v>0.0</v>
      </c>
      <c r="G921" s="132">
        <v>0.0</v>
      </c>
      <c r="H921" s="132">
        <v>0.0</v>
      </c>
      <c r="I921" s="132">
        <v>200.0</v>
      </c>
      <c r="J921" s="132">
        <v>0.0</v>
      </c>
      <c r="K921" s="132">
        <v>0.0</v>
      </c>
      <c r="L921" s="132">
        <v>0.0</v>
      </c>
      <c r="M921" s="132">
        <v>0.0</v>
      </c>
      <c r="N921" s="132">
        <v>0.0</v>
      </c>
      <c r="O921" s="132">
        <v>0.0</v>
      </c>
      <c r="P921" s="132">
        <v>0.0</v>
      </c>
      <c r="Q921" s="132">
        <v>0.0</v>
      </c>
      <c r="R921" s="132">
        <v>0.0</v>
      </c>
      <c r="S921" s="132">
        <v>0.0</v>
      </c>
      <c r="T921" s="132">
        <v>0.0</v>
      </c>
      <c r="U921" s="132">
        <v>0.0</v>
      </c>
      <c r="V921" s="132">
        <v>0.0</v>
      </c>
      <c r="W921" s="132">
        <v>0.0</v>
      </c>
      <c r="Y921" s="132" t="s">
        <v>4423</v>
      </c>
      <c r="Z921" s="132">
        <f t="shared" ref="Z921:AC921" si="1838">C921-1000</f>
        <v>-1000</v>
      </c>
      <c r="AA921" s="132">
        <f t="shared" si="1838"/>
        <v>-1000</v>
      </c>
      <c r="AB921" s="132">
        <f t="shared" si="1838"/>
        <v>-1000</v>
      </c>
      <c r="AC921" s="132">
        <f t="shared" si="1838"/>
        <v>-1000</v>
      </c>
      <c r="AD921" s="132">
        <f t="shared" si="4"/>
        <v>-10000</v>
      </c>
      <c r="AE921" s="132">
        <f t="shared" ref="AE921:AS921" si="1839">H921-1000</f>
        <v>-1000</v>
      </c>
      <c r="AF921" s="132">
        <f t="shared" si="1839"/>
        <v>-800</v>
      </c>
      <c r="AG921" s="132">
        <f t="shared" si="1839"/>
        <v>-1000</v>
      </c>
      <c r="AH921" s="132">
        <f t="shared" si="1839"/>
        <v>-1000</v>
      </c>
      <c r="AI921" s="132">
        <f t="shared" si="1839"/>
        <v>-1000</v>
      </c>
      <c r="AJ921" s="132">
        <f t="shared" si="1839"/>
        <v>-1000</v>
      </c>
      <c r="AK921" s="132">
        <f t="shared" si="1839"/>
        <v>-1000</v>
      </c>
      <c r="AL921" s="132">
        <f t="shared" si="1839"/>
        <v>-1000</v>
      </c>
      <c r="AM921" s="132">
        <f t="shared" si="1839"/>
        <v>-1000</v>
      </c>
      <c r="AN921" s="132">
        <f t="shared" si="1839"/>
        <v>-1000</v>
      </c>
      <c r="AO921" s="132">
        <f t="shared" si="1839"/>
        <v>-1000</v>
      </c>
      <c r="AP921" s="132">
        <f t="shared" si="1839"/>
        <v>-1000</v>
      </c>
      <c r="AQ921" s="132">
        <f t="shared" si="1839"/>
        <v>-1000</v>
      </c>
      <c r="AR921" s="132">
        <f t="shared" si="1839"/>
        <v>-1000</v>
      </c>
      <c r="AS921" s="132">
        <f t="shared" si="1839"/>
        <v>-1000</v>
      </c>
    </row>
    <row r="922">
      <c r="A922" s="132" t="s">
        <v>4424</v>
      </c>
      <c r="B922" s="132">
        <v>100.0</v>
      </c>
      <c r="C922" s="132">
        <v>0.0</v>
      </c>
      <c r="D922" s="132">
        <v>0.0</v>
      </c>
      <c r="E922" s="132">
        <v>0.0</v>
      </c>
      <c r="F922" s="132">
        <v>0.0</v>
      </c>
      <c r="G922" s="132">
        <v>0.0</v>
      </c>
      <c r="H922" s="132">
        <v>0.0</v>
      </c>
      <c r="I922" s="132">
        <v>100.0</v>
      </c>
      <c r="J922" s="132">
        <v>0.0</v>
      </c>
      <c r="K922" s="132">
        <v>0.0</v>
      </c>
      <c r="L922" s="132">
        <v>0.0</v>
      </c>
      <c r="M922" s="132">
        <v>0.0</v>
      </c>
      <c r="N922" s="132">
        <v>0.0</v>
      </c>
      <c r="O922" s="132">
        <v>0.0</v>
      </c>
      <c r="P922" s="132">
        <v>0.0</v>
      </c>
      <c r="Q922" s="132">
        <v>0.0</v>
      </c>
      <c r="R922" s="132">
        <v>0.0</v>
      </c>
      <c r="S922" s="132">
        <v>0.0</v>
      </c>
      <c r="T922" s="132">
        <v>0.0</v>
      </c>
      <c r="U922" s="132">
        <v>0.0</v>
      </c>
      <c r="V922" s="132">
        <v>0.0</v>
      </c>
      <c r="W922" s="132">
        <v>0.0</v>
      </c>
      <c r="Y922" s="132" t="s">
        <v>4424</v>
      </c>
      <c r="Z922" s="132">
        <f t="shared" ref="Z922:AC922" si="1840">C922-1000</f>
        <v>-1000</v>
      </c>
      <c r="AA922" s="132">
        <f t="shared" si="1840"/>
        <v>-1000</v>
      </c>
      <c r="AB922" s="132">
        <f t="shared" si="1840"/>
        <v>-1000</v>
      </c>
      <c r="AC922" s="132">
        <f t="shared" si="1840"/>
        <v>-1000</v>
      </c>
      <c r="AD922" s="132">
        <f t="shared" si="4"/>
        <v>-10000</v>
      </c>
      <c r="AE922" s="132">
        <f t="shared" ref="AE922:AS922" si="1841">H922-1000</f>
        <v>-1000</v>
      </c>
      <c r="AF922" s="132">
        <f t="shared" si="1841"/>
        <v>-900</v>
      </c>
      <c r="AG922" s="132">
        <f t="shared" si="1841"/>
        <v>-1000</v>
      </c>
      <c r="AH922" s="132">
        <f t="shared" si="1841"/>
        <v>-1000</v>
      </c>
      <c r="AI922" s="132">
        <f t="shared" si="1841"/>
        <v>-1000</v>
      </c>
      <c r="AJ922" s="132">
        <f t="shared" si="1841"/>
        <v>-1000</v>
      </c>
      <c r="AK922" s="132">
        <f t="shared" si="1841"/>
        <v>-1000</v>
      </c>
      <c r="AL922" s="132">
        <f t="shared" si="1841"/>
        <v>-1000</v>
      </c>
      <c r="AM922" s="132">
        <f t="shared" si="1841"/>
        <v>-1000</v>
      </c>
      <c r="AN922" s="132">
        <f t="shared" si="1841"/>
        <v>-1000</v>
      </c>
      <c r="AO922" s="132">
        <f t="shared" si="1841"/>
        <v>-1000</v>
      </c>
      <c r="AP922" s="132">
        <f t="shared" si="1841"/>
        <v>-1000</v>
      </c>
      <c r="AQ922" s="132">
        <f t="shared" si="1841"/>
        <v>-1000</v>
      </c>
      <c r="AR922" s="132">
        <f t="shared" si="1841"/>
        <v>-1000</v>
      </c>
      <c r="AS922" s="132">
        <f t="shared" si="1841"/>
        <v>-1000</v>
      </c>
    </row>
    <row r="923">
      <c r="A923" s="132" t="s">
        <v>4425</v>
      </c>
      <c r="B923" s="132">
        <v>1000.0</v>
      </c>
      <c r="C923" s="132">
        <v>0.0</v>
      </c>
      <c r="D923" s="132">
        <v>0.0</v>
      </c>
      <c r="E923" s="132">
        <v>0.0</v>
      </c>
      <c r="F923" s="132">
        <v>0.0</v>
      </c>
      <c r="G923" s="132">
        <v>0.0</v>
      </c>
      <c r="H923" s="132">
        <v>0.0</v>
      </c>
      <c r="I923" s="132">
        <v>1000.0</v>
      </c>
      <c r="J923" s="132">
        <v>0.0</v>
      </c>
      <c r="K923" s="132">
        <v>0.0</v>
      </c>
      <c r="L923" s="132">
        <v>0.0</v>
      </c>
      <c r="M923" s="132">
        <v>0.0</v>
      </c>
      <c r="N923" s="132">
        <v>0.0</v>
      </c>
      <c r="O923" s="132">
        <v>0.0</v>
      </c>
      <c r="P923" s="132">
        <v>0.0</v>
      </c>
      <c r="Q923" s="132">
        <v>0.0</v>
      </c>
      <c r="R923" s="132">
        <v>0.0</v>
      </c>
      <c r="S923" s="132">
        <v>0.0</v>
      </c>
      <c r="T923" s="132">
        <v>0.0</v>
      </c>
      <c r="U923" s="132">
        <v>0.0</v>
      </c>
      <c r="V923" s="132">
        <v>0.0</v>
      </c>
      <c r="W923" s="132">
        <v>0.0</v>
      </c>
      <c r="Y923" s="132" t="s">
        <v>4425</v>
      </c>
      <c r="Z923" s="132">
        <f t="shared" ref="Z923:AC923" si="1842">C923-1000</f>
        <v>-1000</v>
      </c>
      <c r="AA923" s="132">
        <f t="shared" si="1842"/>
        <v>-1000</v>
      </c>
      <c r="AB923" s="132">
        <f t="shared" si="1842"/>
        <v>-1000</v>
      </c>
      <c r="AC923" s="132">
        <f t="shared" si="1842"/>
        <v>-1000</v>
      </c>
      <c r="AD923" s="132">
        <f t="shared" si="4"/>
        <v>-10000</v>
      </c>
      <c r="AE923" s="132">
        <f t="shared" ref="AE923:AS923" si="1843">H923-1000</f>
        <v>-1000</v>
      </c>
      <c r="AF923" s="132">
        <f t="shared" si="1843"/>
        <v>0</v>
      </c>
      <c r="AG923" s="132">
        <f t="shared" si="1843"/>
        <v>-1000</v>
      </c>
      <c r="AH923" s="132">
        <f t="shared" si="1843"/>
        <v>-1000</v>
      </c>
      <c r="AI923" s="132">
        <f t="shared" si="1843"/>
        <v>-1000</v>
      </c>
      <c r="AJ923" s="132">
        <f t="shared" si="1843"/>
        <v>-1000</v>
      </c>
      <c r="AK923" s="132">
        <f t="shared" si="1843"/>
        <v>-1000</v>
      </c>
      <c r="AL923" s="132">
        <f t="shared" si="1843"/>
        <v>-1000</v>
      </c>
      <c r="AM923" s="132">
        <f t="shared" si="1843"/>
        <v>-1000</v>
      </c>
      <c r="AN923" s="132">
        <f t="shared" si="1843"/>
        <v>-1000</v>
      </c>
      <c r="AO923" s="132">
        <f t="shared" si="1843"/>
        <v>-1000</v>
      </c>
      <c r="AP923" s="132">
        <f t="shared" si="1843"/>
        <v>-1000</v>
      </c>
      <c r="AQ923" s="132">
        <f t="shared" si="1843"/>
        <v>-1000</v>
      </c>
      <c r="AR923" s="132">
        <f t="shared" si="1843"/>
        <v>-1000</v>
      </c>
      <c r="AS923" s="132">
        <f t="shared" si="1843"/>
        <v>-1000</v>
      </c>
    </row>
    <row r="924">
      <c r="A924" s="132" t="s">
        <v>4426</v>
      </c>
      <c r="B924" s="132">
        <v>100.0</v>
      </c>
      <c r="C924" s="132">
        <v>0.0</v>
      </c>
      <c r="D924" s="132">
        <v>0.0</v>
      </c>
      <c r="E924" s="132">
        <v>0.0</v>
      </c>
      <c r="F924" s="132">
        <v>0.0</v>
      </c>
      <c r="G924" s="132">
        <v>0.0</v>
      </c>
      <c r="H924" s="132">
        <v>0.0</v>
      </c>
      <c r="I924" s="132">
        <v>100.0</v>
      </c>
      <c r="J924" s="132">
        <v>0.0</v>
      </c>
      <c r="K924" s="132">
        <v>0.0</v>
      </c>
      <c r="L924" s="132">
        <v>0.0</v>
      </c>
      <c r="M924" s="132">
        <v>0.0</v>
      </c>
      <c r="N924" s="132">
        <v>0.0</v>
      </c>
      <c r="O924" s="132">
        <v>0.0</v>
      </c>
      <c r="P924" s="132">
        <v>0.0</v>
      </c>
      <c r="Q924" s="132">
        <v>0.0</v>
      </c>
      <c r="R924" s="132">
        <v>0.0</v>
      </c>
      <c r="S924" s="132">
        <v>0.0</v>
      </c>
      <c r="T924" s="132">
        <v>0.0</v>
      </c>
      <c r="U924" s="132">
        <v>0.0</v>
      </c>
      <c r="V924" s="132">
        <v>0.0</v>
      </c>
      <c r="W924" s="132">
        <v>0.0</v>
      </c>
      <c r="Y924" s="132" t="s">
        <v>4426</v>
      </c>
      <c r="Z924" s="132">
        <f t="shared" ref="Z924:AC924" si="1844">C924-1000</f>
        <v>-1000</v>
      </c>
      <c r="AA924" s="132">
        <f t="shared" si="1844"/>
        <v>-1000</v>
      </c>
      <c r="AB924" s="132">
        <f t="shared" si="1844"/>
        <v>-1000</v>
      </c>
      <c r="AC924" s="132">
        <f t="shared" si="1844"/>
        <v>-1000</v>
      </c>
      <c r="AD924" s="132">
        <f t="shared" si="4"/>
        <v>-10000</v>
      </c>
      <c r="AE924" s="132">
        <f t="shared" ref="AE924:AS924" si="1845">H924-1000</f>
        <v>-1000</v>
      </c>
      <c r="AF924" s="132">
        <f t="shared" si="1845"/>
        <v>-900</v>
      </c>
      <c r="AG924" s="132">
        <f t="shared" si="1845"/>
        <v>-1000</v>
      </c>
      <c r="AH924" s="132">
        <f t="shared" si="1845"/>
        <v>-1000</v>
      </c>
      <c r="AI924" s="132">
        <f t="shared" si="1845"/>
        <v>-1000</v>
      </c>
      <c r="AJ924" s="132">
        <f t="shared" si="1845"/>
        <v>-1000</v>
      </c>
      <c r="AK924" s="132">
        <f t="shared" si="1845"/>
        <v>-1000</v>
      </c>
      <c r="AL924" s="132">
        <f t="shared" si="1845"/>
        <v>-1000</v>
      </c>
      <c r="AM924" s="132">
        <f t="shared" si="1845"/>
        <v>-1000</v>
      </c>
      <c r="AN924" s="132">
        <f t="shared" si="1845"/>
        <v>-1000</v>
      </c>
      <c r="AO924" s="132">
        <f t="shared" si="1845"/>
        <v>-1000</v>
      </c>
      <c r="AP924" s="132">
        <f t="shared" si="1845"/>
        <v>-1000</v>
      </c>
      <c r="AQ924" s="132">
        <f t="shared" si="1845"/>
        <v>-1000</v>
      </c>
      <c r="AR924" s="132">
        <f t="shared" si="1845"/>
        <v>-1000</v>
      </c>
      <c r="AS924" s="132">
        <f t="shared" si="1845"/>
        <v>-1000</v>
      </c>
    </row>
    <row r="925">
      <c r="A925" s="132" t="s">
        <v>4427</v>
      </c>
      <c r="B925" s="132">
        <v>100.0</v>
      </c>
      <c r="C925" s="132">
        <v>0.0</v>
      </c>
      <c r="D925" s="132">
        <v>0.0</v>
      </c>
      <c r="E925" s="132">
        <v>0.0</v>
      </c>
      <c r="F925" s="132">
        <v>0.0</v>
      </c>
      <c r="G925" s="132">
        <v>0.0</v>
      </c>
      <c r="H925" s="132">
        <v>0.0</v>
      </c>
      <c r="I925" s="132">
        <v>100.0</v>
      </c>
      <c r="J925" s="132">
        <v>0.0</v>
      </c>
      <c r="K925" s="132">
        <v>0.0</v>
      </c>
      <c r="L925" s="132">
        <v>0.0</v>
      </c>
      <c r="M925" s="132">
        <v>0.0</v>
      </c>
      <c r="N925" s="132">
        <v>0.0</v>
      </c>
      <c r="O925" s="132">
        <v>0.0</v>
      </c>
      <c r="P925" s="132">
        <v>0.0</v>
      </c>
      <c r="Q925" s="132">
        <v>0.0</v>
      </c>
      <c r="R925" s="132">
        <v>0.0</v>
      </c>
      <c r="S925" s="132">
        <v>0.0</v>
      </c>
      <c r="T925" s="132">
        <v>0.0</v>
      </c>
      <c r="U925" s="132">
        <v>0.0</v>
      </c>
      <c r="V925" s="132">
        <v>0.0</v>
      </c>
      <c r="W925" s="132">
        <v>0.0</v>
      </c>
      <c r="Y925" s="132" t="s">
        <v>4427</v>
      </c>
      <c r="Z925" s="132">
        <f t="shared" ref="Z925:AC925" si="1846">C925-1000</f>
        <v>-1000</v>
      </c>
      <c r="AA925" s="132">
        <f t="shared" si="1846"/>
        <v>-1000</v>
      </c>
      <c r="AB925" s="132">
        <f t="shared" si="1846"/>
        <v>-1000</v>
      </c>
      <c r="AC925" s="132">
        <f t="shared" si="1846"/>
        <v>-1000</v>
      </c>
      <c r="AD925" s="132">
        <f t="shared" si="4"/>
        <v>-10000</v>
      </c>
      <c r="AE925" s="132">
        <f t="shared" ref="AE925:AS925" si="1847">H925-1000</f>
        <v>-1000</v>
      </c>
      <c r="AF925" s="132">
        <f t="shared" si="1847"/>
        <v>-900</v>
      </c>
      <c r="AG925" s="132">
        <f t="shared" si="1847"/>
        <v>-1000</v>
      </c>
      <c r="AH925" s="132">
        <f t="shared" si="1847"/>
        <v>-1000</v>
      </c>
      <c r="AI925" s="132">
        <f t="shared" si="1847"/>
        <v>-1000</v>
      </c>
      <c r="AJ925" s="132">
        <f t="shared" si="1847"/>
        <v>-1000</v>
      </c>
      <c r="AK925" s="132">
        <f t="shared" si="1847"/>
        <v>-1000</v>
      </c>
      <c r="AL925" s="132">
        <f t="shared" si="1847"/>
        <v>-1000</v>
      </c>
      <c r="AM925" s="132">
        <f t="shared" si="1847"/>
        <v>-1000</v>
      </c>
      <c r="AN925" s="132">
        <f t="shared" si="1847"/>
        <v>-1000</v>
      </c>
      <c r="AO925" s="132">
        <f t="shared" si="1847"/>
        <v>-1000</v>
      </c>
      <c r="AP925" s="132">
        <f t="shared" si="1847"/>
        <v>-1000</v>
      </c>
      <c r="AQ925" s="132">
        <f t="shared" si="1847"/>
        <v>-1000</v>
      </c>
      <c r="AR925" s="132">
        <f t="shared" si="1847"/>
        <v>-1000</v>
      </c>
      <c r="AS925" s="132">
        <f t="shared" si="1847"/>
        <v>-1000</v>
      </c>
    </row>
    <row r="926">
      <c r="A926" s="132" t="s">
        <v>4428</v>
      </c>
      <c r="B926" s="132">
        <v>500.0</v>
      </c>
      <c r="C926" s="132">
        <v>0.0</v>
      </c>
      <c r="D926" s="132">
        <v>0.0</v>
      </c>
      <c r="E926" s="132">
        <v>0.0</v>
      </c>
      <c r="F926" s="132">
        <v>0.0</v>
      </c>
      <c r="G926" s="132">
        <v>0.0</v>
      </c>
      <c r="H926" s="132">
        <v>0.0</v>
      </c>
      <c r="I926" s="132">
        <v>500.0</v>
      </c>
      <c r="J926" s="132">
        <v>0.0</v>
      </c>
      <c r="K926" s="132">
        <v>0.0</v>
      </c>
      <c r="L926" s="132">
        <v>0.0</v>
      </c>
      <c r="M926" s="132">
        <v>0.0</v>
      </c>
      <c r="N926" s="132">
        <v>0.0</v>
      </c>
      <c r="O926" s="132">
        <v>0.0</v>
      </c>
      <c r="P926" s="132">
        <v>0.0</v>
      </c>
      <c r="Q926" s="132">
        <v>0.0</v>
      </c>
      <c r="R926" s="132">
        <v>0.0</v>
      </c>
      <c r="S926" s="132">
        <v>0.0</v>
      </c>
      <c r="T926" s="132">
        <v>0.0</v>
      </c>
      <c r="U926" s="132">
        <v>0.0</v>
      </c>
      <c r="V926" s="132">
        <v>0.0</v>
      </c>
      <c r="W926" s="132">
        <v>0.0</v>
      </c>
      <c r="Y926" s="132" t="s">
        <v>4428</v>
      </c>
      <c r="Z926" s="132">
        <f t="shared" ref="Z926:AC926" si="1848">C926-1000</f>
        <v>-1000</v>
      </c>
      <c r="AA926" s="132">
        <f t="shared" si="1848"/>
        <v>-1000</v>
      </c>
      <c r="AB926" s="132">
        <f t="shared" si="1848"/>
        <v>-1000</v>
      </c>
      <c r="AC926" s="132">
        <f t="shared" si="1848"/>
        <v>-1000</v>
      </c>
      <c r="AD926" s="132">
        <f t="shared" si="4"/>
        <v>-10000</v>
      </c>
      <c r="AE926" s="132">
        <f t="shared" ref="AE926:AS926" si="1849">H926-1000</f>
        <v>-1000</v>
      </c>
      <c r="AF926" s="132">
        <f t="shared" si="1849"/>
        <v>-500</v>
      </c>
      <c r="AG926" s="132">
        <f t="shared" si="1849"/>
        <v>-1000</v>
      </c>
      <c r="AH926" s="132">
        <f t="shared" si="1849"/>
        <v>-1000</v>
      </c>
      <c r="AI926" s="132">
        <f t="shared" si="1849"/>
        <v>-1000</v>
      </c>
      <c r="AJ926" s="132">
        <f t="shared" si="1849"/>
        <v>-1000</v>
      </c>
      <c r="AK926" s="132">
        <f t="shared" si="1849"/>
        <v>-1000</v>
      </c>
      <c r="AL926" s="132">
        <f t="shared" si="1849"/>
        <v>-1000</v>
      </c>
      <c r="AM926" s="132">
        <f t="shared" si="1849"/>
        <v>-1000</v>
      </c>
      <c r="AN926" s="132">
        <f t="shared" si="1849"/>
        <v>-1000</v>
      </c>
      <c r="AO926" s="132">
        <f t="shared" si="1849"/>
        <v>-1000</v>
      </c>
      <c r="AP926" s="132">
        <f t="shared" si="1849"/>
        <v>-1000</v>
      </c>
      <c r="AQ926" s="132">
        <f t="shared" si="1849"/>
        <v>-1000</v>
      </c>
      <c r="AR926" s="132">
        <f t="shared" si="1849"/>
        <v>-1000</v>
      </c>
      <c r="AS926" s="132">
        <f t="shared" si="1849"/>
        <v>-1000</v>
      </c>
    </row>
    <row r="927">
      <c r="A927" s="132" t="s">
        <v>4429</v>
      </c>
      <c r="B927" s="132">
        <v>150.0</v>
      </c>
      <c r="C927" s="132">
        <v>0.0</v>
      </c>
      <c r="D927" s="132">
        <v>0.0</v>
      </c>
      <c r="E927" s="132">
        <v>0.0</v>
      </c>
      <c r="F927" s="132">
        <v>0.0</v>
      </c>
      <c r="G927" s="132">
        <v>0.0</v>
      </c>
      <c r="H927" s="132">
        <v>0.0</v>
      </c>
      <c r="I927" s="132">
        <v>150.0</v>
      </c>
      <c r="J927" s="132">
        <v>0.0</v>
      </c>
      <c r="K927" s="132">
        <v>0.0</v>
      </c>
      <c r="L927" s="132">
        <v>0.0</v>
      </c>
      <c r="M927" s="132">
        <v>0.0</v>
      </c>
      <c r="N927" s="132">
        <v>0.0</v>
      </c>
      <c r="O927" s="132">
        <v>0.0</v>
      </c>
      <c r="P927" s="132">
        <v>0.0</v>
      </c>
      <c r="Q927" s="132">
        <v>0.0</v>
      </c>
      <c r="R927" s="132">
        <v>0.0</v>
      </c>
      <c r="S927" s="132">
        <v>0.0</v>
      </c>
      <c r="T927" s="132">
        <v>0.0</v>
      </c>
      <c r="U927" s="132">
        <v>0.0</v>
      </c>
      <c r="V927" s="132">
        <v>0.0</v>
      </c>
      <c r="W927" s="132">
        <v>0.0</v>
      </c>
      <c r="Y927" s="132" t="s">
        <v>4429</v>
      </c>
      <c r="Z927" s="132">
        <f t="shared" ref="Z927:AC927" si="1850">C927-1000</f>
        <v>-1000</v>
      </c>
      <c r="AA927" s="132">
        <f t="shared" si="1850"/>
        <v>-1000</v>
      </c>
      <c r="AB927" s="132">
        <f t="shared" si="1850"/>
        <v>-1000</v>
      </c>
      <c r="AC927" s="132">
        <f t="shared" si="1850"/>
        <v>-1000</v>
      </c>
      <c r="AD927" s="132">
        <f t="shared" si="4"/>
        <v>-10000</v>
      </c>
      <c r="AE927" s="132">
        <f t="shared" ref="AE927:AS927" si="1851">H927-1000</f>
        <v>-1000</v>
      </c>
      <c r="AF927" s="132">
        <f t="shared" si="1851"/>
        <v>-850</v>
      </c>
      <c r="AG927" s="132">
        <f t="shared" si="1851"/>
        <v>-1000</v>
      </c>
      <c r="AH927" s="132">
        <f t="shared" si="1851"/>
        <v>-1000</v>
      </c>
      <c r="AI927" s="132">
        <f t="shared" si="1851"/>
        <v>-1000</v>
      </c>
      <c r="AJ927" s="132">
        <f t="shared" si="1851"/>
        <v>-1000</v>
      </c>
      <c r="AK927" s="132">
        <f t="shared" si="1851"/>
        <v>-1000</v>
      </c>
      <c r="AL927" s="132">
        <f t="shared" si="1851"/>
        <v>-1000</v>
      </c>
      <c r="AM927" s="132">
        <f t="shared" si="1851"/>
        <v>-1000</v>
      </c>
      <c r="AN927" s="132">
        <f t="shared" si="1851"/>
        <v>-1000</v>
      </c>
      <c r="AO927" s="132">
        <f t="shared" si="1851"/>
        <v>-1000</v>
      </c>
      <c r="AP927" s="132">
        <f t="shared" si="1851"/>
        <v>-1000</v>
      </c>
      <c r="AQ927" s="132">
        <f t="shared" si="1851"/>
        <v>-1000</v>
      </c>
      <c r="AR927" s="132">
        <f t="shared" si="1851"/>
        <v>-1000</v>
      </c>
      <c r="AS927" s="132">
        <f t="shared" si="1851"/>
        <v>-1000</v>
      </c>
    </row>
    <row r="928">
      <c r="A928" s="132" t="s">
        <v>4430</v>
      </c>
      <c r="B928" s="132">
        <v>500.0</v>
      </c>
      <c r="C928" s="132">
        <v>0.0</v>
      </c>
      <c r="D928" s="132">
        <v>0.0</v>
      </c>
      <c r="E928" s="132">
        <v>0.0</v>
      </c>
      <c r="F928" s="132">
        <v>0.0</v>
      </c>
      <c r="G928" s="132">
        <v>0.0</v>
      </c>
      <c r="H928" s="132">
        <v>0.0</v>
      </c>
      <c r="I928" s="132">
        <v>500.0</v>
      </c>
      <c r="J928" s="132">
        <v>0.0</v>
      </c>
      <c r="K928" s="132">
        <v>0.0</v>
      </c>
      <c r="L928" s="132">
        <v>0.0</v>
      </c>
      <c r="M928" s="132">
        <v>0.0</v>
      </c>
      <c r="N928" s="132">
        <v>0.0</v>
      </c>
      <c r="O928" s="132">
        <v>0.0</v>
      </c>
      <c r="P928" s="132">
        <v>0.0</v>
      </c>
      <c r="Q928" s="132">
        <v>0.0</v>
      </c>
      <c r="R928" s="132">
        <v>0.0</v>
      </c>
      <c r="S928" s="132">
        <v>0.0</v>
      </c>
      <c r="T928" s="132">
        <v>0.0</v>
      </c>
      <c r="U928" s="132">
        <v>0.0</v>
      </c>
      <c r="V928" s="132">
        <v>0.0</v>
      </c>
      <c r="W928" s="132">
        <v>0.0</v>
      </c>
      <c r="Y928" s="132" t="s">
        <v>4430</v>
      </c>
      <c r="Z928" s="132">
        <f t="shared" ref="Z928:AC928" si="1852">C928-1000</f>
        <v>-1000</v>
      </c>
      <c r="AA928" s="132">
        <f t="shared" si="1852"/>
        <v>-1000</v>
      </c>
      <c r="AB928" s="132">
        <f t="shared" si="1852"/>
        <v>-1000</v>
      </c>
      <c r="AC928" s="132">
        <f t="shared" si="1852"/>
        <v>-1000</v>
      </c>
      <c r="AD928" s="132">
        <f t="shared" si="4"/>
        <v>-10000</v>
      </c>
      <c r="AE928" s="132">
        <f t="shared" ref="AE928:AS928" si="1853">H928-1000</f>
        <v>-1000</v>
      </c>
      <c r="AF928" s="132">
        <f t="shared" si="1853"/>
        <v>-500</v>
      </c>
      <c r="AG928" s="132">
        <f t="shared" si="1853"/>
        <v>-1000</v>
      </c>
      <c r="AH928" s="132">
        <f t="shared" si="1853"/>
        <v>-1000</v>
      </c>
      <c r="AI928" s="132">
        <f t="shared" si="1853"/>
        <v>-1000</v>
      </c>
      <c r="AJ928" s="132">
        <f t="shared" si="1853"/>
        <v>-1000</v>
      </c>
      <c r="AK928" s="132">
        <f t="shared" si="1853"/>
        <v>-1000</v>
      </c>
      <c r="AL928" s="132">
        <f t="shared" si="1853"/>
        <v>-1000</v>
      </c>
      <c r="AM928" s="132">
        <f t="shared" si="1853"/>
        <v>-1000</v>
      </c>
      <c r="AN928" s="132">
        <f t="shared" si="1853"/>
        <v>-1000</v>
      </c>
      <c r="AO928" s="132">
        <f t="shared" si="1853"/>
        <v>-1000</v>
      </c>
      <c r="AP928" s="132">
        <f t="shared" si="1853"/>
        <v>-1000</v>
      </c>
      <c r="AQ928" s="132">
        <f t="shared" si="1853"/>
        <v>-1000</v>
      </c>
      <c r="AR928" s="132">
        <f t="shared" si="1853"/>
        <v>-1000</v>
      </c>
      <c r="AS928" s="132">
        <f t="shared" si="1853"/>
        <v>-1000</v>
      </c>
    </row>
    <row r="929">
      <c r="A929" s="132" t="s">
        <v>4431</v>
      </c>
      <c r="B929" s="132">
        <v>500.0</v>
      </c>
      <c r="C929" s="132">
        <v>0.0</v>
      </c>
      <c r="D929" s="132">
        <v>0.0</v>
      </c>
      <c r="E929" s="132">
        <v>0.0</v>
      </c>
      <c r="F929" s="132">
        <v>0.0</v>
      </c>
      <c r="G929" s="132">
        <v>0.0</v>
      </c>
      <c r="H929" s="132">
        <v>0.0</v>
      </c>
      <c r="I929" s="132">
        <v>500.0</v>
      </c>
      <c r="J929" s="132">
        <v>0.0</v>
      </c>
      <c r="K929" s="132">
        <v>0.0</v>
      </c>
      <c r="L929" s="132">
        <v>0.0</v>
      </c>
      <c r="M929" s="132">
        <v>0.0</v>
      </c>
      <c r="N929" s="132">
        <v>0.0</v>
      </c>
      <c r="O929" s="132">
        <v>0.0</v>
      </c>
      <c r="P929" s="132">
        <v>0.0</v>
      </c>
      <c r="Q929" s="132">
        <v>0.0</v>
      </c>
      <c r="R929" s="132">
        <v>0.0</v>
      </c>
      <c r="S929" s="132">
        <v>0.0</v>
      </c>
      <c r="T929" s="132">
        <v>0.0</v>
      </c>
      <c r="U929" s="132">
        <v>0.0</v>
      </c>
      <c r="V929" s="132">
        <v>0.0</v>
      </c>
      <c r="W929" s="132">
        <v>0.0</v>
      </c>
      <c r="Y929" s="132" t="s">
        <v>4431</v>
      </c>
      <c r="Z929" s="132">
        <f t="shared" ref="Z929:AC929" si="1854">C929-1000</f>
        <v>-1000</v>
      </c>
      <c r="AA929" s="132">
        <f t="shared" si="1854"/>
        <v>-1000</v>
      </c>
      <c r="AB929" s="132">
        <f t="shared" si="1854"/>
        <v>-1000</v>
      </c>
      <c r="AC929" s="132">
        <f t="shared" si="1854"/>
        <v>-1000</v>
      </c>
      <c r="AD929" s="132">
        <f t="shared" si="4"/>
        <v>-10000</v>
      </c>
      <c r="AE929" s="132">
        <f t="shared" ref="AE929:AS929" si="1855">H929-1000</f>
        <v>-1000</v>
      </c>
      <c r="AF929" s="132">
        <f t="shared" si="1855"/>
        <v>-500</v>
      </c>
      <c r="AG929" s="132">
        <f t="shared" si="1855"/>
        <v>-1000</v>
      </c>
      <c r="AH929" s="132">
        <f t="shared" si="1855"/>
        <v>-1000</v>
      </c>
      <c r="AI929" s="132">
        <f t="shared" si="1855"/>
        <v>-1000</v>
      </c>
      <c r="AJ929" s="132">
        <f t="shared" si="1855"/>
        <v>-1000</v>
      </c>
      <c r="AK929" s="132">
        <f t="shared" si="1855"/>
        <v>-1000</v>
      </c>
      <c r="AL929" s="132">
        <f t="shared" si="1855"/>
        <v>-1000</v>
      </c>
      <c r="AM929" s="132">
        <f t="shared" si="1855"/>
        <v>-1000</v>
      </c>
      <c r="AN929" s="132">
        <f t="shared" si="1855"/>
        <v>-1000</v>
      </c>
      <c r="AO929" s="132">
        <f t="shared" si="1855"/>
        <v>-1000</v>
      </c>
      <c r="AP929" s="132">
        <f t="shared" si="1855"/>
        <v>-1000</v>
      </c>
      <c r="AQ929" s="132">
        <f t="shared" si="1855"/>
        <v>-1000</v>
      </c>
      <c r="AR929" s="132">
        <f t="shared" si="1855"/>
        <v>-1000</v>
      </c>
      <c r="AS929" s="132">
        <f t="shared" si="1855"/>
        <v>-1000</v>
      </c>
    </row>
    <row r="930">
      <c r="A930" s="132" t="s">
        <v>4432</v>
      </c>
      <c r="B930" s="132">
        <v>25.0</v>
      </c>
      <c r="C930" s="132">
        <v>0.0</v>
      </c>
      <c r="D930" s="132">
        <v>0.0</v>
      </c>
      <c r="E930" s="132">
        <v>0.0</v>
      </c>
      <c r="F930" s="132">
        <v>0.0</v>
      </c>
      <c r="G930" s="132">
        <v>0.0</v>
      </c>
      <c r="H930" s="132">
        <v>0.0</v>
      </c>
      <c r="I930" s="132">
        <v>25.0</v>
      </c>
      <c r="J930" s="132">
        <v>0.0</v>
      </c>
      <c r="K930" s="132">
        <v>0.0</v>
      </c>
      <c r="L930" s="132">
        <v>0.0</v>
      </c>
      <c r="M930" s="132">
        <v>0.0</v>
      </c>
      <c r="N930" s="132">
        <v>0.0</v>
      </c>
      <c r="O930" s="132">
        <v>0.0</v>
      </c>
      <c r="P930" s="132">
        <v>0.0</v>
      </c>
      <c r="Q930" s="132">
        <v>0.0</v>
      </c>
      <c r="R930" s="132">
        <v>0.0</v>
      </c>
      <c r="S930" s="132">
        <v>0.0</v>
      </c>
      <c r="T930" s="132">
        <v>0.0</v>
      </c>
      <c r="U930" s="132">
        <v>0.0</v>
      </c>
      <c r="V930" s="132">
        <v>0.0</v>
      </c>
      <c r="W930" s="132">
        <v>0.0</v>
      </c>
      <c r="Y930" s="132" t="s">
        <v>4432</v>
      </c>
      <c r="Z930" s="132">
        <f t="shared" ref="Z930:AC930" si="1856">C930-1000</f>
        <v>-1000</v>
      </c>
      <c r="AA930" s="132">
        <f t="shared" si="1856"/>
        <v>-1000</v>
      </c>
      <c r="AB930" s="132">
        <f t="shared" si="1856"/>
        <v>-1000</v>
      </c>
      <c r="AC930" s="132">
        <f t="shared" si="1856"/>
        <v>-1000</v>
      </c>
      <c r="AD930" s="132">
        <f t="shared" si="4"/>
        <v>-10000</v>
      </c>
      <c r="AE930" s="132">
        <f t="shared" ref="AE930:AS930" si="1857">H930-1000</f>
        <v>-1000</v>
      </c>
      <c r="AF930" s="132">
        <f t="shared" si="1857"/>
        <v>-975</v>
      </c>
      <c r="AG930" s="132">
        <f t="shared" si="1857"/>
        <v>-1000</v>
      </c>
      <c r="AH930" s="132">
        <f t="shared" si="1857"/>
        <v>-1000</v>
      </c>
      <c r="AI930" s="132">
        <f t="shared" si="1857"/>
        <v>-1000</v>
      </c>
      <c r="AJ930" s="132">
        <f t="shared" si="1857"/>
        <v>-1000</v>
      </c>
      <c r="AK930" s="132">
        <f t="shared" si="1857"/>
        <v>-1000</v>
      </c>
      <c r="AL930" s="132">
        <f t="shared" si="1857"/>
        <v>-1000</v>
      </c>
      <c r="AM930" s="132">
        <f t="shared" si="1857"/>
        <v>-1000</v>
      </c>
      <c r="AN930" s="132">
        <f t="shared" si="1857"/>
        <v>-1000</v>
      </c>
      <c r="AO930" s="132">
        <f t="shared" si="1857"/>
        <v>-1000</v>
      </c>
      <c r="AP930" s="132">
        <f t="shared" si="1857"/>
        <v>-1000</v>
      </c>
      <c r="AQ930" s="132">
        <f t="shared" si="1857"/>
        <v>-1000</v>
      </c>
      <c r="AR930" s="132">
        <f t="shared" si="1857"/>
        <v>-1000</v>
      </c>
      <c r="AS930" s="132">
        <f t="shared" si="1857"/>
        <v>-1000</v>
      </c>
    </row>
    <row r="931">
      <c r="A931" s="132" t="s">
        <v>4433</v>
      </c>
      <c r="B931" s="132">
        <v>1000.0</v>
      </c>
      <c r="C931" s="132">
        <v>0.0</v>
      </c>
      <c r="D931" s="132">
        <v>0.0</v>
      </c>
      <c r="E931" s="132">
        <v>0.0</v>
      </c>
      <c r="F931" s="132">
        <v>0.0</v>
      </c>
      <c r="G931" s="132">
        <v>0.0</v>
      </c>
      <c r="H931" s="132">
        <v>0.0</v>
      </c>
      <c r="I931" s="132">
        <v>0.0</v>
      </c>
      <c r="J931" s="132">
        <v>0.0</v>
      </c>
      <c r="K931" s="132">
        <v>0.0</v>
      </c>
      <c r="L931" s="132">
        <v>0.0</v>
      </c>
      <c r="M931" s="132">
        <v>0.0</v>
      </c>
      <c r="N931" s="132">
        <v>0.0</v>
      </c>
      <c r="O931" s="132">
        <v>0.0</v>
      </c>
      <c r="P931" s="132">
        <v>0.0</v>
      </c>
      <c r="Q931" s="132">
        <v>0.0</v>
      </c>
      <c r="R931" s="132">
        <v>0.0</v>
      </c>
      <c r="S931" s="132">
        <v>1000.0</v>
      </c>
      <c r="T931" s="132">
        <v>0.0</v>
      </c>
      <c r="U931" s="132">
        <v>0.0</v>
      </c>
      <c r="V931" s="132">
        <v>0.0</v>
      </c>
      <c r="W931" s="132">
        <v>0.0</v>
      </c>
      <c r="Y931" s="132" t="s">
        <v>4433</v>
      </c>
      <c r="Z931" s="132">
        <f t="shared" ref="Z931:AC931" si="1858">C931-1000</f>
        <v>-1000</v>
      </c>
      <c r="AA931" s="132">
        <f t="shared" si="1858"/>
        <v>-1000</v>
      </c>
      <c r="AB931" s="132">
        <f t="shared" si="1858"/>
        <v>-1000</v>
      </c>
      <c r="AC931" s="132">
        <f t="shared" si="1858"/>
        <v>-1000</v>
      </c>
      <c r="AD931" s="132">
        <f t="shared" si="4"/>
        <v>-10000</v>
      </c>
      <c r="AE931" s="132">
        <f t="shared" ref="AE931:AS931" si="1859">H931-1000</f>
        <v>-1000</v>
      </c>
      <c r="AF931" s="132">
        <f t="shared" si="1859"/>
        <v>-1000</v>
      </c>
      <c r="AG931" s="132">
        <f t="shared" si="1859"/>
        <v>-1000</v>
      </c>
      <c r="AH931" s="132">
        <f t="shared" si="1859"/>
        <v>-1000</v>
      </c>
      <c r="AI931" s="132">
        <f t="shared" si="1859"/>
        <v>-1000</v>
      </c>
      <c r="AJ931" s="132">
        <f t="shared" si="1859"/>
        <v>-1000</v>
      </c>
      <c r="AK931" s="132">
        <f t="shared" si="1859"/>
        <v>-1000</v>
      </c>
      <c r="AL931" s="132">
        <f t="shared" si="1859"/>
        <v>-1000</v>
      </c>
      <c r="AM931" s="132">
        <f t="shared" si="1859"/>
        <v>-1000</v>
      </c>
      <c r="AN931" s="132">
        <f t="shared" si="1859"/>
        <v>-1000</v>
      </c>
      <c r="AO931" s="132">
        <f t="shared" si="1859"/>
        <v>-1000</v>
      </c>
      <c r="AP931" s="132">
        <f t="shared" si="1859"/>
        <v>0</v>
      </c>
      <c r="AQ931" s="132">
        <f t="shared" si="1859"/>
        <v>-1000</v>
      </c>
      <c r="AR931" s="132">
        <f t="shared" si="1859"/>
        <v>-1000</v>
      </c>
      <c r="AS931" s="132">
        <f t="shared" si="1859"/>
        <v>-1000</v>
      </c>
    </row>
    <row r="932">
      <c r="A932" s="132" t="s">
        <v>4434</v>
      </c>
      <c r="B932" s="132">
        <v>2000.0</v>
      </c>
      <c r="C932" s="132">
        <v>0.0</v>
      </c>
      <c r="D932" s="132">
        <v>0.0</v>
      </c>
      <c r="E932" s="132">
        <v>0.0</v>
      </c>
      <c r="F932" s="132">
        <v>0.0</v>
      </c>
      <c r="G932" s="132">
        <v>0.0</v>
      </c>
      <c r="H932" s="132">
        <v>0.0</v>
      </c>
      <c r="I932" s="132">
        <v>0.0</v>
      </c>
      <c r="J932" s="132">
        <v>0.0</v>
      </c>
      <c r="K932" s="132">
        <v>0.0</v>
      </c>
      <c r="L932" s="132">
        <v>0.0</v>
      </c>
      <c r="M932" s="132">
        <v>0.0</v>
      </c>
      <c r="N932" s="132">
        <v>0.0</v>
      </c>
      <c r="O932" s="132">
        <v>0.0</v>
      </c>
      <c r="P932" s="132">
        <v>0.0</v>
      </c>
      <c r="Q932" s="132">
        <v>0.0</v>
      </c>
      <c r="R932" s="132">
        <v>0.0</v>
      </c>
      <c r="S932" s="132">
        <v>2000.0</v>
      </c>
      <c r="T932" s="132">
        <v>0.0</v>
      </c>
      <c r="U932" s="132">
        <v>0.0</v>
      </c>
      <c r="V932" s="132">
        <v>0.0</v>
      </c>
      <c r="W932" s="132">
        <v>0.0</v>
      </c>
      <c r="Y932" s="132" t="s">
        <v>4434</v>
      </c>
      <c r="Z932" s="132">
        <f t="shared" ref="Z932:AC932" si="1860">C932-1000</f>
        <v>-1000</v>
      </c>
      <c r="AA932" s="132">
        <f t="shared" si="1860"/>
        <v>-1000</v>
      </c>
      <c r="AB932" s="132">
        <f t="shared" si="1860"/>
        <v>-1000</v>
      </c>
      <c r="AC932" s="132">
        <f t="shared" si="1860"/>
        <v>-1000</v>
      </c>
      <c r="AD932" s="132">
        <f t="shared" si="4"/>
        <v>-10000</v>
      </c>
      <c r="AE932" s="132">
        <f t="shared" ref="AE932:AS932" si="1861">H932-1000</f>
        <v>-1000</v>
      </c>
      <c r="AF932" s="132">
        <f t="shared" si="1861"/>
        <v>-1000</v>
      </c>
      <c r="AG932" s="132">
        <f t="shared" si="1861"/>
        <v>-1000</v>
      </c>
      <c r="AH932" s="132">
        <f t="shared" si="1861"/>
        <v>-1000</v>
      </c>
      <c r="AI932" s="132">
        <f t="shared" si="1861"/>
        <v>-1000</v>
      </c>
      <c r="AJ932" s="132">
        <f t="shared" si="1861"/>
        <v>-1000</v>
      </c>
      <c r="AK932" s="132">
        <f t="shared" si="1861"/>
        <v>-1000</v>
      </c>
      <c r="AL932" s="132">
        <f t="shared" si="1861"/>
        <v>-1000</v>
      </c>
      <c r="AM932" s="132">
        <f t="shared" si="1861"/>
        <v>-1000</v>
      </c>
      <c r="AN932" s="132">
        <f t="shared" si="1861"/>
        <v>-1000</v>
      </c>
      <c r="AO932" s="132">
        <f t="shared" si="1861"/>
        <v>-1000</v>
      </c>
      <c r="AP932" s="132">
        <f t="shared" si="1861"/>
        <v>1000</v>
      </c>
      <c r="AQ932" s="132">
        <f t="shared" si="1861"/>
        <v>-1000</v>
      </c>
      <c r="AR932" s="132">
        <f t="shared" si="1861"/>
        <v>-1000</v>
      </c>
      <c r="AS932" s="132">
        <f t="shared" si="1861"/>
        <v>-1000</v>
      </c>
    </row>
    <row r="933">
      <c r="A933" s="132" t="s">
        <v>4435</v>
      </c>
      <c r="B933" s="132">
        <v>2000.0</v>
      </c>
      <c r="C933" s="132">
        <v>0.0</v>
      </c>
      <c r="D933" s="132">
        <v>0.0</v>
      </c>
      <c r="E933" s="132">
        <v>0.0</v>
      </c>
      <c r="F933" s="132">
        <v>0.0</v>
      </c>
      <c r="G933" s="132">
        <v>0.0</v>
      </c>
      <c r="H933" s="132">
        <v>0.0</v>
      </c>
      <c r="I933" s="132">
        <v>0.0</v>
      </c>
      <c r="J933" s="132">
        <v>0.0</v>
      </c>
      <c r="K933" s="132">
        <v>0.0</v>
      </c>
      <c r="L933" s="132">
        <v>0.0</v>
      </c>
      <c r="M933" s="132">
        <v>0.0</v>
      </c>
      <c r="N933" s="132">
        <v>0.0</v>
      </c>
      <c r="O933" s="132">
        <v>0.0</v>
      </c>
      <c r="P933" s="132">
        <v>0.0</v>
      </c>
      <c r="Q933" s="132">
        <v>0.0</v>
      </c>
      <c r="R933" s="132">
        <v>2000.0</v>
      </c>
      <c r="S933" s="132">
        <v>0.0</v>
      </c>
      <c r="T933" s="132">
        <v>0.0</v>
      </c>
      <c r="U933" s="132">
        <v>0.0</v>
      </c>
      <c r="V933" s="132">
        <v>0.0</v>
      </c>
      <c r="W933" s="132">
        <v>0.0</v>
      </c>
      <c r="Y933" s="132" t="s">
        <v>4435</v>
      </c>
      <c r="Z933" s="132">
        <f t="shared" ref="Z933:AC933" si="1862">C933-1000</f>
        <v>-1000</v>
      </c>
      <c r="AA933" s="132">
        <f t="shared" si="1862"/>
        <v>-1000</v>
      </c>
      <c r="AB933" s="132">
        <f t="shared" si="1862"/>
        <v>-1000</v>
      </c>
      <c r="AC933" s="132">
        <f t="shared" si="1862"/>
        <v>-1000</v>
      </c>
      <c r="AD933" s="132">
        <f t="shared" si="4"/>
        <v>-10000</v>
      </c>
      <c r="AE933" s="132">
        <f t="shared" ref="AE933:AS933" si="1863">H933-1000</f>
        <v>-1000</v>
      </c>
      <c r="AF933" s="132">
        <f t="shared" si="1863"/>
        <v>-1000</v>
      </c>
      <c r="AG933" s="132">
        <f t="shared" si="1863"/>
        <v>-1000</v>
      </c>
      <c r="AH933" s="132">
        <f t="shared" si="1863"/>
        <v>-1000</v>
      </c>
      <c r="AI933" s="132">
        <f t="shared" si="1863"/>
        <v>-1000</v>
      </c>
      <c r="AJ933" s="132">
        <f t="shared" si="1863"/>
        <v>-1000</v>
      </c>
      <c r="AK933" s="132">
        <f t="shared" si="1863"/>
        <v>-1000</v>
      </c>
      <c r="AL933" s="132">
        <f t="shared" si="1863"/>
        <v>-1000</v>
      </c>
      <c r="AM933" s="132">
        <f t="shared" si="1863"/>
        <v>-1000</v>
      </c>
      <c r="AN933" s="132">
        <f t="shared" si="1863"/>
        <v>-1000</v>
      </c>
      <c r="AO933" s="132">
        <f t="shared" si="1863"/>
        <v>1000</v>
      </c>
      <c r="AP933" s="132">
        <f t="shared" si="1863"/>
        <v>-1000</v>
      </c>
      <c r="AQ933" s="132">
        <f t="shared" si="1863"/>
        <v>-1000</v>
      </c>
      <c r="AR933" s="132">
        <f t="shared" si="1863"/>
        <v>-1000</v>
      </c>
      <c r="AS933" s="132">
        <f t="shared" si="1863"/>
        <v>-1000</v>
      </c>
    </row>
    <row r="934">
      <c r="A934" s="132" t="s">
        <v>4436</v>
      </c>
      <c r="B934" s="132">
        <v>3500.0</v>
      </c>
      <c r="C934" s="132">
        <v>0.0</v>
      </c>
      <c r="D934" s="132">
        <v>0.0</v>
      </c>
      <c r="E934" s="132">
        <v>0.0</v>
      </c>
      <c r="F934" s="132">
        <v>0.0</v>
      </c>
      <c r="G934" s="132">
        <v>1000.0</v>
      </c>
      <c r="H934" s="132">
        <v>1000.0</v>
      </c>
      <c r="I934" s="132">
        <v>0.0</v>
      </c>
      <c r="J934" s="132">
        <v>0.0</v>
      </c>
      <c r="K934" s="132">
        <v>0.0</v>
      </c>
      <c r="L934" s="132">
        <v>0.0</v>
      </c>
      <c r="M934" s="132">
        <v>0.0</v>
      </c>
      <c r="N934" s="132">
        <v>0.0</v>
      </c>
      <c r="O934" s="132">
        <v>0.0</v>
      </c>
      <c r="P934" s="132">
        <v>0.0</v>
      </c>
      <c r="Q934" s="132">
        <v>0.0</v>
      </c>
      <c r="R934" s="132">
        <v>0.0</v>
      </c>
      <c r="S934" s="132">
        <v>0.0</v>
      </c>
      <c r="T934" s="132">
        <v>0.0</v>
      </c>
      <c r="U934" s="132">
        <v>0.0</v>
      </c>
      <c r="V934" s="132">
        <v>1500.0</v>
      </c>
      <c r="W934" s="132">
        <v>1.0</v>
      </c>
      <c r="Y934" s="132" t="s">
        <v>4436</v>
      </c>
      <c r="Z934" s="132">
        <f t="shared" ref="Z934:AC934" si="1864">C934-1000</f>
        <v>-1000</v>
      </c>
      <c r="AA934" s="132">
        <f t="shared" si="1864"/>
        <v>-1000</v>
      </c>
      <c r="AB934" s="132">
        <f t="shared" si="1864"/>
        <v>-1000</v>
      </c>
      <c r="AC934" s="132">
        <f t="shared" si="1864"/>
        <v>-1000</v>
      </c>
      <c r="AD934" s="132">
        <f t="shared" si="4"/>
        <v>-9000</v>
      </c>
      <c r="AE934" s="132">
        <f t="shared" ref="AE934:AS934" si="1865">H934-1000</f>
        <v>0</v>
      </c>
      <c r="AF934" s="132">
        <f t="shared" si="1865"/>
        <v>-1000</v>
      </c>
      <c r="AG934" s="132">
        <f t="shared" si="1865"/>
        <v>-1000</v>
      </c>
      <c r="AH934" s="132">
        <f t="shared" si="1865"/>
        <v>-1000</v>
      </c>
      <c r="AI934" s="132">
        <f t="shared" si="1865"/>
        <v>-1000</v>
      </c>
      <c r="AJ934" s="132">
        <f t="shared" si="1865"/>
        <v>-1000</v>
      </c>
      <c r="AK934" s="132">
        <f t="shared" si="1865"/>
        <v>-1000</v>
      </c>
      <c r="AL934" s="132">
        <f t="shared" si="1865"/>
        <v>-1000</v>
      </c>
      <c r="AM934" s="132">
        <f t="shared" si="1865"/>
        <v>-1000</v>
      </c>
      <c r="AN934" s="132">
        <f t="shared" si="1865"/>
        <v>-1000</v>
      </c>
      <c r="AO934" s="132">
        <f t="shared" si="1865"/>
        <v>-1000</v>
      </c>
      <c r="AP934" s="132">
        <f t="shared" si="1865"/>
        <v>-1000</v>
      </c>
      <c r="AQ934" s="132">
        <f t="shared" si="1865"/>
        <v>-1000</v>
      </c>
      <c r="AR934" s="132">
        <f t="shared" si="1865"/>
        <v>-1000</v>
      </c>
      <c r="AS934" s="132">
        <f t="shared" si="1865"/>
        <v>500</v>
      </c>
    </row>
    <row r="935">
      <c r="A935" s="132" t="s">
        <v>4437</v>
      </c>
      <c r="B935" s="132">
        <v>412.45000000000005</v>
      </c>
      <c r="C935" s="132">
        <v>0.0</v>
      </c>
      <c r="D935" s="132">
        <v>0.0</v>
      </c>
      <c r="E935" s="132">
        <v>100.0</v>
      </c>
      <c r="F935" s="132">
        <v>0.0</v>
      </c>
      <c r="G935" s="132">
        <v>0.0</v>
      </c>
      <c r="H935" s="132">
        <v>0.0</v>
      </c>
      <c r="I935" s="132">
        <v>0.0</v>
      </c>
      <c r="J935" s="132">
        <v>0.0</v>
      </c>
      <c r="K935" s="132">
        <v>0.0</v>
      </c>
      <c r="L935" s="132">
        <v>0.0</v>
      </c>
      <c r="M935" s="132">
        <v>0.0</v>
      </c>
      <c r="N935" s="132">
        <v>0.0</v>
      </c>
      <c r="O935" s="132">
        <v>0.0</v>
      </c>
      <c r="P935" s="132">
        <v>0.0</v>
      </c>
      <c r="Q935" s="132">
        <v>0.0</v>
      </c>
      <c r="R935" s="132">
        <v>0.0</v>
      </c>
      <c r="S935" s="132">
        <v>0.0</v>
      </c>
      <c r="T935" s="132">
        <v>0.0</v>
      </c>
      <c r="U935" s="132">
        <v>0.0</v>
      </c>
      <c r="V935" s="132">
        <v>312.45000000000005</v>
      </c>
      <c r="W935" s="132">
        <v>1.0</v>
      </c>
      <c r="Y935" s="132" t="s">
        <v>4437</v>
      </c>
      <c r="Z935" s="132">
        <f t="shared" ref="Z935:AC935" si="1866">C935-1000</f>
        <v>-1000</v>
      </c>
      <c r="AA935" s="132">
        <f t="shared" si="1866"/>
        <v>-1000</v>
      </c>
      <c r="AB935" s="132">
        <f t="shared" si="1866"/>
        <v>-900</v>
      </c>
      <c r="AC935" s="132">
        <f t="shared" si="1866"/>
        <v>-1000</v>
      </c>
      <c r="AD935" s="132">
        <f t="shared" si="4"/>
        <v>-10000</v>
      </c>
      <c r="AE935" s="132">
        <f t="shared" ref="AE935:AS935" si="1867">H935-1000</f>
        <v>-1000</v>
      </c>
      <c r="AF935" s="132">
        <f t="shared" si="1867"/>
        <v>-1000</v>
      </c>
      <c r="AG935" s="132">
        <f t="shared" si="1867"/>
        <v>-1000</v>
      </c>
      <c r="AH935" s="132">
        <f t="shared" si="1867"/>
        <v>-1000</v>
      </c>
      <c r="AI935" s="132">
        <f t="shared" si="1867"/>
        <v>-1000</v>
      </c>
      <c r="AJ935" s="132">
        <f t="shared" si="1867"/>
        <v>-1000</v>
      </c>
      <c r="AK935" s="132">
        <f t="shared" si="1867"/>
        <v>-1000</v>
      </c>
      <c r="AL935" s="132">
        <f t="shared" si="1867"/>
        <v>-1000</v>
      </c>
      <c r="AM935" s="132">
        <f t="shared" si="1867"/>
        <v>-1000</v>
      </c>
      <c r="AN935" s="132">
        <f t="shared" si="1867"/>
        <v>-1000</v>
      </c>
      <c r="AO935" s="132">
        <f t="shared" si="1867"/>
        <v>-1000</v>
      </c>
      <c r="AP935" s="132">
        <f t="shared" si="1867"/>
        <v>-1000</v>
      </c>
      <c r="AQ935" s="132">
        <f t="shared" si="1867"/>
        <v>-1000</v>
      </c>
      <c r="AR935" s="132">
        <f t="shared" si="1867"/>
        <v>-1000</v>
      </c>
      <c r="AS935" s="132">
        <f t="shared" si="1867"/>
        <v>-687.55</v>
      </c>
    </row>
    <row r="937" ht="59.25" customHeight="1">
      <c r="Y937" s="146" t="s">
        <v>4438</v>
      </c>
      <c r="Z937" s="95">
        <f t="shared" ref="Z937:AS937" si="1868">SUMIF(Z2:Z935,"&gt;0")</f>
        <v>37816</v>
      </c>
      <c r="AA937" s="95">
        <f t="shared" si="1868"/>
        <v>4000</v>
      </c>
      <c r="AB937" s="95">
        <f t="shared" si="1868"/>
        <v>7000</v>
      </c>
      <c r="AC937" s="95">
        <f t="shared" si="1868"/>
        <v>29850</v>
      </c>
      <c r="AD937" s="95">
        <f t="shared" si="1868"/>
        <v>131500</v>
      </c>
      <c r="AE937" s="95">
        <f t="shared" si="1868"/>
        <v>10200</v>
      </c>
      <c r="AF937" s="95">
        <f t="shared" si="1868"/>
        <v>5500</v>
      </c>
      <c r="AG937" s="95">
        <f t="shared" si="1868"/>
        <v>21000</v>
      </c>
      <c r="AH937" s="95">
        <f t="shared" si="1868"/>
        <v>7000</v>
      </c>
      <c r="AI937" s="95">
        <f t="shared" si="1868"/>
        <v>6000</v>
      </c>
      <c r="AJ937" s="95">
        <f t="shared" si="1868"/>
        <v>2680</v>
      </c>
      <c r="AK937" s="95">
        <f t="shared" si="1868"/>
        <v>0</v>
      </c>
      <c r="AL937" s="95">
        <f t="shared" si="1868"/>
        <v>3000</v>
      </c>
      <c r="AM937" s="95">
        <f t="shared" si="1868"/>
        <v>5300</v>
      </c>
      <c r="AN937" s="95">
        <f t="shared" si="1868"/>
        <v>2000</v>
      </c>
      <c r="AO937" s="95">
        <f t="shared" si="1868"/>
        <v>6000</v>
      </c>
      <c r="AP937" s="95">
        <f t="shared" si="1868"/>
        <v>3000</v>
      </c>
      <c r="AQ937" s="95">
        <f t="shared" si="1868"/>
        <v>0</v>
      </c>
      <c r="AR937" s="95">
        <f t="shared" si="1868"/>
        <v>0</v>
      </c>
      <c r="AS937" s="147">
        <f t="shared" si="1868"/>
        <v>1000</v>
      </c>
      <c r="AT937" s="103"/>
    </row>
    <row r="938">
      <c r="Y938" s="148" t="s">
        <v>4439</v>
      </c>
      <c r="Z938" s="105">
        <f>Z937/'Total Contributions and Above-L'!AX942</f>
        <v>0.2896122217</v>
      </c>
      <c r="AA938" s="105">
        <f>AA937/'Total Contributions and Above-L'!AY942</f>
        <v>0.2133333333</v>
      </c>
      <c r="AB938" s="105">
        <f>AB937/'Total Contributions and Above-L'!AZ942</f>
        <v>0.2102102102</v>
      </c>
      <c r="AC938" s="105">
        <f>AC937/'Total Contributions and Above-L'!BA942</f>
        <v>0.2444116925</v>
      </c>
      <c r="AD938" s="105">
        <f>AD937/'Total Contributions and Above-L'!BB942</f>
        <v>0.1683038428</v>
      </c>
      <c r="AE938" s="105">
        <f>AE937/'Total Contributions and Above-L'!BC942</f>
        <v>0.2845188285</v>
      </c>
      <c r="AF938" s="105">
        <f>AF937/'Total Contributions and Above-L'!BD942</f>
        <v>0.2105263158</v>
      </c>
      <c r="AG938" s="105">
        <f>AG937/'Total Contributions and Above-L'!BE942</f>
        <v>0.7</v>
      </c>
      <c r="AH938" s="105">
        <f>AH937/'Total Contributions and Above-L'!BF942</f>
        <v>0.2499553651</v>
      </c>
      <c r="AI938" s="105">
        <f>AI937/'Total Contributions and Above-L'!BG942</f>
        <v>0.1610738255</v>
      </c>
      <c r="AJ938" s="105">
        <f>AJ937/'Total Contributions and Above-L'!BH942</f>
        <v>0.06150456694</v>
      </c>
      <c r="AK938" s="105">
        <f>AK937/'Total Contributions and Above-L'!BI942</f>
        <v>0</v>
      </c>
      <c r="AL938" s="105">
        <f>AL937/'Total Contributions and Above-L'!BJ942</f>
        <v>0.5555555556</v>
      </c>
      <c r="AM938" s="105">
        <f>AM937/'Total Contributions and Above-L'!BK942</f>
        <v>0.2499003935</v>
      </c>
      <c r="AN938" s="105">
        <f>AN937/'Total Contributions and Above-L'!BL942</f>
        <v>0.487804878</v>
      </c>
      <c r="AO938" s="105">
        <f>AO937/'Total Contributions and Above-L'!BM942</f>
        <v>0.75</v>
      </c>
      <c r="AP938" s="105">
        <f>AP937/'Total Contributions and Above-L'!BN942</f>
        <v>0.3</v>
      </c>
      <c r="AQ938" s="105">
        <f>AQ937/'Total Contributions and Above-L'!BO942</f>
        <v>0</v>
      </c>
      <c r="AR938" s="105">
        <f>AR937/'Total Contributions and Above-L'!BP942</f>
        <v>0</v>
      </c>
      <c r="AS938" s="149">
        <f>AS937/'Total Contributions and Above-L'!BQ942</f>
        <v>0.2758696792</v>
      </c>
    </row>
    <row r="940" ht="150.75" customHeight="1">
      <c r="Y940" s="84" t="s">
        <v>4440</v>
      </c>
      <c r="Z940" s="68"/>
      <c r="AA940" s="68"/>
      <c r="AB940" s="68"/>
      <c r="AC940" s="68"/>
      <c r="AD940" s="69"/>
    </row>
  </sheetData>
  <mergeCells count="1">
    <mergeCell ref="Y940:AD940"/>
  </mergeCells>
  <conditionalFormatting sqref="Z3:AS935">
    <cfRule type="cellIs" dxfId="0" priority="1" operator="greaterThan">
      <formula>0</formula>
    </cfRule>
  </conditionalFormatting>
  <drawing r:id="rId1"/>
</worksheet>
</file>